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printerSettings/printerSettings4.bin" ContentType="application/vnd.openxmlformats-officedocument.spreadsheetml.printerSettings"/>
  <Override PartName="/xl/comments4.xml" ContentType="application/vnd.openxmlformats-officedocument.spreadsheetml.comments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omments5.xml" ContentType="application/vnd.openxmlformats-officedocument.spreadsheetml.comments+xml"/>
  <Override PartName="/xl/printerSettings/printerSettings9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firmwide.corp.gs.com\root\Projects\Research\au\Financials\BANKS\Models\Published\MQG\"/>
    </mc:Choice>
  </mc:AlternateContent>
  <xr:revisionPtr revIDLastSave="0" documentId="13_ncr:1_{592E3C6F-23C9-4AF3-89F4-C239CF9A4D5E}" xr6:coauthVersionLast="47" xr6:coauthVersionMax="47" xr10:uidLastSave="{00000000-0000-0000-0000-000000000000}"/>
  <bookViews>
    <workbookView xWindow="-120" yWindow="-120" windowWidth="38640" windowHeight="21240" firstSheet="2" activeTab="7" xr2:uid="{032CCA0B-E72E-4418-A979-8CD0C93DEA11}"/>
  </bookViews>
  <sheets>
    <sheet name="__FDSCACHE__" sheetId="26" state="veryHidden" r:id="rId1"/>
    <sheet name="Cover Page" sheetId="25" state="hidden" r:id="rId2"/>
    <sheet name="Summary" sheetId="6" r:id="rId3"/>
    <sheet name="Group Model" sheetId="3" r:id="rId4"/>
    <sheet name="Divisional Model" sheetId="4" r:id="rId5"/>
    <sheet name="FinSum" sheetId="8" state="hidden" r:id="rId6"/>
    <sheet name="Financial Statements (new)" sheetId="33" r:id="rId7"/>
    <sheet name="Group P&amp;L" sheetId="32" r:id="rId8"/>
    <sheet name="RIM" sheetId="9" state="hidden" r:id="rId9"/>
    <sheet name="Earnings Changes" sheetId="28" state="hidden" r:id="rId10"/>
    <sheet name="Old" sheetId="7" state="hidden" r:id="rId11"/>
    <sheet name="Dummy brokers ex-sheet" sheetId="14" state="hidden" r:id="rId12"/>
  </sheets>
  <externalReferences>
    <externalReference r:id="rId13"/>
    <externalReference r:id="rId14"/>
    <externalReference r:id="rId15"/>
    <externalReference r:id="rId16"/>
  </externalReferences>
  <definedNames>
    <definedName name="_bdm.4837bf430873416ba18d37df33e0513a.edm" localSheetId="6" hidden="1">'Financial Statements (new)'!$B$2:$O$55</definedName>
    <definedName name="_bdm.a0052595e312484696c084ba2b830728.edm" hidden="1">'Financial Statements (new)'!$1:$1048576</definedName>
    <definedName name="_xleta.T" hidden="1" xlm="1">#NAME?</definedName>
    <definedName name="A_ALL_ANZ.AX" localSheetId="1">#REF!</definedName>
    <definedName name="A_ALL_ANZ.AX">#REF!</definedName>
    <definedName name="A_ALL_ANZ.AX_">#REF!</definedName>
    <definedName name="A_ALL_KEYWORDS_TYPE_ScalarContributed_EQTY_200004992">#REF!,#REF!,#REF!,#REF!,#REF!,#REF!,#REF!,#REF!,#REF!</definedName>
    <definedName name="A_ALL_KEYWORDS_TYPE_ScalarContributed_EQTY_200011471">#REF!,#REF!,#REF!,#REF!,#REF!,#REF!</definedName>
    <definedName name="A_ALL_KEYWORDS_TYPE_ScalarContributed_ISSR_208008758" localSheetId="1">#REF!,#REF!</definedName>
    <definedName name="A_ALL_KEYWORDS_TYPE_ScalarContributed_ISSR_208008758">#REF!,#REF!</definedName>
    <definedName name="A_ALL_KEYWORDS_TYPE_ScalarReference_EQTY_200011471">#REF!</definedName>
    <definedName name="A_ALL_KEYWORDS_TYPE_ScalarReference_ISSR_208008758">#REF!</definedName>
    <definedName name="A_ALL_KEYWORDS_TYPE_Vector_EQTY_200004992">#REF!,#REF!,#REF!,#REF!,#REF!,#REF!,#REF!,#REF!,#REF!,#REF!,#REF!,#REF!,#REF!</definedName>
    <definedName name="A_ALL_KEYWORDS_TYPE_Vector_EQTY_200011471" localSheetId="1">#REF!,#REF!,#REF!,#REF!,#REF!</definedName>
    <definedName name="A_ALL_KEYWORDS_TYPE_Vector_EQTY_200011471">#REF!,#REF!,#REF!,#REF!,#REF!</definedName>
    <definedName name="A_ALL_KEYWORDS_TYPE_Vector_ISSR_208005522">#REF!,#REF!,#REF!,#REF!,#REF!,#REF!,#REF!,#REF!,#REF!,#REF!,#REF!,#REF!,#REF!,#REF!,#REF!,#REF!,#REF!,#REF!,#REF!,#REF!,#REF!,#REF!,#REF!,#REF!,#REF!,#REF!,#REF!,#REF!,#REF!</definedName>
    <definedName name="A_ALL_KEYWORDS_TYPE_Vector_ISSR_208008758" localSheetId="1">#REF!,#REF!,#REF!,#REF!,#REF!,#REF!,#REF!,#REF!,#REF!,#REF!,#REF!,#REF!,#REF!,#REF!,#REF!,#REF!,#REF!,#REF!,#REF!,#REF!</definedName>
    <definedName name="A_ALL_KEYWORDS_TYPE_Vector_ISSR_208008758">#REF!,#REF!,#REF!,#REF!,#REF!,#REF!,#REF!,#REF!,#REF!,#REF!,#REF!,#REF!,#REF!,#REF!,#REF!,#REF!,#REF!,#REF!,#REF!,#REF!</definedName>
    <definedName name="A_ALL_MQG.AX" localSheetId="11">#REF!</definedName>
    <definedName name="A_ALL_MQG.AX">#REF!</definedName>
    <definedName name="A_ALL_MQG.AX_">#REF!</definedName>
    <definedName name="A_ALL_PERIODS_MQG.AX">#REF!</definedName>
    <definedName name="A_ALL_SECTION_KEYWORDS_EQTY_200011471_1314">#REF!</definedName>
    <definedName name="A_ALL_SECTION_KEYWORDS_EQTY_200011471_1316A">#REF!</definedName>
    <definedName name="A_ALL_SECTION_KEYWORDS_EQTY_200011471_1316B">#REF!</definedName>
    <definedName name="A_ALL_SECTION_KEYWORDS_EQTY_200011471_1316C">#REF!</definedName>
    <definedName name="A_ALL_SECTION_KEYWORDS_EQTY_200011471_1316E">#REF!</definedName>
    <definedName name="A_ALL_SECTION_KEYWORDS_EQTY_200011471_1319">#REF!</definedName>
    <definedName name="A_ALL_SECTION_KEYWORDS_EQTY_200011471_131J">#REF!</definedName>
    <definedName name="A_ALL_SECTION_KEYWORDS_EQTY_200011471_131O">#REF!</definedName>
    <definedName name="A_ALL_SECTION_KEYWORDS_EQTY_200011471_131P">#REF!</definedName>
    <definedName name="A_ALL_SECTION_KEYWORDS_EQTY_200011471_13A" localSheetId="1">#REF!</definedName>
    <definedName name="A_ALL_SECTION_KEYWORDS_EQTY_200011471_13A">#REF!</definedName>
    <definedName name="A_ALL_SECTION_KEYWORDS_EQTY_200011471_13K" localSheetId="1">#REF!</definedName>
    <definedName name="A_ALL_SECTION_KEYWORDS_EQTY_200011471_13K">#REF!</definedName>
    <definedName name="A_ALL_SECTION_KEYWORDS_EQTY_200011471_13U">#REF!</definedName>
    <definedName name="A_ALL_SECTION_KEYWORDS_EQTY_200011471_13V">#REF!</definedName>
    <definedName name="A_ALL_SECTION_KEYWORDS_EQTY_200011471_Reference_Data">#REF!</definedName>
    <definedName name="A_ALL_SECTION_KEYWORDS_ISSR_208008758_1314" localSheetId="1">#REF!</definedName>
    <definedName name="A_ALL_SECTION_KEYWORDS_ISSR_208008758_1314">#REF!</definedName>
    <definedName name="A_ALL_SECTION_KEYWORDS_ISSR_208008758_13168">#REF!</definedName>
    <definedName name="A_ALL_SECTION_KEYWORDS_ISSR_208008758_1316B">#REF!</definedName>
    <definedName name="A_ALL_SECTION_KEYWORDS_ISSR_208008758_1316C">#REF!</definedName>
    <definedName name="A_ALL_SECTION_KEYWORDS_ISSR_208008758_1316E">#REF!</definedName>
    <definedName name="A_ALL_SECTION_KEYWORDS_ISSR_208008758_1316T">#REF!</definedName>
    <definedName name="A_ALL_SECTION_KEYWORDS_ISSR_208008758_1316U">#REF!</definedName>
    <definedName name="A_ALL_SECTION_KEYWORDS_ISSR_208008758_1319" localSheetId="1">#REF!</definedName>
    <definedName name="A_ALL_SECTION_KEYWORDS_ISSR_208008758_1319">#REF!</definedName>
    <definedName name="A_ALL_SECTION_KEYWORDS_ISSR_208008758_131E">#REF!</definedName>
    <definedName name="A_ALL_SECTION_KEYWORDS_ISSR_208008758_131J">#REF!</definedName>
    <definedName name="A_ALL_SECTION_KEYWORDS_ISSR_208008758_131O">#REF!</definedName>
    <definedName name="A_ALL_SECTION_KEYWORDS_ISSR_208008758_131P">#REF!</definedName>
    <definedName name="A_ALL_SECTION_KEYWORDS_ISSR_208008758_133M">#REF!</definedName>
    <definedName name="A_ALL_SECTION_KEYWORDS_ISSR_208008758_133R">#REF!</definedName>
    <definedName name="A_ALL_SECTION_KEYWORDS_ISSR_208008758_133W">#REF!</definedName>
    <definedName name="A_ALL_SECTION_KEYWORDS_ISSR_208008758_1341">#REF!</definedName>
    <definedName name="A_ALL_SECTION_KEYWORDS_ISSR_208008758_1346">#REF!</definedName>
    <definedName name="A_ALL_SECTION_KEYWORDS_ISSR_208008758_134B">#REF!</definedName>
    <definedName name="A_ALL_SECTION_KEYWORDS_ISSR_208008758_134G">#REF!</definedName>
    <definedName name="A_ALL_SECTION_KEYWORDS_ISSR_208008758_134L">#REF!</definedName>
    <definedName name="A_ALL_SECTION_KEYWORDS_ISSR_208008758_134Q">#REF!</definedName>
    <definedName name="A_ALL_SECTION_KEYWORDS_ISSR_208008758_134V">#REF!</definedName>
    <definedName name="A_ALL_SECTION_KEYWORDS_ISSR_208008758_1350">#REF!</definedName>
    <definedName name="A_ALL_SECTION_KEYWORDS_ISSR_208008758_1355">#REF!</definedName>
    <definedName name="A_ALL_SECTION_KEYWORDS_ISSR_208008758_135A">#REF!</definedName>
    <definedName name="A_ALL_SECTION_KEYWORDS_ISSR_208008758_135F">#REF!</definedName>
    <definedName name="A_ALL_SECTION_KEYWORDS_ISSR_208008758_135K">#REF!</definedName>
    <definedName name="A_ALL_SECTION_KEYWORDS_ISSR_208008758_135P">#REF!</definedName>
    <definedName name="A_ALL_SECTION_KEYWORDS_ISSR_208008758_135U">#REF!</definedName>
    <definedName name="A_ALL_SECTION_KEYWORDS_ISSR_208008758_135Z">#REF!</definedName>
    <definedName name="A_ALL_SECTION_KEYWORDS_ISSR_208008758_136E">#REF!</definedName>
    <definedName name="A_ALL_SECTION_KEYWORDS_ISSR_208008758_13A">#REF!</definedName>
    <definedName name="A_ALL_SECTION_KEYWORDS_ISSR_208008758_13U">#REF!</definedName>
    <definedName name="A_ALL_SECTION_KEYWORDS_ISSR_208008758_13V" localSheetId="1">#REF!,#REF!</definedName>
    <definedName name="A_ALL_SECTION_KEYWORDS_ISSR_208008758_13V">#REF!,#REF!</definedName>
    <definedName name="A_ALL_SECTION_KEYWORDS_ISSR_208008758_Reference_Data">#REF!</definedName>
    <definedName name="A_ALL_SECTIONS_EQTY_200004992">#REF!,#REF!,#REF!,#REF!,#REF!,#REF!,#REF!,#REF!,#REF!,#REF!,#REF!,#REF!,#REF!</definedName>
    <definedName name="A_ALL_SECTIONS_EQTY_200011471">#REF!,#REF!,#REF!,#REF!,#REF!,#REF!,#REF!,#REF!,#REF!,#REF!</definedName>
    <definedName name="A_ALL_SECTIONS_ISSR_208005522">#REF!,#REF!,#REF!,#REF!,#REF!,#REF!,#REF!,#REF!,#REF!,#REF!,#REF!,#REF!,#REF!,#REF!,#REF!,#REF!,#REF!,#REF!,#REF!,#REF!,#REF!,#REF!,#REF!,#REF!</definedName>
    <definedName name="A_ALL_SECTIONS_ISSR_208008758">#REF!,#REF!,#REF!,#REF!,#REF!,#REF!,#REF!,#REF!,#REF!,#REF!,#REF!,#REF!,#REF!,#REF!,#REF!,#REF!,#REF!,#REF!,#REF!,#REF!</definedName>
    <definedName name="A_ALL_WBC.AX">#REF!</definedName>
    <definedName name="A_ALL_WBC.AX_">#REF!</definedName>
    <definedName name="A_CURRENCY_EQTY_200011471_PRI">#REF!</definedName>
    <definedName name="A_CURRENCY_EQTY_200011471_PUB">#REF!</definedName>
    <definedName name="A_CURRENCY_EQTY_200011471_REP">#REF!</definedName>
    <definedName name="A_CURRENCY_ISSR_208008758_REP">#REF!</definedName>
    <definedName name="A_ENTITY_DATA_EQTY_200011471">#REF!</definedName>
    <definedName name="A_ENTITY_DATA_ISSR_208008758">#REF!</definedName>
    <definedName name="A_KEYWORD_EQTY_200011471_ANZ_CONVICTION">#REF!</definedName>
    <definedName name="A_KEYWORD_EQTY_200011471_ANZ_LIST">#REF!</definedName>
    <definedName name="A_KEYWORD_EQTY_200011471_ASSET_SALES_GAIN_LOSS">#REF!</definedName>
    <definedName name="A_KEYWORD_EQTY_200011471_AVG_ORD_SHOLDERS_EQUITY">#REF!</definedName>
    <definedName name="A_KEYWORD_EQTY_200011471_AVG_PREF_CAPITAL">#REF!</definedName>
    <definedName name="A_KEYWORD_EQTY_200011471_B_BS_L_GSEQUITY">#REF!</definedName>
    <definedName name="A_KEYWORD_EQTY_200011471_B_CAMELOT_BETA">#REF!</definedName>
    <definedName name="A_KEYWORD_EQTY_200011471_B_CAMELOT_CAGR_DPS">#REF!</definedName>
    <definedName name="A_KEYWORD_EQTY_200011471_B_CAMELOT_PB">#REF!</definedName>
    <definedName name="A_KEYWORD_EQTY_200011471_B_CAMELOT_PE">#REF!</definedName>
    <definedName name="A_KEYWORD_EQTY_200011471_B_FORECASTRANGE">#REF!</definedName>
    <definedName name="A_KEYWORD_EQTY_200011471_B_FORECASTYRS">#REF!</definedName>
    <definedName name="A_KEYWORD_EQTY_200011471_B_PL_GSBVPS">#REF!</definedName>
    <definedName name="A_KEYWORD_EQTY_200011471_B_PL_GSEPS">#REF!</definedName>
    <definedName name="A_KEYWORD_EQTY_200011471_B_PL_GSINCOME">#REF!</definedName>
    <definedName name="A_KEYWORD_EQTY_200011471_B_PL_PTASSOC">#REF!</definedName>
    <definedName name="A_KEYWORD_EQTY_200011471_B_RIM_BETA">#REF!</definedName>
    <definedName name="A_KEYWORD_EQTY_200011471_B_RIM_COE">#REF!</definedName>
    <definedName name="A_KEYWORD_EQTY_200011471_B_RIM_PB">#REF!</definedName>
    <definedName name="A_KEYWORD_EQTY_200011471_B_RIM_PE">#REF!</definedName>
    <definedName name="A_KEYWORD_EQTY_200011471_BASE_CASE_VAL_DCF">#REF!</definedName>
    <definedName name="A_KEYWORD_EQTY_200011471_BENEFITS_TAX_LOSSES">#REF!</definedName>
    <definedName name="A_KEYWORD_EQTY_200011471_BETA_ANALYST">#REF!</definedName>
    <definedName name="A_KEYWORD_EQTY_200011471_BVPS">#REF!</definedName>
    <definedName name="A_KEYWORD_EQTY_200011471_BVPS_PUB">#REF!</definedName>
    <definedName name="A_KEYWORD_EQTY_200011471_CASH_EARNINGS_COMPANY">#REF!</definedName>
    <definedName name="A_KEYWORD_EQTY_200011471_CATALYST1_DATE">#REF!</definedName>
    <definedName name="A_KEYWORD_EQTY_200011471_CATALYST1_EVENT">#REF!</definedName>
    <definedName name="A_KEYWORD_EQTY_200011471_CATALYST2_DATE">#REF!</definedName>
    <definedName name="A_KEYWORD_EQTY_200011471_CATALYST2_EVENT">#REF!</definedName>
    <definedName name="A_KEYWORD_EQTY_200011471_CATALYST3_DATE">#REF!</definedName>
    <definedName name="A_KEYWORD_EQTY_200011471_CATALYST3_EVENT">#REF!</definedName>
    <definedName name="A_KEYWORD_EQTY_200011471_CATALYST4_DATE">#REF!</definedName>
    <definedName name="A_KEYWORD_EQTY_200011471_CATALYST4_EVENT">#REF!</definedName>
    <definedName name="A_KEYWORD_EQTY_200011471_CATALYST5_DATE">#REF!</definedName>
    <definedName name="A_KEYWORD_EQTY_200011471_CATALYST5_EVENT">#REF!</definedName>
    <definedName name="A_KEYWORD_EQTY_200011471_CEEE_NDEBT">#REF!</definedName>
    <definedName name="A_KEYWORD_EQTY_200011471_COE">#REF!</definedName>
    <definedName name="A_KEYWORD_EQTY_200011471_COMMON_DIV_PAID">#REF!</definedName>
    <definedName name="A_KEYWORD_EQTY_200011471_CONVERTIBLE_NOTES">#REF!</definedName>
    <definedName name="A_KEYWORD_EQTY_200011471_COST_OF_EQUITY_DCF">#REF!</definedName>
    <definedName name="A_KEYWORD_EQTY_200011471_CUM_PRESENT_VAL_CASH_FLOWS_DCF">#REF!</definedName>
    <definedName name="A_KEYWORD_EQTY_200011471_CURRENCY_ISO">#REF!</definedName>
    <definedName name="A_KEYWORD_EQTY_200011471_DCF_CASH_FLOW">#REF!</definedName>
    <definedName name="A_KEYWORD_EQTY_200011471_DEBT_EQUITY">#REF!</definedName>
    <definedName name="A_KEYWORD_EQTY_200011471_DEBT_RISK_MARGIN_DCF">#REF!</definedName>
    <definedName name="A_KEYWORD_EQTY_200011471_DILUTE_NI_IMPAC">#REF!</definedName>
    <definedName name="A_KEYWORD_EQTY_200011471_DILUTE_SHARES">#REF!</definedName>
    <definedName name="A_KEYWORD_EQTY_200011471_DISCOUNT_FACTOR_DCF">#REF!</definedName>
    <definedName name="A_KEYWORD_EQTY_200011471_DPS">#REF!</definedName>
    <definedName name="A_KEYWORD_EQTY_200011471_DPS_PUB">#REF!</definedName>
    <definedName name="A_KEYWORD_EQTY_200011471_DPS_SPECIAL_PUB">#REF!</definedName>
    <definedName name="A_KEYWORD_EQTY_200011471_DRP_DISCOUNT">#REF!</definedName>
    <definedName name="A_KEYWORD_EQTY_200011471_DRP_PARTICIPATION">#REF!</definedName>
    <definedName name="A_KEYWORD_EQTY_200011471_EBIT_PUB">#REF!</definedName>
    <definedName name="A_KEYWORD_EQTY_200011471_EBITDA_PUB">#REF!</definedName>
    <definedName name="A_KEYWORD_EQTY_200011471_EFF_INT_RATE_IMPACT_POST_TAX">#REF!</definedName>
    <definedName name="A_KEYWORD_EQTY_200011471_EFPO">#REF!</definedName>
    <definedName name="A_KEYWORD_EQTY_200011471_EFPOWA">#REF!</definedName>
    <definedName name="A_KEYWORD_EQTY_200011471_EPS">#REF!</definedName>
    <definedName name="A_KEYWORD_EQTY_200011471_EPS_CONS_PUB">#REF!</definedName>
    <definedName name="A_KEYWORD_EQTY_200011471_EPS_FUL_DIL">#REF!</definedName>
    <definedName name="A_KEYWORD_EQTY_200011471_EPS_POST_BASIC">#REF!</definedName>
    <definedName name="A_KEYWORD_EQTY_200011471_EPS_PRE_GWILL">#REF!</definedName>
    <definedName name="A_KEYWORD_EQTY_200011471_EPS_PUB">#REF!</definedName>
    <definedName name="A_KEYWORD_EQTY_200011471_EPS_REPORTED">#REF!</definedName>
    <definedName name="A_KEYWORD_EQTY_200011471_EQ_PUB">#REF!</definedName>
    <definedName name="A_KEYWORD_EQTY_200011471_EQUITY_VALUE_DCF">#REF!</definedName>
    <definedName name="A_KEYWORD_EQTY_200011471_EV_ADJ_PUB">#REF!</definedName>
    <definedName name="A_KEYWORD_EQTY_200011471_FIN_INSTRUMENT_HEDGE_POST_TAX">#REF!</definedName>
    <definedName name="A_KEYWORD_EQTY_200011471_FINAL_DIV_AMOUNT">#REF!</definedName>
    <definedName name="A_KEYWORD_EQTY_200011471_FINAL_DIV_EXDATE">#REF!</definedName>
    <definedName name="A_KEYWORD_EQTY_200011471_FINAL_DIV_FRANK">#REF!</definedName>
    <definedName name="A_KEYWORD_EQTY_200011471_FINAL_DIV_TAXRATE">#REF!</definedName>
    <definedName name="A_KEYWORD_EQTY_200011471_FOREIGN_EXCHANGE_GAIN_LOSS">#REF!</definedName>
    <definedName name="A_KEYWORD_EQTY_200011471_FOREIGN_HOLDNG">#REF!</definedName>
    <definedName name="A_KEYWORD_EQTY_200011471_FRANK_TAX_RATE">#REF!</definedName>
    <definedName name="A_KEYWORD_EQTY_200011471_FRANKING">#REF!</definedName>
    <definedName name="A_KEYWORD_EQTY_200011471_FRANKING_ANZPUB">#REF!</definedName>
    <definedName name="A_KEYWORD_EQTY_200011471_FRANKING_SPECIAL_ANZPUB">#REF!</definedName>
    <definedName name="A_KEYWORD_EQTY_200011471_FREE_FLOAT">#REF!</definedName>
    <definedName name="A_KEYWORD_EQTY_200011471_FULLY_DIL_EPS">#REF!</definedName>
    <definedName name="A_KEYWORD_EQTY_200011471_GRTH_CAGR_TOT_ASSET_PROJECTED">#REF!</definedName>
    <definedName name="A_KEYWORD_EQTY_200011471_GRTH_CAGR_TOT_ASSET_TERMINAL">#REF!</definedName>
    <definedName name="A_KEYWORD_EQTY_200011471_GWILL_ASSET_IMP_CHG_POST_TAX">#REF!</definedName>
    <definedName name="A_KEYWORD_EQTY_200011471_IMP_CREDITS_PER_SHARE_DCF">#REF!</definedName>
    <definedName name="A_KEYWORD_EQTY_200011471_INC_MINORITY">#REF!</definedName>
    <definedName name="A_KEYWORD_EQTY_200011471_INCTAX_PL_ON_AB">#REF!</definedName>
    <definedName name="A_KEYWORD_EQTY_200011471_INCTAX_PL_POST_AB">#REF!</definedName>
    <definedName name="A_KEYWORD_EQTY_200011471_INT_DIV_AMOUNT">#REF!</definedName>
    <definedName name="A_KEYWORD_EQTY_200011471_INT_DIV_EXDATE">#REF!</definedName>
    <definedName name="A_KEYWORD_EQTY_200011471_INT_DIV_FRANK">#REF!</definedName>
    <definedName name="A_KEYWORD_EQTY_200011471_INT_DIV_TAXRATE">#REF!</definedName>
    <definedName name="A_KEYWORD_EQTY_200011471_Interim_Type">#REF!</definedName>
    <definedName name="A_KEYWORD_EQTY_200011471_INTRINSIC_PER_SHARE_VALUE_DCF">#REF!</definedName>
    <definedName name="A_KEYWORD_EQTY_200011471_LEGAL_RATING">#REF!</definedName>
    <definedName name="A_KEYWORD_EQTY_200011471_MARGIN_TAX_RATE">#REF!</definedName>
    <definedName name="A_KEYWORD_EQTY_200011471_MARKET_VALUE_OF_INVESTMENTS_DCF">#REF!</definedName>
    <definedName name="A_KEYWORD_EQTY_200011471_MINOR_EQUITY">#REF!</definedName>
    <definedName name="A_KEYWORD_EQTY_200011471_MINOR_NON_EQUITY">#REF!</definedName>
    <definedName name="A_KEYWORD_EQTY_200011471_MKT_EQ_RISK_PREM">#REF!</definedName>
    <definedName name="A_KEYWORD_EQTY_200011471_NET_DEBT_EX_LEASES_PUB">#REF!</definedName>
    <definedName name="A_KEYWORD_EQTY_200011471_NET_DEBT_NET_CASH_DCF">#REF!</definedName>
    <definedName name="A_KEYWORD_EQTY_200011471_NET_DEBT_PUB">#REF!</definedName>
    <definedName name="A_KEYWORD_EQTY_200011471_NET_EARNING">#REF!</definedName>
    <definedName name="A_KEYWORD_EQTY_200011471_NET_INC">#REF!</definedName>
    <definedName name="A_KEYWORD_EQTY_200011471_NET_PROFIT">#REF!</definedName>
    <definedName name="A_KEYWORD_EQTY_200011471_NET_TANGIBLE_ASSETS_ADJUSTED_NZ">#REF!</definedName>
    <definedName name="A_KEYWORD_EQTY_200011471_NI_CONS">#REF!</definedName>
    <definedName name="A_KEYWORD_EQTY_200011471_NI_PRE_PREF">#REF!</definedName>
    <definedName name="A_KEYWORD_EQTY_200011471_NI_PUB">#REF!</definedName>
    <definedName name="A_KEYWORD_EQTY_200011471_NI_REPT_PUB">#REF!</definedName>
    <definedName name="A_KEYWORD_EQTY_200011471_NON_OP_ADD">#REF!</definedName>
    <definedName name="A_KEYWORD_EQTY_200011471_NOPAT">#REF!</definedName>
    <definedName name="A_KEYWORD_EQTY_200011471_NOT_IN_USE">#REF!</definedName>
    <definedName name="A_KEYWORD_EQTY_200011471_NTA_PER_SHARE">#REF!</definedName>
    <definedName name="A_KEYWORD_EQTY_200011471_NUM_SH">#REF!</definedName>
    <definedName name="A_KEYWORD_EQTY_200011471_OPPL_ATAX_POST_AB">#REF!</definedName>
    <definedName name="A_KEYWORD_EQTY_200011471_OPTIONS">#REF!</definedName>
    <definedName name="A_KEYWORD_EQTY_200011471_OPTIONS_IN_MONEY">#REF!</definedName>
    <definedName name="A_KEYWORD_EQTY_200011471_OTH_ASSET_IMPAIR_CHG_POST_TAX">#REF!</definedName>
    <definedName name="A_KEYWORD_EQTY_200011471_OTHER_ABNORMAL_ITEMS">#REF!</definedName>
    <definedName name="A_KEYWORD_EQTY_200011471_OTHER_CAPITAL">#REF!</definedName>
    <definedName name="A_KEYWORD_EQTY_200011471_OTHER_IFRS_ADJUST_POST_TAX">#REF!</definedName>
    <definedName name="A_KEYWORD_EQTY_200011471_PARTLY_PAID_SHARES">#REF!</definedName>
    <definedName name="A_KEYWORD_EQTY_200011471_PERPETUITY_GROWTH_RATE_DCF">#REF!</definedName>
    <definedName name="A_KEYWORD_EQTY_200011471_PREF_DIV">#REF!</definedName>
    <definedName name="A_KEYWORD_EQTY_200011471_PREFERENCE_SHARES">#REF!</definedName>
    <definedName name="A_KEYWORD_EQTY_200011471_PRESENT_VALUE_OF_CASH_FLOW_DCF">#REF!</definedName>
    <definedName name="A_KEYWORD_EQTY_200011471_PRI_TARG_METH">#REF!</definedName>
    <definedName name="A_KEYWORD_EQTY_200011471_PRI_TARG_MULT">#REF!</definedName>
    <definedName name="A_KEYWORD_EQTY_200011471_PRICE_CURRENCY_ISO">#REF!</definedName>
    <definedName name="A_KEYWORD_EQTY_200011471_PROF_ADJUST_EPS">#REF!</definedName>
    <definedName name="A_KEYWORD_EQTY_200011471_PROF_AT">#REF!</definedName>
    <definedName name="A_KEYWORD_EQTY_200011471_PROV_INC_TAX">#REF!</definedName>
    <definedName name="A_KEYWORD_EQTY_200011471_PTP_PUB">#REF!</definedName>
    <definedName name="A_KEYWORD_EQTY_200011471_PUB_CURRENCY_ISO">#REF!</definedName>
    <definedName name="A_KEYWORD_EQTY_200011471_RESTRUC_COSTS">#REF!</definedName>
    <definedName name="A_KEYWORD_EQTY_200011471_REVS_PUB">#REF!</definedName>
    <definedName name="A_KEYWORD_EQTY_200011471_RISK_ADJ_OPTION_VALUE_DCF">#REF!</definedName>
    <definedName name="A_KEYWORD_EQTY_200011471_RISK_FR_RATE">#REF!</definedName>
    <definedName name="A_KEYWORD_EQTY_200011471_RISK_TO_EARNINGS">#REF!</definedName>
    <definedName name="A_KEYWORD_EQTY_200011471_RISK_WEIGHTED_ASSET_APRA">#REF!</definedName>
    <definedName name="A_KEYWORD_EQTY_200011471_ROAA_PROJECTED">#REF!</definedName>
    <definedName name="A_KEYWORD_EQTY_200011471_ROCE_ANZ">#REF!</definedName>
    <definedName name="A_KEYWORD_EQTY_200011471_ROE_TERMINAL">#REF!</definedName>
    <definedName name="A_KEYWORD_EQTY_200011471_Security_Name">#REF!</definedName>
    <definedName name="A_KEYWORD_EQTY_200011471_SH">#REF!</definedName>
    <definedName name="A_KEYWORD_EQTY_200011471_SHOLDERS_EQUITY_MBRS">#REF!</definedName>
    <definedName name="A_KEYWORD_EQTY_200011471_STD_FREE_OP_CASH_FLOW_DCF">#REF!</definedName>
    <definedName name="A_KEYWORD_EQTY_200011471_TANG_BVPS">#REF!</definedName>
    <definedName name="A_KEYWORD_EQTY_200011471_TARGET_PRICE">#REF!</definedName>
    <definedName name="A_KEYWORD_EQTY_200011471_TARGET_PRICE_FUNDAMENTAL">#REF!</definedName>
    <definedName name="A_KEYWORD_EQTY_200011471_TARGET_PRICE_MA">#REF!</definedName>
    <definedName name="A_KEYWORD_EQTY_200011471_TAX_EXC">#REF!</definedName>
    <definedName name="A_KEYWORD_EQTY_200011471_TAX_RATE_DCF">#REF!</definedName>
    <definedName name="A_KEYWORD_EQTY_200011471_TBVPS_LAST">#REF!</definedName>
    <definedName name="A_KEYWORD_EQTY_200011471_TERMINAL_YEAR_DCF">#REF!</definedName>
    <definedName name="A_KEYWORD_EQTY_200011471_Ticker">#REF!</definedName>
    <definedName name="A_KEYWORD_EQTY_200011471_TOTAL_ANNUAL_DIV_AMOUNT">#REF!</definedName>
    <definedName name="A_KEYWORD_EQTY_200011471_TOTAL_CAPITAL_EFPO">#REF!</definedName>
    <definedName name="A_KEYWORD_EQTY_200011471_TOTAL_CAPITAL_EFPOWA">#REF!</definedName>
    <definedName name="A_KEYWORD_EQTY_200011471_TOTAL_IFRS_ADJUST_POST_TAX">#REF!</definedName>
    <definedName name="A_KEYWORD_EQTY_200011471_TP_PERIOD">#REF!</definedName>
    <definedName name="A_KEYWORD_EQTY_200011471_VALUATION_YEAR">#REF!</definedName>
    <definedName name="A_KEYWORD_EQTY_200011471_WACC_DCF">#REF!</definedName>
    <definedName name="A_KEYWORD_EQTY_200011471_YEAR_END_CAPITAL_EVA">#REF!</definedName>
    <definedName name="A_KEYWORD_ISSR_208008758_ACC_END_DATE">#REF!</definedName>
    <definedName name="A_KEYWORD_ISSR_208008758_ACC_PAY_GQ">#REF!</definedName>
    <definedName name="A_KEYWORD_ISSR_208008758_ACCEPTANCES_ASSETS">#REF!</definedName>
    <definedName name="A_KEYWORD_ISSR_208008758_ACCEPTANCES_LIABS">#REF!</definedName>
    <definedName name="A_KEYWORD_ISSR_208008758_ACCRUAL">#REF!</definedName>
    <definedName name="A_KEYWORD_ISSR_208008758_ACCRUED_EXP_OTH">#REF!</definedName>
    <definedName name="A_KEYWORD_ISSR_208008758_AM_FEE">#REF!</definedName>
    <definedName name="A_KEYWORD_ISSR_208008758_AM_MARGIN">#REF!</definedName>
    <definedName name="A_KEYWORD_ISSR_208008758_AM_PTP">#REF!</definedName>
    <definedName name="A_KEYWORD_ISSR_208008758_AM_REVS">#REF!</definedName>
    <definedName name="A_KEYWORD_ISSR_208008758_AMB_MARGIN">#REF!</definedName>
    <definedName name="A_KEYWORD_ISSR_208008758_AMB_PTP">#REF!</definedName>
    <definedName name="A_KEYWORD_ISSR_208008758_AMB_REVS">#REF!</definedName>
    <definedName name="A_KEYWORD_ISSR_208008758_AMORT_OF_INTANGIBLES">#REF!</definedName>
    <definedName name="A_KEYWORD_ISSR_208008758_AMORT_OF_INTANGIBLES_ADJ">#REF!</definedName>
    <definedName name="A_KEYWORD_ISSR_208008758_ASIA_ASS">#REF!</definedName>
    <definedName name="A_KEYWORD_ISSR_208008758_ASIA_OP">#REF!</definedName>
    <definedName name="A_KEYWORD_ISSR_208008758_ASIA_SALES">#REF!</definedName>
    <definedName name="A_KEYWORD_ISSR_208008758_ASSET_MISC">#REF!</definedName>
    <definedName name="A_KEYWORD_ISSR_208008758_ASSOCIATE">#REF!</definedName>
    <definedName name="A_KEYWORD_ISSR_208008758_AVG_ACCEPTANCES">#REF!</definedName>
    <definedName name="A_KEYWORD_ISSR_208008758_AVG_CAPITAL_EMPLOYED_ADJ">#REF!</definedName>
    <definedName name="A_KEYWORD_ISSR_208008758_AVG_GROSS_NON_PERF_ASSETS">#REF!</definedName>
    <definedName name="A_KEYWORD_ISSR_208008758_AVG_INT_BEARING_LIABS">#REF!</definedName>
    <definedName name="A_KEYWORD_ISSR_208008758_AVG_INT_EARN_ASSETS">#REF!</definedName>
    <definedName name="A_KEYWORD_ISSR_208008758_AVG_LOANS_ADVANCES">#REF!</definedName>
    <definedName name="A_KEYWORD_ISSR_208008758_AVG_NON_INT_BEARING_LIABS">#REF!</definedName>
    <definedName name="A_KEYWORD_ISSR_208008758_AVG_OTH_PROD_ASSETS">#REF!</definedName>
    <definedName name="A_KEYWORD_ISSR_208008758_AVG_OTHER_ASSETS">#REF!</definedName>
    <definedName name="A_KEYWORD_ISSR_208008758_AVG_OTHER_LIABS">#REF!</definedName>
    <definedName name="A_KEYWORD_ISSR_208008758_AVG_PROD_INT_EARN_ASSETS">#REF!</definedName>
    <definedName name="A_KEYWORD_ISSR_208008758_AVG_PROV_BAD_DEBT">#REF!</definedName>
    <definedName name="A_KEYWORD_ISSR_208008758_AVG_TOTAL_ASSETS">#REF!</definedName>
    <definedName name="A_KEYWORD_ISSR_208008758_B_BS_A_DEBTTOT">#REF!</definedName>
    <definedName name="A_KEYWORD_ISSR_208008758_B_BS_A_LNBNK">#REF!</definedName>
    <definedName name="A_KEYWORD_ISSR_208008758_B_BS_A_NETLOANS">#REF!</definedName>
    <definedName name="A_KEYWORD_ISSR_208008758_B_BS_A_OTHINT1">#REF!</definedName>
    <definedName name="A_KEYWORD_ISSR_208008758_B_BS_A_PERIOD">#REF!</definedName>
    <definedName name="A_KEYWORD_ISSR_208008758_B_BS_L_BANKDEP">#REF!</definedName>
    <definedName name="A_KEYWORD_ISSR_208008758_B_BS_L_CUSTDEP">#REF!</definedName>
    <definedName name="A_KEYWORD_ISSR_208008758_B_BS_L_GSTANGEQ">#REF!</definedName>
    <definedName name="A_KEYWORD_ISSR_208008758_B_BS_L_PERIOD">#REF!</definedName>
    <definedName name="A_KEYWORD_ISSR_208008758_B_CA_BISRATIO">#REF!</definedName>
    <definedName name="A_KEYWORD_ISSR_208008758_B_CA_CAPBASE">#REF!</definedName>
    <definedName name="A_KEYWORD_ISSR_208008758_B_CA_CORECAP">#REF!</definedName>
    <definedName name="A_KEYWORD_ISSR_208008758_B_CA_PREFCAP">#REF!</definedName>
    <definedName name="A_KEYWORD_ISSR_208008758_B_CA_RWA">#REF!</definedName>
    <definedName name="A_KEYWORD_ISSR_208008758_B_CA_T1CAP">#REF!</definedName>
    <definedName name="A_KEYWORD_ISSR_208008758_B_CA_T1RATIO">#REF!</definedName>
    <definedName name="A_KEYWORD_ISSR_208008758_B_CA_T2CAP">#REF!</definedName>
    <definedName name="A_KEYWORD_ISSR_208008758_B_CA_T2RATIO">#REF!</definedName>
    <definedName name="A_KEYWORD_ISSR_208008758_B_CAMELOT_SUST_ROE">#REF!</definedName>
    <definedName name="A_KEYWORD_ISSR_208008758_B_CORP_OTH">#REF!</definedName>
    <definedName name="A_KEYWORD_ISSR_208008758_B_DE_DEMAND">#REF!</definedName>
    <definedName name="A_KEYWORD_ISSR_208008758_B_DE_OTHERS">#REF!</definedName>
    <definedName name="A_KEYWORD_ISSR_208008758_B_DE_TIME">#REF!</definedName>
    <definedName name="A_KEYWORD_ISSR_208008758_B_DE_TOTDEPOSIT">#REF!</definedName>
    <definedName name="A_KEYWORD_ISSR_208008758_B_GOVERNMT">#REF!</definedName>
    <definedName name="A_KEYWORD_ISSR_208008758_B_GOVERNMT_SLD">#REF!</definedName>
    <definedName name="A_KEYWORD_ISSR_208008758_B_IH_BKVALUE">#REF!</definedName>
    <definedName name="A_KEYWORD_ISSR_208008758_B_IH_MKTVALUE">#REF!</definedName>
    <definedName name="A_KEYWORD_ISSR_208008758_B_IH_PTAXVALUE">#REF!</definedName>
    <definedName name="A_KEYWORD_ISSR_208008758_B_IH_TAX">#REF!</definedName>
    <definedName name="A_KEYWORD_ISSR_208008758_B_IH_UNREALISE">#REF!</definedName>
    <definedName name="A_KEYWORD_ISSR_208008758_B_LB_COMMCL">#REF!</definedName>
    <definedName name="A_KEYWORD_ISSR_208008758_B_LB_CONSTRUCT">#REF!</definedName>
    <definedName name="A_KEYWORD_ISSR_208008758_B_LB_FINANCL">#REF!</definedName>
    <definedName name="A_KEYWORD_ISSR_208008758_B_LB_FINLEASE">#REF!</definedName>
    <definedName name="A_KEYWORD_ISSR_208008758_B_LB_GOVERNMT">#REF!</definedName>
    <definedName name="A_KEYWORD_ISSR_208008758_B_LB_GROSSLOANS">#REF!</definedName>
    <definedName name="A_KEYWORD_ISSR_208008758_B_LB_MORTG">#REF!</definedName>
    <definedName name="A_KEYWORD_ISSR_208008758_B_LB_OTHER">#REF!</definedName>
    <definedName name="A_KEYWORD_ISSR_208008758_B_LB_OTHLEND">#REF!</definedName>
    <definedName name="A_KEYWORD_ISSR_208008758_B_LB_OTHSECURE">#REF!</definedName>
    <definedName name="A_KEYWORD_ISSR_208008758_B_LB_OVSEASLEND">#REF!</definedName>
    <definedName name="A_KEYWORD_ISSR_208008758_B_LB_PERSON">#REF!</definedName>
    <definedName name="A_KEYWORD_ISSR_208008758_B_LB_TOTCORP">#REF!</definedName>
    <definedName name="A_KEYWORD_ISSR_208008758_B_LB_TOTPERSNL">#REF!</definedName>
    <definedName name="A_KEYWORD_ISSR_208008758_B_LT_DIV_PAYOUT">#REF!</definedName>
    <definedName name="A_KEYWORD_ISSR_208008758_B_MA_REPCOSTLIB">#REF!</definedName>
    <definedName name="A_KEYWORD_ISSR_208008758_B_MA_REPGYLD">#REF!</definedName>
    <definedName name="A_KEYWORD_ISSR_208008758_B_MA_REPIMPSPD">#REF!</definedName>
    <definedName name="A_KEYWORD_ISSR_208008758_B_MA_REPINTAST">#REF!</definedName>
    <definedName name="A_KEYWORD_ISSR_208008758_B_MA_REPINTLIB">#REF!</definedName>
    <definedName name="A_KEYWORD_ISSR_208008758_B_MA_REPNIM">#REF!</definedName>
    <definedName name="A_KEYWORD_ISSR_208008758_B_MORTG">#REF!</definedName>
    <definedName name="A_KEYWORD_ISSR_208008758_B_NPL_PROBLN">#REF!</definedName>
    <definedName name="A_KEYWORD_ISSR_208008758_B_NPL_TOTNPL">#REF!</definedName>
    <definedName name="A_KEYWORD_ISSR_208008758_B_PL_LOANPRV">#REF!</definedName>
    <definedName name="A_KEYWORD_ISSR_208008758_B_PL_NETINTINC">#REF!</definedName>
    <definedName name="A_KEYWORD_ISSR_208008758_B_PV_GLLRCUST">#REF!</definedName>
    <definedName name="A_KEYWORD_ISSR_208008758_B_PV_SLLRCUST">#REF!</definedName>
    <definedName name="A_KEYWORD_ISSR_208008758_B_PV_TOTLLRCUST">#REF!</definedName>
    <definedName name="A_KEYWORD_ISSR_208008758_BAL_MINO_INT">#REF!</definedName>
    <definedName name="A_KEYWORD_ISSR_208008758_BAL_OF_FRANK_CREDITS">#REF!</definedName>
    <definedName name="A_KEYWORD_ISSR_208008758_BEARING_DEBT">#REF!</definedName>
    <definedName name="A_KEYWORD_ISSR_208008758_BONDS_NOTES_SUBORD_DEBT">#REF!</definedName>
    <definedName name="A_KEYWORD_ISSR_208008758_BR_AUM">#REF!</definedName>
    <definedName name="A_KEYWORD_ISSR_208008758_BR_DEP">#REF!</definedName>
    <definedName name="A_KEYWORD_ISSR_208008758_BR_OTH_EQ">#REF!</definedName>
    <definedName name="A_KEYWORD_ISSR_208008758_BRANCHES">#REF!</definedName>
    <definedName name="A_KEYWORD_ISSR_208008758_BROK_CLEAR_EXP">#REF!</definedName>
    <definedName name="A_KEYWORD_ISSR_208008758_BROKER_PAYBLS">#REF!</definedName>
    <definedName name="A_KEYWORD_ISSR_208008758_BROKER_RECVBLS">#REF!</definedName>
    <definedName name="A_KEYWORD_ISSR_208008758_BUS_DEV_EXP">#REF!</definedName>
    <definedName name="A_KEYWORD_ISSR_208008758_CAP_LEASES">#REF!</definedName>
    <definedName name="A_KEYWORD_ISSR_208008758_CAP_MARGIN">#REF!</definedName>
    <definedName name="A_KEYWORD_ISSR_208008758_CAP_PTP">#REF!</definedName>
    <definedName name="A_KEYWORD_ISSR_208008758_CAP_REVS">#REF!</definedName>
    <definedName name="A_KEYWORD_ISSR_208008758_CASH_EQ">#REF!</definedName>
    <definedName name="A_KEYWORD_ISSR_208008758_CASH_SECUR">#REF!</definedName>
    <definedName name="A_KEYWORD_ISSR_208008758_CC_FEE">#REF!</definedName>
    <definedName name="A_KEYWORD_ISSR_208008758_CC_MARGIN">#REF!</definedName>
    <definedName name="A_KEYWORD_ISSR_208008758_CC_PTP">#REF!</definedName>
    <definedName name="A_KEYWORD_ISSR_208008758_CC_REVS">#REF!</definedName>
    <definedName name="A_KEYWORD_ISSR_208008758_CC_REVS_BO">#REF!</definedName>
    <definedName name="A_KEYWORD_ISSR_208008758_CD_MONMRKT">#REF!</definedName>
    <definedName name="A_KEYWORD_ISSR_208008758_COGS_PCT_ROW">#REF!</definedName>
    <definedName name="A_KEYWORD_ISSR_208008758_COGS_PCT_US">#REF!</definedName>
    <definedName name="A_KEYWORD_ISSR_208008758_COMMDTY_VAR">#REF!</definedName>
    <definedName name="A_KEYWORD_ISSR_208008758_COMMISNS">#REF!</definedName>
    <definedName name="A_KEYWORD_ISSR_208008758_COMMITMENTS">#REF!</definedName>
    <definedName name="A_KEYWORD_ISSR_208008758_CONTINGENCIES">#REF!</definedName>
    <definedName name="A_KEYWORD_ISSR_208008758_CORP_DEBT_SLD">#REF!</definedName>
    <definedName name="A_KEYWORD_ISSR_208008758_CORP_EQ_SLD">#REF!</definedName>
    <definedName name="A_KEYWORD_ISSR_208008758_COST_OF_DEBT_DCF">#REF!</definedName>
    <definedName name="A_KEYWORD_ISSR_208008758_CP_STDEBT_SLD">#REF!</definedName>
    <definedName name="A_KEYWORD_ISSR_208008758_CURRENCY_ISO">#REF!</definedName>
    <definedName name="A_KEYWORD_ISSR_208008758_CURRENCY_VAR">#REF!</definedName>
    <definedName name="A_KEYWORD_ISSR_208008758_CUST_PAYBLS">#REF!</definedName>
    <definedName name="A_KEYWORD_ISSR_208008758_CUST_RECVBLS">#REF!</definedName>
    <definedName name="A_KEYWORD_ISSR_208008758_DEBT_SECUR">#REF!</definedName>
    <definedName name="A_KEYWORD_ISSR_208008758_DEBT_TO_EQUITY_MKT_VALUES_DCF">#REF!</definedName>
    <definedName name="A_KEYWORD_ISSR_208008758_DEFINED_BENEFIT_OBLIGATION">#REF!</definedName>
    <definedName name="A_KEYWORD_ISSR_208008758_DEFINED_BENEFIT_SURPLUS">#REF!</definedName>
    <definedName name="A_KEYWORD_ISSR_208008758_DEPR_ROU_ASSETS">#REF!</definedName>
    <definedName name="A_KEYWORD_ISSR_208008758_DEPREC">#REF!</definedName>
    <definedName name="A_KEYWORD_ISSR_208008758_DEVELOPMENT_VENTURES">#REF!</definedName>
    <definedName name="A_KEYWORD_ISSR_208008758_DIV_PAID">#REF!</definedName>
    <definedName name="A_KEYWORD_ISSR_208008758_DIVERS_EFFECT">#REF!</definedName>
    <definedName name="A_KEYWORD_ISSR_208008758_DIVID_INC">#REF!</definedName>
    <definedName name="A_KEYWORD_ISSR_208008758_DOM_ASS">#REF!</definedName>
    <definedName name="A_KEYWORD_ISSR_208008758_DOM_OP">#REF!</definedName>
    <definedName name="A_KEYWORD_ISSR_208008758_DOM_SALES">#REF!</definedName>
    <definedName name="A_KEYWORD_ISSR_208008758_EBIT_UNDERLYING_PRE_GWILL">#REF!</definedName>
    <definedName name="A_KEYWORD_ISSR_208008758_EFFECT_INT_RATE_IMPACT_PRE_TAX">#REF!</definedName>
    <definedName name="A_KEYWORD_ISSR_208008758_EMER_ASS">#REF!</definedName>
    <definedName name="A_KEYWORD_ISSR_208008758_EMER_OP">#REF!</definedName>
    <definedName name="A_KEYWORD_ISSR_208008758_EMER_SALES">#REF!</definedName>
    <definedName name="A_KEYWORD_ISSR_208008758_EMPLOYEES">#REF!</definedName>
    <definedName name="A_KEYWORD_ISSR_208008758_EQ">#REF!</definedName>
    <definedName name="A_KEYWORD_ISSR_208008758_EQTY_ISS_REVS_BO">#REF!</definedName>
    <definedName name="A_KEYWORD_ISSR_208008758_EQTY_REVS_BO">#REF!</definedName>
    <definedName name="A_KEYWORD_ISSR_208008758_EQTY_VAR">#REF!</definedName>
    <definedName name="A_KEYWORD_ISSR_208008758_EQUIP_COSTS">#REF!</definedName>
    <definedName name="A_KEYWORD_ISSR_208008758_EUR_ASS">#REF!</definedName>
    <definedName name="A_KEYWORD_ISSR_208008758_EURO_OP">#REF!</definedName>
    <definedName name="A_KEYWORD_ISSR_208008758_EURO_SALES">#REF!</definedName>
    <definedName name="A_KEYWORD_ISSR_208008758_EXP_OIL_DERIV_NGLS_PLASTICS">#REF!</definedName>
    <definedName name="A_KEYWORD_ISSR_208008758_EXP_OIL_PETRO_FUEL">#REF!</definedName>
    <definedName name="A_KEYWORD_ISSR_208008758_FICC_ISS_REVS_BO">#REF!</definedName>
    <definedName name="A_KEYWORD_ISSR_208008758_FICC_REVS_BO">#REF!</definedName>
    <definedName name="A_KEYWORD_ISSR_208008758_FIN_ADVISORS">#REF!</definedName>
    <definedName name="A_KEYWORD_ISSR_208008758_FIN_INSTR_HEDGE_CURR_LIABILITY">#REF!</definedName>
    <definedName name="A_KEYWORD_ISSR_208008758_FIN_INSTRUMENT_HEDGE_PRE_TAX">#REF!</definedName>
    <definedName name="A_KEYWORD_ISSR_208008758_FIN_TRANS_INC">#REF!</definedName>
    <definedName name="A_KEYWORD_ISSR_208008758_FINANCE_SERVICES_INCOME">#REF!</definedName>
    <definedName name="A_KEYWORD_ISSR_208008758_FIX_ASS_INV">#REF!</definedName>
    <definedName name="A_KEYWORD_ISSR_208008758_FLOATING_PCT_LOCAL_DEBT">#REF!</definedName>
    <definedName name="A_KEYWORD_ISSR_208008758_FLOATING_PCT_LOCAL_DEBT_HEDGED">#REF!</definedName>
    <definedName name="A_KEYWORD_ISSR_208008758_FOREIGN_EXCH_INCOME">#REF!</definedName>
    <definedName name="A_KEYWORD_ISSR_208008758_FX_AUD_ASSUMPTION">#REF!</definedName>
    <definedName name="A_KEYWORD_ISSR_208008758_FX_AUD_NI_SENSITIVITY">#REF!</definedName>
    <definedName name="A_KEYWORD_ISSR_208008758_FX_EUR_ASSUMPTION">#REF!</definedName>
    <definedName name="A_KEYWORD_ISSR_208008758_FX_EUR_NI_SENSITIVITY">#REF!</definedName>
    <definedName name="A_KEYWORD_ISSR_208008758_FX_USD_ASSUMPTION">#REF!</definedName>
    <definedName name="A_KEYWORD_ISSR_208008758_FX_USD_NI_SENSITIVITY">#REF!</definedName>
    <definedName name="A_KEYWORD_ISSR_208008758_GEN_INS_INC">#REF!</definedName>
    <definedName name="A_KEYWORD_ISSR_208008758_GENERAL_PROV">#REF!</definedName>
    <definedName name="A_KEYWORD_ISSR_208008758_GENERAL_PROV_DOUBTFUL">#REF!</definedName>
    <definedName name="A_KEYWORD_ISSR_208008758_GOODWILL">#REF!</definedName>
    <definedName name="A_KEYWORD_ISSR_208008758_GOODWILL_AMORT">#REF!</definedName>
    <definedName name="A_KEYWORD_ISSR_208008758_GROSS_LOANS_ADVANCES">#REF!</definedName>
    <definedName name="A_KEYWORD_ISSR_208008758_GROSS_NON_ACCRUAL">#REF!</definedName>
    <definedName name="A_KEYWORD_ISSR_208008758_GROSS_OP_PROF">#REF!</definedName>
    <definedName name="A_KEYWORD_ISSR_208008758_GWILL_ASSET_IMPAIR_CHG_PRE_TAX">#REF!</definedName>
    <definedName name="A_KEYWORD_ISSR_208008758_HYBRID_DIST_PRE_TAX">#REF!</definedName>
    <definedName name="A_KEYWORD_ISSR_208008758_IB_FEE">#REF!</definedName>
    <definedName name="A_KEYWORD_ISSR_208008758_INS_CLAIMS">#REF!</definedName>
    <definedName name="A_KEYWORD_ISSR_208008758_INT_EARN_ASSETS">#REF!</definedName>
    <definedName name="A_KEYWORD_ISSR_208008758_INT_EXP">#REF!</definedName>
    <definedName name="A_KEYWORD_ISSR_208008758_INT_INC">#REF!</definedName>
    <definedName name="A_KEYWORD_ISSR_208008758_INT_RATE_VAR">#REF!</definedName>
    <definedName name="A_KEYWORD_ISSR_208008758_INV_SECUR">#REF!</definedName>
    <definedName name="A_KEYWORD_ISSR_208008758_INVESTMENT_SECS_INCOME">#REF!</definedName>
    <definedName name="A_KEYWORD_ISSR_208008758_INVESTMENTS">#REF!</definedName>
    <definedName name="A_KEYWORD_ISSR_208008758_Issuer_Name">#REF!</definedName>
    <definedName name="A_KEYWORD_ISSR_208008758_LABOUR">#REF!</definedName>
    <definedName name="A_KEYWORD_ISSR_208008758_LATAM_ASS">#REF!</definedName>
    <definedName name="A_KEYWORD_ISSR_208008758_LATAM_OP">#REF!</definedName>
    <definedName name="A_KEYWORD_ISSR_208008758_LATAM_SALES">#REF!</definedName>
    <definedName name="A_KEYWORD_ISSR_208008758_LEASE_ADOPT">#REF!</definedName>
    <definedName name="A_KEYWORD_ISSR_208008758_LEASE_INT_CHG">#REF!</definedName>
    <definedName name="A_KEYWORD_ISSR_208008758_LEASE_PAY">#REF!</definedName>
    <definedName name="A_KEYWORD_ISSR_208008758_LEASE_PRINCIPAL_CASH">#REF!</definedName>
    <definedName name="A_KEYWORD_ISSR_208008758_LENDING_FEES">#REF!</definedName>
    <definedName name="A_KEYWORD_ISSR_208008758_LIAB_MISC">#REF!</definedName>
    <definedName name="A_KEYWORD_ISSR_208008758_LIFE_INC">#REF!</definedName>
    <definedName name="A_KEYWORD_ISSR_208008758_LIFE_POLICY_ASS">#REF!</definedName>
    <definedName name="A_KEYWORD_ISSR_208008758_LIFE_POLICY_LIABS">#REF!</definedName>
    <definedName name="A_KEYWORD_ISSR_208008758_LIFE_SHARE">#REF!</definedName>
    <definedName name="A_KEYWORD_ISSR_208008758_LIQUID_ASSETS">#REF!</definedName>
    <definedName name="A_KEYWORD_ISSR_208008758_LOAN_CAPITAL">#REF!</definedName>
    <definedName name="A_KEYWORD_ISSR_208008758_LT_DEBT">#REF!</definedName>
    <definedName name="A_KEYWORD_ISSR_208008758_LT_LEASE_LIAB">#REF!</definedName>
    <definedName name="A_KEYWORD_ISSR_208008758_MA_PROB">#REF!</definedName>
    <definedName name="A_KEYWORD_ISSR_208008758_MA_REVS_BO">#REF!</definedName>
    <definedName name="A_KEYWORD_ISSR_208008758_MINOR_EQUITY_BS">#REF!</definedName>
    <definedName name="A_KEYWORD_ISSR_208008758_MINORITIES">#REF!</definedName>
    <definedName name="A_KEYWORD_ISSR_208008758_MKT_APPREC">#REF!</definedName>
    <definedName name="A_KEYWORD_ISSR_208008758_MONEY_TRANSFER_FEES">#REF!</definedName>
    <definedName name="A_KEYWORD_ISSR_208008758_MV_ASSOCIATES">#REF!</definedName>
    <definedName name="A_KEYWORD_ISSR_208008758_NAM_ASS">#REF!</definedName>
    <definedName name="A_KEYWORD_ISSR_208008758_NAM_OP">#REF!</definedName>
    <definedName name="A_KEYWORD_ISSR_208008758_NAM_SALES">#REF!</definedName>
    <definedName name="A_KEYWORD_ISSR_208008758_NET_ASSETS">#REF!</definedName>
    <definedName name="A_KEYWORD_ISSR_208008758_NET_DEBT">#REF!</definedName>
    <definedName name="A_KEYWORD_ISSR_208008758_NET_FEE">#REF!</definedName>
    <definedName name="A_KEYWORD_ISSR_208008758_NET_FIX_ASS">#REF!</definedName>
    <definedName name="A_KEYWORD_ISSR_208008758_NET_FLOWS">#REF!</definedName>
    <definedName name="A_KEYWORD_ISSR_208008758_NET_FREE_FUNDS">#REF!</definedName>
    <definedName name="A_KEYWORD_ISSR_208008758_NET_INTANG">#REF!</definedName>
    <definedName name="A_KEYWORD_ISSR_208008758_NET_OP_PROF">#REF!</definedName>
    <definedName name="A_KEYWORD_ISSR_208008758_NET_REVS">#REF!</definedName>
    <definedName name="A_KEYWORD_ISSR_208008758_NET_TANGIBLE_ASSETS">#REF!</definedName>
    <definedName name="A_KEYWORD_ISSR_208008758_NETCHGOFF_BS">#REF!</definedName>
    <definedName name="A_KEYWORD_ISSR_208008758_NEW_SPECIFIC_PROV">#REF!</definedName>
    <definedName name="A_KEYWORD_ISSR_208008758_NON_INT_INC">#REF!</definedName>
    <definedName name="A_KEYWORD_ISSR_208008758_OCCUPANCY_COSTS">#REF!</definedName>
    <definedName name="A_KEYWORD_ISSR_208008758_OCCUPANCY_EXP">#REF!</definedName>
    <definedName name="A_KEYWORD_ISSR_208008758_OP_COST">#REF!</definedName>
    <definedName name="A_KEYWORD_ISSR_208008758_OPPL_BTAX_POST_AB">#REF!</definedName>
    <definedName name="A_KEYWORD_ISSR_208008758_ORD_SH_FUND">#REF!</definedName>
    <definedName name="A_KEYWORD_ISSR_208008758_ORD_SHARE_CAPITAL">#REF!</definedName>
    <definedName name="A_KEYWORD_ISSR_208008758_OTH_ADMIN">#REF!</definedName>
    <definedName name="A_KEYWORD_ISSR_208008758_OTH_ASS">#REF!</definedName>
    <definedName name="A_KEYWORD_ISSR_208008758_OTH_ASSET">#REF!</definedName>
    <definedName name="A_KEYWORD_ISSR_208008758_OTH_CONTRACT_SLD">#REF!</definedName>
    <definedName name="A_KEYWORD_ISSR_208008758_OTH_COST">#REF!</definedName>
    <definedName name="A_KEYWORD_ISSR_208008758_OTH_COST_INC">#REF!</definedName>
    <definedName name="A_KEYWORD_ISSR_208008758_OTH_DACF_ADJ">#REF!</definedName>
    <definedName name="A_KEYWORD_ISSR_208008758_OTH_FIN">#REF!</definedName>
    <definedName name="A_KEYWORD_ISSR_208008758_OTH_GCI_ADJ">#REF!</definedName>
    <definedName name="A_KEYWORD_ISSR_208008758_OTH_INC">#REF!</definedName>
    <definedName name="A_KEYWORD_ISSR_208008758_OTH_INTANG">#REF!</definedName>
    <definedName name="A_KEYWORD_ISSR_208008758_OTH_LIABS">#REF!</definedName>
    <definedName name="A_KEYWORD_ISSR_208008758_OTH_MARGIN">#REF!</definedName>
    <definedName name="A_KEYWORD_ISSR_208008758_OTH_NONOP_EXP">#REF!</definedName>
    <definedName name="A_KEYWORD_ISSR_208008758_OTH_NONOP_INC">#REF!</definedName>
    <definedName name="A_KEYWORD_ISSR_208008758_OTH_OP">#REF!</definedName>
    <definedName name="A_KEYWORD_ISSR_208008758_OTH_PAY">#REF!</definedName>
    <definedName name="A_KEYWORD_ISSR_208008758_OTH_PAY_LIABS">#REF!</definedName>
    <definedName name="A_KEYWORD_ISSR_208008758_OTH_PROVS">#REF!</definedName>
    <definedName name="A_KEYWORD_ISSR_208008758_OTH_PTP">#REF!</definedName>
    <definedName name="A_KEYWORD_ISSR_208008758_OTH_RECVBLS">#REF!</definedName>
    <definedName name="A_KEYWORD_ISSR_208008758_OTH_REVS">#REF!</definedName>
    <definedName name="A_KEYWORD_ISSR_208008758_OTH_SALES">#REF!</definedName>
    <definedName name="A_KEYWORD_ISSR_208008758_OTHER_ASSET_IMPAIR_CHG_PRE_TAX">#REF!</definedName>
    <definedName name="A_KEYWORD_ISSR_208008758_OTHER_EXPENSES">#REF!</definedName>
    <definedName name="A_KEYWORD_ISSR_208008758_OTHER_FEES">#REF!</definedName>
    <definedName name="A_KEYWORD_ISSR_208008758_OTHER_IFRS_ADJUST_PRE_TAX">#REF!</definedName>
    <definedName name="A_KEYWORD_ISSR_208008758_OTHER_INCOME">#REF!</definedName>
    <definedName name="A_KEYWORD_ISSR_208008758_OTHER_INTANGIBLES_DEPREC">#REF!</definedName>
    <definedName name="A_KEYWORD_ISSR_208008758_OTHER_INTANGIBLES_NON_DEPREC">#REF!</definedName>
    <definedName name="A_KEYWORD_ISSR_208008758_OTHER_STAFF_COSTS">#REF!</definedName>
    <definedName name="A_KEYWORD_ISSR_208008758_PCT_ASIA_ASS">#REF!</definedName>
    <definedName name="A_KEYWORD_ISSR_208008758_PCT_ASIA_OP">#REF!</definedName>
    <definedName name="A_KEYWORD_ISSR_208008758_PCT_ASIA_SALES">#REF!</definedName>
    <definedName name="A_KEYWORD_ISSR_208008758_PCT_DOM_ASS">#REF!</definedName>
    <definedName name="A_KEYWORD_ISSR_208008758_PCT_DOM_OP">#REF!</definedName>
    <definedName name="A_KEYWORD_ISSR_208008758_PCT_DOM_SALES">#REF!</definedName>
    <definedName name="A_KEYWORD_ISSR_208008758_PCT_EMER_ASS">#REF!</definedName>
    <definedName name="A_KEYWORD_ISSR_208008758_PCT_EMER_OP">#REF!</definedName>
    <definedName name="A_KEYWORD_ISSR_208008758_PCT_EMER_SALES">#REF!</definedName>
    <definedName name="A_KEYWORD_ISSR_208008758_PCT_EURO_ASS">#REF!</definedName>
    <definedName name="A_KEYWORD_ISSR_208008758_PCT_EURO_OP">#REF!</definedName>
    <definedName name="A_KEYWORD_ISSR_208008758_PCT_EURO_SALES">#REF!</definedName>
    <definedName name="A_KEYWORD_ISSR_208008758_PCT_LATAM_ASS">#REF!</definedName>
    <definedName name="A_KEYWORD_ISSR_208008758_PCT_LATAM_OP">#REF!</definedName>
    <definedName name="A_KEYWORD_ISSR_208008758_PCT_LATAM_SALES">#REF!</definedName>
    <definedName name="A_KEYWORD_ISSR_208008758_PCT_NAM_ASS">#REF!</definedName>
    <definedName name="A_KEYWORD_ISSR_208008758_PCT_NAM_OP">#REF!</definedName>
    <definedName name="A_KEYWORD_ISSR_208008758_PCT_NAM_SALES">#REF!</definedName>
    <definedName name="A_KEYWORD_ISSR_208008758_PCT_OTH_ASS">#REF!</definedName>
    <definedName name="A_KEYWORD_ISSR_208008758_PCT_OTH_OP">#REF!</definedName>
    <definedName name="A_KEYWORD_ISSR_208008758_PCT_OTH_SALES">#REF!</definedName>
    <definedName name="A_KEYWORD_ISSR_208008758_PERIOD_MILESTONE">#REF!</definedName>
    <definedName name="A_KEYWORD_ISSR_208008758_PERSONNEL">#REF!</definedName>
    <definedName name="A_KEYWORD_ISSR_208008758_PL_BTAX_ON_AB">#REF!</definedName>
    <definedName name="A_KEYWORD_ISSR_208008758_PRE_PAYMNTS">#REF!</definedName>
    <definedName name="A_KEYWORD_ISSR_208008758_PREF_SH">#REF!</definedName>
    <definedName name="A_KEYWORD_ISSR_208008758_PREF_SH_EQ">#REF!</definedName>
    <definedName name="A_KEYWORD_ISSR_208008758_PREF_SHARE_CAP">#REF!</definedName>
    <definedName name="A_KEYWORD_ISSR_208008758_PRIN_TRANS">#REF!</definedName>
    <definedName name="A_KEYWORD_ISSR_208008758_PROF_BTE">#REF!</definedName>
    <definedName name="A_KEYWORD_ISSR_208008758_PROF_SRVC_EXP">#REF!</definedName>
    <definedName name="A_KEYWORD_ISSR_208008758_PROFIT_DEFBEN_PLAN_POST_TAX">#REF!</definedName>
    <definedName name="A_KEYWORD_ISSR_208008758_PROFIT_DEFBEN_PLAN_PRE_TAX">#REF!</definedName>
    <definedName name="A_KEYWORD_ISSR_208008758_PROFIT_ON_DISP">#REF!</definedName>
    <definedName name="A_KEYWORD_ISSR_208008758_PROV_BS">#REF!</definedName>
    <definedName name="A_KEYWORD_ISSR_208008758_PT_PROF">#REF!</definedName>
    <definedName name="A_KEYWORD_ISSR_208008758_RBR_CL_ASSTS">#REF!</definedName>
    <definedName name="A_KEYWORD_ISSR_208008758_RECOVERIES_BS">#REF!</definedName>
    <definedName name="A_KEYWORD_ISSR_208008758_RENTAL_INCOME">#REF!</definedName>
    <definedName name="A_KEYWORD_ISSR_208008758_REPOS_ASST">#REF!</definedName>
    <definedName name="A_KEYWORD_ISSR_208008758_REPOS_LIAB">#REF!</definedName>
    <definedName name="A_KEYWORD_ISSR_208008758_RESERVES">#REF!</definedName>
    <definedName name="A_KEYWORD_ISSR_208008758_RETAIL_MARGIN">#REF!</definedName>
    <definedName name="A_KEYWORD_ISSR_208008758_RETAIL_PTP">#REF!</definedName>
    <definedName name="A_KEYWORD_ISSR_208008758_RETAIL_REVS">#REF!</definedName>
    <definedName name="A_KEYWORD_ISSR_208008758_RETAIL_REVS_BO">#REF!</definedName>
    <definedName name="A_KEYWORD_ISSR_208008758_RETAIN_PROFIT_LOSS">#REF!</definedName>
    <definedName name="A_KEYWORD_ISSR_208008758_ROU_ASSET">#REF!</definedName>
    <definedName name="A_KEYWORD_ISSR_208008758_SALES">#REF!</definedName>
    <definedName name="A_KEYWORD_ISSR_208008758_SALES_ARGENTINA">#REF!</definedName>
    <definedName name="A_KEYWORD_ISSR_208008758_SALES_AUSTRA">#REF!</definedName>
    <definedName name="A_KEYWORD_ISSR_208008758_SALES_AUSTRIA">#REF!</definedName>
    <definedName name="A_KEYWORD_ISSR_208008758_SALES_BEL">#REF!</definedName>
    <definedName name="A_KEYWORD_ISSR_208008758_SALES_BRAZIL">#REF!</definedName>
    <definedName name="A_KEYWORD_ISSR_208008758_SALES_CANADA">#REF!</definedName>
    <definedName name="A_KEYWORD_ISSR_208008758_SALES_CEE">#REF!</definedName>
    <definedName name="A_KEYWORD_ISSR_208008758_SALES_CHILE">#REF!</definedName>
    <definedName name="A_KEYWORD_ISSR_208008758_SALES_CHINA">#REF!</definedName>
    <definedName name="A_KEYWORD_ISSR_208008758_SALES_COLOMBIA">#REF!</definedName>
    <definedName name="A_KEYWORD_ISSR_208008758_SALES_CONS">#REF!</definedName>
    <definedName name="A_KEYWORD_ISSR_208008758_SALES_EU_EX_UK">#REF!</definedName>
    <definedName name="A_KEYWORD_ISSR_208008758_SALES_FINAN">#REF!</definedName>
    <definedName name="A_KEYWORD_ISSR_208008758_SALES_FRA">#REF!</definedName>
    <definedName name="A_KEYWORD_ISSR_208008758_SALES_FX_AUD">#REF!</definedName>
    <definedName name="A_KEYWORD_ISSR_208008758_SALES_FX_BRL">#REF!</definedName>
    <definedName name="A_KEYWORD_ISSR_208008758_SALES_FX_CNY">#REF!</definedName>
    <definedName name="A_KEYWORD_ISSR_208008758_SALES_FX_EUR">#REF!</definedName>
    <definedName name="A_KEYWORD_ISSR_208008758_SALES_FX_GPB">#REF!</definedName>
    <definedName name="A_KEYWORD_ISSR_208008758_SALES_FX_INR">#REF!</definedName>
    <definedName name="A_KEYWORD_ISSR_208008758_SALES_FX_NZD">#REF!</definedName>
    <definedName name="A_KEYWORD_ISSR_208008758_SALES_FX_OTH">#REF!</definedName>
    <definedName name="A_KEYWORD_ISSR_208008758_SALES_FX_RUB">#REF!</definedName>
    <definedName name="A_KEYWORD_ISSR_208008758_SALES_FX_USD">#REF!</definedName>
    <definedName name="A_KEYWORD_ISSR_208008758_SALES_FX_YEN">#REF!</definedName>
    <definedName name="A_KEYWORD_ISSR_208008758_SALES_GER">#REF!</definedName>
    <definedName name="A_KEYWORD_ISSR_208008758_SALES_GOV">#REF!</definedName>
    <definedName name="A_KEYWORD_ISSR_208008758_SALES_GRE">#REF!</definedName>
    <definedName name="A_KEYWORD_ISSR_208008758_SALES_HONG_KONG">#REF!</definedName>
    <definedName name="A_KEYWORD_ISSR_208008758_SALES_IND">#REF!</definedName>
    <definedName name="A_KEYWORD_ISSR_208008758_SALES_INDIA">#REF!</definedName>
    <definedName name="A_KEYWORD_ISSR_208008758_SALES_INDONESIA">#REF!</definedName>
    <definedName name="A_KEYWORD_ISSR_208008758_SALES_IRE">#REF!</definedName>
    <definedName name="A_KEYWORD_ISSR_208008758_SALES_ITA">#REF!</definedName>
    <definedName name="A_KEYWORD_ISSR_208008758_SALES_JAPAN">#REF!</definedName>
    <definedName name="A_KEYWORD_ISSR_208008758_SALES_ME">#REF!</definedName>
    <definedName name="A_KEYWORD_ISSR_208008758_SALES_MEXICO">#REF!</definedName>
    <definedName name="A_KEYWORD_ISSR_208008758_SALES_NETH">#REF!</definedName>
    <definedName name="A_KEYWORD_ISSR_208008758_SALES_NIGERIA">#REF!</definedName>
    <definedName name="A_KEYWORD_ISSR_208008758_SALES_NOR">#REF!</definedName>
    <definedName name="A_KEYWORD_ISSR_208008758_SALES_NZ">#REF!</definedName>
    <definedName name="A_KEYWORD_ISSR_208008758_SALES_OIL_GAS">#REF!</definedName>
    <definedName name="A_KEYWORD_ISSR_208008758_SALES_OTH_AEJ">#REF!</definedName>
    <definedName name="A_KEYWORD_ISSR_208008758_SALES_OTH_AFRICA">#REF!</definedName>
    <definedName name="A_KEYWORD_ISSR_208008758_SALES_OTH_AM">#REF!</definedName>
    <definedName name="A_KEYWORD_ISSR_208008758_SALES_OTH_CEE">#REF!</definedName>
    <definedName name="A_KEYWORD_ISSR_208008758_SALES_OTH_DEV_ASIA">#REF!</definedName>
    <definedName name="A_KEYWORD_ISSR_208008758_SALES_OTH_EMEA">#REF!</definedName>
    <definedName name="A_KEYWORD_ISSR_208008758_SALES_OTH_EMERG_ASIA">#REF!</definedName>
    <definedName name="A_KEYWORD_ISSR_208008758_SALES_OTH_LATAM">#REF!</definedName>
    <definedName name="A_KEYWORD_ISSR_208008758_SALES_OTH_ME">#REF!</definedName>
    <definedName name="A_KEYWORD_ISSR_208008758_SALES_OTH_NO_AMER">#REF!</definedName>
    <definedName name="A_KEYWORD_ISSR_208008758_SALES_OTH_WEST_EURO">#REF!</definedName>
    <definedName name="A_KEYWORD_ISSR_208008758_SALES_OTHER">#REF!</definedName>
    <definedName name="A_KEYWORD_ISSR_208008758_SALES_POLAND">#REF!</definedName>
    <definedName name="A_KEYWORD_ISSR_208008758_SALES_POR">#REF!</definedName>
    <definedName name="A_KEYWORD_ISSR_208008758_SALES_RUSSIA">#REF!</definedName>
    <definedName name="A_KEYWORD_ISSR_208008758_SALES_SAUDI_ARABIA">#REF!</definedName>
    <definedName name="A_KEYWORD_ISSR_208008758_SALES_SINGAPORE">#REF!</definedName>
    <definedName name="A_KEYWORD_ISSR_208008758_SALES_SK">#REF!</definedName>
    <definedName name="A_KEYWORD_ISSR_208008758_SALES_SO_AFRICA">#REF!</definedName>
    <definedName name="A_KEYWORD_ISSR_208008758_SALES_SPA">#REF!</definedName>
    <definedName name="A_KEYWORD_ISSR_208008758_SALES_SWE">#REF!</definedName>
    <definedName name="A_KEYWORD_ISSR_208008758_SALES_SWIT">#REF!</definedName>
    <definedName name="A_KEYWORD_ISSR_208008758_SALES_TAIWAN">#REF!</definedName>
    <definedName name="A_KEYWORD_ISSR_208008758_SALES_THAILAND">#REF!</definedName>
    <definedName name="A_KEYWORD_ISSR_208008758_SALES_TOT_AFRICA">#REF!</definedName>
    <definedName name="A_KEYWORD_ISSR_208008758_SALES_TOT_AM">#REF!</definedName>
    <definedName name="A_KEYWORD_ISSR_208008758_SALES_TOT_ASIA">#REF!</definedName>
    <definedName name="A_KEYWORD_ISSR_208008758_SALES_TOT_EMEA">#REF!</definedName>
    <definedName name="A_KEYWORD_ISSR_208008758_SALES_TURKEY">#REF!</definedName>
    <definedName name="A_KEYWORD_ISSR_208008758_SALES_UAE">#REF!</definedName>
    <definedName name="A_KEYWORD_ISSR_208008758_SALES_UK">#REF!</definedName>
    <definedName name="A_KEYWORD_ISSR_208008758_SALES_US">#REF!</definedName>
    <definedName name="A_KEYWORD_ISSR_208008758_SALES_VENEZUELA">#REF!</definedName>
    <definedName name="A_KEYWORD_ISSR_208008758_SECUR_BORRWD">#REF!</definedName>
    <definedName name="A_KEYWORD_ISSR_208008758_SECUR_COLLAT">#REF!</definedName>
    <definedName name="A_KEYWORD_ISSR_208008758_SECUR_LND">#REF!</definedName>
    <definedName name="A_KEYWORD_ISSR_208008758_SECUR_NOT_COLLAT">#REF!</definedName>
    <definedName name="A_KEYWORD_ISSR_208008758_SECUR_OWNED">#REF!</definedName>
    <definedName name="A_KEYWORD_ISSR_208008758_SEL_GL_AD_OTHER">#REF!</definedName>
    <definedName name="A_KEYWORD_ISSR_208008758_SGA_PCT_ROW">#REF!</definedName>
    <definedName name="A_KEYWORD_ISSR_208008758_SGA_PCT_US">#REF!</definedName>
    <definedName name="A_KEYWORD_ISSR_208008758_SHARE_BASED_PAYMENTS">#REF!</definedName>
    <definedName name="A_KEYWORD_ISSR_208008758_SPECIFIC_PROV_DOUBTFUL">#REF!</definedName>
    <definedName name="A_KEYWORD_ISSR_208008758_SR_NOTES">#REF!</definedName>
    <definedName name="A_KEYWORD_ISSR_208008758_SS_REVS_BO">#REF!</definedName>
    <definedName name="A_KEYWORD_ISSR_208008758_ST_LEASE_LIAB">#REF!</definedName>
    <definedName name="A_KEYWORD_ISSR_208008758_SUB_ORD_LIABS">#REF!</definedName>
    <definedName name="A_KEYWORD_ISSR_208008758_TECH_COM_EXP">#REF!</definedName>
    <definedName name="A_KEYWORD_ISSR_208008758_TOT_ASS">#REF!</definedName>
    <definedName name="A_KEYWORD_ISSR_208008758_TOT_ASSET">#REF!</definedName>
    <definedName name="A_KEYWORD_ISSR_208008758_TOT_COLLAT_STAGREE">#REF!</definedName>
    <definedName name="A_KEYWORD_ISSR_208008758_TOT_COLLAT_STFIN">#REF!</definedName>
    <definedName name="A_KEYWORD_ISSR_208008758_TOT_EXCEPTS">#REF!</definedName>
    <definedName name="A_KEYWORD_ISSR_208008758_TOT_ISS_REVS_BO">#REF!</definedName>
    <definedName name="A_KEYWORD_ISSR_208008758_TOT_LIAB">#REF!</definedName>
    <definedName name="A_KEYWORD_ISSR_208008758_TOT_LIAB_EQ">#REF!</definedName>
    <definedName name="A_KEYWORD_ISSR_208008758_TOT_NONCOMP_EXP">#REF!</definedName>
    <definedName name="A_KEYWORD_ISSR_208008758_TOT_NONINTEXP_EX_LNPRV">#REF!</definedName>
    <definedName name="A_KEYWORD_ISSR_208008758_TOT_NONINTEXP_INC_LNPRV">#REF!</definedName>
    <definedName name="A_KEYWORD_ISSR_208008758_TOT_OP">#REF!</definedName>
    <definedName name="A_KEYWORD_ISSR_208008758_TOT_PCT_USD_DEBT_HEDGED">#REF!</definedName>
    <definedName name="A_KEYWORD_ISSR_208008758_TOT_PROVS">#REF!</definedName>
    <definedName name="A_KEYWORD_ISSR_208008758_TOT_RECVBLS">#REF!</definedName>
    <definedName name="A_KEYWORD_ISSR_208008758_TOT_SALES">#REF!</definedName>
    <definedName name="A_KEYWORD_ISSR_208008758_TOT_SECUR">#REF!</definedName>
    <definedName name="A_KEYWORD_ISSR_208008758_TOT_SECUR_SLD">#REF!</definedName>
    <definedName name="A_KEYWORD_ISSR_208008758_TOT_USD_DEBT">#REF!</definedName>
    <definedName name="A_KEYWORD_ISSR_208008758_TOT_VAR">#REF!</definedName>
    <definedName name="A_KEYWORD_ISSR_208008758_TOTAL_CAPITAL_EMPLOYED_ADJ">#REF!</definedName>
    <definedName name="A_KEYWORD_ISSR_208008758_TOTAL_DEPREC_AMORT">#REF!</definedName>
    <definedName name="A_KEYWORD_ISSR_208008758_TOTAL_IFRS_ADJUST_PRE_TAX">#REF!</definedName>
    <definedName name="A_KEYWORD_ISSR_208008758_TRADING_SECS_INCOME">#REF!</definedName>
    <definedName name="A_KEYWORD_ISSR_208008758_UNEARNED_INCOME">#REF!</definedName>
    <definedName name="A_KEYWORD_ISSR_208008758_UNF_PENS">#REF!</definedName>
    <definedName name="A_KEYWORD_ISSR_208008758_UNF_PENS_LIAB_OTH">#REF!</definedName>
    <definedName name="A_KEYWORD_ISSR_208008758_UNF_PENS_OFF">#REF!</definedName>
    <definedName name="A_KEYWORD_ISSR_208008758_VAR_METHOD">#REF!</definedName>
    <definedName name="A_KEYWORD_ISSR_208008758_VOL">#REF!</definedName>
    <definedName name="A_KEYWORD_ISSR_208008758_WRITE_OFFS_BS">#REF!</definedName>
    <definedName name="A_KEYWORD_ISSR_208008758_WRITEBACK_RECOVERIES">#REF!</definedName>
    <definedName name="A_LIVEDATA_EQTY_200011471">#REF!</definedName>
    <definedName name="A_LIVEDATA_ISSR_208008758">#REF!</definedName>
    <definedName name="A_PERIOD_2006">#REF!</definedName>
    <definedName name="A_PERIOD_2007">#REF!</definedName>
    <definedName name="A_PERIOD_2008">#REF!</definedName>
    <definedName name="A_PERIOD_2009">#REF!</definedName>
    <definedName name="A_PERIOD_2010">#REF!</definedName>
    <definedName name="A_PERIOD_2011">#REF!</definedName>
    <definedName name="A_PERIOD_2012">#REF!</definedName>
    <definedName name="A_PERIOD_2013">#REF!</definedName>
    <definedName name="A_PERIOD_2013_H1">#REF!</definedName>
    <definedName name="A_PERIOD_2013_H2">#REF!</definedName>
    <definedName name="A_PERIOD_2014">#REF!</definedName>
    <definedName name="A_PERIOD_2014_H1">#REF!</definedName>
    <definedName name="A_PERIOD_2014_H2">#REF!</definedName>
    <definedName name="A_PERIOD_2015">#REF!</definedName>
    <definedName name="A_PERIOD_2015_H1">#REF!</definedName>
    <definedName name="A_PERIOD_2015_H2">#REF!</definedName>
    <definedName name="A_PERIOD_2016">#REF!</definedName>
    <definedName name="A_PERIOD_2016_H1">#REF!</definedName>
    <definedName name="A_PERIOD_2016_H2">#REF!</definedName>
    <definedName name="A_PERIOD_2017">#REF!</definedName>
    <definedName name="A_PERIOD_2017_H1">#REF!</definedName>
    <definedName name="A_PERIOD_2017_H2">#REF!</definedName>
    <definedName name="A_PERIOD_2018">#REF!</definedName>
    <definedName name="A_PERIOD_2018_H1">#REF!</definedName>
    <definedName name="A_PERIOD_2018_H2">#REF!</definedName>
    <definedName name="A_PERIOD_2019">#REF!</definedName>
    <definedName name="A_PERIOD_2019_H1">#REF!</definedName>
    <definedName name="A_PERIOD_2019_H2">#REF!</definedName>
    <definedName name="A_PERIOD_2020">#REF!</definedName>
    <definedName name="A_PERIOD_2020_H1">#REF!</definedName>
    <definedName name="A_PERIOD_2020_H2">#REF!</definedName>
    <definedName name="A_PERIOD_2021">#REF!</definedName>
    <definedName name="A_PERIOD_2021_H1">#REF!</definedName>
    <definedName name="A_PERIOD_2021_H2">#REF!</definedName>
    <definedName name="A_PERIOD_2022">#REF!</definedName>
    <definedName name="A_PERIOD_2022_H1">#REF!</definedName>
    <definedName name="A_PERIOD_2022_H2">#REF!</definedName>
    <definedName name="A_PERIOD_2023">#REF!</definedName>
    <definedName name="A_PERIOD_2023_H1">#REF!</definedName>
    <definedName name="A_PERIOD_2023_H2">#REF!</definedName>
    <definedName name="A_PERIOD_2024">#REF!</definedName>
    <definedName name="A_PERIOD_2024_H1">#REF!</definedName>
    <definedName name="A_PERIOD_2024_H2">#REF!</definedName>
    <definedName name="A_PERIOD_2025">#REF!</definedName>
    <definedName name="A_PERIOD_2025_H1">#REF!</definedName>
    <definedName name="A_PERIOD_2025_H2">#REF!</definedName>
    <definedName name="A_PERIOD_2026">#REF!</definedName>
    <definedName name="A_PERIOD_2026_H1">#REF!</definedName>
    <definedName name="A_PERIOD_2027">#REF!</definedName>
    <definedName name="A_SECTION_EQTY_200011471_1314">#REF!</definedName>
    <definedName name="A_SECTION_EQTY_200011471_1316A">#REF!</definedName>
    <definedName name="A_SECTION_EQTY_200011471_1316B">#REF!</definedName>
    <definedName name="A_SECTION_EQTY_200011471_1316C">#REF!</definedName>
    <definedName name="A_SECTION_EQTY_200011471_1316E">#REF!</definedName>
    <definedName name="A_SECTION_EQTY_200011471_1319">#REF!</definedName>
    <definedName name="A_SECTION_EQTY_200011471_131J">#REF!</definedName>
    <definedName name="A_SECTION_EQTY_200011471_131O">#REF!</definedName>
    <definedName name="A_SECTION_EQTY_200011471_131P">#REF!</definedName>
    <definedName name="A_SECTION_EQTY_200011471_13A">#REF!</definedName>
    <definedName name="A_SECTION_EQTY_200011471_13K">#REF!</definedName>
    <definedName name="A_SECTION_EQTY_200011471_13U">#REF!</definedName>
    <definedName name="A_SECTION_EQTY_200011471_13V">#REF!</definedName>
    <definedName name="A_SECTION_EQTY_200011471_Reference_Data">#REF!</definedName>
    <definedName name="A_SECTION_ISSR_208008758_1314">#REF!</definedName>
    <definedName name="A_SECTION_ISSR_208008758_13168">#REF!</definedName>
    <definedName name="A_SECTION_ISSR_208008758_1316B">#REF!</definedName>
    <definedName name="A_SECTION_ISSR_208008758_1316C">#REF!</definedName>
    <definedName name="A_SECTION_ISSR_208008758_1316E">#REF!</definedName>
    <definedName name="A_SECTION_ISSR_208008758_1316T">#REF!</definedName>
    <definedName name="A_SECTION_ISSR_208008758_1316U">#REF!</definedName>
    <definedName name="A_SECTION_ISSR_208008758_1319">#REF!</definedName>
    <definedName name="A_SECTION_ISSR_208008758_131E">#REF!</definedName>
    <definedName name="A_SECTION_ISSR_208008758_131J">#REF!</definedName>
    <definedName name="A_SECTION_ISSR_208008758_131O">#REF!</definedName>
    <definedName name="A_SECTION_ISSR_208008758_131P">#REF!</definedName>
    <definedName name="A_SECTION_ISSR_208008758_133M">#REF!</definedName>
    <definedName name="A_SECTION_ISSR_208008758_133R">#REF!</definedName>
    <definedName name="A_SECTION_ISSR_208008758_133W">#REF!</definedName>
    <definedName name="A_SECTION_ISSR_208008758_1341">#REF!</definedName>
    <definedName name="A_SECTION_ISSR_208008758_1346">#REF!</definedName>
    <definedName name="A_SECTION_ISSR_208008758_134B">#REF!</definedName>
    <definedName name="A_SECTION_ISSR_208008758_134G">#REF!</definedName>
    <definedName name="A_SECTION_ISSR_208008758_134L">#REF!</definedName>
    <definedName name="A_SECTION_ISSR_208008758_134Q">#REF!</definedName>
    <definedName name="A_SECTION_ISSR_208008758_134V">#REF!</definedName>
    <definedName name="A_SECTION_ISSR_208008758_1350">#REF!</definedName>
    <definedName name="A_SECTION_ISSR_208008758_1355">#REF!</definedName>
    <definedName name="A_SECTION_ISSR_208008758_135A">#REF!</definedName>
    <definedName name="A_SECTION_ISSR_208008758_135F">#REF!</definedName>
    <definedName name="A_SECTION_ISSR_208008758_135K">#REF!</definedName>
    <definedName name="A_SECTION_ISSR_208008758_135P">#REF!</definedName>
    <definedName name="A_SECTION_ISSR_208008758_135U">#REF!</definedName>
    <definedName name="A_SECTION_ISSR_208008758_135Z">#REF!</definedName>
    <definedName name="A_SECTION_ISSR_208008758_136E">#REF!</definedName>
    <definedName name="A_SECTION_ISSR_208008758_13A">#REF!</definedName>
    <definedName name="A_SECTION_ISSR_208008758_13U">#REF!</definedName>
    <definedName name="A_SECTION_ISSR_208008758_13V">#REF!</definedName>
    <definedName name="A_SECTION_ISSR_208008758_Reference_Data">#REF!</definedName>
    <definedName name="A_TEMPLATEHASH">#REF!</definedName>
    <definedName name="AAA">#REF!</definedName>
    <definedName name="AAAA">#REF!</definedName>
    <definedName name="AAAAA">#REF!</definedName>
    <definedName name="assets_total" localSheetId="1">#REF!</definedName>
    <definedName name="assets_total">#REF!</definedName>
    <definedName name="Aust_housing" localSheetId="1">#REF!</definedName>
    <definedName name="Aust_housing">#REF!</definedName>
    <definedName name="average_assets" localSheetId="1">#REF!</definedName>
    <definedName name="average_assets">#REF!</definedName>
    <definedName name="average_equity" localSheetId="1">#REF!</definedName>
    <definedName name="average_equity">#REF!</definedName>
    <definedName name="average_gross_loans" localSheetId="1">#REF!</definedName>
    <definedName name="average_gross_loans">#REF!</definedName>
    <definedName name="BBPTAutoColor_Changed" hidden="1">TRUE</definedName>
    <definedName name="BBPTAutoColor_ShadowWksName" hidden="1">"BBPTACShadowWks0001"</definedName>
    <definedName name="Beta">#REF!</definedName>
    <definedName name="BV" localSheetId="1">#REF!</definedName>
    <definedName name="BV">#REF!</definedName>
    <definedName name="capital_tier_1" localSheetId="1">#REF!</definedName>
    <definedName name="capital_tier_1">#REF!</definedName>
    <definedName name="capital_tier_2" localSheetId="1">#REF!</definedName>
    <definedName name="capital_tier_2">#REF!</definedName>
    <definedName name="cash_earnings" localSheetId="1">#REF!</definedName>
    <definedName name="cash_earnings">#REF!</definedName>
    <definedName name="cash_eps">#REF!</definedName>
    <definedName name="company_eps" localSheetId="1">#REF!</definedName>
    <definedName name="company_eps">#REF!</definedName>
    <definedName name="core_tier1" localSheetId="1">#REF!</definedName>
    <definedName name="core_tier1">#REF!</definedName>
    <definedName name="Core_tier1_ratio" localSheetId="1">#REF!</definedName>
    <definedName name="Core_tier1_ratio">#REF!</definedName>
    <definedName name="cost_income" localSheetId="1">#REF!</definedName>
    <definedName name="cost_income">#REF!</definedName>
    <definedName name="Cost_of_Equity">#REF!</definedName>
    <definedName name="Cwvu.Full_Year." hidden="1">#REF!,#REF!</definedName>
    <definedName name="Cwvu.Summary." hidden="1">#REF!,#REF!,#REF!,#REF!</definedName>
    <definedName name="DCF_INF">#REF!</definedName>
    <definedName name="DCF_WACC">#REF!</definedName>
    <definedName name="DDE">#REF!</definedName>
    <definedName name="depreciation" localSheetId="1">#REF!</definedName>
    <definedName name="depreciation">#REF!</definedName>
    <definedName name="DPS" localSheetId="1">#REF!</definedName>
    <definedName name="DPS">#REF!</definedName>
    <definedName name="E_ALL_ANZ.AX" localSheetId="1">#REF!</definedName>
    <definedName name="E_ALL_ANZ.AX">#REF!</definedName>
    <definedName name="E_ALL_KEYWORDS_TYPE_ScalarContributed_EQTY_200004992">#REF!,#REF!,#REF!,#REF!,#REF!,#REF!,#REF!,#REF!,#REF!</definedName>
    <definedName name="E_ALL_KEYWORDS_TYPE_ScalarContributed_EQTY_200011471" localSheetId="11">'Dummy brokers ex-sheet'!$260:$279,'Dummy brokers ex-sheet'!$296:$296,'Dummy brokers ex-sheet'!$320:$327,'Dummy brokers ex-sheet'!$334:$334,'Dummy brokers ex-sheet'!$336:$338</definedName>
    <definedName name="E_ALL_KEYWORDS_TYPE_ScalarContributed_EQTY_200011471" localSheetId="7">#REF!,#REF!,#REF!,#REF!,#REF!,#REF!</definedName>
    <definedName name="E_ALL_KEYWORDS_TYPE_ScalarContributed_EQTY_200011471">#REF!,#REF!,#REF!,#REF!,#REF!,#REF!</definedName>
    <definedName name="E_ALL_KEYWORDS_TYPE_ScalarContributed_ISSR_208008758" localSheetId="1">#REF!,#REF!</definedName>
    <definedName name="E_ALL_KEYWORDS_TYPE_ScalarContributed_ISSR_208008758" localSheetId="11">'Dummy brokers ex-sheet'!$9:$12</definedName>
    <definedName name="E_ALL_KEYWORDS_TYPE_ScalarContributed_ISSR_208008758" localSheetId="7">#REF!,#REF!</definedName>
    <definedName name="E_ALL_KEYWORDS_TYPE_ScalarContributed_ISSR_208008758">#REF!,#REF!</definedName>
    <definedName name="E_ALL_KEYWORDS_TYPE_ScalarReference_EQTY_200011471" localSheetId="11">'Dummy brokers ex-sheet'!$253:$258</definedName>
    <definedName name="E_ALL_KEYWORDS_TYPE_ScalarReference_ISSR_208008758" localSheetId="11">'Dummy brokers ex-sheet'!$6:$7</definedName>
    <definedName name="E_ALL_KEYWORDS_TYPE_Vector_EQTY_200004992">#REF!,#REF!,#REF!,#REF!,#REF!,#REF!,#REF!,#REF!,#REF!,#REF!,#REF!,#REF!,#REF!</definedName>
    <definedName name="E_ALL_KEYWORDS_TYPE_Vector_EQTY_200011471" localSheetId="1">#REF!,#REF!,#REF!,#REF!,#REF!</definedName>
    <definedName name="E_ALL_KEYWORDS_TYPE_Vector_EQTY_200011471" localSheetId="11">'Dummy brokers ex-sheet'!$281:$294,'Dummy brokers ex-sheet'!$297:$300,'Dummy brokers ex-sheet'!$302:$318,'Dummy brokers ex-sheet'!$329:$329,'Dummy brokers ex-sheet'!$331:$332</definedName>
    <definedName name="E_ALL_KEYWORDS_TYPE_Vector_EQTY_200011471" localSheetId="7">#REF!,#REF!,#REF!,#REF!,#REF!</definedName>
    <definedName name="E_ALL_KEYWORDS_TYPE_Vector_EQTY_200011471">#REF!,#REF!,#REF!,#REF!,#REF!</definedName>
    <definedName name="E_ALL_KEYWORDS_TYPE_Vector_ISSR_208005522">#REF!,#REF!,#REF!,#REF!,#REF!,#REF!,#REF!,#REF!,#REF!,#REF!,#REF!,#REF!,#REF!,#REF!,#REF!,#REF!,#REF!,#REF!,#REF!,#REF!,#REF!,#REF!,#REF!,#REF!,#REF!,#REF!,#REF!,#REF!,#REF!</definedName>
    <definedName name="E_ALL_KEYWORDS_TYPE_Vector_ISSR_208008758" localSheetId="1">#REF!,#REF!,#REF!,#REF!,#REF!,#REF!,#REF!,#REF!,#REF!,#REF!,#REF!,#REF!,#REF!,#REF!,#REF!,#REF!,#REF!,#REF!,#REF!,#REF!</definedName>
    <definedName name="E_ALL_KEYWORDS_TYPE_Vector_ISSR_208008758" localSheetId="11">'Dummy brokers ex-sheet'!$2:$3,'Dummy brokers ex-sheet'!$14:$46,'Dummy brokers ex-sheet'!$48:$51,'Dummy brokers ex-sheet'!$53:$101,'Dummy brokers ex-sheet'!$103:$114,'Dummy brokers ex-sheet'!$116:$116,'Dummy brokers ex-sheet'!$118:$118,'Dummy brokers ex-sheet'!$120:$122,'Dummy brokers ex-sheet'!$124:$131,'Dummy brokers ex-sheet'!$133:$138,'Dummy brokers ex-sheet'!$140:$145,'Dummy brokers ex-sheet'!$147:$152,'Dummy brokers ex-sheet'!$154:$157,'Dummy brokers ex-sheet'!$159:$160,'Dummy brokers ex-sheet'!$162:$165,'Dummy brokers ex-sheet'!$167:$224,'Dummy brokers ex-sheet'!$226:$227,'Dummy brokers ex-sheet'!$229:$239,'Dummy brokers ex-sheet'!$241:$250</definedName>
    <definedName name="E_ALL_KEYWORDS_TYPE_Vector_ISSR_208008758" localSheetId="7">#REF!,#REF!,#REF!,#REF!,#REF!,#REF!,#REF!,#REF!,#REF!,#REF!,#REF!,#REF!,#REF!,#REF!,#REF!,#REF!,#REF!,#REF!,#REF!,#REF!</definedName>
    <definedName name="E_ALL_KEYWORDS_TYPE_Vector_ISSR_208008758">#REF!,#REF!,#REF!,#REF!,#REF!,#REF!,#REF!,#REF!,#REF!,#REF!,#REF!,#REF!,#REF!,#REF!,#REF!,#REF!,#REF!,#REF!,#REF!,#REF!</definedName>
    <definedName name="E_ALL_MQG.AX" localSheetId="11">'Dummy brokers ex-sheet'!$A$1:$AI$338</definedName>
    <definedName name="E_ALL_MQG.AX" localSheetId="7">#REF!</definedName>
    <definedName name="E_ALL_MQG.AX">#REF!</definedName>
    <definedName name="E_ALL_PERIODS_MQG.AX" localSheetId="11">'Dummy brokers ex-sheet'!$F$1:$AI$1</definedName>
    <definedName name="E_ALL_SECTION_KEYWORDS_EQTY_200011471_1314" localSheetId="11">'Dummy brokers ex-sheet'!$C$331:$C$332</definedName>
    <definedName name="E_ALL_SECTION_KEYWORDS_EQTY_200011471_1316A" localSheetId="11">'Dummy brokers ex-sheet'!$C$296:$C$300</definedName>
    <definedName name="E_ALL_SECTION_KEYWORDS_EQTY_200011471_1316B" localSheetId="11">'Dummy brokers ex-sheet'!$C$320:$C$327</definedName>
    <definedName name="E_ALL_SECTION_KEYWORDS_EQTY_200011471_1316C">#REF!</definedName>
    <definedName name="E_ALL_SECTION_KEYWORDS_EQTY_200011471_1316E">#REF!</definedName>
    <definedName name="E_ALL_SECTION_KEYWORDS_EQTY_200011471_1319">#REF!</definedName>
    <definedName name="E_ALL_SECTION_KEYWORDS_EQTY_200011471_131J" localSheetId="11">'Dummy brokers ex-sheet'!$C$334</definedName>
    <definedName name="E_ALL_SECTION_KEYWORDS_EQTY_200011471_131O" localSheetId="11">'Dummy brokers ex-sheet'!$C$336:$C$338</definedName>
    <definedName name="E_ALL_SECTION_KEYWORDS_EQTY_200011471_131P">#REF!</definedName>
    <definedName name="E_ALL_SECTION_KEYWORDS_EQTY_200011471_13A" localSheetId="1">#REF!</definedName>
    <definedName name="E_ALL_SECTION_KEYWORDS_EQTY_200011471_13A" localSheetId="11">'Dummy brokers ex-sheet'!$C$260:$C$279</definedName>
    <definedName name="E_ALL_SECTION_KEYWORDS_EQTY_200011471_13A">#REF!</definedName>
    <definedName name="E_ALL_SECTION_KEYWORDS_EQTY_200011471_13K" localSheetId="1">#REF!</definedName>
    <definedName name="E_ALL_SECTION_KEYWORDS_EQTY_200011471_13K" localSheetId="11">'Dummy brokers ex-sheet'!$C$281:$C$294</definedName>
    <definedName name="E_ALL_SECTION_KEYWORDS_EQTY_200011471_13K">#REF!</definedName>
    <definedName name="E_ALL_SECTION_KEYWORDS_EQTY_200011471_13U" localSheetId="11">'Dummy brokers ex-sheet'!$C$302:$C$318</definedName>
    <definedName name="E_ALL_SECTION_KEYWORDS_EQTY_200011471_13V" localSheetId="11">'Dummy brokers ex-sheet'!$C$329</definedName>
    <definedName name="E_ALL_SECTION_KEYWORDS_EQTY_200011471_Reference_Data" localSheetId="11">'Dummy brokers ex-sheet'!$C$253:$C$258</definedName>
    <definedName name="E_ALL_SECTION_KEYWORDS_ISSR_208008758_1314" localSheetId="1">#REF!</definedName>
    <definedName name="E_ALL_SECTION_KEYWORDS_ISSR_208008758_1314" localSheetId="11">'Dummy brokers ex-sheet'!$C$53:$C$101</definedName>
    <definedName name="E_ALL_SECTION_KEYWORDS_ISSR_208008758_1314">#REF!</definedName>
    <definedName name="E_ALL_SECTION_KEYWORDS_ISSR_208008758_13168" localSheetId="11">'Dummy brokers ex-sheet'!$C$167:$C$224</definedName>
    <definedName name="E_ALL_SECTION_KEYWORDS_ISSR_208008758_1316B">#REF!</definedName>
    <definedName name="E_ALL_SECTION_KEYWORDS_ISSR_208008758_1316C">#REF!</definedName>
    <definedName name="E_ALL_SECTION_KEYWORDS_ISSR_208008758_1316E">#REF!</definedName>
    <definedName name="E_ALL_SECTION_KEYWORDS_ISSR_208008758_1316T" localSheetId="11">'Dummy brokers ex-sheet'!$C$226:$C$227</definedName>
    <definedName name="E_ALL_SECTION_KEYWORDS_ISSR_208008758_1316U" localSheetId="11">'Dummy brokers ex-sheet'!$C$229:$C$239</definedName>
    <definedName name="E_ALL_SECTION_KEYWORDS_ISSR_208008758_1319" localSheetId="1">#REF!</definedName>
    <definedName name="E_ALL_SECTION_KEYWORDS_ISSR_208008758_1319" localSheetId="11">'Dummy brokers ex-sheet'!$C$103:$C$114</definedName>
    <definedName name="E_ALL_SECTION_KEYWORDS_ISSR_208008758_1319">#REF!</definedName>
    <definedName name="E_ALL_SECTION_KEYWORDS_ISSR_208008758_131E">#REF!</definedName>
    <definedName name="E_ALL_SECTION_KEYWORDS_ISSR_208008758_131J" localSheetId="11">'Dummy brokers ex-sheet'!$C$116</definedName>
    <definedName name="E_ALL_SECTION_KEYWORDS_ISSR_208008758_131O" localSheetId="11">'Dummy brokers ex-sheet'!$C$118</definedName>
    <definedName name="E_ALL_SECTION_KEYWORDS_ISSR_208008758_131P">#REF!</definedName>
    <definedName name="E_ALL_SECTION_KEYWORDS_ISSR_208008758_133M">#REF!</definedName>
    <definedName name="E_ALL_SECTION_KEYWORDS_ISSR_208008758_133R">#REF!</definedName>
    <definedName name="E_ALL_SECTION_KEYWORDS_ISSR_208008758_133W">#REF!</definedName>
    <definedName name="E_ALL_SECTION_KEYWORDS_ISSR_208008758_1341">#REF!</definedName>
    <definedName name="E_ALL_SECTION_KEYWORDS_ISSR_208008758_1346">#REF!</definedName>
    <definedName name="E_ALL_SECTION_KEYWORDS_ISSR_208008758_134B">#REF!</definedName>
    <definedName name="E_ALL_SECTION_KEYWORDS_ISSR_208008758_134G">#REF!</definedName>
    <definedName name="E_ALL_SECTION_KEYWORDS_ISSR_208008758_134L">#REF!</definedName>
    <definedName name="E_ALL_SECTION_KEYWORDS_ISSR_208008758_134Q">#REF!</definedName>
    <definedName name="E_ALL_SECTION_KEYWORDS_ISSR_208008758_134V">#REF!</definedName>
    <definedName name="E_ALL_SECTION_KEYWORDS_ISSR_208008758_1350" localSheetId="11">'Dummy brokers ex-sheet'!$C$120:$C$122</definedName>
    <definedName name="E_ALL_SECTION_KEYWORDS_ISSR_208008758_1355" localSheetId="11">'Dummy brokers ex-sheet'!$C$124:$C$131</definedName>
    <definedName name="E_ALL_SECTION_KEYWORDS_ISSR_208008758_135A" localSheetId="11">'Dummy brokers ex-sheet'!$C$133:$C$138</definedName>
    <definedName name="E_ALL_SECTION_KEYWORDS_ISSR_208008758_135F" localSheetId="11">'Dummy brokers ex-sheet'!$C$140:$C$145</definedName>
    <definedName name="E_ALL_SECTION_KEYWORDS_ISSR_208008758_135K" localSheetId="11">'Dummy brokers ex-sheet'!$C$147:$C$152</definedName>
    <definedName name="E_ALL_SECTION_KEYWORDS_ISSR_208008758_135P" localSheetId="11">'Dummy brokers ex-sheet'!$C$159:$C$160</definedName>
    <definedName name="E_ALL_SECTION_KEYWORDS_ISSR_208008758_135U" localSheetId="11">'Dummy brokers ex-sheet'!$C$162:$C$165</definedName>
    <definedName name="E_ALL_SECTION_KEYWORDS_ISSR_208008758_135Z" localSheetId="11">'Dummy brokers ex-sheet'!$C$154:$C$157</definedName>
    <definedName name="E_ALL_SECTION_KEYWORDS_ISSR_208008758_136E" localSheetId="11">'Dummy brokers ex-sheet'!$C$241:$C$250</definedName>
    <definedName name="E_ALL_SECTION_KEYWORDS_ISSR_208008758_13A" localSheetId="11">'Dummy brokers ex-sheet'!$C$9:$C$12</definedName>
    <definedName name="E_ALL_SECTION_KEYWORDS_ISSR_208008758_13U" localSheetId="11">'Dummy brokers ex-sheet'!$C$14:$C$46</definedName>
    <definedName name="E_ALL_SECTION_KEYWORDS_ISSR_208008758_13V" localSheetId="1">#REF!,#REF!</definedName>
    <definedName name="E_ALL_SECTION_KEYWORDS_ISSR_208008758_13V" localSheetId="11">'Dummy brokers ex-sheet'!$C$48:$C$51</definedName>
    <definedName name="E_ALL_SECTION_KEYWORDS_ISSR_208008758_13V" localSheetId="7">#REF!,#REF!</definedName>
    <definedName name="E_ALL_SECTION_KEYWORDS_ISSR_208008758_13V">#REF!,#REF!</definedName>
    <definedName name="E_ALL_SECTION_KEYWORDS_ISSR_208008758_Reference_Data" localSheetId="11">'Dummy brokers ex-sheet'!$C$6:$C$7</definedName>
    <definedName name="E_ALL_SECTIONS_EQTY_200004992">#REF!,#REF!,#REF!,#REF!,#REF!,#REF!,#REF!,#REF!,#REF!,#REF!,#REF!,#REF!,#REF!</definedName>
    <definedName name="E_ALL_SECTIONS_EQTY_200011471" localSheetId="11">'Dummy brokers ex-sheet'!$252:$252,'Dummy brokers ex-sheet'!$259:$259,'Dummy brokers ex-sheet'!$280:$280,'Dummy brokers ex-sheet'!$295:$295,'Dummy brokers ex-sheet'!$301:$301,'Dummy brokers ex-sheet'!$319:$319,'Dummy brokers ex-sheet'!$328:$328,'Dummy brokers ex-sheet'!$330:$330,'Dummy brokers ex-sheet'!$333:$333,'Dummy brokers ex-sheet'!$335:$335</definedName>
    <definedName name="E_ALL_SECTIONS_ISSR_208005522">#REF!,#REF!,#REF!,#REF!,#REF!,#REF!,#REF!,#REF!,#REF!,#REF!,#REF!,#REF!,#REF!,#REF!,#REF!,#REF!,#REF!,#REF!,#REF!,#REF!,#REF!,#REF!,#REF!,#REF!</definedName>
    <definedName name="E_ALL_SECTIONS_ISSR_208008758" localSheetId="11">'Dummy brokers ex-sheet'!$5:$5,'Dummy brokers ex-sheet'!$8:$8,'Dummy brokers ex-sheet'!$13:$13,'Dummy brokers ex-sheet'!$47:$47,'Dummy brokers ex-sheet'!$52:$52,'Dummy brokers ex-sheet'!$102:$102,'Dummy brokers ex-sheet'!$115:$115,'Dummy brokers ex-sheet'!$117:$117,'Dummy brokers ex-sheet'!$119:$119,'Dummy brokers ex-sheet'!$123:$123,'Dummy brokers ex-sheet'!$132:$132,'Dummy brokers ex-sheet'!$139:$139,'Dummy brokers ex-sheet'!$146:$146,'Dummy brokers ex-sheet'!$153:$153,'Dummy brokers ex-sheet'!$158:$158,'Dummy brokers ex-sheet'!$161:$161,'Dummy brokers ex-sheet'!$166:$166,'Dummy brokers ex-sheet'!$225:$225,'Dummy brokers ex-sheet'!$228:$228,'Dummy brokers ex-sheet'!$240:$240</definedName>
    <definedName name="E_ALL_WBC.AX">#REF!</definedName>
    <definedName name="E_CURRENCY_EQTY_200004992_PRI">#REF!</definedName>
    <definedName name="E_CURRENCY_EQTY_200004992_PUB">#REF!</definedName>
    <definedName name="E_CURRENCY_EQTY_200004992_REP">#REF!</definedName>
    <definedName name="E_CURRENCY_EQTY_200011471_PRI" localSheetId="11">'Dummy brokers ex-sheet'!$E$257</definedName>
    <definedName name="E_CURRENCY_EQTY_200011471_PUB" localSheetId="11">'Dummy brokers ex-sheet'!$E$256</definedName>
    <definedName name="E_CURRENCY_EQTY_200011471_REP" localSheetId="11">'Dummy brokers ex-sheet'!$E$258</definedName>
    <definedName name="E_CURRENCY_ISSR_208005522_REP">#REF!</definedName>
    <definedName name="E_CURRENCY_ISSR_208008758_REP" localSheetId="11">'Dummy brokers ex-sheet'!$E$7</definedName>
    <definedName name="E_ENTITY_DATA_EQTY_200011471" localSheetId="11">'Dummy brokers ex-sheet'!$E$252:$AI$338</definedName>
    <definedName name="E_ENTITY_DATA_ISSR_208008758" localSheetId="11">'Dummy brokers ex-sheet'!$E$5:$AI$250</definedName>
    <definedName name="E_KEYWORD_EQTY_200011471_ANZ_CONVICTION" localSheetId="11">'Dummy brokers ex-sheet'!$261:$261</definedName>
    <definedName name="E_KEYWORD_EQTY_200011471_ANZ_LIST" localSheetId="11">'Dummy brokers ex-sheet'!$260:$260</definedName>
    <definedName name="E_KEYWORD_EQTY_200011471_ASSET_SALES_GAIN_LOSS">#REF!</definedName>
    <definedName name="E_KEYWORD_EQTY_200011471_AVG_ORD_SHOLDERS_EQUITY">#REF!</definedName>
    <definedName name="E_KEYWORD_EQTY_200011471_AVG_PREF_CAPITAL">#REF!</definedName>
    <definedName name="E_KEYWORD_EQTY_200011471_B_BS_L_GSEQUITY">#REF!</definedName>
    <definedName name="E_KEYWORD_EQTY_200011471_B_CAMELOT_BETA">#REF!</definedName>
    <definedName name="E_KEYWORD_EQTY_200011471_B_CAMELOT_CAGR_DPS">#REF!</definedName>
    <definedName name="E_KEYWORD_EQTY_200011471_B_CAMELOT_PB">#REF!</definedName>
    <definedName name="E_KEYWORD_EQTY_200011471_B_CAMELOT_PE">#REF!</definedName>
    <definedName name="E_KEYWORD_EQTY_200011471_B_FORECASTRANGE">#REF!</definedName>
    <definedName name="E_KEYWORD_EQTY_200011471_B_FORECASTYRS">#REF!</definedName>
    <definedName name="E_KEYWORD_EQTY_200011471_B_PL_GSBVPS">#REF!</definedName>
    <definedName name="E_KEYWORD_EQTY_200011471_B_PL_GSEPS">#REF!</definedName>
    <definedName name="E_KEYWORD_EQTY_200011471_B_PL_GSINCOME">#REF!</definedName>
    <definedName name="E_KEYWORD_EQTY_200011471_B_PL_PTASSOC">#REF!</definedName>
    <definedName name="E_KEYWORD_EQTY_200011471_B_RIM_BETA">#REF!</definedName>
    <definedName name="E_KEYWORD_EQTY_200011471_B_RIM_COE">#REF!</definedName>
    <definedName name="E_KEYWORD_EQTY_200011471_B_RIM_PB">#REF!</definedName>
    <definedName name="E_KEYWORD_EQTY_200011471_B_RIM_PE">#REF!</definedName>
    <definedName name="E_KEYWORD_EQTY_200011471_BASE_CASE_VAL_DCF">#REF!</definedName>
    <definedName name="E_KEYWORD_EQTY_200011471_BENEFITS_TAX_LOSSES">#REF!</definedName>
    <definedName name="E_KEYWORD_EQTY_200011471_BETA_ANALYST" localSheetId="11">'Dummy brokers ex-sheet'!$336:$336</definedName>
    <definedName name="E_KEYWORD_EQTY_200011471_BVPS" localSheetId="11">'Dummy brokers ex-sheet'!$331:$331</definedName>
    <definedName name="E_KEYWORD_EQTY_200011471_BVPS_PUB" localSheetId="11">'Dummy brokers ex-sheet'!$281:$281</definedName>
    <definedName name="E_KEYWORD_EQTY_200011471_CASH_EARNINGS_COMPANY">#REF!</definedName>
    <definedName name="E_KEYWORD_EQTY_200011471_CATALYST1_DATE" localSheetId="11">'Dummy brokers ex-sheet'!$268:$268</definedName>
    <definedName name="E_KEYWORD_EQTY_200011471_CATALYST1_EVENT" localSheetId="11">'Dummy brokers ex-sheet'!$269:$269</definedName>
    <definedName name="E_KEYWORD_EQTY_200011471_CATALYST2_DATE" localSheetId="11">'Dummy brokers ex-sheet'!$270:$270</definedName>
    <definedName name="E_KEYWORD_EQTY_200011471_CATALYST2_EVENT" localSheetId="11">'Dummy brokers ex-sheet'!$271:$271</definedName>
    <definedName name="E_KEYWORD_EQTY_200011471_CATALYST3_DATE" localSheetId="11">'Dummy brokers ex-sheet'!$272:$272</definedName>
    <definedName name="E_KEYWORD_EQTY_200011471_CATALYST3_EVENT" localSheetId="11">'Dummy brokers ex-sheet'!$273:$273</definedName>
    <definedName name="E_KEYWORD_EQTY_200011471_CATALYST4_DATE" localSheetId="11">'Dummy brokers ex-sheet'!$274:$274</definedName>
    <definedName name="E_KEYWORD_EQTY_200011471_CATALYST4_EVENT" localSheetId="11">'Dummy brokers ex-sheet'!$275:$275</definedName>
    <definedName name="E_KEYWORD_EQTY_200011471_CATALYST5_DATE" localSheetId="11">'Dummy brokers ex-sheet'!$276:$276</definedName>
    <definedName name="E_KEYWORD_EQTY_200011471_CATALYST5_EVENT" localSheetId="11">'Dummy brokers ex-sheet'!$277:$277</definedName>
    <definedName name="E_KEYWORD_EQTY_200011471_CEEE_NDEBT">#REF!</definedName>
    <definedName name="E_KEYWORD_EQTY_200011471_COE">#REF!</definedName>
    <definedName name="E_KEYWORD_EQTY_200011471_COMMON_DIV_PAID" localSheetId="11">'Dummy brokers ex-sheet'!$314:$314</definedName>
    <definedName name="E_KEYWORD_EQTY_200011471_CONVERTIBLE_NOTES">#REF!</definedName>
    <definedName name="E_KEYWORD_EQTY_200011471_COST_OF_EQUITY_DCF">#REF!</definedName>
    <definedName name="E_KEYWORD_EQTY_200011471_CUM_PRESENT_VAL_CASH_FLOWS_DCF">#REF!</definedName>
    <definedName name="E_KEYWORD_EQTY_200011471_CURRENCY_ISO" localSheetId="11">'Dummy brokers ex-sheet'!$258:$258</definedName>
    <definedName name="E_KEYWORD_EQTY_200011471_DCF_CASH_FLOW" localSheetId="11">'Dummy brokers ex-sheet'!$334:$334</definedName>
    <definedName name="E_KEYWORD_EQTY_200011471_DEBT_EQUITY">#REF!</definedName>
    <definedName name="E_KEYWORD_EQTY_200011471_DEBT_RISK_MARGIN_DCF">#REF!</definedName>
    <definedName name="E_KEYWORD_EQTY_200011471_DILUTE_NI_IMPAC">#REF!</definedName>
    <definedName name="E_KEYWORD_EQTY_200011471_DILUTE_SHARES" localSheetId="11">'Dummy brokers ex-sheet'!$317:$317</definedName>
    <definedName name="E_KEYWORD_EQTY_200011471_DISCOUNT_FACTOR_DCF" localSheetId="11">'Dummy brokers ex-sheet'!$297:$297</definedName>
    <definedName name="E_KEYWORD_EQTY_200011471_DPS" localSheetId="11">'Dummy brokers ex-sheet'!$315:$315</definedName>
    <definedName name="E_KEYWORD_EQTY_200011471_DPS_PUB" localSheetId="11">'Dummy brokers ex-sheet'!$282:$282</definedName>
    <definedName name="E_KEYWORD_EQTY_200011471_DPS_SPECIAL_PUB" localSheetId="11">'Dummy brokers ex-sheet'!$283:$283</definedName>
    <definedName name="E_KEYWORD_EQTY_200011471_DRP_DISCOUNT">#REF!</definedName>
    <definedName name="E_KEYWORD_EQTY_200011471_DRP_PARTICIPATION">#REF!</definedName>
    <definedName name="E_KEYWORD_EQTY_200011471_EBIT_PUB" localSheetId="11">'Dummy brokers ex-sheet'!$289:$289</definedName>
    <definedName name="E_KEYWORD_EQTY_200011471_EBITDA_PUB" localSheetId="11">'Dummy brokers ex-sheet'!$284:$284</definedName>
    <definedName name="E_KEYWORD_EQTY_200011471_EFF_INT_RATE_IMPACT_POST_TAX">#REF!</definedName>
    <definedName name="E_KEYWORD_EQTY_200011471_EFPO">#REF!</definedName>
    <definedName name="E_KEYWORD_EQTY_200011471_EFPOWA">#REF!</definedName>
    <definedName name="E_KEYWORD_EQTY_200011471_EPS" localSheetId="11">'Dummy brokers ex-sheet'!$310:$310</definedName>
    <definedName name="E_KEYWORD_EQTY_200011471_EPS_CONS_PUB" localSheetId="11">'Dummy brokers ex-sheet'!$293:$293</definedName>
    <definedName name="E_KEYWORD_EQTY_200011471_EPS_FUL_DIL" localSheetId="11">'Dummy brokers ex-sheet'!$311:$311</definedName>
    <definedName name="E_KEYWORD_EQTY_200011471_EPS_POST_BASIC" localSheetId="11">'Dummy brokers ex-sheet'!$312:$312</definedName>
    <definedName name="E_KEYWORD_EQTY_200011471_EPS_PRE_GWILL">#REF!</definedName>
    <definedName name="E_KEYWORD_EQTY_200011471_EPS_PUB" localSheetId="11">'Dummy brokers ex-sheet'!$285:$285</definedName>
    <definedName name="E_KEYWORD_EQTY_200011471_EPS_REPORTED">#REF!</definedName>
    <definedName name="E_KEYWORD_EQTY_200011471_EQ_PUB" localSheetId="11">'Dummy brokers ex-sheet'!$292:$292</definedName>
    <definedName name="E_KEYWORD_EQTY_200011471_EQUITY_VALUE_DCF">#REF!</definedName>
    <definedName name="E_KEYWORD_EQTY_200011471_EV_ADJ_PUB" localSheetId="11">'Dummy brokers ex-sheet'!$286:$286</definedName>
    <definedName name="E_KEYWORD_EQTY_200011471_FIN_INSTRUMENT_HEDGE_POST_TAX">#REF!</definedName>
    <definedName name="E_KEYWORD_EQTY_200011471_FINAL_DIV_AMOUNT" localSheetId="11">'Dummy brokers ex-sheet'!$324:$324</definedName>
    <definedName name="E_KEYWORD_EQTY_200011471_FINAL_DIV_EXDATE" localSheetId="11">'Dummy brokers ex-sheet'!$325:$325</definedName>
    <definedName name="E_KEYWORD_EQTY_200011471_FINAL_DIV_FRANK" localSheetId="11">'Dummy brokers ex-sheet'!$326:$326</definedName>
    <definedName name="E_KEYWORD_EQTY_200011471_FINAL_DIV_TAXRATE" localSheetId="11">'Dummy brokers ex-sheet'!$327:$327</definedName>
    <definedName name="E_KEYWORD_EQTY_200011471_FOREIGN_EXCHANGE_GAIN_LOSS">#REF!</definedName>
    <definedName name="E_KEYWORD_EQTY_200011471_FOREIGN_HOLDNG" localSheetId="11">'Dummy brokers ex-sheet'!$267:$267</definedName>
    <definedName name="E_KEYWORD_EQTY_200011471_FRANK_TAX_RATE">#REF!</definedName>
    <definedName name="E_KEYWORD_EQTY_200011471_FRANKING">#REF!</definedName>
    <definedName name="E_KEYWORD_EQTY_200011471_FRANKING_ANZPUB" localSheetId="11">'Dummy brokers ex-sheet'!$299:$299</definedName>
    <definedName name="E_KEYWORD_EQTY_200011471_FRANKING_SPECIAL_ANZPUB" localSheetId="11">'Dummy brokers ex-sheet'!$300:$300</definedName>
    <definedName name="E_KEYWORD_EQTY_200011471_FREE_FLOAT" localSheetId="11">'Dummy brokers ex-sheet'!$266:$266</definedName>
    <definedName name="E_KEYWORD_EQTY_200011471_FULLY_DIL_EPS" localSheetId="11">'Dummy brokers ex-sheet'!$313:$313</definedName>
    <definedName name="E_KEYWORD_EQTY_200011471_GRTH_CAGR_TOT_ASSET_PROJECTED">#REF!</definedName>
    <definedName name="E_KEYWORD_EQTY_200011471_GRTH_CAGR_TOT_ASSET_TERMINAL">#REF!</definedName>
    <definedName name="E_KEYWORD_EQTY_200011471_GWILL_ASSET_IMP_CHG_POST_TAX">#REF!</definedName>
    <definedName name="E_KEYWORD_EQTY_200011471_IMP_CREDITS_PER_SHARE_DCF">#REF!</definedName>
    <definedName name="E_KEYWORD_EQTY_200011471_INC_MINORITY" localSheetId="11">'Dummy brokers ex-sheet'!$304:$304</definedName>
    <definedName name="E_KEYWORD_EQTY_200011471_INCTAX_PL_ON_AB">#REF!</definedName>
    <definedName name="E_KEYWORD_EQTY_200011471_INCTAX_PL_POST_AB">#REF!</definedName>
    <definedName name="E_KEYWORD_EQTY_200011471_INT_DIV_AMOUNT" localSheetId="11">'Dummy brokers ex-sheet'!$320:$320</definedName>
    <definedName name="E_KEYWORD_EQTY_200011471_INT_DIV_EXDATE" localSheetId="11">'Dummy brokers ex-sheet'!$321:$321</definedName>
    <definedName name="E_KEYWORD_EQTY_200011471_INT_DIV_FRANK" localSheetId="11">'Dummy brokers ex-sheet'!$322:$322</definedName>
    <definedName name="E_KEYWORD_EQTY_200011471_INT_DIV_TAXRATE" localSheetId="11">'Dummy brokers ex-sheet'!$323:$323</definedName>
    <definedName name="E_KEYWORD_EQTY_200011471_Interim_Type" localSheetId="11">'Dummy brokers ex-sheet'!$255:$255</definedName>
    <definedName name="E_KEYWORD_EQTY_200011471_INTRINSIC_PER_SHARE_VALUE_DCF">#REF!</definedName>
    <definedName name="E_KEYWORD_EQTY_200011471_LEGAL_RATING" localSheetId="11">'Dummy brokers ex-sheet'!$262:$262</definedName>
    <definedName name="E_KEYWORD_EQTY_200011471_MARGIN_TAX_RATE">#REF!</definedName>
    <definedName name="E_KEYWORD_EQTY_200011471_MARKET_VALUE_OF_INVESTMENTS_DCF">#REF!</definedName>
    <definedName name="E_KEYWORD_EQTY_200011471_MINOR_EQUITY">#REF!</definedName>
    <definedName name="E_KEYWORD_EQTY_200011471_MINOR_NON_EQUITY">#REF!</definedName>
    <definedName name="E_KEYWORD_EQTY_200011471_MKT_EQ_RISK_PREM" localSheetId="11">'Dummy brokers ex-sheet'!$337:$337</definedName>
    <definedName name="E_KEYWORD_EQTY_200011471_NET_DEBT_EX_LEASES_PUB">#REF!</definedName>
    <definedName name="E_KEYWORD_EQTY_200011471_NET_DEBT_NET_CASH_DCF">#REF!</definedName>
    <definedName name="E_KEYWORD_EQTY_200011471_NET_DEBT_PUB" localSheetId="11">'Dummy brokers ex-sheet'!$287:$287</definedName>
    <definedName name="E_KEYWORD_EQTY_200011471_NET_EARNING" localSheetId="11">'Dummy brokers ex-sheet'!$307:$307</definedName>
    <definedName name="E_KEYWORD_EQTY_200011471_NET_INC" localSheetId="11">'Dummy brokers ex-sheet'!$309:$309</definedName>
    <definedName name="E_KEYWORD_EQTY_200011471_NET_PROFIT">#REF!</definedName>
    <definedName name="E_KEYWORD_EQTY_200011471_NET_TANGIBLE_ASSETS_ADJUSTED_NZ">#REF!</definedName>
    <definedName name="E_KEYWORD_EQTY_200011471_NI_CONS" localSheetId="11">'Dummy brokers ex-sheet'!$329:$329</definedName>
    <definedName name="E_KEYWORD_EQTY_200011471_NI_PRE_PREF" localSheetId="11">'Dummy brokers ex-sheet'!$305:$305</definedName>
    <definedName name="E_KEYWORD_EQTY_200011471_NI_PUB" localSheetId="11">'Dummy brokers ex-sheet'!$288:$288</definedName>
    <definedName name="E_KEYWORD_EQTY_200011471_NI_REPT_PUB" localSheetId="11">'Dummy brokers ex-sheet'!$298:$298</definedName>
    <definedName name="E_KEYWORD_EQTY_200011471_NON_OP_ADD" localSheetId="11">'Dummy brokers ex-sheet'!$318:$318</definedName>
    <definedName name="E_KEYWORD_EQTY_200011471_NOPAT">#REF!</definedName>
    <definedName name="E_KEYWORD_EQTY_200011471_NOT_IN_USE">#REF!</definedName>
    <definedName name="E_KEYWORD_EQTY_200011471_NTA_PER_SHARE" localSheetId="11">'Dummy brokers ex-sheet'!$294:$294</definedName>
    <definedName name="E_KEYWORD_EQTY_200011471_NUM_SH" localSheetId="11">'Dummy brokers ex-sheet'!$265:$265</definedName>
    <definedName name="E_KEYWORD_EQTY_200011471_OPPL_ATAX_POST_AB">#REF!</definedName>
    <definedName name="E_KEYWORD_EQTY_200011471_OPTIONS">#REF!</definedName>
    <definedName name="E_KEYWORD_EQTY_200011471_OPTIONS_IN_MONEY">#REF!</definedName>
    <definedName name="E_KEYWORD_EQTY_200011471_OTH_ASSET_IMPAIR_CHG_POST_TAX">#REF!</definedName>
    <definedName name="E_KEYWORD_EQTY_200011471_OTHER_ABNORMAL_ITEMS">#REF!</definedName>
    <definedName name="E_KEYWORD_EQTY_200011471_OTHER_CAPITAL">#REF!</definedName>
    <definedName name="E_KEYWORD_EQTY_200011471_OTHER_IFRS_ADJUST_POST_TAX">#REF!</definedName>
    <definedName name="E_KEYWORD_EQTY_200011471_PARTLY_PAID_SHARES">#REF!</definedName>
    <definedName name="E_KEYWORD_EQTY_200011471_PERPETUITY_GROWTH_RATE_DCF">#REF!</definedName>
    <definedName name="E_KEYWORD_EQTY_200011471_PREF_DIV" localSheetId="11">'Dummy brokers ex-sheet'!$306:$306</definedName>
    <definedName name="E_KEYWORD_EQTY_200011471_PREFERENCE_SHARES">#REF!</definedName>
    <definedName name="E_KEYWORD_EQTY_200011471_PRESENT_VALUE_OF_CASH_FLOW_DCF">#REF!</definedName>
    <definedName name="E_KEYWORD_EQTY_200011471_PRI_TARG_METH" localSheetId="11">'Dummy brokers ex-sheet'!$279:$279</definedName>
    <definedName name="E_KEYWORD_EQTY_200011471_PRI_TARG_MULT" localSheetId="11">'Dummy brokers ex-sheet'!$278:$278</definedName>
    <definedName name="E_KEYWORD_EQTY_200011471_PRICE_CURRENCY_ISO" localSheetId="11">'Dummy brokers ex-sheet'!$257:$257</definedName>
    <definedName name="E_KEYWORD_EQTY_200011471_PROF_ADJUST_EPS">#REF!</definedName>
    <definedName name="E_KEYWORD_EQTY_200011471_PROF_AT" localSheetId="11">'Dummy brokers ex-sheet'!$303:$303</definedName>
    <definedName name="E_KEYWORD_EQTY_200011471_PROV_INC_TAX" localSheetId="11">'Dummy brokers ex-sheet'!$302:$302</definedName>
    <definedName name="E_KEYWORD_EQTY_200011471_PTP_PUB" localSheetId="11">'Dummy brokers ex-sheet'!$290:$290</definedName>
    <definedName name="E_KEYWORD_EQTY_200011471_PUB_CURRENCY_ISO" localSheetId="11">'Dummy brokers ex-sheet'!$256:$256</definedName>
    <definedName name="E_KEYWORD_EQTY_200011471_RESTRUC_COSTS">#REF!</definedName>
    <definedName name="E_KEYWORD_EQTY_200011471_REVS_PUB" localSheetId="11">'Dummy brokers ex-sheet'!$291:$291</definedName>
    <definedName name="E_KEYWORD_EQTY_200011471_RISK_ADJ_OPTION_VALUE_DCF">#REF!</definedName>
    <definedName name="E_KEYWORD_EQTY_200011471_RISK_FR_RATE" localSheetId="11">'Dummy brokers ex-sheet'!$338:$338</definedName>
    <definedName name="E_KEYWORD_EQTY_200011471_RISK_TO_EARNINGS" localSheetId="11">'Dummy brokers ex-sheet'!$296:$296</definedName>
    <definedName name="E_KEYWORD_EQTY_200011471_RISK_WEIGHTED_ASSET_APRA">#REF!</definedName>
    <definedName name="E_KEYWORD_EQTY_200011471_ROAA_PROJECTED">#REF!</definedName>
    <definedName name="E_KEYWORD_EQTY_200011471_ROCE_ANZ">#REF!</definedName>
    <definedName name="E_KEYWORD_EQTY_200011471_ROE_TERMINAL">#REF!</definedName>
    <definedName name="E_KEYWORD_EQTY_200011471_Security_Name" localSheetId="11">'Dummy brokers ex-sheet'!$254:$254</definedName>
    <definedName name="E_KEYWORD_EQTY_200011471_SH" localSheetId="11">'Dummy brokers ex-sheet'!$316:$316</definedName>
    <definedName name="E_KEYWORD_EQTY_200011471_SHOLDERS_EQUITY_MBRS">#REF!</definedName>
    <definedName name="E_KEYWORD_EQTY_200011471_STD_FREE_OP_CASH_FLOW_DCF">#REF!</definedName>
    <definedName name="E_KEYWORD_EQTY_200011471_TANG_BVPS" localSheetId="11">'Dummy brokers ex-sheet'!$332:$332</definedName>
    <definedName name="E_KEYWORD_EQTY_200011471_TARGET_PRICE" localSheetId="11">'Dummy brokers ex-sheet'!$263:$263</definedName>
    <definedName name="E_KEYWORD_EQTY_200011471_TARGET_PRICE_FUNDAMENTAL">#REF!</definedName>
    <definedName name="E_KEYWORD_EQTY_200011471_TARGET_PRICE_MA">#REF!</definedName>
    <definedName name="E_KEYWORD_EQTY_200011471_TAX_EXC" localSheetId="11">'Dummy brokers ex-sheet'!$308:$308</definedName>
    <definedName name="E_KEYWORD_EQTY_200011471_TAX_RATE_DCF">#REF!</definedName>
    <definedName name="E_KEYWORD_EQTY_200011471_TBVPS_LAST">#REF!</definedName>
    <definedName name="E_KEYWORD_EQTY_200011471_TERMINAL_YEAR_DCF">#REF!</definedName>
    <definedName name="E_KEYWORD_EQTY_200011471_Ticker" localSheetId="11">'Dummy brokers ex-sheet'!$253:$253</definedName>
    <definedName name="E_KEYWORD_EQTY_200011471_TOTAL_ANNUAL_DIV_AMOUNT">#REF!</definedName>
    <definedName name="E_KEYWORD_EQTY_200011471_TOTAL_CAPITAL_EFPO">#REF!</definedName>
    <definedName name="E_KEYWORD_EQTY_200011471_TOTAL_CAPITAL_EFPOWA">#REF!</definedName>
    <definedName name="E_KEYWORD_EQTY_200011471_TOTAL_IFRS_ADJUST_POST_TAX">#REF!</definedName>
    <definedName name="E_KEYWORD_EQTY_200011471_TP_PERIOD" localSheetId="11">'Dummy brokers ex-sheet'!$264:$264</definedName>
    <definedName name="E_KEYWORD_EQTY_200011471_VALUATION_YEAR">#REF!</definedName>
    <definedName name="E_KEYWORD_EQTY_200011471_WACC_DCF">#REF!</definedName>
    <definedName name="E_KEYWORD_EQTY_200011471_YEAR_END_CAPITAL_EVA">#REF!</definedName>
    <definedName name="E_KEYWORD_ISSR_208008758_ACC_END_DATE" localSheetId="11">'Dummy brokers ex-sheet'!$3:$3</definedName>
    <definedName name="E_KEYWORD_ISSR_208008758_ACC_PAY_GQ" localSheetId="11">'Dummy brokers ex-sheet'!$83:$83</definedName>
    <definedName name="E_KEYWORD_ISSR_208008758_ACCEPTANCES_ASSETS">#REF!</definedName>
    <definedName name="E_KEYWORD_ISSR_208008758_ACCEPTANCES_LIABS">#REF!</definedName>
    <definedName name="E_KEYWORD_ISSR_208008758_ACCRUAL">#REF!</definedName>
    <definedName name="E_KEYWORD_ISSR_208008758_ACCRUED_EXP_OTH" localSheetId="11">'Dummy brokers ex-sheet'!$84:$84</definedName>
    <definedName name="E_KEYWORD_ISSR_208008758_AM_FEE" localSheetId="11">'Dummy brokers ex-sheet'!$18:$18</definedName>
    <definedName name="E_KEYWORD_ISSR_208008758_AM_MARGIN" localSheetId="11">'Dummy brokers ex-sheet'!$148:$148</definedName>
    <definedName name="E_KEYWORD_ISSR_208008758_AM_PTP" localSheetId="11">'Dummy brokers ex-sheet'!$141:$141</definedName>
    <definedName name="E_KEYWORD_ISSR_208008758_AM_REVS" localSheetId="11">'Dummy brokers ex-sheet'!$134:$134</definedName>
    <definedName name="E_KEYWORD_ISSR_208008758_AMB_MARGIN" localSheetId="11">'Dummy brokers ex-sheet'!$150:$150</definedName>
    <definedName name="E_KEYWORD_ISSR_208008758_AMB_PTP" localSheetId="11">'Dummy brokers ex-sheet'!$143:$143</definedName>
    <definedName name="E_KEYWORD_ISSR_208008758_AMB_REVS" localSheetId="11">'Dummy brokers ex-sheet'!$136:$136</definedName>
    <definedName name="E_KEYWORD_ISSR_208008758_AMORT_OF_INTANGIBLES">#REF!</definedName>
    <definedName name="E_KEYWORD_ISSR_208008758_AMORT_OF_INTANGIBLES_ADJ">#REF!</definedName>
    <definedName name="E_KEYWORD_ISSR_208008758_ASIA_ASS">#REF!</definedName>
    <definedName name="E_KEYWORD_ISSR_208008758_ASIA_OP">#REF!</definedName>
    <definedName name="E_KEYWORD_ISSR_208008758_ASIA_SALES">#REF!</definedName>
    <definedName name="E_KEYWORD_ISSR_208008758_ASSET_ATTRACTIVENESS" localSheetId="7">'Dummy brokers ex-sheet'!#REF!</definedName>
    <definedName name="E_KEYWORD_ISSR_208008758_ASSET_ATTRACTIVENESS">'Dummy brokers ex-sheet'!#REF!</definedName>
    <definedName name="E_KEYWORD_ISSR_208008758_ASSET_MISC">#REF!</definedName>
    <definedName name="E_KEYWORD_ISSR_208008758_ASSOCIATE">#REF!</definedName>
    <definedName name="E_KEYWORD_ISSR_208008758_AVG_ACCEPTANCES">#REF!</definedName>
    <definedName name="E_KEYWORD_ISSR_208008758_AVG_CAPITAL_EMPLOYED_ADJ">#REF!</definedName>
    <definedName name="E_KEYWORD_ISSR_208008758_AVG_GROSS_NON_PERF_ASSETS">#REF!</definedName>
    <definedName name="E_KEYWORD_ISSR_208008758_AVG_INT_BEARING_LIABS">#REF!</definedName>
    <definedName name="E_KEYWORD_ISSR_208008758_AVG_INT_EARN_ASSETS">#REF!</definedName>
    <definedName name="E_KEYWORD_ISSR_208008758_AVG_LOANS_ADVANCES">#REF!</definedName>
    <definedName name="E_KEYWORD_ISSR_208008758_AVG_NON_INT_BEARING_LIABS">#REF!</definedName>
    <definedName name="E_KEYWORD_ISSR_208008758_AVG_OTH_PROD_ASSETS">#REF!</definedName>
    <definedName name="E_KEYWORD_ISSR_208008758_AVG_OTHER_ASSETS">#REF!</definedName>
    <definedName name="E_KEYWORD_ISSR_208008758_AVG_OTHER_LIABS">#REF!</definedName>
    <definedName name="E_KEYWORD_ISSR_208008758_AVG_PROD_INT_EARN_ASSETS">#REF!</definedName>
    <definedName name="E_KEYWORD_ISSR_208008758_AVG_PROV_BAD_DEBT">#REF!</definedName>
    <definedName name="E_KEYWORD_ISSR_208008758_AVG_TOTAL_ASSETS">#REF!</definedName>
    <definedName name="E_KEYWORD_ISSR_208008758_B_BS_A_DEBTTOT">#REF!</definedName>
    <definedName name="E_KEYWORD_ISSR_208008758_B_BS_A_LNBNK">#REF!</definedName>
    <definedName name="E_KEYWORD_ISSR_208008758_B_BS_A_NETLOANS">#REF!</definedName>
    <definedName name="E_KEYWORD_ISSR_208008758_B_BS_A_OTHINT1">#REF!</definedName>
    <definedName name="E_KEYWORD_ISSR_208008758_B_BS_A_PERIOD">#REF!</definedName>
    <definedName name="E_KEYWORD_ISSR_208008758_B_BS_L_BANKDEP">#REF!</definedName>
    <definedName name="E_KEYWORD_ISSR_208008758_B_BS_L_CUSTDEP">#REF!</definedName>
    <definedName name="E_KEYWORD_ISSR_208008758_B_BS_L_GSTANGEQ">#REF!</definedName>
    <definedName name="E_KEYWORD_ISSR_208008758_B_BS_L_PERIOD">#REF!</definedName>
    <definedName name="E_KEYWORD_ISSR_208008758_B_CA_BISRATIO">#REF!</definedName>
    <definedName name="E_KEYWORD_ISSR_208008758_B_CA_CAPBASE">#REF!</definedName>
    <definedName name="E_KEYWORD_ISSR_208008758_B_CA_CORECAP">#REF!</definedName>
    <definedName name="E_KEYWORD_ISSR_208008758_B_CA_PREFCAP">#REF!</definedName>
    <definedName name="E_KEYWORD_ISSR_208008758_B_CA_RWA">#REF!</definedName>
    <definedName name="E_KEYWORD_ISSR_208008758_B_CA_T1CAP">#REF!</definedName>
    <definedName name="E_KEYWORD_ISSR_208008758_B_CA_T1RATIO">#REF!</definedName>
    <definedName name="E_KEYWORD_ISSR_208008758_B_CA_T2CAP">#REF!</definedName>
    <definedName name="E_KEYWORD_ISSR_208008758_B_CA_T2RATIO">#REF!</definedName>
    <definedName name="E_KEYWORD_ISSR_208008758_B_CAMELOT_SUST_ROE">#REF!</definedName>
    <definedName name="E_KEYWORD_ISSR_208008758_B_CORP_OTH" localSheetId="11">'Dummy brokers ex-sheet'!$58:$58</definedName>
    <definedName name="E_KEYWORD_ISSR_208008758_B_DE_DEMAND">#REF!</definedName>
    <definedName name="E_KEYWORD_ISSR_208008758_B_DE_OTHERS">#REF!</definedName>
    <definedName name="E_KEYWORD_ISSR_208008758_B_DE_TIME">#REF!</definedName>
    <definedName name="E_KEYWORD_ISSR_208008758_B_DE_TOTDEPOSIT">#REF!</definedName>
    <definedName name="E_KEYWORD_ISSR_208008758_B_GOVERNMT" localSheetId="11">'Dummy brokers ex-sheet'!$56:$56</definedName>
    <definedName name="E_KEYWORD_ISSR_208008758_B_GOVERNMT_SLD" localSheetId="11">'Dummy brokers ex-sheet'!$77:$77</definedName>
    <definedName name="E_KEYWORD_ISSR_208008758_B_IH_BKVALUE">#REF!</definedName>
    <definedName name="E_KEYWORD_ISSR_208008758_B_IH_MKTVALUE">#REF!</definedName>
    <definedName name="E_KEYWORD_ISSR_208008758_B_IH_PTAXVALUE">#REF!</definedName>
    <definedName name="E_KEYWORD_ISSR_208008758_B_IH_TAX">#REF!</definedName>
    <definedName name="E_KEYWORD_ISSR_208008758_B_IH_UNREALISE">#REF!</definedName>
    <definedName name="E_KEYWORD_ISSR_208008758_B_LB_COMMCL">#REF!</definedName>
    <definedName name="E_KEYWORD_ISSR_208008758_B_LB_CONSTRUCT">#REF!</definedName>
    <definedName name="E_KEYWORD_ISSR_208008758_B_LB_FINANCL">#REF!</definedName>
    <definedName name="E_KEYWORD_ISSR_208008758_B_LB_FINLEASE">#REF!</definedName>
    <definedName name="E_KEYWORD_ISSR_208008758_B_LB_GOVERNMT">#REF!</definedName>
    <definedName name="E_KEYWORD_ISSR_208008758_B_LB_GROSSLOANS">#REF!</definedName>
    <definedName name="E_KEYWORD_ISSR_208008758_B_LB_MORTG">#REF!</definedName>
    <definedName name="E_KEYWORD_ISSR_208008758_B_LB_OTHER">#REF!</definedName>
    <definedName name="E_KEYWORD_ISSR_208008758_B_LB_OTHLEND">#REF!</definedName>
    <definedName name="E_KEYWORD_ISSR_208008758_B_LB_OTHSECURE">#REF!</definedName>
    <definedName name="E_KEYWORD_ISSR_208008758_B_LB_OVSEASLEND">#REF!</definedName>
    <definedName name="E_KEYWORD_ISSR_208008758_B_LB_PERSON">#REF!</definedName>
    <definedName name="E_KEYWORD_ISSR_208008758_B_LB_TOTCORP">#REF!</definedName>
    <definedName name="E_KEYWORD_ISSR_208008758_B_LB_TOTPERSNL">#REF!</definedName>
    <definedName name="E_KEYWORD_ISSR_208008758_B_LT_DIV_PAYOUT">#REF!</definedName>
    <definedName name="E_KEYWORD_ISSR_208008758_B_MA_REPCOSTLIB">#REF!</definedName>
    <definedName name="E_KEYWORD_ISSR_208008758_B_MA_REPGYLD">#REF!</definedName>
    <definedName name="E_KEYWORD_ISSR_208008758_B_MA_REPIMPSPD">#REF!</definedName>
    <definedName name="E_KEYWORD_ISSR_208008758_B_MA_REPINTAST">#REF!</definedName>
    <definedName name="E_KEYWORD_ISSR_208008758_B_MA_REPINTLIB">#REF!</definedName>
    <definedName name="E_KEYWORD_ISSR_208008758_B_MA_REPNIM">#REF!</definedName>
    <definedName name="E_KEYWORD_ISSR_208008758_B_MORTG" localSheetId="11">'Dummy brokers ex-sheet'!$57:$57</definedName>
    <definedName name="E_KEYWORD_ISSR_208008758_B_NPL_PROBLN">#REF!</definedName>
    <definedName name="E_KEYWORD_ISSR_208008758_B_NPL_TOTNPL">#REF!</definedName>
    <definedName name="E_KEYWORD_ISSR_208008758_B_PL_LOANPRV" localSheetId="11">'Dummy brokers ex-sheet'!$35:$35</definedName>
    <definedName name="E_KEYWORD_ISSR_208008758_B_PL_NETINTINC" localSheetId="11">'Dummy brokers ex-sheet'!$16:$16</definedName>
    <definedName name="E_KEYWORD_ISSR_208008758_B_PV_GLLRCUST">#REF!</definedName>
    <definedName name="E_KEYWORD_ISSR_208008758_B_PV_SLLRCUST">#REF!</definedName>
    <definedName name="E_KEYWORD_ISSR_208008758_B_PV_TOTLLRCUST">#REF!</definedName>
    <definedName name="E_KEYWORD_ISSR_208008758_BAL_MINO_INT" localSheetId="11">'Dummy brokers ex-sheet'!$113:$113</definedName>
    <definedName name="E_KEYWORD_ISSR_208008758_BAL_OF_FRANK_CREDITS">#REF!</definedName>
    <definedName name="E_KEYWORD_ISSR_208008758_BEARING_DEBT" localSheetId="11">'Dummy brokers ex-sheet'!$55:$55</definedName>
    <definedName name="E_KEYWORD_ISSR_208008758_BONDS_NOTES_SUBORD_DEBT">#REF!</definedName>
    <definedName name="E_KEYWORD_ISSR_208008758_BR_AUM" localSheetId="11">'Dummy brokers ex-sheet'!$154:$154</definedName>
    <definedName name="E_KEYWORD_ISSR_208008758_BR_DEP" localSheetId="11">'Dummy brokers ex-sheet'!$76:$76</definedName>
    <definedName name="E_KEYWORD_ISSR_208008758_BR_OTH_EQ" localSheetId="11">'Dummy brokers ex-sheet'!$100:$100</definedName>
    <definedName name="E_KEYWORD_ISSR_208008758_BRANCHES">#REF!</definedName>
    <definedName name="E_KEYWORD_ISSR_208008758_BROK_CLEAR_EXP" localSheetId="11">'Dummy brokers ex-sheet'!$28:$28</definedName>
    <definedName name="E_KEYWORD_ISSR_208008758_BROKER_PAYBLS" localSheetId="11">'Dummy brokers ex-sheet'!$85:$85</definedName>
    <definedName name="E_KEYWORD_ISSR_208008758_BROKER_RECVBLS" localSheetId="11">'Dummy brokers ex-sheet'!$67:$67</definedName>
    <definedName name="E_KEYWORD_ISSR_208008758_BUS_DEV_EXP" localSheetId="11">'Dummy brokers ex-sheet'!$29:$29</definedName>
    <definedName name="E_KEYWORD_ISSR_208008758_CAP_LEASES" localSheetId="11">'Dummy brokers ex-sheet'!$107:$107</definedName>
    <definedName name="E_KEYWORD_ISSR_208008758_CAP_MARGIN" localSheetId="11">'Dummy brokers ex-sheet'!$147:$147</definedName>
    <definedName name="E_KEYWORD_ISSR_208008758_CAP_PTP" localSheetId="11">'Dummy brokers ex-sheet'!$140:$140</definedName>
    <definedName name="E_KEYWORD_ISSR_208008758_CAP_REVS" localSheetId="11">'Dummy brokers ex-sheet'!$133:$133</definedName>
    <definedName name="E_KEYWORD_ISSR_208008758_CASH_EQ" localSheetId="11">'Dummy brokers ex-sheet'!$53:$53</definedName>
    <definedName name="E_KEYWORD_ISSR_208008758_CASH_SECUR" localSheetId="11">'Dummy brokers ex-sheet'!$54:$54</definedName>
    <definedName name="E_KEYWORD_ISSR_208008758_CC_FEE" localSheetId="11">'Dummy brokers ex-sheet'!$19:$19</definedName>
    <definedName name="E_KEYWORD_ISSR_208008758_CC_MARGIN" localSheetId="11">'Dummy brokers ex-sheet'!$151:$151</definedName>
    <definedName name="E_KEYWORD_ISSR_208008758_CC_PTP" localSheetId="11">'Dummy brokers ex-sheet'!$144:$144</definedName>
    <definedName name="E_KEYWORD_ISSR_208008758_CC_REVS" localSheetId="11">'Dummy brokers ex-sheet'!$137:$137</definedName>
    <definedName name="E_KEYWORD_ISSR_208008758_CC_REVS_BO" localSheetId="11">'Dummy brokers ex-sheet'!$157:$157</definedName>
    <definedName name="E_KEYWORD_ISSR_208008758_CD_MONMRKT" localSheetId="11">'Dummy brokers ex-sheet'!$59:$59</definedName>
    <definedName name="E_KEYWORD_ISSR_208008758_COGS_PCT_ROW" localSheetId="11">'Dummy brokers ex-sheet'!$217:$217</definedName>
    <definedName name="E_KEYWORD_ISSR_208008758_COGS_PCT_US" localSheetId="11">'Dummy brokers ex-sheet'!$216:$216</definedName>
    <definedName name="E_KEYWORD_ISSR_208008758_COMMDTY_VAR" localSheetId="11">'Dummy brokers ex-sheet'!$127:$127</definedName>
    <definedName name="E_KEYWORD_ISSR_208008758_COMMISNS" localSheetId="11">'Dummy brokers ex-sheet'!$21:$21</definedName>
    <definedName name="E_KEYWORD_ISSR_208008758_COMMITMENTS">#REF!</definedName>
    <definedName name="E_KEYWORD_ISSR_208008758_CONTINGENCIES">#REF!</definedName>
    <definedName name="E_KEYWORD_ISSR_208008758_CORP_DEBT_SLD" localSheetId="11">'Dummy brokers ex-sheet'!$78:$78</definedName>
    <definedName name="E_KEYWORD_ISSR_208008758_CORP_EQ_SLD" localSheetId="11">'Dummy brokers ex-sheet'!$79:$79</definedName>
    <definedName name="E_KEYWORD_ISSR_208008758_COST_OF_DEBT_DCF">#REF!</definedName>
    <definedName name="E_KEYWORD_ISSR_208008758_CP_STDEBT_SLD" localSheetId="11">'Dummy brokers ex-sheet'!$75:$75</definedName>
    <definedName name="E_KEYWORD_ISSR_208008758_CURRENCY_ISO" localSheetId="11">'Dummy brokers ex-sheet'!$7:$7</definedName>
    <definedName name="E_KEYWORD_ISSR_208008758_CURRENCY_VAR" localSheetId="11">'Dummy brokers ex-sheet'!$126:$126</definedName>
    <definedName name="E_KEYWORD_ISSR_208008758_CUST_PAYBLS" localSheetId="11">'Dummy brokers ex-sheet'!$86:$86</definedName>
    <definedName name="E_KEYWORD_ISSR_208008758_CUST_RECVBLS" localSheetId="11">'Dummy brokers ex-sheet'!$68:$68</definedName>
    <definedName name="E_KEYWORD_ISSR_208008758_DEBT_SECUR">#REF!</definedName>
    <definedName name="E_KEYWORD_ISSR_208008758_DEBT_TO_EQUITY_MKT_VALUES_DCF">#REF!</definedName>
    <definedName name="E_KEYWORD_ISSR_208008758_DEFINED_BENEFIT_OBLIGATION">#REF!</definedName>
    <definedName name="E_KEYWORD_ISSR_208008758_DEFINED_BENEFIT_SURPLUS">#REF!</definedName>
    <definedName name="E_KEYWORD_ISSR_208008758_DEPR_ROU_ASSETS">#REF!</definedName>
    <definedName name="E_KEYWORD_ISSR_208008758_DEPREC" localSheetId="11">'Dummy brokers ex-sheet'!$32:$32</definedName>
    <definedName name="E_KEYWORD_ISSR_208008758_DEVELOPMENT_VENTURES">#REF!</definedName>
    <definedName name="E_KEYWORD_ISSR_208008758_DIV_PAID">#REF!</definedName>
    <definedName name="E_KEYWORD_ISSR_208008758_DIVERS_EFFECT" localSheetId="11">'Dummy brokers ex-sheet'!$128:$128</definedName>
    <definedName name="E_KEYWORD_ISSR_208008758_DIVID_INC">#REF!</definedName>
    <definedName name="E_KEYWORD_ISSR_208008758_DOM_ASS">#REF!</definedName>
    <definedName name="E_KEYWORD_ISSR_208008758_DOM_OP">#REF!</definedName>
    <definedName name="E_KEYWORD_ISSR_208008758_DOM_SALES">#REF!</definedName>
    <definedName name="E_KEYWORD_ISSR_208008758_EBIT_UNDERLYING_PRE_GWILL">#REF!</definedName>
    <definedName name="E_KEYWORD_ISSR_208008758_EFFECT_INT_RATE_IMPACT_PRE_TAX">#REF!</definedName>
    <definedName name="E_KEYWORD_ISSR_208008758_EMER_ASS">#REF!</definedName>
    <definedName name="E_KEYWORD_ISSR_208008758_EMER_OP">#REF!</definedName>
    <definedName name="E_KEYWORD_ISSR_208008758_EMER_SALES">#REF!</definedName>
    <definedName name="E_KEYWORD_ISSR_208008758_EMPLOYEES" localSheetId="11">'Dummy brokers ex-sheet'!$118:$118</definedName>
    <definedName name="E_KEYWORD_ISSR_208008758_EQ" localSheetId="11">'Dummy brokers ex-sheet'!$99:$99</definedName>
    <definedName name="E_KEYWORD_ISSR_208008758_EQTY_ISS_REVS_BO" localSheetId="11">'Dummy brokers ex-sheet'!$163:$163</definedName>
    <definedName name="E_KEYWORD_ISSR_208008758_EQTY_REVS_BO" localSheetId="11">'Dummy brokers ex-sheet'!$159:$159</definedName>
    <definedName name="E_KEYWORD_ISSR_208008758_EQTY_VAR" localSheetId="11">'Dummy brokers ex-sheet'!$125:$125</definedName>
    <definedName name="E_KEYWORD_ISSR_208008758_EQUIP_COSTS">#REF!</definedName>
    <definedName name="E_KEYWORD_ISSR_208008758_EUR_ASS">#REF!</definedName>
    <definedName name="E_KEYWORD_ISSR_208008758_EURO_OP">#REF!</definedName>
    <definedName name="E_KEYWORD_ISSR_208008758_EURO_SALES">#REF!</definedName>
    <definedName name="E_KEYWORD_ISSR_208008758_EXP_OIL_DERIV_NGLS_PLASTICS" localSheetId="11">'Dummy brokers ex-sheet'!$227:$227</definedName>
    <definedName name="E_KEYWORD_ISSR_208008758_EXP_OIL_PETRO_FUEL" localSheetId="11">'Dummy brokers ex-sheet'!$226:$226</definedName>
    <definedName name="E_KEYWORD_ISSR_208008758_FICC_ISS_REVS_BO" localSheetId="11">'Dummy brokers ex-sheet'!$164:$164</definedName>
    <definedName name="E_KEYWORD_ISSR_208008758_FICC_REVS_BO" localSheetId="11">'Dummy brokers ex-sheet'!$160:$160</definedName>
    <definedName name="E_KEYWORD_ISSR_208008758_FIN_ADVISORS" localSheetId="11">'Dummy brokers ex-sheet'!$114:$114</definedName>
    <definedName name="E_KEYWORD_ISSR_208008758_FIN_INSTR_HEDGE_CURR_LIABILITY">#REF!</definedName>
    <definedName name="E_KEYWORD_ISSR_208008758_FIN_INSTRUMENT_HEDGE_PRE_TAX">#REF!</definedName>
    <definedName name="E_KEYWORD_ISSR_208008758_FIN_TRANS_INC">#REF!</definedName>
    <definedName name="E_KEYWORD_ISSR_208008758_FINANCE_SERVICES_INCOME">#REF!</definedName>
    <definedName name="E_KEYWORD_ISSR_208008758_FIX_ASS_INV">#REF!</definedName>
    <definedName name="E_KEYWORD_ISSR_208008758_FLOATING_PCT_LOCAL_DEBT" localSheetId="11">'Dummy brokers ex-sheet'!$105:$105</definedName>
    <definedName name="E_KEYWORD_ISSR_208008758_FLOATING_PCT_LOCAL_DEBT_HEDGED" localSheetId="11">'Dummy brokers ex-sheet'!$106:$106</definedName>
    <definedName name="E_KEYWORD_ISSR_208008758_FOREIGN_EXCH_INCOME">#REF!</definedName>
    <definedName name="E_KEYWORD_ISSR_208008758_FX_AUD_ASSUMPTION" localSheetId="11">'Dummy brokers ex-sheet'!$12:$12</definedName>
    <definedName name="E_KEYWORD_ISSR_208008758_FX_AUD_NI_SENSITIVITY" localSheetId="11">'Dummy brokers ex-sheet'!$51:$51</definedName>
    <definedName name="E_KEYWORD_ISSR_208008758_FX_EUR_ASSUMPTION" localSheetId="11">'Dummy brokers ex-sheet'!$11:$11</definedName>
    <definedName name="E_KEYWORD_ISSR_208008758_FX_EUR_NI_SENSITIVITY" localSheetId="11">'Dummy brokers ex-sheet'!$50:$50</definedName>
    <definedName name="E_KEYWORD_ISSR_208008758_FX_USD_ASSUMPTION" localSheetId="11">'Dummy brokers ex-sheet'!$10:$10</definedName>
    <definedName name="E_KEYWORD_ISSR_208008758_FX_USD_NI_SENSITIVITY" localSheetId="11">'Dummy brokers ex-sheet'!$49:$49</definedName>
    <definedName name="E_KEYWORD_ISSR_208008758_GEN_INS_INC">#REF!</definedName>
    <definedName name="E_KEYWORD_ISSR_208008758_GENERAL_PROV">#REF!</definedName>
    <definedName name="E_KEYWORD_ISSR_208008758_GENERAL_PROV_DOUBTFUL">#REF!</definedName>
    <definedName name="E_KEYWORD_ISSR_208008758_GOODWILL">#REF!</definedName>
    <definedName name="E_KEYWORD_ISSR_208008758_GOODWILL_AMORT" localSheetId="11">'Dummy brokers ex-sheet'!$33:$33</definedName>
    <definedName name="E_KEYWORD_ISSR_208008758_GROSS_LOANS_ADVANCES">#REF!</definedName>
    <definedName name="E_KEYWORD_ISSR_208008758_GROSS_NON_ACCRUAL">#REF!</definedName>
    <definedName name="E_KEYWORD_ISSR_208008758_GROSS_OP_PROF" localSheetId="11">'Dummy brokers ex-sheet'!$39:$39</definedName>
    <definedName name="E_KEYWORD_ISSR_208008758_GWILL_ASSET_IMPAIR_CHG_PRE_TAX">#REF!</definedName>
    <definedName name="E_KEYWORD_ISSR_208008758_HYBRID_DIST_PRE_TAX">#REF!</definedName>
    <definedName name="E_KEYWORD_ISSR_208008758_IB_FEE" localSheetId="11">'Dummy brokers ex-sheet'!$20:$20</definedName>
    <definedName name="E_KEYWORD_ISSR_208008758_INS_CLAIMS">#REF!</definedName>
    <definedName name="E_KEYWORD_ISSR_208008758_INT_EARN_ASSETS">#REF!</definedName>
    <definedName name="E_KEYWORD_ISSR_208008758_INT_EXP" localSheetId="11">'Dummy brokers ex-sheet'!$15:$15</definedName>
    <definedName name="E_KEYWORD_ISSR_208008758_INT_INC" localSheetId="11">'Dummy brokers ex-sheet'!$14:$14</definedName>
    <definedName name="E_KEYWORD_ISSR_208008758_INT_RATE_VAR" localSheetId="11">'Dummy brokers ex-sheet'!$124:$124</definedName>
    <definedName name="E_KEYWORD_ISSR_208008758_INV_SECUR">#REF!</definedName>
    <definedName name="E_KEYWORD_ISSR_208008758_INVESTMENT_SECS_INCOME">#REF!</definedName>
    <definedName name="E_KEYWORD_ISSR_208008758_INVESTMENTS">#REF!</definedName>
    <definedName name="E_KEYWORD_ISSR_208008758_Issuer_Name" localSheetId="11">'Dummy brokers ex-sheet'!$6:$6</definedName>
    <definedName name="E_KEYWORD_ISSR_208008758_LABOUR">#REF!</definedName>
    <definedName name="E_KEYWORD_ISSR_208008758_LATAM_ASS">#REF!</definedName>
    <definedName name="E_KEYWORD_ISSR_208008758_LATAM_OP">#REF!</definedName>
    <definedName name="E_KEYWORD_ISSR_208008758_LATAM_SALES">#REF!</definedName>
    <definedName name="E_KEYWORD_ISSR_208008758_LEASE_ADOPT">#REF!</definedName>
    <definedName name="E_KEYWORD_ISSR_208008758_LEASE_INT_CHG">#REF!</definedName>
    <definedName name="E_KEYWORD_ISSR_208008758_LEASE_PAY" localSheetId="11">'Dummy brokers ex-sheet'!$48:$48</definedName>
    <definedName name="E_KEYWORD_ISSR_208008758_LEASE_PRINCIPAL_CASH">#REF!</definedName>
    <definedName name="E_KEYWORD_ISSR_208008758_LENDING_FEES">#REF!</definedName>
    <definedName name="E_KEYWORD_ISSR_208008758_LIAB_MISC">#REF!</definedName>
    <definedName name="E_KEYWORD_ISSR_208008758_LIFE_INC">#REF!</definedName>
    <definedName name="E_KEYWORD_ISSR_208008758_LIFE_POLICY_ASS">#REF!</definedName>
    <definedName name="E_KEYWORD_ISSR_208008758_LIFE_POLICY_LIABS">#REF!</definedName>
    <definedName name="E_KEYWORD_ISSR_208008758_LIFE_SHARE">#REF!</definedName>
    <definedName name="E_KEYWORD_ISSR_208008758_LIQUID_ASSETS">#REF!</definedName>
    <definedName name="E_KEYWORD_ISSR_208008758_LOAN_CAPITAL">#REF!</definedName>
    <definedName name="E_KEYWORD_ISSR_208008758_LT_DEBT" localSheetId="11">'Dummy brokers ex-sheet'!$93:$93</definedName>
    <definedName name="E_KEYWORD_ISSR_208008758_LT_LEASE_LIAB">#REF!</definedName>
    <definedName name="E_KEYWORD_ISSR_208008758_MA_PROB" localSheetId="11">'Dummy brokers ex-sheet'!$9:$9</definedName>
    <definedName name="E_KEYWORD_ISSR_208008758_MA_REVS_BO" localSheetId="11">'Dummy brokers ex-sheet'!$162:$162</definedName>
    <definedName name="E_KEYWORD_ISSR_208008758_MINOR_EQUITY_BS">#REF!</definedName>
    <definedName name="E_KEYWORD_ISSR_208008758_MINORITIES" localSheetId="11">'Dummy brokers ex-sheet'!$98:$98</definedName>
    <definedName name="E_KEYWORD_ISSR_208008758_MKT_APPREC" localSheetId="11">'Dummy brokers ex-sheet'!$121:$121</definedName>
    <definedName name="E_KEYWORD_ISSR_208008758_MONEY_TRANSFER_FEES">#REF!</definedName>
    <definedName name="E_KEYWORD_ISSR_208008758_MV_ASSOCIATES" localSheetId="11">'Dummy brokers ex-sheet'!$108:$108</definedName>
    <definedName name="E_KEYWORD_ISSR_208008758_NAM_ASS">#REF!</definedName>
    <definedName name="E_KEYWORD_ISSR_208008758_NAM_OP">#REF!</definedName>
    <definedName name="E_KEYWORD_ISSR_208008758_NAM_SALES">#REF!</definedName>
    <definedName name="E_KEYWORD_ISSR_208008758_NET_ASSETS">#REF!</definedName>
    <definedName name="E_KEYWORD_ISSR_208008758_NET_DEBT">#REF!</definedName>
    <definedName name="E_KEYWORD_ISSR_208008758_NET_FEE">#REF!</definedName>
    <definedName name="E_KEYWORD_ISSR_208008758_NET_FIX_ASS" localSheetId="11">'Dummy brokers ex-sheet'!$71:$71</definedName>
    <definedName name="E_KEYWORD_ISSR_208008758_NET_FLOWS" localSheetId="11">'Dummy brokers ex-sheet'!$120:$120</definedName>
    <definedName name="E_KEYWORD_ISSR_208008758_NET_FREE_FUNDS">#REF!</definedName>
    <definedName name="E_KEYWORD_ISSR_208008758_NET_INTANG" localSheetId="11">'Dummy brokers ex-sheet'!$72:$72</definedName>
    <definedName name="E_KEYWORD_ISSR_208008758_NET_OP_PROF" localSheetId="11">'Dummy brokers ex-sheet'!$40:$40</definedName>
    <definedName name="E_KEYWORD_ISSR_208008758_NET_REVS" localSheetId="11">'Dummy brokers ex-sheet'!$26:$26</definedName>
    <definedName name="E_KEYWORD_ISSR_208008758_NET_TANGIBLE_ASSETS">#REF!</definedName>
    <definedName name="E_KEYWORD_ISSR_208008758_NETCHGOFF_BS">#REF!</definedName>
    <definedName name="E_KEYWORD_ISSR_208008758_NEW_SPECIFIC_PROV">#REF!</definedName>
    <definedName name="E_KEYWORD_ISSR_208008758_NON_INT_INC" localSheetId="11">'Dummy brokers ex-sheet'!$23:$23</definedName>
    <definedName name="E_KEYWORD_ISSR_208008758_OCCUPANCY_COSTS">#REF!</definedName>
    <definedName name="E_KEYWORD_ISSR_208008758_OCCUPANCY_EXP" localSheetId="11">'Dummy brokers ex-sheet'!$31:$31</definedName>
    <definedName name="E_KEYWORD_ISSR_208008758_OP_COST">#REF!</definedName>
    <definedName name="E_KEYWORD_ISSR_208008758_OPPL_BTAX_POST_AB">#REF!</definedName>
    <definedName name="E_KEYWORD_ISSR_208008758_ORD_SH_FUND" localSheetId="11">'Dummy brokers ex-sheet'!$96:$96</definedName>
    <definedName name="E_KEYWORD_ISSR_208008758_ORD_SHARE_CAPITAL">#REF!</definedName>
    <definedName name="E_KEYWORD_ISSR_208008758_OTH_ADMIN">#REF!</definedName>
    <definedName name="E_KEYWORD_ISSR_208008758_OTH_ASS">#REF!</definedName>
    <definedName name="E_KEYWORD_ISSR_208008758_OTH_ASSET" localSheetId="11">'Dummy brokers ex-sheet'!$73:$73</definedName>
    <definedName name="E_KEYWORD_ISSR_208008758_OTH_CONTRACT_SLD" localSheetId="11">'Dummy brokers ex-sheet'!$80:$80</definedName>
    <definedName name="E_KEYWORD_ISSR_208008758_OTH_COST" localSheetId="11">'Dummy brokers ex-sheet'!$34:$34</definedName>
    <definedName name="E_KEYWORD_ISSR_208008758_OTH_COST_INC" localSheetId="11">'Dummy brokers ex-sheet'!$45:$45</definedName>
    <definedName name="E_KEYWORD_ISSR_208008758_OTH_DACF_ADJ" localSheetId="11">'Dummy brokers ex-sheet'!$116:$116</definedName>
    <definedName name="E_KEYWORD_ISSR_208008758_OTH_FIN" localSheetId="11">'Dummy brokers ex-sheet'!$87:$87</definedName>
    <definedName name="E_KEYWORD_ISSR_208008758_OTH_GCI_ADJ" localSheetId="11">'Dummy brokers ex-sheet'!$112:$112</definedName>
    <definedName name="E_KEYWORD_ISSR_208008758_OTH_INC" localSheetId="11">'Dummy brokers ex-sheet'!$22:$22</definedName>
    <definedName name="E_KEYWORD_ISSR_208008758_OTH_INTANG">#REF!</definedName>
    <definedName name="E_KEYWORD_ISSR_208008758_OTH_LIABS" localSheetId="11">'Dummy brokers ex-sheet'!$94:$94</definedName>
    <definedName name="E_KEYWORD_ISSR_208008758_OTH_MARGIN" localSheetId="11">'Dummy brokers ex-sheet'!$152:$152</definedName>
    <definedName name="E_KEYWORD_ISSR_208008758_OTH_NONOP_EXP" localSheetId="11">'Dummy brokers ex-sheet'!$44:$44</definedName>
    <definedName name="E_KEYWORD_ISSR_208008758_OTH_NONOP_INC" localSheetId="11">'Dummy brokers ex-sheet'!$43:$43</definedName>
    <definedName name="E_KEYWORD_ISSR_208008758_OTH_OP">#REF!</definedName>
    <definedName name="E_KEYWORD_ISSR_208008758_OTH_PAY" localSheetId="11">'Dummy brokers ex-sheet'!$88:$88</definedName>
    <definedName name="E_KEYWORD_ISSR_208008758_OTH_PAY_LIABS">#REF!</definedName>
    <definedName name="E_KEYWORD_ISSR_208008758_OTH_PROVS">#REF!</definedName>
    <definedName name="E_KEYWORD_ISSR_208008758_OTH_PTP" localSheetId="11">'Dummy brokers ex-sheet'!$145:$145</definedName>
    <definedName name="E_KEYWORD_ISSR_208008758_OTH_RECVBLS" localSheetId="11">'Dummy brokers ex-sheet'!$69:$69</definedName>
    <definedName name="E_KEYWORD_ISSR_208008758_OTH_REVS" localSheetId="11">'Dummy brokers ex-sheet'!$138:$138</definedName>
    <definedName name="E_KEYWORD_ISSR_208008758_OTH_SALES">#REF!</definedName>
    <definedName name="E_KEYWORD_ISSR_208008758_OTHER_ASSET_IMPAIR_CHG_PRE_TAX">#REF!</definedName>
    <definedName name="E_KEYWORD_ISSR_208008758_OTHER_EXPENSES">#REF!</definedName>
    <definedName name="E_KEYWORD_ISSR_208008758_OTHER_FEES">#REF!</definedName>
    <definedName name="E_KEYWORD_ISSR_208008758_OTHER_IFRS_ADJUST_PRE_TAX">#REF!</definedName>
    <definedName name="E_KEYWORD_ISSR_208008758_OTHER_INCOME">#REF!</definedName>
    <definedName name="E_KEYWORD_ISSR_208008758_OTHER_INTANGIBLES_DEPREC">#REF!</definedName>
    <definedName name="E_KEYWORD_ISSR_208008758_OTHER_INTANGIBLES_NON_DEPREC">#REF!</definedName>
    <definedName name="E_KEYWORD_ISSR_208008758_OTHER_STAFF_COSTS">#REF!</definedName>
    <definedName name="E_KEYWORD_ISSR_208008758_PCT_ASIA_ASS">#REF!</definedName>
    <definedName name="E_KEYWORD_ISSR_208008758_PCT_ASIA_OP">#REF!</definedName>
    <definedName name="E_KEYWORD_ISSR_208008758_PCT_ASIA_SALES">#REF!</definedName>
    <definedName name="E_KEYWORD_ISSR_208008758_PCT_DOM_ASS">#REF!</definedName>
    <definedName name="E_KEYWORD_ISSR_208008758_PCT_DOM_OP">#REF!</definedName>
    <definedName name="E_KEYWORD_ISSR_208008758_PCT_DOM_SALES">#REF!</definedName>
    <definedName name="E_KEYWORD_ISSR_208008758_PCT_EMER_ASS">#REF!</definedName>
    <definedName name="E_KEYWORD_ISSR_208008758_PCT_EMER_OP">#REF!</definedName>
    <definedName name="E_KEYWORD_ISSR_208008758_PCT_EMER_SALES">#REF!</definedName>
    <definedName name="E_KEYWORD_ISSR_208008758_PCT_EURO_ASS">#REF!</definedName>
    <definedName name="E_KEYWORD_ISSR_208008758_PCT_EURO_OP">#REF!</definedName>
    <definedName name="E_KEYWORD_ISSR_208008758_PCT_EURO_SALES">#REF!</definedName>
    <definedName name="E_KEYWORD_ISSR_208008758_PCT_LATAM_ASS">#REF!</definedName>
    <definedName name="E_KEYWORD_ISSR_208008758_PCT_LATAM_OP">#REF!</definedName>
    <definedName name="E_KEYWORD_ISSR_208008758_PCT_LATAM_SALES">#REF!</definedName>
    <definedName name="E_KEYWORD_ISSR_208008758_PCT_NAM_ASS">#REF!</definedName>
    <definedName name="E_KEYWORD_ISSR_208008758_PCT_NAM_OP">#REF!</definedName>
    <definedName name="E_KEYWORD_ISSR_208008758_PCT_NAM_SALES">#REF!</definedName>
    <definedName name="E_KEYWORD_ISSR_208008758_PCT_OTH_ASS">#REF!</definedName>
    <definedName name="E_KEYWORD_ISSR_208008758_PCT_OTH_OP">#REF!</definedName>
    <definedName name="E_KEYWORD_ISSR_208008758_PCT_OTH_SALES">#REF!</definedName>
    <definedName name="E_KEYWORD_ISSR_208008758_PERIOD_MILESTONE" localSheetId="11">'Dummy brokers ex-sheet'!$2:$2</definedName>
    <definedName name="E_KEYWORD_ISSR_208008758_PERSONNEL" localSheetId="11">'Dummy brokers ex-sheet'!$25:$25</definedName>
    <definedName name="E_KEYWORD_ISSR_208008758_PL_BTAX_ON_AB">#REF!</definedName>
    <definedName name="E_KEYWORD_ISSR_208008758_PRE_PAYMNTS">#REF!</definedName>
    <definedName name="E_KEYWORD_ISSR_208008758_PREF_SH">#REF!</definedName>
    <definedName name="E_KEYWORD_ISSR_208008758_PREF_SH_EQ" localSheetId="11">'Dummy brokers ex-sheet'!$97:$97</definedName>
    <definedName name="E_KEYWORD_ISSR_208008758_PREF_SHARE_CAP">#REF!</definedName>
    <definedName name="E_KEYWORD_ISSR_208008758_PRIN_TRANS" localSheetId="11">'Dummy brokers ex-sheet'!$17:$17</definedName>
    <definedName name="E_KEYWORD_ISSR_208008758_PROF_BTE">#REF!</definedName>
    <definedName name="E_KEYWORD_ISSR_208008758_PROF_SRVC_EXP" localSheetId="11">'Dummy brokers ex-sheet'!$30:$30</definedName>
    <definedName name="E_KEYWORD_ISSR_208008758_PROFIT_DEFBEN_PLAN_POST_TAX">#REF!</definedName>
    <definedName name="E_KEYWORD_ISSR_208008758_PROFIT_DEFBEN_PLAN_PRE_TAX">#REF!</definedName>
    <definedName name="E_KEYWORD_ISSR_208008758_PROFIT_ON_DISP">#REF!</definedName>
    <definedName name="E_KEYWORD_ISSR_208008758_PROV_BS">#REF!</definedName>
    <definedName name="E_KEYWORD_ISSR_208008758_PT_PROF" localSheetId="11">'Dummy brokers ex-sheet'!$46:$46</definedName>
    <definedName name="E_KEYWORD_ISSR_208008758_RBR_CL_ASSTS" localSheetId="11">'Dummy brokers ex-sheet'!$122:$122</definedName>
    <definedName name="E_KEYWORD_ISSR_208008758_RECOVERIES_BS">#REF!</definedName>
    <definedName name="E_KEYWORD_ISSR_208008758_RENTAL_INCOME">#REF!</definedName>
    <definedName name="E_KEYWORD_ISSR_208008758_REPOS_ASST" localSheetId="11">'Dummy brokers ex-sheet'!$64:$64</definedName>
    <definedName name="E_KEYWORD_ISSR_208008758_REPOS_LIAB" localSheetId="11">'Dummy brokers ex-sheet'!$92:$92</definedName>
    <definedName name="E_KEYWORD_ISSR_208008758_RESERVES">#REF!</definedName>
    <definedName name="E_KEYWORD_ISSR_208008758_RETAIL_MARGIN" localSheetId="11">'Dummy brokers ex-sheet'!$149:$149</definedName>
    <definedName name="E_KEYWORD_ISSR_208008758_RETAIL_PTP" localSheetId="11">'Dummy brokers ex-sheet'!$142:$142</definedName>
    <definedName name="E_KEYWORD_ISSR_208008758_RETAIL_REVS" localSheetId="11">'Dummy brokers ex-sheet'!$135:$135</definedName>
    <definedName name="E_KEYWORD_ISSR_208008758_RETAIL_REVS_BO" localSheetId="11">'Dummy brokers ex-sheet'!$155:$155</definedName>
    <definedName name="E_KEYWORD_ISSR_208008758_RETAIN_PROFIT_LOSS">#REF!</definedName>
    <definedName name="E_KEYWORD_ISSR_208008758_ROU_ASSET">#REF!</definedName>
    <definedName name="E_KEYWORD_ISSR_208008758_SALES" localSheetId="11">'Dummy brokers ex-sheet'!$24:$24</definedName>
    <definedName name="E_KEYWORD_ISSR_208008758_SALES_ARGENTINA" localSheetId="11">'Dummy brokers ex-sheet'!$170:$170</definedName>
    <definedName name="E_KEYWORD_ISSR_208008758_SALES_AUSTRA" localSheetId="11">'Dummy brokers ex-sheet'!$213:$213</definedName>
    <definedName name="E_KEYWORD_ISSR_208008758_SALES_AUSTRIA" localSheetId="11">'Dummy brokers ex-sheet'!$177:$177</definedName>
    <definedName name="E_KEYWORD_ISSR_208008758_SALES_BEL" localSheetId="11">'Dummy brokers ex-sheet'!$178:$178</definedName>
    <definedName name="E_KEYWORD_ISSR_208008758_SALES_BRAZIL" localSheetId="11">'Dummy brokers ex-sheet'!$171:$171</definedName>
    <definedName name="E_KEYWORD_ISSR_208008758_SALES_CANADA" localSheetId="11">'Dummy brokers ex-sheet'!$167:$167</definedName>
    <definedName name="E_KEYWORD_ISSR_208008758_SALES_CEE" localSheetId="11">'Dummy brokers ex-sheet'!$245:$245</definedName>
    <definedName name="E_KEYWORD_ISSR_208008758_SALES_CHILE" localSheetId="11">'Dummy brokers ex-sheet'!$172:$172</definedName>
    <definedName name="E_KEYWORD_ISSR_208008758_SALES_CHINA" localSheetId="11">'Dummy brokers ex-sheet'!$208:$208</definedName>
    <definedName name="E_KEYWORD_ISSR_208008758_SALES_COLOMBIA" localSheetId="11">'Dummy brokers ex-sheet'!$173:$173</definedName>
    <definedName name="E_KEYWORD_ISSR_208008758_SALES_CONS" localSheetId="11">'Dummy brokers ex-sheet'!$220:$220</definedName>
    <definedName name="E_KEYWORD_ISSR_208008758_SALES_EU_EX_UK" localSheetId="11">'Dummy brokers ex-sheet'!$244:$244</definedName>
    <definedName name="E_KEYWORD_ISSR_208008758_SALES_FINAN" localSheetId="11">'Dummy brokers ex-sheet'!$223:$223</definedName>
    <definedName name="E_KEYWORD_ISSR_208008758_SALES_FRA" localSheetId="11">'Dummy brokers ex-sheet'!$179:$179</definedName>
    <definedName name="E_KEYWORD_ISSR_208008758_SALES_FX_AUD" localSheetId="11">'Dummy brokers ex-sheet'!$237:$237</definedName>
    <definedName name="E_KEYWORD_ISSR_208008758_SALES_FX_BRL" localSheetId="11">'Dummy brokers ex-sheet'!$233:$233</definedName>
    <definedName name="E_KEYWORD_ISSR_208008758_SALES_FX_CNY" localSheetId="11">'Dummy brokers ex-sheet'!$235:$235</definedName>
    <definedName name="E_KEYWORD_ISSR_208008758_SALES_FX_EUR" localSheetId="11">'Dummy brokers ex-sheet'!$230:$230</definedName>
    <definedName name="E_KEYWORD_ISSR_208008758_SALES_FX_GPB" localSheetId="11">'Dummy brokers ex-sheet'!$229:$229</definedName>
    <definedName name="E_KEYWORD_ISSR_208008758_SALES_FX_INR" localSheetId="11">'Dummy brokers ex-sheet'!$236:$236</definedName>
    <definedName name="E_KEYWORD_ISSR_208008758_SALES_FX_NZD" localSheetId="11">'Dummy brokers ex-sheet'!$238:$238</definedName>
    <definedName name="E_KEYWORD_ISSR_208008758_SALES_FX_OTH" localSheetId="11">'Dummy brokers ex-sheet'!$239:$239</definedName>
    <definedName name="E_KEYWORD_ISSR_208008758_SALES_FX_RUB" localSheetId="11">'Dummy brokers ex-sheet'!$231:$231</definedName>
    <definedName name="E_KEYWORD_ISSR_208008758_SALES_FX_USD" localSheetId="11">'Dummy brokers ex-sheet'!$232:$232</definedName>
    <definedName name="E_KEYWORD_ISSR_208008758_SALES_FX_YEN" localSheetId="11">'Dummy brokers ex-sheet'!$234:$234</definedName>
    <definedName name="E_KEYWORD_ISSR_208008758_SALES_GER" localSheetId="11">'Dummy brokers ex-sheet'!$180:$180</definedName>
    <definedName name="E_KEYWORD_ISSR_208008758_SALES_GOV" localSheetId="11">'Dummy brokers ex-sheet'!$222:$222</definedName>
    <definedName name="E_KEYWORD_ISSR_208008758_SALES_GRE" localSheetId="11">'Dummy brokers ex-sheet'!$181:$181</definedName>
    <definedName name="E_KEYWORD_ISSR_208008758_SALES_HONG_KONG" localSheetId="11">'Dummy brokers ex-sheet'!$202:$202</definedName>
    <definedName name="E_KEYWORD_ISSR_208008758_SALES_IND" localSheetId="11">'Dummy brokers ex-sheet'!$221:$221</definedName>
    <definedName name="E_KEYWORD_ISSR_208008758_SALES_INDIA" localSheetId="11">'Dummy brokers ex-sheet'!$209:$209</definedName>
    <definedName name="E_KEYWORD_ISSR_208008758_SALES_INDONESIA" localSheetId="11">'Dummy brokers ex-sheet'!$210:$210</definedName>
    <definedName name="E_KEYWORD_ISSR_208008758_SALES_IRE" localSheetId="11">'Dummy brokers ex-sheet'!$182:$182</definedName>
    <definedName name="E_KEYWORD_ISSR_208008758_SALES_ITA" localSheetId="11">'Dummy brokers ex-sheet'!$183:$183</definedName>
    <definedName name="E_KEYWORD_ISSR_208008758_SALES_JAPAN" localSheetId="11">'Dummy brokers ex-sheet'!$203:$203</definedName>
    <definedName name="E_KEYWORD_ISSR_208008758_SALES_ME" localSheetId="11">'Dummy brokers ex-sheet'!$246:$246</definedName>
    <definedName name="E_KEYWORD_ISSR_208008758_SALES_MEXICO" localSheetId="11">'Dummy brokers ex-sheet'!$174:$174</definedName>
    <definedName name="E_KEYWORD_ISSR_208008758_SALES_NETH" localSheetId="11">'Dummy brokers ex-sheet'!$184:$184</definedName>
    <definedName name="E_KEYWORD_ISSR_208008758_SALES_NIGERIA" localSheetId="11">'Dummy brokers ex-sheet'!$199:$199</definedName>
    <definedName name="E_KEYWORD_ISSR_208008758_SALES_NOR" localSheetId="11">'Dummy brokers ex-sheet'!$185:$185</definedName>
    <definedName name="E_KEYWORD_ISSR_208008758_SALES_NZ" localSheetId="11">'Dummy brokers ex-sheet'!$214:$214</definedName>
    <definedName name="E_KEYWORD_ISSR_208008758_SALES_OIL_GAS" localSheetId="11">'Dummy brokers ex-sheet'!$224:$224</definedName>
    <definedName name="E_KEYWORD_ISSR_208008758_SALES_OTH_AEJ" localSheetId="11">'Dummy brokers ex-sheet'!$250:$250</definedName>
    <definedName name="E_KEYWORD_ISSR_208008758_SALES_OTH_AFRICA" localSheetId="11">'Dummy brokers ex-sheet'!$201:$201</definedName>
    <definedName name="E_KEYWORD_ISSR_208008758_SALES_OTH_AM" localSheetId="11">'Dummy brokers ex-sheet'!$242:$242</definedName>
    <definedName name="E_KEYWORD_ISSR_208008758_SALES_OTH_CEE" localSheetId="11">'Dummy brokers ex-sheet'!$195:$195</definedName>
    <definedName name="E_KEYWORD_ISSR_208008758_SALES_OTH_DEV_ASIA" localSheetId="11">'Dummy brokers ex-sheet'!$207:$207</definedName>
    <definedName name="E_KEYWORD_ISSR_208008758_SALES_OTH_EMEA" localSheetId="11">'Dummy brokers ex-sheet'!$248:$248</definedName>
    <definedName name="E_KEYWORD_ISSR_208008758_SALES_OTH_EMERG_ASIA" localSheetId="11">'Dummy brokers ex-sheet'!$212:$212</definedName>
    <definedName name="E_KEYWORD_ISSR_208008758_SALES_OTH_LATAM" localSheetId="11">'Dummy brokers ex-sheet'!$176:$176</definedName>
    <definedName name="E_KEYWORD_ISSR_208008758_SALES_OTH_ME" localSheetId="11">'Dummy brokers ex-sheet'!$198:$198</definedName>
    <definedName name="E_KEYWORD_ISSR_208008758_SALES_OTH_NO_AMER" localSheetId="11">'Dummy brokers ex-sheet'!$169:$169</definedName>
    <definedName name="E_KEYWORD_ISSR_208008758_SALES_OTH_WEST_EURO" localSheetId="11">'Dummy brokers ex-sheet'!$191:$191</definedName>
    <definedName name="E_KEYWORD_ISSR_208008758_SALES_OTHER" localSheetId="11">'Dummy brokers ex-sheet'!$215:$215</definedName>
    <definedName name="E_KEYWORD_ISSR_208008758_SALES_POLAND" localSheetId="11">'Dummy brokers ex-sheet'!$192:$192</definedName>
    <definedName name="E_KEYWORD_ISSR_208008758_SALES_POR" localSheetId="11">'Dummy brokers ex-sheet'!$186:$186</definedName>
    <definedName name="E_KEYWORD_ISSR_208008758_SALES_RUSSIA" localSheetId="11">'Dummy brokers ex-sheet'!$193:$193</definedName>
    <definedName name="E_KEYWORD_ISSR_208008758_SALES_SAUDI_ARABIA" localSheetId="11">'Dummy brokers ex-sheet'!$196:$196</definedName>
    <definedName name="E_KEYWORD_ISSR_208008758_SALES_SINGAPORE" localSheetId="11">'Dummy brokers ex-sheet'!$204:$204</definedName>
    <definedName name="E_KEYWORD_ISSR_208008758_SALES_SK" localSheetId="11">'Dummy brokers ex-sheet'!$205:$205</definedName>
    <definedName name="E_KEYWORD_ISSR_208008758_SALES_SO_AFRICA" localSheetId="11">'Dummy brokers ex-sheet'!$200:$200</definedName>
    <definedName name="E_KEYWORD_ISSR_208008758_SALES_SPA" localSheetId="11">'Dummy brokers ex-sheet'!$187:$187</definedName>
    <definedName name="E_KEYWORD_ISSR_208008758_SALES_SWE" localSheetId="11">'Dummy brokers ex-sheet'!$188:$188</definedName>
    <definedName name="E_KEYWORD_ISSR_208008758_SALES_SWIT" localSheetId="11">'Dummy brokers ex-sheet'!$189:$189</definedName>
    <definedName name="E_KEYWORD_ISSR_208008758_SALES_TAIWAN" localSheetId="11">'Dummy brokers ex-sheet'!$206:$206</definedName>
    <definedName name="E_KEYWORD_ISSR_208008758_SALES_THAILAND" localSheetId="11">'Dummy brokers ex-sheet'!$211:$211</definedName>
    <definedName name="E_KEYWORD_ISSR_208008758_SALES_TOT_AFRICA" localSheetId="11">'Dummy brokers ex-sheet'!$247:$247</definedName>
    <definedName name="E_KEYWORD_ISSR_208008758_SALES_TOT_AM" localSheetId="11">'Dummy brokers ex-sheet'!$241:$241</definedName>
    <definedName name="E_KEYWORD_ISSR_208008758_SALES_TOT_ASIA" localSheetId="11">'Dummy brokers ex-sheet'!$249:$249</definedName>
    <definedName name="E_KEYWORD_ISSR_208008758_SALES_TOT_EMEA" localSheetId="11">'Dummy brokers ex-sheet'!$243:$243</definedName>
    <definedName name="E_KEYWORD_ISSR_208008758_SALES_TURKEY" localSheetId="11">'Dummy brokers ex-sheet'!$194:$194</definedName>
    <definedName name="E_KEYWORD_ISSR_208008758_SALES_UAE" localSheetId="11">'Dummy brokers ex-sheet'!$197:$197</definedName>
    <definedName name="E_KEYWORD_ISSR_208008758_SALES_UK" localSheetId="11">'Dummy brokers ex-sheet'!$190:$190</definedName>
    <definedName name="E_KEYWORD_ISSR_208008758_SALES_US" localSheetId="11">'Dummy brokers ex-sheet'!$168:$168</definedName>
    <definedName name="E_KEYWORD_ISSR_208008758_SALES_VENEZUELA" localSheetId="11">'Dummy brokers ex-sheet'!$175:$175</definedName>
    <definedName name="E_KEYWORD_ISSR_208008758_SECUR_BORRWD" localSheetId="11">'Dummy brokers ex-sheet'!$65:$65</definedName>
    <definedName name="E_KEYWORD_ISSR_208008758_SECUR_COLLAT" localSheetId="11">'Dummy brokers ex-sheet'!$61:$61</definedName>
    <definedName name="E_KEYWORD_ISSR_208008758_SECUR_LND" localSheetId="11">'Dummy brokers ex-sheet'!$89:$89</definedName>
    <definedName name="E_KEYWORD_ISSR_208008758_SECUR_NOT_COLLAT" localSheetId="11">'Dummy brokers ex-sheet'!$62:$62</definedName>
    <definedName name="E_KEYWORD_ISSR_208008758_SECUR_OWNED" localSheetId="11">'Dummy brokers ex-sheet'!$60:$60</definedName>
    <definedName name="E_KEYWORD_ISSR_208008758_SEL_GL_AD_OTHER">#REF!</definedName>
    <definedName name="E_KEYWORD_ISSR_208008758_SGA_PCT_ROW" localSheetId="11">'Dummy brokers ex-sheet'!$219:$219</definedName>
    <definedName name="E_KEYWORD_ISSR_208008758_SGA_PCT_US" localSheetId="11">'Dummy brokers ex-sheet'!$218:$218</definedName>
    <definedName name="E_KEYWORD_ISSR_208008758_SHARE_BASED_PAYMENTS">#REF!</definedName>
    <definedName name="E_KEYWORD_ISSR_208008758_SPECIFIC_PROV_DOUBTFUL">#REF!</definedName>
    <definedName name="E_KEYWORD_ISSR_208008758_SR_NOTES" localSheetId="11">'Dummy brokers ex-sheet'!$90:$90</definedName>
    <definedName name="E_KEYWORD_ISSR_208008758_SS_REVS_BO" localSheetId="11">'Dummy brokers ex-sheet'!$156:$156</definedName>
    <definedName name="E_KEYWORD_ISSR_208008758_ST_LEASE_LIAB">#REF!</definedName>
    <definedName name="E_KEYWORD_ISSR_208008758_SUB_ORD_LIABS" localSheetId="11">'Dummy brokers ex-sheet'!$81:$81</definedName>
    <definedName name="E_KEYWORD_ISSR_208008758_TAKEOVER_FEASIBILITY" localSheetId="7">'Dummy brokers ex-sheet'!#REF!</definedName>
    <definedName name="E_KEYWORD_ISSR_208008758_TAKEOVER_FEASIBILITY">'Dummy brokers ex-sheet'!#REF!</definedName>
    <definedName name="E_KEYWORD_ISSR_208008758_TECH_COM_EXP" localSheetId="11">'Dummy brokers ex-sheet'!$27:$27</definedName>
    <definedName name="E_KEYWORD_ISSR_208008758_TOT_ASS">#REF!</definedName>
    <definedName name="E_KEYWORD_ISSR_208008758_TOT_ASSET" localSheetId="11">'Dummy brokers ex-sheet'!$74:$74</definedName>
    <definedName name="E_KEYWORD_ISSR_208008758_TOT_COLLAT_STAGREE" localSheetId="11">'Dummy brokers ex-sheet'!$66:$66</definedName>
    <definedName name="E_KEYWORD_ISSR_208008758_TOT_COLLAT_STFIN" localSheetId="11">'Dummy brokers ex-sheet'!$91:$91</definedName>
    <definedName name="E_KEYWORD_ISSR_208008758_TOT_EXCEPTS">#REF!</definedName>
    <definedName name="E_KEYWORD_ISSR_208008758_TOT_ISS_REVS_BO" localSheetId="11">'Dummy brokers ex-sheet'!$165:$165</definedName>
    <definedName name="E_KEYWORD_ISSR_208008758_TOT_LIAB" localSheetId="11">'Dummy brokers ex-sheet'!$95:$95</definedName>
    <definedName name="E_KEYWORD_ISSR_208008758_TOT_LIAB_EQ" localSheetId="11">'Dummy brokers ex-sheet'!$101:$101</definedName>
    <definedName name="E_KEYWORD_ISSR_208008758_TOT_NONCOMP_EXP" localSheetId="11">'Dummy brokers ex-sheet'!$36:$36</definedName>
    <definedName name="E_KEYWORD_ISSR_208008758_TOT_NONINTEXP_EX_LNPRV" localSheetId="11">'Dummy brokers ex-sheet'!$37:$37</definedName>
    <definedName name="E_KEYWORD_ISSR_208008758_TOT_NONINTEXP_INC_LNPRV" localSheetId="11">'Dummy brokers ex-sheet'!$38:$38</definedName>
    <definedName name="E_KEYWORD_ISSR_208008758_TOT_OP">#REF!</definedName>
    <definedName name="E_KEYWORD_ISSR_208008758_TOT_PCT_USD_DEBT_HEDGED" localSheetId="11">'Dummy brokers ex-sheet'!$104:$104</definedName>
    <definedName name="E_KEYWORD_ISSR_208008758_TOT_PROVS">#REF!</definedName>
    <definedName name="E_KEYWORD_ISSR_208008758_TOT_RECVBLS" localSheetId="11">'Dummy brokers ex-sheet'!$70:$70</definedName>
    <definedName name="E_KEYWORD_ISSR_208008758_TOT_SALES">#REF!</definedName>
    <definedName name="E_KEYWORD_ISSR_208008758_TOT_SECUR" localSheetId="11">'Dummy brokers ex-sheet'!$63:$63</definedName>
    <definedName name="E_KEYWORD_ISSR_208008758_TOT_SECUR_SLD" localSheetId="11">'Dummy brokers ex-sheet'!$82:$82</definedName>
    <definedName name="E_KEYWORD_ISSR_208008758_TOT_USD_DEBT" localSheetId="11">'Dummy brokers ex-sheet'!$103:$103</definedName>
    <definedName name="E_KEYWORD_ISSR_208008758_TOT_VAR" localSheetId="11">'Dummy brokers ex-sheet'!$130:$130</definedName>
    <definedName name="E_KEYWORD_ISSR_208008758_TOTAL_CAPITAL_EMPLOYED_ADJ">#REF!</definedName>
    <definedName name="E_KEYWORD_ISSR_208008758_TOTAL_DEPREC_AMORT">#REF!</definedName>
    <definedName name="E_KEYWORD_ISSR_208008758_TOTAL_IFRS_ADJUST_PRE_TAX">#REF!</definedName>
    <definedName name="E_KEYWORD_ISSR_208008758_TRADING_SECS_INCOME">#REF!</definedName>
    <definedName name="E_KEYWORD_ISSR_208008758_UNEARNED_INCOME">#REF!</definedName>
    <definedName name="E_KEYWORD_ISSR_208008758_UNF_PENS" localSheetId="11">'Dummy brokers ex-sheet'!$109:$109</definedName>
    <definedName name="E_KEYWORD_ISSR_208008758_UNF_PENS_LIAB_OTH" localSheetId="11">'Dummy brokers ex-sheet'!$111:$111</definedName>
    <definedName name="E_KEYWORD_ISSR_208008758_UNF_PENS_OFF" localSheetId="11">'Dummy brokers ex-sheet'!$110:$110</definedName>
    <definedName name="E_KEYWORD_ISSR_208008758_VAR_METHOD" localSheetId="11">'Dummy brokers ex-sheet'!$131:$131</definedName>
    <definedName name="E_KEYWORD_ISSR_208008758_VOL" localSheetId="11">'Dummy brokers ex-sheet'!$129:$129</definedName>
    <definedName name="E_KEYWORD_ISSR_208008758_WRITE_OFFS_BS">#REF!</definedName>
    <definedName name="E_KEYWORD_ISSR_208008758_WRITEBACK_RECOVERIES">#REF!</definedName>
    <definedName name="E_LIVEDATA_EQTY_200011471" localSheetId="11">'Dummy brokers ex-sheet'!$B$251</definedName>
    <definedName name="E_LIVEDATA_ISSR_208008758" localSheetId="11">'Dummy brokers ex-sheet'!$B$4</definedName>
    <definedName name="E_PERIOD_2006" localSheetId="11">'Dummy brokers ex-sheet'!$F:$F</definedName>
    <definedName name="E_PERIOD_2007" localSheetId="11">'Dummy brokers ex-sheet'!$G:$G</definedName>
    <definedName name="E_PERIOD_2008" localSheetId="11">'Dummy brokers ex-sheet'!$H:$H</definedName>
    <definedName name="E_PERIOD_2009" localSheetId="11">'Dummy brokers ex-sheet'!$I:$I</definedName>
    <definedName name="E_PERIOD_2010" localSheetId="11">'Dummy brokers ex-sheet'!$J:$J</definedName>
    <definedName name="E_PERIOD_2011" localSheetId="11">'Dummy brokers ex-sheet'!$K:$K</definedName>
    <definedName name="E_PERIOD_2012" localSheetId="11">'Dummy brokers ex-sheet'!$L:$L</definedName>
    <definedName name="E_PERIOD_2013" localSheetId="11">'Dummy brokers ex-sheet'!$M:$M</definedName>
    <definedName name="E_PERIOD_2013_H1" localSheetId="11">'Dummy brokers ex-sheet'!$V:$V</definedName>
    <definedName name="E_PERIOD_2013_H2" localSheetId="11">'Dummy brokers ex-sheet'!$W:$W</definedName>
    <definedName name="E_PERIOD_2014" localSheetId="11">'Dummy brokers ex-sheet'!$N:$N</definedName>
    <definedName name="E_PERIOD_2014_H1" localSheetId="11">'Dummy brokers ex-sheet'!$X:$X</definedName>
    <definedName name="E_PERIOD_2014_H2" localSheetId="11">'Dummy brokers ex-sheet'!$Y:$Y</definedName>
    <definedName name="E_PERIOD_2015" localSheetId="11">'Dummy brokers ex-sheet'!$O:$O</definedName>
    <definedName name="E_PERIOD_2015_H1" localSheetId="11">'Dummy brokers ex-sheet'!$Z:$Z</definedName>
    <definedName name="E_PERIOD_2015_H2" localSheetId="11">'Dummy brokers ex-sheet'!$AA:$AA</definedName>
    <definedName name="E_PERIOD_2016" localSheetId="11">'Dummy brokers ex-sheet'!$P:$P</definedName>
    <definedName name="E_PERIOD_2016_H1" localSheetId="11">'Dummy brokers ex-sheet'!$AB:$AB</definedName>
    <definedName name="E_PERIOD_2016_H2" localSheetId="11">'Dummy brokers ex-sheet'!$AC:$AC</definedName>
    <definedName name="E_PERIOD_2017" localSheetId="11">'Dummy brokers ex-sheet'!$Q:$Q</definedName>
    <definedName name="E_PERIOD_2017_H1" localSheetId="11">'Dummy brokers ex-sheet'!$AD:$AD</definedName>
    <definedName name="E_PERIOD_2017_H2" localSheetId="11">'Dummy brokers ex-sheet'!$AE:$AE</definedName>
    <definedName name="E_PERIOD_2018" localSheetId="11">'Dummy brokers ex-sheet'!$R:$R</definedName>
    <definedName name="E_PERIOD_2018_H1" localSheetId="11">'Dummy brokers ex-sheet'!$AF:$AF</definedName>
    <definedName name="E_PERIOD_2018_H2" localSheetId="11">'Dummy brokers ex-sheet'!$AG:$AG</definedName>
    <definedName name="E_PERIOD_2019" localSheetId="11">'Dummy brokers ex-sheet'!$S:$S</definedName>
    <definedName name="E_PERIOD_2019_H1" localSheetId="11">'Dummy brokers ex-sheet'!$AH:$AH</definedName>
    <definedName name="E_PERIOD_2019_H2" localSheetId="11">'Dummy brokers ex-sheet'!$AI:$AI</definedName>
    <definedName name="E_PERIOD_2020" localSheetId="11">'Dummy brokers ex-sheet'!$T:$T</definedName>
    <definedName name="E_PERIOD_2020_H1">#REF!</definedName>
    <definedName name="E_PERIOD_2020_H2">#REF!</definedName>
    <definedName name="E_PERIOD_2021">#REF!</definedName>
    <definedName name="E_PERIOD_2021_H1">#REF!</definedName>
    <definedName name="E_PERIOD_2021_H2">#REF!</definedName>
    <definedName name="E_PERIOD_2022">#REF!</definedName>
    <definedName name="E_PERIOD_2022_H1">#REF!</definedName>
    <definedName name="E_PERIOD_2022_H2">#REF!</definedName>
    <definedName name="E_PERIOD_2023">#REF!</definedName>
    <definedName name="E_PERIOD_2023_H1">#REF!</definedName>
    <definedName name="E_PERIOD_2023_H2">#REF!</definedName>
    <definedName name="E_PERIOD_2024">#REF!</definedName>
    <definedName name="E_PERIOD_2024_H1">#REF!</definedName>
    <definedName name="E_PERIOD_2024_H2">#REF!</definedName>
    <definedName name="E_PERIOD_2025">#REF!</definedName>
    <definedName name="E_PERIOD_2025_H1">#REF!</definedName>
    <definedName name="E_PERIOD_2025_H2">#REF!</definedName>
    <definedName name="E_PERIOD_2026">#REF!</definedName>
    <definedName name="E_PERIOD_2026_H1">#REF!</definedName>
    <definedName name="E_PERIOD_2027">#REF!</definedName>
    <definedName name="E_SECTION_EQTY_200011471_1314" localSheetId="11">'Dummy brokers ex-sheet'!$330:$330</definedName>
    <definedName name="E_SECTION_EQTY_200011471_1316A" localSheetId="11">'Dummy brokers ex-sheet'!$295:$295</definedName>
    <definedName name="E_SECTION_EQTY_200011471_1316B" localSheetId="11">'Dummy brokers ex-sheet'!$319:$319</definedName>
    <definedName name="E_SECTION_EQTY_200011471_1316C">#REF!</definedName>
    <definedName name="E_SECTION_EQTY_200011471_1316E">#REF!</definedName>
    <definedName name="E_SECTION_EQTY_200011471_1319">#REF!</definedName>
    <definedName name="E_SECTION_EQTY_200011471_131J" localSheetId="11">'Dummy brokers ex-sheet'!$333:$333</definedName>
    <definedName name="E_SECTION_EQTY_200011471_131O" localSheetId="11">'Dummy brokers ex-sheet'!$335:$335</definedName>
    <definedName name="E_SECTION_EQTY_200011471_131P">#REF!</definedName>
    <definedName name="E_SECTION_EQTY_200011471_13A" localSheetId="11">'Dummy brokers ex-sheet'!$259:$259</definedName>
    <definedName name="E_SECTION_EQTY_200011471_13K" localSheetId="11">'Dummy brokers ex-sheet'!$280:$280</definedName>
    <definedName name="E_SECTION_EQTY_200011471_13U" localSheetId="11">'Dummy brokers ex-sheet'!$301:$301</definedName>
    <definedName name="E_SECTION_EQTY_200011471_13V" localSheetId="11">'Dummy brokers ex-sheet'!$328:$328</definedName>
    <definedName name="E_SECTION_EQTY_200011471_Reference_Data" localSheetId="11">'Dummy brokers ex-sheet'!$252:$252</definedName>
    <definedName name="E_SECTION_ISSR_208008758_1314" localSheetId="11">'Dummy brokers ex-sheet'!$52:$52</definedName>
    <definedName name="E_SECTION_ISSR_208008758_13168" localSheetId="11">'Dummy brokers ex-sheet'!$166:$166</definedName>
    <definedName name="E_SECTION_ISSR_208008758_1316B">#REF!</definedName>
    <definedName name="E_SECTION_ISSR_208008758_1316C">#REF!</definedName>
    <definedName name="E_SECTION_ISSR_208008758_1316E">#REF!</definedName>
    <definedName name="E_SECTION_ISSR_208008758_1316T" localSheetId="11">'Dummy brokers ex-sheet'!$225:$225</definedName>
    <definedName name="E_SECTION_ISSR_208008758_1316U" localSheetId="11">'Dummy brokers ex-sheet'!$228:$228</definedName>
    <definedName name="E_SECTION_ISSR_208008758_1319" localSheetId="11">'Dummy brokers ex-sheet'!$102:$102</definedName>
    <definedName name="E_SECTION_ISSR_208008758_131E">#REF!</definedName>
    <definedName name="E_SECTION_ISSR_208008758_131J" localSheetId="11">'Dummy brokers ex-sheet'!$115:$115</definedName>
    <definedName name="E_SECTION_ISSR_208008758_131O" localSheetId="11">'Dummy brokers ex-sheet'!$117:$117</definedName>
    <definedName name="E_SECTION_ISSR_208008758_131P">#REF!</definedName>
    <definedName name="E_SECTION_ISSR_208008758_133M">#REF!</definedName>
    <definedName name="E_SECTION_ISSR_208008758_133R">#REF!</definedName>
    <definedName name="E_SECTION_ISSR_208008758_133W">#REF!</definedName>
    <definedName name="E_SECTION_ISSR_208008758_1341">#REF!</definedName>
    <definedName name="E_SECTION_ISSR_208008758_1346">#REF!</definedName>
    <definedName name="E_SECTION_ISSR_208008758_134B">#REF!</definedName>
    <definedName name="E_SECTION_ISSR_208008758_134G">#REF!</definedName>
    <definedName name="E_SECTION_ISSR_208008758_134L">#REF!</definedName>
    <definedName name="E_SECTION_ISSR_208008758_134Q">#REF!</definedName>
    <definedName name="E_SECTION_ISSR_208008758_134V">#REF!</definedName>
    <definedName name="E_SECTION_ISSR_208008758_1350" localSheetId="11">'Dummy brokers ex-sheet'!$119:$119</definedName>
    <definedName name="E_SECTION_ISSR_208008758_1355" localSheetId="11">'Dummy brokers ex-sheet'!$123:$123</definedName>
    <definedName name="E_SECTION_ISSR_208008758_135A" localSheetId="11">'Dummy brokers ex-sheet'!$132:$132</definedName>
    <definedName name="E_SECTION_ISSR_208008758_135F" localSheetId="11">'Dummy brokers ex-sheet'!$139:$139</definedName>
    <definedName name="E_SECTION_ISSR_208008758_135K" localSheetId="11">'Dummy brokers ex-sheet'!$146:$146</definedName>
    <definedName name="E_SECTION_ISSR_208008758_135P" localSheetId="11">'Dummy brokers ex-sheet'!$158:$158</definedName>
    <definedName name="E_SECTION_ISSR_208008758_135U" localSheetId="11">'Dummy brokers ex-sheet'!$161:$161</definedName>
    <definedName name="E_SECTION_ISSR_208008758_135Z" localSheetId="11">'Dummy brokers ex-sheet'!$153:$153</definedName>
    <definedName name="E_SECTION_ISSR_208008758_136E" localSheetId="11">'Dummy brokers ex-sheet'!$240:$240</definedName>
    <definedName name="E_SECTION_ISSR_208008758_13A" localSheetId="11">'Dummy brokers ex-sheet'!$8:$8</definedName>
    <definedName name="E_SECTION_ISSR_208008758_13U" localSheetId="11">'Dummy brokers ex-sheet'!$13:$13</definedName>
    <definedName name="E_SECTION_ISSR_208008758_13V" localSheetId="11">'Dummy brokers ex-sheet'!$47:$47</definedName>
    <definedName name="E_SECTION_ISSR_208008758_Reference_Data" localSheetId="11">'Dummy brokers ex-sheet'!$5:$5</definedName>
    <definedName name="E_TEMPLATEHASH" localSheetId="11">'Dummy brokers ex-sheet'!$C$1</definedName>
    <definedName name="EFPOWA" localSheetId="1">#REF!</definedName>
    <definedName name="EFPOWA">#REF!</definedName>
    <definedName name="equity" localSheetId="1">#REF!</definedName>
    <definedName name="equity">#REF!</definedName>
    <definedName name="equity_buyback" localSheetId="1">#REF!</definedName>
    <definedName name="equity_buyback">#REF!</definedName>
    <definedName name="equity_drp" localSheetId="1">#REF!</definedName>
    <definedName name="equity_drp">#REF!</definedName>
    <definedName name="equity_SPP" localSheetId="1">#REF!</definedName>
    <definedName name="equity_SPP">#REF!</definedName>
    <definedName name="franking" localSheetId="1">#REF!</definedName>
    <definedName name="franking">#REF!</definedName>
    <definedName name="GNAL" localSheetId="1">#REF!</definedName>
    <definedName name="GNAL">#REF!</definedName>
    <definedName name="goodwill" localSheetId="1">#REF!</definedName>
    <definedName name="goodwill">#REF!</definedName>
    <definedName name="gross_impaired_assets" localSheetId="1">#REF!</definedName>
    <definedName name="gross_impaired_assets">#REF!</definedName>
    <definedName name="gross_loans" localSheetId="1">#REF!</definedName>
    <definedName name="gross_loans">#REF!</definedName>
    <definedName name="Imp_Credit">#REF!</definedName>
    <definedName name="income_tax">#REF!</definedName>
    <definedName name="intangibles" localSheetId="1">#REF!</definedName>
    <definedName name="intangibles">#REF!</definedName>
    <definedName name="interest_expense" localSheetId="1">#REF!</definedName>
    <definedName name="interest_expense">#REF!</definedName>
    <definedName name="interest_income" localSheetId="1">#REF!</definedName>
    <definedName name="interest_income">#REF!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issued_shares" localSheetId="1">#REF!</definedName>
    <definedName name="issued_shares">#REF!</definedName>
    <definedName name="L_ALL_ANZ.AX" localSheetId="1">#REF!</definedName>
    <definedName name="L_ALL_ANZ.AX">#REF!</definedName>
    <definedName name="L_ALL_ANZ.AX_">#REF!</definedName>
    <definedName name="L_ALL_KEYWORDS_TYPE_ScalarContributed_EQTY_200004992">#REF!,#REF!,#REF!,#REF!,#REF!,#REF!,#REF!,#REF!,#REF!</definedName>
    <definedName name="L_ALL_KEYWORDS_TYPE_ScalarContributed_EQTY_200011471">#REF!,#REF!,#REF!,#REF!,#REF!,#REF!</definedName>
    <definedName name="L_ALL_KEYWORDS_TYPE_ScalarContributed_ISSR_208008758" localSheetId="1">#REF!,#REF!</definedName>
    <definedName name="L_ALL_KEYWORDS_TYPE_ScalarContributed_ISSR_208008758">#REF!,#REF!</definedName>
    <definedName name="L_ALL_KEYWORDS_TYPE_ScalarReference_EQTY_200011471">#REF!</definedName>
    <definedName name="L_ALL_KEYWORDS_TYPE_ScalarReference_ISSR_208008758">#REF!</definedName>
    <definedName name="L_ALL_KEYWORDS_TYPE_Vector_EQTY_200004992">#REF!,#REF!,#REF!,#REF!,#REF!,#REF!,#REF!,#REF!,#REF!,#REF!,#REF!,#REF!,#REF!</definedName>
    <definedName name="L_ALL_KEYWORDS_TYPE_Vector_EQTY_200011471" localSheetId="1">#REF!,#REF!,#REF!,#REF!,#REF!</definedName>
    <definedName name="L_ALL_KEYWORDS_TYPE_Vector_EQTY_200011471">#REF!,#REF!,#REF!,#REF!,#REF!</definedName>
    <definedName name="L_ALL_KEYWORDS_TYPE_Vector_ISSR_208005522">#REF!,#REF!,#REF!,#REF!,#REF!,#REF!,#REF!,#REF!,#REF!,#REF!,#REF!,#REF!,#REF!,#REF!,#REF!,#REF!,#REF!,#REF!,#REF!,#REF!,#REF!,#REF!,#REF!,#REF!,#REF!,#REF!,#REF!,#REF!,#REF!</definedName>
    <definedName name="L_ALL_KEYWORDS_TYPE_Vector_ISSR_208008758" localSheetId="1">#REF!,#REF!,#REF!,#REF!,#REF!,#REF!,#REF!,#REF!,#REF!,#REF!,#REF!,#REF!,#REF!,#REF!,#REF!,#REF!,#REF!,#REF!,#REF!,#REF!</definedName>
    <definedName name="L_ALL_KEYWORDS_TYPE_Vector_ISSR_208008758">#REF!,#REF!,#REF!,#REF!,#REF!,#REF!,#REF!,#REF!,#REF!,#REF!,#REF!,#REF!,#REF!,#REF!,#REF!,#REF!,#REF!,#REF!,#REF!,#REF!</definedName>
    <definedName name="L_ALL_MQG.AX" localSheetId="11">#REF!</definedName>
    <definedName name="L_ALL_MQG.AX">#REF!</definedName>
    <definedName name="L_ALL_MQG.AX_">#REF!</definedName>
    <definedName name="L_ALL_PERIODS_MQG.AX">#REF!</definedName>
    <definedName name="L_ALL_SECTION_KEYWORDS_EQTY_200011471_1314">#REF!</definedName>
    <definedName name="L_ALL_SECTION_KEYWORDS_EQTY_200011471_1316A">#REF!</definedName>
    <definedName name="L_ALL_SECTION_KEYWORDS_EQTY_200011471_1316B">#REF!</definedName>
    <definedName name="L_ALL_SECTION_KEYWORDS_EQTY_200011471_1316C">#REF!</definedName>
    <definedName name="L_ALL_SECTION_KEYWORDS_EQTY_200011471_1316E">#REF!</definedName>
    <definedName name="L_ALL_SECTION_KEYWORDS_EQTY_200011471_1319">#REF!</definedName>
    <definedName name="L_ALL_SECTION_KEYWORDS_EQTY_200011471_131J">#REF!</definedName>
    <definedName name="L_ALL_SECTION_KEYWORDS_EQTY_200011471_131O">#REF!</definedName>
    <definedName name="L_ALL_SECTION_KEYWORDS_EQTY_200011471_131P">#REF!</definedName>
    <definedName name="L_ALL_SECTION_KEYWORDS_EQTY_200011471_13A" localSheetId="1">#REF!</definedName>
    <definedName name="L_ALL_SECTION_KEYWORDS_EQTY_200011471_13A">#REF!</definedName>
    <definedName name="L_ALL_SECTION_KEYWORDS_EQTY_200011471_13K" localSheetId="1">#REF!</definedName>
    <definedName name="L_ALL_SECTION_KEYWORDS_EQTY_200011471_13K">#REF!</definedName>
    <definedName name="L_ALL_SECTION_KEYWORDS_EQTY_200011471_13U">#REF!</definedName>
    <definedName name="L_ALL_SECTION_KEYWORDS_EQTY_200011471_13V">#REF!</definedName>
    <definedName name="L_ALL_SECTION_KEYWORDS_EQTY_200011471_Reference_Data">#REF!</definedName>
    <definedName name="L_ALL_SECTION_KEYWORDS_ISSR_208008758_1314" localSheetId="1">#REF!</definedName>
    <definedName name="L_ALL_SECTION_KEYWORDS_ISSR_208008758_1314">#REF!</definedName>
    <definedName name="L_ALL_SECTION_KEYWORDS_ISSR_208008758_13168">#REF!</definedName>
    <definedName name="L_ALL_SECTION_KEYWORDS_ISSR_208008758_1316B">#REF!</definedName>
    <definedName name="L_ALL_SECTION_KEYWORDS_ISSR_208008758_1316C">#REF!</definedName>
    <definedName name="L_ALL_SECTION_KEYWORDS_ISSR_208008758_1316E">#REF!</definedName>
    <definedName name="L_ALL_SECTION_KEYWORDS_ISSR_208008758_1316T">#REF!</definedName>
    <definedName name="L_ALL_SECTION_KEYWORDS_ISSR_208008758_1316U">#REF!</definedName>
    <definedName name="L_ALL_SECTION_KEYWORDS_ISSR_208008758_1319" localSheetId="1">#REF!</definedName>
    <definedName name="L_ALL_SECTION_KEYWORDS_ISSR_208008758_1319">#REF!</definedName>
    <definedName name="L_ALL_SECTION_KEYWORDS_ISSR_208008758_131E">#REF!</definedName>
    <definedName name="L_ALL_SECTION_KEYWORDS_ISSR_208008758_131J">#REF!</definedName>
    <definedName name="L_ALL_SECTION_KEYWORDS_ISSR_208008758_131O">#REF!</definedName>
    <definedName name="L_ALL_SECTION_KEYWORDS_ISSR_208008758_131P">#REF!</definedName>
    <definedName name="L_ALL_SECTION_KEYWORDS_ISSR_208008758_133M">#REF!</definedName>
    <definedName name="L_ALL_SECTION_KEYWORDS_ISSR_208008758_133R">#REF!</definedName>
    <definedName name="L_ALL_SECTION_KEYWORDS_ISSR_208008758_133W">#REF!</definedName>
    <definedName name="L_ALL_SECTION_KEYWORDS_ISSR_208008758_1341">#REF!</definedName>
    <definedName name="L_ALL_SECTION_KEYWORDS_ISSR_208008758_1346">#REF!</definedName>
    <definedName name="L_ALL_SECTION_KEYWORDS_ISSR_208008758_134B">#REF!</definedName>
    <definedName name="L_ALL_SECTION_KEYWORDS_ISSR_208008758_134G">#REF!</definedName>
    <definedName name="L_ALL_SECTION_KEYWORDS_ISSR_208008758_134L">#REF!</definedName>
    <definedName name="L_ALL_SECTION_KEYWORDS_ISSR_208008758_134Q">#REF!</definedName>
    <definedName name="L_ALL_SECTION_KEYWORDS_ISSR_208008758_134V">#REF!</definedName>
    <definedName name="L_ALL_SECTION_KEYWORDS_ISSR_208008758_1350">#REF!</definedName>
    <definedName name="L_ALL_SECTION_KEYWORDS_ISSR_208008758_1355">#REF!</definedName>
    <definedName name="L_ALL_SECTION_KEYWORDS_ISSR_208008758_135A">#REF!</definedName>
    <definedName name="L_ALL_SECTION_KEYWORDS_ISSR_208008758_135F">#REF!</definedName>
    <definedName name="L_ALL_SECTION_KEYWORDS_ISSR_208008758_135K">#REF!</definedName>
    <definedName name="L_ALL_SECTION_KEYWORDS_ISSR_208008758_135P">#REF!</definedName>
    <definedName name="L_ALL_SECTION_KEYWORDS_ISSR_208008758_135U">#REF!</definedName>
    <definedName name="L_ALL_SECTION_KEYWORDS_ISSR_208008758_135Z">#REF!</definedName>
    <definedName name="L_ALL_SECTION_KEYWORDS_ISSR_208008758_136E">#REF!</definedName>
    <definedName name="L_ALL_SECTION_KEYWORDS_ISSR_208008758_13A">#REF!</definedName>
    <definedName name="L_ALL_SECTION_KEYWORDS_ISSR_208008758_13U">#REF!</definedName>
    <definedName name="L_ALL_SECTION_KEYWORDS_ISSR_208008758_13V" localSheetId="1">#REF!,#REF!</definedName>
    <definedName name="L_ALL_SECTION_KEYWORDS_ISSR_208008758_13V">#REF!,#REF!</definedName>
    <definedName name="L_ALL_SECTION_KEYWORDS_ISSR_208008758_Reference_Data">#REF!</definedName>
    <definedName name="L_ALL_SECTIONS_EQTY_200004992">#REF!,#REF!,#REF!,#REF!,#REF!,#REF!,#REF!,#REF!,#REF!,#REF!,#REF!,#REF!,#REF!</definedName>
    <definedName name="L_ALL_SECTIONS_EQTY_200011471">#REF!,#REF!,#REF!,#REF!,#REF!,#REF!,#REF!,#REF!,#REF!,#REF!</definedName>
    <definedName name="L_ALL_SECTIONS_ISSR_208005522">#REF!,#REF!,#REF!,#REF!,#REF!,#REF!,#REF!,#REF!,#REF!,#REF!,#REF!,#REF!,#REF!,#REF!,#REF!,#REF!,#REF!,#REF!,#REF!,#REF!,#REF!,#REF!,#REF!,#REF!</definedName>
    <definedName name="L_ALL_SECTIONS_ISSR_208008758">#REF!,#REF!,#REF!,#REF!,#REF!,#REF!,#REF!,#REF!,#REF!,#REF!,#REF!,#REF!,#REF!,#REF!,#REF!,#REF!,#REF!,#REF!,#REF!,#REF!</definedName>
    <definedName name="L_ALL_WBC.AX">#REF!</definedName>
    <definedName name="L_ALL_WBC.AX_">#REF!</definedName>
    <definedName name="L_CURRENCY_EQTY_200004992_PRI">#REF!</definedName>
    <definedName name="L_CURRENCY_EQTY_200004992_PUB">#REF!</definedName>
    <definedName name="L_CURRENCY_EQTY_200004992_REP">#REF!</definedName>
    <definedName name="L_CURRENCY_EQTY_200011471_PRI">#REF!</definedName>
    <definedName name="L_CURRENCY_EQTY_200011471_PUB">#REF!</definedName>
    <definedName name="L_CURRENCY_EQTY_200011471_REP">#REF!</definedName>
    <definedName name="L_CURRENCY_ISSR_208005522_REP">#REF!</definedName>
    <definedName name="L_CURRENCY_ISSR_208008758_REP">#REF!</definedName>
    <definedName name="L_ENTITY_DATA_EQTY_200011471">#REF!</definedName>
    <definedName name="L_ENTITY_DATA_ISSR_208008758">#REF!</definedName>
    <definedName name="L_KEYWORD_EQTY_200011471_ANZ_CONVICTION">#REF!</definedName>
    <definedName name="L_KEYWORD_EQTY_200011471_ANZ_LIST">#REF!</definedName>
    <definedName name="L_KEYWORD_EQTY_200011471_ASSET_SALES_GAIN_LOSS">#REF!</definedName>
    <definedName name="L_KEYWORD_EQTY_200011471_AVG_ORD_SHOLDERS_EQUITY">#REF!</definedName>
    <definedName name="L_KEYWORD_EQTY_200011471_AVG_PREF_CAPITAL">#REF!</definedName>
    <definedName name="L_KEYWORD_EQTY_200011471_B_BS_L_GSEQUITY">#REF!</definedName>
    <definedName name="L_KEYWORD_EQTY_200011471_B_CAMELOT_BETA">#REF!</definedName>
    <definedName name="L_KEYWORD_EQTY_200011471_B_CAMELOT_CAGR_DPS">#REF!</definedName>
    <definedName name="L_KEYWORD_EQTY_200011471_B_CAMELOT_PB">#REF!</definedName>
    <definedName name="L_KEYWORD_EQTY_200011471_B_CAMELOT_PE">#REF!</definedName>
    <definedName name="L_KEYWORD_EQTY_200011471_B_FORECASTRANGE">#REF!</definedName>
    <definedName name="L_KEYWORD_EQTY_200011471_B_FORECASTYRS">#REF!</definedName>
    <definedName name="L_KEYWORD_EQTY_200011471_B_PL_GSBVPS">#REF!</definedName>
    <definedName name="L_KEYWORD_EQTY_200011471_B_PL_GSEPS">#REF!</definedName>
    <definedName name="L_KEYWORD_EQTY_200011471_B_PL_GSINCOME">#REF!</definedName>
    <definedName name="L_KEYWORD_EQTY_200011471_B_PL_PTASSOC">#REF!</definedName>
    <definedName name="L_KEYWORD_EQTY_200011471_B_RIM_BETA">#REF!</definedName>
    <definedName name="L_KEYWORD_EQTY_200011471_B_RIM_COE">#REF!</definedName>
    <definedName name="L_KEYWORD_EQTY_200011471_B_RIM_PB">#REF!</definedName>
    <definedName name="L_KEYWORD_EQTY_200011471_B_RIM_PE">#REF!</definedName>
    <definedName name="L_KEYWORD_EQTY_200011471_BASE_CASE_VAL_DCF">#REF!</definedName>
    <definedName name="L_KEYWORD_EQTY_200011471_BENEFITS_TAX_LOSSES">#REF!</definedName>
    <definedName name="L_KEYWORD_EQTY_200011471_BETA_ANALYST">#REF!</definedName>
    <definedName name="L_KEYWORD_EQTY_200011471_BVPS">#REF!</definedName>
    <definedName name="L_KEYWORD_EQTY_200011471_BVPS_PUB">#REF!</definedName>
    <definedName name="L_KEYWORD_EQTY_200011471_CASH_EARNINGS_COMPANY">#REF!</definedName>
    <definedName name="L_KEYWORD_EQTY_200011471_CATALYST1_DATE">#REF!</definedName>
    <definedName name="L_KEYWORD_EQTY_200011471_CATALYST1_EVENT">#REF!</definedName>
    <definedName name="L_KEYWORD_EQTY_200011471_CATALYST2_DATE">#REF!</definedName>
    <definedName name="L_KEYWORD_EQTY_200011471_CATALYST2_EVENT">#REF!</definedName>
    <definedName name="L_KEYWORD_EQTY_200011471_CATALYST3_DATE">#REF!</definedName>
    <definedName name="L_KEYWORD_EQTY_200011471_CATALYST3_EVENT">#REF!</definedName>
    <definedName name="L_KEYWORD_EQTY_200011471_CATALYST4_DATE">#REF!</definedName>
    <definedName name="L_KEYWORD_EQTY_200011471_CATALYST4_EVENT">#REF!</definedName>
    <definedName name="L_KEYWORD_EQTY_200011471_CATALYST5_DATE">#REF!</definedName>
    <definedName name="L_KEYWORD_EQTY_200011471_CATALYST5_EVENT">#REF!</definedName>
    <definedName name="L_KEYWORD_EQTY_200011471_CEEE_NDEBT">#REF!</definedName>
    <definedName name="L_KEYWORD_EQTY_200011471_COE">#REF!</definedName>
    <definedName name="L_KEYWORD_EQTY_200011471_COMMON_DIV_PAID">#REF!</definedName>
    <definedName name="L_KEYWORD_EQTY_200011471_CONVERTIBLE_NOTES">#REF!</definedName>
    <definedName name="L_KEYWORD_EQTY_200011471_COST_OF_EQUITY_DCF">#REF!</definedName>
    <definedName name="L_KEYWORD_EQTY_200011471_CUM_PRESENT_VAL_CASH_FLOWS_DCF">#REF!</definedName>
    <definedName name="L_KEYWORD_EQTY_200011471_CURRENCY_ISO">#REF!</definedName>
    <definedName name="L_KEYWORD_EQTY_200011471_DCF_CASH_FLOW">#REF!</definedName>
    <definedName name="L_KEYWORD_EQTY_200011471_DEBT_EQUITY">#REF!</definedName>
    <definedName name="L_KEYWORD_EQTY_200011471_DEBT_RISK_MARGIN_DCF">#REF!</definedName>
    <definedName name="L_KEYWORD_EQTY_200011471_DILUTE_NI_IMPAC">#REF!</definedName>
    <definedName name="L_KEYWORD_EQTY_200011471_DILUTE_SHARES">#REF!</definedName>
    <definedName name="L_KEYWORD_EQTY_200011471_DISCOUNT_FACTOR_DCF">#REF!</definedName>
    <definedName name="L_KEYWORD_EQTY_200011471_DPS">#REF!</definedName>
    <definedName name="L_KEYWORD_EQTY_200011471_DPS_PUB">#REF!</definedName>
    <definedName name="L_KEYWORD_EQTY_200011471_DPS_SPECIAL_PUB">#REF!</definedName>
    <definedName name="L_KEYWORD_EQTY_200011471_DRP_DISCOUNT">#REF!</definedName>
    <definedName name="L_KEYWORD_EQTY_200011471_DRP_PARTICIPATION">#REF!</definedName>
    <definedName name="L_KEYWORD_EQTY_200011471_EBIT_PUB">#REF!</definedName>
    <definedName name="L_KEYWORD_EQTY_200011471_EBITDA_PUB">#REF!</definedName>
    <definedName name="L_KEYWORD_EQTY_200011471_EFF_INT_RATE_IMPACT_POST_TAX">#REF!</definedName>
    <definedName name="L_KEYWORD_EQTY_200011471_EFPO">#REF!</definedName>
    <definedName name="L_KEYWORD_EQTY_200011471_EFPOWA">#REF!</definedName>
    <definedName name="L_KEYWORD_EQTY_200011471_EPS">#REF!</definedName>
    <definedName name="L_KEYWORD_EQTY_200011471_EPS_CONS_PUB">#REF!</definedName>
    <definedName name="L_KEYWORD_EQTY_200011471_EPS_FUL_DIL">#REF!</definedName>
    <definedName name="L_KEYWORD_EQTY_200011471_EPS_POST_BASIC">#REF!</definedName>
    <definedName name="L_KEYWORD_EQTY_200011471_EPS_PRE_GWILL">#REF!</definedName>
    <definedName name="L_KEYWORD_EQTY_200011471_EPS_PUB">#REF!</definedName>
    <definedName name="L_KEYWORD_EQTY_200011471_EPS_REPORTED">#REF!</definedName>
    <definedName name="L_KEYWORD_EQTY_200011471_EQ_PUB">#REF!</definedName>
    <definedName name="L_KEYWORD_EQTY_200011471_EQUITY_VALUE_DCF">#REF!</definedName>
    <definedName name="L_KEYWORD_EQTY_200011471_EV_ADJ_PUB">#REF!</definedName>
    <definedName name="L_KEYWORD_EQTY_200011471_FIN_INSTRUMENT_HEDGE_POST_TAX">#REF!</definedName>
    <definedName name="L_KEYWORD_EQTY_200011471_FINAL_DIV_AMOUNT">#REF!</definedName>
    <definedName name="L_KEYWORD_EQTY_200011471_FINAL_DIV_EXDATE">#REF!</definedName>
    <definedName name="L_KEYWORD_EQTY_200011471_FINAL_DIV_FRANK">#REF!</definedName>
    <definedName name="L_KEYWORD_EQTY_200011471_FINAL_DIV_TAXRATE">#REF!</definedName>
    <definedName name="L_KEYWORD_EQTY_200011471_FOREIGN_EXCHANGE_GAIN_LOSS">#REF!</definedName>
    <definedName name="L_KEYWORD_EQTY_200011471_FOREIGN_HOLDNG">#REF!</definedName>
    <definedName name="L_KEYWORD_EQTY_200011471_FRANK_TAX_RATE">#REF!</definedName>
    <definedName name="L_KEYWORD_EQTY_200011471_FRANKING">#REF!</definedName>
    <definedName name="L_KEYWORD_EQTY_200011471_FRANKING_ANZPUB">#REF!</definedName>
    <definedName name="L_KEYWORD_EQTY_200011471_FRANKING_SPECIAL_ANZPUB">#REF!</definedName>
    <definedName name="L_KEYWORD_EQTY_200011471_FREE_FLOAT">#REF!</definedName>
    <definedName name="L_KEYWORD_EQTY_200011471_FULLY_DIL_EPS">#REF!</definedName>
    <definedName name="L_KEYWORD_EQTY_200011471_GRTH_CAGR_TOT_ASSET_PROJECTED">#REF!</definedName>
    <definedName name="L_KEYWORD_EQTY_200011471_GRTH_CAGR_TOT_ASSET_TERMINAL">#REF!</definedName>
    <definedName name="L_KEYWORD_EQTY_200011471_GWILL_ASSET_IMP_CHG_POST_TAX">#REF!</definedName>
    <definedName name="L_KEYWORD_EQTY_200011471_IMP_CREDITS_PER_SHARE_DCF">#REF!</definedName>
    <definedName name="L_KEYWORD_EQTY_200011471_INC_MINORITY">#REF!</definedName>
    <definedName name="L_KEYWORD_EQTY_200011471_INCTAX_PL_ON_AB">#REF!</definedName>
    <definedName name="L_KEYWORD_EQTY_200011471_INCTAX_PL_POST_AB">#REF!</definedName>
    <definedName name="L_KEYWORD_EQTY_200011471_INT_DIV_AMOUNT">#REF!</definedName>
    <definedName name="L_KEYWORD_EQTY_200011471_INT_DIV_EXDATE">#REF!</definedName>
    <definedName name="L_KEYWORD_EQTY_200011471_INT_DIV_FRANK">#REF!</definedName>
    <definedName name="L_KEYWORD_EQTY_200011471_INT_DIV_TAXRATE">#REF!</definedName>
    <definedName name="L_KEYWORD_EQTY_200011471_Interim_Type">#REF!</definedName>
    <definedName name="L_KEYWORD_EQTY_200011471_INTRINSIC_PER_SHARE_VALUE_DCF">#REF!</definedName>
    <definedName name="L_KEYWORD_EQTY_200011471_LEGAL_RATING">#REF!</definedName>
    <definedName name="L_KEYWORD_EQTY_200011471_MARGIN_TAX_RATE">#REF!</definedName>
    <definedName name="L_KEYWORD_EQTY_200011471_MARKET_VALUE_OF_INVESTMENTS_DCF">#REF!</definedName>
    <definedName name="L_KEYWORD_EQTY_200011471_MINOR_EQUITY">#REF!</definedName>
    <definedName name="L_KEYWORD_EQTY_200011471_MINOR_NON_EQUITY">#REF!</definedName>
    <definedName name="L_KEYWORD_EQTY_200011471_MKT_EQ_RISK_PREM">#REF!</definedName>
    <definedName name="L_KEYWORD_EQTY_200011471_NET_DEBT_EX_LEASES_PUB">#REF!</definedName>
    <definedName name="L_KEYWORD_EQTY_200011471_NET_DEBT_NET_CASH_DCF">#REF!</definedName>
    <definedName name="L_KEYWORD_EQTY_200011471_NET_DEBT_PUB">#REF!</definedName>
    <definedName name="L_KEYWORD_EQTY_200011471_NET_EARNING">#REF!</definedName>
    <definedName name="L_KEYWORD_EQTY_200011471_NET_INC">#REF!</definedName>
    <definedName name="L_KEYWORD_EQTY_200011471_NET_PROFIT">#REF!</definedName>
    <definedName name="L_KEYWORD_EQTY_200011471_NET_TANGIBLE_ASSETS_ADJUSTED_NZ">#REF!</definedName>
    <definedName name="L_KEYWORD_EQTY_200011471_NI_CONS">#REF!</definedName>
    <definedName name="L_KEYWORD_EQTY_200011471_NI_PRE_PREF">#REF!</definedName>
    <definedName name="L_KEYWORD_EQTY_200011471_NI_PUB">#REF!</definedName>
    <definedName name="L_KEYWORD_EQTY_200011471_NI_REPT_PUB">#REF!</definedName>
    <definedName name="L_KEYWORD_EQTY_200011471_NON_OP_ADD">#REF!</definedName>
    <definedName name="L_KEYWORD_EQTY_200011471_NOPAT">#REF!</definedName>
    <definedName name="L_KEYWORD_EQTY_200011471_NOT_IN_USE">#REF!</definedName>
    <definedName name="L_KEYWORD_EQTY_200011471_NTA_PER_SHARE">#REF!</definedName>
    <definedName name="L_KEYWORD_EQTY_200011471_NUM_SH">#REF!</definedName>
    <definedName name="L_KEYWORD_EQTY_200011471_OPPL_ATAX_POST_AB">#REF!</definedName>
    <definedName name="L_KEYWORD_EQTY_200011471_OPTIONS">#REF!</definedName>
    <definedName name="L_KEYWORD_EQTY_200011471_OPTIONS_IN_MONEY">#REF!</definedName>
    <definedName name="L_KEYWORD_EQTY_200011471_OTH_ASSET_IMPAIR_CHG_POST_TAX">#REF!</definedName>
    <definedName name="L_KEYWORD_EQTY_200011471_OTHER_ABNORMAL_ITEMS">#REF!</definedName>
    <definedName name="L_KEYWORD_EQTY_200011471_OTHER_CAPITAL">#REF!</definedName>
    <definedName name="L_KEYWORD_EQTY_200011471_OTHER_IFRS_ADJUST_POST_TAX">#REF!</definedName>
    <definedName name="L_KEYWORD_EQTY_200011471_PARTLY_PAID_SHARES">#REF!</definedName>
    <definedName name="L_KEYWORD_EQTY_200011471_PERPETUITY_GROWTH_RATE_DCF">#REF!</definedName>
    <definedName name="L_KEYWORD_EQTY_200011471_PREF_DIV">#REF!</definedName>
    <definedName name="L_KEYWORD_EQTY_200011471_PREFERENCE_SHARES">#REF!</definedName>
    <definedName name="L_KEYWORD_EQTY_200011471_PRESENT_VALUE_OF_CASH_FLOW_DCF">#REF!</definedName>
    <definedName name="L_KEYWORD_EQTY_200011471_PRI_TARG_METH">#REF!</definedName>
    <definedName name="L_KEYWORD_EQTY_200011471_PRI_TARG_MULT">#REF!</definedName>
    <definedName name="L_KEYWORD_EQTY_200011471_PRICE_CURRENCY_ISO">#REF!</definedName>
    <definedName name="L_KEYWORD_EQTY_200011471_PROF_ADJUST_EPS">#REF!</definedName>
    <definedName name="L_KEYWORD_EQTY_200011471_PROF_AT">#REF!</definedName>
    <definedName name="L_KEYWORD_EQTY_200011471_PROV_INC_TAX">#REF!</definedName>
    <definedName name="L_KEYWORD_EQTY_200011471_PTP_PUB">#REF!</definedName>
    <definedName name="L_KEYWORD_EQTY_200011471_PUB_CURRENCY_ISO">#REF!</definedName>
    <definedName name="L_KEYWORD_EQTY_200011471_RESTRUC_COSTS">#REF!</definedName>
    <definedName name="L_KEYWORD_EQTY_200011471_REVS_PUB">#REF!</definedName>
    <definedName name="L_KEYWORD_EQTY_200011471_RISK_ADJ_OPTION_VALUE_DCF">#REF!</definedName>
    <definedName name="L_KEYWORD_EQTY_200011471_RISK_FR_RATE">#REF!</definedName>
    <definedName name="L_KEYWORD_EQTY_200011471_RISK_TO_EARNINGS">#REF!</definedName>
    <definedName name="L_KEYWORD_EQTY_200011471_RISK_WEIGHTED_ASSET_APRA">#REF!</definedName>
    <definedName name="L_KEYWORD_EQTY_200011471_ROAA_PROJECTED">#REF!</definedName>
    <definedName name="L_KEYWORD_EQTY_200011471_ROCE_ANZ">#REF!</definedName>
    <definedName name="L_KEYWORD_EQTY_200011471_ROE_TERMINAL">#REF!</definedName>
    <definedName name="L_KEYWORD_EQTY_200011471_Security_Name">#REF!</definedName>
    <definedName name="L_KEYWORD_EQTY_200011471_SH">#REF!</definedName>
    <definedName name="L_KEYWORD_EQTY_200011471_SHOLDERS_EQUITY_MBRS">#REF!</definedName>
    <definedName name="L_KEYWORD_EQTY_200011471_STD_FREE_OP_CASH_FLOW_DCF">#REF!</definedName>
    <definedName name="L_KEYWORD_EQTY_200011471_TANG_BVPS">#REF!</definedName>
    <definedName name="L_KEYWORD_EQTY_200011471_TARGET_PRICE">#REF!</definedName>
    <definedName name="L_KEYWORD_EQTY_200011471_TARGET_PRICE_FUNDAMENTAL">#REF!</definedName>
    <definedName name="L_KEYWORD_EQTY_200011471_TARGET_PRICE_MA">#REF!</definedName>
    <definedName name="L_KEYWORD_EQTY_200011471_TAX_EXC">#REF!</definedName>
    <definedName name="L_KEYWORD_EQTY_200011471_TAX_RATE_DCF">#REF!</definedName>
    <definedName name="L_KEYWORD_EQTY_200011471_TBVPS_LAST">#REF!</definedName>
    <definedName name="L_KEYWORD_EQTY_200011471_TERMINAL_YEAR_DCF">#REF!</definedName>
    <definedName name="L_KEYWORD_EQTY_200011471_Ticker">#REF!</definedName>
    <definedName name="L_KEYWORD_EQTY_200011471_TOTAL_ANNUAL_DIV_AMOUNT">#REF!</definedName>
    <definedName name="L_KEYWORD_EQTY_200011471_TOTAL_CAPITAL_EFPO">#REF!</definedName>
    <definedName name="L_KEYWORD_EQTY_200011471_TOTAL_CAPITAL_EFPOWA">#REF!</definedName>
    <definedName name="L_KEYWORD_EQTY_200011471_TOTAL_IFRS_ADJUST_POST_TAX">#REF!</definedName>
    <definedName name="L_KEYWORD_EQTY_200011471_TP_PERIOD">#REF!</definedName>
    <definedName name="L_KEYWORD_EQTY_200011471_VALUATION_YEAR">#REF!</definedName>
    <definedName name="L_KEYWORD_EQTY_200011471_WACC_DCF">#REF!</definedName>
    <definedName name="L_KEYWORD_EQTY_200011471_YEAR_END_CAPITAL_EVA">#REF!</definedName>
    <definedName name="L_KEYWORD_ISSR_208008758_ACC_END_DATE">#REF!</definedName>
    <definedName name="L_KEYWORD_ISSR_208008758_ACC_PAY_GQ">#REF!</definedName>
    <definedName name="L_KEYWORD_ISSR_208008758_ACCEPTANCES_ASSETS">#REF!</definedName>
    <definedName name="L_KEYWORD_ISSR_208008758_ACCEPTANCES_LIABS">#REF!</definedName>
    <definedName name="L_KEYWORD_ISSR_208008758_ACCRUAL">#REF!</definedName>
    <definedName name="L_KEYWORD_ISSR_208008758_ACCRUED_EXP_OTH">#REF!</definedName>
    <definedName name="L_KEYWORD_ISSR_208008758_AM_FEE">#REF!</definedName>
    <definedName name="L_KEYWORD_ISSR_208008758_AM_MARGIN">#REF!</definedName>
    <definedName name="L_KEYWORD_ISSR_208008758_AM_PTP">#REF!</definedName>
    <definedName name="L_KEYWORD_ISSR_208008758_AM_REVS">#REF!</definedName>
    <definedName name="L_KEYWORD_ISSR_208008758_AMB_MARGIN">#REF!</definedName>
    <definedName name="L_KEYWORD_ISSR_208008758_AMB_PTP">#REF!</definedName>
    <definedName name="L_KEYWORD_ISSR_208008758_AMB_REVS">#REF!</definedName>
    <definedName name="L_KEYWORD_ISSR_208008758_AMORT_OF_INTANGIBLES">#REF!</definedName>
    <definedName name="L_KEYWORD_ISSR_208008758_AMORT_OF_INTANGIBLES_ADJ">#REF!</definedName>
    <definedName name="L_KEYWORD_ISSR_208008758_ASIA_ASS">#REF!</definedName>
    <definedName name="L_KEYWORD_ISSR_208008758_ASIA_OP">#REF!</definedName>
    <definedName name="L_KEYWORD_ISSR_208008758_ASIA_SALES">#REF!</definedName>
    <definedName name="L_KEYWORD_ISSR_208008758_ASSET_MISC">#REF!</definedName>
    <definedName name="L_KEYWORD_ISSR_208008758_ASSOCIATE">#REF!</definedName>
    <definedName name="L_KEYWORD_ISSR_208008758_AVG_ACCEPTANCES">#REF!</definedName>
    <definedName name="L_KEYWORD_ISSR_208008758_AVG_CAPITAL_EMPLOYED_ADJ">#REF!</definedName>
    <definedName name="L_KEYWORD_ISSR_208008758_AVG_GROSS_NON_PERF_ASSETS">#REF!</definedName>
    <definedName name="L_KEYWORD_ISSR_208008758_AVG_INT_BEARING_LIABS">#REF!</definedName>
    <definedName name="L_KEYWORD_ISSR_208008758_AVG_INT_EARN_ASSETS">#REF!</definedName>
    <definedName name="L_KEYWORD_ISSR_208008758_AVG_LOANS_ADVANCES">#REF!</definedName>
    <definedName name="L_KEYWORD_ISSR_208008758_AVG_NON_INT_BEARING_LIABS">#REF!</definedName>
    <definedName name="L_KEYWORD_ISSR_208008758_AVG_OTH_PROD_ASSETS">#REF!</definedName>
    <definedName name="L_KEYWORD_ISSR_208008758_AVG_OTHER_ASSETS">#REF!</definedName>
    <definedName name="L_KEYWORD_ISSR_208008758_AVG_OTHER_LIABS">#REF!</definedName>
    <definedName name="L_KEYWORD_ISSR_208008758_AVG_PROD_INT_EARN_ASSETS">#REF!</definedName>
    <definedName name="L_KEYWORD_ISSR_208008758_AVG_PROV_BAD_DEBT">#REF!</definedName>
    <definedName name="L_KEYWORD_ISSR_208008758_AVG_TOTAL_ASSETS">#REF!</definedName>
    <definedName name="L_KEYWORD_ISSR_208008758_B_BS_A_DEBTTOT">#REF!</definedName>
    <definedName name="L_KEYWORD_ISSR_208008758_B_BS_A_LNBNK">#REF!</definedName>
    <definedName name="L_KEYWORD_ISSR_208008758_B_BS_A_NETLOANS">#REF!</definedName>
    <definedName name="L_KEYWORD_ISSR_208008758_B_BS_A_OTHINT1">#REF!</definedName>
    <definedName name="L_KEYWORD_ISSR_208008758_B_BS_A_PERIOD">#REF!</definedName>
    <definedName name="L_KEYWORD_ISSR_208008758_B_BS_L_BANKDEP">#REF!</definedName>
    <definedName name="L_KEYWORD_ISSR_208008758_B_BS_L_CUSTDEP">#REF!</definedName>
    <definedName name="L_KEYWORD_ISSR_208008758_B_BS_L_GSTANGEQ">#REF!</definedName>
    <definedName name="L_KEYWORD_ISSR_208008758_B_BS_L_PERIOD">#REF!</definedName>
    <definedName name="L_KEYWORD_ISSR_208008758_B_CA_BISRATIO">#REF!</definedName>
    <definedName name="L_KEYWORD_ISSR_208008758_B_CA_CAPBASE">#REF!</definedName>
    <definedName name="L_KEYWORD_ISSR_208008758_B_CA_CORECAP">#REF!</definedName>
    <definedName name="L_KEYWORD_ISSR_208008758_B_CA_PREFCAP">#REF!</definedName>
    <definedName name="L_KEYWORD_ISSR_208008758_B_CA_RWA">#REF!</definedName>
    <definedName name="L_KEYWORD_ISSR_208008758_B_CA_T1CAP">#REF!</definedName>
    <definedName name="L_KEYWORD_ISSR_208008758_B_CA_T1RATIO">#REF!</definedName>
    <definedName name="L_KEYWORD_ISSR_208008758_B_CA_T2CAP">#REF!</definedName>
    <definedName name="L_KEYWORD_ISSR_208008758_B_CA_T2RATIO">#REF!</definedName>
    <definedName name="L_KEYWORD_ISSR_208008758_B_CAMELOT_SUST_ROE">#REF!</definedName>
    <definedName name="L_KEYWORD_ISSR_208008758_B_CORP_OTH">#REF!</definedName>
    <definedName name="L_KEYWORD_ISSR_208008758_B_DE_DEMAND">#REF!</definedName>
    <definedName name="L_KEYWORD_ISSR_208008758_B_DE_OTHERS">#REF!</definedName>
    <definedName name="L_KEYWORD_ISSR_208008758_B_DE_TIME">#REF!</definedName>
    <definedName name="L_KEYWORD_ISSR_208008758_B_DE_TOTDEPOSIT">#REF!</definedName>
    <definedName name="L_KEYWORD_ISSR_208008758_B_GOVERNMT">#REF!</definedName>
    <definedName name="L_KEYWORD_ISSR_208008758_B_GOVERNMT_SLD">#REF!</definedName>
    <definedName name="L_KEYWORD_ISSR_208008758_B_IH_BKVALUE">#REF!</definedName>
    <definedName name="L_KEYWORD_ISSR_208008758_B_IH_MKTVALUE">#REF!</definedName>
    <definedName name="L_KEYWORD_ISSR_208008758_B_IH_PTAXVALUE">#REF!</definedName>
    <definedName name="L_KEYWORD_ISSR_208008758_B_IH_TAX">#REF!</definedName>
    <definedName name="L_KEYWORD_ISSR_208008758_B_IH_UNREALISE">#REF!</definedName>
    <definedName name="L_KEYWORD_ISSR_208008758_B_LB_COMMCL">#REF!</definedName>
    <definedName name="L_KEYWORD_ISSR_208008758_B_LB_CONSTRUCT">#REF!</definedName>
    <definedName name="L_KEYWORD_ISSR_208008758_B_LB_FINANCL">#REF!</definedName>
    <definedName name="L_KEYWORD_ISSR_208008758_B_LB_FINLEASE">#REF!</definedName>
    <definedName name="L_KEYWORD_ISSR_208008758_B_LB_GOVERNMT">#REF!</definedName>
    <definedName name="L_KEYWORD_ISSR_208008758_B_LB_GROSSLOANS">#REF!</definedName>
    <definedName name="L_KEYWORD_ISSR_208008758_B_LB_MORTG">#REF!</definedName>
    <definedName name="L_KEYWORD_ISSR_208008758_B_LB_OTHER">#REF!</definedName>
    <definedName name="L_KEYWORD_ISSR_208008758_B_LB_OTHLEND">#REF!</definedName>
    <definedName name="L_KEYWORD_ISSR_208008758_B_LB_OTHSECURE">#REF!</definedName>
    <definedName name="L_KEYWORD_ISSR_208008758_B_LB_OVSEASLEND">#REF!</definedName>
    <definedName name="L_KEYWORD_ISSR_208008758_B_LB_PERSON">#REF!</definedName>
    <definedName name="L_KEYWORD_ISSR_208008758_B_LB_TOTCORP">#REF!</definedName>
    <definedName name="L_KEYWORD_ISSR_208008758_B_LB_TOTPERSNL">#REF!</definedName>
    <definedName name="L_KEYWORD_ISSR_208008758_B_LT_DIV_PAYOUT">#REF!</definedName>
    <definedName name="L_KEYWORD_ISSR_208008758_B_MA_REPCOSTLIB">#REF!</definedName>
    <definedName name="L_KEYWORD_ISSR_208008758_B_MA_REPGYLD">#REF!</definedName>
    <definedName name="L_KEYWORD_ISSR_208008758_B_MA_REPIMPSPD">#REF!</definedName>
    <definedName name="L_KEYWORD_ISSR_208008758_B_MA_REPINTAST">#REF!</definedName>
    <definedName name="L_KEYWORD_ISSR_208008758_B_MA_REPINTLIB">#REF!</definedName>
    <definedName name="L_KEYWORD_ISSR_208008758_B_MA_REPNIM">#REF!</definedName>
    <definedName name="L_KEYWORD_ISSR_208008758_B_MORTG">#REF!</definedName>
    <definedName name="L_KEYWORD_ISSR_208008758_B_NPL_PROBLN">#REF!</definedName>
    <definedName name="L_KEYWORD_ISSR_208008758_B_NPL_TOTNPL">#REF!</definedName>
    <definedName name="L_KEYWORD_ISSR_208008758_B_PL_LOANPRV">#REF!</definedName>
    <definedName name="L_KEYWORD_ISSR_208008758_B_PL_NETINTINC">#REF!</definedName>
    <definedName name="L_KEYWORD_ISSR_208008758_B_PV_GLLRCUST">#REF!</definedName>
    <definedName name="L_KEYWORD_ISSR_208008758_B_PV_SLLRCUST">#REF!</definedName>
    <definedName name="L_KEYWORD_ISSR_208008758_B_PV_TOTLLRCUST">#REF!</definedName>
    <definedName name="L_KEYWORD_ISSR_208008758_BAL_MINO_INT">#REF!</definedName>
    <definedName name="L_KEYWORD_ISSR_208008758_BAL_OF_FRANK_CREDITS">#REF!</definedName>
    <definedName name="L_KEYWORD_ISSR_208008758_BEARING_DEBT">#REF!</definedName>
    <definedName name="L_KEYWORD_ISSR_208008758_BONDS_NOTES_SUBORD_DEBT">#REF!</definedName>
    <definedName name="L_KEYWORD_ISSR_208008758_BR_AUM">#REF!</definedName>
    <definedName name="L_KEYWORD_ISSR_208008758_BR_DEP">#REF!</definedName>
    <definedName name="L_KEYWORD_ISSR_208008758_BR_OTH_EQ">#REF!</definedName>
    <definedName name="L_KEYWORD_ISSR_208008758_BRANCHES">#REF!</definedName>
    <definedName name="L_KEYWORD_ISSR_208008758_BROK_CLEAR_EXP">#REF!</definedName>
    <definedName name="L_KEYWORD_ISSR_208008758_BROKER_PAYBLS">#REF!</definedName>
    <definedName name="L_KEYWORD_ISSR_208008758_BROKER_RECVBLS">#REF!</definedName>
    <definedName name="L_KEYWORD_ISSR_208008758_BUS_DEV_EXP">#REF!</definedName>
    <definedName name="L_KEYWORD_ISSR_208008758_CAP_LEASES">#REF!</definedName>
    <definedName name="L_KEYWORD_ISSR_208008758_CAP_MARGIN">#REF!</definedName>
    <definedName name="L_KEYWORD_ISSR_208008758_CAP_PTP">#REF!</definedName>
    <definedName name="L_KEYWORD_ISSR_208008758_CAP_REVS">#REF!</definedName>
    <definedName name="L_KEYWORD_ISSR_208008758_CASH_EQ">#REF!</definedName>
    <definedName name="L_KEYWORD_ISSR_208008758_CASH_SECUR">#REF!</definedName>
    <definedName name="L_KEYWORD_ISSR_208008758_CC_FEE">#REF!</definedName>
    <definedName name="L_KEYWORD_ISSR_208008758_CC_MARGIN">#REF!</definedName>
    <definedName name="L_KEYWORD_ISSR_208008758_CC_PTP">#REF!</definedName>
    <definedName name="L_KEYWORD_ISSR_208008758_CC_REVS">#REF!</definedName>
    <definedName name="L_KEYWORD_ISSR_208008758_CC_REVS_BO">#REF!</definedName>
    <definedName name="L_KEYWORD_ISSR_208008758_CD_MONMRKT">#REF!</definedName>
    <definedName name="L_KEYWORD_ISSR_208008758_COGS_PCT_ROW">#REF!</definedName>
    <definedName name="L_KEYWORD_ISSR_208008758_COGS_PCT_US">#REF!</definedName>
    <definedName name="L_KEYWORD_ISSR_208008758_COMMDTY_VAR">#REF!</definedName>
    <definedName name="L_KEYWORD_ISSR_208008758_COMMISNS">#REF!</definedName>
    <definedName name="L_KEYWORD_ISSR_208008758_COMMITMENTS">#REF!</definedName>
    <definedName name="L_KEYWORD_ISSR_208008758_CONTINGENCIES">#REF!</definedName>
    <definedName name="L_KEYWORD_ISSR_208008758_CORP_DEBT_SLD">#REF!</definedName>
    <definedName name="L_KEYWORD_ISSR_208008758_CORP_EQ_SLD">#REF!</definedName>
    <definedName name="L_KEYWORD_ISSR_208008758_COST_OF_DEBT_DCF">#REF!</definedName>
    <definedName name="L_KEYWORD_ISSR_208008758_CP_STDEBT_SLD">#REF!</definedName>
    <definedName name="L_KEYWORD_ISSR_208008758_CURRENCY_ISO">#REF!</definedName>
    <definedName name="L_KEYWORD_ISSR_208008758_CURRENCY_VAR">#REF!</definedName>
    <definedName name="L_KEYWORD_ISSR_208008758_CUST_PAYBLS">#REF!</definedName>
    <definedName name="L_KEYWORD_ISSR_208008758_CUST_RECVBLS">#REF!</definedName>
    <definedName name="L_KEYWORD_ISSR_208008758_DEBT_SECUR">#REF!</definedName>
    <definedName name="L_KEYWORD_ISSR_208008758_DEBT_TO_EQUITY_MKT_VALUES_DCF">#REF!</definedName>
    <definedName name="L_KEYWORD_ISSR_208008758_DEFINED_BENEFIT_OBLIGATION">#REF!</definedName>
    <definedName name="L_KEYWORD_ISSR_208008758_DEFINED_BENEFIT_SURPLUS">#REF!</definedName>
    <definedName name="L_KEYWORD_ISSR_208008758_DEPR_ROU_ASSETS">#REF!</definedName>
    <definedName name="L_KEYWORD_ISSR_208008758_DEPREC">#REF!</definedName>
    <definedName name="L_KEYWORD_ISSR_208008758_DEVELOPMENT_VENTURES">#REF!</definedName>
    <definedName name="L_KEYWORD_ISSR_208008758_DIV_PAID">#REF!</definedName>
    <definedName name="L_KEYWORD_ISSR_208008758_DIVERS_EFFECT">#REF!</definedName>
    <definedName name="L_KEYWORD_ISSR_208008758_DIVID_INC">#REF!</definedName>
    <definedName name="L_KEYWORD_ISSR_208008758_DOM_ASS">#REF!</definedName>
    <definedName name="L_KEYWORD_ISSR_208008758_DOM_OP">#REF!</definedName>
    <definedName name="L_KEYWORD_ISSR_208008758_DOM_SALES">#REF!</definedName>
    <definedName name="L_KEYWORD_ISSR_208008758_EBIT_UNDERLYING_PRE_GWILL">#REF!</definedName>
    <definedName name="L_KEYWORD_ISSR_208008758_EFFECT_INT_RATE_IMPACT_PRE_TAX">#REF!</definedName>
    <definedName name="L_KEYWORD_ISSR_208008758_EMER_ASS">#REF!</definedName>
    <definedName name="L_KEYWORD_ISSR_208008758_EMER_OP">#REF!</definedName>
    <definedName name="L_KEYWORD_ISSR_208008758_EMER_SALES">#REF!</definedName>
    <definedName name="L_KEYWORD_ISSR_208008758_EMPLOYEES">#REF!</definedName>
    <definedName name="L_KEYWORD_ISSR_208008758_EQ">#REF!</definedName>
    <definedName name="L_KEYWORD_ISSR_208008758_EQTY_ISS_REVS_BO">#REF!</definedName>
    <definedName name="L_KEYWORD_ISSR_208008758_EQTY_REVS_BO">#REF!</definedName>
    <definedName name="L_KEYWORD_ISSR_208008758_EQTY_VAR">#REF!</definedName>
    <definedName name="L_KEYWORD_ISSR_208008758_EQUIP_COSTS">#REF!</definedName>
    <definedName name="L_KEYWORD_ISSR_208008758_EUR_ASS">#REF!</definedName>
    <definedName name="L_KEYWORD_ISSR_208008758_EURO_OP">#REF!</definedName>
    <definedName name="L_KEYWORD_ISSR_208008758_EURO_SALES">#REF!</definedName>
    <definedName name="L_KEYWORD_ISSR_208008758_EXP_OIL_DERIV_NGLS_PLASTICS">#REF!</definedName>
    <definedName name="L_KEYWORD_ISSR_208008758_EXP_OIL_PETRO_FUEL">#REF!</definedName>
    <definedName name="L_KEYWORD_ISSR_208008758_FICC_ISS_REVS_BO">#REF!</definedName>
    <definedName name="L_KEYWORD_ISSR_208008758_FICC_REVS_BO">#REF!</definedName>
    <definedName name="L_KEYWORD_ISSR_208008758_FIN_ADVISORS">#REF!</definedName>
    <definedName name="L_KEYWORD_ISSR_208008758_FIN_INSTR_HEDGE_CURR_LIABILITY">#REF!</definedName>
    <definedName name="L_KEYWORD_ISSR_208008758_FIN_INSTRUMENT_HEDGE_PRE_TAX">#REF!</definedName>
    <definedName name="L_KEYWORD_ISSR_208008758_FIN_TRANS_INC">#REF!</definedName>
    <definedName name="L_KEYWORD_ISSR_208008758_FINANCE_SERVICES_INCOME">#REF!</definedName>
    <definedName name="L_KEYWORD_ISSR_208008758_FIX_ASS_INV">#REF!</definedName>
    <definedName name="L_KEYWORD_ISSR_208008758_FLOATING_PCT_LOCAL_DEBT">#REF!</definedName>
    <definedName name="L_KEYWORD_ISSR_208008758_FLOATING_PCT_LOCAL_DEBT_HEDGED">#REF!</definedName>
    <definedName name="L_KEYWORD_ISSR_208008758_FOREIGN_EXCH_INCOME">#REF!</definedName>
    <definedName name="L_KEYWORD_ISSR_208008758_FX_AUD_ASSUMPTION">#REF!</definedName>
    <definedName name="L_KEYWORD_ISSR_208008758_FX_AUD_NI_SENSITIVITY">#REF!</definedName>
    <definedName name="L_KEYWORD_ISSR_208008758_FX_EUR_ASSUMPTION">#REF!</definedName>
    <definedName name="L_KEYWORD_ISSR_208008758_FX_EUR_NI_SENSITIVITY">#REF!</definedName>
    <definedName name="L_KEYWORD_ISSR_208008758_FX_USD_ASSUMPTION">#REF!</definedName>
    <definedName name="L_KEYWORD_ISSR_208008758_FX_USD_NI_SENSITIVITY">#REF!</definedName>
    <definedName name="L_KEYWORD_ISSR_208008758_GEN_INS_INC">#REF!</definedName>
    <definedName name="L_KEYWORD_ISSR_208008758_GENERAL_PROV">#REF!</definedName>
    <definedName name="L_KEYWORD_ISSR_208008758_GENERAL_PROV_DOUBTFUL">#REF!</definedName>
    <definedName name="L_KEYWORD_ISSR_208008758_GOODWILL">#REF!</definedName>
    <definedName name="L_KEYWORD_ISSR_208008758_GOODWILL_AMORT">#REF!</definedName>
    <definedName name="L_KEYWORD_ISSR_208008758_GROSS_LOANS_ADVANCES">#REF!</definedName>
    <definedName name="L_KEYWORD_ISSR_208008758_GROSS_NON_ACCRUAL">#REF!</definedName>
    <definedName name="L_KEYWORD_ISSR_208008758_GROSS_OP_PROF">#REF!</definedName>
    <definedName name="L_KEYWORD_ISSR_208008758_GWILL_ASSET_IMPAIR_CHG_PRE_TAX">#REF!</definedName>
    <definedName name="L_KEYWORD_ISSR_208008758_HYBRID_DIST_PRE_TAX">#REF!</definedName>
    <definedName name="L_KEYWORD_ISSR_208008758_IB_FEE">#REF!</definedName>
    <definedName name="L_KEYWORD_ISSR_208008758_INS_CLAIMS">#REF!</definedName>
    <definedName name="L_KEYWORD_ISSR_208008758_INT_EARN_ASSETS">#REF!</definedName>
    <definedName name="L_KEYWORD_ISSR_208008758_INT_EXP">#REF!</definedName>
    <definedName name="L_KEYWORD_ISSR_208008758_INT_INC">#REF!</definedName>
    <definedName name="L_KEYWORD_ISSR_208008758_INT_RATE_VAR">#REF!</definedName>
    <definedName name="L_KEYWORD_ISSR_208008758_INV_SECUR">#REF!</definedName>
    <definedName name="L_KEYWORD_ISSR_208008758_INVESTMENT_SECS_INCOME">#REF!</definedName>
    <definedName name="L_KEYWORD_ISSR_208008758_INVESTMENTS">#REF!</definedName>
    <definedName name="L_KEYWORD_ISSR_208008758_Issuer_Name">#REF!</definedName>
    <definedName name="L_KEYWORD_ISSR_208008758_LABOUR">#REF!</definedName>
    <definedName name="L_KEYWORD_ISSR_208008758_LATAM_ASS">#REF!</definedName>
    <definedName name="L_KEYWORD_ISSR_208008758_LATAM_OP">#REF!</definedName>
    <definedName name="L_KEYWORD_ISSR_208008758_LATAM_SALES">#REF!</definedName>
    <definedName name="L_KEYWORD_ISSR_208008758_LEASE_ADOPT">#REF!</definedName>
    <definedName name="L_KEYWORD_ISSR_208008758_LEASE_INT_CHG">#REF!</definedName>
    <definedName name="L_KEYWORD_ISSR_208008758_LEASE_PAY">#REF!</definedName>
    <definedName name="L_KEYWORD_ISSR_208008758_LEASE_PRINCIPAL_CASH">#REF!</definedName>
    <definedName name="L_KEYWORD_ISSR_208008758_LENDING_FEES">#REF!</definedName>
    <definedName name="L_KEYWORD_ISSR_208008758_LIAB_MISC">#REF!</definedName>
    <definedName name="L_KEYWORD_ISSR_208008758_LIFE_INC">#REF!</definedName>
    <definedName name="L_KEYWORD_ISSR_208008758_LIFE_POLICY_ASS">#REF!</definedName>
    <definedName name="L_KEYWORD_ISSR_208008758_LIFE_POLICY_LIABS">#REF!</definedName>
    <definedName name="L_KEYWORD_ISSR_208008758_LIFE_SHARE">#REF!</definedName>
    <definedName name="L_KEYWORD_ISSR_208008758_LIQUID_ASSETS">#REF!</definedName>
    <definedName name="L_KEYWORD_ISSR_208008758_LOAN_CAPITAL">#REF!</definedName>
    <definedName name="L_KEYWORD_ISSR_208008758_LT_DEBT">#REF!</definedName>
    <definedName name="L_KEYWORD_ISSR_208008758_LT_LEASE_LIAB">#REF!</definedName>
    <definedName name="L_KEYWORD_ISSR_208008758_MA_PROB">#REF!</definedName>
    <definedName name="L_KEYWORD_ISSR_208008758_MA_REVS_BO">#REF!</definedName>
    <definedName name="L_KEYWORD_ISSR_208008758_MINOR_EQUITY_BS">#REF!</definedName>
    <definedName name="L_KEYWORD_ISSR_208008758_MINORITIES">#REF!</definedName>
    <definedName name="L_KEYWORD_ISSR_208008758_MKT_APPREC">#REF!</definedName>
    <definedName name="L_KEYWORD_ISSR_208008758_MONEY_TRANSFER_FEES">#REF!</definedName>
    <definedName name="L_KEYWORD_ISSR_208008758_MV_ASSOCIATES">#REF!</definedName>
    <definedName name="L_KEYWORD_ISSR_208008758_NAM_ASS">#REF!</definedName>
    <definedName name="L_KEYWORD_ISSR_208008758_NAM_OP">#REF!</definedName>
    <definedName name="L_KEYWORD_ISSR_208008758_NAM_SALES">#REF!</definedName>
    <definedName name="L_KEYWORD_ISSR_208008758_NET_ASSETS">#REF!</definedName>
    <definedName name="L_KEYWORD_ISSR_208008758_NET_DEBT">#REF!</definedName>
    <definedName name="L_KEYWORD_ISSR_208008758_NET_FEE">#REF!</definedName>
    <definedName name="L_KEYWORD_ISSR_208008758_NET_FIX_ASS">#REF!</definedName>
    <definedName name="L_KEYWORD_ISSR_208008758_NET_FLOWS">#REF!</definedName>
    <definedName name="L_KEYWORD_ISSR_208008758_NET_FREE_FUNDS">#REF!</definedName>
    <definedName name="L_KEYWORD_ISSR_208008758_NET_INTANG">#REF!</definedName>
    <definedName name="L_KEYWORD_ISSR_208008758_NET_OP_PROF">#REF!</definedName>
    <definedName name="L_KEYWORD_ISSR_208008758_NET_REVS">#REF!</definedName>
    <definedName name="L_KEYWORD_ISSR_208008758_NET_TANGIBLE_ASSETS">#REF!</definedName>
    <definedName name="L_KEYWORD_ISSR_208008758_NETCHGOFF_BS">#REF!</definedName>
    <definedName name="L_KEYWORD_ISSR_208008758_NEW_SPECIFIC_PROV">#REF!</definedName>
    <definedName name="L_KEYWORD_ISSR_208008758_NON_INT_INC">#REF!</definedName>
    <definedName name="L_KEYWORD_ISSR_208008758_OCCUPANCY_COSTS">#REF!</definedName>
    <definedName name="L_KEYWORD_ISSR_208008758_OCCUPANCY_EXP">#REF!</definedName>
    <definedName name="L_KEYWORD_ISSR_208008758_OP_COST">#REF!</definedName>
    <definedName name="L_KEYWORD_ISSR_208008758_OPPL_BTAX_POST_AB">#REF!</definedName>
    <definedName name="L_KEYWORD_ISSR_208008758_ORD_SH_FUND">#REF!</definedName>
    <definedName name="L_KEYWORD_ISSR_208008758_ORD_SHARE_CAPITAL">#REF!</definedName>
    <definedName name="L_KEYWORD_ISSR_208008758_OTH_ADMIN">#REF!</definedName>
    <definedName name="L_KEYWORD_ISSR_208008758_OTH_ASS">#REF!</definedName>
    <definedName name="L_KEYWORD_ISSR_208008758_OTH_ASSET">#REF!</definedName>
    <definedName name="L_KEYWORD_ISSR_208008758_OTH_CONTRACT_SLD">#REF!</definedName>
    <definedName name="L_KEYWORD_ISSR_208008758_OTH_COST">#REF!</definedName>
    <definedName name="L_KEYWORD_ISSR_208008758_OTH_COST_INC">#REF!</definedName>
    <definedName name="L_KEYWORD_ISSR_208008758_OTH_DACF_ADJ">#REF!</definedName>
    <definedName name="L_KEYWORD_ISSR_208008758_OTH_FIN">#REF!</definedName>
    <definedName name="L_KEYWORD_ISSR_208008758_OTH_GCI_ADJ">#REF!</definedName>
    <definedName name="L_KEYWORD_ISSR_208008758_OTH_INC">#REF!</definedName>
    <definedName name="L_KEYWORD_ISSR_208008758_OTH_INTANG">#REF!</definedName>
    <definedName name="L_KEYWORD_ISSR_208008758_OTH_LIABS">#REF!</definedName>
    <definedName name="L_KEYWORD_ISSR_208008758_OTH_MARGIN">#REF!</definedName>
    <definedName name="L_KEYWORD_ISSR_208008758_OTH_NONOP_EXP">#REF!</definedName>
    <definedName name="L_KEYWORD_ISSR_208008758_OTH_NONOP_INC">#REF!</definedName>
    <definedName name="L_KEYWORD_ISSR_208008758_OTH_OP">#REF!</definedName>
    <definedName name="L_KEYWORD_ISSR_208008758_OTH_PAY">#REF!</definedName>
    <definedName name="L_KEYWORD_ISSR_208008758_OTH_PAY_LIABS">#REF!</definedName>
    <definedName name="L_KEYWORD_ISSR_208008758_OTH_PROVS">#REF!</definedName>
    <definedName name="L_KEYWORD_ISSR_208008758_OTH_PTP">#REF!</definedName>
    <definedName name="L_KEYWORD_ISSR_208008758_OTH_RECVBLS">#REF!</definedName>
    <definedName name="L_KEYWORD_ISSR_208008758_OTH_REVS">#REF!</definedName>
    <definedName name="L_KEYWORD_ISSR_208008758_OTH_SALES">#REF!</definedName>
    <definedName name="L_KEYWORD_ISSR_208008758_OTHER_ASSET_IMPAIR_CHG_PRE_TAX">#REF!</definedName>
    <definedName name="L_KEYWORD_ISSR_208008758_OTHER_EXPENSES">#REF!</definedName>
    <definedName name="L_KEYWORD_ISSR_208008758_OTHER_FEES">#REF!</definedName>
    <definedName name="L_KEYWORD_ISSR_208008758_OTHER_IFRS_ADJUST_PRE_TAX">#REF!</definedName>
    <definedName name="L_KEYWORD_ISSR_208008758_OTHER_INCOME">#REF!</definedName>
    <definedName name="L_KEYWORD_ISSR_208008758_OTHER_INTANGIBLES_DEPREC">#REF!</definedName>
    <definedName name="L_KEYWORD_ISSR_208008758_OTHER_INTANGIBLES_NON_DEPREC">#REF!</definedName>
    <definedName name="L_KEYWORD_ISSR_208008758_OTHER_STAFF_COSTS">#REF!</definedName>
    <definedName name="L_KEYWORD_ISSR_208008758_PCT_ASIA_ASS">#REF!</definedName>
    <definedName name="L_KEYWORD_ISSR_208008758_PCT_ASIA_OP">#REF!</definedName>
    <definedName name="L_KEYWORD_ISSR_208008758_PCT_ASIA_SALES">#REF!</definedName>
    <definedName name="L_KEYWORD_ISSR_208008758_PCT_DOM_ASS">#REF!</definedName>
    <definedName name="L_KEYWORD_ISSR_208008758_PCT_DOM_OP">#REF!</definedName>
    <definedName name="L_KEYWORD_ISSR_208008758_PCT_DOM_SALES">#REF!</definedName>
    <definedName name="L_KEYWORD_ISSR_208008758_PCT_EMER_ASS">#REF!</definedName>
    <definedName name="L_KEYWORD_ISSR_208008758_PCT_EMER_OP">#REF!</definedName>
    <definedName name="L_KEYWORD_ISSR_208008758_PCT_EMER_SALES">#REF!</definedName>
    <definedName name="L_KEYWORD_ISSR_208008758_PCT_EURO_ASS">#REF!</definedName>
    <definedName name="L_KEYWORD_ISSR_208008758_PCT_EURO_OP">#REF!</definedName>
    <definedName name="L_KEYWORD_ISSR_208008758_PCT_EURO_SALES">#REF!</definedName>
    <definedName name="L_KEYWORD_ISSR_208008758_PCT_LATAM_ASS">#REF!</definedName>
    <definedName name="L_KEYWORD_ISSR_208008758_PCT_LATAM_OP">#REF!</definedName>
    <definedName name="L_KEYWORD_ISSR_208008758_PCT_LATAM_SALES">#REF!</definedName>
    <definedName name="L_KEYWORD_ISSR_208008758_PCT_NAM_ASS">#REF!</definedName>
    <definedName name="L_KEYWORD_ISSR_208008758_PCT_NAM_OP">#REF!</definedName>
    <definedName name="L_KEYWORD_ISSR_208008758_PCT_NAM_SALES">#REF!</definedName>
    <definedName name="L_KEYWORD_ISSR_208008758_PCT_OTH_ASS">#REF!</definedName>
    <definedName name="L_KEYWORD_ISSR_208008758_PCT_OTH_OP">#REF!</definedName>
    <definedName name="L_KEYWORD_ISSR_208008758_PCT_OTH_SALES">#REF!</definedName>
    <definedName name="L_KEYWORD_ISSR_208008758_PERIOD_MILESTONE">#REF!</definedName>
    <definedName name="L_KEYWORD_ISSR_208008758_PERSONNEL">#REF!</definedName>
    <definedName name="L_KEYWORD_ISSR_208008758_PL_BTAX_ON_AB">#REF!</definedName>
    <definedName name="L_KEYWORD_ISSR_208008758_PRE_PAYMNTS">#REF!</definedName>
    <definedName name="L_KEYWORD_ISSR_208008758_PREF_SH">#REF!</definedName>
    <definedName name="L_KEYWORD_ISSR_208008758_PREF_SH_EQ">#REF!</definedName>
    <definedName name="L_KEYWORD_ISSR_208008758_PREF_SHARE_CAP">#REF!</definedName>
    <definedName name="L_KEYWORD_ISSR_208008758_PRIN_TRANS">#REF!</definedName>
    <definedName name="L_KEYWORD_ISSR_208008758_PROF_BTE">#REF!</definedName>
    <definedName name="L_KEYWORD_ISSR_208008758_PROF_SRVC_EXP">#REF!</definedName>
    <definedName name="L_KEYWORD_ISSR_208008758_PROFIT_DEFBEN_PLAN_POST_TAX">#REF!</definedName>
    <definedName name="L_KEYWORD_ISSR_208008758_PROFIT_DEFBEN_PLAN_PRE_TAX">#REF!</definedName>
    <definedName name="L_KEYWORD_ISSR_208008758_PROFIT_ON_DISP">#REF!</definedName>
    <definedName name="L_KEYWORD_ISSR_208008758_PROV_BS">#REF!</definedName>
    <definedName name="L_KEYWORD_ISSR_208008758_PT_PROF">#REF!</definedName>
    <definedName name="L_KEYWORD_ISSR_208008758_RBR_CL_ASSTS">#REF!</definedName>
    <definedName name="L_KEYWORD_ISSR_208008758_RECOVERIES_BS">#REF!</definedName>
    <definedName name="L_KEYWORD_ISSR_208008758_RENTAL_INCOME">#REF!</definedName>
    <definedName name="L_KEYWORD_ISSR_208008758_REPOS_ASST">#REF!</definedName>
    <definedName name="L_KEYWORD_ISSR_208008758_REPOS_LIAB">#REF!</definedName>
    <definedName name="L_KEYWORD_ISSR_208008758_RESERVES">#REF!</definedName>
    <definedName name="L_KEYWORD_ISSR_208008758_RETAIL_MARGIN">#REF!</definedName>
    <definedName name="L_KEYWORD_ISSR_208008758_RETAIL_PTP">#REF!</definedName>
    <definedName name="L_KEYWORD_ISSR_208008758_RETAIL_REVS">#REF!</definedName>
    <definedName name="L_KEYWORD_ISSR_208008758_RETAIL_REVS_BO">#REF!</definedName>
    <definedName name="L_KEYWORD_ISSR_208008758_RETAIN_PROFIT_LOSS">#REF!</definedName>
    <definedName name="L_KEYWORD_ISSR_208008758_ROU_ASSET">#REF!</definedName>
    <definedName name="L_KEYWORD_ISSR_208008758_SALES">#REF!</definedName>
    <definedName name="L_KEYWORD_ISSR_208008758_SALES_ARGENTINA">#REF!</definedName>
    <definedName name="L_KEYWORD_ISSR_208008758_SALES_AUSTRA">#REF!</definedName>
    <definedName name="L_KEYWORD_ISSR_208008758_SALES_AUSTRIA">#REF!</definedName>
    <definedName name="L_KEYWORD_ISSR_208008758_SALES_BEL">#REF!</definedName>
    <definedName name="L_KEYWORD_ISSR_208008758_SALES_BRAZIL">#REF!</definedName>
    <definedName name="L_KEYWORD_ISSR_208008758_SALES_CANADA">#REF!</definedName>
    <definedName name="L_KEYWORD_ISSR_208008758_SALES_CEE">#REF!</definedName>
    <definedName name="L_KEYWORD_ISSR_208008758_SALES_CHILE">#REF!</definedName>
    <definedName name="L_KEYWORD_ISSR_208008758_SALES_CHINA">#REF!</definedName>
    <definedName name="L_KEYWORD_ISSR_208008758_SALES_COLOMBIA">#REF!</definedName>
    <definedName name="L_KEYWORD_ISSR_208008758_SALES_CONS">#REF!</definedName>
    <definedName name="L_KEYWORD_ISSR_208008758_SALES_EU_EX_UK">#REF!</definedName>
    <definedName name="L_KEYWORD_ISSR_208008758_SALES_FINAN">#REF!</definedName>
    <definedName name="L_KEYWORD_ISSR_208008758_SALES_FRA">#REF!</definedName>
    <definedName name="L_KEYWORD_ISSR_208008758_SALES_FX_AUD">#REF!</definedName>
    <definedName name="L_KEYWORD_ISSR_208008758_SALES_FX_BRL">#REF!</definedName>
    <definedName name="L_KEYWORD_ISSR_208008758_SALES_FX_CNY">#REF!</definedName>
    <definedName name="L_KEYWORD_ISSR_208008758_SALES_FX_EUR">#REF!</definedName>
    <definedName name="L_KEYWORD_ISSR_208008758_SALES_FX_GPB">#REF!</definedName>
    <definedName name="L_KEYWORD_ISSR_208008758_SALES_FX_INR">#REF!</definedName>
    <definedName name="L_KEYWORD_ISSR_208008758_SALES_FX_NZD">#REF!</definedName>
    <definedName name="L_KEYWORD_ISSR_208008758_SALES_FX_OTH">#REF!</definedName>
    <definedName name="L_KEYWORD_ISSR_208008758_SALES_FX_RUB">#REF!</definedName>
    <definedName name="L_KEYWORD_ISSR_208008758_SALES_FX_USD">#REF!</definedName>
    <definedName name="L_KEYWORD_ISSR_208008758_SALES_FX_YEN">#REF!</definedName>
    <definedName name="L_KEYWORD_ISSR_208008758_SALES_GER">#REF!</definedName>
    <definedName name="L_KEYWORD_ISSR_208008758_SALES_GOV">#REF!</definedName>
    <definedName name="L_KEYWORD_ISSR_208008758_SALES_GRE">#REF!</definedName>
    <definedName name="L_KEYWORD_ISSR_208008758_SALES_HONG_KONG">#REF!</definedName>
    <definedName name="L_KEYWORD_ISSR_208008758_SALES_IND">#REF!</definedName>
    <definedName name="L_KEYWORD_ISSR_208008758_SALES_INDIA">#REF!</definedName>
    <definedName name="L_KEYWORD_ISSR_208008758_SALES_INDONESIA">#REF!</definedName>
    <definedName name="L_KEYWORD_ISSR_208008758_SALES_IRE">#REF!</definedName>
    <definedName name="L_KEYWORD_ISSR_208008758_SALES_ITA">#REF!</definedName>
    <definedName name="L_KEYWORD_ISSR_208008758_SALES_JAPAN">#REF!</definedName>
    <definedName name="L_KEYWORD_ISSR_208008758_SALES_ME">#REF!</definedName>
    <definedName name="L_KEYWORD_ISSR_208008758_SALES_MEXICO">#REF!</definedName>
    <definedName name="L_KEYWORD_ISSR_208008758_SALES_NETH">#REF!</definedName>
    <definedName name="L_KEYWORD_ISSR_208008758_SALES_NIGERIA">#REF!</definedName>
    <definedName name="L_KEYWORD_ISSR_208008758_SALES_NOR">#REF!</definedName>
    <definedName name="L_KEYWORD_ISSR_208008758_SALES_NZ">#REF!</definedName>
    <definedName name="L_KEYWORD_ISSR_208008758_SALES_OIL_GAS">#REF!</definedName>
    <definedName name="L_KEYWORD_ISSR_208008758_SALES_OTH_AEJ">#REF!</definedName>
    <definedName name="L_KEYWORD_ISSR_208008758_SALES_OTH_AFRICA">#REF!</definedName>
    <definedName name="L_KEYWORD_ISSR_208008758_SALES_OTH_AM">#REF!</definedName>
    <definedName name="L_KEYWORD_ISSR_208008758_SALES_OTH_CEE">#REF!</definedName>
    <definedName name="L_KEYWORD_ISSR_208008758_SALES_OTH_DEV_ASIA">#REF!</definedName>
    <definedName name="L_KEYWORD_ISSR_208008758_SALES_OTH_EMEA">#REF!</definedName>
    <definedName name="L_KEYWORD_ISSR_208008758_SALES_OTH_EMERG_ASIA">#REF!</definedName>
    <definedName name="L_KEYWORD_ISSR_208008758_SALES_OTH_LATAM">#REF!</definedName>
    <definedName name="L_KEYWORD_ISSR_208008758_SALES_OTH_ME">#REF!</definedName>
    <definedName name="L_KEYWORD_ISSR_208008758_SALES_OTH_NO_AMER">#REF!</definedName>
    <definedName name="L_KEYWORD_ISSR_208008758_SALES_OTH_WEST_EURO">#REF!</definedName>
    <definedName name="L_KEYWORD_ISSR_208008758_SALES_OTHER">#REF!</definedName>
    <definedName name="L_KEYWORD_ISSR_208008758_SALES_POLAND">#REF!</definedName>
    <definedName name="L_KEYWORD_ISSR_208008758_SALES_POR">#REF!</definedName>
    <definedName name="L_KEYWORD_ISSR_208008758_SALES_RUSSIA">#REF!</definedName>
    <definedName name="L_KEYWORD_ISSR_208008758_SALES_SAUDI_ARABIA">#REF!</definedName>
    <definedName name="L_KEYWORD_ISSR_208008758_SALES_SINGAPORE">#REF!</definedName>
    <definedName name="L_KEYWORD_ISSR_208008758_SALES_SK">#REF!</definedName>
    <definedName name="L_KEYWORD_ISSR_208008758_SALES_SO_AFRICA">#REF!</definedName>
    <definedName name="L_KEYWORD_ISSR_208008758_SALES_SPA">#REF!</definedName>
    <definedName name="L_KEYWORD_ISSR_208008758_SALES_SWE">#REF!</definedName>
    <definedName name="L_KEYWORD_ISSR_208008758_SALES_SWIT">#REF!</definedName>
    <definedName name="L_KEYWORD_ISSR_208008758_SALES_TAIWAN">#REF!</definedName>
    <definedName name="L_KEYWORD_ISSR_208008758_SALES_THAILAND">#REF!</definedName>
    <definedName name="L_KEYWORD_ISSR_208008758_SALES_TOT_AFRICA">#REF!</definedName>
    <definedName name="L_KEYWORD_ISSR_208008758_SALES_TOT_AM">#REF!</definedName>
    <definedName name="L_KEYWORD_ISSR_208008758_SALES_TOT_ASIA">#REF!</definedName>
    <definedName name="L_KEYWORD_ISSR_208008758_SALES_TOT_EMEA">#REF!</definedName>
    <definedName name="L_KEYWORD_ISSR_208008758_SALES_TURKEY">#REF!</definedName>
    <definedName name="L_KEYWORD_ISSR_208008758_SALES_UAE">#REF!</definedName>
    <definedName name="L_KEYWORD_ISSR_208008758_SALES_UK">#REF!</definedName>
    <definedName name="L_KEYWORD_ISSR_208008758_SALES_US">#REF!</definedName>
    <definedName name="L_KEYWORD_ISSR_208008758_SALES_VENEZUELA">#REF!</definedName>
    <definedName name="L_KEYWORD_ISSR_208008758_SECUR_BORRWD">#REF!</definedName>
    <definedName name="L_KEYWORD_ISSR_208008758_SECUR_COLLAT">#REF!</definedName>
    <definedName name="L_KEYWORD_ISSR_208008758_SECUR_LND">#REF!</definedName>
    <definedName name="L_KEYWORD_ISSR_208008758_SECUR_NOT_COLLAT">#REF!</definedName>
    <definedName name="L_KEYWORD_ISSR_208008758_SECUR_OWNED">#REF!</definedName>
    <definedName name="L_KEYWORD_ISSR_208008758_SEL_GL_AD_OTHER">#REF!</definedName>
    <definedName name="L_KEYWORD_ISSR_208008758_SGA_PCT_ROW">#REF!</definedName>
    <definedName name="L_KEYWORD_ISSR_208008758_SGA_PCT_US">#REF!</definedName>
    <definedName name="L_KEYWORD_ISSR_208008758_SHARE_BASED_PAYMENTS">#REF!</definedName>
    <definedName name="L_KEYWORD_ISSR_208008758_SPECIFIC_PROV_DOUBTFUL">#REF!</definedName>
    <definedName name="L_KEYWORD_ISSR_208008758_SR_NOTES">#REF!</definedName>
    <definedName name="L_KEYWORD_ISSR_208008758_SS_REVS_BO">#REF!</definedName>
    <definedName name="L_KEYWORD_ISSR_208008758_ST_LEASE_LIAB">#REF!</definedName>
    <definedName name="L_KEYWORD_ISSR_208008758_SUB_ORD_LIABS">#REF!</definedName>
    <definedName name="L_KEYWORD_ISSR_208008758_TECH_COM_EXP">#REF!</definedName>
    <definedName name="L_KEYWORD_ISSR_208008758_TOT_ASS">#REF!</definedName>
    <definedName name="L_KEYWORD_ISSR_208008758_TOT_ASSET">#REF!</definedName>
    <definedName name="L_KEYWORD_ISSR_208008758_TOT_COLLAT_STAGREE">#REF!</definedName>
    <definedName name="L_KEYWORD_ISSR_208008758_TOT_COLLAT_STFIN">#REF!</definedName>
    <definedName name="L_KEYWORD_ISSR_208008758_TOT_EXCEPTS">#REF!</definedName>
    <definedName name="L_KEYWORD_ISSR_208008758_TOT_ISS_REVS_BO">#REF!</definedName>
    <definedName name="L_KEYWORD_ISSR_208008758_TOT_LIAB">#REF!</definedName>
    <definedName name="L_KEYWORD_ISSR_208008758_TOT_LIAB_EQ">#REF!</definedName>
    <definedName name="L_KEYWORD_ISSR_208008758_TOT_NONCOMP_EXP">#REF!</definedName>
    <definedName name="L_KEYWORD_ISSR_208008758_TOT_NONINTEXP_EX_LNPRV">#REF!</definedName>
    <definedName name="L_KEYWORD_ISSR_208008758_TOT_NONINTEXP_INC_LNPRV">#REF!</definedName>
    <definedName name="L_KEYWORD_ISSR_208008758_TOT_OP">#REF!</definedName>
    <definedName name="L_KEYWORD_ISSR_208008758_TOT_PCT_USD_DEBT_HEDGED">#REF!</definedName>
    <definedName name="L_KEYWORD_ISSR_208008758_TOT_PROVS">#REF!</definedName>
    <definedName name="L_KEYWORD_ISSR_208008758_TOT_RECVBLS">#REF!</definedName>
    <definedName name="L_KEYWORD_ISSR_208008758_TOT_SALES">#REF!</definedName>
    <definedName name="L_KEYWORD_ISSR_208008758_TOT_SECUR">#REF!</definedName>
    <definedName name="L_KEYWORD_ISSR_208008758_TOT_SECUR_SLD">#REF!</definedName>
    <definedName name="L_KEYWORD_ISSR_208008758_TOT_USD_DEBT">#REF!</definedName>
    <definedName name="L_KEYWORD_ISSR_208008758_TOT_VAR">#REF!</definedName>
    <definedName name="L_KEYWORD_ISSR_208008758_TOTAL_CAPITAL_EMPLOYED_ADJ">#REF!</definedName>
    <definedName name="L_KEYWORD_ISSR_208008758_TOTAL_DEPREC_AMORT">#REF!</definedName>
    <definedName name="L_KEYWORD_ISSR_208008758_TOTAL_IFRS_ADJUST_PRE_TAX">#REF!</definedName>
    <definedName name="L_KEYWORD_ISSR_208008758_TRADING_SECS_INCOME">#REF!</definedName>
    <definedName name="L_KEYWORD_ISSR_208008758_UNEARNED_INCOME">#REF!</definedName>
    <definedName name="L_KEYWORD_ISSR_208008758_UNF_PENS">#REF!</definedName>
    <definedName name="L_KEYWORD_ISSR_208008758_UNF_PENS_LIAB_OTH">#REF!</definedName>
    <definedName name="L_KEYWORD_ISSR_208008758_UNF_PENS_OFF">#REF!</definedName>
    <definedName name="L_KEYWORD_ISSR_208008758_VAR_METHOD">#REF!</definedName>
    <definedName name="L_KEYWORD_ISSR_208008758_VOL">#REF!</definedName>
    <definedName name="L_KEYWORD_ISSR_208008758_WRITE_OFFS_BS">#REF!</definedName>
    <definedName name="L_KEYWORD_ISSR_208008758_WRITEBACK_RECOVERIES">#REF!</definedName>
    <definedName name="L_LIVEDATA_EQTY_200011471">#REF!</definedName>
    <definedName name="L_LIVEDATA_ISSR_208008758">#REF!</definedName>
    <definedName name="L_PERIOD_2006">#REF!</definedName>
    <definedName name="L_PERIOD_2007">#REF!</definedName>
    <definedName name="L_PERIOD_2008">#REF!</definedName>
    <definedName name="L_PERIOD_2009">#REF!</definedName>
    <definedName name="L_PERIOD_2010">#REF!</definedName>
    <definedName name="L_PERIOD_2011">#REF!</definedName>
    <definedName name="L_PERIOD_2012">#REF!</definedName>
    <definedName name="L_PERIOD_2013">#REF!</definedName>
    <definedName name="L_PERIOD_2013_H1">#REF!</definedName>
    <definedName name="L_PERIOD_2013_H2">#REF!</definedName>
    <definedName name="L_PERIOD_2014">#REF!</definedName>
    <definedName name="L_PERIOD_2014_H1">#REF!</definedName>
    <definedName name="L_PERIOD_2014_H2">#REF!</definedName>
    <definedName name="L_PERIOD_2015">#REF!</definedName>
    <definedName name="L_PERIOD_2015_H1">#REF!</definedName>
    <definedName name="L_PERIOD_2015_H2">#REF!</definedName>
    <definedName name="L_PERIOD_2016">#REF!</definedName>
    <definedName name="L_PERIOD_2016_H1">#REF!</definedName>
    <definedName name="L_PERIOD_2016_H2">#REF!</definedName>
    <definedName name="L_PERIOD_2017">#REF!</definedName>
    <definedName name="L_PERIOD_2017_H1">#REF!</definedName>
    <definedName name="L_PERIOD_2017_H2">#REF!</definedName>
    <definedName name="L_PERIOD_2018">#REF!</definedName>
    <definedName name="L_PERIOD_2018_H1">#REF!</definedName>
    <definedName name="L_PERIOD_2018_H2">#REF!</definedName>
    <definedName name="L_PERIOD_2019">#REF!</definedName>
    <definedName name="L_PERIOD_2019_H1">#REF!</definedName>
    <definedName name="L_PERIOD_2019_H2">#REF!</definedName>
    <definedName name="L_PERIOD_2020">#REF!</definedName>
    <definedName name="L_PERIOD_2020_H1">#REF!</definedName>
    <definedName name="L_PERIOD_2020_H2">#REF!</definedName>
    <definedName name="L_PERIOD_2021">#REF!</definedName>
    <definedName name="L_PERIOD_2021_H1">#REF!</definedName>
    <definedName name="L_PERIOD_2021_H2">#REF!</definedName>
    <definedName name="L_PERIOD_2022">#REF!</definedName>
    <definedName name="L_PERIOD_2022_H1">#REF!</definedName>
    <definedName name="L_PERIOD_2022_H2">#REF!</definedName>
    <definedName name="L_PERIOD_2023">#REF!</definedName>
    <definedName name="L_PERIOD_2023_H1">#REF!</definedName>
    <definedName name="L_PERIOD_2023_H2">#REF!</definedName>
    <definedName name="L_PERIOD_2024">#REF!</definedName>
    <definedName name="L_PERIOD_2024_H1">#REF!</definedName>
    <definedName name="L_PERIOD_2024_H2">#REF!</definedName>
    <definedName name="L_PERIOD_2025">#REF!</definedName>
    <definedName name="L_PERIOD_2025_H1">#REF!</definedName>
    <definedName name="L_PERIOD_2025_H2">#REF!</definedName>
    <definedName name="L_PERIOD_2026">#REF!</definedName>
    <definedName name="L_PERIOD_2026_H1">#REF!</definedName>
    <definedName name="L_PERIOD_2027">#REF!</definedName>
    <definedName name="L_SECTION_EQTY_200011471_1314">#REF!</definedName>
    <definedName name="L_SECTION_EQTY_200011471_1316A">#REF!</definedName>
    <definedName name="L_SECTION_EQTY_200011471_1316B">#REF!</definedName>
    <definedName name="L_SECTION_EQTY_200011471_1316C">#REF!</definedName>
    <definedName name="L_SECTION_EQTY_200011471_1316E">#REF!</definedName>
    <definedName name="L_SECTION_EQTY_200011471_1319">#REF!</definedName>
    <definedName name="L_SECTION_EQTY_200011471_131J">#REF!</definedName>
    <definedName name="L_SECTION_EQTY_200011471_131O">#REF!</definedName>
    <definedName name="L_SECTION_EQTY_200011471_131P">#REF!</definedName>
    <definedName name="L_SECTION_EQTY_200011471_13A">#REF!</definedName>
    <definedName name="L_SECTION_EQTY_200011471_13K">#REF!</definedName>
    <definedName name="L_SECTION_EQTY_200011471_13U">#REF!</definedName>
    <definedName name="L_SECTION_EQTY_200011471_13V">#REF!</definedName>
    <definedName name="L_SECTION_EQTY_200011471_Reference_Data">#REF!</definedName>
    <definedName name="L_SECTION_ISSR_208008758_1314">#REF!</definedName>
    <definedName name="L_SECTION_ISSR_208008758_13168">#REF!</definedName>
    <definedName name="L_SECTION_ISSR_208008758_1316B">#REF!</definedName>
    <definedName name="L_SECTION_ISSR_208008758_1316C">#REF!</definedName>
    <definedName name="L_SECTION_ISSR_208008758_1316E">#REF!</definedName>
    <definedName name="L_SECTION_ISSR_208008758_1316T">#REF!</definedName>
    <definedName name="L_SECTION_ISSR_208008758_1316U">#REF!</definedName>
    <definedName name="L_SECTION_ISSR_208008758_1319">#REF!</definedName>
    <definedName name="L_SECTION_ISSR_208008758_131E">#REF!</definedName>
    <definedName name="L_SECTION_ISSR_208008758_131J">#REF!</definedName>
    <definedName name="L_SECTION_ISSR_208008758_131O">#REF!</definedName>
    <definedName name="L_SECTION_ISSR_208008758_131P">#REF!</definedName>
    <definedName name="L_SECTION_ISSR_208008758_133M">#REF!</definedName>
    <definedName name="L_SECTION_ISSR_208008758_133R">#REF!</definedName>
    <definedName name="L_SECTION_ISSR_208008758_133W">#REF!</definedName>
    <definedName name="L_SECTION_ISSR_208008758_1341">#REF!</definedName>
    <definedName name="L_SECTION_ISSR_208008758_1346">#REF!</definedName>
    <definedName name="L_SECTION_ISSR_208008758_134B">#REF!</definedName>
    <definedName name="L_SECTION_ISSR_208008758_134G">#REF!</definedName>
    <definedName name="L_SECTION_ISSR_208008758_134L">#REF!</definedName>
    <definedName name="L_SECTION_ISSR_208008758_134Q">#REF!</definedName>
    <definedName name="L_SECTION_ISSR_208008758_134V">#REF!</definedName>
    <definedName name="L_SECTION_ISSR_208008758_1350">#REF!</definedName>
    <definedName name="L_SECTION_ISSR_208008758_1355">#REF!</definedName>
    <definedName name="L_SECTION_ISSR_208008758_135A">#REF!</definedName>
    <definedName name="L_SECTION_ISSR_208008758_135F">#REF!</definedName>
    <definedName name="L_SECTION_ISSR_208008758_135K">#REF!</definedName>
    <definedName name="L_SECTION_ISSR_208008758_135P">#REF!</definedName>
    <definedName name="L_SECTION_ISSR_208008758_135U">#REF!</definedName>
    <definedName name="L_SECTION_ISSR_208008758_135Z">#REF!</definedName>
    <definedName name="L_SECTION_ISSR_208008758_136E">#REF!</definedName>
    <definedName name="L_SECTION_ISSR_208008758_13A">#REF!</definedName>
    <definedName name="L_SECTION_ISSR_208008758_13U">#REF!</definedName>
    <definedName name="L_SECTION_ISSR_208008758_13V">#REF!</definedName>
    <definedName name="L_SECTION_ISSR_208008758_Reference_Data">#REF!</definedName>
    <definedName name="L_TEMPLATEHASH">#REF!</definedName>
    <definedName name="margin">#REF!</definedName>
    <definedName name="net_interest_income">#REF!</definedName>
    <definedName name="non_interest_income">#REF!</definedName>
    <definedName name="NTA" localSheetId="1">#REF!</definedName>
    <definedName name="NTA">#REF!</definedName>
    <definedName name="past_90" localSheetId="1">#REF!</definedName>
    <definedName name="past_90">#REF!</definedName>
    <definedName name="period">#REF!</definedName>
    <definedName name="pre_tax_profit" localSheetId="1">#REF!</definedName>
    <definedName name="pre_tax_profit">#REF!</definedName>
    <definedName name="_xlnm.Print_Area" localSheetId="4">'Divisional Model'!$B$1:$BI$520</definedName>
    <definedName name="_xlnm.Print_Area" localSheetId="5">FinSum!$E$4:$Q$77</definedName>
    <definedName name="_xlnm.Print_Area" localSheetId="3">'Group Model'!$B$1:$BO$582</definedName>
    <definedName name="_xlnm.Print_Area" localSheetId="8">RIM!$C$1:$AD$59</definedName>
    <definedName name="_xlnm.Print_Area" localSheetId="2">Summary!$B$2:$L$69,Summary!$B$72:$L$129,Summary!$B$132:$L$185,Summary!#REF!</definedName>
    <definedName name="_xlnm.Print_Titles" localSheetId="4">'Divisional Model'!$B:$B,'Divisional Model'!$1:$6</definedName>
    <definedName name="_xlnm.Print_Titles" localSheetId="3">'Group Model'!$B:$B,'Group Model'!$1:$6</definedName>
    <definedName name="_xlnm.Print_Titles" localSheetId="2">Summary!$2:$11</definedName>
    <definedName name="provisioning">#REF!</definedName>
    <definedName name="provisions_general" localSheetId="1">#REF!</definedName>
    <definedName name="provisions_general">#REF!</definedName>
    <definedName name="provisions_specific" localSheetId="1">#REF!</definedName>
    <definedName name="provisions_specific">#REF!</definedName>
    <definedName name="PT_Price">#REF!</definedName>
    <definedName name="PVCF">#REF!</definedName>
    <definedName name="recoveries" localSheetId="1">#REF!</definedName>
    <definedName name="recoveries">#REF!</definedName>
    <definedName name="ROE" localSheetId="1">#REF!</definedName>
    <definedName name="ROE">#REF!</definedName>
    <definedName name="RWA" localSheetId="1">#REF!</definedName>
    <definedName name="RWA">#REF!</definedName>
    <definedName name="RWA_credit" localSheetId="1">#REF!</definedName>
    <definedName name="RWA_credit">#REF!</definedName>
    <definedName name="Rwvu.Full_Year." hidden="1">#REF!,#REF!,#REF!</definedName>
    <definedName name="Scatter_Data_1">"$F$4:$N$5"</definedName>
    <definedName name="Scatter_Data_2">"$F$4:$N$5"</definedName>
    <definedName name="Scatter_Data_3">"$F$4:$N$5"</definedName>
    <definedName name="Scatter_Data_4">"$F$4:$N$5"</definedName>
    <definedName name="Scatter_Data_5">"$L$10:$O$103"</definedName>
    <definedName name="Scatter_Data_6">"$L$10:$O$103"</definedName>
    <definedName name="Scatter_Data_7">"$F$4:$N$5"</definedName>
    <definedName name="staff" localSheetId="1">#REF!</definedName>
    <definedName name="staff">#REF!</definedName>
    <definedName name="Tier_1_hybrids" localSheetId="1">#REF!</definedName>
    <definedName name="Tier_1_hybrids">#REF!</definedName>
    <definedName name="tier_1_ratio" localSheetId="1">#REF!</definedName>
    <definedName name="tier_1_ratio">#REF!</definedName>
    <definedName name="Tier1">#REF!</definedName>
    <definedName name="Tigr_Exhibit480a7ef5_0fd4_4624_bc55_87ec8c9300b8" localSheetId="1" hidden="1">#REF!</definedName>
    <definedName name="Tigr_Exhibit480a7ef5_0fd4_4624_bc55_87ec8c9300b8" hidden="1">FinSum!$E$4:$Q$84</definedName>
    <definedName name="Tigr_Exhibit5053b30d_f2cf_4e87_835c_61249ff29ed2" localSheetId="1" hidden="1">#REF!</definedName>
    <definedName name="Tigr_Exhibit5053b30d_f2cf_4e87_835c_61249ff29ed2" hidden="1">FinSum!$E$4:$Q$77</definedName>
    <definedName name="Tigr_Exhibit9575d900_11a7_4060_b576_95c9c3b59be1" hidden="1">#REF!</definedName>
    <definedName name="Tigr_Exhibited97845e_7962_47b8_b778_8788b41b6d02" localSheetId="1" hidden="1">#REF!</definedName>
    <definedName name="Tigr_Exhibited97845e_7962_47b8_b778_8788b41b6d02" hidden="1">FinSum!$E$4:$Q$83</definedName>
    <definedName name="Total_capital" localSheetId="1">#REF!</definedName>
    <definedName name="Total_capital">#REF!</definedName>
    <definedName name="total_fee" localSheetId="1">#REF!</definedName>
    <definedName name="total_fee">#REF!</definedName>
    <definedName name="total_interest_assets" localSheetId="1">#REF!</definedName>
    <definedName name="total_interest_assets">#REF!</definedName>
    <definedName name="total_revenue" localSheetId="1">#REF!</definedName>
    <definedName name="total_revenue">#REF!</definedName>
    <definedName name="trading_income" localSheetId="1">#REF!</definedName>
    <definedName name="trading_income">#REF!</definedName>
    <definedName name="V_ALL_ANZ.AX" localSheetId="1">#REF!</definedName>
    <definedName name="V_ALL_ANZ.AX">#REF!</definedName>
    <definedName name="V_ALL_ANZ.AX_">#REF!</definedName>
    <definedName name="V_ALL_KEYWORDS_TYPE_ScalarContributed_EQTY_200004992">#REF!,#REF!,#REF!,#REF!,#REF!,#REF!,#REF!,#REF!,#REF!</definedName>
    <definedName name="V_ALL_KEYWORDS_TYPE_ScalarContributed_EQTY_200011471">#REF!,#REF!,#REF!,#REF!,#REF!,#REF!</definedName>
    <definedName name="V_ALL_KEYWORDS_TYPE_ScalarContributed_ISSR_208008758" localSheetId="1">#REF!,#REF!</definedName>
    <definedName name="V_ALL_KEYWORDS_TYPE_ScalarContributed_ISSR_208008758">#REF!,#REF!</definedName>
    <definedName name="V_ALL_KEYWORDS_TYPE_ScalarReference_EQTY_200011471">#REF!</definedName>
    <definedName name="V_ALL_KEYWORDS_TYPE_ScalarReference_ISSR_208008758">#REF!</definedName>
    <definedName name="V_ALL_KEYWORDS_TYPE_Vector_EQTY_200004992">#REF!,#REF!,#REF!,#REF!,#REF!,#REF!,#REF!,#REF!,#REF!,#REF!,#REF!,#REF!,#REF!</definedName>
    <definedName name="V_ALL_KEYWORDS_TYPE_Vector_EQTY_200011471" localSheetId="1">#REF!,#REF!,#REF!,#REF!,#REF!</definedName>
    <definedName name="V_ALL_KEYWORDS_TYPE_Vector_EQTY_200011471">#REF!,#REF!,#REF!,#REF!,#REF!</definedName>
    <definedName name="V_ALL_KEYWORDS_TYPE_Vector_ISSR_208005522">#REF!,#REF!,#REF!,#REF!,#REF!,#REF!,#REF!,#REF!,#REF!,#REF!,#REF!,#REF!,#REF!,#REF!,#REF!,#REF!,#REF!,#REF!,#REF!,#REF!,#REF!,#REF!,#REF!,#REF!,#REF!,#REF!,#REF!,#REF!,#REF!</definedName>
    <definedName name="V_ALL_KEYWORDS_TYPE_Vector_ISSR_208008758" localSheetId="1">#REF!,#REF!,#REF!,#REF!,#REF!,#REF!,#REF!,#REF!,#REF!,#REF!,#REF!,#REF!,#REF!,#REF!,#REF!,#REF!,#REF!,#REF!,#REF!,#REF!</definedName>
    <definedName name="V_ALL_KEYWORDS_TYPE_Vector_ISSR_208008758">#REF!,#REF!,#REF!,#REF!,#REF!,#REF!,#REF!,#REF!,#REF!,#REF!,#REF!,#REF!,#REF!,#REF!,#REF!,#REF!,#REF!,#REF!,#REF!,#REF!</definedName>
    <definedName name="V_ALL_MQG.AX" localSheetId="11">#REF!</definedName>
    <definedName name="V_ALL_MQG.AX">#REF!</definedName>
    <definedName name="V_ALL_MQG.AX_">#REF!</definedName>
    <definedName name="V_ALL_PERIODS_MQG.AX">#REF!</definedName>
    <definedName name="V_ALL_SECTION_KEYWORDS_EQTY_200011471_1314">#REF!</definedName>
    <definedName name="V_ALL_SECTION_KEYWORDS_EQTY_200011471_1316A">#REF!</definedName>
    <definedName name="V_ALL_SECTION_KEYWORDS_EQTY_200011471_1316B">#REF!</definedName>
    <definedName name="V_ALL_SECTION_KEYWORDS_EQTY_200011471_1316C">#REF!</definedName>
    <definedName name="V_ALL_SECTION_KEYWORDS_EQTY_200011471_1316E">#REF!</definedName>
    <definedName name="V_ALL_SECTION_KEYWORDS_EQTY_200011471_1319">#REF!</definedName>
    <definedName name="V_ALL_SECTION_KEYWORDS_EQTY_200011471_131J">#REF!</definedName>
    <definedName name="V_ALL_SECTION_KEYWORDS_EQTY_200011471_131O">#REF!</definedName>
    <definedName name="V_ALL_SECTION_KEYWORDS_EQTY_200011471_131P">#REF!</definedName>
    <definedName name="V_ALL_SECTION_KEYWORDS_EQTY_200011471_13A" localSheetId="1">#REF!</definedName>
    <definedName name="V_ALL_SECTION_KEYWORDS_EQTY_200011471_13A">#REF!</definedName>
    <definedName name="V_ALL_SECTION_KEYWORDS_EQTY_200011471_13K" localSheetId="1">#REF!</definedName>
    <definedName name="V_ALL_SECTION_KEYWORDS_EQTY_200011471_13K">#REF!</definedName>
    <definedName name="V_ALL_SECTION_KEYWORDS_EQTY_200011471_13U">#REF!</definedName>
    <definedName name="V_ALL_SECTION_KEYWORDS_EQTY_200011471_13V">#REF!</definedName>
    <definedName name="V_ALL_SECTION_KEYWORDS_EQTY_200011471_Reference_Data">#REF!</definedName>
    <definedName name="V_ALL_SECTION_KEYWORDS_ISSR_208008758_1314" localSheetId="1">#REF!</definedName>
    <definedName name="V_ALL_SECTION_KEYWORDS_ISSR_208008758_1314">#REF!</definedName>
    <definedName name="V_ALL_SECTION_KEYWORDS_ISSR_208008758_13168">#REF!</definedName>
    <definedName name="V_ALL_SECTION_KEYWORDS_ISSR_208008758_1316B">#REF!</definedName>
    <definedName name="V_ALL_SECTION_KEYWORDS_ISSR_208008758_1316C">#REF!</definedName>
    <definedName name="V_ALL_SECTION_KEYWORDS_ISSR_208008758_1316E">#REF!</definedName>
    <definedName name="V_ALL_SECTION_KEYWORDS_ISSR_208008758_1316T">#REF!</definedName>
    <definedName name="V_ALL_SECTION_KEYWORDS_ISSR_208008758_1316U">#REF!</definedName>
    <definedName name="V_ALL_SECTION_KEYWORDS_ISSR_208008758_1319" localSheetId="1">#REF!</definedName>
    <definedName name="V_ALL_SECTION_KEYWORDS_ISSR_208008758_1319">#REF!</definedName>
    <definedName name="V_ALL_SECTION_KEYWORDS_ISSR_208008758_131E">#REF!</definedName>
    <definedName name="V_ALL_SECTION_KEYWORDS_ISSR_208008758_131J">#REF!</definedName>
    <definedName name="V_ALL_SECTION_KEYWORDS_ISSR_208008758_131O">#REF!</definedName>
    <definedName name="V_ALL_SECTION_KEYWORDS_ISSR_208008758_131P">#REF!</definedName>
    <definedName name="V_ALL_SECTION_KEYWORDS_ISSR_208008758_133M">#REF!</definedName>
    <definedName name="V_ALL_SECTION_KEYWORDS_ISSR_208008758_133R">#REF!</definedName>
    <definedName name="V_ALL_SECTION_KEYWORDS_ISSR_208008758_133W">#REF!</definedName>
    <definedName name="V_ALL_SECTION_KEYWORDS_ISSR_208008758_1341">#REF!</definedName>
    <definedName name="V_ALL_SECTION_KEYWORDS_ISSR_208008758_1346">#REF!</definedName>
    <definedName name="V_ALL_SECTION_KEYWORDS_ISSR_208008758_134B">#REF!</definedName>
    <definedName name="V_ALL_SECTION_KEYWORDS_ISSR_208008758_134G">#REF!</definedName>
    <definedName name="V_ALL_SECTION_KEYWORDS_ISSR_208008758_134L">#REF!</definedName>
    <definedName name="V_ALL_SECTION_KEYWORDS_ISSR_208008758_134Q">#REF!</definedName>
    <definedName name="V_ALL_SECTION_KEYWORDS_ISSR_208008758_134V">#REF!</definedName>
    <definedName name="V_ALL_SECTION_KEYWORDS_ISSR_208008758_1350">#REF!</definedName>
    <definedName name="V_ALL_SECTION_KEYWORDS_ISSR_208008758_1355">#REF!</definedName>
    <definedName name="V_ALL_SECTION_KEYWORDS_ISSR_208008758_135A">#REF!</definedName>
    <definedName name="V_ALL_SECTION_KEYWORDS_ISSR_208008758_135F">#REF!</definedName>
    <definedName name="V_ALL_SECTION_KEYWORDS_ISSR_208008758_135K">#REF!</definedName>
    <definedName name="V_ALL_SECTION_KEYWORDS_ISSR_208008758_135P">#REF!</definedName>
    <definedName name="V_ALL_SECTION_KEYWORDS_ISSR_208008758_135U">#REF!</definedName>
    <definedName name="V_ALL_SECTION_KEYWORDS_ISSR_208008758_135Z">#REF!</definedName>
    <definedName name="V_ALL_SECTION_KEYWORDS_ISSR_208008758_136E">#REF!</definedName>
    <definedName name="V_ALL_SECTION_KEYWORDS_ISSR_208008758_13A">#REF!</definedName>
    <definedName name="V_ALL_SECTION_KEYWORDS_ISSR_208008758_13U">#REF!</definedName>
    <definedName name="V_ALL_SECTION_KEYWORDS_ISSR_208008758_13V" localSheetId="1">#REF!,#REF!</definedName>
    <definedName name="V_ALL_SECTION_KEYWORDS_ISSR_208008758_13V">#REF!,#REF!</definedName>
    <definedName name="V_ALL_SECTION_KEYWORDS_ISSR_208008758_Reference_Data">#REF!</definedName>
    <definedName name="V_ALL_SECTIONS_EQTY_200004992">#REF!,#REF!,#REF!,#REF!,#REF!,#REF!,#REF!,#REF!,#REF!,#REF!,#REF!,#REF!,#REF!</definedName>
    <definedName name="V_ALL_SECTIONS_EQTY_200011471">#REF!,#REF!,#REF!,#REF!,#REF!,#REF!,#REF!,#REF!,#REF!,#REF!</definedName>
    <definedName name="V_ALL_SECTIONS_ISSR_208005522">#REF!,#REF!,#REF!,#REF!,#REF!,#REF!,#REF!,#REF!,#REF!,#REF!,#REF!,#REF!,#REF!,#REF!,#REF!,#REF!,#REF!,#REF!,#REF!,#REF!,#REF!,#REF!,#REF!,#REF!</definedName>
    <definedName name="V_ALL_SECTIONS_ISSR_208008758">#REF!,#REF!,#REF!,#REF!,#REF!,#REF!,#REF!,#REF!,#REF!,#REF!,#REF!,#REF!,#REF!,#REF!,#REF!,#REF!,#REF!,#REF!,#REF!,#REF!</definedName>
    <definedName name="V_ALL_WBC.AX">#REF!</definedName>
    <definedName name="V_ALL_WBC.AX_">#REF!</definedName>
    <definedName name="V_CURRENCY_EQTY_200011471_PRI">#REF!</definedName>
    <definedName name="V_CURRENCY_EQTY_200011471_PUB">#REF!</definedName>
    <definedName name="V_CURRENCY_EQTY_200011471_REP">#REF!</definedName>
    <definedName name="V_CURRENCY_ISSR_208008758_REP">#REF!</definedName>
    <definedName name="V_ENTITY_DATA_EQTY_200011471">#REF!</definedName>
    <definedName name="V_ENTITY_DATA_ISSR_208008758">#REF!</definedName>
    <definedName name="V_KEYWORD_EQTY_200011471_ANZ_CONVICTION">#REF!</definedName>
    <definedName name="V_KEYWORD_EQTY_200011471_ANZ_LIST">#REF!</definedName>
    <definedName name="V_KEYWORD_EQTY_200011471_ASSET_SALES_GAIN_LOSS">#REF!</definedName>
    <definedName name="V_KEYWORD_EQTY_200011471_AVG_ORD_SHOLDERS_EQUITY">#REF!</definedName>
    <definedName name="V_KEYWORD_EQTY_200011471_AVG_PREF_CAPITAL">#REF!</definedName>
    <definedName name="V_KEYWORD_EQTY_200011471_B_BS_L_GSEQUITY">#REF!</definedName>
    <definedName name="V_KEYWORD_EQTY_200011471_B_CAMELOT_BETA">#REF!</definedName>
    <definedName name="V_KEYWORD_EQTY_200011471_B_CAMELOT_CAGR_DPS">#REF!</definedName>
    <definedName name="V_KEYWORD_EQTY_200011471_B_CAMELOT_PB">#REF!</definedName>
    <definedName name="V_KEYWORD_EQTY_200011471_B_CAMELOT_PE">#REF!</definedName>
    <definedName name="V_KEYWORD_EQTY_200011471_B_FORECASTRANGE">#REF!</definedName>
    <definedName name="V_KEYWORD_EQTY_200011471_B_FORECASTYRS">#REF!</definedName>
    <definedName name="V_KEYWORD_EQTY_200011471_B_PL_GSBVPS">#REF!</definedName>
    <definedName name="V_KEYWORD_EQTY_200011471_B_PL_GSEPS">#REF!</definedName>
    <definedName name="V_KEYWORD_EQTY_200011471_B_PL_GSINCOME">#REF!</definedName>
    <definedName name="V_KEYWORD_EQTY_200011471_B_PL_PTASSOC">#REF!</definedName>
    <definedName name="V_KEYWORD_EQTY_200011471_B_RIM_BETA">#REF!</definedName>
    <definedName name="V_KEYWORD_EQTY_200011471_B_RIM_COE">#REF!</definedName>
    <definedName name="V_KEYWORD_EQTY_200011471_B_RIM_PB">#REF!</definedName>
    <definedName name="V_KEYWORD_EQTY_200011471_B_RIM_PE">#REF!</definedName>
    <definedName name="V_KEYWORD_EQTY_200011471_BASE_CASE_VAL_DCF">#REF!</definedName>
    <definedName name="V_KEYWORD_EQTY_200011471_BENEFITS_TAX_LOSSES">#REF!</definedName>
    <definedName name="V_KEYWORD_EQTY_200011471_BETA_ANALYST">#REF!</definedName>
    <definedName name="V_KEYWORD_EQTY_200011471_BVPS">#REF!</definedName>
    <definedName name="V_KEYWORD_EQTY_200011471_BVPS_PUB">#REF!</definedName>
    <definedName name="V_KEYWORD_EQTY_200011471_CASH_EARNINGS_COMPANY">#REF!</definedName>
    <definedName name="V_KEYWORD_EQTY_200011471_CATALYST1_DATE">#REF!</definedName>
    <definedName name="V_KEYWORD_EQTY_200011471_CATALYST1_EVENT">#REF!</definedName>
    <definedName name="V_KEYWORD_EQTY_200011471_CATALYST2_DATE">#REF!</definedName>
    <definedName name="V_KEYWORD_EQTY_200011471_CATALYST2_EVENT">#REF!</definedName>
    <definedName name="V_KEYWORD_EQTY_200011471_CATALYST3_DATE">#REF!</definedName>
    <definedName name="V_KEYWORD_EQTY_200011471_CATALYST3_EVENT">#REF!</definedName>
    <definedName name="V_KEYWORD_EQTY_200011471_CATALYST4_DATE">#REF!</definedName>
    <definedName name="V_KEYWORD_EQTY_200011471_CATALYST4_EVENT">#REF!</definedName>
    <definedName name="V_KEYWORD_EQTY_200011471_CATALYST5_DATE">#REF!</definedName>
    <definedName name="V_KEYWORD_EQTY_200011471_CATALYST5_EVENT">#REF!</definedName>
    <definedName name="V_KEYWORD_EQTY_200011471_CEEE_NDEBT">#REF!</definedName>
    <definedName name="V_KEYWORD_EQTY_200011471_COE">#REF!</definedName>
    <definedName name="V_KEYWORD_EQTY_200011471_COMMON_DIV_PAID">#REF!</definedName>
    <definedName name="V_KEYWORD_EQTY_200011471_CONVERTIBLE_NOTES">#REF!</definedName>
    <definedName name="V_KEYWORD_EQTY_200011471_COST_OF_EQUITY_DCF">#REF!</definedName>
    <definedName name="V_KEYWORD_EQTY_200011471_CUM_PRESENT_VAL_CASH_FLOWS_DCF">#REF!</definedName>
    <definedName name="V_KEYWORD_EQTY_200011471_CURRENCY_ISO">#REF!</definedName>
    <definedName name="V_KEYWORD_EQTY_200011471_DCF_CASH_FLOW">#REF!</definedName>
    <definedName name="V_KEYWORD_EQTY_200011471_DEBT_EQUITY">#REF!</definedName>
    <definedName name="V_KEYWORD_EQTY_200011471_DEBT_RISK_MARGIN_DCF">#REF!</definedName>
    <definedName name="V_KEYWORD_EQTY_200011471_DILUTE_NI_IMPAC">#REF!</definedName>
    <definedName name="V_KEYWORD_EQTY_200011471_DILUTE_SHARES">#REF!</definedName>
    <definedName name="V_KEYWORD_EQTY_200011471_DISCOUNT_FACTOR_DCF">#REF!</definedName>
    <definedName name="V_KEYWORD_EQTY_200011471_DPS">#REF!</definedName>
    <definedName name="V_KEYWORD_EQTY_200011471_DPS_PUB">#REF!</definedName>
    <definedName name="V_KEYWORD_EQTY_200011471_DPS_SPECIAL_PUB">#REF!</definedName>
    <definedName name="V_KEYWORD_EQTY_200011471_DRP_DISCOUNT">#REF!</definedName>
    <definedName name="V_KEYWORD_EQTY_200011471_DRP_PARTICIPATION">#REF!</definedName>
    <definedName name="V_KEYWORD_EQTY_200011471_EBIT_PUB">#REF!</definedName>
    <definedName name="V_KEYWORD_EQTY_200011471_EBITDA_PUB">#REF!</definedName>
    <definedName name="V_KEYWORD_EQTY_200011471_EFF_INT_RATE_IMPACT_POST_TAX">#REF!</definedName>
    <definedName name="V_KEYWORD_EQTY_200011471_EFPO">#REF!</definedName>
    <definedName name="V_KEYWORD_EQTY_200011471_EFPOWA">#REF!</definedName>
    <definedName name="V_KEYWORD_EQTY_200011471_EPS">#REF!</definedName>
    <definedName name="V_KEYWORD_EQTY_200011471_EPS_CONS_PUB">#REF!</definedName>
    <definedName name="V_KEYWORD_EQTY_200011471_EPS_FUL_DIL">#REF!</definedName>
    <definedName name="V_KEYWORD_EQTY_200011471_EPS_POST_BASIC">#REF!</definedName>
    <definedName name="V_KEYWORD_EQTY_200011471_EPS_PRE_GWILL">#REF!</definedName>
    <definedName name="V_KEYWORD_EQTY_200011471_EPS_PUB">#REF!</definedName>
    <definedName name="V_KEYWORD_EQTY_200011471_EPS_REPORTED">#REF!</definedName>
    <definedName name="V_KEYWORD_EQTY_200011471_EQ_PUB">#REF!</definedName>
    <definedName name="V_KEYWORD_EQTY_200011471_EQUITY_VALUE_DCF">#REF!</definedName>
    <definedName name="V_KEYWORD_EQTY_200011471_EV_ADJ_PUB">#REF!</definedName>
    <definedName name="V_KEYWORD_EQTY_200011471_FIN_INSTRUMENT_HEDGE_POST_TAX">#REF!</definedName>
    <definedName name="V_KEYWORD_EQTY_200011471_FINAL_DIV_AMOUNT">#REF!</definedName>
    <definedName name="V_KEYWORD_EQTY_200011471_FINAL_DIV_EXDATE">#REF!</definedName>
    <definedName name="V_KEYWORD_EQTY_200011471_FINAL_DIV_FRANK">#REF!</definedName>
    <definedName name="V_KEYWORD_EQTY_200011471_FINAL_DIV_TAXRATE">#REF!</definedName>
    <definedName name="V_KEYWORD_EQTY_200011471_FOREIGN_EXCHANGE_GAIN_LOSS">#REF!</definedName>
    <definedName name="V_KEYWORD_EQTY_200011471_FOREIGN_HOLDNG">#REF!</definedName>
    <definedName name="V_KEYWORD_EQTY_200011471_FRANK_TAX_RATE">#REF!</definedName>
    <definedName name="V_KEYWORD_EQTY_200011471_FRANKING">#REF!</definedName>
    <definedName name="V_KEYWORD_EQTY_200011471_FRANKING_ANZPUB">#REF!</definedName>
    <definedName name="V_KEYWORD_EQTY_200011471_FRANKING_SPECIAL_ANZPUB">#REF!</definedName>
    <definedName name="V_KEYWORD_EQTY_200011471_FREE_FLOAT">#REF!</definedName>
    <definedName name="V_KEYWORD_EQTY_200011471_FULLY_DIL_EPS">#REF!</definedName>
    <definedName name="V_KEYWORD_EQTY_200011471_GRTH_CAGR_TOT_ASSET_PROJECTED">#REF!</definedName>
    <definedName name="V_KEYWORD_EQTY_200011471_GRTH_CAGR_TOT_ASSET_TERMINAL">#REF!</definedName>
    <definedName name="V_KEYWORD_EQTY_200011471_GWILL_ASSET_IMP_CHG_POST_TAX">#REF!</definedName>
    <definedName name="V_KEYWORD_EQTY_200011471_IMP_CREDITS_PER_SHARE_DCF">#REF!</definedName>
    <definedName name="V_KEYWORD_EQTY_200011471_INC_MINORITY">#REF!</definedName>
    <definedName name="V_KEYWORD_EQTY_200011471_INCTAX_PL_ON_AB">#REF!</definedName>
    <definedName name="V_KEYWORD_EQTY_200011471_INCTAX_PL_POST_AB">#REF!</definedName>
    <definedName name="V_KEYWORD_EQTY_200011471_INT_DIV_AMOUNT">#REF!</definedName>
    <definedName name="V_KEYWORD_EQTY_200011471_INT_DIV_EXDATE">#REF!</definedName>
    <definedName name="V_KEYWORD_EQTY_200011471_INT_DIV_FRANK">#REF!</definedName>
    <definedName name="V_KEYWORD_EQTY_200011471_INT_DIV_TAXRATE">#REF!</definedName>
    <definedName name="V_KEYWORD_EQTY_200011471_Interim_Type">#REF!</definedName>
    <definedName name="V_KEYWORD_EQTY_200011471_INTRINSIC_PER_SHARE_VALUE_DCF">#REF!</definedName>
    <definedName name="V_KEYWORD_EQTY_200011471_LEGAL_RATING">#REF!</definedName>
    <definedName name="V_KEYWORD_EQTY_200011471_MARGIN_TAX_RATE">#REF!</definedName>
    <definedName name="V_KEYWORD_EQTY_200011471_MARKET_VALUE_OF_INVESTMENTS_DCF">#REF!</definedName>
    <definedName name="V_KEYWORD_EQTY_200011471_MINOR_EQUITY">#REF!</definedName>
    <definedName name="V_KEYWORD_EQTY_200011471_MINOR_NON_EQUITY">#REF!</definedName>
    <definedName name="V_KEYWORD_EQTY_200011471_MKT_EQ_RISK_PREM">#REF!</definedName>
    <definedName name="V_KEYWORD_EQTY_200011471_NET_DEBT_EX_LEASES_PUB">#REF!</definedName>
    <definedName name="V_KEYWORD_EQTY_200011471_NET_DEBT_NET_CASH_DCF">#REF!</definedName>
    <definedName name="V_KEYWORD_EQTY_200011471_NET_DEBT_PUB">#REF!</definedName>
    <definedName name="V_KEYWORD_EQTY_200011471_NET_EARNING">#REF!</definedName>
    <definedName name="V_KEYWORD_EQTY_200011471_NET_INC">#REF!</definedName>
    <definedName name="V_KEYWORD_EQTY_200011471_NET_PROFIT">#REF!</definedName>
    <definedName name="V_KEYWORD_EQTY_200011471_NET_TANGIBLE_ASSETS_ADJUSTED_NZ">#REF!</definedName>
    <definedName name="V_KEYWORD_EQTY_200011471_NI_CONS">#REF!</definedName>
    <definedName name="V_KEYWORD_EQTY_200011471_NI_PRE_PREF">#REF!</definedName>
    <definedName name="V_KEYWORD_EQTY_200011471_NI_PUB">#REF!</definedName>
    <definedName name="V_KEYWORD_EQTY_200011471_NI_REPT_PUB">#REF!</definedName>
    <definedName name="V_KEYWORD_EQTY_200011471_NON_OP_ADD">#REF!</definedName>
    <definedName name="V_KEYWORD_EQTY_200011471_NOPAT">#REF!</definedName>
    <definedName name="V_KEYWORD_EQTY_200011471_NOT_IN_USE">#REF!</definedName>
    <definedName name="V_KEYWORD_EQTY_200011471_NTA_PER_SHARE">#REF!</definedName>
    <definedName name="V_KEYWORD_EQTY_200011471_NUM_SH">#REF!</definedName>
    <definedName name="V_KEYWORD_EQTY_200011471_OPPL_ATAX_POST_AB">#REF!</definedName>
    <definedName name="V_KEYWORD_EQTY_200011471_OPTIONS">#REF!</definedName>
    <definedName name="V_KEYWORD_EQTY_200011471_OPTIONS_IN_MONEY">#REF!</definedName>
    <definedName name="V_KEYWORD_EQTY_200011471_OTH_ASSET_IMPAIR_CHG_POST_TAX">#REF!</definedName>
    <definedName name="V_KEYWORD_EQTY_200011471_OTHER_ABNORMAL_ITEMS">#REF!</definedName>
    <definedName name="V_KEYWORD_EQTY_200011471_OTHER_CAPITAL">#REF!</definedName>
    <definedName name="V_KEYWORD_EQTY_200011471_OTHER_IFRS_ADJUST_POST_TAX">#REF!</definedName>
    <definedName name="V_KEYWORD_EQTY_200011471_PARTLY_PAID_SHARES">#REF!</definedName>
    <definedName name="V_KEYWORD_EQTY_200011471_PERPETUITY_GROWTH_RATE_DCF">#REF!</definedName>
    <definedName name="V_KEYWORD_EQTY_200011471_PREF_DIV">#REF!</definedName>
    <definedName name="V_KEYWORD_EQTY_200011471_PREFERENCE_SHARES">#REF!</definedName>
    <definedName name="V_KEYWORD_EQTY_200011471_PRESENT_VALUE_OF_CASH_FLOW_DCF">#REF!</definedName>
    <definedName name="V_KEYWORD_EQTY_200011471_PRI_TARG_METH">#REF!</definedName>
    <definedName name="V_KEYWORD_EQTY_200011471_PRI_TARG_MULT">#REF!</definedName>
    <definedName name="V_KEYWORD_EQTY_200011471_PRICE_CURRENCY_ISO">#REF!</definedName>
    <definedName name="V_KEYWORD_EQTY_200011471_PROF_ADJUST_EPS">#REF!</definedName>
    <definedName name="V_KEYWORD_EQTY_200011471_PROF_AT">#REF!</definedName>
    <definedName name="V_KEYWORD_EQTY_200011471_PROV_INC_TAX">#REF!</definedName>
    <definedName name="V_KEYWORD_EQTY_200011471_PTP_PUB">#REF!</definedName>
    <definedName name="V_KEYWORD_EQTY_200011471_PUB_CURRENCY_ISO">#REF!</definedName>
    <definedName name="V_KEYWORD_EQTY_200011471_RESTRUC_COSTS">#REF!</definedName>
    <definedName name="V_KEYWORD_EQTY_200011471_REVS_PUB">#REF!</definedName>
    <definedName name="V_KEYWORD_EQTY_200011471_RISK_ADJ_OPTION_VALUE_DCF">#REF!</definedName>
    <definedName name="V_KEYWORD_EQTY_200011471_RISK_FR_RATE">#REF!</definedName>
    <definedName name="V_KEYWORD_EQTY_200011471_RISK_TO_EARNINGS">#REF!</definedName>
    <definedName name="V_KEYWORD_EQTY_200011471_RISK_WEIGHTED_ASSET_APRA">#REF!</definedName>
    <definedName name="V_KEYWORD_EQTY_200011471_ROAA_PROJECTED">#REF!</definedName>
    <definedName name="V_KEYWORD_EQTY_200011471_ROCE_ANZ">#REF!</definedName>
    <definedName name="V_KEYWORD_EQTY_200011471_ROE_TERMINAL">#REF!</definedName>
    <definedName name="V_KEYWORD_EQTY_200011471_Security_Name">#REF!</definedName>
    <definedName name="V_KEYWORD_EQTY_200011471_SH">#REF!</definedName>
    <definedName name="V_KEYWORD_EQTY_200011471_SHOLDERS_EQUITY_MBRS">#REF!</definedName>
    <definedName name="V_KEYWORD_EQTY_200011471_STD_FREE_OP_CASH_FLOW_DCF">#REF!</definedName>
    <definedName name="V_KEYWORD_EQTY_200011471_TANG_BVPS">#REF!</definedName>
    <definedName name="V_KEYWORD_EQTY_200011471_TARGET_PRICE">#REF!</definedName>
    <definedName name="V_KEYWORD_EQTY_200011471_TARGET_PRICE_FUNDAMENTAL">#REF!</definedName>
    <definedName name="V_KEYWORD_EQTY_200011471_TARGET_PRICE_MA">#REF!</definedName>
    <definedName name="V_KEYWORD_EQTY_200011471_TAX_EXC">#REF!</definedName>
    <definedName name="V_KEYWORD_EQTY_200011471_TAX_RATE_DCF">#REF!</definedName>
    <definedName name="V_KEYWORD_EQTY_200011471_TBVPS_LAST">#REF!</definedName>
    <definedName name="V_KEYWORD_EQTY_200011471_TERMINAL_YEAR_DCF">#REF!</definedName>
    <definedName name="V_KEYWORD_EQTY_200011471_Ticker">#REF!</definedName>
    <definedName name="V_KEYWORD_EQTY_200011471_TOTAL_ANNUAL_DIV_AMOUNT">#REF!</definedName>
    <definedName name="V_KEYWORD_EQTY_200011471_TOTAL_CAPITAL_EFPO">#REF!</definedName>
    <definedName name="V_KEYWORD_EQTY_200011471_TOTAL_CAPITAL_EFPOWA">#REF!</definedName>
    <definedName name="V_KEYWORD_EQTY_200011471_TOTAL_IFRS_ADJUST_POST_TAX">#REF!</definedName>
    <definedName name="V_KEYWORD_EQTY_200011471_TP_PERIOD">#REF!</definedName>
    <definedName name="V_KEYWORD_EQTY_200011471_VALUATION_YEAR">#REF!</definedName>
    <definedName name="V_KEYWORD_EQTY_200011471_WACC_DCF">#REF!</definedName>
    <definedName name="V_KEYWORD_EQTY_200011471_YEAR_END_CAPITAL_EVA">#REF!</definedName>
    <definedName name="V_KEYWORD_ISSR_208008758_ACC_END_DATE">#REF!</definedName>
    <definedName name="V_KEYWORD_ISSR_208008758_ACC_PAY_GQ">#REF!</definedName>
    <definedName name="V_KEYWORD_ISSR_208008758_ACCEPTANCES_ASSETS">#REF!</definedName>
    <definedName name="V_KEYWORD_ISSR_208008758_ACCEPTANCES_LIABS">#REF!</definedName>
    <definedName name="V_KEYWORD_ISSR_208008758_ACCRUAL">#REF!</definedName>
    <definedName name="V_KEYWORD_ISSR_208008758_ACCRUED_EXP_OTH">#REF!</definedName>
    <definedName name="V_KEYWORD_ISSR_208008758_AM_FEE">#REF!</definedName>
    <definedName name="V_KEYWORD_ISSR_208008758_AM_MARGIN">#REF!</definedName>
    <definedName name="V_KEYWORD_ISSR_208008758_AM_PTP">#REF!</definedName>
    <definedName name="V_KEYWORD_ISSR_208008758_AM_REVS">#REF!</definedName>
    <definedName name="V_KEYWORD_ISSR_208008758_AMB_MARGIN">#REF!</definedName>
    <definedName name="V_KEYWORD_ISSR_208008758_AMB_PTP">#REF!</definedName>
    <definedName name="V_KEYWORD_ISSR_208008758_AMB_REVS">#REF!</definedName>
    <definedName name="V_KEYWORD_ISSR_208008758_AMORT_OF_INTANGIBLES">#REF!</definedName>
    <definedName name="V_KEYWORD_ISSR_208008758_AMORT_OF_INTANGIBLES_ADJ">#REF!</definedName>
    <definedName name="V_KEYWORD_ISSR_208008758_ASIA_ASS">#REF!</definedName>
    <definedName name="V_KEYWORD_ISSR_208008758_ASIA_OP">#REF!</definedName>
    <definedName name="V_KEYWORD_ISSR_208008758_ASIA_SALES">#REF!</definedName>
    <definedName name="V_KEYWORD_ISSR_208008758_ASSET_MISC">#REF!</definedName>
    <definedName name="V_KEYWORD_ISSR_208008758_ASSOCIATE">#REF!</definedName>
    <definedName name="V_KEYWORD_ISSR_208008758_AVG_ACCEPTANCES">#REF!</definedName>
    <definedName name="V_KEYWORD_ISSR_208008758_AVG_CAPITAL_EMPLOYED_ADJ">#REF!</definedName>
    <definedName name="V_KEYWORD_ISSR_208008758_AVG_GROSS_NON_PERF_ASSETS">#REF!</definedName>
    <definedName name="V_KEYWORD_ISSR_208008758_AVG_INT_BEARING_LIABS">#REF!</definedName>
    <definedName name="V_KEYWORD_ISSR_208008758_AVG_INT_EARN_ASSETS">#REF!</definedName>
    <definedName name="V_KEYWORD_ISSR_208008758_AVG_LOANS_ADVANCES">#REF!</definedName>
    <definedName name="V_KEYWORD_ISSR_208008758_AVG_NON_INT_BEARING_LIABS">#REF!</definedName>
    <definedName name="V_KEYWORD_ISSR_208008758_AVG_OTH_PROD_ASSETS">#REF!</definedName>
    <definedName name="V_KEYWORD_ISSR_208008758_AVG_OTHER_ASSETS">#REF!</definedName>
    <definedName name="V_KEYWORD_ISSR_208008758_AVG_OTHER_LIABS">#REF!</definedName>
    <definedName name="V_KEYWORD_ISSR_208008758_AVG_PROD_INT_EARN_ASSETS">#REF!</definedName>
    <definedName name="V_KEYWORD_ISSR_208008758_AVG_PROV_BAD_DEBT">#REF!</definedName>
    <definedName name="V_KEYWORD_ISSR_208008758_AVG_TOTAL_ASSETS">#REF!</definedName>
    <definedName name="V_KEYWORD_ISSR_208008758_B_BS_A_DEBTTOT">#REF!</definedName>
    <definedName name="V_KEYWORD_ISSR_208008758_B_BS_A_LNBNK">#REF!</definedName>
    <definedName name="V_KEYWORD_ISSR_208008758_B_BS_A_NETLOANS">#REF!</definedName>
    <definedName name="V_KEYWORD_ISSR_208008758_B_BS_A_OTHINT1">#REF!</definedName>
    <definedName name="V_KEYWORD_ISSR_208008758_B_BS_A_PERIOD">#REF!</definedName>
    <definedName name="V_KEYWORD_ISSR_208008758_B_BS_L_BANKDEP">#REF!</definedName>
    <definedName name="V_KEYWORD_ISSR_208008758_B_BS_L_CUSTDEP">#REF!</definedName>
    <definedName name="V_KEYWORD_ISSR_208008758_B_BS_L_GSTANGEQ">#REF!</definedName>
    <definedName name="V_KEYWORD_ISSR_208008758_B_BS_L_PERIOD">#REF!</definedName>
    <definedName name="V_KEYWORD_ISSR_208008758_B_CA_BISRATIO">#REF!</definedName>
    <definedName name="V_KEYWORD_ISSR_208008758_B_CA_CAPBASE">#REF!</definedName>
    <definedName name="V_KEYWORD_ISSR_208008758_B_CA_CORECAP">#REF!</definedName>
    <definedName name="V_KEYWORD_ISSR_208008758_B_CA_PREFCAP">#REF!</definedName>
    <definedName name="V_KEYWORD_ISSR_208008758_B_CA_RWA">#REF!</definedName>
    <definedName name="V_KEYWORD_ISSR_208008758_B_CA_T1CAP">#REF!</definedName>
    <definedName name="V_KEYWORD_ISSR_208008758_B_CA_T1RATIO">#REF!</definedName>
    <definedName name="V_KEYWORD_ISSR_208008758_B_CA_T2CAP">#REF!</definedName>
    <definedName name="V_KEYWORD_ISSR_208008758_B_CA_T2RATIO">#REF!</definedName>
    <definedName name="V_KEYWORD_ISSR_208008758_B_CAMELOT_SUST_ROE">#REF!</definedName>
    <definedName name="V_KEYWORD_ISSR_208008758_B_CORP_OTH">#REF!</definedName>
    <definedName name="V_KEYWORD_ISSR_208008758_B_DE_DEMAND">#REF!</definedName>
    <definedName name="V_KEYWORD_ISSR_208008758_B_DE_OTHERS">#REF!</definedName>
    <definedName name="V_KEYWORD_ISSR_208008758_B_DE_TIME">#REF!</definedName>
    <definedName name="V_KEYWORD_ISSR_208008758_B_DE_TOTDEPOSIT">#REF!</definedName>
    <definedName name="V_KEYWORD_ISSR_208008758_B_GOVERNMT">#REF!</definedName>
    <definedName name="V_KEYWORD_ISSR_208008758_B_GOVERNMT_SLD">#REF!</definedName>
    <definedName name="V_KEYWORD_ISSR_208008758_B_IH_BKVALUE">#REF!</definedName>
    <definedName name="V_KEYWORD_ISSR_208008758_B_IH_MKTVALUE">#REF!</definedName>
    <definedName name="V_KEYWORD_ISSR_208008758_B_IH_PTAXVALUE">#REF!</definedName>
    <definedName name="V_KEYWORD_ISSR_208008758_B_IH_TAX">#REF!</definedName>
    <definedName name="V_KEYWORD_ISSR_208008758_B_IH_UNREALISE">#REF!</definedName>
    <definedName name="V_KEYWORD_ISSR_208008758_B_LB_COMMCL">#REF!</definedName>
    <definedName name="V_KEYWORD_ISSR_208008758_B_LB_CONSTRUCT">#REF!</definedName>
    <definedName name="V_KEYWORD_ISSR_208008758_B_LB_FINANCL">#REF!</definedName>
    <definedName name="V_KEYWORD_ISSR_208008758_B_LB_FINLEASE">#REF!</definedName>
    <definedName name="V_KEYWORD_ISSR_208008758_B_LB_GOVERNMT">#REF!</definedName>
    <definedName name="V_KEYWORD_ISSR_208008758_B_LB_GROSSLOANS">#REF!</definedName>
    <definedName name="V_KEYWORD_ISSR_208008758_B_LB_MORTG">#REF!</definedName>
    <definedName name="V_KEYWORD_ISSR_208008758_B_LB_OTHER">#REF!</definedName>
    <definedName name="V_KEYWORD_ISSR_208008758_B_LB_OTHLEND">#REF!</definedName>
    <definedName name="V_KEYWORD_ISSR_208008758_B_LB_OTHSECURE">#REF!</definedName>
    <definedName name="V_KEYWORD_ISSR_208008758_B_LB_OVSEASLEND">#REF!</definedName>
    <definedName name="V_KEYWORD_ISSR_208008758_B_LB_PERSON">#REF!</definedName>
    <definedName name="V_KEYWORD_ISSR_208008758_B_LB_TOTCORP">#REF!</definedName>
    <definedName name="V_KEYWORD_ISSR_208008758_B_LB_TOTPERSNL">#REF!</definedName>
    <definedName name="V_KEYWORD_ISSR_208008758_B_LT_DIV_PAYOUT">#REF!</definedName>
    <definedName name="V_KEYWORD_ISSR_208008758_B_MA_REPCOSTLIB">#REF!</definedName>
    <definedName name="V_KEYWORD_ISSR_208008758_B_MA_REPGYLD">#REF!</definedName>
    <definedName name="V_KEYWORD_ISSR_208008758_B_MA_REPIMPSPD">#REF!</definedName>
    <definedName name="V_KEYWORD_ISSR_208008758_B_MA_REPINTAST">#REF!</definedName>
    <definedName name="V_KEYWORD_ISSR_208008758_B_MA_REPINTLIB">#REF!</definedName>
    <definedName name="V_KEYWORD_ISSR_208008758_B_MA_REPNIM">#REF!</definedName>
    <definedName name="V_KEYWORD_ISSR_208008758_B_MORTG">#REF!</definedName>
    <definedName name="V_KEYWORD_ISSR_208008758_B_NPL_PROBLN">#REF!</definedName>
    <definedName name="V_KEYWORD_ISSR_208008758_B_NPL_TOTNPL">#REF!</definedName>
    <definedName name="V_KEYWORD_ISSR_208008758_B_PL_LOANPRV">#REF!</definedName>
    <definedName name="V_KEYWORD_ISSR_208008758_B_PL_NETINTINC">#REF!</definedName>
    <definedName name="V_KEYWORD_ISSR_208008758_B_PV_GLLRCUST">#REF!</definedName>
    <definedName name="V_KEYWORD_ISSR_208008758_B_PV_SLLRCUST">#REF!</definedName>
    <definedName name="V_KEYWORD_ISSR_208008758_B_PV_TOTLLRCUST">#REF!</definedName>
    <definedName name="V_KEYWORD_ISSR_208008758_BAL_MINO_INT">#REF!</definedName>
    <definedName name="V_KEYWORD_ISSR_208008758_BAL_OF_FRANK_CREDITS">#REF!</definedName>
    <definedName name="V_KEYWORD_ISSR_208008758_BEARING_DEBT">#REF!</definedName>
    <definedName name="V_KEYWORD_ISSR_208008758_BONDS_NOTES_SUBORD_DEBT">#REF!</definedName>
    <definedName name="V_KEYWORD_ISSR_208008758_BR_AUM">#REF!</definedName>
    <definedName name="V_KEYWORD_ISSR_208008758_BR_DEP">#REF!</definedName>
    <definedName name="V_KEYWORD_ISSR_208008758_BR_OTH_EQ">#REF!</definedName>
    <definedName name="V_KEYWORD_ISSR_208008758_BRANCHES">#REF!</definedName>
    <definedName name="V_KEYWORD_ISSR_208008758_BROK_CLEAR_EXP">#REF!</definedName>
    <definedName name="V_KEYWORD_ISSR_208008758_BROKER_PAYBLS">#REF!</definedName>
    <definedName name="V_KEYWORD_ISSR_208008758_BROKER_RECVBLS">#REF!</definedName>
    <definedName name="V_KEYWORD_ISSR_208008758_BUS_DEV_EXP">#REF!</definedName>
    <definedName name="V_KEYWORD_ISSR_208008758_CAP_LEASES">#REF!</definedName>
    <definedName name="V_KEYWORD_ISSR_208008758_CAP_MARGIN">#REF!</definedName>
    <definedName name="V_KEYWORD_ISSR_208008758_CAP_PTP">#REF!</definedName>
    <definedName name="V_KEYWORD_ISSR_208008758_CAP_REVS">#REF!</definedName>
    <definedName name="V_KEYWORD_ISSR_208008758_CASH_EQ">#REF!</definedName>
    <definedName name="V_KEYWORD_ISSR_208008758_CASH_SECUR">#REF!</definedName>
    <definedName name="V_KEYWORD_ISSR_208008758_CC_FEE">#REF!</definedName>
    <definedName name="V_KEYWORD_ISSR_208008758_CC_MARGIN">#REF!</definedName>
    <definedName name="V_KEYWORD_ISSR_208008758_CC_PTP">#REF!</definedName>
    <definedName name="V_KEYWORD_ISSR_208008758_CC_REVS">#REF!</definedName>
    <definedName name="V_KEYWORD_ISSR_208008758_CC_REVS_BO">#REF!</definedName>
    <definedName name="V_KEYWORD_ISSR_208008758_CD_MONMRKT">#REF!</definedName>
    <definedName name="V_KEYWORD_ISSR_208008758_COGS_PCT_ROW">#REF!</definedName>
    <definedName name="V_KEYWORD_ISSR_208008758_COGS_PCT_US">#REF!</definedName>
    <definedName name="V_KEYWORD_ISSR_208008758_COMMDTY_VAR">#REF!</definedName>
    <definedName name="V_KEYWORD_ISSR_208008758_COMMISNS">#REF!</definedName>
    <definedName name="V_KEYWORD_ISSR_208008758_COMMITMENTS">#REF!</definedName>
    <definedName name="V_KEYWORD_ISSR_208008758_CONTINGENCIES">#REF!</definedName>
    <definedName name="V_KEYWORD_ISSR_208008758_CORP_DEBT_SLD">#REF!</definedName>
    <definedName name="V_KEYWORD_ISSR_208008758_CORP_EQ_SLD">#REF!</definedName>
    <definedName name="V_KEYWORD_ISSR_208008758_COST_OF_DEBT_DCF">#REF!</definedName>
    <definedName name="V_KEYWORD_ISSR_208008758_CP_STDEBT_SLD">#REF!</definedName>
    <definedName name="V_KEYWORD_ISSR_208008758_CURRENCY_ISO">#REF!</definedName>
    <definedName name="V_KEYWORD_ISSR_208008758_CURRENCY_VAR">#REF!</definedName>
    <definedName name="V_KEYWORD_ISSR_208008758_CUST_PAYBLS">#REF!</definedName>
    <definedName name="V_KEYWORD_ISSR_208008758_CUST_RECVBLS">#REF!</definedName>
    <definedName name="V_KEYWORD_ISSR_208008758_DEBT_SECUR">#REF!</definedName>
    <definedName name="V_KEYWORD_ISSR_208008758_DEBT_TO_EQUITY_MKT_VALUES_DCF">#REF!</definedName>
    <definedName name="V_KEYWORD_ISSR_208008758_DEFINED_BENEFIT_OBLIGATION">#REF!</definedName>
    <definedName name="V_KEYWORD_ISSR_208008758_DEFINED_BENEFIT_SURPLUS">#REF!</definedName>
    <definedName name="V_KEYWORD_ISSR_208008758_DEPR_ROU_ASSETS">#REF!</definedName>
    <definedName name="V_KEYWORD_ISSR_208008758_DEPREC">#REF!</definedName>
    <definedName name="V_KEYWORD_ISSR_208008758_DEVELOPMENT_VENTURES">#REF!</definedName>
    <definedName name="V_KEYWORD_ISSR_208008758_DIV_PAID">#REF!</definedName>
    <definedName name="V_KEYWORD_ISSR_208008758_DIVERS_EFFECT">#REF!</definedName>
    <definedName name="V_KEYWORD_ISSR_208008758_DIVID_INC">#REF!</definedName>
    <definedName name="V_KEYWORD_ISSR_208008758_DOM_ASS">#REF!</definedName>
    <definedName name="V_KEYWORD_ISSR_208008758_DOM_OP">#REF!</definedName>
    <definedName name="V_KEYWORD_ISSR_208008758_DOM_SALES">#REF!</definedName>
    <definedName name="V_KEYWORD_ISSR_208008758_EBIT_UNDERLYING_PRE_GWILL">#REF!</definedName>
    <definedName name="V_KEYWORD_ISSR_208008758_EFFECT_INT_RATE_IMPACT_PRE_TAX">#REF!</definedName>
    <definedName name="V_KEYWORD_ISSR_208008758_EMER_ASS">#REF!</definedName>
    <definedName name="V_KEYWORD_ISSR_208008758_EMER_OP">#REF!</definedName>
    <definedName name="V_KEYWORD_ISSR_208008758_EMER_SALES">#REF!</definedName>
    <definedName name="V_KEYWORD_ISSR_208008758_EMPLOYEES">#REF!</definedName>
    <definedName name="V_KEYWORD_ISSR_208008758_EQ">#REF!</definedName>
    <definedName name="V_KEYWORD_ISSR_208008758_EQTY_ISS_REVS_BO">#REF!</definedName>
    <definedName name="V_KEYWORD_ISSR_208008758_EQTY_REVS_BO">#REF!</definedName>
    <definedName name="V_KEYWORD_ISSR_208008758_EQTY_VAR">#REF!</definedName>
    <definedName name="V_KEYWORD_ISSR_208008758_EQUIP_COSTS">#REF!</definedName>
    <definedName name="V_KEYWORD_ISSR_208008758_EUR_ASS">#REF!</definedName>
    <definedName name="V_KEYWORD_ISSR_208008758_EURO_OP">#REF!</definedName>
    <definedName name="V_KEYWORD_ISSR_208008758_EURO_SALES">#REF!</definedName>
    <definedName name="V_KEYWORD_ISSR_208008758_EXP_OIL_DERIV_NGLS_PLASTICS">#REF!</definedName>
    <definedName name="V_KEYWORD_ISSR_208008758_EXP_OIL_PETRO_FUEL">#REF!</definedName>
    <definedName name="V_KEYWORD_ISSR_208008758_FICC_ISS_REVS_BO">#REF!</definedName>
    <definedName name="V_KEYWORD_ISSR_208008758_FICC_REVS_BO">#REF!</definedName>
    <definedName name="V_KEYWORD_ISSR_208008758_FIN_ADVISORS">#REF!</definedName>
    <definedName name="V_KEYWORD_ISSR_208008758_FIN_INSTR_HEDGE_CURR_LIABILITY">#REF!</definedName>
    <definedName name="V_KEYWORD_ISSR_208008758_FIN_INSTRUMENT_HEDGE_PRE_TAX">#REF!</definedName>
    <definedName name="V_KEYWORD_ISSR_208008758_FIN_TRANS_INC">#REF!</definedName>
    <definedName name="V_KEYWORD_ISSR_208008758_FINANCE_SERVICES_INCOME">#REF!</definedName>
    <definedName name="V_KEYWORD_ISSR_208008758_FIX_ASS_INV">#REF!</definedName>
    <definedName name="V_KEYWORD_ISSR_208008758_FLOATING_PCT_LOCAL_DEBT">#REF!</definedName>
    <definedName name="V_KEYWORD_ISSR_208008758_FLOATING_PCT_LOCAL_DEBT_HEDGED">#REF!</definedName>
    <definedName name="V_KEYWORD_ISSR_208008758_FOREIGN_EXCH_INCOME">#REF!</definedName>
    <definedName name="V_KEYWORD_ISSR_208008758_FX_AUD_ASSUMPTION">#REF!</definedName>
    <definedName name="V_KEYWORD_ISSR_208008758_FX_AUD_NI_SENSITIVITY">#REF!</definedName>
    <definedName name="V_KEYWORD_ISSR_208008758_FX_EUR_ASSUMPTION">#REF!</definedName>
    <definedName name="V_KEYWORD_ISSR_208008758_FX_EUR_NI_SENSITIVITY">#REF!</definedName>
    <definedName name="V_KEYWORD_ISSR_208008758_FX_USD_ASSUMPTION">#REF!</definedName>
    <definedName name="V_KEYWORD_ISSR_208008758_FX_USD_NI_SENSITIVITY">#REF!</definedName>
    <definedName name="V_KEYWORD_ISSR_208008758_GEN_INS_INC">#REF!</definedName>
    <definedName name="V_KEYWORD_ISSR_208008758_GENERAL_PROV">#REF!</definedName>
    <definedName name="V_KEYWORD_ISSR_208008758_GENERAL_PROV_DOUBTFUL">#REF!</definedName>
    <definedName name="V_KEYWORD_ISSR_208008758_GOODWILL">#REF!</definedName>
    <definedName name="V_KEYWORD_ISSR_208008758_GOODWILL_AMORT">#REF!</definedName>
    <definedName name="V_KEYWORD_ISSR_208008758_GROSS_LOANS_ADVANCES">#REF!</definedName>
    <definedName name="V_KEYWORD_ISSR_208008758_GROSS_NON_ACCRUAL">#REF!</definedName>
    <definedName name="V_KEYWORD_ISSR_208008758_GROSS_OP_PROF">#REF!</definedName>
    <definedName name="V_KEYWORD_ISSR_208008758_GWILL_ASSET_IMPAIR_CHG_PRE_TAX">#REF!</definedName>
    <definedName name="V_KEYWORD_ISSR_208008758_HYBRID_DIST_PRE_TAX">#REF!</definedName>
    <definedName name="V_KEYWORD_ISSR_208008758_IB_FEE">#REF!</definedName>
    <definedName name="V_KEYWORD_ISSR_208008758_INS_CLAIMS">#REF!</definedName>
    <definedName name="V_KEYWORD_ISSR_208008758_INT_EARN_ASSETS">#REF!</definedName>
    <definedName name="V_KEYWORD_ISSR_208008758_INT_EXP">#REF!</definedName>
    <definedName name="V_KEYWORD_ISSR_208008758_INT_INC">#REF!</definedName>
    <definedName name="V_KEYWORD_ISSR_208008758_INT_RATE_VAR">#REF!</definedName>
    <definedName name="V_KEYWORD_ISSR_208008758_INV_SECUR">#REF!</definedName>
    <definedName name="V_KEYWORD_ISSR_208008758_INVESTMENT_SECS_INCOME">#REF!</definedName>
    <definedName name="V_KEYWORD_ISSR_208008758_INVESTMENTS">#REF!</definedName>
    <definedName name="V_KEYWORD_ISSR_208008758_Issuer_Name">#REF!</definedName>
    <definedName name="V_KEYWORD_ISSR_208008758_LABOUR">#REF!</definedName>
    <definedName name="V_KEYWORD_ISSR_208008758_LATAM_ASS">#REF!</definedName>
    <definedName name="V_KEYWORD_ISSR_208008758_LATAM_OP">#REF!</definedName>
    <definedName name="V_KEYWORD_ISSR_208008758_LATAM_SALES">#REF!</definedName>
    <definedName name="V_KEYWORD_ISSR_208008758_LEASE_ADOPT">#REF!</definedName>
    <definedName name="V_KEYWORD_ISSR_208008758_LEASE_INT_CHG">#REF!</definedName>
    <definedName name="V_KEYWORD_ISSR_208008758_LEASE_PAY">#REF!</definedName>
    <definedName name="V_KEYWORD_ISSR_208008758_LEASE_PRINCIPAL_CASH">#REF!</definedName>
    <definedName name="V_KEYWORD_ISSR_208008758_LENDING_FEES">#REF!</definedName>
    <definedName name="V_KEYWORD_ISSR_208008758_LIAB_MISC">#REF!</definedName>
    <definedName name="V_KEYWORD_ISSR_208008758_LIFE_INC">#REF!</definedName>
    <definedName name="V_KEYWORD_ISSR_208008758_LIFE_POLICY_ASS">#REF!</definedName>
    <definedName name="V_KEYWORD_ISSR_208008758_LIFE_POLICY_LIABS">#REF!</definedName>
    <definedName name="V_KEYWORD_ISSR_208008758_LIFE_SHARE">#REF!</definedName>
    <definedName name="V_KEYWORD_ISSR_208008758_LIQUID_ASSETS">#REF!</definedName>
    <definedName name="V_KEYWORD_ISSR_208008758_LOAN_CAPITAL">#REF!</definedName>
    <definedName name="V_KEYWORD_ISSR_208008758_LT_DEBT">#REF!</definedName>
    <definedName name="V_KEYWORD_ISSR_208008758_LT_LEASE_LIAB">#REF!</definedName>
    <definedName name="V_KEYWORD_ISSR_208008758_MA_PROB">#REF!</definedName>
    <definedName name="V_KEYWORD_ISSR_208008758_MA_REVS_BO">#REF!</definedName>
    <definedName name="V_KEYWORD_ISSR_208008758_MINOR_EQUITY_BS">#REF!</definedName>
    <definedName name="V_KEYWORD_ISSR_208008758_MINORITIES">#REF!</definedName>
    <definedName name="V_KEYWORD_ISSR_208008758_MKT_APPREC">#REF!</definedName>
    <definedName name="V_KEYWORD_ISSR_208008758_MONEY_TRANSFER_FEES">#REF!</definedName>
    <definedName name="V_KEYWORD_ISSR_208008758_MV_ASSOCIATES">#REF!</definedName>
    <definedName name="V_KEYWORD_ISSR_208008758_NAM_ASS">#REF!</definedName>
    <definedName name="V_KEYWORD_ISSR_208008758_NAM_OP">#REF!</definedName>
    <definedName name="V_KEYWORD_ISSR_208008758_NAM_SALES">#REF!</definedName>
    <definedName name="V_KEYWORD_ISSR_208008758_NET_ASSETS">#REF!</definedName>
    <definedName name="V_KEYWORD_ISSR_208008758_NET_DEBT">#REF!</definedName>
    <definedName name="V_KEYWORD_ISSR_208008758_NET_FEE">#REF!</definedName>
    <definedName name="V_KEYWORD_ISSR_208008758_NET_FIX_ASS">#REF!</definedName>
    <definedName name="V_KEYWORD_ISSR_208008758_NET_FLOWS">#REF!</definedName>
    <definedName name="V_KEYWORD_ISSR_208008758_NET_FREE_FUNDS">#REF!</definedName>
    <definedName name="V_KEYWORD_ISSR_208008758_NET_INTANG">#REF!</definedName>
    <definedName name="V_KEYWORD_ISSR_208008758_NET_OP_PROF">#REF!</definedName>
    <definedName name="V_KEYWORD_ISSR_208008758_NET_REVS">#REF!</definedName>
    <definedName name="V_KEYWORD_ISSR_208008758_NET_TANGIBLE_ASSETS">#REF!</definedName>
    <definedName name="V_KEYWORD_ISSR_208008758_NETCHGOFF_BS">#REF!</definedName>
    <definedName name="V_KEYWORD_ISSR_208008758_NEW_SPECIFIC_PROV">#REF!</definedName>
    <definedName name="V_KEYWORD_ISSR_208008758_NON_INT_INC">#REF!</definedName>
    <definedName name="V_KEYWORD_ISSR_208008758_OCCUPANCY_COSTS">#REF!</definedName>
    <definedName name="V_KEYWORD_ISSR_208008758_OCCUPANCY_EXP">#REF!</definedName>
    <definedName name="V_KEYWORD_ISSR_208008758_OP_COST">#REF!</definedName>
    <definedName name="V_KEYWORD_ISSR_208008758_OPPL_BTAX_POST_AB">#REF!</definedName>
    <definedName name="V_KEYWORD_ISSR_208008758_ORD_SH_FUND">#REF!</definedName>
    <definedName name="V_KEYWORD_ISSR_208008758_ORD_SHARE_CAPITAL">#REF!</definedName>
    <definedName name="V_KEYWORD_ISSR_208008758_OTH_ADMIN">#REF!</definedName>
    <definedName name="V_KEYWORD_ISSR_208008758_OTH_ASS">#REF!</definedName>
    <definedName name="V_KEYWORD_ISSR_208008758_OTH_ASSET">#REF!</definedName>
    <definedName name="V_KEYWORD_ISSR_208008758_OTH_CONTRACT_SLD">#REF!</definedName>
    <definedName name="V_KEYWORD_ISSR_208008758_OTH_COST">#REF!</definedName>
    <definedName name="V_KEYWORD_ISSR_208008758_OTH_COST_INC">#REF!</definedName>
    <definedName name="V_KEYWORD_ISSR_208008758_OTH_DACF_ADJ">#REF!</definedName>
    <definedName name="V_KEYWORD_ISSR_208008758_OTH_FIN">#REF!</definedName>
    <definedName name="V_KEYWORD_ISSR_208008758_OTH_GCI_ADJ">#REF!</definedName>
    <definedName name="V_KEYWORD_ISSR_208008758_OTH_INC">#REF!</definedName>
    <definedName name="V_KEYWORD_ISSR_208008758_OTH_INTANG">#REF!</definedName>
    <definedName name="V_KEYWORD_ISSR_208008758_OTH_LIABS">#REF!</definedName>
    <definedName name="V_KEYWORD_ISSR_208008758_OTH_MARGIN">#REF!</definedName>
    <definedName name="V_KEYWORD_ISSR_208008758_OTH_NONOP_EXP">#REF!</definedName>
    <definedName name="V_KEYWORD_ISSR_208008758_OTH_NONOP_INC">#REF!</definedName>
    <definedName name="V_KEYWORD_ISSR_208008758_OTH_OP">#REF!</definedName>
    <definedName name="V_KEYWORD_ISSR_208008758_OTH_PAY">#REF!</definedName>
    <definedName name="V_KEYWORD_ISSR_208008758_OTH_PAY_LIABS">#REF!</definedName>
    <definedName name="V_KEYWORD_ISSR_208008758_OTH_PROVS">#REF!</definedName>
    <definedName name="V_KEYWORD_ISSR_208008758_OTH_PTP">#REF!</definedName>
    <definedName name="V_KEYWORD_ISSR_208008758_OTH_RECVBLS">#REF!</definedName>
    <definedName name="V_KEYWORD_ISSR_208008758_OTH_REVS">#REF!</definedName>
    <definedName name="V_KEYWORD_ISSR_208008758_OTH_SALES">#REF!</definedName>
    <definedName name="V_KEYWORD_ISSR_208008758_OTHER_ASSET_IMPAIR_CHG_PRE_TAX">#REF!</definedName>
    <definedName name="V_KEYWORD_ISSR_208008758_OTHER_EXPENSES">#REF!</definedName>
    <definedName name="V_KEYWORD_ISSR_208008758_OTHER_FEES">#REF!</definedName>
    <definedName name="V_KEYWORD_ISSR_208008758_OTHER_IFRS_ADJUST_PRE_TAX">#REF!</definedName>
    <definedName name="V_KEYWORD_ISSR_208008758_OTHER_INCOME">#REF!</definedName>
    <definedName name="V_KEYWORD_ISSR_208008758_OTHER_INTANGIBLES_DEPREC">#REF!</definedName>
    <definedName name="V_KEYWORD_ISSR_208008758_OTHER_INTANGIBLES_NON_DEPREC">#REF!</definedName>
    <definedName name="V_KEYWORD_ISSR_208008758_OTHER_STAFF_COSTS">#REF!</definedName>
    <definedName name="V_KEYWORD_ISSR_208008758_PCT_ASIA_ASS">#REF!</definedName>
    <definedName name="V_KEYWORD_ISSR_208008758_PCT_ASIA_OP">#REF!</definedName>
    <definedName name="V_KEYWORD_ISSR_208008758_PCT_ASIA_SALES">#REF!</definedName>
    <definedName name="V_KEYWORD_ISSR_208008758_PCT_DOM_ASS">#REF!</definedName>
    <definedName name="V_KEYWORD_ISSR_208008758_PCT_DOM_OP">#REF!</definedName>
    <definedName name="V_KEYWORD_ISSR_208008758_PCT_DOM_SALES">#REF!</definedName>
    <definedName name="V_KEYWORD_ISSR_208008758_PCT_EMER_ASS">#REF!</definedName>
    <definedName name="V_KEYWORD_ISSR_208008758_PCT_EMER_OP">#REF!</definedName>
    <definedName name="V_KEYWORD_ISSR_208008758_PCT_EMER_SALES">#REF!</definedName>
    <definedName name="V_KEYWORD_ISSR_208008758_PCT_EURO_ASS">#REF!</definedName>
    <definedName name="V_KEYWORD_ISSR_208008758_PCT_EURO_OP">#REF!</definedName>
    <definedName name="V_KEYWORD_ISSR_208008758_PCT_EURO_SALES">#REF!</definedName>
    <definedName name="V_KEYWORD_ISSR_208008758_PCT_LATAM_ASS">#REF!</definedName>
    <definedName name="V_KEYWORD_ISSR_208008758_PCT_LATAM_OP">#REF!</definedName>
    <definedName name="V_KEYWORD_ISSR_208008758_PCT_LATAM_SALES">#REF!</definedName>
    <definedName name="V_KEYWORD_ISSR_208008758_PCT_NAM_ASS">#REF!</definedName>
    <definedName name="V_KEYWORD_ISSR_208008758_PCT_NAM_OP">#REF!</definedName>
    <definedName name="V_KEYWORD_ISSR_208008758_PCT_NAM_SALES">#REF!</definedName>
    <definedName name="V_KEYWORD_ISSR_208008758_PCT_OTH_ASS">#REF!</definedName>
    <definedName name="V_KEYWORD_ISSR_208008758_PCT_OTH_OP">#REF!</definedName>
    <definedName name="V_KEYWORD_ISSR_208008758_PCT_OTH_SALES">#REF!</definedName>
    <definedName name="V_KEYWORD_ISSR_208008758_PERIOD_MILESTONE">#REF!</definedName>
    <definedName name="V_KEYWORD_ISSR_208008758_PERSONNEL">#REF!</definedName>
    <definedName name="V_KEYWORD_ISSR_208008758_PL_BTAX_ON_AB">#REF!</definedName>
    <definedName name="V_KEYWORD_ISSR_208008758_PRE_PAYMNTS">#REF!</definedName>
    <definedName name="V_KEYWORD_ISSR_208008758_PREF_SH">#REF!</definedName>
    <definedName name="V_KEYWORD_ISSR_208008758_PREF_SH_EQ">#REF!</definedName>
    <definedName name="V_KEYWORD_ISSR_208008758_PREF_SHARE_CAP">#REF!</definedName>
    <definedName name="V_KEYWORD_ISSR_208008758_PRIN_TRANS">#REF!</definedName>
    <definedName name="V_KEYWORD_ISSR_208008758_PROF_BTE">#REF!</definedName>
    <definedName name="V_KEYWORD_ISSR_208008758_PROF_SRVC_EXP">#REF!</definedName>
    <definedName name="V_KEYWORD_ISSR_208008758_PROFIT_DEFBEN_PLAN_POST_TAX">#REF!</definedName>
    <definedName name="V_KEYWORD_ISSR_208008758_PROFIT_DEFBEN_PLAN_PRE_TAX">#REF!</definedName>
    <definedName name="V_KEYWORD_ISSR_208008758_PROFIT_ON_DISP">#REF!</definedName>
    <definedName name="V_KEYWORD_ISSR_208008758_PROV_BS">#REF!</definedName>
    <definedName name="V_KEYWORD_ISSR_208008758_PT_PROF">#REF!</definedName>
    <definedName name="V_KEYWORD_ISSR_208008758_RBR_CL_ASSTS">#REF!</definedName>
    <definedName name="V_KEYWORD_ISSR_208008758_RECOVERIES_BS">#REF!</definedName>
    <definedName name="V_KEYWORD_ISSR_208008758_RENTAL_INCOME">#REF!</definedName>
    <definedName name="V_KEYWORD_ISSR_208008758_REPOS_ASST">#REF!</definedName>
    <definedName name="V_KEYWORD_ISSR_208008758_REPOS_LIAB">#REF!</definedName>
    <definedName name="V_KEYWORD_ISSR_208008758_RESERVES">#REF!</definedName>
    <definedName name="V_KEYWORD_ISSR_208008758_RETAIL_MARGIN">#REF!</definedName>
    <definedName name="V_KEYWORD_ISSR_208008758_RETAIL_PTP">#REF!</definedName>
    <definedName name="V_KEYWORD_ISSR_208008758_RETAIL_REVS">#REF!</definedName>
    <definedName name="V_KEYWORD_ISSR_208008758_RETAIL_REVS_BO">#REF!</definedName>
    <definedName name="V_KEYWORD_ISSR_208008758_RETAIN_PROFIT_LOSS">#REF!</definedName>
    <definedName name="V_KEYWORD_ISSR_208008758_ROU_ASSET">#REF!</definedName>
    <definedName name="V_KEYWORD_ISSR_208008758_SALES">#REF!</definedName>
    <definedName name="V_KEYWORD_ISSR_208008758_SALES_ARGENTINA">#REF!</definedName>
    <definedName name="V_KEYWORD_ISSR_208008758_SALES_AUSTRA">#REF!</definedName>
    <definedName name="V_KEYWORD_ISSR_208008758_SALES_AUSTRIA">#REF!</definedName>
    <definedName name="V_KEYWORD_ISSR_208008758_SALES_BEL">#REF!</definedName>
    <definedName name="V_KEYWORD_ISSR_208008758_SALES_BRAZIL">#REF!</definedName>
    <definedName name="V_KEYWORD_ISSR_208008758_SALES_CANADA">#REF!</definedName>
    <definedName name="V_KEYWORD_ISSR_208008758_SALES_CEE">#REF!</definedName>
    <definedName name="V_KEYWORD_ISSR_208008758_SALES_CHILE">#REF!</definedName>
    <definedName name="V_KEYWORD_ISSR_208008758_SALES_CHINA">#REF!</definedName>
    <definedName name="V_KEYWORD_ISSR_208008758_SALES_COLOMBIA">#REF!</definedName>
    <definedName name="V_KEYWORD_ISSR_208008758_SALES_CONS">#REF!</definedName>
    <definedName name="V_KEYWORD_ISSR_208008758_SALES_EU_EX_UK">#REF!</definedName>
    <definedName name="V_KEYWORD_ISSR_208008758_SALES_FINAN">#REF!</definedName>
    <definedName name="V_KEYWORD_ISSR_208008758_SALES_FRA">#REF!</definedName>
    <definedName name="V_KEYWORD_ISSR_208008758_SALES_FX_AUD">#REF!</definedName>
    <definedName name="V_KEYWORD_ISSR_208008758_SALES_FX_BRL">#REF!</definedName>
    <definedName name="V_KEYWORD_ISSR_208008758_SALES_FX_CNY">#REF!</definedName>
    <definedName name="V_KEYWORD_ISSR_208008758_SALES_FX_EUR">#REF!</definedName>
    <definedName name="V_KEYWORD_ISSR_208008758_SALES_FX_GPB">#REF!</definedName>
    <definedName name="V_KEYWORD_ISSR_208008758_SALES_FX_INR">#REF!</definedName>
    <definedName name="V_KEYWORD_ISSR_208008758_SALES_FX_NZD">#REF!</definedName>
    <definedName name="V_KEYWORD_ISSR_208008758_SALES_FX_OTH">#REF!</definedName>
    <definedName name="V_KEYWORD_ISSR_208008758_SALES_FX_RUB">#REF!</definedName>
    <definedName name="V_KEYWORD_ISSR_208008758_SALES_FX_USD">#REF!</definedName>
    <definedName name="V_KEYWORD_ISSR_208008758_SALES_FX_YEN">#REF!</definedName>
    <definedName name="V_KEYWORD_ISSR_208008758_SALES_GER">#REF!</definedName>
    <definedName name="V_KEYWORD_ISSR_208008758_SALES_GOV">#REF!</definedName>
    <definedName name="V_KEYWORD_ISSR_208008758_SALES_GRE">#REF!</definedName>
    <definedName name="V_KEYWORD_ISSR_208008758_SALES_HONG_KONG">#REF!</definedName>
    <definedName name="V_KEYWORD_ISSR_208008758_SALES_IND">#REF!</definedName>
    <definedName name="V_KEYWORD_ISSR_208008758_SALES_INDIA">#REF!</definedName>
    <definedName name="V_KEYWORD_ISSR_208008758_SALES_INDONESIA">#REF!</definedName>
    <definedName name="V_KEYWORD_ISSR_208008758_SALES_IRE">#REF!</definedName>
    <definedName name="V_KEYWORD_ISSR_208008758_SALES_ITA">#REF!</definedName>
    <definedName name="V_KEYWORD_ISSR_208008758_SALES_JAPAN">#REF!</definedName>
    <definedName name="V_KEYWORD_ISSR_208008758_SALES_ME">#REF!</definedName>
    <definedName name="V_KEYWORD_ISSR_208008758_SALES_MEXICO">#REF!</definedName>
    <definedName name="V_KEYWORD_ISSR_208008758_SALES_NETH">#REF!</definedName>
    <definedName name="V_KEYWORD_ISSR_208008758_SALES_NIGERIA">#REF!</definedName>
    <definedName name="V_KEYWORD_ISSR_208008758_SALES_NOR">#REF!</definedName>
    <definedName name="V_KEYWORD_ISSR_208008758_SALES_NZ">#REF!</definedName>
    <definedName name="V_KEYWORD_ISSR_208008758_SALES_OIL_GAS">#REF!</definedName>
    <definedName name="V_KEYWORD_ISSR_208008758_SALES_OTH_AEJ">#REF!</definedName>
    <definedName name="V_KEYWORD_ISSR_208008758_SALES_OTH_AFRICA">#REF!</definedName>
    <definedName name="V_KEYWORD_ISSR_208008758_SALES_OTH_AM">#REF!</definedName>
    <definedName name="V_KEYWORD_ISSR_208008758_SALES_OTH_CEE">#REF!</definedName>
    <definedName name="V_KEYWORD_ISSR_208008758_SALES_OTH_DEV_ASIA">#REF!</definedName>
    <definedName name="V_KEYWORD_ISSR_208008758_SALES_OTH_EMEA">#REF!</definedName>
    <definedName name="V_KEYWORD_ISSR_208008758_SALES_OTH_EMERG_ASIA">#REF!</definedName>
    <definedName name="V_KEYWORD_ISSR_208008758_SALES_OTH_LATAM">#REF!</definedName>
    <definedName name="V_KEYWORD_ISSR_208008758_SALES_OTH_ME">#REF!</definedName>
    <definedName name="V_KEYWORD_ISSR_208008758_SALES_OTH_NO_AMER">#REF!</definedName>
    <definedName name="V_KEYWORD_ISSR_208008758_SALES_OTH_WEST_EURO">#REF!</definedName>
    <definedName name="V_KEYWORD_ISSR_208008758_SALES_OTHER">#REF!</definedName>
    <definedName name="V_KEYWORD_ISSR_208008758_SALES_POLAND">#REF!</definedName>
    <definedName name="V_KEYWORD_ISSR_208008758_SALES_POR">#REF!</definedName>
    <definedName name="V_KEYWORD_ISSR_208008758_SALES_RUSSIA">#REF!</definedName>
    <definedName name="V_KEYWORD_ISSR_208008758_SALES_SAUDI_ARABIA">#REF!</definedName>
    <definedName name="V_KEYWORD_ISSR_208008758_SALES_SINGAPORE">#REF!</definedName>
    <definedName name="V_KEYWORD_ISSR_208008758_SALES_SK">#REF!</definedName>
    <definedName name="V_KEYWORD_ISSR_208008758_SALES_SO_AFRICA">#REF!</definedName>
    <definedName name="V_KEYWORD_ISSR_208008758_SALES_SPA">#REF!</definedName>
    <definedName name="V_KEYWORD_ISSR_208008758_SALES_SWE">#REF!</definedName>
    <definedName name="V_KEYWORD_ISSR_208008758_SALES_SWIT">#REF!</definedName>
    <definedName name="V_KEYWORD_ISSR_208008758_SALES_TAIWAN">#REF!</definedName>
    <definedName name="V_KEYWORD_ISSR_208008758_SALES_THAILAND">#REF!</definedName>
    <definedName name="V_KEYWORD_ISSR_208008758_SALES_TOT_AFRICA">#REF!</definedName>
    <definedName name="V_KEYWORD_ISSR_208008758_SALES_TOT_AM">#REF!</definedName>
    <definedName name="V_KEYWORD_ISSR_208008758_SALES_TOT_ASIA">#REF!</definedName>
    <definedName name="V_KEYWORD_ISSR_208008758_SALES_TOT_EMEA">#REF!</definedName>
    <definedName name="V_KEYWORD_ISSR_208008758_SALES_TURKEY">#REF!</definedName>
    <definedName name="V_KEYWORD_ISSR_208008758_SALES_UAE">#REF!</definedName>
    <definedName name="V_KEYWORD_ISSR_208008758_SALES_UK">#REF!</definedName>
    <definedName name="V_KEYWORD_ISSR_208008758_SALES_US">#REF!</definedName>
    <definedName name="V_KEYWORD_ISSR_208008758_SALES_VENEZUELA">#REF!</definedName>
    <definedName name="V_KEYWORD_ISSR_208008758_SECUR_BORRWD">#REF!</definedName>
    <definedName name="V_KEYWORD_ISSR_208008758_SECUR_COLLAT">#REF!</definedName>
    <definedName name="V_KEYWORD_ISSR_208008758_SECUR_LND">#REF!</definedName>
    <definedName name="V_KEYWORD_ISSR_208008758_SECUR_NOT_COLLAT">#REF!</definedName>
    <definedName name="V_KEYWORD_ISSR_208008758_SECUR_OWNED">#REF!</definedName>
    <definedName name="V_KEYWORD_ISSR_208008758_SEL_GL_AD_OTHER">#REF!</definedName>
    <definedName name="V_KEYWORD_ISSR_208008758_SGA_PCT_ROW">#REF!</definedName>
    <definedName name="V_KEYWORD_ISSR_208008758_SGA_PCT_US">#REF!</definedName>
    <definedName name="V_KEYWORD_ISSR_208008758_SHARE_BASED_PAYMENTS">#REF!</definedName>
    <definedName name="V_KEYWORD_ISSR_208008758_SPECIFIC_PROV_DOUBTFUL">#REF!</definedName>
    <definedName name="V_KEYWORD_ISSR_208008758_SR_NOTES">#REF!</definedName>
    <definedName name="V_KEYWORD_ISSR_208008758_SS_REVS_BO">#REF!</definedName>
    <definedName name="V_KEYWORD_ISSR_208008758_ST_LEASE_LIAB">#REF!</definedName>
    <definedName name="V_KEYWORD_ISSR_208008758_SUB_ORD_LIABS">#REF!</definedName>
    <definedName name="V_KEYWORD_ISSR_208008758_TECH_COM_EXP">#REF!</definedName>
    <definedName name="V_KEYWORD_ISSR_208008758_TOT_ASS">#REF!</definedName>
    <definedName name="V_KEYWORD_ISSR_208008758_TOT_ASSET">#REF!</definedName>
    <definedName name="V_KEYWORD_ISSR_208008758_TOT_COLLAT_STAGREE">#REF!</definedName>
    <definedName name="V_KEYWORD_ISSR_208008758_TOT_COLLAT_STFIN">#REF!</definedName>
    <definedName name="V_KEYWORD_ISSR_208008758_TOT_EXCEPTS">#REF!</definedName>
    <definedName name="V_KEYWORD_ISSR_208008758_TOT_ISS_REVS_BO">#REF!</definedName>
    <definedName name="V_KEYWORD_ISSR_208008758_TOT_LIAB">#REF!</definedName>
    <definedName name="V_KEYWORD_ISSR_208008758_TOT_LIAB_EQ">#REF!</definedName>
    <definedName name="V_KEYWORD_ISSR_208008758_TOT_NONCOMP_EXP">#REF!</definedName>
    <definedName name="V_KEYWORD_ISSR_208008758_TOT_NONINTEXP_EX_LNPRV">#REF!</definedName>
    <definedName name="V_KEYWORD_ISSR_208008758_TOT_NONINTEXP_INC_LNPRV">#REF!</definedName>
    <definedName name="V_KEYWORD_ISSR_208008758_TOT_OP">#REF!</definedName>
    <definedName name="V_KEYWORD_ISSR_208008758_TOT_PCT_USD_DEBT_HEDGED">#REF!</definedName>
    <definedName name="V_KEYWORD_ISSR_208008758_TOT_PROVS">#REF!</definedName>
    <definedName name="V_KEYWORD_ISSR_208008758_TOT_RECVBLS">#REF!</definedName>
    <definedName name="V_KEYWORD_ISSR_208008758_TOT_SALES">#REF!</definedName>
    <definedName name="V_KEYWORD_ISSR_208008758_TOT_SECUR">#REF!</definedName>
    <definedName name="V_KEYWORD_ISSR_208008758_TOT_SECUR_SLD">#REF!</definedName>
    <definedName name="V_KEYWORD_ISSR_208008758_TOT_USD_DEBT">#REF!</definedName>
    <definedName name="V_KEYWORD_ISSR_208008758_TOT_VAR">#REF!</definedName>
    <definedName name="V_KEYWORD_ISSR_208008758_TOTAL_CAPITAL_EMPLOYED_ADJ">#REF!</definedName>
    <definedName name="V_KEYWORD_ISSR_208008758_TOTAL_DEPREC_AMORT">#REF!</definedName>
    <definedName name="V_KEYWORD_ISSR_208008758_TOTAL_IFRS_ADJUST_PRE_TAX">#REF!</definedName>
    <definedName name="V_KEYWORD_ISSR_208008758_TRADING_SECS_INCOME">#REF!</definedName>
    <definedName name="V_KEYWORD_ISSR_208008758_UNEARNED_INCOME">#REF!</definedName>
    <definedName name="V_KEYWORD_ISSR_208008758_UNF_PENS">#REF!</definedName>
    <definedName name="V_KEYWORD_ISSR_208008758_UNF_PENS_LIAB_OTH">#REF!</definedName>
    <definedName name="V_KEYWORD_ISSR_208008758_UNF_PENS_OFF">#REF!</definedName>
    <definedName name="V_KEYWORD_ISSR_208008758_VAR_METHOD">#REF!</definedName>
    <definedName name="V_KEYWORD_ISSR_208008758_VOL">#REF!</definedName>
    <definedName name="V_KEYWORD_ISSR_208008758_WRITE_OFFS_BS">#REF!</definedName>
    <definedName name="V_KEYWORD_ISSR_208008758_WRITEBACK_RECOVERIES">#REF!</definedName>
    <definedName name="V_LIVEDATA_EQTY_200011471">#REF!</definedName>
    <definedName name="V_LIVEDATA_ISSR_208008758">#REF!</definedName>
    <definedName name="V_PERIOD_2006">#REF!</definedName>
    <definedName name="V_PERIOD_2007">#REF!</definedName>
    <definedName name="V_PERIOD_2008">#REF!</definedName>
    <definedName name="V_PERIOD_2009">#REF!</definedName>
    <definedName name="V_PERIOD_2010">#REF!</definedName>
    <definedName name="V_PERIOD_2011">#REF!</definedName>
    <definedName name="V_PERIOD_2012">#REF!</definedName>
    <definedName name="V_PERIOD_2013">#REF!</definedName>
    <definedName name="V_PERIOD_2013_H1">#REF!</definedName>
    <definedName name="V_PERIOD_2013_H2">#REF!</definedName>
    <definedName name="V_PERIOD_2014">#REF!</definedName>
    <definedName name="V_PERIOD_2014_H1">#REF!</definedName>
    <definedName name="V_PERIOD_2014_H2">#REF!</definedName>
    <definedName name="V_PERIOD_2015">#REF!</definedName>
    <definedName name="V_PERIOD_2015_H1">#REF!</definedName>
    <definedName name="V_PERIOD_2015_H2">#REF!</definedName>
    <definedName name="V_PERIOD_2016">#REF!</definedName>
    <definedName name="V_PERIOD_2016_H1">#REF!</definedName>
    <definedName name="V_PERIOD_2016_H2">#REF!</definedName>
    <definedName name="V_PERIOD_2017">#REF!</definedName>
    <definedName name="V_PERIOD_2017_H1">#REF!</definedName>
    <definedName name="V_PERIOD_2017_H2">#REF!</definedName>
    <definedName name="V_PERIOD_2018">#REF!</definedName>
    <definedName name="V_PERIOD_2018_H1">#REF!</definedName>
    <definedName name="V_PERIOD_2018_H2">#REF!</definedName>
    <definedName name="V_PERIOD_2019">#REF!</definedName>
    <definedName name="V_PERIOD_2019_H1">#REF!</definedName>
    <definedName name="V_PERIOD_2019_H2">#REF!</definedName>
    <definedName name="V_PERIOD_2020">#REF!</definedName>
    <definedName name="V_PERIOD_2020_H1">#REF!</definedName>
    <definedName name="V_PERIOD_2020_H2">#REF!</definedName>
    <definedName name="V_PERIOD_2021">#REF!</definedName>
    <definedName name="V_PERIOD_2021_H1">#REF!</definedName>
    <definedName name="V_PERIOD_2021_H2">#REF!</definedName>
    <definedName name="V_PERIOD_2022">#REF!</definedName>
    <definedName name="V_PERIOD_2022_H1">#REF!</definedName>
    <definedName name="V_PERIOD_2022_H2">#REF!</definedName>
    <definedName name="V_PERIOD_2023">#REF!</definedName>
    <definedName name="V_PERIOD_2023_H1">#REF!</definedName>
    <definedName name="V_PERIOD_2023_H2">#REF!</definedName>
    <definedName name="V_PERIOD_2024">#REF!</definedName>
    <definedName name="V_PERIOD_2024_H1">#REF!</definedName>
    <definedName name="V_PERIOD_2024_H2">#REF!</definedName>
    <definedName name="V_PERIOD_2025">#REF!</definedName>
    <definedName name="V_PERIOD_2025_H1">#REF!</definedName>
    <definedName name="V_PERIOD_2025_H2">#REF!</definedName>
    <definedName name="V_PERIOD_2026">#REF!</definedName>
    <definedName name="V_PERIOD_2026_H1">#REF!</definedName>
    <definedName name="V_PERIOD_2027">#REF!</definedName>
    <definedName name="V_SECTION_EQTY_200011471_1314">#REF!</definedName>
    <definedName name="V_SECTION_EQTY_200011471_1316A">#REF!</definedName>
    <definedName name="V_SECTION_EQTY_200011471_1316B">#REF!</definedName>
    <definedName name="V_SECTION_EQTY_200011471_1316C">#REF!</definedName>
    <definedName name="V_SECTION_EQTY_200011471_1316E">#REF!</definedName>
    <definedName name="V_SECTION_EQTY_200011471_1319">#REF!</definedName>
    <definedName name="V_SECTION_EQTY_200011471_131J">#REF!</definedName>
    <definedName name="V_SECTION_EQTY_200011471_131O">#REF!</definedName>
    <definedName name="V_SECTION_EQTY_200011471_131P">#REF!</definedName>
    <definedName name="V_SECTION_EQTY_200011471_13A">#REF!</definedName>
    <definedName name="V_SECTION_EQTY_200011471_13K">#REF!</definedName>
    <definedName name="V_SECTION_EQTY_200011471_13U">#REF!</definedName>
    <definedName name="V_SECTION_EQTY_200011471_13V">#REF!</definedName>
    <definedName name="V_SECTION_EQTY_200011471_Reference_Data">#REF!</definedName>
    <definedName name="V_SECTION_ISSR_208008758_1314">#REF!</definedName>
    <definedName name="V_SECTION_ISSR_208008758_13168">#REF!</definedName>
    <definedName name="V_SECTION_ISSR_208008758_1316B">#REF!</definedName>
    <definedName name="V_SECTION_ISSR_208008758_1316C">#REF!</definedName>
    <definedName name="V_SECTION_ISSR_208008758_1316E">#REF!</definedName>
    <definedName name="V_SECTION_ISSR_208008758_1316T">#REF!</definedName>
    <definedName name="V_SECTION_ISSR_208008758_1316U">#REF!</definedName>
    <definedName name="V_SECTION_ISSR_208008758_1319">#REF!</definedName>
    <definedName name="V_SECTION_ISSR_208008758_131E">#REF!</definedName>
    <definedName name="V_SECTION_ISSR_208008758_131J">#REF!</definedName>
    <definedName name="V_SECTION_ISSR_208008758_131O">#REF!</definedName>
    <definedName name="V_SECTION_ISSR_208008758_131P">#REF!</definedName>
    <definedName name="V_SECTION_ISSR_208008758_133M">#REF!</definedName>
    <definedName name="V_SECTION_ISSR_208008758_133R">#REF!</definedName>
    <definedName name="V_SECTION_ISSR_208008758_133W">#REF!</definedName>
    <definedName name="V_SECTION_ISSR_208008758_1341">#REF!</definedName>
    <definedName name="V_SECTION_ISSR_208008758_1346">#REF!</definedName>
    <definedName name="V_SECTION_ISSR_208008758_134B">#REF!</definedName>
    <definedName name="V_SECTION_ISSR_208008758_134G">#REF!</definedName>
    <definedName name="V_SECTION_ISSR_208008758_134L">#REF!</definedName>
    <definedName name="V_SECTION_ISSR_208008758_134Q">#REF!</definedName>
    <definedName name="V_SECTION_ISSR_208008758_134V">#REF!</definedName>
    <definedName name="V_SECTION_ISSR_208008758_1350">#REF!</definedName>
    <definedName name="V_SECTION_ISSR_208008758_1355">#REF!</definedName>
    <definedName name="V_SECTION_ISSR_208008758_135A">#REF!</definedName>
    <definedName name="V_SECTION_ISSR_208008758_135F">#REF!</definedName>
    <definedName name="V_SECTION_ISSR_208008758_135K">#REF!</definedName>
    <definedName name="V_SECTION_ISSR_208008758_135P">#REF!</definedName>
    <definedName name="V_SECTION_ISSR_208008758_135U">#REF!</definedName>
    <definedName name="V_SECTION_ISSR_208008758_135Z">#REF!</definedName>
    <definedName name="V_SECTION_ISSR_208008758_136E">#REF!</definedName>
    <definedName name="V_SECTION_ISSR_208008758_13A">#REF!</definedName>
    <definedName name="V_SECTION_ISSR_208008758_13U">#REF!</definedName>
    <definedName name="V_SECTION_ISSR_208008758_13V">#REF!</definedName>
    <definedName name="V_SECTION_ISSR_208008758_Reference_Data">#REF!</definedName>
    <definedName name="V_TEMPLATEHASH">#REF!</definedName>
    <definedName name="write_offs_general" localSheetId="1">#REF!</definedName>
    <definedName name="write_offs_general">#REF!</definedName>
    <definedName name="write_offs_specific" localSheetId="1">#REF!</definedName>
    <definedName name="write_offs_specific">#REF!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322" i="4" l="1"/>
  <c r="AP287" i="4"/>
  <c r="M19" i="33" l="1"/>
  <c r="M31" i="33" s="1"/>
  <c r="M44" i="33" s="1"/>
  <c r="N19" i="33"/>
  <c r="N31" i="33" s="1"/>
  <c r="N44" i="33" s="1"/>
  <c r="O19" i="33"/>
  <c r="O31" i="33" s="1"/>
  <c r="O44" i="33" s="1"/>
  <c r="L19" i="33"/>
  <c r="L31" i="33" s="1"/>
  <c r="L44" i="33" s="1"/>
  <c r="E23" i="33"/>
  <c r="E31" i="33" s="1"/>
  <c r="F23" i="33"/>
  <c r="F31" i="33" s="1"/>
  <c r="G23" i="33"/>
  <c r="G31" i="33" s="1"/>
  <c r="D23" i="33"/>
  <c r="D31" i="33" s="1"/>
  <c r="K6" i="33" a="1"/>
  <c r="K6" i="33" l="1"/>
  <c r="J12" i="33"/>
  <c r="J11" i="33"/>
  <c r="O5" i="33"/>
  <c r="J13" i="33" l="1"/>
  <c r="C227" i="28" l="1"/>
  <c r="C226" i="28"/>
  <c r="C225" i="28"/>
  <c r="AT213" i="28"/>
  <c r="AS213" i="28"/>
  <c r="AR213" i="28"/>
  <c r="AQ213" i="28"/>
  <c r="AP213" i="28"/>
  <c r="AO213" i="28"/>
  <c r="AN213" i="28"/>
  <c r="AM213" i="28"/>
  <c r="AL213" i="28"/>
  <c r="AK213" i="28"/>
  <c r="AJ213" i="28"/>
  <c r="AI213" i="28"/>
  <c r="AH213" i="28"/>
  <c r="AG213" i="28"/>
  <c r="AE213" i="28"/>
  <c r="AD213" i="28"/>
  <c r="AC213" i="28"/>
  <c r="AB213" i="28"/>
  <c r="AA213" i="28"/>
  <c r="Z213" i="28"/>
  <c r="Y213" i="28"/>
  <c r="X213" i="28"/>
  <c r="W213" i="28"/>
  <c r="V213" i="28"/>
  <c r="U213" i="28"/>
  <c r="T213" i="28"/>
  <c r="S213" i="28"/>
  <c r="R213" i="28"/>
  <c r="Q213" i="28"/>
  <c r="P213" i="28"/>
  <c r="O213" i="28"/>
  <c r="N213" i="28"/>
  <c r="M213" i="28"/>
  <c r="L213" i="28"/>
  <c r="K213" i="28"/>
  <c r="J213" i="28"/>
  <c r="I213" i="28"/>
  <c r="H213" i="28"/>
  <c r="G213" i="28"/>
  <c r="F213" i="28"/>
  <c r="E213" i="28"/>
  <c r="D213" i="28"/>
  <c r="AT210" i="28"/>
  <c r="AS210" i="28"/>
  <c r="AR210" i="28"/>
  <c r="AQ210" i="28"/>
  <c r="AP210" i="28"/>
  <c r="AO210" i="28"/>
  <c r="AN210" i="28"/>
  <c r="AM210" i="28"/>
  <c r="AL210" i="28"/>
  <c r="AK210" i="28"/>
  <c r="AJ210" i="28"/>
  <c r="AI210" i="28"/>
  <c r="AH210" i="28"/>
  <c r="AG210" i="28"/>
  <c r="AE210" i="28"/>
  <c r="AD210" i="28"/>
  <c r="AC210" i="28"/>
  <c r="AB210" i="28"/>
  <c r="AA210" i="28"/>
  <c r="Z210" i="28"/>
  <c r="Y210" i="28"/>
  <c r="X210" i="28"/>
  <c r="W210" i="28"/>
  <c r="V210" i="28"/>
  <c r="U210" i="28"/>
  <c r="T210" i="28"/>
  <c r="S210" i="28"/>
  <c r="R210" i="28"/>
  <c r="Q210" i="28"/>
  <c r="P210" i="28"/>
  <c r="O210" i="28"/>
  <c r="N210" i="28"/>
  <c r="M210" i="28"/>
  <c r="L210" i="28"/>
  <c r="K210" i="28"/>
  <c r="J210" i="28"/>
  <c r="I210" i="28"/>
  <c r="H210" i="28"/>
  <c r="G210" i="28"/>
  <c r="F210" i="28"/>
  <c r="E210" i="28"/>
  <c r="D210" i="28"/>
  <c r="AT207" i="28"/>
  <c r="AS207" i="28"/>
  <c r="AR207" i="28"/>
  <c r="AQ207" i="28"/>
  <c r="AP207" i="28"/>
  <c r="AO207" i="28"/>
  <c r="AN207" i="28"/>
  <c r="AM207" i="28"/>
  <c r="AL207" i="28"/>
  <c r="AK207" i="28"/>
  <c r="AJ207" i="28"/>
  <c r="AI207" i="28"/>
  <c r="AH207" i="28"/>
  <c r="AG207" i="28"/>
  <c r="AE207" i="28"/>
  <c r="AD207" i="28"/>
  <c r="AC207" i="28"/>
  <c r="AB207" i="28"/>
  <c r="AA207" i="28"/>
  <c r="Z207" i="28"/>
  <c r="Y207" i="28"/>
  <c r="X207" i="28"/>
  <c r="W207" i="28"/>
  <c r="V207" i="28"/>
  <c r="U207" i="28"/>
  <c r="T207" i="28"/>
  <c r="S207" i="28"/>
  <c r="R207" i="28"/>
  <c r="Q207" i="28"/>
  <c r="P207" i="28"/>
  <c r="O207" i="28"/>
  <c r="N207" i="28"/>
  <c r="M207" i="28"/>
  <c r="L207" i="28"/>
  <c r="K207" i="28"/>
  <c r="J207" i="28"/>
  <c r="I207" i="28"/>
  <c r="H207" i="28"/>
  <c r="G207" i="28"/>
  <c r="F207" i="28"/>
  <c r="E207" i="28"/>
  <c r="D207" i="28"/>
  <c r="AT206" i="28"/>
  <c r="AS206" i="28"/>
  <c r="AR206" i="28"/>
  <c r="AQ206" i="28"/>
  <c r="AP206" i="28"/>
  <c r="AO206" i="28"/>
  <c r="AN206" i="28"/>
  <c r="AM206" i="28"/>
  <c r="AL206" i="28"/>
  <c r="AK206" i="28"/>
  <c r="AJ206" i="28"/>
  <c r="AI206" i="28"/>
  <c r="AH206" i="28"/>
  <c r="AG206" i="28"/>
  <c r="AE206" i="28"/>
  <c r="AD206" i="28"/>
  <c r="AC206" i="28"/>
  <c r="AB206" i="28"/>
  <c r="AA206" i="28"/>
  <c r="Z206" i="28"/>
  <c r="Y206" i="28"/>
  <c r="X206" i="28"/>
  <c r="W206" i="28"/>
  <c r="V206" i="28"/>
  <c r="U206" i="28"/>
  <c r="T206" i="28"/>
  <c r="S206" i="28"/>
  <c r="R206" i="28"/>
  <c r="Q206" i="28"/>
  <c r="P206" i="28"/>
  <c r="O206" i="28"/>
  <c r="N206" i="28"/>
  <c r="M206" i="28"/>
  <c r="L206" i="28"/>
  <c r="K206" i="28"/>
  <c r="J206" i="28"/>
  <c r="I206" i="28"/>
  <c r="H206" i="28"/>
  <c r="G206" i="28"/>
  <c r="F206" i="28"/>
  <c r="E206" i="28"/>
  <c r="D206" i="28"/>
  <c r="AT205" i="28"/>
  <c r="AS205" i="28"/>
  <c r="AR205" i="28"/>
  <c r="AQ205" i="28"/>
  <c r="AP205" i="28"/>
  <c r="AO205" i="28"/>
  <c r="AN205" i="28"/>
  <c r="AM205" i="28"/>
  <c r="AL205" i="28"/>
  <c r="AK205" i="28"/>
  <c r="AJ205" i="28"/>
  <c r="AI205" i="28"/>
  <c r="AH205" i="28"/>
  <c r="AG205" i="28"/>
  <c r="AE205" i="28"/>
  <c r="AD205" i="28"/>
  <c r="AC205" i="28"/>
  <c r="AB205" i="28"/>
  <c r="AA205" i="28"/>
  <c r="Z205" i="28"/>
  <c r="Y205" i="28"/>
  <c r="X205" i="28"/>
  <c r="W205" i="28"/>
  <c r="V205" i="28"/>
  <c r="U205" i="28"/>
  <c r="T205" i="28"/>
  <c r="S205" i="28"/>
  <c r="R205" i="28"/>
  <c r="Q205" i="28"/>
  <c r="P205" i="28"/>
  <c r="O205" i="28"/>
  <c r="N205" i="28"/>
  <c r="M205" i="28"/>
  <c r="L205" i="28"/>
  <c r="K205" i="28"/>
  <c r="J205" i="28"/>
  <c r="I205" i="28"/>
  <c r="H205" i="28"/>
  <c r="G205" i="28"/>
  <c r="F205" i="28"/>
  <c r="E205" i="28"/>
  <c r="D205" i="28"/>
  <c r="AT204" i="28"/>
  <c r="AS204" i="28"/>
  <c r="AR204" i="28"/>
  <c r="AQ204" i="28"/>
  <c r="AP204" i="28"/>
  <c r="AO204" i="28"/>
  <c r="AN204" i="28"/>
  <c r="AM204" i="28"/>
  <c r="AL204" i="28"/>
  <c r="AK204" i="28"/>
  <c r="AJ204" i="28"/>
  <c r="AI204" i="28"/>
  <c r="AH204" i="28"/>
  <c r="AG204" i="28"/>
  <c r="AE204" i="28"/>
  <c r="AD204" i="28"/>
  <c r="AC204" i="28"/>
  <c r="AB204" i="28"/>
  <c r="AA204" i="28"/>
  <c r="Z204" i="28"/>
  <c r="Y204" i="28"/>
  <c r="X204" i="28"/>
  <c r="W204" i="28"/>
  <c r="V204" i="28"/>
  <c r="U204" i="28"/>
  <c r="T204" i="28"/>
  <c r="S204" i="28"/>
  <c r="R204" i="28"/>
  <c r="Q204" i="28"/>
  <c r="P204" i="28"/>
  <c r="O204" i="28"/>
  <c r="N204" i="28"/>
  <c r="M204" i="28"/>
  <c r="L204" i="28"/>
  <c r="K204" i="28"/>
  <c r="J204" i="28"/>
  <c r="I204" i="28"/>
  <c r="H204" i="28"/>
  <c r="G204" i="28"/>
  <c r="F204" i="28"/>
  <c r="E204" i="28"/>
  <c r="D204" i="28"/>
  <c r="AT201" i="28"/>
  <c r="AS201" i="28"/>
  <c r="AR201" i="28"/>
  <c r="AQ201" i="28"/>
  <c r="AP201" i="28"/>
  <c r="AO201" i="28"/>
  <c r="AN201" i="28"/>
  <c r="AM201" i="28"/>
  <c r="AL201" i="28"/>
  <c r="AK201" i="28"/>
  <c r="AJ201" i="28"/>
  <c r="AI201" i="28"/>
  <c r="AH201" i="28"/>
  <c r="AG201" i="28"/>
  <c r="AE201" i="28"/>
  <c r="AD201" i="28"/>
  <c r="AC201" i="28"/>
  <c r="AB201" i="28"/>
  <c r="AA201" i="28"/>
  <c r="Z201" i="28"/>
  <c r="Y201" i="28"/>
  <c r="X201" i="28"/>
  <c r="W201" i="28"/>
  <c r="V201" i="28"/>
  <c r="U201" i="28"/>
  <c r="T201" i="28"/>
  <c r="S201" i="28"/>
  <c r="R201" i="28"/>
  <c r="Q201" i="28"/>
  <c r="P201" i="28"/>
  <c r="O201" i="28"/>
  <c r="N201" i="28"/>
  <c r="M201" i="28"/>
  <c r="L201" i="28"/>
  <c r="K201" i="28"/>
  <c r="J201" i="28"/>
  <c r="I201" i="28"/>
  <c r="H201" i="28"/>
  <c r="G201" i="28"/>
  <c r="F201" i="28"/>
  <c r="E201" i="28"/>
  <c r="D201" i="28"/>
  <c r="AT200" i="28"/>
  <c r="AS200" i="28"/>
  <c r="AR200" i="28"/>
  <c r="AQ200" i="28"/>
  <c r="AP200" i="28"/>
  <c r="AO200" i="28"/>
  <c r="AN200" i="28"/>
  <c r="AM200" i="28"/>
  <c r="AL200" i="28"/>
  <c r="AK200" i="28"/>
  <c r="AJ200" i="28"/>
  <c r="AI200" i="28"/>
  <c r="AH200" i="28"/>
  <c r="AG200" i="28"/>
  <c r="AE200" i="28"/>
  <c r="AD200" i="28"/>
  <c r="AC200" i="28"/>
  <c r="AB200" i="28"/>
  <c r="AA200" i="28"/>
  <c r="Z200" i="28"/>
  <c r="Y200" i="28"/>
  <c r="X200" i="28"/>
  <c r="W200" i="28"/>
  <c r="V200" i="28"/>
  <c r="U200" i="28"/>
  <c r="T200" i="28"/>
  <c r="S200" i="28"/>
  <c r="R200" i="28"/>
  <c r="Q200" i="28"/>
  <c r="P200" i="28"/>
  <c r="O200" i="28"/>
  <c r="N200" i="28"/>
  <c r="M200" i="28"/>
  <c r="L200" i="28"/>
  <c r="K200" i="28"/>
  <c r="J200" i="28"/>
  <c r="I200" i="28"/>
  <c r="H200" i="28"/>
  <c r="G200" i="28"/>
  <c r="F200" i="28"/>
  <c r="E200" i="28"/>
  <c r="D200" i="28"/>
  <c r="AT199" i="28"/>
  <c r="AS199" i="28"/>
  <c r="AR199" i="28"/>
  <c r="AQ199" i="28"/>
  <c r="AP199" i="28"/>
  <c r="AO199" i="28"/>
  <c r="AN199" i="28"/>
  <c r="AM199" i="28"/>
  <c r="AL199" i="28"/>
  <c r="AK199" i="28"/>
  <c r="AJ199" i="28"/>
  <c r="AI199" i="28"/>
  <c r="AH199" i="28"/>
  <c r="AG199" i="28"/>
  <c r="AE199" i="28"/>
  <c r="AD199" i="28"/>
  <c r="AC199" i="28"/>
  <c r="AB199" i="28"/>
  <c r="AA199" i="28"/>
  <c r="Z199" i="28"/>
  <c r="Y199" i="28"/>
  <c r="X199" i="28"/>
  <c r="W199" i="28"/>
  <c r="V199" i="28"/>
  <c r="U199" i="28"/>
  <c r="T199" i="28"/>
  <c r="S199" i="28"/>
  <c r="R199" i="28"/>
  <c r="Q199" i="28"/>
  <c r="P199" i="28"/>
  <c r="O199" i="28"/>
  <c r="N199" i="28"/>
  <c r="M199" i="28"/>
  <c r="L199" i="28"/>
  <c r="K199" i="28"/>
  <c r="J199" i="28"/>
  <c r="I199" i="28"/>
  <c r="H199" i="28"/>
  <c r="G199" i="28"/>
  <c r="F199" i="28"/>
  <c r="E199" i="28"/>
  <c r="D199" i="28"/>
  <c r="AT198" i="28"/>
  <c r="AS198" i="28"/>
  <c r="AR198" i="28"/>
  <c r="AQ198" i="28"/>
  <c r="AP198" i="28"/>
  <c r="AO198" i="28"/>
  <c r="AN198" i="28"/>
  <c r="AM198" i="28"/>
  <c r="AL198" i="28"/>
  <c r="AK198" i="28"/>
  <c r="AJ198" i="28"/>
  <c r="AI198" i="28"/>
  <c r="AH198" i="28"/>
  <c r="AG198" i="28"/>
  <c r="AE198" i="28"/>
  <c r="AD198" i="28"/>
  <c r="AC198" i="28"/>
  <c r="AB198" i="28"/>
  <c r="AA198" i="28"/>
  <c r="Z198" i="28"/>
  <c r="Y198" i="28"/>
  <c r="X198" i="28"/>
  <c r="W198" i="28"/>
  <c r="V198" i="28"/>
  <c r="U198" i="28"/>
  <c r="T198" i="28"/>
  <c r="S198" i="28"/>
  <c r="R198" i="28"/>
  <c r="Q198" i="28"/>
  <c r="P198" i="28"/>
  <c r="O198" i="28"/>
  <c r="N198" i="28"/>
  <c r="M198" i="28"/>
  <c r="L198" i="28"/>
  <c r="K198" i="28"/>
  <c r="J198" i="28"/>
  <c r="I198" i="28"/>
  <c r="H198" i="28"/>
  <c r="G198" i="28"/>
  <c r="F198" i="28"/>
  <c r="E198" i="28"/>
  <c r="D198" i="28"/>
  <c r="AT195" i="28"/>
  <c r="AS195" i="28"/>
  <c r="AR195" i="28"/>
  <c r="AQ195" i="28"/>
  <c r="AP195" i="28"/>
  <c r="AO195" i="28"/>
  <c r="AN195" i="28"/>
  <c r="AM195" i="28"/>
  <c r="AL195" i="28"/>
  <c r="AK195" i="28"/>
  <c r="AJ195" i="28"/>
  <c r="AI195" i="28"/>
  <c r="AH195" i="28"/>
  <c r="AG195" i="28"/>
  <c r="AE195" i="28"/>
  <c r="AD195" i="28"/>
  <c r="AC195" i="28"/>
  <c r="AB195" i="28"/>
  <c r="AA195" i="28"/>
  <c r="Z195" i="28"/>
  <c r="Y195" i="28"/>
  <c r="X195" i="28"/>
  <c r="W195" i="28"/>
  <c r="V195" i="28"/>
  <c r="U195" i="28"/>
  <c r="T195" i="28"/>
  <c r="S195" i="28"/>
  <c r="R195" i="28"/>
  <c r="Q195" i="28"/>
  <c r="P195" i="28"/>
  <c r="O195" i="28"/>
  <c r="N195" i="28"/>
  <c r="M195" i="28"/>
  <c r="L195" i="28"/>
  <c r="K195" i="28"/>
  <c r="J195" i="28"/>
  <c r="I195" i="28"/>
  <c r="H195" i="28"/>
  <c r="G195" i="28"/>
  <c r="F195" i="28"/>
  <c r="E195" i="28"/>
  <c r="D195" i="28"/>
  <c r="AT194" i="28"/>
  <c r="AS194" i="28"/>
  <c r="AR194" i="28"/>
  <c r="AQ194" i="28"/>
  <c r="AP194" i="28"/>
  <c r="AO194" i="28"/>
  <c r="AN194" i="28"/>
  <c r="AM194" i="28"/>
  <c r="AL194" i="28"/>
  <c r="AK194" i="28"/>
  <c r="AJ194" i="28"/>
  <c r="AI194" i="28"/>
  <c r="AH194" i="28"/>
  <c r="AG194" i="28"/>
  <c r="AE194" i="28"/>
  <c r="AD194" i="28"/>
  <c r="AC194" i="28"/>
  <c r="AB194" i="28"/>
  <c r="AA194" i="28"/>
  <c r="Z194" i="28"/>
  <c r="Y194" i="28"/>
  <c r="X194" i="28"/>
  <c r="W194" i="28"/>
  <c r="V194" i="28"/>
  <c r="U194" i="28"/>
  <c r="T194" i="28"/>
  <c r="S194" i="28"/>
  <c r="R194" i="28"/>
  <c r="Q194" i="28"/>
  <c r="P194" i="28"/>
  <c r="O194" i="28"/>
  <c r="N194" i="28"/>
  <c r="M194" i="28"/>
  <c r="L194" i="28"/>
  <c r="K194" i="28"/>
  <c r="J194" i="28"/>
  <c r="I194" i="28"/>
  <c r="H194" i="28"/>
  <c r="G194" i="28"/>
  <c r="F194" i="28"/>
  <c r="E194" i="28"/>
  <c r="D194" i="28"/>
  <c r="AT193" i="28"/>
  <c r="AS193" i="28"/>
  <c r="AR193" i="28"/>
  <c r="AQ193" i="28"/>
  <c r="AP193" i="28"/>
  <c r="AO193" i="28"/>
  <c r="AN193" i="28"/>
  <c r="AM193" i="28"/>
  <c r="AL193" i="28"/>
  <c r="AK193" i="28"/>
  <c r="AJ193" i="28"/>
  <c r="AI193" i="28"/>
  <c r="AH193" i="28"/>
  <c r="AG193" i="28"/>
  <c r="AE193" i="28"/>
  <c r="AD193" i="28"/>
  <c r="AC193" i="28"/>
  <c r="AB193" i="28"/>
  <c r="AA193" i="28"/>
  <c r="Z193" i="28"/>
  <c r="Y193" i="28"/>
  <c r="X193" i="28"/>
  <c r="W193" i="28"/>
  <c r="V193" i="28"/>
  <c r="U193" i="28"/>
  <c r="T193" i="28"/>
  <c r="S193" i="28"/>
  <c r="R193" i="28"/>
  <c r="Q193" i="28"/>
  <c r="P193" i="28"/>
  <c r="O193" i="28"/>
  <c r="N193" i="28"/>
  <c r="M193" i="28"/>
  <c r="L193" i="28"/>
  <c r="K193" i="28"/>
  <c r="J193" i="28"/>
  <c r="I193" i="28"/>
  <c r="H193" i="28"/>
  <c r="G193" i="28"/>
  <c r="F193" i="28"/>
  <c r="E193" i="28"/>
  <c r="D193" i="28"/>
  <c r="AT190" i="28"/>
  <c r="AS190" i="28"/>
  <c r="AR190" i="28"/>
  <c r="AQ190" i="28"/>
  <c r="AP190" i="28"/>
  <c r="AO190" i="28"/>
  <c r="AN190" i="28"/>
  <c r="AM190" i="28"/>
  <c r="AL190" i="28"/>
  <c r="AK190" i="28"/>
  <c r="AJ190" i="28"/>
  <c r="AI190" i="28"/>
  <c r="AH190" i="28"/>
  <c r="AG190" i="28"/>
  <c r="AE190" i="28"/>
  <c r="AD190" i="28"/>
  <c r="AC190" i="28"/>
  <c r="AB190" i="28"/>
  <c r="AA190" i="28"/>
  <c r="Z190" i="28"/>
  <c r="Y190" i="28"/>
  <c r="X190" i="28"/>
  <c r="W190" i="28"/>
  <c r="V190" i="28"/>
  <c r="U190" i="28"/>
  <c r="T190" i="28"/>
  <c r="S190" i="28"/>
  <c r="R190" i="28"/>
  <c r="Q190" i="28"/>
  <c r="P190" i="28"/>
  <c r="O190" i="28"/>
  <c r="N190" i="28"/>
  <c r="M190" i="28"/>
  <c r="L190" i="28"/>
  <c r="K190" i="28"/>
  <c r="J190" i="28"/>
  <c r="I190" i="28"/>
  <c r="H190" i="28"/>
  <c r="G190" i="28"/>
  <c r="F190" i="28"/>
  <c r="E190" i="28"/>
  <c r="D190" i="28"/>
  <c r="AT189" i="28"/>
  <c r="AS189" i="28"/>
  <c r="AR189" i="28"/>
  <c r="AQ189" i="28"/>
  <c r="AP189" i="28"/>
  <c r="AO189" i="28"/>
  <c r="AN189" i="28"/>
  <c r="AM189" i="28"/>
  <c r="AL189" i="28"/>
  <c r="AK189" i="28"/>
  <c r="AJ189" i="28"/>
  <c r="AI189" i="28"/>
  <c r="AH189" i="28"/>
  <c r="AG189" i="28"/>
  <c r="AE189" i="28"/>
  <c r="AD189" i="28"/>
  <c r="AC189" i="28"/>
  <c r="AB189" i="28"/>
  <c r="AA189" i="28"/>
  <c r="Z189" i="28"/>
  <c r="Y189" i="28"/>
  <c r="X189" i="28"/>
  <c r="W189" i="28"/>
  <c r="V189" i="28"/>
  <c r="U189" i="28"/>
  <c r="T189" i="28"/>
  <c r="S189" i="28"/>
  <c r="R189" i="28"/>
  <c r="Q189" i="28"/>
  <c r="P189" i="28"/>
  <c r="O189" i="28"/>
  <c r="N189" i="28"/>
  <c r="M189" i="28"/>
  <c r="L189" i="28"/>
  <c r="K189" i="28"/>
  <c r="J189" i="28"/>
  <c r="I189" i="28"/>
  <c r="H189" i="28"/>
  <c r="G189" i="28"/>
  <c r="F189" i="28"/>
  <c r="E189" i="28"/>
  <c r="D189" i="28"/>
  <c r="AT188" i="28"/>
  <c r="AS188" i="28"/>
  <c r="AR188" i="28"/>
  <c r="AQ188" i="28"/>
  <c r="AP188" i="28"/>
  <c r="AO188" i="28"/>
  <c r="AN188" i="28"/>
  <c r="AM188" i="28"/>
  <c r="AL188" i="28"/>
  <c r="AK188" i="28"/>
  <c r="AJ188" i="28"/>
  <c r="AI188" i="28"/>
  <c r="AH188" i="28"/>
  <c r="AG188" i="28"/>
  <c r="AE188" i="28"/>
  <c r="AD188" i="28"/>
  <c r="AC188" i="28"/>
  <c r="AB188" i="28"/>
  <c r="AA188" i="28"/>
  <c r="Z188" i="28"/>
  <c r="Y188" i="28"/>
  <c r="X188" i="28"/>
  <c r="W188" i="28"/>
  <c r="V188" i="28"/>
  <c r="U188" i="28"/>
  <c r="T188" i="28"/>
  <c r="S188" i="28"/>
  <c r="R188" i="28"/>
  <c r="Q188" i="28"/>
  <c r="P188" i="28"/>
  <c r="O188" i="28"/>
  <c r="N188" i="28"/>
  <c r="M188" i="28"/>
  <c r="L188" i="28"/>
  <c r="K188" i="28"/>
  <c r="J188" i="28"/>
  <c r="I188" i="28"/>
  <c r="H188" i="28"/>
  <c r="G188" i="28"/>
  <c r="F188" i="28"/>
  <c r="E188" i="28"/>
  <c r="D188" i="28"/>
  <c r="AT187" i="28"/>
  <c r="AS187" i="28"/>
  <c r="AR187" i="28"/>
  <c r="AQ187" i="28"/>
  <c r="AP187" i="28"/>
  <c r="AO187" i="28"/>
  <c r="AN187" i="28"/>
  <c r="AM187" i="28"/>
  <c r="AL187" i="28"/>
  <c r="AK187" i="28"/>
  <c r="AJ187" i="28"/>
  <c r="AI187" i="28"/>
  <c r="AH187" i="28"/>
  <c r="AG187" i="28"/>
  <c r="AE187" i="28"/>
  <c r="AD187" i="28"/>
  <c r="AC187" i="28"/>
  <c r="AB187" i="28"/>
  <c r="AA187" i="28"/>
  <c r="Z187" i="28"/>
  <c r="Y187" i="28"/>
  <c r="X187" i="28"/>
  <c r="W187" i="28"/>
  <c r="V187" i="28"/>
  <c r="U187" i="28"/>
  <c r="T187" i="28"/>
  <c r="S187" i="28"/>
  <c r="R187" i="28"/>
  <c r="Q187" i="28"/>
  <c r="P187" i="28"/>
  <c r="O187" i="28"/>
  <c r="N187" i="28"/>
  <c r="M187" i="28"/>
  <c r="L187" i="28"/>
  <c r="K187" i="28"/>
  <c r="J187" i="28"/>
  <c r="I187" i="28"/>
  <c r="H187" i="28"/>
  <c r="G187" i="28"/>
  <c r="F187" i="28"/>
  <c r="E187" i="28"/>
  <c r="D187" i="28"/>
  <c r="AT223" i="28"/>
  <c r="AS223" i="28"/>
  <c r="AR223" i="28"/>
  <c r="AQ223" i="28"/>
  <c r="AP223" i="28"/>
  <c r="AO223" i="28"/>
  <c r="AN223" i="28"/>
  <c r="AM223" i="28"/>
  <c r="AL223" i="28"/>
  <c r="AK223" i="28"/>
  <c r="AJ223" i="28"/>
  <c r="AI223" i="28"/>
  <c r="AH223" i="28"/>
  <c r="AG223" i="28"/>
  <c r="AE223" i="28"/>
  <c r="AD223" i="28"/>
  <c r="AC223" i="28"/>
  <c r="AB223" i="28"/>
  <c r="AA223" i="28"/>
  <c r="Z223" i="28"/>
  <c r="Y223" i="28"/>
  <c r="X223" i="28"/>
  <c r="W223" i="28"/>
  <c r="V223" i="28"/>
  <c r="U223" i="28"/>
  <c r="T223" i="28"/>
  <c r="S223" i="28"/>
  <c r="R223" i="28"/>
  <c r="Q223" i="28"/>
  <c r="P223" i="28"/>
  <c r="O223" i="28"/>
  <c r="N223" i="28"/>
  <c r="M223" i="28"/>
  <c r="L223" i="28"/>
  <c r="K223" i="28"/>
  <c r="J223" i="28"/>
  <c r="I223" i="28"/>
  <c r="H223" i="28"/>
  <c r="G223" i="28"/>
  <c r="F223" i="28"/>
  <c r="E223" i="28"/>
  <c r="D223" i="28"/>
  <c r="AT184" i="28"/>
  <c r="AS184" i="28"/>
  <c r="AR184" i="28"/>
  <c r="AQ184" i="28"/>
  <c r="AP184" i="28"/>
  <c r="AO184" i="28"/>
  <c r="AN184" i="28"/>
  <c r="AM184" i="28"/>
  <c r="AL184" i="28"/>
  <c r="AK184" i="28"/>
  <c r="AJ184" i="28"/>
  <c r="AI184" i="28"/>
  <c r="AH184" i="28"/>
  <c r="AG184" i="28"/>
  <c r="AE184" i="28"/>
  <c r="AD184" i="28"/>
  <c r="AC184" i="28"/>
  <c r="AB184" i="28"/>
  <c r="AA184" i="28"/>
  <c r="Z184" i="28"/>
  <c r="Y184" i="28"/>
  <c r="X184" i="28"/>
  <c r="W184" i="28"/>
  <c r="V184" i="28"/>
  <c r="U184" i="28"/>
  <c r="T184" i="28"/>
  <c r="S184" i="28"/>
  <c r="R184" i="28"/>
  <c r="Q184" i="28"/>
  <c r="P184" i="28"/>
  <c r="O184" i="28"/>
  <c r="N184" i="28"/>
  <c r="M184" i="28"/>
  <c r="L184" i="28"/>
  <c r="K184" i="28"/>
  <c r="J184" i="28"/>
  <c r="I184" i="28"/>
  <c r="H184" i="28"/>
  <c r="G184" i="28"/>
  <c r="F184" i="28"/>
  <c r="E184" i="28"/>
  <c r="D184" i="28"/>
  <c r="AN201" i="4"/>
  <c r="AO201" i="4" l="1"/>
  <c r="AP201" i="4" s="1"/>
  <c r="AJ120" i="4"/>
  <c r="AJ138" i="4" l="1"/>
  <c r="AK138" i="4" s="1"/>
  <c r="AJ89" i="4"/>
  <c r="W24" i="32"/>
  <c r="V24" i="32"/>
  <c r="AF13" i="28" l="1"/>
  <c r="AF12" i="28"/>
  <c r="AT13" i="28"/>
  <c r="AS13" i="28"/>
  <c r="AR13" i="28"/>
  <c r="AQ13" i="28"/>
  <c r="AP13" i="28"/>
  <c r="AO13" i="28"/>
  <c r="AN13" i="28"/>
  <c r="AM13" i="28"/>
  <c r="AL13" i="28"/>
  <c r="AK13" i="28"/>
  <c r="AJ13" i="28"/>
  <c r="AI13" i="28"/>
  <c r="AH13" i="28"/>
  <c r="AG13" i="28"/>
  <c r="AE13" i="28"/>
  <c r="AD13" i="28"/>
  <c r="AC13" i="28"/>
  <c r="AB13" i="28"/>
  <c r="AA13" i="28"/>
  <c r="Z13" i="28"/>
  <c r="Y13" i="28"/>
  <c r="X13" i="28"/>
  <c r="W13" i="28"/>
  <c r="V13" i="28"/>
  <c r="U13" i="28"/>
  <c r="T13" i="28"/>
  <c r="S13" i="28"/>
  <c r="R13" i="28"/>
  <c r="Q13" i="28"/>
  <c r="P13" i="28"/>
  <c r="O13" i="28"/>
  <c r="N13" i="28"/>
  <c r="M13" i="28"/>
  <c r="L13" i="28"/>
  <c r="K13" i="28"/>
  <c r="J13" i="28"/>
  <c r="I13" i="28"/>
  <c r="H13" i="28"/>
  <c r="G13" i="28"/>
  <c r="F13" i="28"/>
  <c r="E13" i="28"/>
  <c r="D13" i="28"/>
  <c r="AK22" i="3"/>
  <c r="AL22" i="3" s="1"/>
  <c r="AM22" i="3" s="1"/>
  <c r="AN22" i="3" s="1"/>
  <c r="AO22" i="3" s="1"/>
  <c r="AP22" i="3" s="1"/>
  <c r="AQ22" i="3" s="1"/>
  <c r="AR22" i="3" s="1"/>
  <c r="AS22" i="3" s="1"/>
  <c r="AK25" i="3"/>
  <c r="AL25" i="3" s="1"/>
  <c r="AJ320" i="4"/>
  <c r="AK320" i="4" s="1"/>
  <c r="AM352" i="4"/>
  <c r="AN352" i="4" s="1"/>
  <c r="AI370" i="4" l="1"/>
  <c r="AI365" i="4"/>
  <c r="AI367" i="4"/>
  <c r="AI368" i="4"/>
  <c r="AI369" i="4"/>
  <c r="AI358" i="4"/>
  <c r="AI352" i="4"/>
  <c r="AI271" i="4"/>
  <c r="AH270" i="4"/>
  <c r="AI272" i="4"/>
  <c r="AI276" i="4"/>
  <c r="AI283" i="4"/>
  <c r="AI285" i="4"/>
  <c r="AI286" i="4"/>
  <c r="AI288" i="4"/>
  <c r="AH177" i="4"/>
  <c r="AJ197" i="4"/>
  <c r="AK197" i="4" s="1"/>
  <c r="AL197" i="4" s="1"/>
  <c r="AM197" i="4" s="1"/>
  <c r="AN197" i="4" s="1"/>
  <c r="AO197" i="4" s="1"/>
  <c r="AP197" i="4" s="1"/>
  <c r="AQ197" i="4" s="1"/>
  <c r="AR197" i="4" s="1"/>
  <c r="AI218" i="4"/>
  <c r="AK120" i="4"/>
  <c r="AL120" i="4" s="1"/>
  <c r="AM120" i="4" s="1"/>
  <c r="AN120" i="4" s="1"/>
  <c r="AO120" i="4" s="1"/>
  <c r="AP120" i="4" s="1"/>
  <c r="AQ120" i="4" s="1"/>
  <c r="AR120" i="4" s="1"/>
  <c r="AI209" i="4" l="1"/>
  <c r="AI203" i="4"/>
  <c r="AI205" i="4"/>
  <c r="AI206" i="4"/>
  <c r="AI207" i="4"/>
  <c r="AI200" i="4"/>
  <c r="AI141" i="4"/>
  <c r="AI129" i="4"/>
  <c r="AI130" i="4"/>
  <c r="AI132" i="4"/>
  <c r="AI123" i="4"/>
  <c r="AJ87" i="3" l="1"/>
  <c r="AJ344" i="3" s="1"/>
  <c r="AJ560" i="3"/>
  <c r="AJ571" i="3"/>
  <c r="AJ569" i="3"/>
  <c r="AJ546" i="3"/>
  <c r="AJ540" i="3"/>
  <c r="AJ539" i="3"/>
  <c r="AJ538" i="3"/>
  <c r="AJ537" i="3"/>
  <c r="AJ477" i="3"/>
  <c r="AJ464" i="3"/>
  <c r="AJ460" i="3"/>
  <c r="AJ453" i="3"/>
  <c r="AJ461" i="3" s="1"/>
  <c r="AJ449" i="3"/>
  <c r="AJ448" i="3"/>
  <c r="AJ447" i="3"/>
  <c r="AJ446" i="3"/>
  <c r="AJ390" i="3"/>
  <c r="AJ462" i="3" s="1"/>
  <c r="AJ380" i="3"/>
  <c r="AJ385" i="3"/>
  <c r="AJ565" i="3" s="1"/>
  <c r="AJ354" i="3"/>
  <c r="AJ347" i="3"/>
  <c r="AJ342" i="3"/>
  <c r="AJ325" i="3"/>
  <c r="AJ312" i="3"/>
  <c r="AJ313" i="3" s="1"/>
  <c r="AJ291" i="3"/>
  <c r="AJ302" i="3" s="1"/>
  <c r="AJ304" i="3" s="1"/>
  <c r="AJ252" i="3"/>
  <c r="AJ251" i="3"/>
  <c r="AJ250" i="3"/>
  <c r="AJ249" i="3"/>
  <c r="AJ248" i="3"/>
  <c r="AJ246" i="3"/>
  <c r="AJ245" i="3"/>
  <c r="AJ244" i="3"/>
  <c r="AJ231" i="3"/>
  <c r="AJ230" i="3"/>
  <c r="AJ229" i="3"/>
  <c r="AJ228" i="3"/>
  <c r="AJ227" i="3"/>
  <c r="AJ225" i="3"/>
  <c r="AJ224" i="3"/>
  <c r="AJ222" i="3"/>
  <c r="AJ217" i="3"/>
  <c r="AJ279" i="3" s="1"/>
  <c r="AJ281" i="3" s="1"/>
  <c r="AJ192" i="3"/>
  <c r="AJ171" i="3"/>
  <c r="AJ137" i="3"/>
  <c r="AJ116" i="3"/>
  <c r="AJ132" i="3" s="1"/>
  <c r="AJ419" i="3" s="1"/>
  <c r="AJ408" i="3" s="1"/>
  <c r="AJ85" i="4"/>
  <c r="AJ80" i="3"/>
  <c r="AJ82" i="3" s="1"/>
  <c r="AJ79" i="3"/>
  <c r="AJ78" i="3"/>
  <c r="AJ75" i="3"/>
  <c r="U13" i="32" s="1"/>
  <c r="AJ74" i="3"/>
  <c r="AJ70" i="3"/>
  <c r="U7" i="32" s="1"/>
  <c r="AJ69" i="3"/>
  <c r="U5" i="32" s="1"/>
  <c r="AJ66" i="3"/>
  <c r="AJ65" i="3"/>
  <c r="AJ62" i="3"/>
  <c r="U4" i="32" s="1"/>
  <c r="AI235" i="4"/>
  <c r="AI230" i="4"/>
  <c r="AI100" i="4"/>
  <c r="AI102" i="4" s="1"/>
  <c r="D50" i="33" s="1"/>
  <c r="AI62" i="4"/>
  <c r="AI58" i="4"/>
  <c r="AI56" i="4"/>
  <c r="AI55" i="4"/>
  <c r="AI52" i="4"/>
  <c r="AI49" i="4"/>
  <c r="AI42" i="4"/>
  <c r="AI40" i="4"/>
  <c r="AI474" i="4"/>
  <c r="AI316" i="4"/>
  <c r="AI243" i="4"/>
  <c r="AJ243" i="4" s="1"/>
  <c r="AI177" i="4"/>
  <c r="AI31" i="4"/>
  <c r="AI23" i="4"/>
  <c r="AJ71" i="3" s="1"/>
  <c r="AJ562" i="3" s="1"/>
  <c r="AI13" i="4"/>
  <c r="AJ63" i="3" s="1"/>
  <c r="AI136" i="4"/>
  <c r="AI139" i="4"/>
  <c r="AI140" i="4"/>
  <c r="AI118" i="4"/>
  <c r="AF7" i="28"/>
  <c r="AF6" i="28"/>
  <c r="AT7" i="28"/>
  <c r="AS7" i="28"/>
  <c r="AR7" i="28"/>
  <c r="AQ7" i="28"/>
  <c r="AP7" i="28"/>
  <c r="AO7" i="28"/>
  <c r="AN7" i="28"/>
  <c r="AM7" i="28"/>
  <c r="AL7" i="28"/>
  <c r="AK7" i="28"/>
  <c r="AJ7" i="28"/>
  <c r="AI7" i="28"/>
  <c r="AH7" i="28"/>
  <c r="AG7" i="28"/>
  <c r="AE7" i="28"/>
  <c r="AD7" i="28"/>
  <c r="AC7" i="28"/>
  <c r="AB7" i="28"/>
  <c r="AA7" i="28"/>
  <c r="Z7" i="28"/>
  <c r="Y7" i="28"/>
  <c r="X7" i="28"/>
  <c r="W7" i="28"/>
  <c r="V7" i="28"/>
  <c r="U7" i="28"/>
  <c r="T7" i="28"/>
  <c r="S7" i="28"/>
  <c r="R7" i="28"/>
  <c r="Q7" i="28"/>
  <c r="P7" i="28"/>
  <c r="O7" i="28"/>
  <c r="N7" i="28"/>
  <c r="M7" i="28"/>
  <c r="L7" i="28"/>
  <c r="K7" i="28"/>
  <c r="J7" i="28"/>
  <c r="I7" i="28"/>
  <c r="H7" i="28"/>
  <c r="G7" i="28"/>
  <c r="F7" i="28"/>
  <c r="E7" i="28"/>
  <c r="D7" i="28"/>
  <c r="U12" i="32" l="1"/>
  <c r="U18" i="32"/>
  <c r="U19" i="32"/>
  <c r="AJ384" i="3"/>
  <c r="AJ541" i="3"/>
  <c r="AJ568" i="3"/>
  <c r="AJ502" i="3"/>
  <c r="U27" i="32"/>
  <c r="U8" i="32"/>
  <c r="AI32" i="4"/>
  <c r="AI65" i="4"/>
  <c r="AJ561" i="3"/>
  <c r="AJ570" i="3"/>
  <c r="AJ76" i="3"/>
  <c r="U14" i="32" s="1"/>
  <c r="U15" i="32" s="1"/>
  <c r="AI317" i="4"/>
  <c r="AJ226" i="3"/>
  <c r="AJ247" i="3"/>
  <c r="AJ566" i="3"/>
  <c r="AJ567" i="3"/>
  <c r="AV1" i="3"/>
  <c r="AW1" i="3" s="1"/>
  <c r="AX1" i="3" s="1"/>
  <c r="AY1" i="3" s="1"/>
  <c r="AZ1" i="3" s="1"/>
  <c r="BA1" i="3" s="1"/>
  <c r="BB1" i="3" s="1"/>
  <c r="BC1" i="3" s="1"/>
  <c r="BD1" i="3" s="1"/>
  <c r="BE1" i="3" s="1"/>
  <c r="BF1" i="3" s="1"/>
  <c r="BG1" i="3" s="1"/>
  <c r="AJ39" i="3"/>
  <c r="AJ48" i="3"/>
  <c r="AJ316" i="3" s="1"/>
  <c r="AJ318" i="3" s="1"/>
  <c r="AJ161" i="3"/>
  <c r="AI36" i="4" l="1"/>
  <c r="AF2" i="32"/>
  <c r="AI67" i="4"/>
  <c r="U24" i="32" s="1"/>
  <c r="BH1" i="3"/>
  <c r="AG2" i="32" l="1"/>
  <c r="BI1" i="3"/>
  <c r="AX11" i="28"/>
  <c r="AH2" i="32" l="1"/>
  <c r="BJ1" i="3"/>
  <c r="AT105" i="28"/>
  <c r="AS105" i="28"/>
  <c r="AR105" i="28"/>
  <c r="AQ105" i="28"/>
  <c r="AP105" i="28"/>
  <c r="AO105" i="28"/>
  <c r="AN105" i="28"/>
  <c r="AM105" i="28"/>
  <c r="AL105" i="28"/>
  <c r="AK105" i="28"/>
  <c r="AJ105" i="28"/>
  <c r="AI105" i="28"/>
  <c r="AH105" i="28"/>
  <c r="AG105" i="28"/>
  <c r="AE105" i="28"/>
  <c r="AD105" i="28"/>
  <c r="AC105" i="28"/>
  <c r="AB105" i="28"/>
  <c r="AA105" i="28"/>
  <c r="Z105" i="28"/>
  <c r="Y105" i="28"/>
  <c r="X105" i="28"/>
  <c r="W105" i="28"/>
  <c r="V105" i="28"/>
  <c r="U105" i="28"/>
  <c r="T105" i="28"/>
  <c r="S105" i="28"/>
  <c r="R105" i="28"/>
  <c r="Q105" i="28"/>
  <c r="P105" i="28"/>
  <c r="O105" i="28"/>
  <c r="N105" i="28"/>
  <c r="M105" i="28"/>
  <c r="L105" i="28"/>
  <c r="K105" i="28"/>
  <c r="J105" i="28"/>
  <c r="I105" i="28"/>
  <c r="H105" i="28"/>
  <c r="G105" i="28"/>
  <c r="F105" i="28"/>
  <c r="E105" i="28"/>
  <c r="D105" i="28"/>
  <c r="AT99" i="28"/>
  <c r="AS99" i="28"/>
  <c r="AR99" i="28"/>
  <c r="AQ99" i="28"/>
  <c r="AP99" i="28"/>
  <c r="AO99" i="28"/>
  <c r="AN99" i="28"/>
  <c r="AM99" i="28"/>
  <c r="AL99" i="28"/>
  <c r="AK99" i="28"/>
  <c r="AJ99" i="28"/>
  <c r="AI99" i="28"/>
  <c r="AH99" i="28"/>
  <c r="AG99" i="28"/>
  <c r="AE99" i="28"/>
  <c r="AD99" i="28"/>
  <c r="AC99" i="28"/>
  <c r="AB99" i="28"/>
  <c r="AA99" i="28"/>
  <c r="Z99" i="28"/>
  <c r="Y99" i="28"/>
  <c r="X99" i="28"/>
  <c r="W99" i="28"/>
  <c r="V99" i="28"/>
  <c r="U99" i="28"/>
  <c r="T99" i="28"/>
  <c r="S99" i="28"/>
  <c r="R99" i="28"/>
  <c r="Q99" i="28"/>
  <c r="P99" i="28"/>
  <c r="O99" i="28"/>
  <c r="N99" i="28"/>
  <c r="M99" i="28"/>
  <c r="L99" i="28"/>
  <c r="K99" i="28"/>
  <c r="J99" i="28"/>
  <c r="I99" i="28"/>
  <c r="H99" i="28"/>
  <c r="G99" i="28"/>
  <c r="F99" i="28"/>
  <c r="E99" i="28"/>
  <c r="D99" i="28"/>
  <c r="AT93" i="28"/>
  <c r="AS93" i="28"/>
  <c r="AR93" i="28"/>
  <c r="AQ93" i="28"/>
  <c r="AP93" i="28"/>
  <c r="AO93" i="28"/>
  <c r="AN93" i="28"/>
  <c r="AM93" i="28"/>
  <c r="AL93" i="28"/>
  <c r="AK93" i="28"/>
  <c r="AJ93" i="28"/>
  <c r="AI93" i="28"/>
  <c r="AH93" i="28"/>
  <c r="AG93" i="28"/>
  <c r="AE93" i="28"/>
  <c r="AD93" i="28"/>
  <c r="AC93" i="28"/>
  <c r="AB93" i="28"/>
  <c r="AA93" i="28"/>
  <c r="Z93" i="28"/>
  <c r="Y93" i="28"/>
  <c r="X93" i="28"/>
  <c r="W93" i="28"/>
  <c r="V93" i="28"/>
  <c r="U93" i="28"/>
  <c r="T93" i="28"/>
  <c r="S93" i="28"/>
  <c r="R93" i="28"/>
  <c r="Q93" i="28"/>
  <c r="P93" i="28"/>
  <c r="O93" i="28"/>
  <c r="N93" i="28"/>
  <c r="M93" i="28"/>
  <c r="L93" i="28"/>
  <c r="K93" i="28"/>
  <c r="J93" i="28"/>
  <c r="I93" i="28"/>
  <c r="H93" i="28"/>
  <c r="G93" i="28"/>
  <c r="F93" i="28"/>
  <c r="E93" i="28"/>
  <c r="D93" i="28"/>
  <c r="AT88" i="28"/>
  <c r="AS88" i="28"/>
  <c r="AR88" i="28"/>
  <c r="AQ88" i="28"/>
  <c r="AP88" i="28"/>
  <c r="AO88" i="28"/>
  <c r="AN88" i="28"/>
  <c r="AM88" i="28"/>
  <c r="AL88" i="28"/>
  <c r="AK88" i="28"/>
  <c r="AJ88" i="28"/>
  <c r="AI88" i="28"/>
  <c r="AH88" i="28"/>
  <c r="AG88" i="28"/>
  <c r="AE88" i="28"/>
  <c r="AD88" i="28"/>
  <c r="AC88" i="28"/>
  <c r="AB88" i="28"/>
  <c r="AA88" i="28"/>
  <c r="Z88" i="28"/>
  <c r="Y88" i="28"/>
  <c r="X88" i="28"/>
  <c r="W88" i="28"/>
  <c r="V88" i="28"/>
  <c r="U88" i="28"/>
  <c r="T88" i="28"/>
  <c r="S88" i="28"/>
  <c r="R88" i="28"/>
  <c r="Q88" i="28"/>
  <c r="P88" i="28"/>
  <c r="O88" i="28"/>
  <c r="N88" i="28"/>
  <c r="M88" i="28"/>
  <c r="L88" i="28"/>
  <c r="K88" i="28"/>
  <c r="J88" i="28"/>
  <c r="I88" i="28"/>
  <c r="H88" i="28"/>
  <c r="G88" i="28"/>
  <c r="F88" i="28"/>
  <c r="E88" i="28"/>
  <c r="D88" i="28"/>
  <c r="AT83" i="28"/>
  <c r="AS83" i="28"/>
  <c r="AR83" i="28"/>
  <c r="AQ83" i="28"/>
  <c r="AP83" i="28"/>
  <c r="AO83" i="28"/>
  <c r="AN83" i="28"/>
  <c r="AM83" i="28"/>
  <c r="AL83" i="28"/>
  <c r="AK83" i="28"/>
  <c r="AJ83" i="28"/>
  <c r="AI83" i="28"/>
  <c r="AH83" i="28"/>
  <c r="AG83" i="28"/>
  <c r="AE83" i="28"/>
  <c r="AD83" i="28"/>
  <c r="AC83" i="28"/>
  <c r="AB83" i="28"/>
  <c r="AA83" i="28"/>
  <c r="Z83" i="28"/>
  <c r="Y83" i="28"/>
  <c r="X83" i="28"/>
  <c r="W83" i="28"/>
  <c r="V83" i="28"/>
  <c r="U83" i="28"/>
  <c r="T83" i="28"/>
  <c r="S83" i="28"/>
  <c r="R83" i="28"/>
  <c r="Q83" i="28"/>
  <c r="P83" i="28"/>
  <c r="O83" i="28"/>
  <c r="N83" i="28"/>
  <c r="M83" i="28"/>
  <c r="L83" i="28"/>
  <c r="K83" i="28"/>
  <c r="J83" i="28"/>
  <c r="I83" i="28"/>
  <c r="H83" i="28"/>
  <c r="G83" i="28"/>
  <c r="F83" i="28"/>
  <c r="E83" i="28"/>
  <c r="D83" i="28"/>
  <c r="AT77" i="28"/>
  <c r="AS77" i="28"/>
  <c r="AR77" i="28"/>
  <c r="AQ77" i="28"/>
  <c r="AP77" i="28"/>
  <c r="AO77" i="28"/>
  <c r="AN77" i="28"/>
  <c r="AM77" i="28"/>
  <c r="AL77" i="28"/>
  <c r="AK77" i="28"/>
  <c r="AJ77" i="28"/>
  <c r="AI77" i="28"/>
  <c r="AH77" i="28"/>
  <c r="AG77" i="28"/>
  <c r="AE77" i="28"/>
  <c r="AD77" i="28"/>
  <c r="AC77" i="28"/>
  <c r="AB77" i="28"/>
  <c r="AA77" i="28"/>
  <c r="Z77" i="28"/>
  <c r="Y77" i="28"/>
  <c r="X77" i="28"/>
  <c r="W77" i="28"/>
  <c r="V77" i="28"/>
  <c r="U77" i="28"/>
  <c r="T77" i="28"/>
  <c r="S77" i="28"/>
  <c r="R77" i="28"/>
  <c r="Q77" i="28"/>
  <c r="P77" i="28"/>
  <c r="O77" i="28"/>
  <c r="N77" i="28"/>
  <c r="M77" i="28"/>
  <c r="L77" i="28"/>
  <c r="K77" i="28"/>
  <c r="J77" i="28"/>
  <c r="I77" i="28"/>
  <c r="H77" i="28"/>
  <c r="G77" i="28"/>
  <c r="F77" i="28"/>
  <c r="E77" i="28"/>
  <c r="D77" i="28"/>
  <c r="AT71" i="28"/>
  <c r="AS71" i="28"/>
  <c r="AR71" i="28"/>
  <c r="AQ71" i="28"/>
  <c r="AP71" i="28"/>
  <c r="AO71" i="28"/>
  <c r="AN71" i="28"/>
  <c r="AM71" i="28"/>
  <c r="AL71" i="28"/>
  <c r="AK71" i="28"/>
  <c r="AJ71" i="28"/>
  <c r="AI71" i="28"/>
  <c r="AH71" i="28"/>
  <c r="AG71" i="28"/>
  <c r="AE71" i="28"/>
  <c r="AD71" i="28"/>
  <c r="AC71" i="28"/>
  <c r="AB71" i="28"/>
  <c r="AA71" i="28"/>
  <c r="Z71" i="28"/>
  <c r="Y71" i="28"/>
  <c r="X71" i="28"/>
  <c r="W71" i="28"/>
  <c r="V71" i="28"/>
  <c r="U71" i="28"/>
  <c r="T71" i="28"/>
  <c r="S71" i="28"/>
  <c r="R71" i="28"/>
  <c r="Q71" i="28"/>
  <c r="P71" i="28"/>
  <c r="O71" i="28"/>
  <c r="N71" i="28"/>
  <c r="M71" i="28"/>
  <c r="L71" i="28"/>
  <c r="K71" i="28"/>
  <c r="J71" i="28"/>
  <c r="I71" i="28"/>
  <c r="H71" i="28"/>
  <c r="G71" i="28"/>
  <c r="F71" i="28"/>
  <c r="E71" i="28"/>
  <c r="D71" i="28"/>
  <c r="AT66" i="28"/>
  <c r="AS66" i="28"/>
  <c r="AR66" i="28"/>
  <c r="AQ66" i="28"/>
  <c r="AP66" i="28"/>
  <c r="AO66" i="28"/>
  <c r="AN66" i="28"/>
  <c r="AM66" i="28"/>
  <c r="AL66" i="28"/>
  <c r="AK66" i="28"/>
  <c r="AJ66" i="28"/>
  <c r="AI66" i="28"/>
  <c r="AH66" i="28"/>
  <c r="AG66" i="28"/>
  <c r="AE66" i="28"/>
  <c r="AD66" i="28"/>
  <c r="AC66" i="28"/>
  <c r="AB66" i="28"/>
  <c r="AA66" i="28"/>
  <c r="Z66" i="28"/>
  <c r="Y66" i="28"/>
  <c r="X66" i="28"/>
  <c r="W66" i="28"/>
  <c r="V66" i="28"/>
  <c r="U66" i="28"/>
  <c r="T66" i="28"/>
  <c r="S66" i="28"/>
  <c r="R66" i="28"/>
  <c r="Q66" i="28"/>
  <c r="P66" i="28"/>
  <c r="O66" i="28"/>
  <c r="N66" i="28"/>
  <c r="M66" i="28"/>
  <c r="L66" i="28"/>
  <c r="K66" i="28"/>
  <c r="J66" i="28"/>
  <c r="I66" i="28"/>
  <c r="H66" i="28"/>
  <c r="G66" i="28"/>
  <c r="F66" i="28"/>
  <c r="E66" i="28"/>
  <c r="D66" i="28"/>
  <c r="AT61" i="28"/>
  <c r="AS61" i="28"/>
  <c r="AR61" i="28"/>
  <c r="AQ61" i="28"/>
  <c r="AP61" i="28"/>
  <c r="AO61" i="28"/>
  <c r="AN61" i="28"/>
  <c r="AM61" i="28"/>
  <c r="AL61" i="28"/>
  <c r="AK61" i="28"/>
  <c r="AJ61" i="28"/>
  <c r="AI61" i="28"/>
  <c r="AH61" i="28"/>
  <c r="AG61" i="28"/>
  <c r="AE61" i="28"/>
  <c r="AD61" i="28"/>
  <c r="AC61" i="28"/>
  <c r="AB61" i="28"/>
  <c r="AA61" i="28"/>
  <c r="Z61" i="28"/>
  <c r="Y61" i="28"/>
  <c r="X61" i="28"/>
  <c r="W61" i="28"/>
  <c r="V61" i="28"/>
  <c r="U61" i="28"/>
  <c r="T61" i="28"/>
  <c r="S61" i="28"/>
  <c r="R61" i="28"/>
  <c r="Q61" i="28"/>
  <c r="P61" i="28"/>
  <c r="O61" i="28"/>
  <c r="N61" i="28"/>
  <c r="M61" i="28"/>
  <c r="L61" i="28"/>
  <c r="K61" i="28"/>
  <c r="J61" i="28"/>
  <c r="I61" i="28"/>
  <c r="H61" i="28"/>
  <c r="G61" i="28"/>
  <c r="F61" i="28"/>
  <c r="E61" i="28"/>
  <c r="D61" i="28"/>
  <c r="AT56" i="28"/>
  <c r="AS56" i="28"/>
  <c r="AR56" i="28"/>
  <c r="AQ56" i="28"/>
  <c r="AP56" i="28"/>
  <c r="AO56" i="28"/>
  <c r="AN56" i="28"/>
  <c r="AM56" i="28"/>
  <c r="AL56" i="28"/>
  <c r="AK56" i="28"/>
  <c r="AJ56" i="28"/>
  <c r="AI56" i="28"/>
  <c r="AH56" i="28"/>
  <c r="AG56" i="28"/>
  <c r="AE56" i="28"/>
  <c r="AD56" i="28"/>
  <c r="AC56" i="28"/>
  <c r="AB56" i="28"/>
  <c r="AA56" i="28"/>
  <c r="Z56" i="28"/>
  <c r="Y56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AQ50" i="28"/>
  <c r="AP50" i="28"/>
  <c r="AO50" i="28"/>
  <c r="AK50" i="28"/>
  <c r="AJ50" i="28"/>
  <c r="AI50" i="28"/>
  <c r="AE49" i="28"/>
  <c r="AD50" i="28"/>
  <c r="AC49" i="28"/>
  <c r="AB50" i="28"/>
  <c r="V50" i="28"/>
  <c r="S49" i="28"/>
  <c r="R49" i="28"/>
  <c r="Q50" i="28"/>
  <c r="P50" i="28"/>
  <c r="J50" i="28"/>
  <c r="G49" i="28"/>
  <c r="F50" i="28"/>
  <c r="E49" i="28"/>
  <c r="D50" i="28"/>
  <c r="AT45" i="28"/>
  <c r="AS45" i="28"/>
  <c r="AR45" i="28"/>
  <c r="AQ45" i="28"/>
  <c r="AP45" i="28"/>
  <c r="AO45" i="28"/>
  <c r="AN45" i="28"/>
  <c r="AM45" i="28"/>
  <c r="AL45" i="28"/>
  <c r="AK45" i="28"/>
  <c r="AJ45" i="28"/>
  <c r="AI45" i="28"/>
  <c r="AH45" i="28"/>
  <c r="AG45" i="28"/>
  <c r="AE45" i="28"/>
  <c r="AD45" i="28"/>
  <c r="AC45" i="28"/>
  <c r="AB45" i="28"/>
  <c r="AA45" i="28"/>
  <c r="Z45" i="28"/>
  <c r="Y45" i="28"/>
  <c r="X45" i="28"/>
  <c r="W45" i="28"/>
  <c r="V45" i="28"/>
  <c r="U45" i="28"/>
  <c r="T45" i="28"/>
  <c r="S45" i="28"/>
  <c r="R45" i="28"/>
  <c r="Q45" i="28"/>
  <c r="P45" i="28"/>
  <c r="O45" i="28"/>
  <c r="N45" i="28"/>
  <c r="M45" i="28"/>
  <c r="L45" i="28"/>
  <c r="K45" i="28"/>
  <c r="J45" i="28"/>
  <c r="I45" i="28"/>
  <c r="H45" i="28"/>
  <c r="G45" i="28"/>
  <c r="F45" i="28"/>
  <c r="E45" i="28"/>
  <c r="D45" i="28"/>
  <c r="AT40" i="28"/>
  <c r="AS40" i="28"/>
  <c r="AR40" i="28"/>
  <c r="AQ40" i="28"/>
  <c r="AP40" i="28"/>
  <c r="AO40" i="28"/>
  <c r="AN40" i="28"/>
  <c r="AM40" i="28"/>
  <c r="AL40" i="28"/>
  <c r="AK40" i="28"/>
  <c r="AJ40" i="28"/>
  <c r="AI40" i="28"/>
  <c r="AH40" i="28"/>
  <c r="AG40" i="28"/>
  <c r="AE40" i="28"/>
  <c r="AD40" i="28"/>
  <c r="AC40" i="28"/>
  <c r="AB40" i="28"/>
  <c r="AA40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F40" i="28"/>
  <c r="E40" i="28"/>
  <c r="D40" i="28"/>
  <c r="AT34" i="28"/>
  <c r="AS34" i="28"/>
  <c r="AR34" i="28"/>
  <c r="AQ34" i="28"/>
  <c r="AP34" i="28"/>
  <c r="AO34" i="28"/>
  <c r="AN34" i="28"/>
  <c r="AM34" i="28"/>
  <c r="AL34" i="28"/>
  <c r="AK34" i="28"/>
  <c r="AJ34" i="28"/>
  <c r="AI34" i="28"/>
  <c r="AH34" i="28"/>
  <c r="AG34" i="28"/>
  <c r="AE34" i="28"/>
  <c r="AD34" i="28"/>
  <c r="AC34" i="28"/>
  <c r="AB34" i="28"/>
  <c r="AA34" i="28"/>
  <c r="Z34" i="28"/>
  <c r="Y34" i="28"/>
  <c r="X34" i="28"/>
  <c r="W34" i="28"/>
  <c r="V34" i="28"/>
  <c r="U34" i="28"/>
  <c r="T34" i="28"/>
  <c r="S34" i="28"/>
  <c r="R34" i="28"/>
  <c r="Q34" i="28"/>
  <c r="P34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AT29" i="28"/>
  <c r="AS29" i="28"/>
  <c r="AR29" i="28"/>
  <c r="AQ29" i="28"/>
  <c r="AP29" i="28"/>
  <c r="AO29" i="28"/>
  <c r="AN29" i="28"/>
  <c r="AM29" i="28"/>
  <c r="AL29" i="28"/>
  <c r="AK29" i="28"/>
  <c r="AJ29" i="28"/>
  <c r="AI29" i="28"/>
  <c r="AH29" i="28"/>
  <c r="AG29" i="28"/>
  <c r="AE29" i="28"/>
  <c r="AD29" i="28"/>
  <c r="AC29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AT24" i="28"/>
  <c r="AS24" i="28"/>
  <c r="AR24" i="28"/>
  <c r="AQ24" i="28"/>
  <c r="AP24" i="28"/>
  <c r="AO24" i="28"/>
  <c r="AN24" i="28"/>
  <c r="AM24" i="28"/>
  <c r="AL24" i="28"/>
  <c r="AK24" i="28"/>
  <c r="AJ24" i="28"/>
  <c r="AI24" i="28"/>
  <c r="AH24" i="28"/>
  <c r="AG24" i="28"/>
  <c r="AE24" i="28"/>
  <c r="AD24" i="28"/>
  <c r="AC24" i="28"/>
  <c r="AB24" i="28"/>
  <c r="AA24" i="28"/>
  <c r="Z24" i="28"/>
  <c r="Y24" i="28"/>
  <c r="X24" i="28"/>
  <c r="W24" i="28"/>
  <c r="V24" i="28"/>
  <c r="U24" i="28"/>
  <c r="T24" i="28"/>
  <c r="S24" i="28"/>
  <c r="R24" i="28"/>
  <c r="Q24" i="28"/>
  <c r="P24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AT19" i="28"/>
  <c r="AS19" i="28"/>
  <c r="AR19" i="28"/>
  <c r="AQ19" i="28"/>
  <c r="AP19" i="28"/>
  <c r="AO19" i="28"/>
  <c r="AN19" i="28"/>
  <c r="AM19" i="28"/>
  <c r="AL19" i="28"/>
  <c r="AK19" i="28"/>
  <c r="AJ19" i="28"/>
  <c r="AI19" i="28"/>
  <c r="AH19" i="28"/>
  <c r="AG19" i="28"/>
  <c r="AE19" i="28"/>
  <c r="AD19" i="28"/>
  <c r="AC19" i="28"/>
  <c r="AB19" i="28"/>
  <c r="AA19" i="28"/>
  <c r="Z19" i="28"/>
  <c r="Y19" i="28"/>
  <c r="X19" i="28"/>
  <c r="W19" i="28"/>
  <c r="V19" i="28"/>
  <c r="U19" i="28"/>
  <c r="T19" i="28"/>
  <c r="S19" i="28"/>
  <c r="R19" i="28"/>
  <c r="Q19" i="28"/>
  <c r="P19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AI2" i="32" l="1"/>
  <c r="BK1" i="3"/>
  <c r="L49" i="28"/>
  <c r="L50" i="28"/>
  <c r="M49" i="28"/>
  <c r="M50" i="28"/>
  <c r="Y49" i="28"/>
  <c r="Y50" i="28"/>
  <c r="AL49" i="28"/>
  <c r="AL50" i="28"/>
  <c r="AN49" i="28"/>
  <c r="AN50" i="28"/>
  <c r="X49" i="28"/>
  <c r="X50" i="28"/>
  <c r="K49" i="28"/>
  <c r="K50" i="28"/>
  <c r="W49" i="28"/>
  <c r="W50" i="28"/>
  <c r="AB49" i="28"/>
  <c r="Q49" i="28"/>
  <c r="F49" i="28"/>
  <c r="AQ49" i="28"/>
  <c r="AR50" i="28"/>
  <c r="AR49" i="28"/>
  <c r="D49" i="28"/>
  <c r="J49" i="28"/>
  <c r="V49" i="28"/>
  <c r="AI49" i="28"/>
  <c r="E50" i="28"/>
  <c r="AC50" i="28"/>
  <c r="AO49" i="28"/>
  <c r="AP49" i="28"/>
  <c r="AD49" i="28"/>
  <c r="H49" i="28"/>
  <c r="H50" i="28"/>
  <c r="N49" i="28"/>
  <c r="N50" i="28"/>
  <c r="T49" i="28"/>
  <c r="T50" i="28"/>
  <c r="Z49" i="28"/>
  <c r="Z50" i="28"/>
  <c r="AG50" i="28"/>
  <c r="AG49" i="28"/>
  <c r="AM50" i="28"/>
  <c r="AM49" i="28"/>
  <c r="AS50" i="28"/>
  <c r="AS49" i="28"/>
  <c r="AJ49" i="28"/>
  <c r="R50" i="28"/>
  <c r="P49" i="28"/>
  <c r="I49" i="28"/>
  <c r="I50" i="28"/>
  <c r="O49" i="28"/>
  <c r="O50" i="28"/>
  <c r="U49" i="28"/>
  <c r="U50" i="28"/>
  <c r="AA49" i="28"/>
  <c r="AA50" i="28"/>
  <c r="AH49" i="28"/>
  <c r="AH50" i="28"/>
  <c r="AT50" i="28"/>
  <c r="AT49" i="28"/>
  <c r="AK49" i="28"/>
  <c r="G50" i="28"/>
  <c r="S50" i="28"/>
  <c r="AE50" i="28"/>
  <c r="AT221" i="28"/>
  <c r="AT132" i="28" s="1"/>
  <c r="AS221" i="28"/>
  <c r="AS132" i="28" s="1"/>
  <c r="AR221" i="28"/>
  <c r="AR132" i="28" s="1"/>
  <c r="AQ221" i="28"/>
  <c r="AQ132" i="28" s="1"/>
  <c r="AP221" i="28"/>
  <c r="AP132" i="28" s="1"/>
  <c r="AO221" i="28"/>
  <c r="AO132" i="28" s="1"/>
  <c r="AN221" i="28"/>
  <c r="AN132" i="28" s="1"/>
  <c r="AT220" i="28"/>
  <c r="AT128" i="28" s="1"/>
  <c r="AS220" i="28"/>
  <c r="AS128" i="28" s="1"/>
  <c r="AR220" i="28"/>
  <c r="AR128" i="28" s="1"/>
  <c r="AQ220" i="28"/>
  <c r="AQ128" i="28" s="1"/>
  <c r="AP220" i="28"/>
  <c r="AP128" i="28" s="1"/>
  <c r="AO220" i="28"/>
  <c r="AO128" i="28" s="1"/>
  <c r="AN220" i="28"/>
  <c r="AN128" i="28" s="1"/>
  <c r="AT219" i="28"/>
  <c r="AT124" i="28" s="1"/>
  <c r="AS219" i="28"/>
  <c r="AS124" i="28" s="1"/>
  <c r="AR219" i="28"/>
  <c r="AR124" i="28" s="1"/>
  <c r="AQ219" i="28"/>
  <c r="AQ124" i="28" s="1"/>
  <c r="AP219" i="28"/>
  <c r="AP124" i="28" s="1"/>
  <c r="AO219" i="28"/>
  <c r="AO124" i="28" s="1"/>
  <c r="AN219" i="28"/>
  <c r="AN124" i="28" s="1"/>
  <c r="AT218" i="28"/>
  <c r="AT120" i="28" s="1"/>
  <c r="AS218" i="28"/>
  <c r="AS120" i="28" s="1"/>
  <c r="AR218" i="28"/>
  <c r="AR120" i="28" s="1"/>
  <c r="AQ218" i="28"/>
  <c r="AQ120" i="28" s="1"/>
  <c r="AP218" i="28"/>
  <c r="AP120" i="28" s="1"/>
  <c r="AO218" i="28"/>
  <c r="AO120" i="28" s="1"/>
  <c r="AN218" i="28"/>
  <c r="AN120" i="28" s="1"/>
  <c r="AT217" i="28"/>
  <c r="AT116" i="28" s="1"/>
  <c r="AS217" i="28"/>
  <c r="AS116" i="28" s="1"/>
  <c r="AR217" i="28"/>
  <c r="AR116" i="28" s="1"/>
  <c r="AQ217" i="28"/>
  <c r="AQ116" i="28" s="1"/>
  <c r="AP217" i="28"/>
  <c r="AP116" i="28" s="1"/>
  <c r="AO217" i="28"/>
  <c r="AO116" i="28" s="1"/>
  <c r="AN217" i="28"/>
  <c r="AN116" i="28" s="1"/>
  <c r="AT216" i="28"/>
  <c r="AT111" i="28" s="1"/>
  <c r="AS216" i="28"/>
  <c r="AS111" i="28" s="1"/>
  <c r="AR216" i="28"/>
  <c r="AR111" i="28" s="1"/>
  <c r="AQ216" i="28"/>
  <c r="AQ111" i="28" s="1"/>
  <c r="AP216" i="28"/>
  <c r="AP111" i="28" s="1"/>
  <c r="AO216" i="28"/>
  <c r="AO111" i="28" s="1"/>
  <c r="AN216" i="28"/>
  <c r="AN111" i="28" s="1"/>
  <c r="AE221" i="28"/>
  <c r="AE132" i="28" s="1"/>
  <c r="AD221" i="28"/>
  <c r="AD132" i="28" s="1"/>
  <c r="AC221" i="28"/>
  <c r="AC132" i="28" s="1"/>
  <c r="AB221" i="28"/>
  <c r="AB132" i="28" s="1"/>
  <c r="AA221" i="28"/>
  <c r="AA132" i="28" s="1"/>
  <c r="Z221" i="28"/>
  <c r="Z132" i="28" s="1"/>
  <c r="Y221" i="28"/>
  <c r="Y132" i="28" s="1"/>
  <c r="X221" i="28"/>
  <c r="X132" i="28" s="1"/>
  <c r="W221" i="28"/>
  <c r="W132" i="28" s="1"/>
  <c r="V221" i="28"/>
  <c r="V132" i="28" s="1"/>
  <c r="U221" i="28"/>
  <c r="U132" i="28" s="1"/>
  <c r="T221" i="28"/>
  <c r="T132" i="28" s="1"/>
  <c r="S221" i="28"/>
  <c r="S132" i="28" s="1"/>
  <c r="R221" i="28"/>
  <c r="R132" i="28" s="1"/>
  <c r="Q221" i="28"/>
  <c r="Q132" i="28" s="1"/>
  <c r="AE220" i="28"/>
  <c r="AE128" i="28" s="1"/>
  <c r="AD220" i="28"/>
  <c r="AD128" i="28" s="1"/>
  <c r="AC220" i="28"/>
  <c r="AC128" i="28" s="1"/>
  <c r="AB220" i="28"/>
  <c r="AB128" i="28" s="1"/>
  <c r="AA220" i="28"/>
  <c r="AA128" i="28" s="1"/>
  <c r="Z220" i="28"/>
  <c r="Z128" i="28" s="1"/>
  <c r="Y220" i="28"/>
  <c r="Y128" i="28" s="1"/>
  <c r="X220" i="28"/>
  <c r="X128" i="28" s="1"/>
  <c r="W220" i="28"/>
  <c r="W128" i="28" s="1"/>
  <c r="V220" i="28"/>
  <c r="V128" i="28" s="1"/>
  <c r="U220" i="28"/>
  <c r="U128" i="28" s="1"/>
  <c r="T220" i="28"/>
  <c r="T128" i="28" s="1"/>
  <c r="S220" i="28"/>
  <c r="S128" i="28" s="1"/>
  <c r="R220" i="28"/>
  <c r="R128" i="28" s="1"/>
  <c r="Q220" i="28"/>
  <c r="Q128" i="28" s="1"/>
  <c r="AE219" i="28"/>
  <c r="AE124" i="28" s="1"/>
  <c r="AD219" i="28"/>
  <c r="AD124" i="28" s="1"/>
  <c r="AC219" i="28"/>
  <c r="AC124" i="28" s="1"/>
  <c r="AB219" i="28"/>
  <c r="AB124" i="28" s="1"/>
  <c r="AA219" i="28"/>
  <c r="AA124" i="28" s="1"/>
  <c r="Z219" i="28"/>
  <c r="Z124" i="28" s="1"/>
  <c r="Y219" i="28"/>
  <c r="Y124" i="28" s="1"/>
  <c r="X219" i="28"/>
  <c r="X124" i="28" s="1"/>
  <c r="W219" i="28"/>
  <c r="W124" i="28" s="1"/>
  <c r="V219" i="28"/>
  <c r="V124" i="28" s="1"/>
  <c r="U219" i="28"/>
  <c r="U124" i="28" s="1"/>
  <c r="T219" i="28"/>
  <c r="T124" i="28" s="1"/>
  <c r="S219" i="28"/>
  <c r="S124" i="28" s="1"/>
  <c r="R219" i="28"/>
  <c r="R124" i="28" s="1"/>
  <c r="Q219" i="28"/>
  <c r="Q124" i="28" s="1"/>
  <c r="AE218" i="28"/>
  <c r="AE120" i="28" s="1"/>
  <c r="AD218" i="28"/>
  <c r="AD120" i="28" s="1"/>
  <c r="AC218" i="28"/>
  <c r="AC120" i="28" s="1"/>
  <c r="AB218" i="28"/>
  <c r="AB120" i="28" s="1"/>
  <c r="AA218" i="28"/>
  <c r="AA120" i="28" s="1"/>
  <c r="Z218" i="28"/>
  <c r="Z120" i="28" s="1"/>
  <c r="Y218" i="28"/>
  <c r="Y120" i="28" s="1"/>
  <c r="X218" i="28"/>
  <c r="X120" i="28" s="1"/>
  <c r="W218" i="28"/>
  <c r="W120" i="28" s="1"/>
  <c r="V218" i="28"/>
  <c r="V120" i="28" s="1"/>
  <c r="U218" i="28"/>
  <c r="U120" i="28" s="1"/>
  <c r="T218" i="28"/>
  <c r="T120" i="28" s="1"/>
  <c r="S218" i="28"/>
  <c r="S120" i="28" s="1"/>
  <c r="R218" i="28"/>
  <c r="R120" i="28" s="1"/>
  <c r="Q218" i="28"/>
  <c r="Q120" i="28" s="1"/>
  <c r="AE217" i="28"/>
  <c r="AE116" i="28" s="1"/>
  <c r="AD217" i="28"/>
  <c r="AD116" i="28" s="1"/>
  <c r="AC217" i="28"/>
  <c r="AC116" i="28" s="1"/>
  <c r="AB217" i="28"/>
  <c r="AB116" i="28" s="1"/>
  <c r="AA217" i="28"/>
  <c r="AA116" i="28" s="1"/>
  <c r="Z217" i="28"/>
  <c r="Z116" i="28" s="1"/>
  <c r="Y217" i="28"/>
  <c r="Y116" i="28" s="1"/>
  <c r="X217" i="28"/>
  <c r="X116" i="28" s="1"/>
  <c r="W217" i="28"/>
  <c r="W116" i="28" s="1"/>
  <c r="V217" i="28"/>
  <c r="V116" i="28" s="1"/>
  <c r="U217" i="28"/>
  <c r="U116" i="28" s="1"/>
  <c r="T217" i="28"/>
  <c r="T116" i="28" s="1"/>
  <c r="S217" i="28"/>
  <c r="S116" i="28" s="1"/>
  <c r="R217" i="28"/>
  <c r="R116" i="28" s="1"/>
  <c r="Q217" i="28"/>
  <c r="Q116" i="28" s="1"/>
  <c r="AE216" i="28"/>
  <c r="AE111" i="28" s="1"/>
  <c r="AD216" i="28"/>
  <c r="AD111" i="28" s="1"/>
  <c r="AC216" i="28"/>
  <c r="AC111" i="28" s="1"/>
  <c r="AB216" i="28"/>
  <c r="AB111" i="28" s="1"/>
  <c r="AA216" i="28"/>
  <c r="AA111" i="28" s="1"/>
  <c r="Z216" i="28"/>
  <c r="Z111" i="28" s="1"/>
  <c r="Y216" i="28"/>
  <c r="Y111" i="28" s="1"/>
  <c r="X216" i="28"/>
  <c r="X111" i="28" s="1"/>
  <c r="W216" i="28"/>
  <c r="W111" i="28" s="1"/>
  <c r="V216" i="28"/>
  <c r="V111" i="28" s="1"/>
  <c r="U216" i="28"/>
  <c r="U111" i="28" s="1"/>
  <c r="T216" i="28"/>
  <c r="T111" i="28" s="1"/>
  <c r="S216" i="28"/>
  <c r="S111" i="28" s="1"/>
  <c r="R216" i="28"/>
  <c r="R111" i="28" s="1"/>
  <c r="Q216" i="28"/>
  <c r="Q111" i="28" s="1"/>
  <c r="AJ2" i="32" l="1"/>
  <c r="BL1" i="3"/>
  <c r="U160" i="28"/>
  <c r="U92" i="28" s="1"/>
  <c r="T160" i="28"/>
  <c r="T92" i="28" s="1"/>
  <c r="S160" i="28"/>
  <c r="S92" i="28" s="1"/>
  <c r="R160" i="28"/>
  <c r="R92" i="28" s="1"/>
  <c r="Q160" i="28"/>
  <c r="Q92" i="28" s="1"/>
  <c r="P160" i="28"/>
  <c r="P92" i="28" s="1"/>
  <c r="O160" i="28"/>
  <c r="O92" i="28" s="1"/>
  <c r="N160" i="28"/>
  <c r="N92" i="28" s="1"/>
  <c r="M160" i="28"/>
  <c r="M92" i="28" s="1"/>
  <c r="L160" i="28"/>
  <c r="L92" i="28" s="1"/>
  <c r="K160" i="28"/>
  <c r="K92" i="28" s="1"/>
  <c r="J160" i="28"/>
  <c r="J92" i="28" s="1"/>
  <c r="I160" i="28"/>
  <c r="I92" i="28" s="1"/>
  <c r="H160" i="28"/>
  <c r="H92" i="28" s="1"/>
  <c r="G160" i="28"/>
  <c r="G92" i="28" s="1"/>
  <c r="F160" i="28"/>
  <c r="F92" i="28" s="1"/>
  <c r="E160" i="28"/>
  <c r="E92" i="28" s="1"/>
  <c r="U159" i="28"/>
  <c r="U87" i="28" s="1"/>
  <c r="T159" i="28"/>
  <c r="T87" i="28" s="1"/>
  <c r="S159" i="28"/>
  <c r="S87" i="28" s="1"/>
  <c r="R159" i="28"/>
  <c r="R87" i="28" s="1"/>
  <c r="P159" i="28"/>
  <c r="P87" i="28" s="1"/>
  <c r="O159" i="28"/>
  <c r="O87" i="28" s="1"/>
  <c r="N159" i="28"/>
  <c r="N87" i="28" s="1"/>
  <c r="K159" i="28"/>
  <c r="K87" i="28" s="1"/>
  <c r="J159" i="28"/>
  <c r="J87" i="28" s="1"/>
  <c r="I159" i="28"/>
  <c r="I87" i="28" s="1"/>
  <c r="U158" i="28"/>
  <c r="U82" i="28" s="1"/>
  <c r="T158" i="28"/>
  <c r="T82" i="28" s="1"/>
  <c r="S158" i="28"/>
  <c r="S82" i="28" s="1"/>
  <c r="R158" i="28"/>
  <c r="R82" i="28" s="1"/>
  <c r="Q158" i="28"/>
  <c r="Q82" i="28" s="1"/>
  <c r="P158" i="28"/>
  <c r="P82" i="28" s="1"/>
  <c r="O158" i="28"/>
  <c r="O82" i="28" s="1"/>
  <c r="N158" i="28"/>
  <c r="N82" i="28" s="1"/>
  <c r="M158" i="28"/>
  <c r="M82" i="28" s="1"/>
  <c r="L158" i="28"/>
  <c r="L82" i="28" s="1"/>
  <c r="K158" i="28"/>
  <c r="K82" i="28" s="1"/>
  <c r="J158" i="28"/>
  <c r="J82" i="28" s="1"/>
  <c r="I158" i="28"/>
  <c r="I82" i="28" s="1"/>
  <c r="I85" i="28" s="1"/>
  <c r="H158" i="28"/>
  <c r="H82" i="28" s="1"/>
  <c r="H85" i="28" s="1"/>
  <c r="G158" i="28"/>
  <c r="G82" i="28" s="1"/>
  <c r="G85" i="28" s="1"/>
  <c r="F158" i="28"/>
  <c r="F82" i="28" s="1"/>
  <c r="F85" i="28" s="1"/>
  <c r="E158" i="28"/>
  <c r="E82" i="28" s="1"/>
  <c r="E85" i="28" s="1"/>
  <c r="U157" i="28"/>
  <c r="U76" i="28" s="1"/>
  <c r="T157" i="28"/>
  <c r="T76" i="28" s="1"/>
  <c r="S157" i="28"/>
  <c r="S76" i="28" s="1"/>
  <c r="R157" i="28"/>
  <c r="R76" i="28" s="1"/>
  <c r="Q157" i="28"/>
  <c r="Q76" i="28" s="1"/>
  <c r="P157" i="28"/>
  <c r="P76" i="28" s="1"/>
  <c r="O157" i="28"/>
  <c r="O76" i="28" s="1"/>
  <c r="N157" i="28"/>
  <c r="N76" i="28" s="1"/>
  <c r="M157" i="28"/>
  <c r="M76" i="28" s="1"/>
  <c r="L157" i="28"/>
  <c r="L76" i="28" s="1"/>
  <c r="K157" i="28"/>
  <c r="K76" i="28" s="1"/>
  <c r="J157" i="28"/>
  <c r="J76" i="28" s="1"/>
  <c r="I157" i="28"/>
  <c r="I76" i="28" s="1"/>
  <c r="H157" i="28"/>
  <c r="H76" i="28" s="1"/>
  <c r="G157" i="28"/>
  <c r="G76" i="28" s="1"/>
  <c r="F157" i="28"/>
  <c r="F76" i="28" s="1"/>
  <c r="E157" i="28"/>
  <c r="E76" i="28" s="1"/>
  <c r="U154" i="28"/>
  <c r="U70" i="28" s="1"/>
  <c r="T154" i="28"/>
  <c r="T70" i="28" s="1"/>
  <c r="S154" i="28"/>
  <c r="S70" i="28" s="1"/>
  <c r="R154" i="28"/>
  <c r="R70" i="28" s="1"/>
  <c r="Q154" i="28"/>
  <c r="Q70" i="28" s="1"/>
  <c r="P154" i="28"/>
  <c r="P70" i="28" s="1"/>
  <c r="O154" i="28"/>
  <c r="O70" i="28" s="1"/>
  <c r="N154" i="28"/>
  <c r="N70" i="28" s="1"/>
  <c r="M154" i="28"/>
  <c r="M70" i="28" s="1"/>
  <c r="L154" i="28"/>
  <c r="L70" i="28" s="1"/>
  <c r="K154" i="28"/>
  <c r="K70" i="28" s="1"/>
  <c r="J154" i="28"/>
  <c r="J70" i="28" s="1"/>
  <c r="I154" i="28"/>
  <c r="I70" i="28" s="1"/>
  <c r="H154" i="28"/>
  <c r="H70" i="28" s="1"/>
  <c r="G154" i="28"/>
  <c r="G70" i="28" s="1"/>
  <c r="F154" i="28"/>
  <c r="F70" i="28" s="1"/>
  <c r="E154" i="28"/>
  <c r="E70" i="28" s="1"/>
  <c r="U153" i="28"/>
  <c r="U65" i="28" s="1"/>
  <c r="T153" i="28"/>
  <c r="T65" i="28" s="1"/>
  <c r="S153" i="28"/>
  <c r="S65" i="28" s="1"/>
  <c r="R153" i="28"/>
  <c r="R65" i="28" s="1"/>
  <c r="P153" i="28"/>
  <c r="P65" i="28" s="1"/>
  <c r="O153" i="28"/>
  <c r="O65" i="28" s="1"/>
  <c r="N153" i="28"/>
  <c r="N65" i="28" s="1"/>
  <c r="M153" i="28"/>
  <c r="M65" i="28" s="1"/>
  <c r="L153" i="28"/>
  <c r="L65" i="28" s="1"/>
  <c r="K153" i="28"/>
  <c r="K65" i="28" s="1"/>
  <c r="J153" i="28"/>
  <c r="J65" i="28" s="1"/>
  <c r="I153" i="28"/>
  <c r="I65" i="28" s="1"/>
  <c r="H153" i="28"/>
  <c r="H65" i="28" s="1"/>
  <c r="G153" i="28"/>
  <c r="G65" i="28" s="1"/>
  <c r="F153" i="28"/>
  <c r="F65" i="28" s="1"/>
  <c r="E153" i="28"/>
  <c r="E65" i="28" s="1"/>
  <c r="U151" i="28"/>
  <c r="U55" i="28" s="1"/>
  <c r="T151" i="28"/>
  <c r="T55" i="28" s="1"/>
  <c r="S151" i="28"/>
  <c r="S55" i="28" s="1"/>
  <c r="R151" i="28"/>
  <c r="R55" i="28" s="1"/>
  <c r="P151" i="28"/>
  <c r="P55" i="28" s="1"/>
  <c r="O151" i="28"/>
  <c r="O55" i="28" s="1"/>
  <c r="N151" i="28"/>
  <c r="N55" i="28" s="1"/>
  <c r="M151" i="28"/>
  <c r="M55" i="28" s="1"/>
  <c r="L151" i="28"/>
  <c r="L55" i="28" s="1"/>
  <c r="K151" i="28"/>
  <c r="K55" i="28" s="1"/>
  <c r="J151" i="28"/>
  <c r="J55" i="28" s="1"/>
  <c r="I151" i="28"/>
  <c r="I55" i="28" s="1"/>
  <c r="H151" i="28"/>
  <c r="H55" i="28" s="1"/>
  <c r="G151" i="28"/>
  <c r="G55" i="28" s="1"/>
  <c r="F151" i="28"/>
  <c r="F55" i="28" s="1"/>
  <c r="E151" i="28"/>
  <c r="E55" i="28" s="1"/>
  <c r="U148" i="28"/>
  <c r="T148" i="28"/>
  <c r="S148" i="28"/>
  <c r="R148" i="28"/>
  <c r="Q148" i="28"/>
  <c r="P148" i="28"/>
  <c r="O148" i="28"/>
  <c r="N148" i="28"/>
  <c r="M148" i="28"/>
  <c r="L148" i="28"/>
  <c r="K148" i="28"/>
  <c r="J148" i="28"/>
  <c r="I148" i="28"/>
  <c r="H148" i="28"/>
  <c r="G148" i="28"/>
  <c r="F148" i="28"/>
  <c r="E148" i="28"/>
  <c r="U147" i="28"/>
  <c r="U44" i="28" s="1"/>
  <c r="T147" i="28"/>
  <c r="T44" i="28" s="1"/>
  <c r="S147" i="28"/>
  <c r="S44" i="28" s="1"/>
  <c r="R147" i="28"/>
  <c r="R44" i="28" s="1"/>
  <c r="Q147" i="28"/>
  <c r="Q44" i="28" s="1"/>
  <c r="P147" i="28"/>
  <c r="P44" i="28" s="1"/>
  <c r="O147" i="28"/>
  <c r="O44" i="28" s="1"/>
  <c r="N147" i="28"/>
  <c r="N44" i="28" s="1"/>
  <c r="M147" i="28"/>
  <c r="M44" i="28" s="1"/>
  <c r="L147" i="28"/>
  <c r="L44" i="28" s="1"/>
  <c r="K147" i="28"/>
  <c r="K44" i="28" s="1"/>
  <c r="J147" i="28"/>
  <c r="J44" i="28" s="1"/>
  <c r="I147" i="28"/>
  <c r="I44" i="28" s="1"/>
  <c r="H147" i="28"/>
  <c r="H44" i="28" s="1"/>
  <c r="G147" i="28"/>
  <c r="G44" i="28" s="1"/>
  <c r="F147" i="28"/>
  <c r="F44" i="28" s="1"/>
  <c r="E147" i="28"/>
  <c r="E44" i="28" s="1"/>
  <c r="U146" i="28"/>
  <c r="U39" i="28" s="1"/>
  <c r="T146" i="28"/>
  <c r="T39" i="28" s="1"/>
  <c r="S146" i="28"/>
  <c r="S39" i="28" s="1"/>
  <c r="R146" i="28"/>
  <c r="R39" i="28" s="1"/>
  <c r="Q146" i="28"/>
  <c r="Q39" i="28" s="1"/>
  <c r="P146" i="28"/>
  <c r="P39" i="28" s="1"/>
  <c r="O146" i="28"/>
  <c r="O39" i="28" s="1"/>
  <c r="N146" i="28"/>
  <c r="N39" i="28" s="1"/>
  <c r="M146" i="28"/>
  <c r="M39" i="28" s="1"/>
  <c r="L146" i="28"/>
  <c r="L39" i="28" s="1"/>
  <c r="K146" i="28"/>
  <c r="K39" i="28" s="1"/>
  <c r="J146" i="28"/>
  <c r="J39" i="28" s="1"/>
  <c r="I146" i="28"/>
  <c r="I39" i="28" s="1"/>
  <c r="H146" i="28"/>
  <c r="H39" i="28" s="1"/>
  <c r="G146" i="28"/>
  <c r="G39" i="28" s="1"/>
  <c r="F146" i="28"/>
  <c r="F39" i="28" s="1"/>
  <c r="I143" i="28"/>
  <c r="I33" i="28" s="1"/>
  <c r="I36" i="28" s="1"/>
  <c r="H143" i="28"/>
  <c r="H33" i="28" s="1"/>
  <c r="H36" i="28" s="1"/>
  <c r="G143" i="28"/>
  <c r="G33" i="28" s="1"/>
  <c r="G36" i="28" s="1"/>
  <c r="F143" i="28"/>
  <c r="F33" i="28" s="1"/>
  <c r="F36" i="28" s="1"/>
  <c r="E143" i="28"/>
  <c r="E33" i="28" s="1"/>
  <c r="E36" i="28" s="1"/>
  <c r="W142" i="28"/>
  <c r="W28" i="28" s="1"/>
  <c r="V142" i="28"/>
  <c r="V28" i="28" s="1"/>
  <c r="U142" i="28"/>
  <c r="U28" i="28" s="1"/>
  <c r="T142" i="28"/>
  <c r="T28" i="28" s="1"/>
  <c r="S142" i="28"/>
  <c r="S28" i="28" s="1"/>
  <c r="R142" i="28"/>
  <c r="R28" i="28" s="1"/>
  <c r="Q142" i="28"/>
  <c r="Q28" i="28" s="1"/>
  <c r="P142" i="28"/>
  <c r="P28" i="28" s="1"/>
  <c r="O142" i="28"/>
  <c r="O28" i="28" s="1"/>
  <c r="N142" i="28"/>
  <c r="N28" i="28" s="1"/>
  <c r="M142" i="28"/>
  <c r="M28" i="28" s="1"/>
  <c r="L142" i="28"/>
  <c r="L28" i="28" s="1"/>
  <c r="K142" i="28"/>
  <c r="K28" i="28" s="1"/>
  <c r="J142" i="28"/>
  <c r="J28" i="28" s="1"/>
  <c r="I142" i="28"/>
  <c r="I28" i="28" s="1"/>
  <c r="H142" i="28"/>
  <c r="H28" i="28" s="1"/>
  <c r="G142" i="28"/>
  <c r="G28" i="28" s="1"/>
  <c r="F142" i="28"/>
  <c r="F28" i="28" s="1"/>
  <c r="E142" i="28"/>
  <c r="E28" i="28" s="1"/>
  <c r="U141" i="28"/>
  <c r="U23" i="28" s="1"/>
  <c r="T141" i="28"/>
  <c r="T23" i="28" s="1"/>
  <c r="S141" i="28"/>
  <c r="S23" i="28" s="1"/>
  <c r="R141" i="28"/>
  <c r="R23" i="28" s="1"/>
  <c r="Q141" i="28"/>
  <c r="Q23" i="28" s="1"/>
  <c r="P141" i="28"/>
  <c r="P23" i="28" s="1"/>
  <c r="O141" i="28"/>
  <c r="O23" i="28" s="1"/>
  <c r="U140" i="28"/>
  <c r="U18" i="28" s="1"/>
  <c r="T140" i="28"/>
  <c r="T18" i="28" s="1"/>
  <c r="S140" i="28"/>
  <c r="S18" i="28" s="1"/>
  <c r="R140" i="28"/>
  <c r="R18" i="28" s="1"/>
  <c r="Q140" i="28"/>
  <c r="Q18" i="28" s="1"/>
  <c r="P140" i="28"/>
  <c r="P18" i="28" s="1"/>
  <c r="O140" i="28"/>
  <c r="O18" i="28" s="1"/>
  <c r="AK2" i="32" l="1"/>
  <c r="BM1" i="3"/>
  <c r="R42" i="28"/>
  <c r="R41" i="28"/>
  <c r="R68" i="28"/>
  <c r="R67" i="28"/>
  <c r="U85" i="28"/>
  <c r="U84" i="28"/>
  <c r="Q26" i="28"/>
  <c r="Q25" i="28"/>
  <c r="L31" i="28"/>
  <c r="L30" i="28"/>
  <c r="R31" i="28"/>
  <c r="R30" i="28"/>
  <c r="G42" i="28"/>
  <c r="G41" i="28"/>
  <c r="M41" i="28"/>
  <c r="M42" i="28"/>
  <c r="S41" i="28"/>
  <c r="S42" i="28"/>
  <c r="H46" i="28"/>
  <c r="H47" i="28"/>
  <c r="N47" i="28"/>
  <c r="N46" i="28"/>
  <c r="T46" i="28"/>
  <c r="T47" i="28"/>
  <c r="J57" i="28"/>
  <c r="J58" i="28"/>
  <c r="P58" i="28"/>
  <c r="P57" i="28"/>
  <c r="F68" i="28"/>
  <c r="F67" i="28"/>
  <c r="L68" i="28"/>
  <c r="L67" i="28"/>
  <c r="S68" i="28"/>
  <c r="S67" i="28"/>
  <c r="H73" i="28"/>
  <c r="H72" i="28"/>
  <c r="N73" i="28"/>
  <c r="N72" i="28"/>
  <c r="T73" i="28"/>
  <c r="T72" i="28"/>
  <c r="I79" i="28"/>
  <c r="I78" i="28"/>
  <c r="O79" i="28"/>
  <c r="O78" i="28"/>
  <c r="U79" i="28"/>
  <c r="U78" i="28"/>
  <c r="J84" i="28"/>
  <c r="J85" i="28"/>
  <c r="P84" i="28"/>
  <c r="P85" i="28"/>
  <c r="I90" i="28"/>
  <c r="I89" i="28"/>
  <c r="R90" i="28"/>
  <c r="R89" i="28"/>
  <c r="G95" i="28"/>
  <c r="G94" i="28"/>
  <c r="M94" i="28"/>
  <c r="M95" i="28"/>
  <c r="S95" i="28"/>
  <c r="S94" i="28"/>
  <c r="F41" i="28"/>
  <c r="F42" i="28"/>
  <c r="I58" i="28"/>
  <c r="I57" i="28"/>
  <c r="H79" i="28"/>
  <c r="H78" i="28"/>
  <c r="R95" i="28"/>
  <c r="R94" i="28"/>
  <c r="S31" i="28"/>
  <c r="S30" i="28"/>
  <c r="T41" i="28"/>
  <c r="T42" i="28"/>
  <c r="I46" i="28"/>
  <c r="I47" i="28"/>
  <c r="O46" i="28"/>
  <c r="O47" i="28"/>
  <c r="U47" i="28"/>
  <c r="U46" i="28"/>
  <c r="E58" i="28"/>
  <c r="E57" i="28"/>
  <c r="K57" i="28"/>
  <c r="K58" i="28"/>
  <c r="R57" i="28"/>
  <c r="R58" i="28"/>
  <c r="G68" i="28"/>
  <c r="G67" i="28"/>
  <c r="M68" i="28"/>
  <c r="M67" i="28"/>
  <c r="T68" i="28"/>
  <c r="T67" i="28"/>
  <c r="I73" i="28"/>
  <c r="I72" i="28"/>
  <c r="O73" i="28"/>
  <c r="O72" i="28"/>
  <c r="U73" i="28"/>
  <c r="U72" i="28"/>
  <c r="J79" i="28"/>
  <c r="J78" i="28"/>
  <c r="P78" i="28"/>
  <c r="P79" i="28"/>
  <c r="K84" i="28"/>
  <c r="K85" i="28"/>
  <c r="Q84" i="28"/>
  <c r="Q85" i="28"/>
  <c r="J90" i="28"/>
  <c r="J89" i="28"/>
  <c r="S90" i="28"/>
  <c r="S89" i="28"/>
  <c r="H95" i="28"/>
  <c r="H94" i="28"/>
  <c r="N94" i="28"/>
  <c r="N95" i="28"/>
  <c r="T95" i="28"/>
  <c r="T94" i="28"/>
  <c r="Q31" i="28"/>
  <c r="Q30" i="28"/>
  <c r="M47" i="28"/>
  <c r="M46" i="28"/>
  <c r="O58" i="28"/>
  <c r="O57" i="28"/>
  <c r="M73" i="28"/>
  <c r="M72" i="28"/>
  <c r="F95" i="28"/>
  <c r="F94" i="28"/>
  <c r="M31" i="28"/>
  <c r="M30" i="28"/>
  <c r="N41" i="28"/>
  <c r="N42" i="28"/>
  <c r="S26" i="28"/>
  <c r="S25" i="28"/>
  <c r="N30" i="28"/>
  <c r="N31" i="28"/>
  <c r="T31" i="28"/>
  <c r="T30" i="28"/>
  <c r="I41" i="28"/>
  <c r="I42" i="28"/>
  <c r="O42" i="28"/>
  <c r="O41" i="28"/>
  <c r="U41" i="28"/>
  <c r="U42" i="28"/>
  <c r="J47" i="28"/>
  <c r="J46" i="28"/>
  <c r="P47" i="28"/>
  <c r="P46" i="28"/>
  <c r="F58" i="28"/>
  <c r="F57" i="28"/>
  <c r="L57" i="28"/>
  <c r="L58" i="28"/>
  <c r="S57" i="28"/>
  <c r="S58" i="28"/>
  <c r="H68" i="28"/>
  <c r="H67" i="28"/>
  <c r="N68" i="28"/>
  <c r="N67" i="28"/>
  <c r="U68" i="28"/>
  <c r="U67" i="28"/>
  <c r="J72" i="28"/>
  <c r="J73" i="28"/>
  <c r="P73" i="28"/>
  <c r="P72" i="28"/>
  <c r="E78" i="28"/>
  <c r="E79" i="28"/>
  <c r="K79" i="28"/>
  <c r="K78" i="28"/>
  <c r="Q78" i="28"/>
  <c r="Q79" i="28"/>
  <c r="L85" i="28"/>
  <c r="L84" i="28"/>
  <c r="R85" i="28"/>
  <c r="R84" i="28"/>
  <c r="K90" i="28"/>
  <c r="K89" i="28"/>
  <c r="T90" i="28"/>
  <c r="T89" i="28"/>
  <c r="I95" i="28"/>
  <c r="I94" i="28"/>
  <c r="O95" i="28"/>
  <c r="O94" i="28"/>
  <c r="U95" i="28"/>
  <c r="U94" i="28"/>
  <c r="P25" i="28"/>
  <c r="P26" i="28"/>
  <c r="W31" i="28"/>
  <c r="W30" i="28"/>
  <c r="S46" i="28"/>
  <c r="S47" i="28"/>
  <c r="E67" i="28"/>
  <c r="E68" i="28"/>
  <c r="G73" i="28"/>
  <c r="G72" i="28"/>
  <c r="T79" i="28"/>
  <c r="T78" i="28"/>
  <c r="P90" i="28"/>
  <c r="P89" i="28"/>
  <c r="H42" i="28"/>
  <c r="H41" i="28"/>
  <c r="T25" i="28"/>
  <c r="T26" i="28"/>
  <c r="O30" i="28"/>
  <c r="O31" i="28"/>
  <c r="U31" i="28"/>
  <c r="U30" i="28"/>
  <c r="J42" i="28"/>
  <c r="J41" i="28"/>
  <c r="P42" i="28"/>
  <c r="P41" i="28"/>
  <c r="E47" i="28"/>
  <c r="E46" i="28"/>
  <c r="K47" i="28"/>
  <c r="K46" i="28"/>
  <c r="Q47" i="28"/>
  <c r="Q46" i="28"/>
  <c r="G57" i="28"/>
  <c r="G58" i="28"/>
  <c r="M57" i="28"/>
  <c r="M58" i="28"/>
  <c r="T57" i="28"/>
  <c r="T58" i="28"/>
  <c r="I68" i="28"/>
  <c r="I67" i="28"/>
  <c r="O68" i="28"/>
  <c r="O67" i="28"/>
  <c r="E73" i="28"/>
  <c r="E72" i="28"/>
  <c r="K72" i="28"/>
  <c r="K73" i="28"/>
  <c r="Q73" i="28"/>
  <c r="Q72" i="28"/>
  <c r="F79" i="28"/>
  <c r="F78" i="28"/>
  <c r="L79" i="28"/>
  <c r="L78" i="28"/>
  <c r="R79" i="28"/>
  <c r="R78" i="28"/>
  <c r="M85" i="28"/>
  <c r="M84" i="28"/>
  <c r="S85" i="28"/>
  <c r="S84" i="28"/>
  <c r="N89" i="28"/>
  <c r="N90" i="28"/>
  <c r="U90" i="28"/>
  <c r="U89" i="28"/>
  <c r="J95" i="28"/>
  <c r="J94" i="28"/>
  <c r="P95" i="28"/>
  <c r="P94" i="28"/>
  <c r="K31" i="28"/>
  <c r="K30" i="28"/>
  <c r="L41" i="28"/>
  <c r="L42" i="28"/>
  <c r="G46" i="28"/>
  <c r="G47" i="28"/>
  <c r="K68" i="28"/>
  <c r="K67" i="28"/>
  <c r="S73" i="28"/>
  <c r="S72" i="28"/>
  <c r="N79" i="28"/>
  <c r="N78" i="28"/>
  <c r="O85" i="28"/>
  <c r="O84" i="28"/>
  <c r="L95" i="28"/>
  <c r="L94" i="28"/>
  <c r="R25" i="28"/>
  <c r="R26" i="28"/>
  <c r="O25" i="28"/>
  <c r="O26" i="28"/>
  <c r="U25" i="28"/>
  <c r="U26" i="28"/>
  <c r="J31" i="28"/>
  <c r="J30" i="28"/>
  <c r="P31" i="28"/>
  <c r="P30" i="28"/>
  <c r="V31" i="28"/>
  <c r="V30" i="28"/>
  <c r="K42" i="28"/>
  <c r="K41" i="28"/>
  <c r="Q42" i="28"/>
  <c r="Q41" i="28"/>
  <c r="F47" i="28"/>
  <c r="F46" i="28"/>
  <c r="L46" i="28"/>
  <c r="L47" i="28"/>
  <c r="R46" i="28"/>
  <c r="R47" i="28"/>
  <c r="H58" i="28"/>
  <c r="H57" i="28"/>
  <c r="N57" i="28"/>
  <c r="N58" i="28"/>
  <c r="U58" i="28"/>
  <c r="U57" i="28"/>
  <c r="J67" i="28"/>
  <c r="J68" i="28"/>
  <c r="P68" i="28"/>
  <c r="P67" i="28"/>
  <c r="F73" i="28"/>
  <c r="F72" i="28"/>
  <c r="L73" i="28"/>
  <c r="L72" i="28"/>
  <c r="R73" i="28"/>
  <c r="R72" i="28"/>
  <c r="G79" i="28"/>
  <c r="G78" i="28"/>
  <c r="M79" i="28"/>
  <c r="M78" i="28"/>
  <c r="S79" i="28"/>
  <c r="S78" i="28"/>
  <c r="N85" i="28"/>
  <c r="N84" i="28"/>
  <c r="T85" i="28"/>
  <c r="T84" i="28"/>
  <c r="O90" i="28"/>
  <c r="O89" i="28"/>
  <c r="E95" i="28"/>
  <c r="E94" i="28"/>
  <c r="K95" i="28"/>
  <c r="K94" i="28"/>
  <c r="Q95" i="28"/>
  <c r="Q94" i="28"/>
  <c r="P20" i="28"/>
  <c r="P21" i="28"/>
  <c r="Q20" i="28"/>
  <c r="Q21" i="28"/>
  <c r="R21" i="28"/>
  <c r="R20" i="28"/>
  <c r="S20" i="28"/>
  <c r="S21" i="28"/>
  <c r="T20" i="28"/>
  <c r="T21" i="28"/>
  <c r="O20" i="28"/>
  <c r="O21" i="28"/>
  <c r="U20" i="28"/>
  <c r="U21" i="28"/>
  <c r="D160" i="28"/>
  <c r="D92" i="28" s="1"/>
  <c r="D158" i="28"/>
  <c r="D82" i="28" s="1"/>
  <c r="D85" i="28" s="1"/>
  <c r="D154" i="28"/>
  <c r="D70" i="28" s="1"/>
  <c r="D153" i="28"/>
  <c r="D65" i="28" s="1"/>
  <c r="D151" i="28"/>
  <c r="D55" i="28" s="1"/>
  <c r="D148" i="28"/>
  <c r="D147" i="28"/>
  <c r="D44" i="28" s="1"/>
  <c r="D143" i="28"/>
  <c r="D33" i="28" s="1"/>
  <c r="D36" i="28" s="1"/>
  <c r="D142" i="28"/>
  <c r="D28" i="28" s="1"/>
  <c r="AL2" i="32" l="1"/>
  <c r="BN1" i="3"/>
  <c r="D73" i="28"/>
  <c r="D72" i="28"/>
  <c r="D95" i="28"/>
  <c r="D94" i="28"/>
  <c r="D47" i="28"/>
  <c r="D46" i="28"/>
  <c r="D58" i="28"/>
  <c r="D57" i="28"/>
  <c r="D68" i="28"/>
  <c r="D67" i="28"/>
  <c r="AH94" i="4"/>
  <c r="AM2" i="32" l="1"/>
  <c r="BO1" i="3"/>
  <c r="AI403" i="3"/>
  <c r="AN2" i="32" l="1"/>
  <c r="BP1" i="3"/>
  <c r="V158" i="28"/>
  <c r="V82" i="28" s="1"/>
  <c r="AO2" i="32" l="1"/>
  <c r="BQ1" i="3"/>
  <c r="V85" i="28"/>
  <c r="V84" i="28"/>
  <c r="AP2" i="32" l="1"/>
  <c r="BR1" i="3"/>
  <c r="V148" i="28"/>
  <c r="AQ2" i="32" l="1"/>
  <c r="BS1" i="3"/>
  <c r="V160" i="28"/>
  <c r="V92" i="28" s="1"/>
  <c r="AD217" i="3"/>
  <c r="AE217" i="3"/>
  <c r="AF217" i="3"/>
  <c r="AG217" i="3"/>
  <c r="AH217" i="3"/>
  <c r="AI325" i="3"/>
  <c r="AI217" i="3"/>
  <c r="AI390" i="3"/>
  <c r="AI380" i="3"/>
  <c r="AR2" i="32" l="1"/>
  <c r="BT1" i="3"/>
  <c r="V95" i="28"/>
  <c r="V94" i="28"/>
  <c r="AK321" i="4"/>
  <c r="X160" i="28" s="1"/>
  <c r="X92" i="28" s="1"/>
  <c r="W160" i="28"/>
  <c r="W92" i="28" s="1"/>
  <c r="AL138" i="4"/>
  <c r="AM138" i="4" s="1"/>
  <c r="AN138" i="4" s="1"/>
  <c r="AO138" i="4" s="1"/>
  <c r="AP138" i="4" s="1"/>
  <c r="AQ138" i="4" s="1"/>
  <c r="AR138" i="4" s="1"/>
  <c r="AS2" i="32" l="1"/>
  <c r="W95" i="28"/>
  <c r="W94" i="28"/>
  <c r="X95" i="28"/>
  <c r="X94" i="28"/>
  <c r="G4" i="6"/>
  <c r="AJ69" i="4" l="1"/>
  <c r="AK69" i="4" s="1"/>
  <c r="AL69" i="4" s="1"/>
  <c r="AM69" i="4" s="1"/>
  <c r="AN69" i="4" s="1"/>
  <c r="AO69" i="4" s="1"/>
  <c r="AP69" i="4" s="1"/>
  <c r="AQ69" i="4" s="1"/>
  <c r="AR69" i="4" s="1"/>
  <c r="BK467" i="4"/>
  <c r="BL467" i="4"/>
  <c r="BM467" i="4"/>
  <c r="BN467" i="4"/>
  <c r="BH336" i="4"/>
  <c r="BI336" i="4"/>
  <c r="AK141" i="4"/>
  <c r="AL141" i="4" s="1"/>
  <c r="AM141" i="4" s="1"/>
  <c r="AN141" i="4" s="1"/>
  <c r="AO141" i="4" s="1"/>
  <c r="AP141" i="4" s="1"/>
  <c r="AQ141" i="4" s="1"/>
  <c r="AR141" i="4" s="1"/>
  <c r="AJ184" i="4" l="1"/>
  <c r="AK184" i="4" s="1"/>
  <c r="AL184" i="4" s="1"/>
  <c r="AM184" i="4" s="1"/>
  <c r="AN184" i="4" s="1"/>
  <c r="AO184" i="4" s="1"/>
  <c r="AP184" i="4" s="1"/>
  <c r="AQ184" i="4" s="1"/>
  <c r="AR184" i="4" s="1"/>
  <c r="AJ106" i="4"/>
  <c r="AK106" i="4" s="1"/>
  <c r="AL106" i="4" s="1"/>
  <c r="AM106" i="4" s="1"/>
  <c r="AN106" i="4" s="1"/>
  <c r="AO106" i="4" s="1"/>
  <c r="AP106" i="4" s="1"/>
  <c r="AQ106" i="4" s="1"/>
  <c r="AR106" i="4" s="1"/>
  <c r="AD407" i="4"/>
  <c r="AE407" i="4"/>
  <c r="AF407" i="4"/>
  <c r="AG407" i="4"/>
  <c r="AH407" i="4"/>
  <c r="AI407" i="4"/>
  <c r="AC407" i="4"/>
  <c r="AJ260" i="4" l="1"/>
  <c r="AK260" i="4" s="1"/>
  <c r="AL260" i="4" s="1"/>
  <c r="AM260" i="4" s="1"/>
  <c r="AN260" i="4" s="1"/>
  <c r="AO260" i="4" s="1"/>
  <c r="AP260" i="4" s="1"/>
  <c r="AQ260" i="4" s="1"/>
  <c r="AR260" i="4" s="1"/>
  <c r="AJ336" i="4"/>
  <c r="AO358" i="4"/>
  <c r="AP358" i="4" s="1"/>
  <c r="AQ358" i="4" s="1"/>
  <c r="AR358" i="4" s="1"/>
  <c r="W158" i="28"/>
  <c r="W82" i="28" s="1"/>
  <c r="AL320" i="4"/>
  <c r="AM320" i="4"/>
  <c r="AO320" i="4" s="1"/>
  <c r="AQ320" i="4" s="1"/>
  <c r="AO352" i="4"/>
  <c r="AM284" i="4"/>
  <c r="AN284" i="4" s="1"/>
  <c r="AO284" i="4" s="1"/>
  <c r="AP284" i="4" s="1"/>
  <c r="AQ284" i="4" s="1"/>
  <c r="AR284" i="4" s="1"/>
  <c r="BF261" i="4"/>
  <c r="BF262" i="4"/>
  <c r="BF263" i="4"/>
  <c r="AQ285" i="4"/>
  <c r="AJ240" i="4"/>
  <c r="AK240" i="4" s="1"/>
  <c r="AL240" i="4" s="1"/>
  <c r="AM240" i="4" s="1"/>
  <c r="AN240" i="4" s="1"/>
  <c r="AO240" i="4" s="1"/>
  <c r="AP240" i="4" s="1"/>
  <c r="AQ240" i="4" s="1"/>
  <c r="AR240" i="4" s="1"/>
  <c r="AK283" i="4"/>
  <c r="AL283" i="4" s="1"/>
  <c r="AM283" i="4" s="1"/>
  <c r="AN320" i="4" l="1"/>
  <c r="AP320" i="4" s="1"/>
  <c r="AR320" i="4" s="1"/>
  <c r="BK320" i="4"/>
  <c r="W85" i="28"/>
  <c r="W84" i="28"/>
  <c r="BJ322" i="4"/>
  <c r="AP158" i="28" s="1"/>
  <c r="AP82" i="28" s="1"/>
  <c r="AL322" i="4"/>
  <c r="AM322" i="4" s="1"/>
  <c r="AN322" i="4" s="1"/>
  <c r="AO322" i="4" s="1"/>
  <c r="AP322" i="4" s="1"/>
  <c r="AQ322" i="4" s="1"/>
  <c r="AN283" i="4"/>
  <c r="AM359" i="4"/>
  <c r="AK336" i="4"/>
  <c r="AJ407" i="4"/>
  <c r="AJ248" i="4"/>
  <c r="AK248" i="4" s="1"/>
  <c r="AP352" i="4"/>
  <c r="AP85" i="28" l="1"/>
  <c r="AP84" i="28"/>
  <c r="X158" i="28"/>
  <c r="X82" i="28" s="1"/>
  <c r="AO283" i="4"/>
  <c r="AN359" i="4"/>
  <c r="AL336" i="4"/>
  <c r="AK407" i="4"/>
  <c r="AQ352" i="4"/>
  <c r="AR352" i="4" s="1"/>
  <c r="AL248" i="4"/>
  <c r="AM248" i="4" s="1"/>
  <c r="BJ248" i="4"/>
  <c r="Y158" i="28" l="1"/>
  <c r="Y82" i="28" s="1"/>
  <c r="Y84" i="28" s="1"/>
  <c r="AR322" i="4"/>
  <c r="X85" i="28"/>
  <c r="X84" i="28"/>
  <c r="BK248" i="4"/>
  <c r="AP283" i="4"/>
  <c r="AO359" i="4"/>
  <c r="AM336" i="4"/>
  <c r="AL407" i="4"/>
  <c r="AN248" i="4"/>
  <c r="AO248" i="4" s="1"/>
  <c r="Y85" i="28" l="1"/>
  <c r="AQ283" i="4"/>
  <c r="AP359" i="4"/>
  <c r="AN336" i="4"/>
  <c r="AM407" i="4"/>
  <c r="BL248" i="4"/>
  <c r="AP248" i="4"/>
  <c r="AQ248" i="4" s="1"/>
  <c r="AR283" i="4" l="1"/>
  <c r="AR359" i="4" s="1"/>
  <c r="AQ359" i="4"/>
  <c r="AO336" i="4"/>
  <c r="AN407" i="4"/>
  <c r="BM248" i="4"/>
  <c r="AR248" i="4"/>
  <c r="BN248" i="4" s="1"/>
  <c r="AP336" i="4" l="1"/>
  <c r="AO407" i="4"/>
  <c r="AB184" i="4"/>
  <c r="AC223" i="4"/>
  <c r="AE223" i="4"/>
  <c r="AG223" i="4"/>
  <c r="AQ336" i="4" l="1"/>
  <c r="AP407" i="4"/>
  <c r="AT465" i="4"/>
  <c r="AU465" i="4"/>
  <c r="AV465" i="4"/>
  <c r="AW465" i="4"/>
  <c r="AX465" i="4"/>
  <c r="AY465" i="4"/>
  <c r="AZ465" i="4"/>
  <c r="BA465" i="4"/>
  <c r="BB465" i="4"/>
  <c r="AT466" i="4"/>
  <c r="AU466" i="4"/>
  <c r="AV466" i="4"/>
  <c r="AW466" i="4"/>
  <c r="AX466" i="4"/>
  <c r="AY466" i="4"/>
  <c r="AZ466" i="4"/>
  <c r="BA466" i="4"/>
  <c r="BB466" i="4"/>
  <c r="AT467" i="4"/>
  <c r="AU467" i="4"/>
  <c r="AV467" i="4"/>
  <c r="AW467" i="4"/>
  <c r="AX467" i="4"/>
  <c r="AY467" i="4"/>
  <c r="AZ467" i="4"/>
  <c r="BA467" i="4"/>
  <c r="BB467" i="4"/>
  <c r="AT393" i="4"/>
  <c r="AU393" i="4"/>
  <c r="AV393" i="4"/>
  <c r="AW393" i="4"/>
  <c r="AX393" i="4"/>
  <c r="AT394" i="4"/>
  <c r="AU394" i="4"/>
  <c r="AV394" i="4"/>
  <c r="AW394" i="4"/>
  <c r="AX394" i="4"/>
  <c r="AT395" i="4"/>
  <c r="AU395" i="4"/>
  <c r="AV395" i="4"/>
  <c r="AW395" i="4"/>
  <c r="AX395" i="4"/>
  <c r="AT322" i="4"/>
  <c r="AU322" i="4"/>
  <c r="AV322" i="4"/>
  <c r="AW322" i="4"/>
  <c r="AX322" i="4"/>
  <c r="AY322" i="4"/>
  <c r="AZ322" i="4"/>
  <c r="BA322" i="4"/>
  <c r="AG158" i="28" s="1"/>
  <c r="AG82" i="28" s="1"/>
  <c r="BB322" i="4"/>
  <c r="AH158" i="28" s="1"/>
  <c r="AH82" i="28" s="1"/>
  <c r="BC322" i="4"/>
  <c r="AI158" i="28" s="1"/>
  <c r="AI82" i="28" s="1"/>
  <c r="BD322" i="4"/>
  <c r="AJ158" i="28" s="1"/>
  <c r="AJ82" i="28" s="1"/>
  <c r="BE322" i="4"/>
  <c r="AK158" i="28" s="1"/>
  <c r="AK82" i="28" s="1"/>
  <c r="BF322" i="4"/>
  <c r="AL158" i="28" s="1"/>
  <c r="AL82" i="28" s="1"/>
  <c r="BG322" i="4"/>
  <c r="AM158" i="28" s="1"/>
  <c r="AM82" i="28" s="1"/>
  <c r="BH322" i="4"/>
  <c r="AN158" i="28" s="1"/>
  <c r="AN82" i="28" s="1"/>
  <c r="BI322" i="4"/>
  <c r="AO158" i="28" s="1"/>
  <c r="AO82" i="28" s="1"/>
  <c r="AT323" i="4"/>
  <c r="AU323" i="4"/>
  <c r="AV323" i="4"/>
  <c r="AW323" i="4"/>
  <c r="AX323" i="4"/>
  <c r="AY323" i="4"/>
  <c r="AZ323" i="4"/>
  <c r="BA323" i="4"/>
  <c r="BB323" i="4"/>
  <c r="BC323" i="4"/>
  <c r="BD323" i="4"/>
  <c r="BE323" i="4"/>
  <c r="BF323" i="4"/>
  <c r="BG323" i="4"/>
  <c r="BH323" i="4"/>
  <c r="BI323" i="4"/>
  <c r="AT324" i="4"/>
  <c r="AU324" i="4"/>
  <c r="AV324" i="4"/>
  <c r="AW324" i="4"/>
  <c r="AX324" i="4"/>
  <c r="AY324" i="4"/>
  <c r="AZ324" i="4"/>
  <c r="BA324" i="4"/>
  <c r="BB324" i="4"/>
  <c r="BC324" i="4"/>
  <c r="BD324" i="4"/>
  <c r="BE324" i="4"/>
  <c r="BF324" i="4"/>
  <c r="BG324" i="4"/>
  <c r="BH324" i="4"/>
  <c r="BI324" i="4"/>
  <c r="AT246" i="4"/>
  <c r="AU246" i="4"/>
  <c r="AV246" i="4"/>
  <c r="AW246" i="4"/>
  <c r="AX246" i="4"/>
  <c r="AY246" i="4"/>
  <c r="AZ246" i="4"/>
  <c r="BA246" i="4"/>
  <c r="BB246" i="4"/>
  <c r="BC246" i="4"/>
  <c r="BD246" i="4"/>
  <c r="BE246" i="4"/>
  <c r="BF246" i="4"/>
  <c r="BG246" i="4"/>
  <c r="BH246" i="4"/>
  <c r="BI246" i="4"/>
  <c r="AT247" i="4"/>
  <c r="AU247" i="4"/>
  <c r="AV247" i="4"/>
  <c r="AW247" i="4"/>
  <c r="AX247" i="4"/>
  <c r="AY247" i="4"/>
  <c r="AZ247" i="4"/>
  <c r="BA247" i="4"/>
  <c r="BB247" i="4"/>
  <c r="BC247" i="4"/>
  <c r="BD247" i="4"/>
  <c r="BE247" i="4"/>
  <c r="BF247" i="4"/>
  <c r="BG247" i="4"/>
  <c r="BH247" i="4"/>
  <c r="BI247" i="4"/>
  <c r="AT248" i="4"/>
  <c r="AU248" i="4"/>
  <c r="AV248" i="4"/>
  <c r="AW248" i="4"/>
  <c r="AX248" i="4"/>
  <c r="AY248" i="4"/>
  <c r="AZ248" i="4"/>
  <c r="BA248" i="4"/>
  <c r="BB248" i="4"/>
  <c r="BC248" i="4"/>
  <c r="BD248" i="4"/>
  <c r="BE248" i="4"/>
  <c r="BF248" i="4"/>
  <c r="BG248" i="4"/>
  <c r="BH248" i="4"/>
  <c r="BI248" i="4"/>
  <c r="AT170" i="4"/>
  <c r="AU170" i="4"/>
  <c r="AV170" i="4"/>
  <c r="AW170" i="4"/>
  <c r="AX170" i="4"/>
  <c r="AY170" i="4"/>
  <c r="AZ170" i="4"/>
  <c r="BA170" i="4"/>
  <c r="BB170" i="4"/>
  <c r="BC170" i="4"/>
  <c r="BD170" i="4"/>
  <c r="BE170" i="4"/>
  <c r="BF170" i="4"/>
  <c r="BG170" i="4"/>
  <c r="BH170" i="4"/>
  <c r="AT171" i="4"/>
  <c r="AU171" i="4"/>
  <c r="AV171" i="4"/>
  <c r="AW171" i="4"/>
  <c r="AX171" i="4"/>
  <c r="AY171" i="4"/>
  <c r="AZ171" i="4"/>
  <c r="BA171" i="4"/>
  <c r="BB171" i="4"/>
  <c r="BC171" i="4"/>
  <c r="BD171" i="4"/>
  <c r="BE171" i="4"/>
  <c r="BF171" i="4"/>
  <c r="BG171" i="4"/>
  <c r="BH171" i="4"/>
  <c r="AT172" i="4"/>
  <c r="AU172" i="4"/>
  <c r="AV172" i="4"/>
  <c r="AW172" i="4"/>
  <c r="AX172" i="4"/>
  <c r="AY172" i="4"/>
  <c r="AZ172" i="4"/>
  <c r="BA172" i="4"/>
  <c r="BB172" i="4"/>
  <c r="BC172" i="4"/>
  <c r="BD172" i="4"/>
  <c r="BE172" i="4"/>
  <c r="BF172" i="4"/>
  <c r="BG172" i="4"/>
  <c r="BH172" i="4"/>
  <c r="BI170" i="4"/>
  <c r="BI171" i="4"/>
  <c r="BI172" i="4"/>
  <c r="AT92" i="4"/>
  <c r="AU92" i="4"/>
  <c r="AV92" i="4"/>
  <c r="AW92" i="4"/>
  <c r="AX92" i="4"/>
  <c r="AY92" i="4"/>
  <c r="AZ92" i="4"/>
  <c r="BA92" i="4"/>
  <c r="AG142" i="28" s="1"/>
  <c r="AG28" i="28" s="1"/>
  <c r="BB92" i="4"/>
  <c r="AH142" i="28" s="1"/>
  <c r="AH28" i="28" s="1"/>
  <c r="BC92" i="4"/>
  <c r="AI142" i="28" s="1"/>
  <c r="AI28" i="28" s="1"/>
  <c r="AT93" i="4"/>
  <c r="AU93" i="4"/>
  <c r="AV93" i="4"/>
  <c r="AW93" i="4"/>
  <c r="AX93" i="4"/>
  <c r="AY93" i="4"/>
  <c r="AZ93" i="4"/>
  <c r="BA93" i="4"/>
  <c r="AG143" i="28" s="1"/>
  <c r="AG33" i="28" s="1"/>
  <c r="BB93" i="4"/>
  <c r="AH143" i="28" s="1"/>
  <c r="AH33" i="28" s="1"/>
  <c r="BC93" i="4"/>
  <c r="AI143" i="28" s="1"/>
  <c r="AI33" i="28" s="1"/>
  <c r="AT94" i="4"/>
  <c r="AU94" i="4"/>
  <c r="AV94" i="4"/>
  <c r="AW94" i="4"/>
  <c r="AX94" i="4"/>
  <c r="AY94" i="4"/>
  <c r="AZ94" i="4"/>
  <c r="BA94" i="4"/>
  <c r="BB94" i="4"/>
  <c r="BC94" i="4"/>
  <c r="W93" i="4"/>
  <c r="J143" i="28" s="1"/>
  <c r="J33" i="28" s="1"/>
  <c r="J36" i="28" s="1"/>
  <c r="X93" i="4"/>
  <c r="X94" i="4"/>
  <c r="X467" i="4" s="1"/>
  <c r="W94" i="4"/>
  <c r="W467" i="4" s="1"/>
  <c r="Y94" i="4"/>
  <c r="Y467" i="4" s="1"/>
  <c r="Z94" i="4"/>
  <c r="Z467" i="4" s="1"/>
  <c r="Y93" i="4"/>
  <c r="L143" i="28" s="1"/>
  <c r="L33" i="28" s="1"/>
  <c r="Z93" i="4"/>
  <c r="M143" i="28" s="1"/>
  <c r="M33" i="28" s="1"/>
  <c r="X151" i="4"/>
  <c r="Z151" i="4"/>
  <c r="AB151" i="4"/>
  <c r="AD151" i="4"/>
  <c r="AF151" i="4"/>
  <c r="AF149" i="4"/>
  <c r="AH151" i="4"/>
  <c r="AH149" i="4"/>
  <c r="AA93" i="4"/>
  <c r="AA94" i="4"/>
  <c r="AB94" i="4"/>
  <c r="AB467" i="4" s="1"/>
  <c r="U173" i="4"/>
  <c r="V173" i="4"/>
  <c r="W173" i="4"/>
  <c r="X173" i="4"/>
  <c r="Y173" i="4"/>
  <c r="Z173" i="4"/>
  <c r="AA173" i="4"/>
  <c r="AB173" i="4"/>
  <c r="AC173" i="4"/>
  <c r="AD173" i="4"/>
  <c r="AE173" i="4"/>
  <c r="AF173" i="4"/>
  <c r="AG173" i="4"/>
  <c r="U95" i="4"/>
  <c r="V95" i="4"/>
  <c r="AC94" i="4"/>
  <c r="AC467" i="4" s="1"/>
  <c r="AD94" i="4"/>
  <c r="AC93" i="4"/>
  <c r="AD93" i="4"/>
  <c r="U325" i="4"/>
  <c r="V325" i="4"/>
  <c r="W325" i="4"/>
  <c r="X325" i="4"/>
  <c r="Y325" i="4"/>
  <c r="Z325" i="4"/>
  <c r="AA325" i="4"/>
  <c r="AB325" i="4"/>
  <c r="AC325" i="4"/>
  <c r="AD325" i="4"/>
  <c r="U465" i="4"/>
  <c r="V465" i="4"/>
  <c r="W465" i="4"/>
  <c r="X465" i="4"/>
  <c r="Y465" i="4"/>
  <c r="Z465" i="4"/>
  <c r="AA465" i="4"/>
  <c r="AB465" i="4"/>
  <c r="AC465" i="4"/>
  <c r="AD465" i="4"/>
  <c r="U466" i="4"/>
  <c r="V466" i="4"/>
  <c r="U467" i="4"/>
  <c r="V467" i="4"/>
  <c r="AE465" i="4"/>
  <c r="AF465" i="4"/>
  <c r="AF94" i="4"/>
  <c r="AF467" i="4" s="1"/>
  <c r="AG94" i="4"/>
  <c r="AG467" i="4" s="1"/>
  <c r="AE94" i="4"/>
  <c r="AE325" i="4"/>
  <c r="AF325" i="4"/>
  <c r="AE93" i="4"/>
  <c r="R143" i="28" s="1"/>
  <c r="R33" i="28" s="1"/>
  <c r="AF93" i="4"/>
  <c r="S143" i="28" s="1"/>
  <c r="S33" i="28" s="1"/>
  <c r="AG465" i="4"/>
  <c r="AT678" i="4"/>
  <c r="AU678" i="4"/>
  <c r="AV678" i="4"/>
  <c r="AW678" i="4"/>
  <c r="AX678" i="4"/>
  <c r="AY678" i="4"/>
  <c r="AZ678" i="4"/>
  <c r="BA678" i="4"/>
  <c r="BB678" i="4"/>
  <c r="BC678" i="4"/>
  <c r="BD678" i="4"/>
  <c r="BE678" i="4"/>
  <c r="BF678" i="4"/>
  <c r="BG678" i="4"/>
  <c r="BH678" i="4"/>
  <c r="BI678" i="4"/>
  <c r="AT679" i="4"/>
  <c r="AU679" i="4"/>
  <c r="AV679" i="4"/>
  <c r="AW679" i="4"/>
  <c r="AX679" i="4"/>
  <c r="AY679" i="4"/>
  <c r="AZ679" i="4"/>
  <c r="BA679" i="4"/>
  <c r="BB679" i="4"/>
  <c r="BC679" i="4"/>
  <c r="BD679" i="4"/>
  <c r="BE679" i="4"/>
  <c r="BF679" i="4"/>
  <c r="BG679" i="4"/>
  <c r="BH679" i="4"/>
  <c r="BI679" i="4"/>
  <c r="AT680" i="4"/>
  <c r="AU680" i="4"/>
  <c r="AV680" i="4"/>
  <c r="AW680" i="4"/>
  <c r="AX680" i="4"/>
  <c r="AY680" i="4"/>
  <c r="AZ680" i="4"/>
  <c r="BA680" i="4"/>
  <c r="BB680" i="4"/>
  <c r="BC680" i="4"/>
  <c r="BD680" i="4"/>
  <c r="BE680" i="4"/>
  <c r="BF680" i="4"/>
  <c r="BG680" i="4"/>
  <c r="BH680" i="4"/>
  <c r="BI680" i="4"/>
  <c r="AI678" i="4"/>
  <c r="AI679" i="4"/>
  <c r="AI680" i="4"/>
  <c r="M393" i="4"/>
  <c r="N393" i="4"/>
  <c r="O393" i="4"/>
  <c r="P393" i="4"/>
  <c r="Q393" i="4"/>
  <c r="R393" i="4"/>
  <c r="S393" i="4"/>
  <c r="T393" i="4"/>
  <c r="U393" i="4"/>
  <c r="V393" i="4"/>
  <c r="W393" i="4"/>
  <c r="X393" i="4"/>
  <c r="Y393" i="4"/>
  <c r="Z393" i="4"/>
  <c r="M394" i="4"/>
  <c r="N394" i="4"/>
  <c r="O394" i="4"/>
  <c r="P394" i="4"/>
  <c r="Q394" i="4"/>
  <c r="R394" i="4"/>
  <c r="S394" i="4"/>
  <c r="T394" i="4"/>
  <c r="U394" i="4"/>
  <c r="V394" i="4"/>
  <c r="W394" i="4"/>
  <c r="X394" i="4"/>
  <c r="Y394" i="4"/>
  <c r="Z394" i="4"/>
  <c r="M395" i="4"/>
  <c r="N395" i="4"/>
  <c r="O395" i="4"/>
  <c r="P395" i="4"/>
  <c r="Q395" i="4"/>
  <c r="R395" i="4"/>
  <c r="S395" i="4"/>
  <c r="T395" i="4"/>
  <c r="U395" i="4"/>
  <c r="V395" i="4"/>
  <c r="W395" i="4"/>
  <c r="X395" i="4"/>
  <c r="Y395" i="4"/>
  <c r="Z395" i="4"/>
  <c r="AA393" i="4"/>
  <c r="AB393" i="4"/>
  <c r="AC393" i="4"/>
  <c r="AD393" i="4"/>
  <c r="AE393" i="4"/>
  <c r="AF393" i="4"/>
  <c r="AG393" i="4"/>
  <c r="AH393" i="4"/>
  <c r="AA394" i="4"/>
  <c r="AB394" i="4"/>
  <c r="AC394" i="4"/>
  <c r="AD394" i="4"/>
  <c r="AE394" i="4"/>
  <c r="AF394" i="4"/>
  <c r="AG394" i="4"/>
  <c r="AH394" i="4"/>
  <c r="AA395" i="4"/>
  <c r="AB395" i="4"/>
  <c r="AC395" i="4"/>
  <c r="AD395" i="4"/>
  <c r="AE395" i="4"/>
  <c r="AF395" i="4"/>
  <c r="AG395" i="4"/>
  <c r="AH395" i="4"/>
  <c r="AG325" i="4"/>
  <c r="AH325" i="4"/>
  <c r="AH173" i="4"/>
  <c r="AG93" i="4"/>
  <c r="AH93" i="4"/>
  <c r="Q24" i="4"/>
  <c r="R24" i="4"/>
  <c r="Q23" i="4"/>
  <c r="R23" i="4"/>
  <c r="S23" i="4"/>
  <c r="T23" i="4"/>
  <c r="U23" i="4"/>
  <c r="V23" i="4"/>
  <c r="AT24" i="4"/>
  <c r="AU24" i="4"/>
  <c r="AV24" i="4"/>
  <c r="AT25" i="4"/>
  <c r="AU25" i="4"/>
  <c r="AV25" i="4"/>
  <c r="AT26" i="4"/>
  <c r="AU26" i="4"/>
  <c r="AV26" i="4"/>
  <c r="AW24" i="4"/>
  <c r="AX24" i="4"/>
  <c r="AY24" i="4"/>
  <c r="AZ24" i="4"/>
  <c r="BB24" i="4"/>
  <c r="BC24" i="4"/>
  <c r="AW25" i="4"/>
  <c r="AX25" i="4"/>
  <c r="AY25" i="4"/>
  <c r="AZ25" i="4"/>
  <c r="BA25" i="4"/>
  <c r="BB25" i="4"/>
  <c r="BC25" i="4"/>
  <c r="AW26" i="4"/>
  <c r="AX26" i="4"/>
  <c r="AY26" i="4"/>
  <c r="AZ26" i="4"/>
  <c r="BA26" i="4"/>
  <c r="BB26" i="4"/>
  <c r="BC26" i="4"/>
  <c r="BD24" i="4"/>
  <c r="BE24" i="4"/>
  <c r="BD25" i="4"/>
  <c r="BE25" i="4"/>
  <c r="BD26" i="4"/>
  <c r="BE26" i="4"/>
  <c r="BF24" i="4"/>
  <c r="BG24" i="4"/>
  <c r="BH24" i="4"/>
  <c r="BG25" i="4"/>
  <c r="BH25" i="4"/>
  <c r="BI25" i="4"/>
  <c r="BF26" i="4"/>
  <c r="BG26" i="4"/>
  <c r="BH26" i="4"/>
  <c r="BI26" i="4"/>
  <c r="W23" i="4"/>
  <c r="X23" i="4"/>
  <c r="Y23" i="4"/>
  <c r="Z23" i="4"/>
  <c r="AA23" i="4"/>
  <c r="AB23" i="4"/>
  <c r="AB25" i="4"/>
  <c r="AC23" i="4"/>
  <c r="AD23" i="4"/>
  <c r="AE23" i="4"/>
  <c r="AF23" i="4"/>
  <c r="AG23" i="4"/>
  <c r="AH23" i="4"/>
  <c r="AH24" i="4"/>
  <c r="BJ92" i="4"/>
  <c r="AP142" i="28" s="1"/>
  <c r="AP28" i="28" s="1"/>
  <c r="AN125" i="4"/>
  <c r="AO125" i="4" s="1"/>
  <c r="AP125" i="4" s="1"/>
  <c r="AQ125" i="4" s="1"/>
  <c r="AR125" i="4" s="1"/>
  <c r="K8" i="32" l="1"/>
  <c r="O8" i="32"/>
  <c r="J8" i="32"/>
  <c r="G8" i="32"/>
  <c r="F8" i="32"/>
  <c r="P8" i="32"/>
  <c r="H8" i="32"/>
  <c r="S8" i="32"/>
  <c r="N8" i="32"/>
  <c r="M8" i="32"/>
  <c r="D8" i="32"/>
  <c r="T8" i="32"/>
  <c r="BF25" i="4"/>
  <c r="I8" i="32"/>
  <c r="E8" i="32"/>
  <c r="R8" i="32"/>
  <c r="Q8" i="32"/>
  <c r="L8" i="32"/>
  <c r="C8" i="32"/>
  <c r="AC27" i="4"/>
  <c r="U27" i="4"/>
  <c r="AF27" i="4"/>
  <c r="BI24" i="4"/>
  <c r="X27" i="4"/>
  <c r="W27" i="4"/>
  <c r="T27" i="4"/>
  <c r="AE27" i="4"/>
  <c r="Z27" i="4"/>
  <c r="AG27" i="4"/>
  <c r="S27" i="4"/>
  <c r="AA27" i="4"/>
  <c r="Y27" i="4"/>
  <c r="V27" i="4"/>
  <c r="AJ679" i="4"/>
  <c r="AK679" i="4" s="1"/>
  <c r="AL679" i="4" s="1"/>
  <c r="AM679" i="4" s="1"/>
  <c r="AN679" i="4" s="1"/>
  <c r="AO679" i="4" s="1"/>
  <c r="AI466" i="4"/>
  <c r="AJ466" i="4" s="1"/>
  <c r="AK466" i="4" s="1"/>
  <c r="AL466" i="4" s="1"/>
  <c r="AM466" i="4" s="1"/>
  <c r="AN466" i="4" s="1"/>
  <c r="AO466" i="4" s="1"/>
  <c r="AJ678" i="4"/>
  <c r="AK678" i="4" s="1"/>
  <c r="AI465" i="4"/>
  <c r="AJ680" i="4"/>
  <c r="AK680" i="4" s="1"/>
  <c r="AL680" i="4" s="1"/>
  <c r="AM680" i="4" s="1"/>
  <c r="AN680" i="4" s="1"/>
  <c r="AO680" i="4" s="1"/>
  <c r="AJ85" i="28"/>
  <c r="AJ84" i="28"/>
  <c r="AI31" i="28"/>
  <c r="AI30" i="28"/>
  <c r="AO85" i="28"/>
  <c r="AO84" i="28"/>
  <c r="AI85" i="28"/>
  <c r="AI84" i="28"/>
  <c r="AH84" i="28"/>
  <c r="AH85" i="28"/>
  <c r="AN84" i="28"/>
  <c r="AN85" i="28"/>
  <c r="M35" i="28"/>
  <c r="M36" i="28"/>
  <c r="AI36" i="28"/>
  <c r="AI35" i="28"/>
  <c r="AG30" i="28"/>
  <c r="AG31" i="28"/>
  <c r="AM84" i="28"/>
  <c r="AM85" i="28"/>
  <c r="AG84" i="28"/>
  <c r="AG85" i="28"/>
  <c r="AP31" i="28"/>
  <c r="AP30" i="28"/>
  <c r="L36" i="28"/>
  <c r="L35" i="28"/>
  <c r="AH35" i="28"/>
  <c r="AH36" i="28"/>
  <c r="AL84" i="28"/>
  <c r="AL85" i="28"/>
  <c r="R35" i="28"/>
  <c r="R36" i="28"/>
  <c r="AH30" i="28"/>
  <c r="AH31" i="28"/>
  <c r="S36" i="28"/>
  <c r="S35" i="28"/>
  <c r="AG35" i="28"/>
  <c r="AG36" i="28"/>
  <c r="AK85" i="28"/>
  <c r="AK84" i="28"/>
  <c r="AA466" i="4"/>
  <c r="N143" i="28"/>
  <c r="N33" i="28" s="1"/>
  <c r="AM92" i="4"/>
  <c r="X142" i="28"/>
  <c r="X28" i="28" s="1"/>
  <c r="AH466" i="4"/>
  <c r="U143" i="28"/>
  <c r="U33" i="28" s="1"/>
  <c r="AN92" i="4"/>
  <c r="Y142" i="28"/>
  <c r="Y28" i="28" s="1"/>
  <c r="AD466" i="4"/>
  <c r="Q143" i="28"/>
  <c r="Q33" i="28" s="1"/>
  <c r="AB158" i="28"/>
  <c r="AB82" i="28" s="1"/>
  <c r="Z158" i="28"/>
  <c r="Z82" i="28" s="1"/>
  <c r="X466" i="4"/>
  <c r="K143" i="28"/>
  <c r="K33" i="28" s="1"/>
  <c r="K36" i="28" s="1"/>
  <c r="AG466" i="4"/>
  <c r="T143" i="28"/>
  <c r="T33" i="28" s="1"/>
  <c r="AC466" i="4"/>
  <c r="P143" i="28"/>
  <c r="P33" i="28" s="1"/>
  <c r="BI173" i="4"/>
  <c r="AR336" i="4"/>
  <c r="AR407" i="4" s="1"/>
  <c r="AQ407" i="4"/>
  <c r="AJ323" i="4"/>
  <c r="AK323" i="4" s="1"/>
  <c r="AL323" i="4" s="1"/>
  <c r="AM323" i="4" s="1"/>
  <c r="AJ324" i="4"/>
  <c r="AK324" i="4" s="1"/>
  <c r="AJ170" i="4"/>
  <c r="AK170" i="4" s="1"/>
  <c r="AJ171" i="4"/>
  <c r="AK171" i="4" s="1"/>
  <c r="AJ172" i="4"/>
  <c r="AK172" i="4" s="1"/>
  <c r="BK92" i="4"/>
  <c r="AQ142" i="28" s="1"/>
  <c r="AQ28" i="28" s="1"/>
  <c r="AD95" i="4"/>
  <c r="BF395" i="4"/>
  <c r="BH395" i="4"/>
  <c r="BI394" i="4"/>
  <c r="BF394" i="4"/>
  <c r="BG393" i="4"/>
  <c r="BE394" i="4"/>
  <c r="AY394" i="4"/>
  <c r="BC393" i="4"/>
  <c r="AZ393" i="4"/>
  <c r="BH393" i="4"/>
  <c r="AY395" i="4"/>
  <c r="BA393" i="4"/>
  <c r="BD173" i="4"/>
  <c r="AD467" i="4"/>
  <c r="BG467" i="4" s="1"/>
  <c r="BF173" i="4"/>
  <c r="BC173" i="4"/>
  <c r="AC95" i="4"/>
  <c r="Y95" i="4"/>
  <c r="W95" i="4"/>
  <c r="BH173" i="4"/>
  <c r="AA95" i="4"/>
  <c r="BE395" i="4"/>
  <c r="AA467" i="4"/>
  <c r="BF467" i="4" s="1"/>
  <c r="BC467" i="4"/>
  <c r="BE465" i="4"/>
  <c r="BG325" i="4"/>
  <c r="BD325" i="4"/>
  <c r="BD94" i="4"/>
  <c r="BH325" i="4"/>
  <c r="BD467" i="4"/>
  <c r="W466" i="4"/>
  <c r="BF465" i="4"/>
  <c r="BE173" i="4"/>
  <c r="X95" i="4"/>
  <c r="BI393" i="4"/>
  <c r="BA395" i="4"/>
  <c r="BH94" i="4"/>
  <c r="BE325" i="4"/>
  <c r="BC95" i="4"/>
  <c r="BG173" i="4"/>
  <c r="BE93" i="4"/>
  <c r="AK143" i="28" s="1"/>
  <c r="AK33" i="28" s="1"/>
  <c r="BD93" i="4"/>
  <c r="AJ143" i="28" s="1"/>
  <c r="AJ33" i="28" s="1"/>
  <c r="AB93" i="4"/>
  <c r="BJ678" i="4"/>
  <c r="BE94" i="4"/>
  <c r="BG395" i="4"/>
  <c r="Y466" i="4"/>
  <c r="BG465" i="4"/>
  <c r="BD465" i="4"/>
  <c r="BG94" i="4"/>
  <c r="AZ395" i="4"/>
  <c r="BA394" i="4"/>
  <c r="AY393" i="4"/>
  <c r="AE467" i="4"/>
  <c r="BH467" i="4" s="1"/>
  <c r="BC395" i="4"/>
  <c r="BD394" i="4"/>
  <c r="BE393" i="4"/>
  <c r="BB393" i="4"/>
  <c r="AE95" i="4"/>
  <c r="BJ680" i="4"/>
  <c r="AH467" i="4"/>
  <c r="BI467" i="4" s="1"/>
  <c r="BH465" i="4"/>
  <c r="BF325" i="4"/>
  <c r="BC325" i="4"/>
  <c r="BB395" i="4"/>
  <c r="BC394" i="4"/>
  <c r="AZ394" i="4"/>
  <c r="BD393" i="4"/>
  <c r="AF466" i="4"/>
  <c r="AF95" i="4"/>
  <c r="BI94" i="4"/>
  <c r="Z95" i="4"/>
  <c r="Z466" i="4"/>
  <c r="BH93" i="4"/>
  <c r="AN143" i="28" s="1"/>
  <c r="AN33" i="28" s="1"/>
  <c r="AE466" i="4"/>
  <c r="BC465" i="4"/>
  <c r="BI325" i="4"/>
  <c r="BH394" i="4"/>
  <c r="BF393" i="4"/>
  <c r="BE467" i="4"/>
  <c r="BG93" i="4"/>
  <c r="AM143" i="28" s="1"/>
  <c r="AM33" i="28" s="1"/>
  <c r="BI395" i="4"/>
  <c r="BG394" i="4"/>
  <c r="AH465" i="4"/>
  <c r="BC466" i="4"/>
  <c r="BF94" i="4"/>
  <c r="BD395" i="4"/>
  <c r="BB394" i="4"/>
  <c r="BI93" i="4"/>
  <c r="AO143" i="28" s="1"/>
  <c r="AO33" i="28" s="1"/>
  <c r="AG95" i="4"/>
  <c r="Q27" i="4"/>
  <c r="R27" i="4"/>
  <c r="AH95" i="4"/>
  <c r="AB27" i="4"/>
  <c r="BA24" i="4"/>
  <c r="AH27" i="4"/>
  <c r="BJ679" i="4" l="1"/>
  <c r="BK679" i="4"/>
  <c r="BG466" i="4"/>
  <c r="BD466" i="4"/>
  <c r="BI466" i="4"/>
  <c r="BC27" i="4"/>
  <c r="Z72" i="3"/>
  <c r="K9" i="32" s="1"/>
  <c r="U72" i="3"/>
  <c r="F9" i="32" s="1"/>
  <c r="BB27" i="4"/>
  <c r="AA72" i="3"/>
  <c r="L9" i="32" s="1"/>
  <c r="X72" i="3"/>
  <c r="I9" i="32" s="1"/>
  <c r="V72" i="3"/>
  <c r="G9" i="32" s="1"/>
  <c r="AI72" i="3"/>
  <c r="T9" i="32" s="1"/>
  <c r="AC72" i="3"/>
  <c r="N9" i="32" s="1"/>
  <c r="W72" i="3"/>
  <c r="H9" i="32" s="1"/>
  <c r="AB72" i="3"/>
  <c r="M9" i="32" s="1"/>
  <c r="S72" i="3"/>
  <c r="D9" i="32" s="1"/>
  <c r="R72" i="3"/>
  <c r="C9" i="32" s="1"/>
  <c r="T72" i="3"/>
  <c r="E9" i="32" s="1"/>
  <c r="AG72" i="3"/>
  <c r="R9" i="32" s="1"/>
  <c r="BL679" i="4"/>
  <c r="BL92" i="4"/>
  <c r="AR142" i="28" s="1"/>
  <c r="AR28" i="28" s="1"/>
  <c r="AR30" i="28" s="1"/>
  <c r="AH72" i="3"/>
  <c r="S9" i="32" s="1"/>
  <c r="AF72" i="3"/>
  <c r="Q9" i="32" s="1"/>
  <c r="Y72" i="3"/>
  <c r="J9" i="32" s="1"/>
  <c r="AD72" i="3"/>
  <c r="O9" i="32" s="1"/>
  <c r="BL680" i="4"/>
  <c r="BK680" i="4"/>
  <c r="AM36" i="28"/>
  <c r="AM35" i="28"/>
  <c r="AJ36" i="28"/>
  <c r="AJ35" i="28"/>
  <c r="AK35" i="28"/>
  <c r="AK36" i="28"/>
  <c r="N35" i="28"/>
  <c r="N36" i="28"/>
  <c r="AO36" i="28"/>
  <c r="AO35" i="28"/>
  <c r="U35" i="28"/>
  <c r="U36" i="28"/>
  <c r="T36" i="28"/>
  <c r="T35" i="28"/>
  <c r="Q36" i="28"/>
  <c r="Q35" i="28"/>
  <c r="X31" i="28"/>
  <c r="X30" i="28"/>
  <c r="Y31" i="28"/>
  <c r="Y30" i="28"/>
  <c r="P36" i="28"/>
  <c r="P35" i="28"/>
  <c r="Z85" i="28"/>
  <c r="Z84" i="28"/>
  <c r="AB84" i="28"/>
  <c r="AB85" i="28"/>
  <c r="AN35" i="28"/>
  <c r="AN36" i="28"/>
  <c r="AQ31" i="28"/>
  <c r="AQ30" i="28"/>
  <c r="AB95" i="4"/>
  <c r="O143" i="28"/>
  <c r="O33" i="28" s="1"/>
  <c r="AO92" i="4"/>
  <c r="Z142" i="28"/>
  <c r="Z28" i="28" s="1"/>
  <c r="AC158" i="28"/>
  <c r="AC82" i="28" s="1"/>
  <c r="AP92" i="4"/>
  <c r="AC142" i="28" s="1"/>
  <c r="AC28" i="28" s="1"/>
  <c r="AA142" i="28"/>
  <c r="AA28" i="28" s="1"/>
  <c r="BH466" i="4"/>
  <c r="BJ323" i="4"/>
  <c r="BE466" i="4"/>
  <c r="BI465" i="4"/>
  <c r="BJ324" i="4"/>
  <c r="BK322" i="4"/>
  <c r="BO322" i="4" s="1"/>
  <c r="AN323" i="4"/>
  <c r="AO323" i="4" s="1"/>
  <c r="AA158" i="28"/>
  <c r="AA82" i="28" s="1"/>
  <c r="AL324" i="4"/>
  <c r="AM324" i="4" s="1"/>
  <c r="BK323" i="4"/>
  <c r="BJ170" i="4"/>
  <c r="BJ172" i="4"/>
  <c r="BJ171" i="4"/>
  <c r="AL171" i="4"/>
  <c r="AM171" i="4" s="1"/>
  <c r="AL170" i="4"/>
  <c r="AM170" i="4" s="1"/>
  <c r="AL172" i="4"/>
  <c r="AM172" i="4" s="1"/>
  <c r="AB466" i="4"/>
  <c r="BF466" i="4" s="1"/>
  <c r="BM679" i="4"/>
  <c r="BA27" i="4"/>
  <c r="BF93" i="4"/>
  <c r="AL143" i="28" s="1"/>
  <c r="AL33" i="28" s="1"/>
  <c r="AH150" i="4"/>
  <c r="BH95" i="4"/>
  <c r="AP680" i="4"/>
  <c r="AQ680" i="4" s="1"/>
  <c r="AR680" i="4" s="1"/>
  <c r="AL678" i="4"/>
  <c r="BK678" i="4" s="1"/>
  <c r="AP679" i="4"/>
  <c r="AQ679" i="4" s="1"/>
  <c r="AR679" i="4" s="1"/>
  <c r="BI95" i="4"/>
  <c r="AF150" i="4"/>
  <c r="BM680" i="4"/>
  <c r="BE92" i="4"/>
  <c r="AK142" i="28" s="1"/>
  <c r="AK28" i="28" s="1"/>
  <c r="BD92" i="4"/>
  <c r="AJ142" i="28" s="1"/>
  <c r="AJ28" i="28" s="1"/>
  <c r="AJ90" i="4"/>
  <c r="AK90" i="4" s="1"/>
  <c r="AL90" i="4" s="1"/>
  <c r="AM90" i="4" s="1"/>
  <c r="AN90" i="4" s="1"/>
  <c r="AO90" i="4" s="1"/>
  <c r="AP90" i="4" s="1"/>
  <c r="AQ90" i="4" s="1"/>
  <c r="AR90" i="4" s="1"/>
  <c r="BF92" i="4"/>
  <c r="AL142" i="28" s="1"/>
  <c r="AL28" i="28" s="1"/>
  <c r="BG92" i="4"/>
  <c r="AM142" i="28" s="1"/>
  <c r="AM28" i="28" s="1"/>
  <c r="BH92" i="4"/>
  <c r="AN142" i="28" s="1"/>
  <c r="AN28" i="28" s="1"/>
  <c r="BI92" i="4"/>
  <c r="AO142" i="28" s="1"/>
  <c r="AO28" i="28" s="1"/>
  <c r="AJ273" i="4"/>
  <c r="AK273" i="4" s="1"/>
  <c r="AL273" i="4" s="1"/>
  <c r="AM273" i="4" s="1"/>
  <c r="AN273" i="4" s="1"/>
  <c r="AO273" i="4" s="1"/>
  <c r="AP273" i="4" s="1"/>
  <c r="AQ273" i="4" s="1"/>
  <c r="AR273" i="4" s="1"/>
  <c r="AI560" i="3"/>
  <c r="AI567" i="3" s="1"/>
  <c r="AI24" i="3" s="1"/>
  <c r="AJ24" i="3" s="1"/>
  <c r="AI550" i="3"/>
  <c r="AI549" i="3"/>
  <c r="AI548" i="3"/>
  <c r="AI547" i="3"/>
  <c r="AI540" i="3"/>
  <c r="AI539" i="3"/>
  <c r="AI538" i="3"/>
  <c r="AI405" i="3"/>
  <c r="AI462" i="3"/>
  <c r="AH312" i="3"/>
  <c r="AI312" i="3"/>
  <c r="AI570" i="3" s="1"/>
  <c r="AI291" i="3"/>
  <c r="AI192" i="3"/>
  <c r="AI171" i="3"/>
  <c r="AI187" i="3" s="1"/>
  <c r="AI209" i="3" s="1"/>
  <c r="AI137" i="3"/>
  <c r="AI116" i="3"/>
  <c r="AI107" i="3"/>
  <c r="AI106" i="3"/>
  <c r="AI95" i="3"/>
  <c r="AI85" i="3"/>
  <c r="AI342" i="3" s="1"/>
  <c r="AH243" i="4"/>
  <c r="AG177" i="4"/>
  <c r="AH31" i="4"/>
  <c r="AH16" i="4"/>
  <c r="AI64" i="3" s="1"/>
  <c r="AH13" i="4"/>
  <c r="AI41" i="3"/>
  <c r="AI43" i="3" s="1"/>
  <c r="AJ43" i="3" s="1"/>
  <c r="AJ41" i="3" s="1"/>
  <c r="AI62" i="3"/>
  <c r="T4" i="32" s="1"/>
  <c r="AI65" i="3"/>
  <c r="AI66" i="3"/>
  <c r="AI69" i="3"/>
  <c r="T5" i="32" s="1"/>
  <c r="AI70" i="3"/>
  <c r="T7" i="32" s="1"/>
  <c r="AI71" i="3"/>
  <c r="AI74" i="3"/>
  <c r="AI75" i="3"/>
  <c r="T13" i="32" s="1"/>
  <c r="AI78" i="3"/>
  <c r="AI79" i="3"/>
  <c r="AI80" i="3"/>
  <c r="AI82" i="3" s="1"/>
  <c r="AI96" i="3" s="1"/>
  <c r="AI161" i="3"/>
  <c r="AI222" i="3"/>
  <c r="AI223" i="3"/>
  <c r="AI224" i="3"/>
  <c r="AI225" i="3"/>
  <c r="AI227" i="3"/>
  <c r="AI228" i="3"/>
  <c r="AI229" i="3"/>
  <c r="AI230" i="3"/>
  <c r="AI231" i="3"/>
  <c r="AI54" i="3" s="1"/>
  <c r="AI244" i="3"/>
  <c r="AI245" i="3"/>
  <c r="AI246" i="3"/>
  <c r="AI248" i="3"/>
  <c r="AI249" i="3"/>
  <c r="AI250" i="3"/>
  <c r="AI251" i="3"/>
  <c r="AI252" i="3"/>
  <c r="AI279" i="3"/>
  <c r="AI281" i="3" s="1"/>
  <c r="AI316" i="3"/>
  <c r="AI347" i="3"/>
  <c r="AI354" i="3"/>
  <c r="AI385" i="3"/>
  <c r="AI446" i="3"/>
  <c r="AI447" i="3"/>
  <c r="AI448" i="3"/>
  <c r="AI449" i="3"/>
  <c r="AI453" i="3"/>
  <c r="AI460" i="3"/>
  <c r="AI464" i="3"/>
  <c r="AI477" i="3"/>
  <c r="AI537" i="3"/>
  <c r="AI569" i="3"/>
  <c r="AI571" i="3"/>
  <c r="AH42" i="4"/>
  <c r="AI51" i="4" s="1"/>
  <c r="AH49" i="4"/>
  <c r="AH52" i="4"/>
  <c r="AH55" i="4"/>
  <c r="AH56" i="4"/>
  <c r="AH58" i="4"/>
  <c r="AH62" i="4"/>
  <c r="AH87" i="4"/>
  <c r="AJ87" i="4" s="1"/>
  <c r="AL87" i="4" s="1"/>
  <c r="AN87" i="4" s="1"/>
  <c r="AP87" i="4" s="1"/>
  <c r="AR87" i="4" s="1"/>
  <c r="AH100" i="4"/>
  <c r="AH102" i="4" s="1"/>
  <c r="C50" i="33" s="1"/>
  <c r="AH116" i="4"/>
  <c r="AH115" i="4" s="1"/>
  <c r="AH118" i="4"/>
  <c r="AH123" i="4"/>
  <c r="AH129" i="4"/>
  <c r="AH130" i="4"/>
  <c r="AH132" i="4"/>
  <c r="AH136" i="4"/>
  <c r="AH139" i="4"/>
  <c r="AH140" i="4"/>
  <c r="AH141" i="4"/>
  <c r="AH193" i="4"/>
  <c r="AH200" i="4"/>
  <c r="AH203" i="4"/>
  <c r="AH205" i="4"/>
  <c r="AH206" i="4"/>
  <c r="AH207" i="4"/>
  <c r="AH209" i="4"/>
  <c r="AH213" i="4"/>
  <c r="AH218" i="4"/>
  <c r="AJ218" i="4" s="1"/>
  <c r="AK218" i="4" s="1"/>
  <c r="AL218" i="4" s="1"/>
  <c r="AM218" i="4" s="1"/>
  <c r="AN218" i="4" s="1"/>
  <c r="AO218" i="4" s="1"/>
  <c r="AP218" i="4" s="1"/>
  <c r="AQ218" i="4" s="1"/>
  <c r="AR218" i="4" s="1"/>
  <c r="AH230" i="4"/>
  <c r="AH232" i="4"/>
  <c r="AH383" i="4" s="1"/>
  <c r="AH233" i="4"/>
  <c r="AH384" i="4" s="1"/>
  <c r="AH235" i="4"/>
  <c r="AI282" i="4" s="1"/>
  <c r="AH241" i="4"/>
  <c r="AH254" i="4"/>
  <c r="AH256" i="4" s="1"/>
  <c r="C52" i="33" s="1"/>
  <c r="AH417" i="4"/>
  <c r="AH271" i="4"/>
  <c r="AH272" i="4"/>
  <c r="AH419" i="4" s="1"/>
  <c r="AH276" i="4"/>
  <c r="AH283" i="4"/>
  <c r="AH285" i="4"/>
  <c r="AH286" i="4"/>
  <c r="AH288" i="4"/>
  <c r="AH293" i="4"/>
  <c r="AH296" i="4"/>
  <c r="AH297" i="4"/>
  <c r="AH298" i="4"/>
  <c r="AI298" i="4" s="1"/>
  <c r="AK298" i="4" s="1"/>
  <c r="AL298" i="4" s="1"/>
  <c r="AM298" i="4" s="1"/>
  <c r="AN298" i="4" s="1"/>
  <c r="AO298" i="4" s="1"/>
  <c r="AP298" i="4" s="1"/>
  <c r="AQ298" i="4" s="1"/>
  <c r="AR298" i="4" s="1"/>
  <c r="AH299" i="4"/>
  <c r="AH316" i="4"/>
  <c r="AI359" i="4" s="1"/>
  <c r="AH330" i="4"/>
  <c r="AH332" i="4" s="1"/>
  <c r="C53" i="33" s="1"/>
  <c r="AH345" i="4"/>
  <c r="AH352" i="4"/>
  <c r="AH355" i="4"/>
  <c r="AH357" i="4"/>
  <c r="AH362" i="4"/>
  <c r="AH365" i="4"/>
  <c r="AH367" i="4"/>
  <c r="AH368" i="4"/>
  <c r="AH369" i="4"/>
  <c r="AJ369" i="4" s="1"/>
  <c r="AK369" i="4" s="1"/>
  <c r="AL369" i="4" s="1"/>
  <c r="AM369" i="4" s="1"/>
  <c r="AN369" i="4" s="1"/>
  <c r="AO369" i="4" s="1"/>
  <c r="AP369" i="4" s="1"/>
  <c r="AQ369" i="4" s="1"/>
  <c r="AR369" i="4" s="1"/>
  <c r="AH370" i="4"/>
  <c r="AH391" i="4"/>
  <c r="AH392" i="4"/>
  <c r="AH398" i="4"/>
  <c r="AH399" i="4"/>
  <c r="AH400" i="4"/>
  <c r="AH402" i="4"/>
  <c r="AH406" i="4"/>
  <c r="AH413" i="4"/>
  <c r="AH414" i="4"/>
  <c r="AH415" i="4"/>
  <c r="AH420" i="4"/>
  <c r="AH495" i="4" s="1"/>
  <c r="AH463" i="4"/>
  <c r="AH464" i="4"/>
  <c r="AH470" i="4"/>
  <c r="AH471" i="4"/>
  <c r="AH474" i="4"/>
  <c r="AH475" i="4"/>
  <c r="AH476" i="4"/>
  <c r="AH480" i="4"/>
  <c r="AH488" i="4"/>
  <c r="AH664" i="4"/>
  <c r="AH665" i="4" s="1"/>
  <c r="AH673" i="4"/>
  <c r="AH681" i="4"/>
  <c r="AH686" i="4"/>
  <c r="AH688" i="4" s="1"/>
  <c r="AH702" i="4"/>
  <c r="AH709" i="4"/>
  <c r="AH712" i="4"/>
  <c r="AH714" i="4"/>
  <c r="AH715" i="4"/>
  <c r="AH716" i="4"/>
  <c r="AH718" i="4"/>
  <c r="AH719" i="4"/>
  <c r="AH721" i="4"/>
  <c r="AH722" i="4"/>
  <c r="AH723" i="4"/>
  <c r="AH725" i="4"/>
  <c r="AH726" i="4"/>
  <c r="AH727" i="4"/>
  <c r="AH729" i="4"/>
  <c r="AH731" i="4"/>
  <c r="T12" i="32" l="1"/>
  <c r="T19" i="32"/>
  <c r="T18" i="32"/>
  <c r="AQ158" i="28"/>
  <c r="AQ82" i="28" s="1"/>
  <c r="AQ85" i="28" s="1"/>
  <c r="AR31" i="28"/>
  <c r="AI479" i="3"/>
  <c r="AI503" i="3" s="1"/>
  <c r="T27" i="32"/>
  <c r="BJ466" i="4"/>
  <c r="AI64" i="4"/>
  <c r="AI126" i="4"/>
  <c r="AI318" i="3"/>
  <c r="AI309" i="3" s="1"/>
  <c r="AI576" i="3" s="1"/>
  <c r="AJ346" i="3"/>
  <c r="U152" i="28"/>
  <c r="U60" i="28" s="1"/>
  <c r="U63" i="28" s="1"/>
  <c r="AI289" i="4"/>
  <c r="AJ348" i="3"/>
  <c r="AI461" i="3"/>
  <c r="AI302" i="3"/>
  <c r="AI304" i="3" s="1"/>
  <c r="AI276" i="3" s="1"/>
  <c r="AI575" i="3" s="1"/>
  <c r="AJ54" i="3"/>
  <c r="AA31" i="28"/>
  <c r="AA30" i="28"/>
  <c r="AJ31" i="28"/>
  <c r="AJ30" i="28"/>
  <c r="AL36" i="28"/>
  <c r="AL35" i="28"/>
  <c r="AA85" i="28"/>
  <c r="AA84" i="28"/>
  <c r="AC31" i="28"/>
  <c r="AC30" i="28"/>
  <c r="AK31" i="28"/>
  <c r="AK30" i="28"/>
  <c r="AC84" i="28"/>
  <c r="AC85" i="28"/>
  <c r="AO31" i="28"/>
  <c r="AO30" i="28"/>
  <c r="AN31" i="28"/>
  <c r="AN30" i="28"/>
  <c r="AM31" i="28"/>
  <c r="AM30" i="28"/>
  <c r="Z31" i="28"/>
  <c r="Z30" i="28"/>
  <c r="O35" i="28"/>
  <c r="O36" i="28"/>
  <c r="AL31" i="28"/>
  <c r="AL30" i="28"/>
  <c r="AI76" i="3"/>
  <c r="T14" i="32" s="1"/>
  <c r="T15" i="32" s="1"/>
  <c r="U166" i="28"/>
  <c r="U104" i="28" s="1"/>
  <c r="AB142" i="28"/>
  <c r="AB28" i="28" s="1"/>
  <c r="AQ92" i="4"/>
  <c r="AD142" i="28" s="1"/>
  <c r="AD28" i="28" s="1"/>
  <c r="AR92" i="4"/>
  <c r="AE142" i="28" s="1"/>
  <c r="AE28" i="28" s="1"/>
  <c r="BM92" i="4"/>
  <c r="AS142" i="28" s="1"/>
  <c r="AS28" i="28" s="1"/>
  <c r="AE158" i="28"/>
  <c r="AE82" i="28" s="1"/>
  <c r="AD158" i="28"/>
  <c r="AD82" i="28" s="1"/>
  <c r="AI562" i="3"/>
  <c r="AI561" i="3" s="1"/>
  <c r="AJ470" i="4"/>
  <c r="AJ465" i="4"/>
  <c r="AK465" i="4" s="1"/>
  <c r="BL322" i="4"/>
  <c r="BK171" i="4"/>
  <c r="BK324" i="4"/>
  <c r="BL323" i="4"/>
  <c r="AP323" i="4"/>
  <c r="AQ323" i="4" s="1"/>
  <c r="AN324" i="4"/>
  <c r="AO324" i="4" s="1"/>
  <c r="BK172" i="4"/>
  <c r="BK170" i="4"/>
  <c r="AN170" i="4"/>
  <c r="AO170" i="4" s="1"/>
  <c r="AN172" i="4"/>
  <c r="AO172" i="4" s="1"/>
  <c r="AN171" i="4"/>
  <c r="AO171" i="4" s="1"/>
  <c r="AI226" i="3"/>
  <c r="AI247" i="3"/>
  <c r="AI132" i="3"/>
  <c r="AI109" i="3" s="1"/>
  <c r="BN679" i="4"/>
  <c r="AM678" i="4"/>
  <c r="BL678" i="4" s="1"/>
  <c r="BN680" i="4"/>
  <c r="AH217" i="4"/>
  <c r="AI541" i="3"/>
  <c r="AI313" i="3"/>
  <c r="AI46" i="3" s="1"/>
  <c r="AI568" i="3"/>
  <c r="AI25" i="3" s="1"/>
  <c r="AI45" i="3"/>
  <c r="AH381" i="4"/>
  <c r="AH249" i="4"/>
  <c r="AH468" i="4" s="1"/>
  <c r="AH216" i="4"/>
  <c r="AH234" i="4"/>
  <c r="AH385" i="4" s="1"/>
  <c r="AH453" i="4"/>
  <c r="AH472" i="4"/>
  <c r="AH32" i="4"/>
  <c r="AH65" i="4"/>
  <c r="AH269" i="4"/>
  <c r="AH416" i="4" s="1"/>
  <c r="AH491" i="4" s="1"/>
  <c r="AH19" i="4"/>
  <c r="AI67" i="3" s="1"/>
  <c r="AH390" i="4"/>
  <c r="AI63" i="3"/>
  <c r="AH418" i="4"/>
  <c r="AH493" i="4" s="1"/>
  <c r="AI565" i="3"/>
  <c r="AI566" i="3"/>
  <c r="AI23" i="3" s="1"/>
  <c r="AH458" i="4"/>
  <c r="AI384" i="3"/>
  <c r="AH441" i="4"/>
  <c r="AH494" i="4"/>
  <c r="AH492" i="4"/>
  <c r="AI502" i="3"/>
  <c r="AI219" i="3"/>
  <c r="AI198" i="3"/>
  <c r="AH305" i="4"/>
  <c r="AH225" i="4"/>
  <c r="AH387" i="4"/>
  <c r="AH459" i="4"/>
  <c r="AH75" i="4"/>
  <c r="AH178" i="4"/>
  <c r="AH180" i="4" s="1"/>
  <c r="C51" i="33" s="1"/>
  <c r="AH317" i="4"/>
  <c r="AH386" i="4"/>
  <c r="AH462" i="4"/>
  <c r="AQ84" i="28" l="1"/>
  <c r="AI49" i="3"/>
  <c r="AI574" i="3" s="1"/>
  <c r="AR158" i="28"/>
  <c r="AR82" i="28" s="1"/>
  <c r="AR84" i="28" s="1"/>
  <c r="U62" i="28"/>
  <c r="AH36" i="4"/>
  <c r="AI577" i="3"/>
  <c r="BK466" i="4"/>
  <c r="AI55" i="3"/>
  <c r="AJ23" i="3"/>
  <c r="AK23" i="3" s="1"/>
  <c r="AJ45" i="3"/>
  <c r="AK45" i="3" s="1"/>
  <c r="AL45" i="3" s="1"/>
  <c r="AM45" i="3" s="1"/>
  <c r="AN45" i="3" s="1"/>
  <c r="AO45" i="3" s="1"/>
  <c r="AP45" i="3" s="1"/>
  <c r="AQ45" i="3" s="1"/>
  <c r="AR45" i="3" s="1"/>
  <c r="AS45" i="3" s="1"/>
  <c r="AJ46" i="3"/>
  <c r="AK46" i="3" s="1"/>
  <c r="AL46" i="3" s="1"/>
  <c r="AM46" i="3" s="1"/>
  <c r="AN46" i="3" s="1"/>
  <c r="AO46" i="3" s="1"/>
  <c r="AP46" i="3" s="1"/>
  <c r="AQ46" i="3" s="1"/>
  <c r="AR46" i="3" s="1"/>
  <c r="AS46" i="3" s="1"/>
  <c r="AK54" i="3"/>
  <c r="AL54" i="3" s="1"/>
  <c r="AM54" i="3" s="1"/>
  <c r="AN54" i="3" s="1"/>
  <c r="AO54" i="3" s="1"/>
  <c r="AP54" i="3" s="1"/>
  <c r="AQ54" i="3" s="1"/>
  <c r="AR54" i="3" s="1"/>
  <c r="AS54" i="3" s="1"/>
  <c r="AE31" i="28"/>
  <c r="AE30" i="28"/>
  <c r="U107" i="28"/>
  <c r="U106" i="28"/>
  <c r="AS31" i="28"/>
  <c r="AS30" i="28"/>
  <c r="AD31" i="28"/>
  <c r="AD30" i="28"/>
  <c r="AD85" i="28"/>
  <c r="AD84" i="28"/>
  <c r="AE84" i="28"/>
  <c r="AE85" i="28"/>
  <c r="AB31" i="28"/>
  <c r="AB30" i="28"/>
  <c r="BN92" i="4"/>
  <c r="AT142" i="28" s="1"/>
  <c r="AT28" i="28" s="1"/>
  <c r="U163" i="28"/>
  <c r="U98" i="28" s="1"/>
  <c r="AI419" i="3"/>
  <c r="AI408" i="3" s="1"/>
  <c r="AI242" i="3"/>
  <c r="BJ465" i="4"/>
  <c r="AL465" i="4"/>
  <c r="AM465" i="4" s="1"/>
  <c r="AH452" i="4"/>
  <c r="BL170" i="4"/>
  <c r="BM323" i="4"/>
  <c r="BM322" i="4"/>
  <c r="BL171" i="4"/>
  <c r="AP324" i="4"/>
  <c r="AQ324" i="4" s="1"/>
  <c r="AR323" i="4"/>
  <c r="BN323" i="4" s="1"/>
  <c r="BL324" i="4"/>
  <c r="BN322" i="4"/>
  <c r="AT158" i="28" s="1"/>
  <c r="AT82" i="28" s="1"/>
  <c r="BL172" i="4"/>
  <c r="AP172" i="4"/>
  <c r="AQ172" i="4" s="1"/>
  <c r="AP171" i="4"/>
  <c r="AQ171" i="4" s="1"/>
  <c r="AP170" i="4"/>
  <c r="AQ170" i="4" s="1"/>
  <c r="AN678" i="4"/>
  <c r="BM678" i="4" s="1"/>
  <c r="AH67" i="4"/>
  <c r="AI68" i="3"/>
  <c r="T6" i="32" s="1"/>
  <c r="T10" i="32" s="1"/>
  <c r="AH396" i="4"/>
  <c r="AH153" i="4"/>
  <c r="G6" i="6"/>
  <c r="G5" i="6"/>
  <c r="G2" i="6"/>
  <c r="AG370" i="4"/>
  <c r="AG299" i="4"/>
  <c r="AG243" i="4"/>
  <c r="T152" i="28" s="1"/>
  <c r="T60" i="28" s="1"/>
  <c r="AG31" i="4"/>
  <c r="AG16" i="4"/>
  <c r="AG13" i="4"/>
  <c r="AH560" i="3"/>
  <c r="AH546" i="3"/>
  <c r="AI546" i="3" s="1"/>
  <c r="AH540" i="3"/>
  <c r="AH539" i="3"/>
  <c r="AH538" i="3"/>
  <c r="AH405" i="3"/>
  <c r="AH390" i="3"/>
  <c r="AH380" i="3"/>
  <c r="AG291" i="3"/>
  <c r="AH291" i="3"/>
  <c r="AH192" i="3"/>
  <c r="AH171" i="3"/>
  <c r="AH137" i="3"/>
  <c r="AH116" i="3"/>
  <c r="AR85" i="28" l="1"/>
  <c r="AS158" i="28"/>
  <c r="AS82" i="28" s="1"/>
  <c r="AS85" i="28" s="1"/>
  <c r="AH518" i="4"/>
  <c r="T24" i="32"/>
  <c r="AH7" i="4"/>
  <c r="BL466" i="4"/>
  <c r="AP466" i="4"/>
  <c r="AQ466" i="4" s="1"/>
  <c r="AL23" i="3"/>
  <c r="AM23" i="3" s="1"/>
  <c r="AT84" i="28"/>
  <c r="AT85" i="28"/>
  <c r="T63" i="28"/>
  <c r="T62" i="28"/>
  <c r="U101" i="28"/>
  <c r="U100" i="28"/>
  <c r="AT31" i="28"/>
  <c r="AT30" i="28"/>
  <c r="AH64" i="4"/>
  <c r="T166" i="28"/>
  <c r="T104" i="28" s="1"/>
  <c r="AI73" i="3"/>
  <c r="BK465" i="4"/>
  <c r="AN465" i="4"/>
  <c r="AO465" i="4" s="1"/>
  <c r="BM324" i="4"/>
  <c r="AR324" i="4"/>
  <c r="BN324" i="4" s="1"/>
  <c r="BM170" i="4"/>
  <c r="BM172" i="4"/>
  <c r="BM171" i="4"/>
  <c r="AR171" i="4"/>
  <c r="BN171" i="4" s="1"/>
  <c r="AR172" i="4"/>
  <c r="BN172" i="4" s="1"/>
  <c r="AR170" i="4"/>
  <c r="BN170" i="4" s="1"/>
  <c r="AO678" i="4"/>
  <c r="AH289" i="4"/>
  <c r="AH87" i="3"/>
  <c r="AI87" i="3" s="1"/>
  <c r="AI344" i="3" s="1"/>
  <c r="AF87" i="3"/>
  <c r="AG234" i="4"/>
  <c r="AG385" i="4" s="1"/>
  <c r="AH60" i="4"/>
  <c r="AG32" i="4"/>
  <c r="AG40" i="4"/>
  <c r="AG42" i="4"/>
  <c r="AG49" i="4"/>
  <c r="AG52" i="4"/>
  <c r="AG55" i="4"/>
  <c r="AG56" i="4"/>
  <c r="AG58" i="4"/>
  <c r="AG62" i="4"/>
  <c r="AG87" i="4"/>
  <c r="AH134" i="4"/>
  <c r="AG100" i="4"/>
  <c r="AG102" i="4" s="1"/>
  <c r="AG116" i="4"/>
  <c r="AG115" i="4" s="1"/>
  <c r="AG118" i="4"/>
  <c r="AG123" i="4"/>
  <c r="AG129" i="4"/>
  <c r="AG130" i="4"/>
  <c r="AG132" i="4"/>
  <c r="AG136" i="4"/>
  <c r="AG139" i="4"/>
  <c r="AG140" i="4"/>
  <c r="AG141" i="4"/>
  <c r="AH211" i="4"/>
  <c r="AG178" i="4"/>
  <c r="AG180" i="4" s="1"/>
  <c r="AG193" i="4"/>
  <c r="AG200" i="4"/>
  <c r="AG203" i="4"/>
  <c r="AG205" i="4"/>
  <c r="AG206" i="4"/>
  <c r="AG207" i="4"/>
  <c r="AG209" i="4"/>
  <c r="AG213" i="4"/>
  <c r="AG217" i="4"/>
  <c r="AG218" i="4"/>
  <c r="AG230" i="4"/>
  <c r="AG232" i="4"/>
  <c r="AG233" i="4"/>
  <c r="AG384" i="4" s="1"/>
  <c r="AG235" i="4"/>
  <c r="AH282" i="4" s="1"/>
  <c r="AG241" i="4"/>
  <c r="AH287" i="4" s="1"/>
  <c r="AG254" i="4"/>
  <c r="AG256" i="4" s="1"/>
  <c r="AG270" i="4"/>
  <c r="AG417" i="4" s="1"/>
  <c r="AG271" i="4"/>
  <c r="AG418" i="4" s="1"/>
  <c r="AG493" i="4" s="1"/>
  <c r="AG272" i="4"/>
  <c r="AG419" i="4" s="1"/>
  <c r="AG276" i="4"/>
  <c r="AG283" i="4"/>
  <c r="AG285" i="4"/>
  <c r="AG286" i="4"/>
  <c r="AG288" i="4"/>
  <c r="AG293" i="4"/>
  <c r="AG296" i="4"/>
  <c r="AG297" i="4"/>
  <c r="AG298" i="4"/>
  <c r="AG316" i="4"/>
  <c r="AH359" i="4" s="1"/>
  <c r="AH363" i="4"/>
  <c r="AG330" i="4"/>
  <c r="AG332" i="4" s="1"/>
  <c r="AG345" i="4"/>
  <c r="AG352" i="4"/>
  <c r="AG355" i="4"/>
  <c r="AG357" i="4"/>
  <c r="AG362" i="4"/>
  <c r="AG365" i="4"/>
  <c r="AG367" i="4"/>
  <c r="AG368" i="4"/>
  <c r="AG369" i="4"/>
  <c r="AG391" i="4"/>
  <c r="AG392" i="4"/>
  <c r="AG398" i="4"/>
  <c r="AG399" i="4"/>
  <c r="AG400" i="4"/>
  <c r="AH439" i="4" s="1"/>
  <c r="AG402" i="4"/>
  <c r="AG406" i="4"/>
  <c r="AG413" i="4"/>
  <c r="AG414" i="4"/>
  <c r="AG415" i="4"/>
  <c r="AG420" i="4"/>
  <c r="AG463" i="4"/>
  <c r="AG464" i="4"/>
  <c r="AG470" i="4"/>
  <c r="AG471" i="4"/>
  <c r="AG474" i="4"/>
  <c r="AG475" i="4"/>
  <c r="AG476" i="4"/>
  <c r="AG480" i="4"/>
  <c r="AG488" i="4"/>
  <c r="AG664" i="4"/>
  <c r="AG665" i="4" s="1"/>
  <c r="AH710" i="4" s="1"/>
  <c r="AG673" i="4"/>
  <c r="AH717" i="4" s="1"/>
  <c r="AG681" i="4"/>
  <c r="BI681" i="4" s="1"/>
  <c r="AG686" i="4"/>
  <c r="AG702" i="4"/>
  <c r="AG709" i="4"/>
  <c r="AG712" i="4"/>
  <c r="AG714" i="4"/>
  <c r="AG715" i="4"/>
  <c r="AG716" i="4"/>
  <c r="AG718" i="4"/>
  <c r="AG719" i="4"/>
  <c r="AG721" i="4"/>
  <c r="AG722" i="4"/>
  <c r="AG723" i="4"/>
  <c r="AG725" i="4"/>
  <c r="AG726" i="4"/>
  <c r="AG727" i="4"/>
  <c r="AG729" i="4"/>
  <c r="AG731" i="4"/>
  <c r="AH41" i="3"/>
  <c r="AH43" i="3" s="1"/>
  <c r="AH65" i="3"/>
  <c r="AH66" i="3"/>
  <c r="AH69" i="3"/>
  <c r="S5" i="32" s="1"/>
  <c r="AH70" i="3"/>
  <c r="S7" i="32" s="1"/>
  <c r="AH75" i="3"/>
  <c r="S13" i="32" s="1"/>
  <c r="AH79" i="3"/>
  <c r="AH80" i="3"/>
  <c r="AH82" i="3" s="1"/>
  <c r="AH96" i="3" s="1"/>
  <c r="AH342" i="3"/>
  <c r="AH132" i="3"/>
  <c r="AH419" i="3" s="1"/>
  <c r="AH408" i="3" s="1"/>
  <c r="AH247" i="3"/>
  <c r="AH446" i="3"/>
  <c r="AH161" i="3"/>
  <c r="AH45" i="3"/>
  <c r="AH187" i="3"/>
  <c r="AH209" i="3" s="1"/>
  <c r="AH222" i="3"/>
  <c r="AH50" i="3" s="1"/>
  <c r="AH223" i="3"/>
  <c r="AH224" i="3"/>
  <c r="AH225" i="3"/>
  <c r="AH226" i="3"/>
  <c r="AH227" i="3"/>
  <c r="AH52" i="3" s="1"/>
  <c r="AH228" i="3"/>
  <c r="AH53" i="3" s="1"/>
  <c r="AH229" i="3"/>
  <c r="AH230" i="3"/>
  <c r="AH231" i="3"/>
  <c r="AH54" i="3" s="1"/>
  <c r="AH244" i="3"/>
  <c r="AH245" i="3"/>
  <c r="AH246" i="3"/>
  <c r="AH248" i="3"/>
  <c r="AH249" i="3"/>
  <c r="AH250" i="3"/>
  <c r="AH251" i="3"/>
  <c r="AH252" i="3"/>
  <c r="AH279" i="3"/>
  <c r="AH281" i="3" s="1"/>
  <c r="AI348" i="3" s="1"/>
  <c r="AH302" i="3"/>
  <c r="AH304" i="3" s="1"/>
  <c r="AH313" i="3"/>
  <c r="AH316" i="3"/>
  <c r="AH326" i="3"/>
  <c r="AH347" i="3"/>
  <c r="AH354" i="3"/>
  <c r="AH385" i="3"/>
  <c r="AH565" i="3" s="1"/>
  <c r="AH462" i="3"/>
  <c r="AH447" i="3"/>
  <c r="AH448" i="3"/>
  <c r="AH449" i="3"/>
  <c r="AH453" i="3"/>
  <c r="AH461" i="3" s="1"/>
  <c r="AH460" i="3"/>
  <c r="AH464" i="3"/>
  <c r="AH477" i="3"/>
  <c r="AH537" i="3"/>
  <c r="AH541" i="3"/>
  <c r="AH567" i="3"/>
  <c r="AH24" i="3" s="1"/>
  <c r="AH566" i="3"/>
  <c r="AH23" i="3" s="1"/>
  <c r="AH568" i="3"/>
  <c r="AH25" i="3" s="1"/>
  <c r="AH569" i="3"/>
  <c r="AH570" i="3"/>
  <c r="AH571" i="3"/>
  <c r="BN5" i="4"/>
  <c r="BN669" i="4"/>
  <c r="BN670" i="4"/>
  <c r="BN706" i="4"/>
  <c r="BT36" i="3"/>
  <c r="BT477" i="3" s="1"/>
  <c r="AS27" i="32" s="1"/>
  <c r="BT47" i="3"/>
  <c r="BT83" i="3"/>
  <c r="BT85" i="3"/>
  <c r="BT86" i="3"/>
  <c r="BT87" i="3"/>
  <c r="BT122" i="3"/>
  <c r="BT123" i="3"/>
  <c r="BT124" i="3"/>
  <c r="BT125" i="3"/>
  <c r="BT126" i="3"/>
  <c r="BT127" i="3"/>
  <c r="BT128" i="3"/>
  <c r="BT129" i="3"/>
  <c r="BT130" i="3"/>
  <c r="BT131" i="3"/>
  <c r="BT144" i="3"/>
  <c r="BT145" i="3"/>
  <c r="BT146" i="3"/>
  <c r="BT147" i="3"/>
  <c r="BT148" i="3"/>
  <c r="BT149" i="3"/>
  <c r="BT150" i="3"/>
  <c r="BT151" i="3"/>
  <c r="BT152" i="3"/>
  <c r="BT153" i="3"/>
  <c r="BT177" i="3"/>
  <c r="BT178" i="3"/>
  <c r="BT179" i="3"/>
  <c r="BT180" i="3"/>
  <c r="BT181" i="3"/>
  <c r="BT182" i="3"/>
  <c r="BT183" i="3"/>
  <c r="BT184" i="3"/>
  <c r="BT185" i="3"/>
  <c r="BT186" i="3"/>
  <c r="BT199" i="3"/>
  <c r="BT200" i="3"/>
  <c r="BT201" i="3"/>
  <c r="BT202" i="3"/>
  <c r="BT203" i="3"/>
  <c r="BT204" i="3"/>
  <c r="BT205" i="3"/>
  <c r="BT206" i="3"/>
  <c r="BT207" i="3"/>
  <c r="BT208" i="3"/>
  <c r="BT232" i="3"/>
  <c r="BT233" i="3"/>
  <c r="BT234" i="3"/>
  <c r="BT235" i="3"/>
  <c r="BT236" i="3"/>
  <c r="BT237" i="3"/>
  <c r="BT238" i="3"/>
  <c r="BT239" i="3"/>
  <c r="BT240" i="3"/>
  <c r="BT241" i="3"/>
  <c r="BT254" i="3"/>
  <c r="BT255" i="3"/>
  <c r="BT256" i="3"/>
  <c r="BT257" i="3"/>
  <c r="BT258" i="3"/>
  <c r="BT259" i="3"/>
  <c r="BT260" i="3"/>
  <c r="BT261" i="3"/>
  <c r="BT262" i="3"/>
  <c r="BT263" i="3"/>
  <c r="BT292" i="3"/>
  <c r="BT293" i="3"/>
  <c r="BT294" i="3"/>
  <c r="BT295" i="3"/>
  <c r="BT296" i="3"/>
  <c r="BT297" i="3"/>
  <c r="BT298" i="3"/>
  <c r="BT299" i="3"/>
  <c r="BT300" i="3"/>
  <c r="BT301" i="3"/>
  <c r="BT327" i="3"/>
  <c r="BT328" i="3"/>
  <c r="BT329" i="3"/>
  <c r="BT330" i="3"/>
  <c r="BT331" i="3"/>
  <c r="BT332" i="3"/>
  <c r="BT333" i="3"/>
  <c r="BT334" i="3"/>
  <c r="BT335" i="3"/>
  <c r="BT336" i="3"/>
  <c r="BT393" i="3"/>
  <c r="BT394" i="3"/>
  <c r="BT395" i="3"/>
  <c r="BT396" i="3"/>
  <c r="BT397" i="3"/>
  <c r="BT398" i="3"/>
  <c r="BT399" i="3"/>
  <c r="BT400" i="3"/>
  <c r="BT401" i="3"/>
  <c r="BT409" i="3"/>
  <c r="BT410" i="3"/>
  <c r="BT411" i="3"/>
  <c r="BT412" i="3"/>
  <c r="BT413" i="3"/>
  <c r="BT414" i="3"/>
  <c r="BT415" i="3"/>
  <c r="BT416" i="3"/>
  <c r="BT417" i="3"/>
  <c r="BT418" i="3"/>
  <c r="BT434" i="3"/>
  <c r="BT435" i="3"/>
  <c r="BT436" i="3"/>
  <c r="BT437" i="3"/>
  <c r="BT438" i="3"/>
  <c r="BT439" i="3"/>
  <c r="BT440" i="3"/>
  <c r="BT441" i="3"/>
  <c r="BT442" i="3"/>
  <c r="BT443" i="3"/>
  <c r="BT478" i="3"/>
  <c r="AS477" i="3"/>
  <c r="AD27" i="32" s="1"/>
  <c r="AR477" i="3"/>
  <c r="AC27" i="32" s="1"/>
  <c r="AS344" i="3"/>
  <c r="AR344" i="3"/>
  <c r="AS343" i="3"/>
  <c r="AR343" i="3"/>
  <c r="AS342" i="3"/>
  <c r="AR342" i="3"/>
  <c r="S27" i="32" l="1"/>
  <c r="S19" i="32"/>
  <c r="U137" i="28"/>
  <c r="U6" i="28" s="1"/>
  <c r="U8" i="28" s="1"/>
  <c r="AS84" i="28"/>
  <c r="BM466" i="4"/>
  <c r="AR466" i="4"/>
  <c r="BN466" i="4" s="1"/>
  <c r="AH479" i="3"/>
  <c r="AH503" i="3" s="1"/>
  <c r="T107" i="28"/>
  <c r="T106" i="28"/>
  <c r="AI531" i="3"/>
  <c r="AI77" i="3"/>
  <c r="AI530" i="3"/>
  <c r="AI527" i="3"/>
  <c r="AI322" i="3"/>
  <c r="AI323" i="3"/>
  <c r="AI324" i="3"/>
  <c r="AI321" i="3"/>
  <c r="BL465" i="4"/>
  <c r="AP465" i="4"/>
  <c r="AQ465" i="4" s="1"/>
  <c r="AH344" i="3"/>
  <c r="AP678" i="4"/>
  <c r="BN678" i="4" s="1"/>
  <c r="AH131" i="4"/>
  <c r="AI534" i="3"/>
  <c r="T23" i="32" s="1"/>
  <c r="AG381" i="4"/>
  <c r="AG249" i="4"/>
  <c r="AH291" i="4" s="1"/>
  <c r="BT343" i="3"/>
  <c r="BT342" i="3"/>
  <c r="AH318" i="3"/>
  <c r="AH309" i="3" s="1"/>
  <c r="AH576" i="3" s="1"/>
  <c r="AI346" i="3"/>
  <c r="AH426" i="4"/>
  <c r="AH428" i="4"/>
  <c r="AH202" i="4"/>
  <c r="AH51" i="4"/>
  <c r="AH126" i="4"/>
  <c r="AH508" i="4"/>
  <c r="AH498" i="4"/>
  <c r="AH356" i="4"/>
  <c r="AH354" i="4"/>
  <c r="AH713" i="4"/>
  <c r="AH711" i="4"/>
  <c r="AH423" i="4"/>
  <c r="AH433" i="4"/>
  <c r="AG305" i="4"/>
  <c r="AH279" i="4"/>
  <c r="AH281" i="4"/>
  <c r="AG495" i="4"/>
  <c r="AG153" i="4"/>
  <c r="BT344" i="3"/>
  <c r="AH502" i="3"/>
  <c r="AG453" i="4"/>
  <c r="AG688" i="4"/>
  <c r="AH689" i="4" s="1"/>
  <c r="AG390" i="4"/>
  <c r="AH432" i="4" s="1"/>
  <c r="AG462" i="4"/>
  <c r="AH507" i="4" s="1"/>
  <c r="AG494" i="4"/>
  <c r="AH51" i="3"/>
  <c r="AG441" i="4"/>
  <c r="AG489" i="4"/>
  <c r="AG75" i="4"/>
  <c r="AG383" i="4"/>
  <c r="AG492" i="4"/>
  <c r="AG19" i="4"/>
  <c r="AH219" i="3"/>
  <c r="AH198" i="3"/>
  <c r="AH46" i="3"/>
  <c r="AG459" i="4"/>
  <c r="AH505" i="4" s="1"/>
  <c r="AG387" i="4"/>
  <c r="AH430" i="4" s="1"/>
  <c r="AG36" i="4"/>
  <c r="AG67" i="4"/>
  <c r="AG225" i="4"/>
  <c r="AG269" i="4"/>
  <c r="AG458" i="4"/>
  <c r="AH504" i="4" s="1"/>
  <c r="AG317" i="4"/>
  <c r="AH360" i="4" s="1"/>
  <c r="AG65" i="4"/>
  <c r="AG472" i="4"/>
  <c r="AG386" i="4"/>
  <c r="AH429" i="4" s="1"/>
  <c r="AH276" i="3"/>
  <c r="AH575" i="3" s="1"/>
  <c r="AH49" i="3"/>
  <c r="AH574" i="3" s="1"/>
  <c r="AH109" i="3"/>
  <c r="AH384" i="3"/>
  <c r="AH242" i="3"/>
  <c r="U9" i="28" l="1"/>
  <c r="AI31" i="3"/>
  <c r="T17" i="32"/>
  <c r="AG518" i="4"/>
  <c r="S24" i="32"/>
  <c r="AI52" i="3"/>
  <c r="AJ52" i="3" s="1"/>
  <c r="AI53" i="3"/>
  <c r="AJ53" i="3" s="1"/>
  <c r="AK53" i="3" s="1"/>
  <c r="AL53" i="3" s="1"/>
  <c r="AM53" i="3" s="1"/>
  <c r="AN53" i="3" s="1"/>
  <c r="AO53" i="3" s="1"/>
  <c r="AP53" i="3" s="1"/>
  <c r="AQ53" i="3" s="1"/>
  <c r="AR53" i="3" s="1"/>
  <c r="AS53" i="3" s="1"/>
  <c r="AI51" i="3"/>
  <c r="AJ51" i="3" s="1"/>
  <c r="AI476" i="3"/>
  <c r="AI501" i="3" s="1"/>
  <c r="AI30" i="3"/>
  <c r="AI81" i="3"/>
  <c r="T20" i="32" s="1"/>
  <c r="AG452" i="4"/>
  <c r="AH499" i="4" s="1"/>
  <c r="T163" i="28"/>
  <c r="T98" i="28" s="1"/>
  <c r="AI326" i="3"/>
  <c r="AJ323" i="3" s="1"/>
  <c r="AI50" i="3"/>
  <c r="BM465" i="4"/>
  <c r="AR465" i="4"/>
  <c r="BN465" i="4" s="1"/>
  <c r="AH514" i="4"/>
  <c r="AG468" i="4"/>
  <c r="AH509" i="4" s="1"/>
  <c r="BI249" i="4"/>
  <c r="AQ678" i="4"/>
  <c r="AH55" i="3"/>
  <c r="AH577" i="3"/>
  <c r="AH501" i="4"/>
  <c r="AH503" i="4"/>
  <c r="AH278" i="4"/>
  <c r="AG396" i="4"/>
  <c r="AH67" i="3"/>
  <c r="AH57" i="4"/>
  <c r="AG416" i="4"/>
  <c r="AG7" i="4"/>
  <c r="AI474" i="3" l="1"/>
  <c r="T26" i="32" s="1"/>
  <c r="AI341" i="3"/>
  <c r="AI37" i="3"/>
  <c r="AI578" i="3" s="1"/>
  <c r="T28" i="32" s="1"/>
  <c r="AI471" i="3"/>
  <c r="AI498" i="3" s="1"/>
  <c r="AJ324" i="3"/>
  <c r="AJ321" i="3"/>
  <c r="AJ322" i="3"/>
  <c r="AI472" i="3"/>
  <c r="AI470" i="3" s="1"/>
  <c r="AI497" i="3" s="1"/>
  <c r="U176" i="28"/>
  <c r="U12" i="28" s="1"/>
  <c r="AI58" i="3"/>
  <c r="AI84" i="3"/>
  <c r="AJ50" i="3"/>
  <c r="AK51" i="3"/>
  <c r="AL51" i="3" s="1"/>
  <c r="AM51" i="3" s="1"/>
  <c r="AN51" i="3" s="1"/>
  <c r="AO51" i="3" s="1"/>
  <c r="AP51" i="3" s="1"/>
  <c r="AQ51" i="3" s="1"/>
  <c r="AR51" i="3" s="1"/>
  <c r="AS51" i="3" s="1"/>
  <c r="AK52" i="3"/>
  <c r="AL52" i="3" s="1"/>
  <c r="AM52" i="3" s="1"/>
  <c r="AN52" i="3" s="1"/>
  <c r="AO52" i="3" s="1"/>
  <c r="AP52" i="3" s="1"/>
  <c r="AQ52" i="3" s="1"/>
  <c r="AR52" i="3" s="1"/>
  <c r="AS52" i="3" s="1"/>
  <c r="T100" i="28"/>
  <c r="T101" i="28"/>
  <c r="AH434" i="4"/>
  <c r="BI396" i="4"/>
  <c r="AR678" i="4"/>
  <c r="BI468" i="4"/>
  <c r="AI500" i="3"/>
  <c r="AH425" i="4"/>
  <c r="AG491" i="4"/>
  <c r="AI499" i="3" l="1"/>
  <c r="T25" i="32"/>
  <c r="U14" i="28"/>
  <c r="U15" i="28"/>
  <c r="AJ326" i="3"/>
  <c r="AK50" i="3"/>
  <c r="AL50" i="3" s="1"/>
  <c r="AM50" i="3" s="1"/>
  <c r="AN50" i="3" s="1"/>
  <c r="AO50" i="3" s="1"/>
  <c r="AP50" i="3" s="1"/>
  <c r="AQ50" i="3" s="1"/>
  <c r="AR50" i="3" s="1"/>
  <c r="AS50" i="3" s="1"/>
  <c r="AH500" i="4"/>
  <c r="AH502" i="4"/>
  <c r="AG560" i="3"/>
  <c r="AG567" i="3" s="1"/>
  <c r="AG24" i="3" s="1"/>
  <c r="AC560" i="3"/>
  <c r="AE560" i="3"/>
  <c r="AG550" i="3"/>
  <c r="AG549" i="3"/>
  <c r="AG548" i="3"/>
  <c r="AG547" i="3"/>
  <c r="AG529" i="3"/>
  <c r="AG405" i="3"/>
  <c r="AG390" i="3"/>
  <c r="AG462" i="3" s="1"/>
  <c r="AG380" i="3"/>
  <c r="AG453" i="3"/>
  <c r="AG461" i="3" s="1"/>
  <c r="AG449" i="3"/>
  <c r="AG448" i="3"/>
  <c r="AG447" i="3"/>
  <c r="AG385" i="3"/>
  <c r="AG571" i="3"/>
  <c r="AG570" i="3"/>
  <c r="AG569" i="3"/>
  <c r="AG568" i="3"/>
  <c r="AG25" i="3" s="1"/>
  <c r="AG541" i="3"/>
  <c r="AG537" i="3"/>
  <c r="AG477" i="3"/>
  <c r="AG464" i="3"/>
  <c r="AG460" i="3"/>
  <c r="AG302" i="3"/>
  <c r="AG304" i="3" s="1"/>
  <c r="AG49" i="3" s="1"/>
  <c r="AG574" i="3" s="1"/>
  <c r="AG354" i="3"/>
  <c r="AG347" i="3"/>
  <c r="AG326" i="3"/>
  <c r="AG316" i="3"/>
  <c r="AG313" i="3"/>
  <c r="AG279" i="3"/>
  <c r="AG281" i="3" s="1"/>
  <c r="AH348" i="3" s="1"/>
  <c r="AG192" i="3"/>
  <c r="AG171" i="3"/>
  <c r="AG45" i="3" s="1"/>
  <c r="AG156" i="3"/>
  <c r="AG446" i="3" s="1"/>
  <c r="AG137" i="3"/>
  <c r="AG116" i="3"/>
  <c r="AG132" i="3" s="1"/>
  <c r="AG252" i="3"/>
  <c r="AG251" i="3"/>
  <c r="AG250" i="3"/>
  <c r="AG249" i="3"/>
  <c r="AG248" i="3"/>
  <c r="AG246" i="3"/>
  <c r="AG245" i="3"/>
  <c r="AG244" i="3"/>
  <c r="AG231" i="3"/>
  <c r="AG54" i="3" s="1"/>
  <c r="AG230" i="3"/>
  <c r="AG229" i="3"/>
  <c r="AG228" i="3"/>
  <c r="AG53" i="3" s="1"/>
  <c r="AG227" i="3"/>
  <c r="AG52" i="3" s="1"/>
  <c r="AG225" i="3"/>
  <c r="AG224" i="3"/>
  <c r="AG223" i="3"/>
  <c r="AG222" i="3"/>
  <c r="AG50" i="3" s="1"/>
  <c r="AG161" i="3"/>
  <c r="AG107" i="3"/>
  <c r="AG41" i="3"/>
  <c r="AG43" i="3" s="1"/>
  <c r="AG95" i="3"/>
  <c r="AG85" i="3"/>
  <c r="AG342" i="3" s="1"/>
  <c r="AG80" i="3"/>
  <c r="AG82" i="3" s="1"/>
  <c r="AG96" i="3" s="1"/>
  <c r="AG79" i="3"/>
  <c r="AG78" i="3"/>
  <c r="AG75" i="3"/>
  <c r="R13" i="32" s="1"/>
  <c r="AG74" i="3"/>
  <c r="AG71" i="3"/>
  <c r="AG70" i="3"/>
  <c r="R7" i="32" s="1"/>
  <c r="AG69" i="3"/>
  <c r="R5" i="32" s="1"/>
  <c r="AG66" i="3"/>
  <c r="AG65" i="3"/>
  <c r="AG62" i="3"/>
  <c r="R4" i="32" s="1"/>
  <c r="AF731" i="4"/>
  <c r="AE731" i="4"/>
  <c r="AF729" i="4"/>
  <c r="AE729" i="4"/>
  <c r="AF727" i="4"/>
  <c r="AE727" i="4"/>
  <c r="AF726" i="4"/>
  <c r="AE726" i="4"/>
  <c r="AF725" i="4"/>
  <c r="AE725" i="4"/>
  <c r="AF723" i="4"/>
  <c r="AE723" i="4"/>
  <c r="AF722" i="4"/>
  <c r="AE722" i="4"/>
  <c r="AF721" i="4"/>
  <c r="AE721" i="4"/>
  <c r="AF719" i="4"/>
  <c r="AE719" i="4"/>
  <c r="AF718" i="4"/>
  <c r="AE718" i="4"/>
  <c r="AF716" i="4"/>
  <c r="AE716" i="4"/>
  <c r="AF715" i="4"/>
  <c r="AE715" i="4"/>
  <c r="AF714" i="4"/>
  <c r="AE714" i="4"/>
  <c r="AF712" i="4"/>
  <c r="AE712" i="4"/>
  <c r="AF709" i="4"/>
  <c r="AE709" i="4"/>
  <c r="AF702" i="4"/>
  <c r="AE702" i="4"/>
  <c r="AF686" i="4"/>
  <c r="AF688" i="4" s="1"/>
  <c r="AG689" i="4" s="1"/>
  <c r="AE686" i="4"/>
  <c r="AE688" i="4" s="1"/>
  <c r="AF681" i="4"/>
  <c r="AE681" i="4"/>
  <c r="AF673" i="4"/>
  <c r="AG717" i="4" s="1"/>
  <c r="AE673" i="4"/>
  <c r="AF664" i="4"/>
  <c r="AF665" i="4" s="1"/>
  <c r="AG710" i="4" s="1"/>
  <c r="AE664" i="4"/>
  <c r="AE665" i="4" s="1"/>
  <c r="AF488" i="4"/>
  <c r="AF480" i="4"/>
  <c r="AF476" i="4"/>
  <c r="AF475" i="4"/>
  <c r="AF474" i="4"/>
  <c r="AF471" i="4"/>
  <c r="AF470" i="4"/>
  <c r="AF464" i="4"/>
  <c r="AF463" i="4"/>
  <c r="AF420" i="4"/>
  <c r="AF415" i="4"/>
  <c r="AF414" i="4"/>
  <c r="AF413" i="4"/>
  <c r="AF406" i="4"/>
  <c r="AF402" i="4"/>
  <c r="AF400" i="4"/>
  <c r="AG439" i="4" s="1"/>
  <c r="AF399" i="4"/>
  <c r="AF398" i="4"/>
  <c r="AF392" i="4"/>
  <c r="AF391" i="4"/>
  <c r="AF370" i="4"/>
  <c r="AE370" i="4"/>
  <c r="AF369" i="4"/>
  <c r="AF368" i="4"/>
  <c r="AF367" i="4"/>
  <c r="AF365" i="4"/>
  <c r="AF362" i="4"/>
  <c r="AF357" i="4"/>
  <c r="AF355" i="4"/>
  <c r="AF352" i="4"/>
  <c r="AF345" i="4"/>
  <c r="AF330" i="4"/>
  <c r="AF332" i="4" s="1"/>
  <c r="AG363" i="4"/>
  <c r="AF299" i="4"/>
  <c r="AE299" i="4"/>
  <c r="AE243" i="4"/>
  <c r="R152" i="28" s="1"/>
  <c r="R60" i="28" s="1"/>
  <c r="AF243" i="4"/>
  <c r="S152" i="28" s="1"/>
  <c r="S60" i="28" s="1"/>
  <c r="AD240" i="4"/>
  <c r="AD239" i="4"/>
  <c r="AD242" i="4"/>
  <c r="Q151" i="28" s="1"/>
  <c r="Q55" i="28" s="1"/>
  <c r="AD238" i="4"/>
  <c r="Q153" i="28" s="1"/>
  <c r="Q65" i="28" s="1"/>
  <c r="AF298" i="4"/>
  <c r="AF297" i="4"/>
  <c r="AF296" i="4"/>
  <c r="AF293" i="4"/>
  <c r="AF288" i="4"/>
  <c r="AF286" i="4"/>
  <c r="AF285" i="4"/>
  <c r="AF283" i="4"/>
  <c r="AF276" i="4"/>
  <c r="AF272" i="4"/>
  <c r="AF271" i="4"/>
  <c r="AF270" i="4"/>
  <c r="AF417" i="4" s="1"/>
  <c r="AF254" i="4"/>
  <c r="AF256" i="4" s="1"/>
  <c r="AF241" i="4"/>
  <c r="AG287" i="4" s="1"/>
  <c r="AF235" i="4"/>
  <c r="AG282" i="4" s="1"/>
  <c r="AF233" i="4"/>
  <c r="AF384" i="4" s="1"/>
  <c r="AF232" i="4"/>
  <c r="AF383" i="4" s="1"/>
  <c r="AF230" i="4"/>
  <c r="AF177" i="4"/>
  <c r="AF218" i="4"/>
  <c r="AF213" i="4"/>
  <c r="AF209" i="4"/>
  <c r="AF207" i="4"/>
  <c r="AF206" i="4"/>
  <c r="AF205" i="4"/>
  <c r="AF203" i="4"/>
  <c r="AF200" i="4"/>
  <c r="AF193" i="4"/>
  <c r="AG211" i="4"/>
  <c r="AF141" i="4"/>
  <c r="AF140" i="4"/>
  <c r="AF139" i="4"/>
  <c r="AF136" i="4"/>
  <c r="AF132" i="4"/>
  <c r="AF130" i="4"/>
  <c r="AF129" i="4"/>
  <c r="AF123" i="4"/>
  <c r="AF118" i="4"/>
  <c r="AF116" i="4"/>
  <c r="AF115" i="4" s="1"/>
  <c r="AF100" i="4"/>
  <c r="AF102" i="4" s="1"/>
  <c r="AG134" i="4"/>
  <c r="AF87" i="4"/>
  <c r="AG131" i="4" s="1"/>
  <c r="AF16" i="4"/>
  <c r="AG64" i="3" s="1"/>
  <c r="AF13" i="4"/>
  <c r="AF62" i="4"/>
  <c r="AF58" i="4"/>
  <c r="AF56" i="4"/>
  <c r="AF55" i="4"/>
  <c r="AF52" i="4"/>
  <c r="AF49" i="4"/>
  <c r="AF42" i="4"/>
  <c r="AF31" i="4"/>
  <c r="AD21" i="4"/>
  <c r="AD20" i="4"/>
  <c r="BH5" i="4"/>
  <c r="BM706" i="4"/>
  <c r="BM670" i="4"/>
  <c r="BM669" i="4"/>
  <c r="BM5" i="4"/>
  <c r="BS478" i="3"/>
  <c r="BS443" i="3"/>
  <c r="BS442" i="3"/>
  <c r="BS441" i="3"/>
  <c r="BS440" i="3"/>
  <c r="BS439" i="3"/>
  <c r="BS438" i="3"/>
  <c r="BS437" i="3"/>
  <c r="BS436" i="3"/>
  <c r="BS435" i="3"/>
  <c r="BS434" i="3"/>
  <c r="BS418" i="3"/>
  <c r="BS417" i="3"/>
  <c r="BS416" i="3"/>
  <c r="BS415" i="3"/>
  <c r="BS414" i="3"/>
  <c r="BS413" i="3"/>
  <c r="BS412" i="3"/>
  <c r="BS411" i="3"/>
  <c r="BS410" i="3"/>
  <c r="BS409" i="3"/>
  <c r="BS401" i="3"/>
  <c r="BS400" i="3"/>
  <c r="BS399" i="3"/>
  <c r="BS398" i="3"/>
  <c r="BS397" i="3"/>
  <c r="BS396" i="3"/>
  <c r="BS395" i="3"/>
  <c r="BS394" i="3"/>
  <c r="BS393" i="3"/>
  <c r="BS336" i="3"/>
  <c r="BS335" i="3"/>
  <c r="BS334" i="3"/>
  <c r="BS333" i="3"/>
  <c r="BS332" i="3"/>
  <c r="BS331" i="3"/>
  <c r="BS330" i="3"/>
  <c r="BS329" i="3"/>
  <c r="BS328" i="3"/>
  <c r="BS327" i="3"/>
  <c r="BS301" i="3"/>
  <c r="BS300" i="3"/>
  <c r="BS299" i="3"/>
  <c r="BS298" i="3"/>
  <c r="BS297" i="3"/>
  <c r="BS296" i="3"/>
  <c r="BS295" i="3"/>
  <c r="BS294" i="3"/>
  <c r="BS293" i="3"/>
  <c r="BS292" i="3"/>
  <c r="BS263" i="3"/>
  <c r="BS262" i="3"/>
  <c r="BS261" i="3"/>
  <c r="BS260" i="3"/>
  <c r="BS259" i="3"/>
  <c r="BS258" i="3"/>
  <c r="BS257" i="3"/>
  <c r="BS256" i="3"/>
  <c r="BS255" i="3"/>
  <c r="BS254" i="3"/>
  <c r="BS241" i="3"/>
  <c r="BS240" i="3"/>
  <c r="BS239" i="3"/>
  <c r="BS238" i="3"/>
  <c r="BS237" i="3"/>
  <c r="BS236" i="3"/>
  <c r="BS235" i="3"/>
  <c r="BS234" i="3"/>
  <c r="BS233" i="3"/>
  <c r="BS232" i="3"/>
  <c r="BS208" i="3"/>
  <c r="BS207" i="3"/>
  <c r="BS206" i="3"/>
  <c r="BS205" i="3"/>
  <c r="BS204" i="3"/>
  <c r="BS203" i="3"/>
  <c r="BS202" i="3"/>
  <c r="BS201" i="3"/>
  <c r="BS200" i="3"/>
  <c r="BS199" i="3"/>
  <c r="BS186" i="3"/>
  <c r="BS185" i="3"/>
  <c r="BS184" i="3"/>
  <c r="BS183" i="3"/>
  <c r="BS182" i="3"/>
  <c r="BS181" i="3"/>
  <c r="BS180" i="3"/>
  <c r="BS179" i="3"/>
  <c r="BS178" i="3"/>
  <c r="BS177" i="3"/>
  <c r="BS153" i="3"/>
  <c r="BS152" i="3"/>
  <c r="BS151" i="3"/>
  <c r="BS150" i="3"/>
  <c r="BS149" i="3"/>
  <c r="BS148" i="3"/>
  <c r="BS147" i="3"/>
  <c r="BS146" i="3"/>
  <c r="BS145" i="3"/>
  <c r="BS144" i="3"/>
  <c r="BS131" i="3"/>
  <c r="BS130" i="3"/>
  <c r="BS129" i="3"/>
  <c r="BS128" i="3"/>
  <c r="BS127" i="3"/>
  <c r="BS126" i="3"/>
  <c r="BS125" i="3"/>
  <c r="BS124" i="3"/>
  <c r="BS123" i="3"/>
  <c r="BS122" i="3"/>
  <c r="BS87" i="3"/>
  <c r="BS86" i="3"/>
  <c r="BS85" i="3"/>
  <c r="BS83" i="3"/>
  <c r="BS47" i="3"/>
  <c r="BS36" i="3"/>
  <c r="BS477" i="3" s="1"/>
  <c r="AR27" i="32" s="1"/>
  <c r="AQ477" i="3"/>
  <c r="AB27" i="32" s="1"/>
  <c r="AP477" i="3"/>
  <c r="AA27" i="32" s="1"/>
  <c r="AQ344" i="3"/>
  <c r="AP344" i="3"/>
  <c r="AQ343" i="3"/>
  <c r="AP343" i="3"/>
  <c r="AQ342" i="3"/>
  <c r="AP342" i="3"/>
  <c r="R18" i="32" l="1"/>
  <c r="R19" i="32"/>
  <c r="R12" i="32"/>
  <c r="AG479" i="3"/>
  <c r="AG503" i="3" s="1"/>
  <c r="R27" i="32"/>
  <c r="Q57" i="28"/>
  <c r="Q58" i="28"/>
  <c r="S63" i="28"/>
  <c r="S62" i="28"/>
  <c r="R63" i="28"/>
  <c r="R62" i="28"/>
  <c r="Q68" i="28"/>
  <c r="Q67" i="28"/>
  <c r="AG64" i="4"/>
  <c r="S166" i="28"/>
  <c r="S104" i="28" s="1"/>
  <c r="AG562" i="3"/>
  <c r="AG561" i="3" s="1"/>
  <c r="BH681" i="4"/>
  <c r="AF381" i="4"/>
  <c r="AF249" i="4"/>
  <c r="AG291" i="4" s="1"/>
  <c r="AD27" i="4"/>
  <c r="AF316" i="4"/>
  <c r="AF459" i="4" s="1"/>
  <c r="AG505" i="4" s="1"/>
  <c r="AH358" i="4"/>
  <c r="AF217" i="4"/>
  <c r="AG216" i="4"/>
  <c r="AG318" i="3"/>
  <c r="AG309" i="3" s="1"/>
  <c r="AG576" i="3" s="1"/>
  <c r="AH346" i="3"/>
  <c r="AG423" i="4"/>
  <c r="AG433" i="4"/>
  <c r="AG508" i="4"/>
  <c r="AG498" i="4"/>
  <c r="AF75" i="4"/>
  <c r="AG279" i="4"/>
  <c r="AG281" i="4"/>
  <c r="AF495" i="4"/>
  <c r="AG51" i="4"/>
  <c r="AG60" i="4"/>
  <c r="AF462" i="4"/>
  <c r="AG507" i="4" s="1"/>
  <c r="AG289" i="4"/>
  <c r="AF305" i="4"/>
  <c r="AG711" i="4"/>
  <c r="AG713" i="4"/>
  <c r="AG126" i="4"/>
  <c r="AG202" i="4"/>
  <c r="AG356" i="4"/>
  <c r="AG354" i="4"/>
  <c r="AF472" i="4"/>
  <c r="AG514" i="4" s="1"/>
  <c r="BS342" i="3"/>
  <c r="AG247" i="3"/>
  <c r="AG384" i="3"/>
  <c r="AG109" i="3"/>
  <c r="AG419" i="3"/>
  <c r="AG408" i="3" s="1"/>
  <c r="BS344" i="3"/>
  <c r="AG226" i="3"/>
  <c r="AG51" i="3" s="1"/>
  <c r="AF32" i="4"/>
  <c r="AF65" i="4"/>
  <c r="AG76" i="3"/>
  <c r="R14" i="32" s="1"/>
  <c r="R15" i="32" s="1"/>
  <c r="AG63" i="3"/>
  <c r="AF441" i="4"/>
  <c r="AF386" i="4"/>
  <c r="AG429" i="4" s="1"/>
  <c r="AG566" i="3"/>
  <c r="AG23" i="3" s="1"/>
  <c r="AG565" i="3"/>
  <c r="AG502" i="3"/>
  <c r="AG187" i="3"/>
  <c r="AF717" i="4"/>
  <c r="AF711" i="4"/>
  <c r="AF710" i="4"/>
  <c r="AF713" i="4"/>
  <c r="AF689" i="4"/>
  <c r="AF19" i="4"/>
  <c r="AF492" i="4"/>
  <c r="AF390" i="4"/>
  <c r="AG432" i="4" s="1"/>
  <c r="AF234" i="4"/>
  <c r="AF385" i="4" s="1"/>
  <c r="AF269" i="4"/>
  <c r="AF453" i="4"/>
  <c r="AF418" i="4"/>
  <c r="AF493" i="4" s="1"/>
  <c r="AF458" i="4"/>
  <c r="AG504" i="4" s="1"/>
  <c r="AF419" i="4"/>
  <c r="AF178" i="4"/>
  <c r="AF180" i="4" s="1"/>
  <c r="BS343" i="3"/>
  <c r="AF36" i="4" l="1"/>
  <c r="AE72" i="3"/>
  <c r="P9" i="32" s="1"/>
  <c r="S107" i="28"/>
  <c r="S106" i="28"/>
  <c r="AF452" i="4"/>
  <c r="AG499" i="4" s="1"/>
  <c r="S163" i="28"/>
  <c r="S98" i="28" s="1"/>
  <c r="AF387" i="4"/>
  <c r="AG430" i="4" s="1"/>
  <c r="AF317" i="4"/>
  <c r="AG360" i="4" s="1"/>
  <c r="AG359" i="4"/>
  <c r="AF153" i="4"/>
  <c r="AG67" i="3"/>
  <c r="AG68" i="3" s="1"/>
  <c r="AG57" i="4"/>
  <c r="AF416" i="4"/>
  <c r="AG278" i="4"/>
  <c r="AG426" i="4"/>
  <c r="AG428" i="4"/>
  <c r="AF67" i="4"/>
  <c r="AG242" i="3"/>
  <c r="AG209" i="3"/>
  <c r="AG198" i="3" s="1"/>
  <c r="AG46" i="3"/>
  <c r="AF494" i="4"/>
  <c r="AF468" i="4"/>
  <c r="AF396" i="4"/>
  <c r="AG434" i="4" s="1"/>
  <c r="AG73" i="3" l="1"/>
  <c r="R6" i="32"/>
  <c r="R10" i="32" s="1"/>
  <c r="AF518" i="4"/>
  <c r="R24" i="32"/>
  <c r="S100" i="28"/>
  <c r="S101" i="28"/>
  <c r="AG509" i="4"/>
  <c r="AF491" i="4"/>
  <c r="AG425" i="4"/>
  <c r="AG503" i="4"/>
  <c r="AG501" i="4"/>
  <c r="AG219" i="3"/>
  <c r="AF41" i="3"/>
  <c r="AF43" i="3" s="1"/>
  <c r="AF560" i="3"/>
  <c r="AF566" i="3" s="1"/>
  <c r="AF23" i="3" s="1"/>
  <c r="AF546" i="3"/>
  <c r="AG546" i="3" s="1"/>
  <c r="AF405" i="3"/>
  <c r="AF391" i="3"/>
  <c r="AF390" i="3" s="1"/>
  <c r="AF380" i="3"/>
  <c r="AF571" i="3"/>
  <c r="AF570" i="3"/>
  <c r="AF569" i="3"/>
  <c r="AF568" i="3"/>
  <c r="AF25" i="3" s="1"/>
  <c r="AF541" i="3"/>
  <c r="AF537" i="3"/>
  <c r="AF477" i="3"/>
  <c r="AF464" i="3"/>
  <c r="AF460" i="3"/>
  <c r="AF453" i="3"/>
  <c r="AF461" i="3" s="1"/>
  <c r="AF449" i="3"/>
  <c r="AF448" i="3"/>
  <c r="AF447" i="3"/>
  <c r="AF446" i="3"/>
  <c r="AF385" i="3"/>
  <c r="AF354" i="3"/>
  <c r="AF347" i="3"/>
  <c r="AF342" i="3"/>
  <c r="AF326" i="3"/>
  <c r="AF316" i="3"/>
  <c r="AG346" i="3" s="1"/>
  <c r="AF313" i="3"/>
  <c r="AE291" i="3"/>
  <c r="AF291" i="3"/>
  <c r="AF279" i="3"/>
  <c r="AF281" i="3" s="1"/>
  <c r="AF192" i="3"/>
  <c r="AF171" i="3"/>
  <c r="AF45" i="3" s="1"/>
  <c r="AF137" i="3"/>
  <c r="AF116" i="3"/>
  <c r="AF252" i="3"/>
  <c r="AF251" i="3"/>
  <c r="AF250" i="3"/>
  <c r="AF249" i="3"/>
  <c r="AF248" i="3"/>
  <c r="AF246" i="3"/>
  <c r="AF245" i="3"/>
  <c r="AF231" i="3"/>
  <c r="AF54" i="3" s="1"/>
  <c r="AF230" i="3"/>
  <c r="AF229" i="3"/>
  <c r="AF228" i="3"/>
  <c r="AF53" i="3" s="1"/>
  <c r="AF227" i="3"/>
  <c r="AF52" i="3" s="1"/>
  <c r="AF225" i="3"/>
  <c r="AF224" i="3"/>
  <c r="AF223" i="3"/>
  <c r="AF222" i="3"/>
  <c r="AF50" i="3" s="1"/>
  <c r="AF161" i="3"/>
  <c r="AF244" i="3"/>
  <c r="AF106" i="3"/>
  <c r="AG106" i="3" s="1"/>
  <c r="AE106" i="3"/>
  <c r="AF80" i="3"/>
  <c r="AF82" i="3" s="1"/>
  <c r="AF96" i="3" s="1"/>
  <c r="AF79" i="3"/>
  <c r="AF78" i="3"/>
  <c r="AF75" i="3"/>
  <c r="Q13" i="32" s="1"/>
  <c r="AF74" i="3"/>
  <c r="AF71" i="3"/>
  <c r="AF70" i="3"/>
  <c r="Q7" i="32" s="1"/>
  <c r="AF69" i="3"/>
  <c r="Q5" i="32" s="1"/>
  <c r="AF66" i="3"/>
  <c r="AF65" i="3"/>
  <c r="AF62" i="3"/>
  <c r="Q4" i="32" s="1"/>
  <c r="AE16" i="4"/>
  <c r="AF64" i="3" s="1"/>
  <c r="AE13" i="4"/>
  <c r="AE420" i="4"/>
  <c r="AE415" i="4"/>
  <c r="AE414" i="4"/>
  <c r="AE413" i="4"/>
  <c r="AE406" i="4"/>
  <c r="AE402" i="4"/>
  <c r="AE400" i="4"/>
  <c r="AF439" i="4" s="1"/>
  <c r="AE399" i="4"/>
  <c r="AE398" i="4"/>
  <c r="AE392" i="4"/>
  <c r="AE391" i="4"/>
  <c r="AE488" i="4"/>
  <c r="AE480" i="4"/>
  <c r="AE476" i="4"/>
  <c r="AE475" i="4"/>
  <c r="AE474" i="4"/>
  <c r="AE471" i="4"/>
  <c r="AE470" i="4"/>
  <c r="AE464" i="4"/>
  <c r="AE463" i="4"/>
  <c r="AE369" i="4"/>
  <c r="AE368" i="4"/>
  <c r="AE367" i="4"/>
  <c r="AE365" i="4"/>
  <c r="AE362" i="4"/>
  <c r="AE357" i="4"/>
  <c r="AE355" i="4"/>
  <c r="AE352" i="4"/>
  <c r="AE345" i="4"/>
  <c r="AE330" i="4"/>
  <c r="AE332" i="4" s="1"/>
  <c r="AF363" i="4"/>
  <c r="AG358" i="4"/>
  <c r="AE232" i="4"/>
  <c r="AE383" i="4" s="1"/>
  <c r="AE298" i="4"/>
  <c r="AE297" i="4"/>
  <c r="AE296" i="4"/>
  <c r="AE293" i="4"/>
  <c r="AE288" i="4"/>
  <c r="AE286" i="4"/>
  <c r="AE285" i="4"/>
  <c r="AE283" i="4"/>
  <c r="AE276" i="4"/>
  <c r="AE272" i="4"/>
  <c r="AE271" i="4"/>
  <c r="AE418" i="4" s="1"/>
  <c r="AE270" i="4"/>
  <c r="AE417" i="4" s="1"/>
  <c r="AE254" i="4"/>
  <c r="AE256" i="4" s="1"/>
  <c r="AE241" i="4"/>
  <c r="AF287" i="4" s="1"/>
  <c r="AE235" i="4"/>
  <c r="AF282" i="4" s="1"/>
  <c r="AE233" i="4"/>
  <c r="AE384" i="4" s="1"/>
  <c r="AE230" i="4"/>
  <c r="AE177" i="4"/>
  <c r="AD177" i="4"/>
  <c r="AE218" i="4"/>
  <c r="AE213" i="4"/>
  <c r="AE209" i="4"/>
  <c r="AE207" i="4"/>
  <c r="AE206" i="4"/>
  <c r="AE205" i="4"/>
  <c r="AE203" i="4"/>
  <c r="AE200" i="4"/>
  <c r="AE193" i="4"/>
  <c r="AF211" i="4"/>
  <c r="AE141" i="4"/>
  <c r="AE140" i="4"/>
  <c r="AE139" i="4"/>
  <c r="AE136" i="4"/>
  <c r="AE132" i="4"/>
  <c r="AE130" i="4"/>
  <c r="AE129" i="4"/>
  <c r="AE123" i="4"/>
  <c r="AE118" i="4"/>
  <c r="AE116" i="4"/>
  <c r="AE115" i="4" s="1"/>
  <c r="AE100" i="4"/>
  <c r="AE102" i="4" s="1"/>
  <c r="AF134" i="4"/>
  <c r="AE87" i="4"/>
  <c r="AF131" i="4" s="1"/>
  <c r="AE62" i="4"/>
  <c r="AE58" i="4"/>
  <c r="AE56" i="4"/>
  <c r="AE55" i="4"/>
  <c r="AE52" i="4"/>
  <c r="AE49" i="4"/>
  <c r="AE31" i="4"/>
  <c r="AE42" i="4"/>
  <c r="AF60" i="4"/>
  <c r="AP285" i="4"/>
  <c r="AR285" i="4" s="1"/>
  <c r="AG530" i="3" l="1"/>
  <c r="AG527" i="3"/>
  <c r="Q12" i="32"/>
  <c r="S137" i="28"/>
  <c r="S6" i="28" s="1"/>
  <c r="Q18" i="32"/>
  <c r="Q19" i="32"/>
  <c r="AF479" i="3"/>
  <c r="AF503" i="3" s="1"/>
  <c r="Q27" i="32"/>
  <c r="R166" i="28"/>
  <c r="R104" i="28" s="1"/>
  <c r="R107" i="28" s="1"/>
  <c r="AF562" i="3"/>
  <c r="AF561" i="3" s="1"/>
  <c r="AE453" i="4"/>
  <c r="AE249" i="4"/>
  <c r="AG534" i="3"/>
  <c r="R23" i="32" s="1"/>
  <c r="AG77" i="3"/>
  <c r="R17" i="32" s="1"/>
  <c r="AG531" i="3"/>
  <c r="AG500" i="4"/>
  <c r="AG502" i="4"/>
  <c r="AF247" i="3"/>
  <c r="AF302" i="3"/>
  <c r="AF304" i="3" s="1"/>
  <c r="AF49" i="3" s="1"/>
  <c r="AF574" i="3" s="1"/>
  <c r="AG348" i="3"/>
  <c r="AF344" i="3"/>
  <c r="AG87" i="3"/>
  <c r="AG344" i="3" s="1"/>
  <c r="AE178" i="4"/>
  <c r="AE180" i="4" s="1"/>
  <c r="AF216" i="4"/>
  <c r="AE32" i="4"/>
  <c r="AF64" i="4"/>
  <c r="AE495" i="4"/>
  <c r="AF354" i="4"/>
  <c r="AF356" i="4"/>
  <c r="AF202" i="4"/>
  <c r="AF433" i="4"/>
  <c r="AF423" i="4"/>
  <c r="AF51" i="4"/>
  <c r="AF126" i="4"/>
  <c r="AF508" i="4"/>
  <c r="AF498" i="4"/>
  <c r="AE419" i="4"/>
  <c r="AF279" i="4"/>
  <c r="AF281" i="4"/>
  <c r="AE462" i="4"/>
  <c r="AF507" i="4" s="1"/>
  <c r="AF289" i="4"/>
  <c r="AE19" i="4"/>
  <c r="AE217" i="4"/>
  <c r="AF226" i="3"/>
  <c r="AF51" i="3" s="1"/>
  <c r="AF187" i="3"/>
  <c r="AF209" i="3" s="1"/>
  <c r="AF198" i="3" s="1"/>
  <c r="AE65" i="4"/>
  <c r="AF63" i="3"/>
  <c r="AE234" i="4"/>
  <c r="AE385" i="4" s="1"/>
  <c r="AE441" i="4"/>
  <c r="AF565" i="3"/>
  <c r="AE390" i="4"/>
  <c r="AF432" i="4" s="1"/>
  <c r="AE472" i="4"/>
  <c r="AF76" i="3"/>
  <c r="Q14" i="32" s="1"/>
  <c r="Q15" i="32" s="1"/>
  <c r="AF567" i="3"/>
  <c r="AF24" i="3" s="1"/>
  <c r="AF462" i="3"/>
  <c r="AF384" i="3"/>
  <c r="AF502" i="3"/>
  <c r="AF318" i="3"/>
  <c r="AF309" i="3" s="1"/>
  <c r="AF576" i="3" s="1"/>
  <c r="AF132" i="3"/>
  <c r="AF419" i="3" s="1"/>
  <c r="AF408" i="3" s="1"/>
  <c r="AE381" i="4"/>
  <c r="AE269" i="4"/>
  <c r="AE386" i="4"/>
  <c r="AF429" i="4" s="1"/>
  <c r="AE458" i="4"/>
  <c r="AF504" i="4" s="1"/>
  <c r="AE316" i="4"/>
  <c r="AF359" i="4" s="1"/>
  <c r="AE492" i="4"/>
  <c r="AE493" i="4"/>
  <c r="AE216" i="4"/>
  <c r="AE75" i="4"/>
  <c r="S9" i="28" l="1"/>
  <c r="S8" i="28"/>
  <c r="R106" i="28"/>
  <c r="AE36" i="4"/>
  <c r="AE452" i="4"/>
  <c r="AF499" i="4" s="1"/>
  <c r="R163" i="28"/>
  <c r="R98" i="28" s="1"/>
  <c r="AG30" i="3"/>
  <c r="AG31" i="3"/>
  <c r="AE67" i="4"/>
  <c r="AE468" i="4"/>
  <c r="AF509" i="4" s="1"/>
  <c r="BH249" i="4"/>
  <c r="AF291" i="4"/>
  <c r="AG81" i="3"/>
  <c r="AE153" i="4"/>
  <c r="AF242" i="3"/>
  <c r="AF514" i="4"/>
  <c r="AF67" i="3"/>
  <c r="AF68" i="3" s="1"/>
  <c r="AF57" i="4"/>
  <c r="AF426" i="4"/>
  <c r="AF428" i="4"/>
  <c r="AF278" i="4"/>
  <c r="AF219" i="3"/>
  <c r="AF46" i="3"/>
  <c r="AE459" i="4"/>
  <c r="AF505" i="4" s="1"/>
  <c r="AE387" i="4"/>
  <c r="AF430" i="4" s="1"/>
  <c r="AE317" i="4"/>
  <c r="AF109" i="3"/>
  <c r="AE396" i="4"/>
  <c r="AE416" i="4"/>
  <c r="AE494" i="4"/>
  <c r="S176" i="28" l="1"/>
  <c r="S12" i="28" s="1"/>
  <c r="S14" i="28" s="1"/>
  <c r="R20" i="32"/>
  <c r="AE518" i="4"/>
  <c r="Q24" i="32"/>
  <c r="AF73" i="3"/>
  <c r="Q6" i="32"/>
  <c r="Q10" i="32" s="1"/>
  <c r="R101" i="28"/>
  <c r="R100" i="28"/>
  <c r="AG37" i="3"/>
  <c r="AG578" i="3" s="1"/>
  <c r="R28" i="32" s="1"/>
  <c r="AG58" i="3"/>
  <c r="AG84" i="3"/>
  <c r="AF434" i="4"/>
  <c r="BH396" i="4"/>
  <c r="BH468" i="4"/>
  <c r="AG474" i="3"/>
  <c r="AG341" i="3"/>
  <c r="AG476" i="3"/>
  <c r="AG501" i="3" s="1"/>
  <c r="AG472" i="3"/>
  <c r="R25" i="32" s="1"/>
  <c r="AF360" i="4"/>
  <c r="AF503" i="4"/>
  <c r="AF501" i="4"/>
  <c r="AE491" i="4"/>
  <c r="AF425" i="4"/>
  <c r="AE305" i="4"/>
  <c r="AD16" i="4"/>
  <c r="AD13" i="4"/>
  <c r="S15" i="28" l="1"/>
  <c r="R137" i="28"/>
  <c r="R6" i="28" s="1"/>
  <c r="R9" i="28" s="1"/>
  <c r="AF77" i="3"/>
  <c r="Q17" i="32" s="1"/>
  <c r="AF527" i="3"/>
  <c r="AF534" i="3"/>
  <c r="Q23" i="32" s="1"/>
  <c r="AF530" i="3"/>
  <c r="AG471" i="3"/>
  <c r="AG498" i="3" s="1"/>
  <c r="R26" i="32"/>
  <c r="AF531" i="3"/>
  <c r="AG535" i="3"/>
  <c r="AG500" i="3"/>
  <c r="AG470" i="3"/>
  <c r="AG497" i="3" s="1"/>
  <c r="AG499" i="3"/>
  <c r="AF500" i="4"/>
  <c r="AF502" i="4"/>
  <c r="AE567" i="3"/>
  <c r="AE24" i="3" s="1"/>
  <c r="AE549" i="3"/>
  <c r="AE550" i="3"/>
  <c r="AE548" i="3"/>
  <c r="AE547" i="3"/>
  <c r="AE540" i="3"/>
  <c r="AE539" i="3"/>
  <c r="AE538" i="3"/>
  <c r="AE529" i="3"/>
  <c r="AE41" i="3"/>
  <c r="AE571" i="3"/>
  <c r="AE570" i="3"/>
  <c r="AE569" i="3"/>
  <c r="AE568" i="3"/>
  <c r="AE25" i="3" s="1"/>
  <c r="AE566" i="3"/>
  <c r="AE23" i="3" s="1"/>
  <c r="AE537" i="3"/>
  <c r="AE477" i="3"/>
  <c r="AE464" i="3"/>
  <c r="AE460" i="3"/>
  <c r="AE347" i="3"/>
  <c r="AE326" i="3"/>
  <c r="AE316" i="3"/>
  <c r="AE313" i="3"/>
  <c r="AE302" i="3"/>
  <c r="AE304" i="3" s="1"/>
  <c r="AE279" i="3"/>
  <c r="AE281" i="3" s="1"/>
  <c r="AF348" i="3" s="1"/>
  <c r="AE252" i="3"/>
  <c r="AE251" i="3"/>
  <c r="AE250" i="3"/>
  <c r="AE249" i="3"/>
  <c r="AE248" i="3"/>
  <c r="AE247" i="3"/>
  <c r="AE246" i="3"/>
  <c r="AE245" i="3"/>
  <c r="AE231" i="3"/>
  <c r="AE54" i="3" s="1"/>
  <c r="AE230" i="3"/>
  <c r="AE229" i="3"/>
  <c r="AE228" i="3"/>
  <c r="AE53" i="3" s="1"/>
  <c r="AE227" i="3"/>
  <c r="AE52" i="3" s="1"/>
  <c r="AE225" i="3"/>
  <c r="AE224" i="3"/>
  <c r="AE223" i="3"/>
  <c r="AE222" i="3"/>
  <c r="AE189" i="3"/>
  <c r="AE171" i="3"/>
  <c r="AE187" i="3" s="1"/>
  <c r="AE209" i="3" s="1"/>
  <c r="AE156" i="3"/>
  <c r="AE446" i="3" s="1"/>
  <c r="AE134" i="3"/>
  <c r="AE116" i="3"/>
  <c r="AE132" i="3" s="1"/>
  <c r="AE161" i="3"/>
  <c r="AE405" i="3"/>
  <c r="AE390" i="3"/>
  <c r="AE462" i="3" s="1"/>
  <c r="AE380" i="3"/>
  <c r="AE453" i="3"/>
  <c r="AE461" i="3" s="1"/>
  <c r="AE448" i="3"/>
  <c r="AE447" i="3"/>
  <c r="AE385" i="3"/>
  <c r="AF476" i="3" l="1"/>
  <c r="AF501" i="3" s="1"/>
  <c r="AF81" i="3"/>
  <c r="Q20" i="32" s="1"/>
  <c r="AF30" i="3"/>
  <c r="AF31" i="3"/>
  <c r="R8" i="28"/>
  <c r="AE479" i="3"/>
  <c r="AE503" i="3" s="1"/>
  <c r="P27" i="32"/>
  <c r="AF84" i="3"/>
  <c r="AE198" i="3"/>
  <c r="AE244" i="3"/>
  <c r="AE541" i="3"/>
  <c r="AE384" i="3"/>
  <c r="AE318" i="3"/>
  <c r="AE309" i="3" s="1"/>
  <c r="AE576" i="3" s="1"/>
  <c r="AF346" i="3"/>
  <c r="AE226" i="3"/>
  <c r="AE51" i="3" s="1"/>
  <c r="AE49" i="3"/>
  <c r="AE574" i="3" s="1"/>
  <c r="AE46" i="3"/>
  <c r="AE50" i="3"/>
  <c r="AE45" i="3"/>
  <c r="AE565" i="3"/>
  <c r="AE502" i="3"/>
  <c r="AE419" i="3"/>
  <c r="AE408" i="3" s="1"/>
  <c r="AE109" i="3"/>
  <c r="AE97" i="3"/>
  <c r="AE95" i="3"/>
  <c r="AE85" i="3"/>
  <c r="AE342" i="3" s="1"/>
  <c r="AE80" i="3"/>
  <c r="AE82" i="3" s="1"/>
  <c r="AE96" i="3" s="1"/>
  <c r="AE79" i="3"/>
  <c r="AE78" i="3"/>
  <c r="AE75" i="3"/>
  <c r="P13" i="32" s="1"/>
  <c r="AE74" i="3"/>
  <c r="AE71" i="3"/>
  <c r="AE70" i="3"/>
  <c r="P7" i="32" s="1"/>
  <c r="AE69" i="3"/>
  <c r="P5" i="32" s="1"/>
  <c r="AE66" i="3"/>
  <c r="AE65" i="3"/>
  <c r="AE64" i="3"/>
  <c r="AE63" i="3"/>
  <c r="AE62" i="3"/>
  <c r="P4" i="32" s="1"/>
  <c r="AD62" i="4"/>
  <c r="AD58" i="4"/>
  <c r="AD56" i="4"/>
  <c r="AD55" i="4"/>
  <c r="AD52" i="4"/>
  <c r="AD49" i="4"/>
  <c r="AD420" i="4"/>
  <c r="AD415" i="4"/>
  <c r="AD414" i="4"/>
  <c r="AD413" i="4"/>
  <c r="AD406" i="4"/>
  <c r="AD402" i="4"/>
  <c r="AD400" i="4"/>
  <c r="AE439" i="4" s="1"/>
  <c r="AD399" i="4"/>
  <c r="AD398" i="4"/>
  <c r="AD392" i="4"/>
  <c r="AD391" i="4"/>
  <c r="AD731" i="4"/>
  <c r="AD729" i="4"/>
  <c r="AD727" i="4"/>
  <c r="AD726" i="4"/>
  <c r="AD725" i="4"/>
  <c r="AD723" i="4"/>
  <c r="AD722" i="4"/>
  <c r="AD721" i="4"/>
  <c r="AD719" i="4"/>
  <c r="AD718" i="4"/>
  <c r="AD716" i="4"/>
  <c r="AD715" i="4"/>
  <c r="AD714" i="4"/>
  <c r="AD712" i="4"/>
  <c r="AD709" i="4"/>
  <c r="AD702" i="4"/>
  <c r="AD686" i="4"/>
  <c r="AD688" i="4" s="1"/>
  <c r="AE689" i="4" s="1"/>
  <c r="AD681" i="4"/>
  <c r="AD673" i="4"/>
  <c r="AE717" i="4" s="1"/>
  <c r="AD664" i="4"/>
  <c r="AD665" i="4" s="1"/>
  <c r="AE710" i="4" s="1"/>
  <c r="AD488" i="4"/>
  <c r="AD480" i="4"/>
  <c r="AD476" i="4"/>
  <c r="AD475" i="4"/>
  <c r="AD474" i="4"/>
  <c r="AD471" i="4"/>
  <c r="AD470" i="4"/>
  <c r="AD464" i="4"/>
  <c r="AD463" i="4"/>
  <c r="AD368" i="4"/>
  <c r="AD367" i="4"/>
  <c r="AD365" i="4"/>
  <c r="AD362" i="4"/>
  <c r="AD357" i="4"/>
  <c r="AD355" i="4"/>
  <c r="AD352" i="4"/>
  <c r="AD345" i="4"/>
  <c r="AD330" i="4"/>
  <c r="AD332" i="4" s="1"/>
  <c r="AE363" i="4"/>
  <c r="AD315" i="4"/>
  <c r="Q159" i="28" s="1"/>
  <c r="Q87" i="28" s="1"/>
  <c r="AD298" i="4"/>
  <c r="AD297" i="4"/>
  <c r="AD296" i="4"/>
  <c r="AD293" i="4"/>
  <c r="AD288" i="4"/>
  <c r="AD286" i="4"/>
  <c r="AD285" i="4"/>
  <c r="AD283" i="4"/>
  <c r="AD276" i="4"/>
  <c r="AD272" i="4"/>
  <c r="AD271" i="4"/>
  <c r="AD418" i="4" s="1"/>
  <c r="AD270" i="4"/>
  <c r="AD417" i="4" s="1"/>
  <c r="AD254" i="4"/>
  <c r="AD256" i="4" s="1"/>
  <c r="AD241" i="4"/>
  <c r="AE287" i="4" s="1"/>
  <c r="AD235" i="4"/>
  <c r="AD234" i="4"/>
  <c r="AD385" i="4" s="1"/>
  <c r="AD233" i="4"/>
  <c r="AD384" i="4" s="1"/>
  <c r="AD232" i="4"/>
  <c r="AD383" i="4" s="1"/>
  <c r="AD230" i="4"/>
  <c r="AD178" i="4"/>
  <c r="AD180" i="4" s="1"/>
  <c r="AD218" i="4"/>
  <c r="AD217" i="4"/>
  <c r="AD213" i="4"/>
  <c r="AD209" i="4"/>
  <c r="AD207" i="4"/>
  <c r="AD206" i="4"/>
  <c r="AD205" i="4"/>
  <c r="AD203" i="4"/>
  <c r="AD200" i="4"/>
  <c r="AD193" i="4"/>
  <c r="AD370" i="4"/>
  <c r="AC370" i="4"/>
  <c r="AD299" i="4"/>
  <c r="AC299" i="4"/>
  <c r="AB343" i="4"/>
  <c r="AB113" i="4"/>
  <c r="AD141" i="4"/>
  <c r="AD140" i="4"/>
  <c r="AD139" i="4"/>
  <c r="AD136" i="4"/>
  <c r="AD132" i="4"/>
  <c r="AD130" i="4"/>
  <c r="AD129" i="4"/>
  <c r="AD123" i="4"/>
  <c r="AD118" i="4"/>
  <c r="AD116" i="4"/>
  <c r="AD115" i="4" s="1"/>
  <c r="AD100" i="4"/>
  <c r="AD102" i="4" s="1"/>
  <c r="AE134" i="4"/>
  <c r="AD87" i="4"/>
  <c r="AE131" i="4" s="1"/>
  <c r="AD31" i="4"/>
  <c r="AD42" i="4"/>
  <c r="AD19" i="4"/>
  <c r="BG5" i="4"/>
  <c r="R176" i="28" l="1"/>
  <c r="R12" i="28" s="1"/>
  <c r="R14" i="28" s="1"/>
  <c r="AF472" i="3"/>
  <c r="Q25" i="32" s="1"/>
  <c r="AF37" i="3"/>
  <c r="AF578" i="3" s="1"/>
  <c r="Q28" i="32" s="1"/>
  <c r="AF58" i="3"/>
  <c r="AF474" i="3"/>
  <c r="AG475" i="3" s="1"/>
  <c r="AF341" i="3"/>
  <c r="P12" i="32"/>
  <c r="P18" i="32"/>
  <c r="P19" i="32"/>
  <c r="AG473" i="3"/>
  <c r="R15" i="28"/>
  <c r="AF470" i="3"/>
  <c r="AF497" i="3" s="1"/>
  <c r="Q90" i="28"/>
  <c r="Q89" i="28"/>
  <c r="AE64" i="4"/>
  <c r="Q166" i="28"/>
  <c r="Q104" i="28" s="1"/>
  <c r="AE562" i="3"/>
  <c r="AE561" i="3" s="1"/>
  <c r="AD305" i="4"/>
  <c r="AD225" i="4"/>
  <c r="AE211" i="4"/>
  <c r="AD75" i="4"/>
  <c r="AE242" i="3"/>
  <c r="AE713" i="4"/>
  <c r="AE711" i="4"/>
  <c r="AD316" i="4"/>
  <c r="AE359" i="4" s="1"/>
  <c r="AF358" i="4"/>
  <c r="AD269" i="4"/>
  <c r="AE423" i="4"/>
  <c r="AE433" i="4"/>
  <c r="AD495" i="4"/>
  <c r="AE55" i="3"/>
  <c r="AE60" i="4"/>
  <c r="AE356" i="4"/>
  <c r="AE354" i="4"/>
  <c r="AE51" i="4"/>
  <c r="AE126" i="4"/>
  <c r="AE202" i="4"/>
  <c r="AE67" i="3"/>
  <c r="AE68" i="3" s="1"/>
  <c r="AE57" i="4"/>
  <c r="AE279" i="4"/>
  <c r="AE281" i="4"/>
  <c r="AE498" i="4"/>
  <c r="AE508" i="4"/>
  <c r="AD458" i="4"/>
  <c r="AE504" i="4" s="1"/>
  <c r="AE282" i="4"/>
  <c r="AD386" i="4"/>
  <c r="AE429" i="4" s="1"/>
  <c r="AD153" i="4"/>
  <c r="AD453" i="4"/>
  <c r="AD441" i="4"/>
  <c r="AE43" i="3"/>
  <c r="AE354" i="3"/>
  <c r="AD472" i="4"/>
  <c r="AE514" i="4" s="1"/>
  <c r="AE76" i="3"/>
  <c r="P14" i="32" s="1"/>
  <c r="AD65" i="4"/>
  <c r="AD32" i="4"/>
  <c r="AD492" i="4"/>
  <c r="AD381" i="4"/>
  <c r="AD493" i="4"/>
  <c r="AD419" i="4"/>
  <c r="AD494" i="4" s="1"/>
  <c r="AE219" i="3"/>
  <c r="AK48" i="3"/>
  <c r="AL48" i="3" s="1"/>
  <c r="AM48" i="3" s="1"/>
  <c r="AN48" i="3" s="1"/>
  <c r="AO48" i="3" s="1"/>
  <c r="BL706" i="4"/>
  <c r="BL670" i="4"/>
  <c r="BL669" i="4"/>
  <c r="BL5" i="4"/>
  <c r="BR478" i="3"/>
  <c r="BR443" i="3"/>
  <c r="BR442" i="3"/>
  <c r="BR441" i="3"/>
  <c r="BR440" i="3"/>
  <c r="BR439" i="3"/>
  <c r="BR438" i="3"/>
  <c r="BR437" i="3"/>
  <c r="BR436" i="3"/>
  <c r="BR435" i="3"/>
  <c r="BR434" i="3"/>
  <c r="BR418" i="3"/>
  <c r="BR417" i="3"/>
  <c r="BR416" i="3"/>
  <c r="BR415" i="3"/>
  <c r="BR414" i="3"/>
  <c r="BR413" i="3"/>
  <c r="BR412" i="3"/>
  <c r="BR411" i="3"/>
  <c r="BR410" i="3"/>
  <c r="BR409" i="3"/>
  <c r="BR401" i="3"/>
  <c r="BR400" i="3"/>
  <c r="BR399" i="3"/>
  <c r="BR398" i="3"/>
  <c r="BR397" i="3"/>
  <c r="BR396" i="3"/>
  <c r="BR395" i="3"/>
  <c r="BR394" i="3"/>
  <c r="BR393" i="3"/>
  <c r="BR336" i="3"/>
  <c r="BR335" i="3"/>
  <c r="BR334" i="3"/>
  <c r="BR333" i="3"/>
  <c r="BR332" i="3"/>
  <c r="BR331" i="3"/>
  <c r="BR330" i="3"/>
  <c r="BR329" i="3"/>
  <c r="BR328" i="3"/>
  <c r="BR327" i="3"/>
  <c r="BR301" i="3"/>
  <c r="BR300" i="3"/>
  <c r="BR299" i="3"/>
  <c r="BR298" i="3"/>
  <c r="BR297" i="3"/>
  <c r="BR296" i="3"/>
  <c r="BR295" i="3"/>
  <c r="BR294" i="3"/>
  <c r="BR293" i="3"/>
  <c r="BR292" i="3"/>
  <c r="BR263" i="3"/>
  <c r="BR262" i="3"/>
  <c r="BR261" i="3"/>
  <c r="BR260" i="3"/>
  <c r="BR259" i="3"/>
  <c r="BR258" i="3"/>
  <c r="BR257" i="3"/>
  <c r="BR256" i="3"/>
  <c r="BR255" i="3"/>
  <c r="BR254" i="3"/>
  <c r="BR241" i="3"/>
  <c r="BR240" i="3"/>
  <c r="BR239" i="3"/>
  <c r="BR238" i="3"/>
  <c r="BR237" i="3"/>
  <c r="BR236" i="3"/>
  <c r="BR235" i="3"/>
  <c r="BR234" i="3"/>
  <c r="BR233" i="3"/>
  <c r="BR232" i="3"/>
  <c r="BR208" i="3"/>
  <c r="BR207" i="3"/>
  <c r="BR206" i="3"/>
  <c r="BR205" i="3"/>
  <c r="BR204" i="3"/>
  <c r="BR203" i="3"/>
  <c r="BR202" i="3"/>
  <c r="BR201" i="3"/>
  <c r="BR200" i="3"/>
  <c r="BR199" i="3"/>
  <c r="BR186" i="3"/>
  <c r="BR185" i="3"/>
  <c r="BR184" i="3"/>
  <c r="BR183" i="3"/>
  <c r="BR182" i="3"/>
  <c r="BR181" i="3"/>
  <c r="BR180" i="3"/>
  <c r="BR179" i="3"/>
  <c r="BR178" i="3"/>
  <c r="BR177" i="3"/>
  <c r="BR153" i="3"/>
  <c r="BR152" i="3"/>
  <c r="BR151" i="3"/>
  <c r="BR150" i="3"/>
  <c r="BR149" i="3"/>
  <c r="BR148" i="3"/>
  <c r="BR147" i="3"/>
  <c r="BR146" i="3"/>
  <c r="BR145" i="3"/>
  <c r="BR144" i="3"/>
  <c r="BR131" i="3"/>
  <c r="BR130" i="3"/>
  <c r="BR129" i="3"/>
  <c r="BR128" i="3"/>
  <c r="BR127" i="3"/>
  <c r="BR126" i="3"/>
  <c r="BR125" i="3"/>
  <c r="BR124" i="3"/>
  <c r="BR123" i="3"/>
  <c r="BR122" i="3"/>
  <c r="BR87" i="3"/>
  <c r="BR86" i="3"/>
  <c r="BR85" i="3"/>
  <c r="BR83" i="3"/>
  <c r="G20" i="33" s="1"/>
  <c r="BR47" i="3"/>
  <c r="BR36" i="3"/>
  <c r="AO477" i="3"/>
  <c r="Z27" i="32" s="1"/>
  <c r="AN477" i="3"/>
  <c r="Y27" i="32" s="1"/>
  <c r="AO344" i="3"/>
  <c r="AN344" i="3"/>
  <c r="AO343" i="3"/>
  <c r="AN343" i="3"/>
  <c r="AO342" i="3"/>
  <c r="AN342" i="3"/>
  <c r="AF499" i="3" l="1"/>
  <c r="AF471" i="3"/>
  <c r="AF498" i="3" s="1"/>
  <c r="P15" i="32"/>
  <c r="Q26" i="32"/>
  <c r="AF500" i="3"/>
  <c r="AE73" i="3"/>
  <c r="P6" i="32"/>
  <c r="P10" i="32" s="1"/>
  <c r="Q107" i="28"/>
  <c r="Q106" i="28"/>
  <c r="AD452" i="4"/>
  <c r="AE499" i="4" s="1"/>
  <c r="BR477" i="3"/>
  <c r="O36" i="33" s="1"/>
  <c r="BR343" i="3"/>
  <c r="AD317" i="4"/>
  <c r="AE360" i="4" s="1"/>
  <c r="AD459" i="4"/>
  <c r="AE505" i="4" s="1"/>
  <c r="AD387" i="4"/>
  <c r="AE430" i="4" s="1"/>
  <c r="AD416" i="4"/>
  <c r="AD491" i="4" s="1"/>
  <c r="AE500" i="4" s="1"/>
  <c r="AE278" i="4"/>
  <c r="BR48" i="3"/>
  <c r="AP48" i="3"/>
  <c r="AQ48" i="3" s="1"/>
  <c r="BR342" i="3"/>
  <c r="AE503" i="4"/>
  <c r="AE501" i="4"/>
  <c r="AE426" i="4"/>
  <c r="AE428" i="4"/>
  <c r="AD36" i="4"/>
  <c r="AD67" i="4"/>
  <c r="BR344" i="3"/>
  <c r="BF239" i="4"/>
  <c r="BE239" i="4"/>
  <c r="BD239" i="4"/>
  <c r="BC239" i="4"/>
  <c r="BB239" i="4"/>
  <c r="BA239" i="4"/>
  <c r="AZ239" i="4"/>
  <c r="AY239" i="4"/>
  <c r="BF240" i="4"/>
  <c r="BE240" i="4"/>
  <c r="BD240" i="4"/>
  <c r="BC240" i="4"/>
  <c r="BB240" i="4"/>
  <c r="BA240" i="4"/>
  <c r="AZ240" i="4"/>
  <c r="AY240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O286" i="4"/>
  <c r="N286" i="4"/>
  <c r="M286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O285" i="4"/>
  <c r="N285" i="4"/>
  <c r="M285" i="4"/>
  <c r="O24" i="33" l="1"/>
  <c r="AQ27" i="32"/>
  <c r="Q137" i="28"/>
  <c r="Q6" i="28" s="1"/>
  <c r="Q9" i="28" s="1"/>
  <c r="AD518" i="4"/>
  <c r="P24" i="32"/>
  <c r="AF535" i="3"/>
  <c r="BS48" i="3"/>
  <c r="AR48" i="3"/>
  <c r="AS48" i="3" s="1"/>
  <c r="BT48" i="3" s="1"/>
  <c r="AE425" i="4"/>
  <c r="AE502" i="4"/>
  <c r="AE530" i="3"/>
  <c r="AE531" i="3"/>
  <c r="AE534" i="3"/>
  <c r="P23" i="32" s="1"/>
  <c r="AE527" i="3"/>
  <c r="AE77" i="3"/>
  <c r="P17" i="32" s="1"/>
  <c r="BG239" i="4"/>
  <c r="Q8" i="28" l="1"/>
  <c r="AE81" i="3"/>
  <c r="P20" i="32" s="1"/>
  <c r="AE30" i="3"/>
  <c r="AE31" i="3"/>
  <c r="BH239" i="4"/>
  <c r="AE341" i="3" l="1"/>
  <c r="AE58" i="3"/>
  <c r="AE84" i="3"/>
  <c r="Q176" i="28"/>
  <c r="Q12" i="28" s="1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O241" i="4"/>
  <c r="N241" i="4"/>
  <c r="M241" i="4"/>
  <c r="AC241" i="4"/>
  <c r="AD287" i="4" s="1"/>
  <c r="Q15" i="28" l="1"/>
  <c r="Q14" i="28"/>
  <c r="AE476" i="3"/>
  <c r="AE501" i="3" s="1"/>
  <c r="AE472" i="3"/>
  <c r="AY241" i="4"/>
  <c r="M287" i="4"/>
  <c r="BE241" i="4"/>
  <c r="Y287" i="4"/>
  <c r="T287" i="4"/>
  <c r="O287" i="4"/>
  <c r="AZ241" i="4"/>
  <c r="AA287" i="4"/>
  <c r="BF241" i="4"/>
  <c r="V287" i="4"/>
  <c r="AB287" i="4"/>
  <c r="BB241" i="4"/>
  <c r="S287" i="4"/>
  <c r="N287" i="4"/>
  <c r="Z287" i="4"/>
  <c r="BC241" i="4"/>
  <c r="U287" i="4"/>
  <c r="P287" i="4"/>
  <c r="Q287" i="4"/>
  <c r="BA241" i="4"/>
  <c r="W287" i="4"/>
  <c r="BD241" i="4"/>
  <c r="BI239" i="4"/>
  <c r="AC287" i="4"/>
  <c r="R287" i="4"/>
  <c r="X287" i="4"/>
  <c r="AD560" i="3"/>
  <c r="AD566" i="3" s="1"/>
  <c r="AD23" i="3" s="1"/>
  <c r="AD546" i="3"/>
  <c r="AE546" i="3" s="1"/>
  <c r="AD540" i="3"/>
  <c r="AD539" i="3"/>
  <c r="AD538" i="3"/>
  <c r="AD571" i="3"/>
  <c r="AD570" i="3"/>
  <c r="AD569" i="3"/>
  <c r="AD568" i="3"/>
  <c r="AD25" i="3" s="1"/>
  <c r="AD537" i="3"/>
  <c r="AD477" i="3"/>
  <c r="AD464" i="3"/>
  <c r="AD460" i="3"/>
  <c r="AD291" i="3"/>
  <c r="AD354" i="3"/>
  <c r="AD347" i="3"/>
  <c r="AD342" i="3"/>
  <c r="AD326" i="3"/>
  <c r="AD316" i="3"/>
  <c r="AD313" i="3"/>
  <c r="AD279" i="3"/>
  <c r="AD281" i="3" s="1"/>
  <c r="AD189" i="3"/>
  <c r="AD171" i="3"/>
  <c r="AD176" i="3"/>
  <c r="AD252" i="3"/>
  <c r="AD251" i="3"/>
  <c r="AD250" i="3"/>
  <c r="AD249" i="3"/>
  <c r="AD248" i="3"/>
  <c r="AD247" i="3"/>
  <c r="AD246" i="3"/>
  <c r="AD245" i="3"/>
  <c r="AD230" i="3"/>
  <c r="AD229" i="3"/>
  <c r="AD228" i="3"/>
  <c r="AD53" i="3" s="1"/>
  <c r="AD227" i="3"/>
  <c r="AD52" i="3" s="1"/>
  <c r="AD225" i="3"/>
  <c r="AD223" i="3"/>
  <c r="AD222" i="3"/>
  <c r="AD50" i="3" s="1"/>
  <c r="AD405" i="3"/>
  <c r="AD391" i="3"/>
  <c r="AD390" i="3" s="1"/>
  <c r="AD462" i="3" s="1"/>
  <c r="AD380" i="3"/>
  <c r="AD453" i="3"/>
  <c r="AD461" i="3" s="1"/>
  <c r="AD449" i="3"/>
  <c r="AD448" i="3"/>
  <c r="AD447" i="3"/>
  <c r="AD446" i="3"/>
  <c r="AD385" i="3"/>
  <c r="AD161" i="3"/>
  <c r="AD134" i="3"/>
  <c r="AD121" i="3"/>
  <c r="AD116" i="3"/>
  <c r="AD114" i="3"/>
  <c r="AD224" i="3" s="1"/>
  <c r="AD106" i="3"/>
  <c r="AE474" i="3" s="1"/>
  <c r="P26" i="32" s="1"/>
  <c r="AC106" i="3"/>
  <c r="AD41" i="3"/>
  <c r="AD43" i="3" s="1"/>
  <c r="AC97" i="3"/>
  <c r="AB97" i="3"/>
  <c r="AD87" i="3"/>
  <c r="AD80" i="3"/>
  <c r="AD82" i="3" s="1"/>
  <c r="AD96" i="3" s="1"/>
  <c r="AD79" i="3"/>
  <c r="AD78" i="3"/>
  <c r="AD75" i="3"/>
  <c r="O13" i="32" s="1"/>
  <c r="AD74" i="3"/>
  <c r="AD71" i="3"/>
  <c r="AD70" i="3"/>
  <c r="O7" i="32" s="1"/>
  <c r="AD69" i="3"/>
  <c r="O5" i="32" s="1"/>
  <c r="AD66" i="3"/>
  <c r="AD65" i="3"/>
  <c r="AD62" i="3"/>
  <c r="O4" i="32" s="1"/>
  <c r="AC731" i="4"/>
  <c r="AC728" i="4"/>
  <c r="AC729" i="4" s="1"/>
  <c r="AC727" i="4"/>
  <c r="AC726" i="4"/>
  <c r="AC725" i="4"/>
  <c r="AC723" i="4"/>
  <c r="AC722" i="4"/>
  <c r="AC721" i="4"/>
  <c r="AC719" i="4"/>
  <c r="AC718" i="4"/>
  <c r="AC716" i="4"/>
  <c r="AC715" i="4"/>
  <c r="AC714" i="4"/>
  <c r="AC712" i="4"/>
  <c r="AC709" i="4"/>
  <c r="AC702" i="4"/>
  <c r="AC686" i="4"/>
  <c r="AC681" i="4"/>
  <c r="AC673" i="4"/>
  <c r="AD717" i="4" s="1"/>
  <c r="AC664" i="4"/>
  <c r="AC665" i="4" s="1"/>
  <c r="AD710" i="4" s="1"/>
  <c r="AC488" i="4"/>
  <c r="AC476" i="4"/>
  <c r="AC474" i="4"/>
  <c r="AC420" i="4"/>
  <c r="AC495" i="4" s="1"/>
  <c r="AC415" i="4"/>
  <c r="AC414" i="4"/>
  <c r="AC413" i="4"/>
  <c r="AC406" i="4"/>
  <c r="AC402" i="4"/>
  <c r="AC400" i="4"/>
  <c r="AD439" i="4" s="1"/>
  <c r="AC399" i="4"/>
  <c r="AC398" i="4"/>
  <c r="AC392" i="4"/>
  <c r="AC391" i="4"/>
  <c r="AC369" i="4"/>
  <c r="AC368" i="4"/>
  <c r="AC367" i="4"/>
  <c r="AC365" i="4"/>
  <c r="AC362" i="4"/>
  <c r="AC357" i="4"/>
  <c r="AC355" i="4"/>
  <c r="AC352" i="4"/>
  <c r="AC345" i="4"/>
  <c r="AC330" i="4"/>
  <c r="AC332" i="4" s="1"/>
  <c r="AD363" i="4"/>
  <c r="AE358" i="4"/>
  <c r="AC298" i="4"/>
  <c r="AC297" i="4"/>
  <c r="AC296" i="4"/>
  <c r="AC293" i="4"/>
  <c r="AC288" i="4"/>
  <c r="AC283" i="4"/>
  <c r="AC276" i="4"/>
  <c r="AC272" i="4"/>
  <c r="AC271" i="4"/>
  <c r="AC418" i="4" s="1"/>
  <c r="AC493" i="4" s="1"/>
  <c r="AC270" i="4"/>
  <c r="AC417" i="4" s="1"/>
  <c r="AC243" i="4"/>
  <c r="AC254" i="4"/>
  <c r="AC256" i="4" s="1"/>
  <c r="AC235" i="4"/>
  <c r="AD282" i="4" s="1"/>
  <c r="AC233" i="4"/>
  <c r="AC384" i="4" s="1"/>
  <c r="AC230" i="4"/>
  <c r="AC218" i="4"/>
  <c r="AC213" i="4"/>
  <c r="AC209" i="4"/>
  <c r="AC207" i="4"/>
  <c r="AC206" i="4"/>
  <c r="AC205" i="4"/>
  <c r="AC203" i="4"/>
  <c r="AC200" i="4"/>
  <c r="AC193" i="4"/>
  <c r="AC177" i="4"/>
  <c r="AD211" i="4"/>
  <c r="AC141" i="4"/>
  <c r="AC140" i="4"/>
  <c r="AC139" i="4"/>
  <c r="AC136" i="4"/>
  <c r="AC132" i="4"/>
  <c r="AC130" i="4"/>
  <c r="AC129" i="4"/>
  <c r="AC123" i="4"/>
  <c r="AC118" i="4"/>
  <c r="AC116" i="4"/>
  <c r="AC100" i="4"/>
  <c r="AC102" i="4" s="1"/>
  <c r="AD134" i="4"/>
  <c r="AC87" i="4"/>
  <c r="AD131" i="4" s="1"/>
  <c r="AC16" i="4"/>
  <c r="AD64" i="3" s="1"/>
  <c r="AB16" i="4"/>
  <c r="AC13" i="4"/>
  <c r="AD63" i="3" s="1"/>
  <c r="AB13" i="4"/>
  <c r="AC31" i="4"/>
  <c r="AC62" i="4"/>
  <c r="AC58" i="4"/>
  <c r="AC56" i="4"/>
  <c r="AC55" i="4"/>
  <c r="AC52" i="4"/>
  <c r="AC49" i="4"/>
  <c r="AC42" i="4"/>
  <c r="AD60" i="4"/>
  <c r="O12" i="32" l="1"/>
  <c r="O18" i="32"/>
  <c r="O19" i="32"/>
  <c r="AD479" i="3"/>
  <c r="AD503" i="3" s="1"/>
  <c r="O27" i="32"/>
  <c r="P166" i="28"/>
  <c r="P104" i="28" s="1"/>
  <c r="P107" i="28" s="1"/>
  <c r="AF473" i="3"/>
  <c r="P25" i="32"/>
  <c r="AD243" i="4"/>
  <c r="AE289" i="4" s="1"/>
  <c r="P152" i="28"/>
  <c r="P60" i="28" s="1"/>
  <c r="AD562" i="3"/>
  <c r="AD561" i="3" s="1"/>
  <c r="AC249" i="4"/>
  <c r="BG681" i="4"/>
  <c r="AC178" i="4"/>
  <c r="AC180" i="4" s="1"/>
  <c r="AC441" i="4"/>
  <c r="AE471" i="3"/>
  <c r="AE498" i="3" s="1"/>
  <c r="AF475" i="3"/>
  <c r="AD244" i="3"/>
  <c r="AD711" i="4"/>
  <c r="AD713" i="4"/>
  <c r="AD302" i="3"/>
  <c r="AD304" i="3" s="1"/>
  <c r="AD49" i="3" s="1"/>
  <c r="AD574" i="3" s="1"/>
  <c r="AE348" i="3"/>
  <c r="AC390" i="4"/>
  <c r="AD126" i="4"/>
  <c r="AC305" i="4"/>
  <c r="AD423" i="4"/>
  <c r="AD433" i="4"/>
  <c r="AD508" i="4"/>
  <c r="AD498" i="4"/>
  <c r="AD318" i="3"/>
  <c r="AD309" i="3" s="1"/>
  <c r="AD576" i="3" s="1"/>
  <c r="AE346" i="3"/>
  <c r="AC75" i="4"/>
  <c r="AD354" i="4"/>
  <c r="AD356" i="4"/>
  <c r="AD344" i="3"/>
  <c r="AE87" i="3"/>
  <c r="AE344" i="3" s="1"/>
  <c r="AD541" i="3"/>
  <c r="AE500" i="3"/>
  <c r="AD279" i="4"/>
  <c r="AD281" i="4"/>
  <c r="AD51" i="4"/>
  <c r="AC217" i="4"/>
  <c r="AD216" i="4"/>
  <c r="AC65" i="4"/>
  <c r="AD64" i="4"/>
  <c r="AD202" i="4"/>
  <c r="AC225" i="4"/>
  <c r="AE499" i="3"/>
  <c r="AE470" i="3"/>
  <c r="AE497" i="3" s="1"/>
  <c r="AD231" i="3"/>
  <c r="AD54" i="3" s="1"/>
  <c r="AD132" i="3"/>
  <c r="AD109" i="3" s="1"/>
  <c r="AD187" i="3"/>
  <c r="AD46" i="3" s="1"/>
  <c r="AC115" i="4"/>
  <c r="BG241" i="4"/>
  <c r="AD45" i="3"/>
  <c r="AC19" i="4"/>
  <c r="AC492" i="4"/>
  <c r="AD76" i="3"/>
  <c r="O14" i="32" s="1"/>
  <c r="O15" i="32" s="1"/>
  <c r="AC234" i="4"/>
  <c r="AC385" i="4" s="1"/>
  <c r="AD384" i="3"/>
  <c r="AD567" i="3"/>
  <c r="AD24" i="3" s="1"/>
  <c r="AD502" i="3"/>
  <c r="AD565" i="3"/>
  <c r="AD226" i="3"/>
  <c r="AC688" i="4"/>
  <c r="AD689" i="4" s="1"/>
  <c r="AC381" i="4"/>
  <c r="AC419" i="4"/>
  <c r="AC386" i="4"/>
  <c r="AD429" i="4" s="1"/>
  <c r="AC269" i="4"/>
  <c r="AC316" i="4"/>
  <c r="AD359" i="4" s="1"/>
  <c r="AC32" i="4"/>
  <c r="P106" i="28" l="1"/>
  <c r="AD462" i="4"/>
  <c r="Q163" i="28" s="1"/>
  <c r="Q98" i="28" s="1"/>
  <c r="Q101" i="28" s="1"/>
  <c r="P62" i="28"/>
  <c r="P63" i="28"/>
  <c r="AD289" i="4"/>
  <c r="AD390" i="4"/>
  <c r="AE432" i="4" s="1"/>
  <c r="AD249" i="4"/>
  <c r="AD468" i="4" s="1"/>
  <c r="AE509" i="4" s="1"/>
  <c r="Q152" i="28"/>
  <c r="Q60" i="28" s="1"/>
  <c r="AC153" i="4"/>
  <c r="AC468" i="4"/>
  <c r="AD209" i="3"/>
  <c r="AD198" i="3" s="1"/>
  <c r="AD55" i="3"/>
  <c r="AC494" i="4"/>
  <c r="AD428" i="4"/>
  <c r="AD426" i="4"/>
  <c r="AC396" i="4"/>
  <c r="AD419" i="3"/>
  <c r="AD408" i="3" s="1"/>
  <c r="AD278" i="4"/>
  <c r="AD67" i="3"/>
  <c r="AD68" i="3" s="1"/>
  <c r="AD57" i="4"/>
  <c r="BG240" i="4"/>
  <c r="BH241" i="4"/>
  <c r="AJ239" i="4"/>
  <c r="AD242" i="3"/>
  <c r="AD51" i="3"/>
  <c r="AC317" i="4"/>
  <c r="AD360" i="4" s="1"/>
  <c r="AC387" i="4"/>
  <c r="AD430" i="4" s="1"/>
  <c r="AC416" i="4"/>
  <c r="AC36" i="4"/>
  <c r="AC67" i="4"/>
  <c r="AC518" i="4" l="1"/>
  <c r="O24" i="32"/>
  <c r="AD73" i="3"/>
  <c r="O6" i="32"/>
  <c r="O10" i="32" s="1"/>
  <c r="AE507" i="4"/>
  <c r="Q100" i="28"/>
  <c r="AD432" i="4"/>
  <c r="Q62" i="28"/>
  <c r="Q63" i="28"/>
  <c r="AD291" i="4"/>
  <c r="BG468" i="4"/>
  <c r="AE291" i="4"/>
  <c r="AD396" i="4"/>
  <c r="AE434" i="4" s="1"/>
  <c r="BG249" i="4"/>
  <c r="AD219" i="3"/>
  <c r="AD501" i="4"/>
  <c r="AD503" i="4"/>
  <c r="AC491" i="4"/>
  <c r="AD425" i="4"/>
  <c r="AK239" i="4"/>
  <c r="BI241" i="4"/>
  <c r="BJ239" i="4"/>
  <c r="AC7" i="4"/>
  <c r="P137" i="28" l="1"/>
  <c r="P6" i="28" s="1"/>
  <c r="P8" i="28" s="1"/>
  <c r="AD527" i="3"/>
  <c r="AE535" i="3"/>
  <c r="P9" i="28"/>
  <c r="AD531" i="3"/>
  <c r="AD534" i="3"/>
  <c r="O23" i="32" s="1"/>
  <c r="AD434" i="4"/>
  <c r="BG396" i="4"/>
  <c r="AD530" i="3"/>
  <c r="AD77" i="3"/>
  <c r="O17" i="32" s="1"/>
  <c r="AD500" i="4"/>
  <c r="AL239" i="4"/>
  <c r="BH240" i="4"/>
  <c r="AD476" i="3" l="1"/>
  <c r="AD501" i="3" s="1"/>
  <c r="AD30" i="3"/>
  <c r="AD81" i="3"/>
  <c r="AD31" i="3"/>
  <c r="BK239" i="4"/>
  <c r="AM239" i="4"/>
  <c r="P176" i="28" l="1"/>
  <c r="P12" i="28" s="1"/>
  <c r="P14" i="28" s="1"/>
  <c r="O20" i="32"/>
  <c r="AD472" i="3"/>
  <c r="AD341" i="3"/>
  <c r="AD474" i="3"/>
  <c r="AD58" i="3"/>
  <c r="AD84" i="3"/>
  <c r="AN239" i="4"/>
  <c r="BI240" i="4"/>
  <c r="AC566" i="3"/>
  <c r="AC23" i="3" s="1"/>
  <c r="AC547" i="3"/>
  <c r="AC571" i="3"/>
  <c r="AC570" i="3"/>
  <c r="AC569" i="3"/>
  <c r="AC568" i="3"/>
  <c r="AC25" i="3" s="1"/>
  <c r="AC540" i="3"/>
  <c r="AC539" i="3"/>
  <c r="AC538" i="3"/>
  <c r="AC537" i="3"/>
  <c r="AC477" i="3"/>
  <c r="AC464" i="3"/>
  <c r="AC460" i="3"/>
  <c r="AC291" i="3"/>
  <c r="AC347" i="3"/>
  <c r="AC326" i="3"/>
  <c r="AC316" i="3"/>
  <c r="AD346" i="3" s="1"/>
  <c r="AC313" i="3"/>
  <c r="AC189" i="3"/>
  <c r="AA171" i="3"/>
  <c r="AC171" i="3"/>
  <c r="AC45" i="3" s="1"/>
  <c r="AC279" i="3"/>
  <c r="AC281" i="3" s="1"/>
  <c r="AC252" i="3"/>
  <c r="AC251" i="3"/>
  <c r="AC250" i="3"/>
  <c r="AC249" i="3"/>
  <c r="AC248" i="3"/>
  <c r="AC247" i="3"/>
  <c r="AC246" i="3"/>
  <c r="AC245" i="3"/>
  <c r="AC231" i="3"/>
  <c r="AC54" i="3" s="1"/>
  <c r="AC230" i="3"/>
  <c r="AC229" i="3"/>
  <c r="AC228" i="3"/>
  <c r="AC53" i="3" s="1"/>
  <c r="AC227" i="3"/>
  <c r="AC52" i="3" s="1"/>
  <c r="AC225" i="3"/>
  <c r="AC224" i="3"/>
  <c r="AC223" i="3"/>
  <c r="AC222" i="3"/>
  <c r="AC50" i="3" s="1"/>
  <c r="AC405" i="3"/>
  <c r="AC390" i="3"/>
  <c r="AC462" i="3" s="1"/>
  <c r="AC380" i="3"/>
  <c r="AC453" i="3"/>
  <c r="AC461" i="3" s="1"/>
  <c r="AC449" i="3"/>
  <c r="AC448" i="3"/>
  <c r="AC447" i="3"/>
  <c r="AC446" i="3"/>
  <c r="AC385" i="3"/>
  <c r="AC134" i="3"/>
  <c r="AC116" i="3"/>
  <c r="AA116" i="3"/>
  <c r="AC161" i="3"/>
  <c r="AC41" i="3"/>
  <c r="AC107" i="3"/>
  <c r="AC85" i="3"/>
  <c r="AC342" i="3" s="1"/>
  <c r="AC80" i="3"/>
  <c r="AC82" i="3" s="1"/>
  <c r="AC96" i="3" s="1"/>
  <c r="AC79" i="3"/>
  <c r="N19" i="32" s="1"/>
  <c r="AC78" i="3"/>
  <c r="N18" i="32" s="1"/>
  <c r="AC75" i="3"/>
  <c r="N13" i="32" s="1"/>
  <c r="AC74" i="3"/>
  <c r="N12" i="32" s="1"/>
  <c r="AC71" i="3"/>
  <c r="AC70" i="3"/>
  <c r="N7" i="32" s="1"/>
  <c r="AC69" i="3"/>
  <c r="N5" i="32" s="1"/>
  <c r="AC66" i="3"/>
  <c r="AC65" i="3"/>
  <c r="AC62" i="3"/>
  <c r="N4" i="32" s="1"/>
  <c r="P15" i="28" l="1"/>
  <c r="AC479" i="3"/>
  <c r="AC503" i="3" s="1"/>
  <c r="N27" i="32"/>
  <c r="AE473" i="3"/>
  <c r="O25" i="32"/>
  <c r="AE475" i="3"/>
  <c r="O26" i="32"/>
  <c r="AD470" i="3"/>
  <c r="AD497" i="3" s="1"/>
  <c r="AD499" i="3"/>
  <c r="AC562" i="3"/>
  <c r="AC561" i="3" s="1"/>
  <c r="AC244" i="3"/>
  <c r="AD471" i="3"/>
  <c r="AD498" i="3" s="1"/>
  <c r="AD500" i="3"/>
  <c r="BL239" i="4"/>
  <c r="AO239" i="4"/>
  <c r="AC302" i="3"/>
  <c r="AC304" i="3" s="1"/>
  <c r="AD348" i="3"/>
  <c r="BJ240" i="4"/>
  <c r="AC384" i="3"/>
  <c r="AC132" i="3"/>
  <c r="AC109" i="3" s="1"/>
  <c r="AC541" i="3"/>
  <c r="AC187" i="3"/>
  <c r="AC46" i="3" s="1"/>
  <c r="AC318" i="3"/>
  <c r="AC309" i="3" s="1"/>
  <c r="AC576" i="3" s="1"/>
  <c r="AC567" i="3"/>
  <c r="AC24" i="3" s="1"/>
  <c r="AC565" i="3"/>
  <c r="AC502" i="3"/>
  <c r="AC226" i="3"/>
  <c r="AC242" i="3" s="1"/>
  <c r="AP239" i="4" l="1"/>
  <c r="AC209" i="3"/>
  <c r="AC198" i="3" s="1"/>
  <c r="AC419" i="3"/>
  <c r="AC408" i="3" s="1"/>
  <c r="AC51" i="3"/>
  <c r="AA370" i="4"/>
  <c r="AB731" i="4"/>
  <c r="AB728" i="4"/>
  <c r="AB729" i="4" s="1"/>
  <c r="AB727" i="4"/>
  <c r="AB726" i="4"/>
  <c r="AB725" i="4"/>
  <c r="AB723" i="4"/>
  <c r="AB722" i="4"/>
  <c r="AB721" i="4"/>
  <c r="AB719" i="4"/>
  <c r="AB718" i="4"/>
  <c r="AB716" i="4"/>
  <c r="AB715" i="4"/>
  <c r="AB714" i="4"/>
  <c r="AB712" i="4"/>
  <c r="AB709" i="4"/>
  <c r="AB702" i="4"/>
  <c r="AB686" i="4"/>
  <c r="AB681" i="4"/>
  <c r="AB673" i="4"/>
  <c r="AC717" i="4" s="1"/>
  <c r="AB664" i="4"/>
  <c r="AB665" i="4" s="1"/>
  <c r="AC710" i="4" s="1"/>
  <c r="AB488" i="4"/>
  <c r="AC498" i="4" s="1"/>
  <c r="AB476" i="4"/>
  <c r="AB475" i="4"/>
  <c r="AB474" i="4"/>
  <c r="AB471" i="4"/>
  <c r="AB470" i="4"/>
  <c r="AB464" i="4"/>
  <c r="AB463" i="4"/>
  <c r="AB420" i="4"/>
  <c r="AB495" i="4" s="1"/>
  <c r="AB415" i="4"/>
  <c r="AB414" i="4"/>
  <c r="AB413" i="4"/>
  <c r="AB402" i="4"/>
  <c r="AB400" i="4"/>
  <c r="AC439" i="4" s="1"/>
  <c r="AB399" i="4"/>
  <c r="AB398" i="4"/>
  <c r="AB392" i="4"/>
  <c r="AB391" i="4"/>
  <c r="AB369" i="4"/>
  <c r="AB368" i="4"/>
  <c r="AB367" i="4"/>
  <c r="AB365" i="4"/>
  <c r="AB362" i="4"/>
  <c r="AB361" i="4"/>
  <c r="AB357" i="4"/>
  <c r="AB355" i="4"/>
  <c r="AB352" i="4"/>
  <c r="AB345" i="4"/>
  <c r="AB330" i="4"/>
  <c r="AB332" i="4" s="1"/>
  <c r="AC363" i="4"/>
  <c r="AD358" i="4"/>
  <c r="AA299" i="4"/>
  <c r="AB259" i="4"/>
  <c r="AB299" i="4" s="1"/>
  <c r="AB243" i="4"/>
  <c r="O152" i="28" s="1"/>
  <c r="O60" i="28" s="1"/>
  <c r="Z236" i="4"/>
  <c r="AB298" i="4"/>
  <c r="AB297" i="4"/>
  <c r="AB296" i="4"/>
  <c r="AB294" i="4"/>
  <c r="AB293" i="4"/>
  <c r="AB288" i="4"/>
  <c r="AB283" i="4"/>
  <c r="AB276" i="4"/>
  <c r="AB272" i="4"/>
  <c r="AC279" i="4" s="1"/>
  <c r="AB271" i="4"/>
  <c r="AB418" i="4" s="1"/>
  <c r="AB493" i="4" s="1"/>
  <c r="AB270" i="4"/>
  <c r="AB417" i="4" s="1"/>
  <c r="AB254" i="4"/>
  <c r="AB256" i="4" s="1"/>
  <c r="AB235" i="4"/>
  <c r="AC282" i="4" s="1"/>
  <c r="AB233" i="4"/>
  <c r="AB384" i="4" s="1"/>
  <c r="AB232" i="4"/>
  <c r="AB230" i="4"/>
  <c r="AB219" i="4"/>
  <c r="AB220" i="4" s="1"/>
  <c r="AA219" i="4"/>
  <c r="AB177" i="4"/>
  <c r="AC216" i="4" s="1"/>
  <c r="AB218" i="4"/>
  <c r="AB213" i="4"/>
  <c r="AB209" i="4"/>
  <c r="AB207" i="4"/>
  <c r="AB206" i="4"/>
  <c r="AB205" i="4"/>
  <c r="AB203" i="4"/>
  <c r="AB200" i="4"/>
  <c r="AB193" i="4"/>
  <c r="AC211" i="4"/>
  <c r="AB165" i="4"/>
  <c r="AA142" i="4"/>
  <c r="AB141" i="4"/>
  <c r="AB140" i="4"/>
  <c r="AB139" i="4"/>
  <c r="AB136" i="4"/>
  <c r="AB132" i="4"/>
  <c r="AB130" i="4"/>
  <c r="AB129" i="4"/>
  <c r="AB123" i="4"/>
  <c r="AB118" i="4"/>
  <c r="AB116" i="4"/>
  <c r="AB115" i="4" s="1"/>
  <c r="AB100" i="4"/>
  <c r="AB102" i="4" s="1"/>
  <c r="AC134" i="4"/>
  <c r="AB87" i="4"/>
  <c r="AC131" i="4" s="1"/>
  <c r="AB31" i="4"/>
  <c r="AB62" i="4"/>
  <c r="AB58" i="4"/>
  <c r="AB56" i="4"/>
  <c r="AB55" i="4"/>
  <c r="AB52" i="4"/>
  <c r="AB49" i="4"/>
  <c r="AB42" i="4"/>
  <c r="AC51" i="4" s="1"/>
  <c r="AC60" i="4"/>
  <c r="AC64" i="3"/>
  <c r="AC63" i="3"/>
  <c r="AC126" i="4" l="1"/>
  <c r="O63" i="28"/>
  <c r="O62" i="28"/>
  <c r="AB65" i="4"/>
  <c r="O166" i="28"/>
  <c r="O104" i="28" s="1"/>
  <c r="AB305" i="4"/>
  <c r="AB249" i="4"/>
  <c r="AB468" i="4" s="1"/>
  <c r="BM239" i="4"/>
  <c r="AQ239" i="4"/>
  <c r="AB441" i="4"/>
  <c r="AC219" i="3"/>
  <c r="AC433" i="4"/>
  <c r="AC423" i="4"/>
  <c r="AB217" i="4"/>
  <c r="AB492" i="4"/>
  <c r="AB462" i="4"/>
  <c r="AC289" i="4"/>
  <c r="AC354" i="4"/>
  <c r="AC356" i="4"/>
  <c r="AC76" i="3"/>
  <c r="N14" i="32" s="1"/>
  <c r="N15" i="32" s="1"/>
  <c r="AC64" i="4"/>
  <c r="AB178" i="4"/>
  <c r="AB180" i="4" s="1"/>
  <c r="AB153" i="4" s="1"/>
  <c r="AC202" i="4"/>
  <c r="AC711" i="4"/>
  <c r="AC713" i="4"/>
  <c r="AB370" i="4"/>
  <c r="AB142" i="4"/>
  <c r="AB143" i="4" s="1"/>
  <c r="AB19" i="4"/>
  <c r="AC57" i="4" s="1"/>
  <c r="AB231" i="4"/>
  <c r="AB382" i="4" s="1"/>
  <c r="AB472" i="4"/>
  <c r="AB406" i="4"/>
  <c r="AB234" i="4"/>
  <c r="AB385" i="4" s="1"/>
  <c r="AB390" i="4"/>
  <c r="AC432" i="4" s="1"/>
  <c r="AB458" i="4"/>
  <c r="AB269" i="4"/>
  <c r="AB688" i="4"/>
  <c r="AC689" i="4" s="1"/>
  <c r="AB453" i="4"/>
  <c r="AB386" i="4"/>
  <c r="AC429" i="4" s="1"/>
  <c r="AB419" i="4"/>
  <c r="AC426" i="4" s="1"/>
  <c r="AB381" i="4"/>
  <c r="AB383" i="4"/>
  <c r="AB316" i="4"/>
  <c r="AB32" i="4"/>
  <c r="AC291" i="4" l="1"/>
  <c r="O107" i="28"/>
  <c r="O106" i="28"/>
  <c r="O163" i="28"/>
  <c r="O98" i="28" s="1"/>
  <c r="AR239" i="4"/>
  <c r="BN239" i="4" s="1"/>
  <c r="BK240" i="4"/>
  <c r="AB396" i="4"/>
  <c r="AC434" i="4" s="1"/>
  <c r="AB459" i="4"/>
  <c r="AC359" i="4"/>
  <c r="AB416" i="4"/>
  <c r="AC425" i="4" s="1"/>
  <c r="AC278" i="4"/>
  <c r="AB237" i="4"/>
  <c r="AB452" i="4"/>
  <c r="AB317" i="4"/>
  <c r="AC67" i="3"/>
  <c r="AC68" i="3" s="1"/>
  <c r="AB494" i="4"/>
  <c r="AB387" i="4"/>
  <c r="AC430" i="4" s="1"/>
  <c r="AB67" i="4"/>
  <c r="AB36" i="4"/>
  <c r="BK5" i="4"/>
  <c r="BQ478" i="3"/>
  <c r="BQ443" i="3"/>
  <c r="BQ442" i="3"/>
  <c r="BQ441" i="3"/>
  <c r="BQ440" i="3"/>
  <c r="BQ439" i="3"/>
  <c r="BQ438" i="3"/>
  <c r="BQ437" i="3"/>
  <c r="BQ436" i="3"/>
  <c r="BQ435" i="3"/>
  <c r="BQ434" i="3"/>
  <c r="BQ418" i="3"/>
  <c r="BQ417" i="3"/>
  <c r="BQ416" i="3"/>
  <c r="BQ415" i="3"/>
  <c r="BQ414" i="3"/>
  <c r="BQ413" i="3"/>
  <c r="BQ412" i="3"/>
  <c r="BQ411" i="3"/>
  <c r="BQ410" i="3"/>
  <c r="BQ409" i="3"/>
  <c r="BQ401" i="3"/>
  <c r="BQ400" i="3"/>
  <c r="BQ399" i="3"/>
  <c r="BQ398" i="3"/>
  <c r="BQ397" i="3"/>
  <c r="BQ396" i="3"/>
  <c r="BQ395" i="3"/>
  <c r="BQ394" i="3"/>
  <c r="BQ393" i="3"/>
  <c r="BQ336" i="3"/>
  <c r="BQ335" i="3"/>
  <c r="BQ334" i="3"/>
  <c r="BQ333" i="3"/>
  <c r="BQ332" i="3"/>
  <c r="BQ331" i="3"/>
  <c r="BQ330" i="3"/>
  <c r="BQ329" i="3"/>
  <c r="BQ328" i="3"/>
  <c r="BQ327" i="3"/>
  <c r="BQ301" i="3"/>
  <c r="BQ300" i="3"/>
  <c r="BQ299" i="3"/>
  <c r="BQ298" i="3"/>
  <c r="BQ297" i="3"/>
  <c r="BQ296" i="3"/>
  <c r="BQ295" i="3"/>
  <c r="BQ294" i="3"/>
  <c r="BQ293" i="3"/>
  <c r="BQ292" i="3"/>
  <c r="BQ263" i="3"/>
  <c r="BQ262" i="3"/>
  <c r="BQ261" i="3"/>
  <c r="BQ260" i="3"/>
  <c r="BQ259" i="3"/>
  <c r="BQ258" i="3"/>
  <c r="BQ257" i="3"/>
  <c r="BQ256" i="3"/>
  <c r="BQ255" i="3"/>
  <c r="BQ254" i="3"/>
  <c r="BQ241" i="3"/>
  <c r="BQ240" i="3"/>
  <c r="BQ239" i="3"/>
  <c r="BQ238" i="3"/>
  <c r="BQ237" i="3"/>
  <c r="BQ236" i="3"/>
  <c r="BQ235" i="3"/>
  <c r="BQ234" i="3"/>
  <c r="BQ233" i="3"/>
  <c r="BQ232" i="3"/>
  <c r="BQ208" i="3"/>
  <c r="BQ207" i="3"/>
  <c r="BQ206" i="3"/>
  <c r="BQ205" i="3"/>
  <c r="BQ204" i="3"/>
  <c r="BQ203" i="3"/>
  <c r="BQ202" i="3"/>
  <c r="BQ201" i="3"/>
  <c r="BQ200" i="3"/>
  <c r="BQ199" i="3"/>
  <c r="BQ186" i="3"/>
  <c r="BQ185" i="3"/>
  <c r="BQ184" i="3"/>
  <c r="BQ183" i="3"/>
  <c r="BQ182" i="3"/>
  <c r="BQ181" i="3"/>
  <c r="BQ180" i="3"/>
  <c r="BQ179" i="3"/>
  <c r="BQ178" i="3"/>
  <c r="BQ177" i="3"/>
  <c r="BQ153" i="3"/>
  <c r="BQ152" i="3"/>
  <c r="BQ151" i="3"/>
  <c r="BQ150" i="3"/>
  <c r="BQ149" i="3"/>
  <c r="BQ148" i="3"/>
  <c r="BQ147" i="3"/>
  <c r="BQ146" i="3"/>
  <c r="BQ145" i="3"/>
  <c r="BQ144" i="3"/>
  <c r="BQ131" i="3"/>
  <c r="BQ130" i="3"/>
  <c r="BQ129" i="3"/>
  <c r="BQ128" i="3"/>
  <c r="BQ127" i="3"/>
  <c r="BQ126" i="3"/>
  <c r="BQ125" i="3"/>
  <c r="BQ124" i="3"/>
  <c r="BQ123" i="3"/>
  <c r="BQ122" i="3"/>
  <c r="BQ87" i="3"/>
  <c r="BQ86" i="3"/>
  <c r="BQ85" i="3"/>
  <c r="BQ83" i="3"/>
  <c r="F20" i="33" s="1"/>
  <c r="BQ48" i="3"/>
  <c r="BQ47" i="3"/>
  <c r="BQ36" i="3"/>
  <c r="AM477" i="3"/>
  <c r="X27" i="32" s="1"/>
  <c r="AL477" i="3"/>
  <c r="W27" i="32" s="1"/>
  <c r="AM344" i="3"/>
  <c r="AL344" i="3"/>
  <c r="AM343" i="3"/>
  <c r="AL343" i="3"/>
  <c r="AM342" i="3"/>
  <c r="AL342" i="3"/>
  <c r="BK706" i="4"/>
  <c r="BK670" i="4"/>
  <c r="BK669" i="4"/>
  <c r="AB518" i="4" l="1"/>
  <c r="N24" i="32"/>
  <c r="AC73" i="3"/>
  <c r="O137" i="28" s="1"/>
  <c r="O6" i="28" s="1"/>
  <c r="O8" i="28" s="1"/>
  <c r="N6" i="32"/>
  <c r="N10" i="32" s="1"/>
  <c r="O101" i="28"/>
  <c r="O100" i="28"/>
  <c r="BQ477" i="3"/>
  <c r="N36" i="33" s="1"/>
  <c r="AB460" i="4"/>
  <c r="AB461" i="4" s="1"/>
  <c r="AC360" i="4"/>
  <c r="AB491" i="4"/>
  <c r="AC501" i="4"/>
  <c r="AC503" i="4"/>
  <c r="BQ342" i="3"/>
  <c r="BQ344" i="3"/>
  <c r="AB388" i="4"/>
  <c r="AB389" i="4" s="1"/>
  <c r="AB397" i="4" s="1"/>
  <c r="AB7" i="4"/>
  <c r="BQ343" i="3"/>
  <c r="N24" i="33" l="1"/>
  <c r="O37" i="33"/>
  <c r="AP27" i="32"/>
  <c r="AC77" i="3"/>
  <c r="AC30" i="3" s="1"/>
  <c r="AD535" i="3"/>
  <c r="AC531" i="3"/>
  <c r="AC527" i="3"/>
  <c r="AC530" i="3"/>
  <c r="AC534" i="3"/>
  <c r="N23" i="32" s="1"/>
  <c r="O9" i="28"/>
  <c r="AB469" i="4"/>
  <c r="AB473" i="4" s="1"/>
  <c r="AB477" i="4" s="1"/>
  <c r="BL240" i="4"/>
  <c r="AC500" i="4"/>
  <c r="AC81" i="3"/>
  <c r="AB401" i="4"/>
  <c r="AB403" i="4" s="1"/>
  <c r="AB376" i="4" s="1"/>
  <c r="AB440" i="4"/>
  <c r="AB442" i="4"/>
  <c r="AB436" i="4"/>
  <c r="AC31" i="3" l="1"/>
  <c r="N17" i="32"/>
  <c r="O176" i="28"/>
  <c r="O12" i="28" s="1"/>
  <c r="O14" i="28" s="1"/>
  <c r="N20" i="32"/>
  <c r="AB511" i="4"/>
  <c r="AB515" i="4"/>
  <c r="AB692" i="4"/>
  <c r="AB694" i="4" s="1"/>
  <c r="AC341" i="3"/>
  <c r="AC476" i="3"/>
  <c r="AC501" i="3" s="1"/>
  <c r="AC84" i="3"/>
  <c r="AC58" i="3"/>
  <c r="AC37" i="3"/>
  <c r="AC578" i="3" s="1"/>
  <c r="N28" i="32" s="1"/>
  <c r="O15" i="28" l="1"/>
  <c r="BM240" i="4"/>
  <c r="AC472" i="3"/>
  <c r="N25" i="32" s="1"/>
  <c r="BN240" i="4" l="1"/>
  <c r="AC470" i="3"/>
  <c r="AC497" i="3" s="1"/>
  <c r="AD473" i="3"/>
  <c r="AC499" i="3"/>
  <c r="AB560" i="3"/>
  <c r="AB546" i="3"/>
  <c r="AC546" i="3" s="1"/>
  <c r="AB540" i="3"/>
  <c r="AB538" i="3"/>
  <c r="AB41" i="3" l="1"/>
  <c r="AB571" i="3"/>
  <c r="AB570" i="3"/>
  <c r="AB569" i="3"/>
  <c r="AB568" i="3"/>
  <c r="AB25" i="3" s="1"/>
  <c r="AB567" i="3"/>
  <c r="AB24" i="3" s="1"/>
  <c r="AB566" i="3"/>
  <c r="AB23" i="3" s="1"/>
  <c r="AB541" i="3"/>
  <c r="AB537" i="3"/>
  <c r="AB405" i="3"/>
  <c r="AB390" i="3"/>
  <c r="AB462" i="3" s="1"/>
  <c r="AB380" i="3"/>
  <c r="AB477" i="3"/>
  <c r="AB464" i="3"/>
  <c r="AB460" i="3"/>
  <c r="AB453" i="3"/>
  <c r="AB461" i="3" s="1"/>
  <c r="AB449" i="3"/>
  <c r="AB448" i="3"/>
  <c r="AB447" i="3"/>
  <c r="AB446" i="3"/>
  <c r="AB385" i="3"/>
  <c r="AB291" i="3"/>
  <c r="AB302" i="3" s="1"/>
  <c r="AB304" i="3" s="1"/>
  <c r="AB49" i="3" s="1"/>
  <c r="AB574" i="3" s="1"/>
  <c r="AB347" i="3"/>
  <c r="AB342" i="3"/>
  <c r="AB326" i="3"/>
  <c r="AB316" i="3"/>
  <c r="AB313" i="3"/>
  <c r="AB279" i="3"/>
  <c r="AB281" i="3" s="1"/>
  <c r="AB189" i="3"/>
  <c r="AB171" i="3"/>
  <c r="AB45" i="3" s="1"/>
  <c r="Z171" i="3"/>
  <c r="AB252" i="3"/>
  <c r="AB251" i="3"/>
  <c r="AB250" i="3"/>
  <c r="AB249" i="3"/>
  <c r="AB248" i="3"/>
  <c r="AB247" i="3"/>
  <c r="AB246" i="3"/>
  <c r="AB245" i="3"/>
  <c r="AB231" i="3"/>
  <c r="AB54" i="3" s="1"/>
  <c r="AB230" i="3"/>
  <c r="AB229" i="3"/>
  <c r="AB228" i="3"/>
  <c r="AB53" i="3" s="1"/>
  <c r="AB227" i="3"/>
  <c r="AB52" i="3" s="1"/>
  <c r="AB225" i="3"/>
  <c r="AB224" i="3"/>
  <c r="AB223" i="3"/>
  <c r="AB222" i="3"/>
  <c r="AB50" i="3" s="1"/>
  <c r="AB134" i="3"/>
  <c r="AB116" i="3"/>
  <c r="Z116" i="3"/>
  <c r="AB161" i="3"/>
  <c r="AB106" i="3"/>
  <c r="AC474" i="3" s="1"/>
  <c r="AB87" i="3"/>
  <c r="AB80" i="3"/>
  <c r="AB82" i="3" s="1"/>
  <c r="AB96" i="3" s="1"/>
  <c r="AB79" i="3"/>
  <c r="M19" i="32" s="1"/>
  <c r="AB78" i="3"/>
  <c r="M18" i="32" s="1"/>
  <c r="AB75" i="3"/>
  <c r="M13" i="32" s="1"/>
  <c r="AB74" i="3"/>
  <c r="M12" i="32" s="1"/>
  <c r="AB71" i="3"/>
  <c r="AB70" i="3"/>
  <c r="M7" i="32" s="1"/>
  <c r="AB69" i="3"/>
  <c r="M5" i="32" s="1"/>
  <c r="AB66" i="3"/>
  <c r="AB65" i="3"/>
  <c r="AB62" i="3"/>
  <c r="M4" i="32" s="1"/>
  <c r="AA62" i="4"/>
  <c r="AA58" i="4"/>
  <c r="AA56" i="4"/>
  <c r="AA55" i="4"/>
  <c r="AA52" i="4"/>
  <c r="AA49" i="4"/>
  <c r="AA731" i="4"/>
  <c r="AA728" i="4"/>
  <c r="AA729" i="4" s="1"/>
  <c r="AA727" i="4"/>
  <c r="AA726" i="4"/>
  <c r="AA725" i="4"/>
  <c r="AA723" i="4"/>
  <c r="AA722" i="4"/>
  <c r="AA721" i="4"/>
  <c r="AA719" i="4"/>
  <c r="AA718" i="4"/>
  <c r="AA716" i="4"/>
  <c r="AA715" i="4"/>
  <c r="AA714" i="4"/>
  <c r="AA712" i="4"/>
  <c r="AA709" i="4"/>
  <c r="AA702" i="4"/>
  <c r="AA686" i="4"/>
  <c r="AA688" i="4" s="1"/>
  <c r="AB689" i="4" s="1"/>
  <c r="AA681" i="4"/>
  <c r="AA673" i="4"/>
  <c r="AB717" i="4" s="1"/>
  <c r="AA664" i="4"/>
  <c r="AA665" i="4" s="1"/>
  <c r="AB710" i="4" s="1"/>
  <c r="AA488" i="4"/>
  <c r="AA480" i="4"/>
  <c r="AA476" i="4"/>
  <c r="AA475" i="4"/>
  <c r="AA474" i="4"/>
  <c r="AA471" i="4"/>
  <c r="AA470" i="4"/>
  <c r="AA464" i="4"/>
  <c r="AA463" i="4"/>
  <c r="AA420" i="4"/>
  <c r="AA495" i="4" s="1"/>
  <c r="AA415" i="4"/>
  <c r="AA414" i="4"/>
  <c r="AA413" i="4"/>
  <c r="AA406" i="4"/>
  <c r="AA402" i="4"/>
  <c r="AA400" i="4"/>
  <c r="AB439" i="4" s="1"/>
  <c r="AA399" i="4"/>
  <c r="AA398" i="4"/>
  <c r="AA392" i="4"/>
  <c r="AA391" i="4"/>
  <c r="AA369" i="4"/>
  <c r="AA368" i="4"/>
  <c r="AA367" i="4"/>
  <c r="AA365" i="4"/>
  <c r="AA362" i="4"/>
  <c r="AA361" i="4"/>
  <c r="AA357" i="4"/>
  <c r="AA355" i="4"/>
  <c r="AA352" i="4"/>
  <c r="AA345" i="4"/>
  <c r="AA330" i="4"/>
  <c r="AA332" i="4" s="1"/>
  <c r="AC358" i="4"/>
  <c r="AA243" i="4"/>
  <c r="N152" i="28" s="1"/>
  <c r="N60" i="28" s="1"/>
  <c r="AA298" i="4"/>
  <c r="AA297" i="4"/>
  <c r="AA296" i="4"/>
  <c r="AA294" i="4"/>
  <c r="AA293" i="4"/>
  <c r="AA288" i="4"/>
  <c r="AA283" i="4"/>
  <c r="AA276" i="4"/>
  <c r="AA272" i="4"/>
  <c r="AA271" i="4"/>
  <c r="AA270" i="4"/>
  <c r="AA417" i="4" s="1"/>
  <c r="AA254" i="4"/>
  <c r="AA256" i="4" s="1"/>
  <c r="AA235" i="4"/>
  <c r="AB282" i="4" s="1"/>
  <c r="AA232" i="4"/>
  <c r="AA230" i="4"/>
  <c r="AA220" i="4"/>
  <c r="AA177" i="4"/>
  <c r="AB216" i="4" s="1"/>
  <c r="AA218" i="4"/>
  <c r="AA213" i="4"/>
  <c r="AA209" i="4"/>
  <c r="AA207" i="4"/>
  <c r="AA206" i="4"/>
  <c r="AA205" i="4"/>
  <c r="AA203" i="4"/>
  <c r="AA200" i="4"/>
  <c r="AA193" i="4"/>
  <c r="AB211" i="4"/>
  <c r="AA165" i="4"/>
  <c r="AB208" i="4" s="1"/>
  <c r="AA143" i="4"/>
  <c r="AA83" i="4"/>
  <c r="N141" i="28" s="1"/>
  <c r="N23" i="28" s="1"/>
  <c r="AA81" i="4"/>
  <c r="N140" i="28" s="1"/>
  <c r="N18" i="28" s="1"/>
  <c r="AA141" i="4"/>
  <c r="AA140" i="4"/>
  <c r="AA139" i="4"/>
  <c r="AA136" i="4"/>
  <c r="AA132" i="4"/>
  <c r="AA130" i="4"/>
  <c r="AA129" i="4"/>
  <c r="AA123" i="4"/>
  <c r="AA118" i="4"/>
  <c r="AB126" i="4" s="1"/>
  <c r="AA116" i="4"/>
  <c r="AA115" i="4" s="1"/>
  <c r="AA100" i="4"/>
  <c r="AA102" i="4" s="1"/>
  <c r="AB134" i="4"/>
  <c r="AA42" i="4"/>
  <c r="AB51" i="4" s="1"/>
  <c r="AA16" i="4"/>
  <c r="Z16" i="4"/>
  <c r="Y16" i="4"/>
  <c r="AA13" i="4"/>
  <c r="AB63" i="3" s="1"/>
  <c r="AA31" i="4"/>
  <c r="AD475" i="3" l="1"/>
  <c r="N26" i="32"/>
  <c r="N166" i="28"/>
  <c r="N104" i="28" s="1"/>
  <c r="N107" i="28" s="1"/>
  <c r="AB479" i="3"/>
  <c r="AB503" i="3" s="1"/>
  <c r="M27" i="32"/>
  <c r="N62" i="28"/>
  <c r="N63" i="28"/>
  <c r="N25" i="28"/>
  <c r="N26" i="28"/>
  <c r="N21" i="28"/>
  <c r="N20" i="28"/>
  <c r="AB562" i="3"/>
  <c r="AB561" i="3" s="1"/>
  <c r="AB226" i="3"/>
  <c r="AB51" i="3" s="1"/>
  <c r="AB187" i="3"/>
  <c r="AB209" i="3" s="1"/>
  <c r="AB198" i="3" s="1"/>
  <c r="AA381" i="4"/>
  <c r="AA249" i="4"/>
  <c r="BF249" i="4" s="1"/>
  <c r="AD149" i="4"/>
  <c r="BF681" i="4"/>
  <c r="AD150" i="4"/>
  <c r="AA233" i="4"/>
  <c r="AA384" i="4" s="1"/>
  <c r="AC348" i="3"/>
  <c r="AB244" i="3"/>
  <c r="AB363" i="4"/>
  <c r="AA19" i="4"/>
  <c r="AB57" i="4" s="1"/>
  <c r="AB356" i="4"/>
  <c r="AB354" i="4"/>
  <c r="AB60" i="4"/>
  <c r="AA75" i="4"/>
  <c r="AB433" i="4"/>
  <c r="AB423" i="4"/>
  <c r="AC500" i="3"/>
  <c r="AC471" i="3"/>
  <c r="AC498" i="3" s="1"/>
  <c r="AA32" i="4"/>
  <c r="AB64" i="4"/>
  <c r="AB204" i="4"/>
  <c r="AB202" i="4"/>
  <c r="AB132" i="3"/>
  <c r="AB419" i="3" s="1"/>
  <c r="AB408" i="3" s="1"/>
  <c r="AA462" i="4"/>
  <c r="AB507" i="4" s="1"/>
  <c r="AB289" i="4"/>
  <c r="AB344" i="3"/>
  <c r="AC87" i="3"/>
  <c r="AC344" i="3" s="1"/>
  <c r="AB354" i="3"/>
  <c r="AB318" i="3"/>
  <c r="AB309" i="3" s="1"/>
  <c r="AB576" i="3" s="1"/>
  <c r="AC346" i="3"/>
  <c r="AB508" i="4"/>
  <c r="AB498" i="4"/>
  <c r="AB713" i="4"/>
  <c r="AB711" i="4"/>
  <c r="AB279" i="4"/>
  <c r="AB281" i="4"/>
  <c r="AB384" i="3"/>
  <c r="AB43" i="3"/>
  <c r="AA231" i="4"/>
  <c r="AA382" i="4" s="1"/>
  <c r="AA386" i="4"/>
  <c r="AB429" i="4" s="1"/>
  <c r="AA65" i="4"/>
  <c r="AA390" i="4"/>
  <c r="AB432" i="4" s="1"/>
  <c r="AA453" i="4"/>
  <c r="AB76" i="3"/>
  <c r="M14" i="32" s="1"/>
  <c r="M15" i="32" s="1"/>
  <c r="AA234" i="4"/>
  <c r="AA385" i="4" s="1"/>
  <c r="AA492" i="4"/>
  <c r="AA472" i="4"/>
  <c r="AB514" i="4" s="1"/>
  <c r="AB64" i="3"/>
  <c r="AB565" i="3"/>
  <c r="AB502" i="3"/>
  <c r="AA441" i="4"/>
  <c r="AA458" i="4"/>
  <c r="AB504" i="4" s="1"/>
  <c r="AA419" i="4"/>
  <c r="AA269" i="4"/>
  <c r="AA418" i="4"/>
  <c r="AA493" i="4" s="1"/>
  <c r="AA305" i="4"/>
  <c r="AA383" i="4"/>
  <c r="AA316" i="4"/>
  <c r="AA225" i="4"/>
  <c r="AA217" i="4"/>
  <c r="AA178" i="4"/>
  <c r="AA180" i="4" s="1"/>
  <c r="AB181" i="4" s="1"/>
  <c r="AA87" i="4"/>
  <c r="AB131" i="4" s="1"/>
  <c r="N106" i="28" l="1"/>
  <c r="AA36" i="4"/>
  <c r="AB242" i="3"/>
  <c r="AA452" i="4"/>
  <c r="AB499" i="4" s="1"/>
  <c r="N163" i="28"/>
  <c r="N98" i="28" s="1"/>
  <c r="AB46" i="3"/>
  <c r="AA468" i="4"/>
  <c r="BF468" i="4" s="1"/>
  <c r="AB219" i="3"/>
  <c r="AB109" i="3"/>
  <c r="AB67" i="3"/>
  <c r="AB68" i="3" s="1"/>
  <c r="AB55" i="3"/>
  <c r="AA67" i="4"/>
  <c r="AA459" i="4"/>
  <c r="AB505" i="4" s="1"/>
  <c r="AB359" i="4"/>
  <c r="AC354" i="3"/>
  <c r="AC43" i="3"/>
  <c r="AB280" i="4"/>
  <c r="AB278" i="4"/>
  <c r="AB426" i="4"/>
  <c r="AB428" i="4"/>
  <c r="AA396" i="4"/>
  <c r="AB291" i="4"/>
  <c r="AA237" i="4"/>
  <c r="AA494" i="4"/>
  <c r="AA416" i="4"/>
  <c r="AA317" i="4"/>
  <c r="AB360" i="4" s="1"/>
  <c r="AA387" i="4"/>
  <c r="AB430" i="4" s="1"/>
  <c r="AA153" i="4"/>
  <c r="AA518" i="4" l="1"/>
  <c r="M24" i="32"/>
  <c r="AB73" i="3"/>
  <c r="N137" i="28" s="1"/>
  <c r="N6" i="28" s="1"/>
  <c r="N8" i="28" s="1"/>
  <c r="M6" i="32"/>
  <c r="M10" i="32" s="1"/>
  <c r="AA7" i="4"/>
  <c r="AB509" i="4"/>
  <c r="N101" i="28"/>
  <c r="N100" i="28"/>
  <c r="AB434" i="4"/>
  <c r="BF396" i="4"/>
  <c r="AB425" i="4"/>
  <c r="AB427" i="4"/>
  <c r="AB501" i="4"/>
  <c r="AB503" i="4"/>
  <c r="AA460" i="4"/>
  <c r="AB284" i="4"/>
  <c r="AA491" i="4"/>
  <c r="AA388" i="4"/>
  <c r="AB431" i="4" s="1"/>
  <c r="AB530" i="3" l="1"/>
  <c r="AB534" i="3"/>
  <c r="M23" i="32" s="1"/>
  <c r="AB531" i="3"/>
  <c r="N9" i="28"/>
  <c r="AC535" i="3"/>
  <c r="AB527" i="3"/>
  <c r="AB77" i="3"/>
  <c r="M17" i="32" s="1"/>
  <c r="AB500" i="4"/>
  <c r="AA461" i="4"/>
  <c r="AB506" i="4"/>
  <c r="AA389" i="4"/>
  <c r="AA397" i="4" s="1"/>
  <c r="AB81" i="3" l="1"/>
  <c r="M20" i="32" s="1"/>
  <c r="AB476" i="3"/>
  <c r="AB501" i="3" s="1"/>
  <c r="AB31" i="3"/>
  <c r="AB30" i="3"/>
  <c r="AB472" i="3"/>
  <c r="AB499" i="3" s="1"/>
  <c r="N176" i="28"/>
  <c r="N12" i="28" s="1"/>
  <c r="AA469" i="4"/>
  <c r="AA482" i="4" s="1"/>
  <c r="AB84" i="3"/>
  <c r="AB341" i="3"/>
  <c r="AA401" i="4"/>
  <c r="AA403" i="4" s="1"/>
  <c r="AA376" i="4" s="1"/>
  <c r="AA440" i="4"/>
  <c r="AA442" i="4"/>
  <c r="AA436" i="4"/>
  <c r="AA45" i="3"/>
  <c r="AA560" i="3"/>
  <c r="AA567" i="3" s="1"/>
  <c r="AA24" i="3" s="1"/>
  <c r="AA547" i="3"/>
  <c r="AA540" i="3"/>
  <c r="AA539" i="3"/>
  <c r="AA538" i="3"/>
  <c r="AA571" i="3"/>
  <c r="AA570" i="3"/>
  <c r="AA569" i="3"/>
  <c r="AA568" i="3"/>
  <c r="AA25" i="3" s="1"/>
  <c r="AA537" i="3"/>
  <c r="AA477" i="3"/>
  <c r="AA464" i="3"/>
  <c r="AA460" i="3"/>
  <c r="AA405" i="3"/>
  <c r="AA390" i="3"/>
  <c r="AA462" i="3" s="1"/>
  <c r="AA453" i="3"/>
  <c r="AA461" i="3" s="1"/>
  <c r="AA449" i="3"/>
  <c r="AA448" i="3"/>
  <c r="AA447" i="3"/>
  <c r="AA446" i="3"/>
  <c r="AA385" i="3"/>
  <c r="AA380" i="3"/>
  <c r="AA291" i="3"/>
  <c r="AA302" i="3" s="1"/>
  <c r="AA304" i="3" s="1"/>
  <c r="AA353" i="3"/>
  <c r="AA347" i="3"/>
  <c r="AA326" i="3"/>
  <c r="AA316" i="3"/>
  <c r="AA313" i="3"/>
  <c r="AA189" i="3"/>
  <c r="AA187" i="3"/>
  <c r="AA209" i="3" s="1"/>
  <c r="AA279" i="3"/>
  <c r="AA281" i="3" s="1"/>
  <c r="AA252" i="3"/>
  <c r="AA251" i="3"/>
  <c r="AA250" i="3"/>
  <c r="AA249" i="3"/>
  <c r="AA248" i="3"/>
  <c r="AA247" i="3"/>
  <c r="AA246" i="3"/>
  <c r="AA245" i="3"/>
  <c r="AA231" i="3"/>
  <c r="AA54" i="3" s="1"/>
  <c r="AA230" i="3"/>
  <c r="AA229" i="3"/>
  <c r="AA228" i="3"/>
  <c r="AA53" i="3" s="1"/>
  <c r="AA227" i="3"/>
  <c r="AA52" i="3" s="1"/>
  <c r="AA226" i="3"/>
  <c r="AA225" i="3"/>
  <c r="AA224" i="3"/>
  <c r="AA223" i="3"/>
  <c r="AA222" i="3"/>
  <c r="AA50" i="3" s="1"/>
  <c r="AA134" i="3"/>
  <c r="AA161" i="3"/>
  <c r="AA132" i="3"/>
  <c r="AA419" i="3" s="1"/>
  <c r="AA107" i="3"/>
  <c r="AA41" i="3"/>
  <c r="Z97" i="3"/>
  <c r="AA97" i="3" s="1"/>
  <c r="AA354" i="3" s="1"/>
  <c r="AA85" i="3"/>
  <c r="AA342" i="3" s="1"/>
  <c r="AA80" i="3"/>
  <c r="AA82" i="3" s="1"/>
  <c r="AA96" i="3" s="1"/>
  <c r="AA79" i="3"/>
  <c r="L19" i="32" s="1"/>
  <c r="AA78" i="3"/>
  <c r="L18" i="32" s="1"/>
  <c r="AA75" i="3"/>
  <c r="L13" i="32" s="1"/>
  <c r="AA74" i="3"/>
  <c r="L12" i="32" s="1"/>
  <c r="AA71" i="3"/>
  <c r="AA70" i="3"/>
  <c r="L7" i="32" s="1"/>
  <c r="AA69" i="3"/>
  <c r="L5" i="32" s="1"/>
  <c r="AA66" i="3"/>
  <c r="AA65" i="3"/>
  <c r="AA64" i="3"/>
  <c r="AA62" i="3"/>
  <c r="L4" i="32" s="1"/>
  <c r="AB474" i="3" l="1"/>
  <c r="AC475" i="3" s="1"/>
  <c r="AB58" i="3"/>
  <c r="AB470" i="3"/>
  <c r="AB497" i="3" s="1"/>
  <c r="AA479" i="3"/>
  <c r="AA503" i="3" s="1"/>
  <c r="L27" i="32"/>
  <c r="AC473" i="3"/>
  <c r="M25" i="32"/>
  <c r="M26" i="32"/>
  <c r="AA511" i="4"/>
  <c r="N15" i="28"/>
  <c r="N14" i="28"/>
  <c r="AA562" i="3"/>
  <c r="AA561" i="3" s="1"/>
  <c r="AA515" i="4"/>
  <c r="AA473" i="4"/>
  <c r="AA477" i="4" s="1"/>
  <c r="AA692" i="4"/>
  <c r="AA694" i="4" s="1"/>
  <c r="AB500" i="3"/>
  <c r="AB471" i="3"/>
  <c r="AB498" i="3" s="1"/>
  <c r="AA408" i="3"/>
  <c r="AA244" i="3"/>
  <c r="AB348" i="3"/>
  <c r="AA541" i="3"/>
  <c r="AA384" i="3"/>
  <c r="AA566" i="3"/>
  <c r="AA23" i="3" s="1"/>
  <c r="AA355" i="3"/>
  <c r="AA198" i="3"/>
  <c r="AA318" i="3"/>
  <c r="AB346" i="3"/>
  <c r="AA51" i="3"/>
  <c r="AA46" i="3"/>
  <c r="AA565" i="3"/>
  <c r="AA502" i="3"/>
  <c r="AA219" i="3"/>
  <c r="AA242" i="3"/>
  <c r="AA109" i="3"/>
  <c r="Z731" i="4"/>
  <c r="Z728" i="4"/>
  <c r="Z729" i="4" s="1"/>
  <c r="Z727" i="4"/>
  <c r="Z726" i="4"/>
  <c r="Z725" i="4"/>
  <c r="Z723" i="4"/>
  <c r="Z722" i="4"/>
  <c r="Z721" i="4"/>
  <c r="Z719" i="4"/>
  <c r="Z718" i="4"/>
  <c r="Z716" i="4"/>
  <c r="Z715" i="4"/>
  <c r="Z714" i="4"/>
  <c r="Z712" i="4"/>
  <c r="Z709" i="4"/>
  <c r="Z702" i="4"/>
  <c r="Z686" i="4"/>
  <c r="Z681" i="4"/>
  <c r="Z673" i="4"/>
  <c r="AA717" i="4" s="1"/>
  <c r="Z664" i="4"/>
  <c r="Z665" i="4" s="1"/>
  <c r="AA710" i="4" s="1"/>
  <c r="Z488" i="4"/>
  <c r="Z480" i="4"/>
  <c r="Z476" i="4"/>
  <c r="Z475" i="4"/>
  <c r="Z474" i="4"/>
  <c r="Z471" i="4"/>
  <c r="Z470" i="4"/>
  <c r="Z464" i="4"/>
  <c r="Z463" i="4"/>
  <c r="Z420" i="4"/>
  <c r="Z495" i="4" s="1"/>
  <c r="Z406" i="4"/>
  <c r="Z402" i="4"/>
  <c r="Z400" i="4"/>
  <c r="AA439" i="4" s="1"/>
  <c r="Z399" i="4"/>
  <c r="Z398" i="4"/>
  <c r="Z392" i="4"/>
  <c r="Z391" i="4"/>
  <c r="Z370" i="4"/>
  <c r="Y370" i="4"/>
  <c r="Z369" i="4"/>
  <c r="Z368" i="4"/>
  <c r="Z367" i="4"/>
  <c r="Z365" i="4"/>
  <c r="Z362" i="4"/>
  <c r="Z361" i="4"/>
  <c r="Z357" i="4"/>
  <c r="Z355" i="4"/>
  <c r="Z352" i="4"/>
  <c r="Z345" i="4"/>
  <c r="Z330" i="4"/>
  <c r="Z332" i="4" s="1"/>
  <c r="Z315" i="4"/>
  <c r="M159" i="28" s="1"/>
  <c r="M87" i="28" s="1"/>
  <c r="Z299" i="4"/>
  <c r="Y299" i="4"/>
  <c r="Z298" i="4"/>
  <c r="Z297" i="4"/>
  <c r="Z296" i="4"/>
  <c r="Z294" i="4"/>
  <c r="Z293" i="4"/>
  <c r="Z288" i="4"/>
  <c r="Z283" i="4"/>
  <c r="Z276" i="4"/>
  <c r="Z272" i="4"/>
  <c r="Z271" i="4"/>
  <c r="Z418" i="4" s="1"/>
  <c r="Z493" i="4" s="1"/>
  <c r="Z270" i="4"/>
  <c r="Z417" i="4" s="1"/>
  <c r="Z243" i="4"/>
  <c r="Z254" i="4"/>
  <c r="Z256" i="4" s="1"/>
  <c r="Z235" i="4"/>
  <c r="Z234" i="4"/>
  <c r="Z385" i="4" s="1"/>
  <c r="Z232" i="4"/>
  <c r="Z230" i="4"/>
  <c r="Z413" i="4"/>
  <c r="Z177" i="4"/>
  <c r="Z217" i="4" s="1"/>
  <c r="Z219" i="4"/>
  <c r="Z220" i="4" s="1"/>
  <c r="Z218" i="4"/>
  <c r="Z213" i="4"/>
  <c r="Z209" i="4"/>
  <c r="Z207" i="4"/>
  <c r="Z206" i="4"/>
  <c r="Z205" i="4"/>
  <c r="Z203" i="4"/>
  <c r="Z200" i="4"/>
  <c r="Z193" i="4"/>
  <c r="AA211" i="4"/>
  <c r="Z165" i="4"/>
  <c r="Z142" i="4"/>
  <c r="Y142" i="4"/>
  <c r="Z415" i="4"/>
  <c r="Z414" i="4"/>
  <c r="M89" i="28" l="1"/>
  <c r="M90" i="28"/>
  <c r="AA289" i="4"/>
  <c r="M152" i="28"/>
  <c r="M60" i="28" s="1"/>
  <c r="Z305" i="4"/>
  <c r="Z249" i="4"/>
  <c r="Z468" i="4" s="1"/>
  <c r="Z178" i="4"/>
  <c r="Z180" i="4" s="1"/>
  <c r="Z358" i="4"/>
  <c r="AB358" i="4"/>
  <c r="Z462" i="4"/>
  <c r="AA507" i="4" s="1"/>
  <c r="Z441" i="4"/>
  <c r="AA363" i="4"/>
  <c r="AA508" i="4"/>
  <c r="AA498" i="4"/>
  <c r="AA216" i="4"/>
  <c r="Z390" i="4"/>
  <c r="AA432" i="4" s="1"/>
  <c r="AA711" i="4"/>
  <c r="AA713" i="4"/>
  <c r="AA208" i="4"/>
  <c r="AA423" i="4"/>
  <c r="AA433" i="4"/>
  <c r="AA354" i="4"/>
  <c r="AA356" i="4"/>
  <c r="AA279" i="4"/>
  <c r="AA281" i="4"/>
  <c r="AA204" i="4"/>
  <c r="AA202" i="4"/>
  <c r="Z458" i="4"/>
  <c r="AA504" i="4" s="1"/>
  <c r="AA282" i="4"/>
  <c r="AA309" i="3"/>
  <c r="AA576" i="3" s="1"/>
  <c r="AA55" i="3"/>
  <c r="Z386" i="4"/>
  <c r="AA429" i="4" s="1"/>
  <c r="Z381" i="4"/>
  <c r="Z419" i="4"/>
  <c r="Z453" i="4"/>
  <c r="Z688" i="4"/>
  <c r="AA689" i="4" s="1"/>
  <c r="Z383" i="4"/>
  <c r="Z269" i="4"/>
  <c r="Z316" i="4"/>
  <c r="Z83" i="4"/>
  <c r="Z81" i="4"/>
  <c r="M140" i="28" s="1"/>
  <c r="M18" i="28" s="1"/>
  <c r="Z143" i="4"/>
  <c r="Z141" i="4"/>
  <c r="Z140" i="4"/>
  <c r="Z139" i="4"/>
  <c r="Z136" i="4"/>
  <c r="Z132" i="4"/>
  <c r="Z130" i="4"/>
  <c r="Z129" i="4"/>
  <c r="Z123" i="4"/>
  <c r="Z118" i="4"/>
  <c r="Z116" i="4"/>
  <c r="Z492" i="4" s="1"/>
  <c r="Z100" i="4"/>
  <c r="Z102" i="4" s="1"/>
  <c r="Z13" i="4"/>
  <c r="Z31" i="4"/>
  <c r="Z62" i="4"/>
  <c r="Z58" i="4"/>
  <c r="Z56" i="4"/>
  <c r="Z55" i="4"/>
  <c r="Z52" i="4"/>
  <c r="Z49" i="4"/>
  <c r="Z42" i="4"/>
  <c r="AA51" i="4" s="1"/>
  <c r="M166" i="28" l="1"/>
  <c r="M104" i="28" s="1"/>
  <c r="AA291" i="4"/>
  <c r="M63" i="28"/>
  <c r="M62" i="28"/>
  <c r="M107" i="28"/>
  <c r="M106" i="28"/>
  <c r="M21" i="28"/>
  <c r="M20" i="28"/>
  <c r="Z452" i="4"/>
  <c r="AA499" i="4" s="1"/>
  <c r="M163" i="28"/>
  <c r="M98" i="28" s="1"/>
  <c r="Z233" i="4"/>
  <c r="Z384" i="4" s="1"/>
  <c r="M141" i="28"/>
  <c r="M23" i="28" s="1"/>
  <c r="AA64" i="4"/>
  <c r="AA76" i="3"/>
  <c r="L14" i="32" s="1"/>
  <c r="L15" i="32" s="1"/>
  <c r="Z472" i="4"/>
  <c r="AA514" i="4" s="1"/>
  <c r="AA63" i="3"/>
  <c r="Z231" i="4"/>
  <c r="Z19" i="4"/>
  <c r="AA67" i="3" s="1"/>
  <c r="Z416" i="4"/>
  <c r="AA280" i="4"/>
  <c r="AA278" i="4"/>
  <c r="Z494" i="4"/>
  <c r="AA426" i="4"/>
  <c r="AA428" i="4"/>
  <c r="AA60" i="4"/>
  <c r="Z115" i="4"/>
  <c r="AA134" i="4"/>
  <c r="AA126" i="4"/>
  <c r="Z317" i="4"/>
  <c r="AA359" i="4"/>
  <c r="Z459" i="4"/>
  <c r="AA505" i="4" s="1"/>
  <c r="Z387" i="4"/>
  <c r="Z396" i="4"/>
  <c r="AA434" i="4" s="1"/>
  <c r="AA509" i="4"/>
  <c r="Z87" i="4"/>
  <c r="Z65" i="4"/>
  <c r="Z32" i="4"/>
  <c r="BJ5" i="4"/>
  <c r="BP478" i="3"/>
  <c r="BP443" i="3"/>
  <c r="BP442" i="3"/>
  <c r="BP441" i="3"/>
  <c r="BP440" i="3"/>
  <c r="BP439" i="3"/>
  <c r="BP438" i="3"/>
  <c r="BP437" i="3"/>
  <c r="BP436" i="3"/>
  <c r="BP435" i="3"/>
  <c r="BP434" i="3"/>
  <c r="BP418" i="3"/>
  <c r="BP417" i="3"/>
  <c r="BP416" i="3"/>
  <c r="BP415" i="3"/>
  <c r="BP414" i="3"/>
  <c r="BP413" i="3"/>
  <c r="BP412" i="3"/>
  <c r="BP411" i="3"/>
  <c r="BP410" i="3"/>
  <c r="BP409" i="3"/>
  <c r="BP401" i="3"/>
  <c r="BP400" i="3"/>
  <c r="BP399" i="3"/>
  <c r="BP398" i="3"/>
  <c r="BP397" i="3"/>
  <c r="BP396" i="3"/>
  <c r="BP395" i="3"/>
  <c r="BP394" i="3"/>
  <c r="BP393" i="3"/>
  <c r="BP336" i="3"/>
  <c r="BP335" i="3"/>
  <c r="BP334" i="3"/>
  <c r="BP333" i="3"/>
  <c r="BP332" i="3"/>
  <c r="BP331" i="3"/>
  <c r="BP330" i="3"/>
  <c r="BP329" i="3"/>
  <c r="BP328" i="3"/>
  <c r="BP327" i="3"/>
  <c r="BP301" i="3"/>
  <c r="BP300" i="3"/>
  <c r="BP299" i="3"/>
  <c r="BP298" i="3"/>
  <c r="BP297" i="3"/>
  <c r="BP296" i="3"/>
  <c r="BP295" i="3"/>
  <c r="BP294" i="3"/>
  <c r="BP293" i="3"/>
  <c r="BP292" i="3"/>
  <c r="BP263" i="3"/>
  <c r="BP262" i="3"/>
  <c r="BP261" i="3"/>
  <c r="BP260" i="3"/>
  <c r="BP259" i="3"/>
  <c r="BP258" i="3"/>
  <c r="BP257" i="3"/>
  <c r="BP256" i="3"/>
  <c r="BP255" i="3"/>
  <c r="BP254" i="3"/>
  <c r="BP241" i="3"/>
  <c r="BP240" i="3"/>
  <c r="BP239" i="3"/>
  <c r="BP238" i="3"/>
  <c r="BP237" i="3"/>
  <c r="BP236" i="3"/>
  <c r="BP235" i="3"/>
  <c r="BP234" i="3"/>
  <c r="BP233" i="3"/>
  <c r="BP232" i="3"/>
  <c r="BP208" i="3"/>
  <c r="BP207" i="3"/>
  <c r="BP206" i="3"/>
  <c r="BP205" i="3"/>
  <c r="BP204" i="3"/>
  <c r="BP203" i="3"/>
  <c r="BP202" i="3"/>
  <c r="BP201" i="3"/>
  <c r="BP200" i="3"/>
  <c r="BP199" i="3"/>
  <c r="BP186" i="3"/>
  <c r="BP185" i="3"/>
  <c r="BP184" i="3"/>
  <c r="BP183" i="3"/>
  <c r="BP182" i="3"/>
  <c r="BP181" i="3"/>
  <c r="BP180" i="3"/>
  <c r="BP179" i="3"/>
  <c r="BP178" i="3"/>
  <c r="BP177" i="3"/>
  <c r="BP153" i="3"/>
  <c r="BP152" i="3"/>
  <c r="BP151" i="3"/>
  <c r="BP150" i="3"/>
  <c r="BP149" i="3"/>
  <c r="BP148" i="3"/>
  <c r="BP147" i="3"/>
  <c r="BP146" i="3"/>
  <c r="BP145" i="3"/>
  <c r="BP144" i="3"/>
  <c r="BP131" i="3"/>
  <c r="BP130" i="3"/>
  <c r="BP129" i="3"/>
  <c r="BP128" i="3"/>
  <c r="BP127" i="3"/>
  <c r="BP126" i="3"/>
  <c r="BP125" i="3"/>
  <c r="BP124" i="3"/>
  <c r="BP123" i="3"/>
  <c r="BP122" i="3"/>
  <c r="BP87" i="3"/>
  <c r="BP85" i="3"/>
  <c r="BP83" i="3"/>
  <c r="E20" i="33" s="1"/>
  <c r="BP48" i="3"/>
  <c r="BP47" i="3"/>
  <c r="BP36" i="3"/>
  <c r="BJ706" i="4"/>
  <c r="BJ670" i="4"/>
  <c r="BJ669" i="4"/>
  <c r="AK477" i="3"/>
  <c r="V27" i="32" s="1"/>
  <c r="AK344" i="3"/>
  <c r="AK343" i="3"/>
  <c r="AK342" i="3"/>
  <c r="M26" i="28" l="1"/>
  <c r="M25" i="28"/>
  <c r="M101" i="28"/>
  <c r="M100" i="28"/>
  <c r="BP477" i="3"/>
  <c r="M36" i="33" s="1"/>
  <c r="Z491" i="4"/>
  <c r="AA500" i="4" s="1"/>
  <c r="BP342" i="3"/>
  <c r="AA57" i="4"/>
  <c r="BP344" i="3"/>
  <c r="AA68" i="3"/>
  <c r="Z382" i="4"/>
  <c r="Z237" i="4"/>
  <c r="Z460" i="4" s="1"/>
  <c r="AA131" i="4"/>
  <c r="AA425" i="4"/>
  <c r="AA427" i="4"/>
  <c r="AA501" i="4"/>
  <c r="AA503" i="4"/>
  <c r="AA430" i="4"/>
  <c r="AA360" i="4"/>
  <c r="Z67" i="4"/>
  <c r="Z36" i="4"/>
  <c r="M24" i="33" l="1"/>
  <c r="N37" i="33"/>
  <c r="AO27" i="32"/>
  <c r="Z518" i="4"/>
  <c r="L24" i="32"/>
  <c r="AA73" i="3"/>
  <c r="M137" i="28" s="1"/>
  <c r="M6" i="28" s="1"/>
  <c r="M9" i="28" s="1"/>
  <c r="L6" i="32"/>
  <c r="L10" i="32" s="1"/>
  <c r="AA506" i="4"/>
  <c r="Z461" i="4"/>
  <c r="AA284" i="4"/>
  <c r="Z388" i="4"/>
  <c r="Z7" i="4"/>
  <c r="AA527" i="3" l="1"/>
  <c r="AA77" i="3"/>
  <c r="AA81" i="3" s="1"/>
  <c r="M8" i="28"/>
  <c r="L17" i="32"/>
  <c r="Z469" i="4"/>
  <c r="Z482" i="4" s="1"/>
  <c r="AA534" i="3"/>
  <c r="L23" i="32" s="1"/>
  <c r="AA530" i="3"/>
  <c r="AA531" i="3"/>
  <c r="AB535" i="3"/>
  <c r="AA431" i="4"/>
  <c r="Z389" i="4"/>
  <c r="Z397" i="4" s="1"/>
  <c r="AA31" i="3"/>
  <c r="AA30" i="3" l="1"/>
  <c r="Z473" i="4"/>
  <c r="Z477" i="4" s="1"/>
  <c r="Z692" i="4"/>
  <c r="Z694" i="4" s="1"/>
  <c r="M176" i="28"/>
  <c r="M12" i="28" s="1"/>
  <c r="M14" i="28" s="1"/>
  <c r="L20" i="32"/>
  <c r="Z511" i="4"/>
  <c r="Z515" i="4"/>
  <c r="Z442" i="4"/>
  <c r="Z440" i="4"/>
  <c r="Z401" i="4"/>
  <c r="Z403" i="4" s="1"/>
  <c r="Z376" i="4" s="1"/>
  <c r="Z436" i="4"/>
  <c r="AA58" i="3"/>
  <c r="AA104" i="3"/>
  <c r="AA472" i="3" s="1"/>
  <c r="L25" i="32" s="1"/>
  <c r="AA84" i="3"/>
  <c r="AA341" i="3"/>
  <c r="Z448" i="4"/>
  <c r="M15" i="28" l="1"/>
  <c r="AB473" i="3"/>
  <c r="AA499" i="3"/>
  <c r="AA470" i="3"/>
  <c r="AA497" i="3" s="1"/>
  <c r="AA476" i="3"/>
  <c r="AA501" i="3" s="1"/>
  <c r="AA480" i="3"/>
  <c r="Z45" i="3"/>
  <c r="Z560" i="3"/>
  <c r="Z567" i="3" s="1"/>
  <c r="Z24" i="3" s="1"/>
  <c r="Z546" i="3"/>
  <c r="AA546" i="3" s="1"/>
  <c r="Z540" i="3"/>
  <c r="Z539" i="3"/>
  <c r="Z538" i="3"/>
  <c r="Z571" i="3"/>
  <c r="Z570" i="3"/>
  <c r="Z569" i="3"/>
  <c r="Z568" i="3"/>
  <c r="Z25" i="3" s="1"/>
  <c r="Z537" i="3"/>
  <c r="Z477" i="3"/>
  <c r="Z464" i="3"/>
  <c r="Z460" i="3"/>
  <c r="Z405" i="3"/>
  <c r="Z390" i="3"/>
  <c r="Z462" i="3" s="1"/>
  <c r="Z380" i="3"/>
  <c r="Z453" i="3"/>
  <c r="Z461" i="3" s="1"/>
  <c r="Z449" i="3"/>
  <c r="Z448" i="3"/>
  <c r="Z447" i="3"/>
  <c r="Z446" i="3"/>
  <c r="Z385" i="3"/>
  <c r="Z347" i="3"/>
  <c r="Z342" i="3"/>
  <c r="Z291" i="3"/>
  <c r="Z302" i="3" s="1"/>
  <c r="Z304" i="3" s="1"/>
  <c r="Z276" i="3" s="1"/>
  <c r="Z575" i="3" s="1"/>
  <c r="Z326" i="3"/>
  <c r="Z316" i="3"/>
  <c r="Z313" i="3"/>
  <c r="Z279" i="3"/>
  <c r="Z281" i="3" s="1"/>
  <c r="Z252" i="3"/>
  <c r="Z251" i="3"/>
  <c r="Z250" i="3"/>
  <c r="Z249" i="3"/>
  <c r="Z248" i="3"/>
  <c r="Z247" i="3"/>
  <c r="Z246" i="3"/>
  <c r="Z245" i="3"/>
  <c r="Z231" i="3"/>
  <c r="Z54" i="3" s="1"/>
  <c r="Z230" i="3"/>
  <c r="Z229" i="3"/>
  <c r="Z228" i="3"/>
  <c r="Z53" i="3" s="1"/>
  <c r="Z227" i="3"/>
  <c r="Z52" i="3" s="1"/>
  <c r="Z226" i="3"/>
  <c r="Z225" i="3"/>
  <c r="Z224" i="3"/>
  <c r="Z223" i="3"/>
  <c r="Z222" i="3"/>
  <c r="Z189" i="3"/>
  <c r="Z187" i="3"/>
  <c r="Z134" i="3"/>
  <c r="Z161" i="3"/>
  <c r="Z132" i="3"/>
  <c r="Z419" i="3" s="1"/>
  <c r="Z408" i="3" s="1"/>
  <c r="Z106" i="3"/>
  <c r="AA106" i="3" s="1"/>
  <c r="AA105" i="3" s="1"/>
  <c r="AA474" i="3" s="1"/>
  <c r="Z41" i="3"/>
  <c r="Z43" i="3" s="1"/>
  <c r="Z354" i="3"/>
  <c r="Z87" i="3"/>
  <c r="Z502" i="3" l="1"/>
  <c r="K27" i="32"/>
  <c r="AB475" i="3"/>
  <c r="L26" i="32"/>
  <c r="Z566" i="3"/>
  <c r="Z23" i="3" s="1"/>
  <c r="Z51" i="3"/>
  <c r="Z244" i="3"/>
  <c r="Z541" i="3"/>
  <c r="AA348" i="3"/>
  <c r="AA500" i="3"/>
  <c r="AA471" i="3"/>
  <c r="AA498" i="3" s="1"/>
  <c r="Z344" i="3"/>
  <c r="AA87" i="3"/>
  <c r="AA344" i="3" s="1"/>
  <c r="Z318" i="3"/>
  <c r="Z309" i="3" s="1"/>
  <c r="Z576" i="3" s="1"/>
  <c r="Z577" i="3" s="1"/>
  <c r="AA346" i="3"/>
  <c r="AA504" i="3"/>
  <c r="AA580" i="3"/>
  <c r="Z384" i="3"/>
  <c r="Z46" i="3"/>
  <c r="Z479" i="3"/>
  <c r="Z503" i="3" s="1"/>
  <c r="Z49" i="3"/>
  <c r="Z574" i="3" s="1"/>
  <c r="Z242" i="3"/>
  <c r="Z50" i="3"/>
  <c r="Z565" i="3"/>
  <c r="Z209" i="3"/>
  <c r="Z198" i="3" s="1"/>
  <c r="Z109" i="3"/>
  <c r="Z80" i="3"/>
  <c r="Z82" i="3" s="1"/>
  <c r="Z96" i="3" s="1"/>
  <c r="Z79" i="3"/>
  <c r="K19" i="32" s="1"/>
  <c r="Z78" i="3"/>
  <c r="K18" i="32" s="1"/>
  <c r="Z75" i="3"/>
  <c r="K13" i="32" s="1"/>
  <c r="Z74" i="3"/>
  <c r="K12" i="32" s="1"/>
  <c r="Z71" i="3"/>
  <c r="Z70" i="3"/>
  <c r="K7" i="32" s="1"/>
  <c r="Z69" i="3"/>
  <c r="K5" i="32" s="1"/>
  <c r="Z66" i="3"/>
  <c r="Z65" i="3"/>
  <c r="Z62" i="3"/>
  <c r="K4" i="32" s="1"/>
  <c r="Y420" i="4"/>
  <c r="Y495" i="4" s="1"/>
  <c r="Y415" i="4"/>
  <c r="Y414" i="4"/>
  <c r="Y413" i="4"/>
  <c r="Y406" i="4"/>
  <c r="Y402" i="4"/>
  <c r="Y400" i="4"/>
  <c r="Z439" i="4" s="1"/>
  <c r="Y399" i="4"/>
  <c r="Y398" i="4"/>
  <c r="Y392" i="4"/>
  <c r="Y391" i="4"/>
  <c r="Y731" i="4"/>
  <c r="Y728" i="4"/>
  <c r="Y729" i="4" s="1"/>
  <c r="Y727" i="4"/>
  <c r="Y726" i="4"/>
  <c r="Y725" i="4"/>
  <c r="Y723" i="4"/>
  <c r="Y722" i="4"/>
  <c r="Y721" i="4"/>
  <c r="Y719" i="4"/>
  <c r="Y718" i="4"/>
  <c r="Y716" i="4"/>
  <c r="Y715" i="4"/>
  <c r="Y714" i="4"/>
  <c r="Y712" i="4"/>
  <c r="Y709" i="4"/>
  <c r="Y702" i="4"/>
  <c r="Y686" i="4"/>
  <c r="Y688" i="4" s="1"/>
  <c r="Z689" i="4" s="1"/>
  <c r="Y681" i="4"/>
  <c r="Y673" i="4"/>
  <c r="Z717" i="4" s="1"/>
  <c r="Y664" i="4"/>
  <c r="Y665" i="4" s="1"/>
  <c r="Z710" i="4" s="1"/>
  <c r="Y488" i="4"/>
  <c r="Y480" i="4"/>
  <c r="Y476" i="4"/>
  <c r="Y475" i="4"/>
  <c r="Y474" i="4"/>
  <c r="Y471" i="4"/>
  <c r="Y470" i="4"/>
  <c r="Y464" i="4"/>
  <c r="Y463" i="4"/>
  <c r="Y315" i="4"/>
  <c r="L159" i="28" s="1"/>
  <c r="L87" i="28" s="1"/>
  <c r="Y369" i="4"/>
  <c r="Y368" i="4"/>
  <c r="Y367" i="4"/>
  <c r="Y365" i="4"/>
  <c r="Y362" i="4"/>
  <c r="Y361" i="4"/>
  <c r="Y357" i="4"/>
  <c r="Y355" i="4"/>
  <c r="Y352" i="4"/>
  <c r="Y345" i="4"/>
  <c r="Y330" i="4"/>
  <c r="Y332" i="4" s="1"/>
  <c r="Z363" i="4"/>
  <c r="Y243" i="4"/>
  <c r="L152" i="28" s="1"/>
  <c r="L60" i="28" s="1"/>
  <c r="Y298" i="4"/>
  <c r="Y297" i="4"/>
  <c r="Y296" i="4"/>
  <c r="Y294" i="4"/>
  <c r="Y293" i="4"/>
  <c r="Y288" i="4"/>
  <c r="Y283" i="4"/>
  <c r="Y276" i="4"/>
  <c r="Y272" i="4"/>
  <c r="Y271" i="4"/>
  <c r="Y270" i="4"/>
  <c r="Y417" i="4" s="1"/>
  <c r="Y254" i="4"/>
  <c r="Y256" i="4" s="1"/>
  <c r="Y235" i="4"/>
  <c r="Z282" i="4" s="1"/>
  <c r="Y232" i="4"/>
  <c r="Y383" i="4" s="1"/>
  <c r="Y230" i="4"/>
  <c r="Y219" i="4"/>
  <c r="Y220" i="4" s="1"/>
  <c r="Y177" i="4"/>
  <c r="Z216" i="4" s="1"/>
  <c r="Y218" i="4"/>
  <c r="Y213" i="4"/>
  <c r="Y209" i="4"/>
  <c r="Y207" i="4"/>
  <c r="Y206" i="4"/>
  <c r="Y205" i="4"/>
  <c r="Y203" i="4"/>
  <c r="Y200" i="4"/>
  <c r="Y193" i="4"/>
  <c r="Z211" i="4"/>
  <c r="Y165" i="4"/>
  <c r="Z208" i="4" s="1"/>
  <c r="Y143" i="4"/>
  <c r="Y83" i="4"/>
  <c r="L141" i="28" s="1"/>
  <c r="L23" i="28" s="1"/>
  <c r="Y81" i="4"/>
  <c r="L140" i="28" s="1"/>
  <c r="L18" i="28" s="1"/>
  <c r="Y141" i="4"/>
  <c r="Y140" i="4"/>
  <c r="Y139" i="4"/>
  <c r="Y136" i="4"/>
  <c r="Y132" i="4"/>
  <c r="Y130" i="4"/>
  <c r="Y129" i="4"/>
  <c r="Y123" i="4"/>
  <c r="Y118" i="4"/>
  <c r="Y116" i="4"/>
  <c r="Y115" i="4" s="1"/>
  <c r="Y100" i="4"/>
  <c r="Y102" i="4" s="1"/>
  <c r="Z134" i="4"/>
  <c r="Y31" i="4"/>
  <c r="Y13" i="4"/>
  <c r="Y62" i="4"/>
  <c r="Y58" i="4"/>
  <c r="Y56" i="4"/>
  <c r="Y55" i="4"/>
  <c r="Y52" i="4"/>
  <c r="Y49" i="4"/>
  <c r="Y42" i="4"/>
  <c r="L166" i="28" l="1"/>
  <c r="L104" i="28" s="1"/>
  <c r="L107" i="28" s="1"/>
  <c r="L25" i="28"/>
  <c r="L26" i="28"/>
  <c r="L90" i="28"/>
  <c r="L89" i="28"/>
  <c r="L62" i="28"/>
  <c r="L63" i="28"/>
  <c r="L20" i="28"/>
  <c r="L21" i="28"/>
  <c r="Z562" i="3"/>
  <c r="Z561" i="3" s="1"/>
  <c r="Y381" i="4"/>
  <c r="Y249" i="4"/>
  <c r="BE249" i="4" s="1"/>
  <c r="AB150" i="4"/>
  <c r="AB149" i="4"/>
  <c r="BE681" i="4"/>
  <c r="Z55" i="3"/>
  <c r="Y231" i="4"/>
  <c r="Y382" i="4" s="1"/>
  <c r="Y472" i="4"/>
  <c r="Z514" i="4" s="1"/>
  <c r="Z64" i="4"/>
  <c r="Y217" i="4"/>
  <c r="Y358" i="4"/>
  <c r="AA358" i="4"/>
  <c r="Y462" i="4"/>
  <c r="Z507" i="4" s="1"/>
  <c r="Z289" i="4"/>
  <c r="Z51" i="4"/>
  <c r="Z126" i="4"/>
  <c r="Z356" i="4"/>
  <c r="Z354" i="4"/>
  <c r="Z433" i="4"/>
  <c r="Z423" i="4"/>
  <c r="Z60" i="4"/>
  <c r="Z202" i="4"/>
  <c r="Z204" i="4"/>
  <c r="Y305" i="4"/>
  <c r="Y419" i="4"/>
  <c r="Z279" i="4"/>
  <c r="Z281" i="4"/>
  <c r="Z713" i="4"/>
  <c r="Z711" i="4"/>
  <c r="Z498" i="4"/>
  <c r="Z508" i="4"/>
  <c r="Z76" i="3"/>
  <c r="K14" i="32" s="1"/>
  <c r="K15" i="32" s="1"/>
  <c r="Z63" i="3"/>
  <c r="Z219" i="3"/>
  <c r="Y65" i="4"/>
  <c r="Y390" i="4"/>
  <c r="Z432" i="4" s="1"/>
  <c r="Y316" i="4"/>
  <c r="Z359" i="4" s="1"/>
  <c r="Y386" i="4"/>
  <c r="Z429" i="4" s="1"/>
  <c r="Y87" i="4"/>
  <c r="Z131" i="4" s="1"/>
  <c r="Y269" i="4"/>
  <c r="Y441" i="4"/>
  <c r="Y418" i="4"/>
  <c r="Y493" i="4" s="1"/>
  <c r="Y453" i="4"/>
  <c r="Y458" i="4"/>
  <c r="Z504" i="4" s="1"/>
  <c r="Y492" i="4"/>
  <c r="Y178" i="4"/>
  <c r="Y180" i="4" s="1"/>
  <c r="Z181" i="4" s="1"/>
  <c r="AB182" i="4" s="1"/>
  <c r="Y75" i="4"/>
  <c r="Y32" i="4"/>
  <c r="X243" i="4"/>
  <c r="K152" i="28" s="1"/>
  <c r="K60" i="28" s="1"/>
  <c r="W243" i="4"/>
  <c r="J152" i="28" s="1"/>
  <c r="J60" i="28" s="1"/>
  <c r="L106" i="28" l="1"/>
  <c r="J62" i="28"/>
  <c r="J63" i="28"/>
  <c r="K63" i="28"/>
  <c r="K62" i="28"/>
  <c r="Y452" i="4"/>
  <c r="Z499" i="4" s="1"/>
  <c r="L163" i="28"/>
  <c r="L98" i="28" s="1"/>
  <c r="Y468" i="4"/>
  <c r="BE468" i="4" s="1"/>
  <c r="Z280" i="4"/>
  <c r="Z278" i="4"/>
  <c r="Y396" i="4"/>
  <c r="Z291" i="4"/>
  <c r="Z426" i="4"/>
  <c r="Z428" i="4"/>
  <c r="Y289" i="4"/>
  <c r="Y317" i="4"/>
  <c r="Z360" i="4" s="1"/>
  <c r="Y459" i="4"/>
  <c r="Z505" i="4" s="1"/>
  <c r="Y359" i="4"/>
  <c r="Y387" i="4"/>
  <c r="Z430" i="4" s="1"/>
  <c r="Y416" i="4"/>
  <c r="Y494" i="4"/>
  <c r="Y153" i="4"/>
  <c r="Y36" i="4"/>
  <c r="Y67" i="4"/>
  <c r="Y518" i="4" l="1"/>
  <c r="K24" i="32"/>
  <c r="L101" i="28"/>
  <c r="L100" i="28"/>
  <c r="Z509" i="4"/>
  <c r="Z434" i="4"/>
  <c r="BE396" i="4"/>
  <c r="Z427" i="4"/>
  <c r="Z425" i="4"/>
  <c r="Z501" i="4"/>
  <c r="Z503" i="4"/>
  <c r="Y491" i="4"/>
  <c r="Y7" i="4"/>
  <c r="Z500" i="4" l="1"/>
  <c r="Y363" i="4" l="1"/>
  <c r="Y45" i="3"/>
  <c r="Y41" i="3"/>
  <c r="Y560" i="3"/>
  <c r="Y566" i="3" s="1"/>
  <c r="Y23" i="3" s="1"/>
  <c r="Y568" i="3"/>
  <c r="Y25" i="3" s="1"/>
  <c r="Y547" i="3"/>
  <c r="Y540" i="3"/>
  <c r="Y538" i="3"/>
  <c r="Y539" i="3"/>
  <c r="Y405" i="3"/>
  <c r="W405" i="3"/>
  <c r="Y390" i="3"/>
  <c r="Y462" i="3" s="1"/>
  <c r="Y380" i="3"/>
  <c r="W380" i="3"/>
  <c r="Y453" i="3"/>
  <c r="Y449" i="3"/>
  <c r="Y448" i="3"/>
  <c r="Y447" i="3"/>
  <c r="Y446" i="3"/>
  <c r="Y385" i="3"/>
  <c r="Y571" i="3"/>
  <c r="Y570" i="3"/>
  <c r="Y569" i="3"/>
  <c r="Y537" i="3"/>
  <c r="Y477" i="3"/>
  <c r="J27" i="32" s="1"/>
  <c r="Y464" i="3"/>
  <c r="Y460" i="3"/>
  <c r="Y353" i="3"/>
  <c r="Y347" i="3"/>
  <c r="Y326" i="3"/>
  <c r="Y316" i="3"/>
  <c r="Y313" i="3"/>
  <c r="Y291" i="3"/>
  <c r="Y302" i="3" s="1"/>
  <c r="Y304" i="3" s="1"/>
  <c r="Y49" i="3" s="1"/>
  <c r="Y574" i="3" s="1"/>
  <c r="Y279" i="3"/>
  <c r="Y281" i="3" s="1"/>
  <c r="Y252" i="3"/>
  <c r="Y251" i="3"/>
  <c r="Y250" i="3"/>
  <c r="Y249" i="3"/>
  <c r="Y248" i="3"/>
  <c r="Y247" i="3"/>
  <c r="Y246" i="3"/>
  <c r="Y245" i="3"/>
  <c r="Y231" i="3"/>
  <c r="Y54" i="3" s="1"/>
  <c r="Y230" i="3"/>
  <c r="Y229" i="3"/>
  <c r="Y228" i="3"/>
  <c r="Y53" i="3" s="1"/>
  <c r="Y227" i="3"/>
  <c r="Y52" i="3" s="1"/>
  <c r="Y226" i="3"/>
  <c r="Y225" i="3"/>
  <c r="Y224" i="3"/>
  <c r="Y223" i="3"/>
  <c r="Y222" i="3"/>
  <c r="Y50" i="3" s="1"/>
  <c r="Y189" i="3"/>
  <c r="Y187" i="3"/>
  <c r="Y209" i="3" s="1"/>
  <c r="Y134" i="3"/>
  <c r="Y132" i="3"/>
  <c r="Y419" i="3" s="1"/>
  <c r="Y161" i="3"/>
  <c r="W107" i="3"/>
  <c r="Y107" i="3"/>
  <c r="Y85" i="3"/>
  <c r="Y342" i="3" s="1"/>
  <c r="Y80" i="3"/>
  <c r="Y82" i="3" s="1"/>
  <c r="Y96" i="3" s="1"/>
  <c r="Y79" i="3"/>
  <c r="J19" i="32" s="1"/>
  <c r="Y78" i="3"/>
  <c r="J18" i="32" s="1"/>
  <c r="Y75" i="3"/>
  <c r="J13" i="32" s="1"/>
  <c r="Y74" i="3"/>
  <c r="J12" i="32" s="1"/>
  <c r="Y71" i="3"/>
  <c r="Y70" i="3"/>
  <c r="J7" i="32" s="1"/>
  <c r="Y69" i="3"/>
  <c r="J5" i="32" s="1"/>
  <c r="Y66" i="3"/>
  <c r="Y65" i="3"/>
  <c r="Y62" i="3"/>
  <c r="J4" i="32" s="1"/>
  <c r="Y562" i="3" l="1"/>
  <c r="Y561" i="3" s="1"/>
  <c r="Y541" i="3"/>
  <c r="Z348" i="3"/>
  <c r="Y384" i="3"/>
  <c r="Y51" i="3"/>
  <c r="Y244" i="3"/>
  <c r="Y46" i="3"/>
  <c r="Y408" i="3"/>
  <c r="Y198" i="3"/>
  <c r="Y318" i="3"/>
  <c r="Y309" i="3" s="1"/>
  <c r="Y576" i="3" s="1"/>
  <c r="Z346" i="3"/>
  <c r="Y242" i="3"/>
  <c r="Y567" i="3"/>
  <c r="Y24" i="3" s="1"/>
  <c r="Y461" i="3"/>
  <c r="Y502" i="3"/>
  <c r="Y565" i="3"/>
  <c r="Y219" i="3"/>
  <c r="Y109" i="3"/>
  <c r="Y39" i="3"/>
  <c r="Y479" i="3" s="1"/>
  <c r="Y503" i="3" s="1"/>
  <c r="X731" i="4"/>
  <c r="X728" i="4"/>
  <c r="X729" i="4" s="1"/>
  <c r="X727" i="4"/>
  <c r="X726" i="4"/>
  <c r="X725" i="4"/>
  <c r="X723" i="4"/>
  <c r="X722" i="4"/>
  <c r="X721" i="4"/>
  <c r="X719" i="4"/>
  <c r="X718" i="4"/>
  <c r="X716" i="4"/>
  <c r="X715" i="4"/>
  <c r="X714" i="4"/>
  <c r="X712" i="4"/>
  <c r="X709" i="4"/>
  <c r="X702" i="4"/>
  <c r="X686" i="4"/>
  <c r="X681" i="4"/>
  <c r="X673" i="4"/>
  <c r="Y717" i="4" s="1"/>
  <c r="X664" i="4"/>
  <c r="X665" i="4" s="1"/>
  <c r="Y710" i="4" s="1"/>
  <c r="X488" i="4"/>
  <c r="X480" i="4"/>
  <c r="X476" i="4"/>
  <c r="X475" i="4"/>
  <c r="X474" i="4"/>
  <c r="X471" i="4"/>
  <c r="X470" i="4"/>
  <c r="X464" i="4"/>
  <c r="X463" i="4"/>
  <c r="X459" i="4"/>
  <c r="Y505" i="4" s="1"/>
  <c r="X420" i="4"/>
  <c r="X415" i="4"/>
  <c r="X414" i="4"/>
  <c r="X413" i="4"/>
  <c r="X406" i="4"/>
  <c r="X402" i="4"/>
  <c r="X400" i="4"/>
  <c r="Y439" i="4" s="1"/>
  <c r="X399" i="4"/>
  <c r="X398" i="4"/>
  <c r="X392" i="4"/>
  <c r="X391" i="4"/>
  <c r="X387" i="4"/>
  <c r="Y430" i="4" s="1"/>
  <c r="X370" i="4"/>
  <c r="W370" i="4"/>
  <c r="X369" i="4"/>
  <c r="X368" i="4"/>
  <c r="X367" i="4"/>
  <c r="X365" i="4"/>
  <c r="X362" i="4"/>
  <c r="X361" i="4"/>
  <c r="X359" i="4"/>
  <c r="X358" i="4"/>
  <c r="X357" i="4"/>
  <c r="X355" i="4"/>
  <c r="X352" i="4"/>
  <c r="X345" i="4"/>
  <c r="X330" i="4"/>
  <c r="X332" i="4" s="1"/>
  <c r="X317" i="4"/>
  <c r="Y360" i="4" s="1"/>
  <c r="X299" i="4"/>
  <c r="W299" i="4"/>
  <c r="X462" i="4"/>
  <c r="Y507" i="4" s="1"/>
  <c r="X298" i="4"/>
  <c r="X297" i="4"/>
  <c r="X296" i="4"/>
  <c r="X294" i="4"/>
  <c r="X293" i="4"/>
  <c r="X288" i="4"/>
  <c r="X283" i="4"/>
  <c r="X276" i="4"/>
  <c r="X272" i="4"/>
  <c r="X271" i="4"/>
  <c r="X270" i="4"/>
  <c r="X417" i="4" s="1"/>
  <c r="X254" i="4"/>
  <c r="X256" i="4" s="1"/>
  <c r="X235" i="4"/>
  <c r="Y282" i="4" s="1"/>
  <c r="X234" i="4"/>
  <c r="X385" i="4" s="1"/>
  <c r="X232" i="4"/>
  <c r="X230" i="4"/>
  <c r="X249" i="4" s="1"/>
  <c r="X219" i="4"/>
  <c r="X220" i="4" s="1"/>
  <c r="X177" i="4"/>
  <c r="Y216" i="4" s="1"/>
  <c r="X218" i="4"/>
  <c r="X213" i="4"/>
  <c r="X209" i="4"/>
  <c r="X207" i="4"/>
  <c r="X206" i="4"/>
  <c r="X205" i="4"/>
  <c r="X203" i="4"/>
  <c r="X200" i="4"/>
  <c r="X193" i="4"/>
  <c r="Y211" i="4"/>
  <c r="X165" i="4"/>
  <c r="Y208" i="4" s="1"/>
  <c r="X142" i="4"/>
  <c r="X143" i="4" s="1"/>
  <c r="W142" i="4"/>
  <c r="X83" i="4"/>
  <c r="K141" i="28" s="1"/>
  <c r="K23" i="28" s="1"/>
  <c r="X81" i="4"/>
  <c r="K140" i="28" s="1"/>
  <c r="K18" i="28" s="1"/>
  <c r="X141" i="4"/>
  <c r="X140" i="4"/>
  <c r="X139" i="4"/>
  <c r="X136" i="4"/>
  <c r="X132" i="4"/>
  <c r="X130" i="4"/>
  <c r="X129" i="4"/>
  <c r="X123" i="4"/>
  <c r="X118" i="4"/>
  <c r="X116" i="4"/>
  <c r="X115" i="4" s="1"/>
  <c r="X100" i="4"/>
  <c r="X102" i="4" s="1"/>
  <c r="Y134" i="4"/>
  <c r="X62" i="4"/>
  <c r="X58" i="4"/>
  <c r="X56" i="4"/>
  <c r="X55" i="4"/>
  <c r="X52" i="4"/>
  <c r="X49" i="4"/>
  <c r="X42" i="4"/>
  <c r="X31" i="4"/>
  <c r="X15" i="4"/>
  <c r="X13" i="4"/>
  <c r="Y63" i="3" s="1"/>
  <c r="K25" i="28" l="1"/>
  <c r="K26" i="28"/>
  <c r="K20" i="28"/>
  <c r="K21" i="28"/>
  <c r="Y64" i="4"/>
  <c r="K166" i="28"/>
  <c r="K104" i="28" s="1"/>
  <c r="X468" i="4"/>
  <c r="X75" i="4"/>
  <c r="Y55" i="3"/>
  <c r="Y126" i="4"/>
  <c r="Y60" i="4"/>
  <c r="Y279" i="4"/>
  <c r="Y281" i="4"/>
  <c r="Y423" i="4"/>
  <c r="Y433" i="4"/>
  <c r="X495" i="4"/>
  <c r="Y508" i="4"/>
  <c r="Y498" i="4"/>
  <c r="Y202" i="4"/>
  <c r="Y204" i="4"/>
  <c r="Y354" i="4"/>
  <c r="Y356" i="4"/>
  <c r="Y711" i="4"/>
  <c r="Y713" i="4"/>
  <c r="Y51" i="4"/>
  <c r="X65" i="4"/>
  <c r="Y76" i="3"/>
  <c r="J14" i="32" s="1"/>
  <c r="J15" i="32" s="1"/>
  <c r="X233" i="4"/>
  <c r="X384" i="4" s="1"/>
  <c r="Y64" i="3"/>
  <c r="X688" i="4"/>
  <c r="Y689" i="4" s="1"/>
  <c r="X472" i="4"/>
  <c r="Y514" i="4" s="1"/>
  <c r="X390" i="4"/>
  <c r="Y432" i="4" s="1"/>
  <c r="Y291" i="4"/>
  <c r="X231" i="4"/>
  <c r="X32" i="4"/>
  <c r="X269" i="4"/>
  <c r="X441" i="4"/>
  <c r="X492" i="4"/>
  <c r="X19" i="4"/>
  <c r="X381" i="4"/>
  <c r="X419" i="4"/>
  <c r="X453" i="4"/>
  <c r="X418" i="4"/>
  <c r="X493" i="4" s="1"/>
  <c r="X386" i="4"/>
  <c r="Y429" i="4" s="1"/>
  <c r="X458" i="4"/>
  <c r="Y504" i="4" s="1"/>
  <c r="X383" i="4"/>
  <c r="X178" i="4"/>
  <c r="X217" i="4"/>
  <c r="X87" i="4"/>
  <c r="Y131" i="4" s="1"/>
  <c r="K107" i="28" l="1"/>
  <c r="K106" i="28"/>
  <c r="X452" i="4"/>
  <c r="Y499" i="4" s="1"/>
  <c r="K163" i="28"/>
  <c r="K98" i="28" s="1"/>
  <c r="X237" i="4"/>
  <c r="X460" i="4" s="1"/>
  <c r="Y426" i="4"/>
  <c r="Y428" i="4"/>
  <c r="X416" i="4"/>
  <c r="X491" i="4" s="1"/>
  <c r="Y280" i="4"/>
  <c r="Y278" i="4"/>
  <c r="Y67" i="3"/>
  <c r="Y68" i="3" s="1"/>
  <c r="X396" i="4"/>
  <c r="Y434" i="4" s="1"/>
  <c r="X382" i="4"/>
  <c r="Y509" i="4"/>
  <c r="X36" i="4"/>
  <c r="X67" i="4"/>
  <c r="X494" i="4"/>
  <c r="X180" i="4"/>
  <c r="BI5" i="4"/>
  <c r="BO478" i="3"/>
  <c r="BO443" i="3"/>
  <c r="BO442" i="3"/>
  <c r="BO441" i="3"/>
  <c r="BO440" i="3"/>
  <c r="BO439" i="3"/>
  <c r="BO438" i="3"/>
  <c r="BO437" i="3"/>
  <c r="BO436" i="3"/>
  <c r="BO435" i="3"/>
  <c r="BO434" i="3"/>
  <c r="BO418" i="3"/>
  <c r="BO417" i="3"/>
  <c r="BO416" i="3"/>
  <c r="BO415" i="3"/>
  <c r="BO414" i="3"/>
  <c r="BO413" i="3"/>
  <c r="BO412" i="3"/>
  <c r="BO411" i="3"/>
  <c r="BO410" i="3"/>
  <c r="BO409" i="3"/>
  <c r="BO401" i="3"/>
  <c r="BO400" i="3"/>
  <c r="BO399" i="3"/>
  <c r="BO398" i="3"/>
  <c r="BO397" i="3"/>
  <c r="BO396" i="3"/>
  <c r="BO395" i="3"/>
  <c r="BO394" i="3"/>
  <c r="BO393" i="3"/>
  <c r="BO336" i="3"/>
  <c r="BO335" i="3"/>
  <c r="BO334" i="3"/>
  <c r="BO333" i="3"/>
  <c r="BO332" i="3"/>
  <c r="BO331" i="3"/>
  <c r="BO330" i="3"/>
  <c r="BO329" i="3"/>
  <c r="BO328" i="3"/>
  <c r="BO327" i="3"/>
  <c r="BO301" i="3"/>
  <c r="BO300" i="3"/>
  <c r="BO299" i="3"/>
  <c r="BO298" i="3"/>
  <c r="BO297" i="3"/>
  <c r="BO296" i="3"/>
  <c r="BO295" i="3"/>
  <c r="BO294" i="3"/>
  <c r="BO293" i="3"/>
  <c r="BO292" i="3"/>
  <c r="BO263" i="3"/>
  <c r="BO262" i="3"/>
  <c r="BO261" i="3"/>
  <c r="BO260" i="3"/>
  <c r="BO259" i="3"/>
  <c r="BO258" i="3"/>
  <c r="BO257" i="3"/>
  <c r="BO256" i="3"/>
  <c r="BO255" i="3"/>
  <c r="BO254" i="3"/>
  <c r="BO241" i="3"/>
  <c r="BO240" i="3"/>
  <c r="BO239" i="3"/>
  <c r="BO238" i="3"/>
  <c r="BO237" i="3"/>
  <c r="BO236" i="3"/>
  <c r="BO235" i="3"/>
  <c r="BO234" i="3"/>
  <c r="BO233" i="3"/>
  <c r="BO232" i="3"/>
  <c r="BO208" i="3"/>
  <c r="BO207" i="3"/>
  <c r="BO206" i="3"/>
  <c r="BO205" i="3"/>
  <c r="BO204" i="3"/>
  <c r="BO203" i="3"/>
  <c r="BO202" i="3"/>
  <c r="BO201" i="3"/>
  <c r="BO200" i="3"/>
  <c r="BO199" i="3"/>
  <c r="BO186" i="3"/>
  <c r="BO185" i="3"/>
  <c r="BO184" i="3"/>
  <c r="BO183" i="3"/>
  <c r="BO182" i="3"/>
  <c r="BO181" i="3"/>
  <c r="BO180" i="3"/>
  <c r="BO179" i="3"/>
  <c r="BO178" i="3"/>
  <c r="BO177" i="3"/>
  <c r="BO153" i="3"/>
  <c r="BO152" i="3"/>
  <c r="BO151" i="3"/>
  <c r="BO150" i="3"/>
  <c r="BO149" i="3"/>
  <c r="BO148" i="3"/>
  <c r="BO147" i="3"/>
  <c r="BO146" i="3"/>
  <c r="BO145" i="3"/>
  <c r="BO144" i="3"/>
  <c r="BO131" i="3"/>
  <c r="BO130" i="3"/>
  <c r="BO129" i="3"/>
  <c r="BO128" i="3"/>
  <c r="BO127" i="3"/>
  <c r="BO126" i="3"/>
  <c r="BO125" i="3"/>
  <c r="BO124" i="3"/>
  <c r="BO123" i="3"/>
  <c r="BO122" i="3"/>
  <c r="BO87" i="3"/>
  <c r="BO85" i="3"/>
  <c r="BO83" i="3"/>
  <c r="D20" i="33" s="1"/>
  <c r="BO48" i="3"/>
  <c r="BO47" i="3"/>
  <c r="BO36" i="3"/>
  <c r="BI706" i="4"/>
  <c r="BI670" i="4"/>
  <c r="BI669" i="4"/>
  <c r="X518" i="4" l="1"/>
  <c r="J24" i="32"/>
  <c r="Y73" i="3"/>
  <c r="K137" i="28" s="1"/>
  <c r="K6" i="28" s="1"/>
  <c r="K9" i="28" s="1"/>
  <c r="J6" i="32"/>
  <c r="J10" i="32" s="1"/>
  <c r="K101" i="28"/>
  <c r="K100" i="28"/>
  <c r="BO477" i="3"/>
  <c r="BO342" i="3"/>
  <c r="BO344" i="3"/>
  <c r="X388" i="4"/>
  <c r="X389" i="4" s="1"/>
  <c r="X397" i="4" s="1"/>
  <c r="Y427" i="4"/>
  <c r="Y425" i="4"/>
  <c r="Y503" i="4"/>
  <c r="Y501" i="4"/>
  <c r="Y500" i="4"/>
  <c r="Y77" i="3"/>
  <c r="X461" i="4"/>
  <c r="X153" i="4"/>
  <c r="AN27" i="32" l="1"/>
  <c r="L36" i="33"/>
  <c r="Y530" i="3"/>
  <c r="Y531" i="3"/>
  <c r="Y527" i="3"/>
  <c r="Y534" i="3"/>
  <c r="J23" i="32" s="1"/>
  <c r="K8" i="28"/>
  <c r="J17" i="32"/>
  <c r="X469" i="4"/>
  <c r="X482" i="4" s="1"/>
  <c r="Y81" i="3"/>
  <c r="Y30" i="3"/>
  <c r="Y31" i="3"/>
  <c r="X440" i="4"/>
  <c r="X436" i="4"/>
  <c r="X401" i="4"/>
  <c r="X403" i="4" s="1"/>
  <c r="X376" i="4" s="1"/>
  <c r="X442" i="4"/>
  <c r="L24" i="33" l="1"/>
  <c r="M37" i="33"/>
  <c r="K176" i="28"/>
  <c r="K12" i="28" s="1"/>
  <c r="K15" i="28" s="1"/>
  <c r="J20" i="32"/>
  <c r="X511" i="4"/>
  <c r="X692" i="4"/>
  <c r="X694" i="4" s="1"/>
  <c r="X515" i="4"/>
  <c r="X473" i="4"/>
  <c r="X477" i="4" s="1"/>
  <c r="Y104" i="3"/>
  <c r="Y472" i="3" s="1"/>
  <c r="J25" i="32" s="1"/>
  <c r="Y341" i="3"/>
  <c r="Y58" i="3"/>
  <c r="Y84" i="3"/>
  <c r="X97" i="3"/>
  <c r="Y97" i="3" s="1"/>
  <c r="Y354" i="3" s="1"/>
  <c r="Y355" i="3" s="1"/>
  <c r="K14" i="28" l="1"/>
  <c r="Y499" i="3"/>
  <c r="Y470" i="3"/>
  <c r="Y497" i="3" s="1"/>
  <c r="Y480" i="3"/>
  <c r="Y476" i="3"/>
  <c r="Y501" i="3" s="1"/>
  <c r="X363" i="4"/>
  <c r="Y580" i="3" l="1"/>
  <c r="Y504" i="3"/>
  <c r="V308" i="4" l="1"/>
  <c r="W308" i="4" s="1"/>
  <c r="X308" i="4" s="1"/>
  <c r="Y308" i="4" s="1"/>
  <c r="Z308" i="4" s="1"/>
  <c r="U308" i="4"/>
  <c r="V228" i="4"/>
  <c r="W228" i="4" s="1"/>
  <c r="X228" i="4" s="1"/>
  <c r="U228" i="4"/>
  <c r="U156" i="4"/>
  <c r="V156" i="4" s="1"/>
  <c r="W156" i="4" s="1"/>
  <c r="X156" i="4" s="1"/>
  <c r="V78" i="4"/>
  <c r="U78" i="4"/>
  <c r="X45" i="3"/>
  <c r="X41" i="3"/>
  <c r="X560" i="3"/>
  <c r="X567" i="3" s="1"/>
  <c r="X24" i="3" s="1"/>
  <c r="W546" i="3"/>
  <c r="V546" i="3"/>
  <c r="X546" i="3"/>
  <c r="Y546" i="3" s="1"/>
  <c r="X540" i="3"/>
  <c r="X539" i="3"/>
  <c r="X538" i="3"/>
  <c r="X425" i="3"/>
  <c r="X390" i="3"/>
  <c r="X380" i="3"/>
  <c r="X571" i="3"/>
  <c r="X570" i="3"/>
  <c r="X569" i="3"/>
  <c r="X568" i="3"/>
  <c r="X25" i="3" s="1"/>
  <c r="X537" i="3"/>
  <c r="X477" i="3"/>
  <c r="X464" i="3"/>
  <c r="X460" i="3"/>
  <c r="X453" i="3"/>
  <c r="X461" i="3" s="1"/>
  <c r="X449" i="3"/>
  <c r="X448" i="3"/>
  <c r="X447" i="3"/>
  <c r="X446" i="3"/>
  <c r="X385" i="3"/>
  <c r="X291" i="3"/>
  <c r="X302" i="3" s="1"/>
  <c r="X304" i="3" s="1"/>
  <c r="X49" i="3" s="1"/>
  <c r="X574" i="3" s="1"/>
  <c r="X354" i="3"/>
  <c r="X347" i="3"/>
  <c r="X342" i="3"/>
  <c r="X326" i="3"/>
  <c r="X316" i="3"/>
  <c r="Y346" i="3" s="1"/>
  <c r="X313" i="3"/>
  <c r="X279" i="3"/>
  <c r="X281" i="3" s="1"/>
  <c r="X189" i="3"/>
  <c r="X134" i="3"/>
  <c r="X252" i="3"/>
  <c r="X251" i="3"/>
  <c r="X250" i="3"/>
  <c r="X249" i="3"/>
  <c r="X248" i="3"/>
  <c r="X247" i="3"/>
  <c r="X246" i="3"/>
  <c r="X245" i="3"/>
  <c r="X231" i="3"/>
  <c r="X54" i="3" s="1"/>
  <c r="X230" i="3"/>
  <c r="X229" i="3"/>
  <c r="X228" i="3"/>
  <c r="X53" i="3" s="1"/>
  <c r="X227" i="3"/>
  <c r="X52" i="3" s="1"/>
  <c r="X226" i="3"/>
  <c r="X225" i="3"/>
  <c r="X224" i="3"/>
  <c r="X223" i="3"/>
  <c r="X222" i="3"/>
  <c r="X50" i="3" s="1"/>
  <c r="X187" i="3"/>
  <c r="X161" i="3"/>
  <c r="X132" i="3"/>
  <c r="X109" i="3" s="1"/>
  <c r="X106" i="3"/>
  <c r="Y106" i="3" s="1"/>
  <c r="Y105" i="3" s="1"/>
  <c r="Y474" i="3" s="1"/>
  <c r="J26" i="32" s="1"/>
  <c r="W106" i="3"/>
  <c r="X87" i="3"/>
  <c r="X80" i="3"/>
  <c r="X82" i="3" s="1"/>
  <c r="X96" i="3" s="1"/>
  <c r="X79" i="3"/>
  <c r="I19" i="32" s="1"/>
  <c r="X78" i="3"/>
  <c r="I18" i="32" s="1"/>
  <c r="X75" i="3"/>
  <c r="I13" i="32" s="1"/>
  <c r="X74" i="3"/>
  <c r="I12" i="32" s="1"/>
  <c r="X71" i="3"/>
  <c r="X70" i="3"/>
  <c r="I7" i="32" s="1"/>
  <c r="X69" i="3"/>
  <c r="I5" i="32" s="1"/>
  <c r="X66" i="3"/>
  <c r="X65" i="3"/>
  <c r="X62" i="3"/>
  <c r="I4" i="32" s="1"/>
  <c r="V488" i="4"/>
  <c r="U488" i="4"/>
  <c r="W488" i="4"/>
  <c r="W731" i="4"/>
  <c r="W728" i="4"/>
  <c r="W729" i="4" s="1"/>
  <c r="W727" i="4"/>
  <c r="W726" i="4"/>
  <c r="W725" i="4"/>
  <c r="W723" i="4"/>
  <c r="W722" i="4"/>
  <c r="W721" i="4"/>
  <c r="W719" i="4"/>
  <c r="W718" i="4"/>
  <c r="W716" i="4"/>
  <c r="W715" i="4"/>
  <c r="W714" i="4"/>
  <c r="W712" i="4"/>
  <c r="W709" i="4"/>
  <c r="W702" i="4"/>
  <c r="W686" i="4"/>
  <c r="W681" i="4"/>
  <c r="W673" i="4"/>
  <c r="X717" i="4" s="1"/>
  <c r="W664" i="4"/>
  <c r="W665" i="4" s="1"/>
  <c r="X710" i="4" s="1"/>
  <c r="W476" i="4"/>
  <c r="W474" i="4"/>
  <c r="W420" i="4"/>
  <c r="W415" i="4"/>
  <c r="W414" i="4"/>
  <c r="W413" i="4"/>
  <c r="W406" i="4"/>
  <c r="W402" i="4"/>
  <c r="W400" i="4"/>
  <c r="X439" i="4" s="1"/>
  <c r="W399" i="4"/>
  <c r="W398" i="4"/>
  <c r="W392" i="4"/>
  <c r="W391" i="4"/>
  <c r="W387" i="4"/>
  <c r="X430" i="4" s="1"/>
  <c r="W368" i="4"/>
  <c r="W367" i="4"/>
  <c r="W365" i="4"/>
  <c r="W362" i="4"/>
  <c r="W361" i="4"/>
  <c r="W359" i="4"/>
  <c r="W357" i="4"/>
  <c r="W355" i="4"/>
  <c r="W352" i="4"/>
  <c r="W345" i="4"/>
  <c r="W369" i="4"/>
  <c r="W330" i="4"/>
  <c r="W332" i="4" s="1"/>
  <c r="W317" i="4"/>
  <c r="X360" i="4" s="1"/>
  <c r="W297" i="4"/>
  <c r="W296" i="4"/>
  <c r="W294" i="4"/>
  <c r="W293" i="4"/>
  <c r="W288" i="4"/>
  <c r="W283" i="4"/>
  <c r="W276" i="4"/>
  <c r="W272" i="4"/>
  <c r="W271" i="4"/>
  <c r="W270" i="4"/>
  <c r="W417" i="4" s="1"/>
  <c r="W298" i="4"/>
  <c r="W254" i="4"/>
  <c r="W256" i="4" s="1"/>
  <c r="W235" i="4"/>
  <c r="X282" i="4" s="1"/>
  <c r="W234" i="4"/>
  <c r="W385" i="4" s="1"/>
  <c r="W230" i="4"/>
  <c r="W219" i="4"/>
  <c r="W220" i="4" s="1"/>
  <c r="W177" i="4"/>
  <c r="X216" i="4" s="1"/>
  <c r="W218" i="4"/>
  <c r="W213" i="4"/>
  <c r="W209" i="4"/>
  <c r="W207" i="4"/>
  <c r="W206" i="4"/>
  <c r="W205" i="4"/>
  <c r="W203" i="4"/>
  <c r="W200" i="4"/>
  <c r="W193" i="4"/>
  <c r="X211" i="4"/>
  <c r="W165" i="4"/>
  <c r="X208" i="4" s="1"/>
  <c r="W143" i="4"/>
  <c r="W83" i="4"/>
  <c r="J141" i="28" s="1"/>
  <c r="J23" i="28" s="1"/>
  <c r="W81" i="4"/>
  <c r="J140" i="28" s="1"/>
  <c r="J18" i="28" s="1"/>
  <c r="W140" i="4"/>
  <c r="W139" i="4"/>
  <c r="W136" i="4"/>
  <c r="W132" i="4"/>
  <c r="W130" i="4"/>
  <c r="W129" i="4"/>
  <c r="W123" i="4"/>
  <c r="W118" i="4"/>
  <c r="W116" i="4"/>
  <c r="W115" i="4" s="1"/>
  <c r="W141" i="4"/>
  <c r="W100" i="4"/>
  <c r="W102" i="4" s="1"/>
  <c r="W31" i="4"/>
  <c r="W15" i="4"/>
  <c r="X64" i="3" s="1"/>
  <c r="W13" i="4"/>
  <c r="X63" i="3" s="1"/>
  <c r="W62" i="4"/>
  <c r="W58" i="4"/>
  <c r="W56" i="4"/>
  <c r="W55" i="4"/>
  <c r="W52" i="4"/>
  <c r="W49" i="4"/>
  <c r="W42" i="4"/>
  <c r="X60" i="4"/>
  <c r="V62" i="4"/>
  <c r="V58" i="4"/>
  <c r="V56" i="4"/>
  <c r="V55" i="4"/>
  <c r="V52" i="4"/>
  <c r="V49" i="4"/>
  <c r="V42" i="4"/>
  <c r="V40" i="4"/>
  <c r="V31" i="4"/>
  <c r="V15" i="4"/>
  <c r="V13" i="4"/>
  <c r="J166" i="28" l="1"/>
  <c r="J104" i="28" s="1"/>
  <c r="J106" i="28" s="1"/>
  <c r="I166" i="28"/>
  <c r="I104" i="28" s="1"/>
  <c r="I107" i="28" s="1"/>
  <c r="X502" i="3"/>
  <c r="I27" i="32"/>
  <c r="J26" i="28"/>
  <c r="J25" i="28"/>
  <c r="J20" i="28"/>
  <c r="J21" i="28"/>
  <c r="X562" i="3"/>
  <c r="X561" i="3" s="1"/>
  <c r="W381" i="4"/>
  <c r="W249" i="4"/>
  <c r="BD249" i="4" s="1"/>
  <c r="Z149" i="4"/>
  <c r="BD681" i="4"/>
  <c r="Z150" i="4"/>
  <c r="X566" i="3"/>
  <c r="X23" i="3" s="1"/>
  <c r="Y348" i="3"/>
  <c r="X541" i="3"/>
  <c r="X244" i="3"/>
  <c r="W217" i="4"/>
  <c r="W178" i="4"/>
  <c r="W180" i="4" s="1"/>
  <c r="X181" i="4" s="1"/>
  <c r="Z182" i="4" s="1"/>
  <c r="AA308" i="4"/>
  <c r="AB308" i="4" s="1"/>
  <c r="AC308" i="4" s="1"/>
  <c r="Y500" i="3"/>
  <c r="Y471" i="3"/>
  <c r="Y498" i="3" s="1"/>
  <c r="X344" i="3"/>
  <c r="Y87" i="3"/>
  <c r="Y344" i="3" s="1"/>
  <c r="Y228" i="4"/>
  <c r="Z228" i="4" s="1"/>
  <c r="Z379" i="4" s="1"/>
  <c r="Y156" i="4"/>
  <c r="Z156" i="4" s="1"/>
  <c r="X281" i="4"/>
  <c r="X279" i="4"/>
  <c r="W390" i="4"/>
  <c r="X432" i="4" s="1"/>
  <c r="X289" i="4"/>
  <c r="X711" i="4"/>
  <c r="X713" i="4"/>
  <c r="X356" i="4"/>
  <c r="X354" i="4"/>
  <c r="X508" i="4"/>
  <c r="X498" i="4"/>
  <c r="W495" i="4"/>
  <c r="X379" i="4"/>
  <c r="X76" i="3"/>
  <c r="I14" i="32" s="1"/>
  <c r="I15" i="32" s="1"/>
  <c r="X64" i="4"/>
  <c r="X423" i="4"/>
  <c r="X433" i="4"/>
  <c r="X51" i="4"/>
  <c r="X204" i="4"/>
  <c r="X202" i="4"/>
  <c r="X134" i="4"/>
  <c r="X126" i="4"/>
  <c r="X46" i="3"/>
  <c r="X51" i="3"/>
  <c r="W64" i="4"/>
  <c r="W60" i="4"/>
  <c r="W441" i="4"/>
  <c r="X419" i="3"/>
  <c r="X408" i="3" s="1"/>
  <c r="V19" i="4"/>
  <c r="W19" i="4"/>
  <c r="X479" i="3"/>
  <c r="X503" i="3" s="1"/>
  <c r="W233" i="4"/>
  <c r="W384" i="4" s="1"/>
  <c r="W269" i="4"/>
  <c r="X384" i="3"/>
  <c r="X318" i="3"/>
  <c r="X462" i="3"/>
  <c r="X565" i="3"/>
  <c r="X209" i="3"/>
  <c r="X198" i="3" s="1"/>
  <c r="X242" i="3"/>
  <c r="W688" i="4"/>
  <c r="X689" i="4" s="1"/>
  <c r="W419" i="4"/>
  <c r="W386" i="4"/>
  <c r="X429" i="4" s="1"/>
  <c r="W418" i="4"/>
  <c r="W305" i="4"/>
  <c r="X291" i="4"/>
  <c r="W87" i="4"/>
  <c r="X131" i="4" s="1"/>
  <c r="W75" i="4"/>
  <c r="W51" i="4"/>
  <c r="W65" i="4"/>
  <c r="W32" i="4"/>
  <c r="V65" i="4"/>
  <c r="V32" i="4"/>
  <c r="J107" i="28" l="1"/>
  <c r="I106" i="28"/>
  <c r="AD308" i="4"/>
  <c r="W468" i="4"/>
  <c r="BD468" i="4" s="1"/>
  <c r="Y379" i="4"/>
  <c r="AA228" i="4"/>
  <c r="AA156" i="4"/>
  <c r="AB156" i="4" s="1"/>
  <c r="AC156" i="4" s="1"/>
  <c r="AD156" i="4" s="1"/>
  <c r="AE156" i="4" s="1"/>
  <c r="AF156" i="4" s="1"/>
  <c r="AG156" i="4" s="1"/>
  <c r="AH156" i="4" s="1"/>
  <c r="AI156" i="4" s="1"/>
  <c r="W57" i="4"/>
  <c r="X426" i="4"/>
  <c r="X428" i="4"/>
  <c r="W416" i="4"/>
  <c r="X280" i="4"/>
  <c r="X278" i="4"/>
  <c r="X67" i="3"/>
  <c r="X68" i="3" s="1"/>
  <c r="X57" i="4"/>
  <c r="X309" i="3"/>
  <c r="X576" i="3" s="1"/>
  <c r="X55" i="3"/>
  <c r="X219" i="3"/>
  <c r="W396" i="4"/>
  <c r="W36" i="4"/>
  <c r="W67" i="4"/>
  <c r="V36" i="4"/>
  <c r="V67" i="4"/>
  <c r="H24" i="32" s="1"/>
  <c r="W518" i="4" l="1"/>
  <c r="I24" i="32"/>
  <c r="X73" i="3"/>
  <c r="J137" i="28" s="1"/>
  <c r="J6" i="28" s="1"/>
  <c r="J8" i="28" s="1"/>
  <c r="I6" i="32"/>
  <c r="I10" i="32" s="1"/>
  <c r="V7" i="4"/>
  <c r="W7" i="4"/>
  <c r="AE308" i="4"/>
  <c r="X434" i="4"/>
  <c r="BD396" i="4"/>
  <c r="AA379" i="4"/>
  <c r="AB228" i="4"/>
  <c r="X427" i="4"/>
  <c r="X425" i="4"/>
  <c r="X77" i="3"/>
  <c r="I17" i="32" s="1"/>
  <c r="X527" i="3" l="1"/>
  <c r="X534" i="3"/>
  <c r="I23" i="32" s="1"/>
  <c r="J9" i="28"/>
  <c r="X530" i="3"/>
  <c r="Y535" i="3"/>
  <c r="X531" i="3"/>
  <c r="X30" i="3"/>
  <c r="AF308" i="4"/>
  <c r="AB379" i="4"/>
  <c r="AC228" i="4"/>
  <c r="X31" i="3"/>
  <c r="X81" i="3"/>
  <c r="I20" i="32" s="1"/>
  <c r="X476" i="3"/>
  <c r="X501" i="3" s="1"/>
  <c r="U114" i="4"/>
  <c r="U268" i="4"/>
  <c r="U344" i="4"/>
  <c r="V344" i="4"/>
  <c r="V268" i="4"/>
  <c r="V114" i="4"/>
  <c r="V243" i="4"/>
  <c r="U243" i="4"/>
  <c r="H152" i="28" s="1"/>
  <c r="H60" i="28" s="1"/>
  <c r="V81" i="4"/>
  <c r="I140" i="28" s="1"/>
  <c r="I18" i="28" s="1"/>
  <c r="U81" i="4"/>
  <c r="H140" i="28" s="1"/>
  <c r="H18" i="28" s="1"/>
  <c r="X37" i="3" l="1"/>
  <c r="X578" i="3" s="1"/>
  <c r="I28" i="32" s="1"/>
  <c r="J176" i="28"/>
  <c r="J12" i="28" s="1"/>
  <c r="H62" i="28"/>
  <c r="H63" i="28"/>
  <c r="I20" i="28"/>
  <c r="I21" i="28"/>
  <c r="W289" i="4"/>
  <c r="I152" i="28"/>
  <c r="I60" i="28" s="1"/>
  <c r="H21" i="28"/>
  <c r="H20" i="28"/>
  <c r="AG308" i="4"/>
  <c r="X149" i="4"/>
  <c r="AC379" i="4"/>
  <c r="AD228" i="4"/>
  <c r="AE228" i="4" s="1"/>
  <c r="AF228" i="4" s="1"/>
  <c r="AG228" i="4" s="1"/>
  <c r="AH228" i="4" s="1"/>
  <c r="AI228" i="4" s="1"/>
  <c r="BI700" i="4"/>
  <c r="AI700" i="4"/>
  <c r="BI699" i="4"/>
  <c r="AI699" i="4"/>
  <c r="AJ699" i="4" s="1"/>
  <c r="X341" i="3"/>
  <c r="X84" i="3"/>
  <c r="X58" i="3"/>
  <c r="X474" i="3"/>
  <c r="I26" i="32" s="1"/>
  <c r="X472" i="3"/>
  <c r="I25" i="32" s="1"/>
  <c r="W472" i="4"/>
  <c r="X514" i="4" s="1"/>
  <c r="W471" i="4"/>
  <c r="W464" i="4"/>
  <c r="W475" i="4"/>
  <c r="W494" i="4"/>
  <c r="W470" i="4"/>
  <c r="A489" i="4"/>
  <c r="A414" i="4"/>
  <c r="A343" i="4"/>
  <c r="A267" i="4"/>
  <c r="A191" i="4"/>
  <c r="A700" i="4"/>
  <c r="A113" i="4"/>
  <c r="J14" i="28" l="1"/>
  <c r="J15" i="28"/>
  <c r="AJ700" i="4"/>
  <c r="BJ700" i="4" s="1"/>
  <c r="I63" i="28"/>
  <c r="I62" i="28"/>
  <c r="AH308" i="4"/>
  <c r="AH379" i="4" s="1"/>
  <c r="AG379" i="4"/>
  <c r="AF379" i="4"/>
  <c r="AE379" i="4"/>
  <c r="AD379" i="4"/>
  <c r="AC475" i="4"/>
  <c r="AC472" i="4"/>
  <c r="AD514" i="4" s="1"/>
  <c r="AC471" i="4"/>
  <c r="AC470" i="4"/>
  <c r="AC464" i="4"/>
  <c r="BJ699" i="4"/>
  <c r="AK699" i="4"/>
  <c r="AL699" i="4" s="1"/>
  <c r="BI698" i="4"/>
  <c r="BI709" i="4" s="1"/>
  <c r="AI698" i="4"/>
  <c r="BI701" i="4"/>
  <c r="BI727" i="4" s="1"/>
  <c r="AI701" i="4"/>
  <c r="AJ701" i="4" s="1"/>
  <c r="BI693" i="4"/>
  <c r="AI693" i="4"/>
  <c r="X470" i="3"/>
  <c r="X497" i="3" s="1"/>
  <c r="Y473" i="3"/>
  <c r="X500" i="3"/>
  <c r="Y475" i="3"/>
  <c r="X501" i="4"/>
  <c r="X503" i="4"/>
  <c r="X471" i="3"/>
  <c r="X498" i="3" s="1"/>
  <c r="X499" i="3"/>
  <c r="AK700" i="4" l="1"/>
  <c r="AL700" i="4" s="1"/>
  <c r="BK700" i="4" s="1"/>
  <c r="AJ698" i="4"/>
  <c r="BJ698" i="4" s="1"/>
  <c r="BJ709" i="4" s="1"/>
  <c r="AI488" i="4"/>
  <c r="AC508" i="4"/>
  <c r="BK699" i="4"/>
  <c r="AM699" i="4"/>
  <c r="AI677" i="4"/>
  <c r="AI464" i="4" s="1"/>
  <c r="AC514" i="4"/>
  <c r="BJ701" i="4"/>
  <c r="BJ727" i="4" s="1"/>
  <c r="AK701" i="4"/>
  <c r="AL701" i="4" s="1"/>
  <c r="BI684" i="4"/>
  <c r="AI684" i="4"/>
  <c r="AI471" i="4" s="1"/>
  <c r="AJ693" i="4"/>
  <c r="BI687" i="4"/>
  <c r="AI687" i="4"/>
  <c r="BI683" i="4"/>
  <c r="BI721" i="4" s="1"/>
  <c r="AI683" i="4"/>
  <c r="AI470" i="4" s="1"/>
  <c r="W560" i="3"/>
  <c r="W566" i="3" s="1"/>
  <c r="W23" i="3" s="1"/>
  <c r="U560" i="3"/>
  <c r="W41" i="3"/>
  <c r="W45" i="3"/>
  <c r="W571" i="3"/>
  <c r="W570" i="3"/>
  <c r="W569" i="3"/>
  <c r="W568" i="3"/>
  <c r="W25" i="3" s="1"/>
  <c r="W550" i="3"/>
  <c r="W548" i="3"/>
  <c r="W547" i="3"/>
  <c r="W540" i="3"/>
  <c r="W539" i="3"/>
  <c r="W538" i="3"/>
  <c r="W537" i="3"/>
  <c r="W477" i="3"/>
  <c r="W464" i="3"/>
  <c r="W460" i="3"/>
  <c r="AM700" i="4" l="1"/>
  <c r="AN700" i="4" s="1"/>
  <c r="AK698" i="4"/>
  <c r="AL698" i="4" s="1"/>
  <c r="BK698" i="4" s="1"/>
  <c r="BK709" i="4" s="1"/>
  <c r="W479" i="3"/>
  <c r="W503" i="3" s="1"/>
  <c r="H27" i="32"/>
  <c r="BO39" i="3"/>
  <c r="L39" i="33" s="1"/>
  <c r="AK39" i="3"/>
  <c r="AL39" i="3" s="1"/>
  <c r="AN699" i="4"/>
  <c r="BL699" i="4"/>
  <c r="BL700" i="4"/>
  <c r="BI685" i="4"/>
  <c r="BI724" i="4" s="1"/>
  <c r="AI685" i="4"/>
  <c r="BK701" i="4"/>
  <c r="BK727" i="4" s="1"/>
  <c r="AM701" i="4"/>
  <c r="BI677" i="4"/>
  <c r="BI719" i="4" s="1"/>
  <c r="BJ693" i="4"/>
  <c r="AK693" i="4"/>
  <c r="AI705" i="4"/>
  <c r="AJ683" i="4"/>
  <c r="AJ677" i="4"/>
  <c r="AI719" i="4"/>
  <c r="AJ687" i="4"/>
  <c r="AJ684" i="4"/>
  <c r="BI705" i="4"/>
  <c r="BI712" i="4" s="1"/>
  <c r="W541" i="3"/>
  <c r="W567" i="3"/>
  <c r="W24" i="3" s="1"/>
  <c r="W502" i="3"/>
  <c r="W161" i="3"/>
  <c r="V425" i="3"/>
  <c r="W453" i="3"/>
  <c r="W461" i="3" s="1"/>
  <c r="W449" i="3"/>
  <c r="W448" i="3"/>
  <c r="W447" i="3"/>
  <c r="W446" i="3"/>
  <c r="V380" i="3"/>
  <c r="W390" i="3"/>
  <c r="W462" i="3" s="1"/>
  <c r="W385" i="3"/>
  <c r="U380" i="3"/>
  <c r="W354" i="3"/>
  <c r="W347" i="3"/>
  <c r="W326" i="3"/>
  <c r="W316" i="3"/>
  <c r="W313" i="3"/>
  <c r="W291" i="3"/>
  <c r="W302" i="3" s="1"/>
  <c r="W304" i="3" s="1"/>
  <c r="W279" i="3"/>
  <c r="W252" i="3"/>
  <c r="W251" i="3"/>
  <c r="W250" i="3"/>
  <c r="W249" i="3"/>
  <c r="W248" i="3"/>
  <c r="W247" i="3"/>
  <c r="W246" i="3"/>
  <c r="W245" i="3"/>
  <c r="W231" i="3"/>
  <c r="W54" i="3" s="1"/>
  <c r="W230" i="3"/>
  <c r="W229" i="3"/>
  <c r="W228" i="3"/>
  <c r="W53" i="3" s="1"/>
  <c r="W227" i="3"/>
  <c r="W52" i="3" s="1"/>
  <c r="W226" i="3"/>
  <c r="W225" i="3"/>
  <c r="W224" i="3"/>
  <c r="W223" i="3"/>
  <c r="W222" i="3"/>
  <c r="W189" i="3"/>
  <c r="W187" i="3"/>
  <c r="W134" i="3"/>
  <c r="W132" i="3"/>
  <c r="W419" i="3" s="1"/>
  <c r="W408" i="3" s="1"/>
  <c r="AM698" i="4" l="1"/>
  <c r="AJ685" i="4"/>
  <c r="AJ725" i="4" s="1"/>
  <c r="AI472" i="4"/>
  <c r="BP39" i="3"/>
  <c r="M39" i="33" s="1"/>
  <c r="AI725" i="4"/>
  <c r="AO700" i="4"/>
  <c r="AP700" i="4" s="1"/>
  <c r="BM700" i="4"/>
  <c r="AO699" i="4"/>
  <c r="BM699" i="4"/>
  <c r="AM39" i="3"/>
  <c r="AN39" i="3" s="1"/>
  <c r="BI725" i="4"/>
  <c r="AN701" i="4"/>
  <c r="BL701" i="4"/>
  <c r="BL727" i="4" s="1"/>
  <c r="AN698" i="4"/>
  <c r="BL698" i="4"/>
  <c r="BL709" i="4" s="1"/>
  <c r="AK685" i="4"/>
  <c r="BJ683" i="4"/>
  <c r="BJ721" i="4" s="1"/>
  <c r="AK683" i="4"/>
  <c r="BJ684" i="4"/>
  <c r="AK684" i="4"/>
  <c r="AL693" i="4"/>
  <c r="BJ687" i="4"/>
  <c r="AK687" i="4"/>
  <c r="AJ719" i="4"/>
  <c r="AK677" i="4"/>
  <c r="BJ685" i="4"/>
  <c r="BJ725" i="4" s="1"/>
  <c r="BJ677" i="4"/>
  <c r="BJ719" i="4" s="1"/>
  <c r="AJ705" i="4"/>
  <c r="W318" i="3"/>
  <c r="W309" i="3" s="1"/>
  <c r="W576" i="3" s="1"/>
  <c r="X346" i="3"/>
  <c r="W565" i="3"/>
  <c r="W244" i="3"/>
  <c r="W242" i="3"/>
  <c r="W50" i="3"/>
  <c r="W49" i="3"/>
  <c r="W574" i="3" s="1"/>
  <c r="W384" i="3"/>
  <c r="W46" i="3"/>
  <c r="W51" i="3"/>
  <c r="W209" i="3"/>
  <c r="W198" i="3" s="1"/>
  <c r="AP699" i="4" l="1"/>
  <c r="AQ699" i="4" s="1"/>
  <c r="AR699" i="4" s="1"/>
  <c r="AQ700" i="4"/>
  <c r="AR700" i="4" s="1"/>
  <c r="BN700" i="4"/>
  <c r="BQ39" i="3"/>
  <c r="N39" i="33" s="1"/>
  <c r="AO701" i="4"/>
  <c r="BM701" i="4"/>
  <c r="BM727" i="4" s="1"/>
  <c r="AO698" i="4"/>
  <c r="BM698" i="4"/>
  <c r="BM709" i="4" s="1"/>
  <c r="AO39" i="3"/>
  <c r="AP39" i="3" s="1"/>
  <c r="BK693" i="4"/>
  <c r="AM693" i="4"/>
  <c r="W55" i="3"/>
  <c r="BJ724" i="4"/>
  <c r="AL684" i="4"/>
  <c r="AK719" i="4"/>
  <c r="AL677" i="4"/>
  <c r="AL683" i="4"/>
  <c r="AK725" i="4"/>
  <c r="AL685" i="4"/>
  <c r="AL687" i="4"/>
  <c r="AK705" i="4"/>
  <c r="BJ705" i="4"/>
  <c r="BJ712" i="4" s="1"/>
  <c r="W219" i="3"/>
  <c r="W109" i="3"/>
  <c r="W85" i="3"/>
  <c r="W342" i="3" s="1"/>
  <c r="W80" i="3"/>
  <c r="W82" i="3" s="1"/>
  <c r="W96" i="3" s="1"/>
  <c r="W79" i="3"/>
  <c r="H19" i="32" s="1"/>
  <c r="W78" i="3"/>
  <c r="H18" i="32" s="1"/>
  <c r="W75" i="3"/>
  <c r="H13" i="32" s="1"/>
  <c r="W74" i="3"/>
  <c r="H12" i="32" s="1"/>
  <c r="W71" i="3"/>
  <c r="W70" i="3"/>
  <c r="H7" i="32" s="1"/>
  <c r="W69" i="3"/>
  <c r="H5" i="32" s="1"/>
  <c r="W66" i="3"/>
  <c r="W65" i="3"/>
  <c r="W62" i="3"/>
  <c r="H4" i="32" s="1"/>
  <c r="W562" i="3" l="1"/>
  <c r="W561" i="3" s="1"/>
  <c r="BN699" i="4"/>
  <c r="AP698" i="4"/>
  <c r="AQ698" i="4" s="1"/>
  <c r="AR698" i="4" s="1"/>
  <c r="AP701" i="4"/>
  <c r="AQ701" i="4" s="1"/>
  <c r="AR701" i="4" s="1"/>
  <c r="BL693" i="4"/>
  <c r="AQ39" i="3"/>
  <c r="BR39" i="3"/>
  <c r="O39" i="33" s="1"/>
  <c r="AN693" i="4"/>
  <c r="BK684" i="4"/>
  <c r="AM684" i="4"/>
  <c r="BK683" i="4"/>
  <c r="BK721" i="4" s="1"/>
  <c r="AM683" i="4"/>
  <c r="BK687" i="4"/>
  <c r="AM687" i="4"/>
  <c r="AL725" i="4"/>
  <c r="AM685" i="4"/>
  <c r="AL719" i="4"/>
  <c r="AM677" i="4"/>
  <c r="BK685" i="4"/>
  <c r="BK724" i="4" s="1"/>
  <c r="AL705" i="4"/>
  <c r="BK677" i="4"/>
  <c r="BK719" i="4" s="1"/>
  <c r="V420" i="4"/>
  <c r="V495" i="4" s="1"/>
  <c r="V415" i="4"/>
  <c r="V414" i="4"/>
  <c r="V413" i="4"/>
  <c r="V406" i="4"/>
  <c r="V402" i="4"/>
  <c r="V400" i="4"/>
  <c r="W439" i="4" s="1"/>
  <c r="V399" i="4"/>
  <c r="V398" i="4"/>
  <c r="V392" i="4"/>
  <c r="V391" i="4"/>
  <c r="V387" i="4"/>
  <c r="W430" i="4" s="1"/>
  <c r="V480" i="4"/>
  <c r="V476" i="4"/>
  <c r="V475" i="4"/>
  <c r="V474" i="4"/>
  <c r="V471" i="4"/>
  <c r="V470" i="4"/>
  <c r="V464" i="4"/>
  <c r="V463" i="4"/>
  <c r="V459" i="4"/>
  <c r="V370" i="4"/>
  <c r="V369" i="4"/>
  <c r="V368" i="4"/>
  <c r="V367" i="4"/>
  <c r="V365" i="4"/>
  <c r="V362" i="4"/>
  <c r="V361" i="4"/>
  <c r="V359" i="4"/>
  <c r="V357" i="4"/>
  <c r="V355" i="4"/>
  <c r="V352" i="4"/>
  <c r="V345" i="4"/>
  <c r="V330" i="4"/>
  <c r="V332" i="4" s="1"/>
  <c r="W363" i="4"/>
  <c r="V299" i="4"/>
  <c r="V298" i="4"/>
  <c r="V297" i="4"/>
  <c r="V296" i="4"/>
  <c r="V294" i="4"/>
  <c r="V293" i="4"/>
  <c r="V288" i="4"/>
  <c r="V283" i="4"/>
  <c r="V276" i="4"/>
  <c r="V272" i="4"/>
  <c r="W279" i="4" s="1"/>
  <c r="V271" i="4"/>
  <c r="V418" i="4" s="1"/>
  <c r="V493" i="4" s="1"/>
  <c r="V270" i="4"/>
  <c r="V417" i="4" s="1"/>
  <c r="V390" i="4"/>
  <c r="W432" i="4" s="1"/>
  <c r="V254" i="4"/>
  <c r="V256" i="4" s="1"/>
  <c r="V225" i="4" s="1"/>
  <c r="V235" i="4"/>
  <c r="W282" i="4" s="1"/>
  <c r="V234" i="4"/>
  <c r="V385" i="4" s="1"/>
  <c r="V232" i="4"/>
  <c r="V383" i="4" s="1"/>
  <c r="V230" i="4"/>
  <c r="V219" i="4"/>
  <c r="V220" i="4" s="1"/>
  <c r="V218" i="4"/>
  <c r="V213" i="4"/>
  <c r="V209" i="4"/>
  <c r="V207" i="4"/>
  <c r="V206" i="4"/>
  <c r="V205" i="4"/>
  <c r="V203" i="4"/>
  <c r="V200" i="4"/>
  <c r="V193" i="4"/>
  <c r="V177" i="4"/>
  <c r="V728" i="4"/>
  <c r="V729" i="4" s="1"/>
  <c r="W211" i="4"/>
  <c r="V165" i="4"/>
  <c r="W208" i="4" s="1"/>
  <c r="V727" i="4"/>
  <c r="V726" i="4"/>
  <c r="V725" i="4"/>
  <c r="V722" i="4"/>
  <c r="V718" i="4"/>
  <c r="V716" i="4"/>
  <c r="V715" i="4"/>
  <c r="V714" i="4"/>
  <c r="V712" i="4"/>
  <c r="V709" i="4"/>
  <c r="V702" i="4"/>
  <c r="V686" i="4"/>
  <c r="V688" i="4" s="1"/>
  <c r="W689" i="4" s="1"/>
  <c r="V681" i="4"/>
  <c r="V673" i="4"/>
  <c r="W717" i="4" s="1"/>
  <c r="BC5" i="4"/>
  <c r="V664" i="4"/>
  <c r="V142" i="4"/>
  <c r="V143" i="4" s="1"/>
  <c r="V141" i="4"/>
  <c r="V140" i="4"/>
  <c r="V139" i="4"/>
  <c r="V136" i="4"/>
  <c r="V132" i="4"/>
  <c r="V130" i="4"/>
  <c r="V129" i="4"/>
  <c r="V123" i="4"/>
  <c r="V118" i="4"/>
  <c r="W126" i="4" s="1"/>
  <c r="V116" i="4"/>
  <c r="V115" i="4" s="1"/>
  <c r="V83" i="4"/>
  <c r="I141" i="28" s="1"/>
  <c r="I23" i="28" s="1"/>
  <c r="V100" i="4"/>
  <c r="V102" i="4" s="1"/>
  <c r="W134" i="4"/>
  <c r="W64" i="3"/>
  <c r="W63" i="3"/>
  <c r="W76" i="3"/>
  <c r="H14" i="32" s="1"/>
  <c r="H15" i="32" s="1"/>
  <c r="I25" i="28" l="1"/>
  <c r="I26" i="28"/>
  <c r="V305" i="4"/>
  <c r="V453" i="4"/>
  <c r="V452" i="4" s="1"/>
  <c r="V249" i="4"/>
  <c r="V468" i="4" s="1"/>
  <c r="BN698" i="4"/>
  <c r="BN709" i="4" s="1"/>
  <c r="BN701" i="4"/>
  <c r="BN727" i="4" s="1"/>
  <c r="BM693" i="4"/>
  <c r="BS39" i="3"/>
  <c r="AR39" i="3"/>
  <c r="BL677" i="4"/>
  <c r="BL719" i="4" s="1"/>
  <c r="BL683" i="4"/>
  <c r="BL721" i="4" s="1"/>
  <c r="BL685" i="4"/>
  <c r="BL724" i="4" s="1"/>
  <c r="BL684" i="4"/>
  <c r="BL687" i="4"/>
  <c r="AO693" i="4"/>
  <c r="AN684" i="4"/>
  <c r="AN687" i="4"/>
  <c r="AM719" i="4"/>
  <c r="AN677" i="4"/>
  <c r="AN683" i="4"/>
  <c r="BK705" i="4"/>
  <c r="BK712" i="4" s="1"/>
  <c r="AM705" i="4"/>
  <c r="BL705" i="4" s="1"/>
  <c r="BL712" i="4" s="1"/>
  <c r="AM725" i="4"/>
  <c r="AN685" i="4"/>
  <c r="BK725" i="4"/>
  <c r="W202" i="4"/>
  <c r="W204" i="4"/>
  <c r="W356" i="4"/>
  <c r="W354" i="4"/>
  <c r="V178" i="4"/>
  <c r="V180" i="4" s="1"/>
  <c r="V153" i="4" s="1"/>
  <c r="W216" i="4"/>
  <c r="W423" i="4"/>
  <c r="W433" i="4"/>
  <c r="W713" i="4"/>
  <c r="W711" i="4"/>
  <c r="W498" i="4"/>
  <c r="W508" i="4"/>
  <c r="V87" i="4"/>
  <c r="W131" i="4" s="1"/>
  <c r="V217" i="4"/>
  <c r="V233" i="4"/>
  <c r="V384" i="4" s="1"/>
  <c r="V381" i="4"/>
  <c r="V269" i="4"/>
  <c r="W278" i="4" s="1"/>
  <c r="V386" i="4"/>
  <c r="W429" i="4" s="1"/>
  <c r="V462" i="4"/>
  <c r="V419" i="4"/>
  <c r="W426" i="4" s="1"/>
  <c r="V231" i="4"/>
  <c r="V458" i="4"/>
  <c r="V472" i="4"/>
  <c r="W514" i="4" s="1"/>
  <c r="V317" i="4"/>
  <c r="W360" i="4" s="1"/>
  <c r="V492" i="4"/>
  <c r="V441" i="4"/>
  <c r="BN478" i="3"/>
  <c r="BN443" i="3"/>
  <c r="BN442" i="3"/>
  <c r="BN441" i="3"/>
  <c r="BN440" i="3"/>
  <c r="BN439" i="3"/>
  <c r="BN438" i="3"/>
  <c r="BN437" i="3"/>
  <c r="BN436" i="3"/>
  <c r="BN435" i="3"/>
  <c r="BN434" i="3"/>
  <c r="BN418" i="3"/>
  <c r="BN417" i="3"/>
  <c r="BN416" i="3"/>
  <c r="BN415" i="3"/>
  <c r="BN414" i="3"/>
  <c r="BN413" i="3"/>
  <c r="BN412" i="3"/>
  <c r="BN411" i="3"/>
  <c r="BN410" i="3"/>
  <c r="BN409" i="3"/>
  <c r="BN401" i="3"/>
  <c r="BN400" i="3"/>
  <c r="BN399" i="3"/>
  <c r="BN398" i="3"/>
  <c r="BN397" i="3"/>
  <c r="BN396" i="3"/>
  <c r="BN395" i="3"/>
  <c r="BN394" i="3"/>
  <c r="BN393" i="3"/>
  <c r="BN336" i="3"/>
  <c r="BN335" i="3"/>
  <c r="BN334" i="3"/>
  <c r="BN333" i="3"/>
  <c r="BN332" i="3"/>
  <c r="BN331" i="3"/>
  <c r="BN330" i="3"/>
  <c r="BN329" i="3"/>
  <c r="BN328" i="3"/>
  <c r="BN327" i="3"/>
  <c r="BN301" i="3"/>
  <c r="BN300" i="3"/>
  <c r="BN299" i="3"/>
  <c r="BN298" i="3"/>
  <c r="BN297" i="3"/>
  <c r="BN296" i="3"/>
  <c r="BN295" i="3"/>
  <c r="BN294" i="3"/>
  <c r="BN293" i="3"/>
  <c r="BN292" i="3"/>
  <c r="BN263" i="3"/>
  <c r="BN262" i="3"/>
  <c r="BN261" i="3"/>
  <c r="BN260" i="3"/>
  <c r="BN259" i="3"/>
  <c r="BN258" i="3"/>
  <c r="BN257" i="3"/>
  <c r="BN256" i="3"/>
  <c r="BN255" i="3"/>
  <c r="BN254" i="3"/>
  <c r="BN241" i="3"/>
  <c r="BN240" i="3"/>
  <c r="BN239" i="3"/>
  <c r="BN238" i="3"/>
  <c r="BN237" i="3"/>
  <c r="BN236" i="3"/>
  <c r="BN235" i="3"/>
  <c r="BN234" i="3"/>
  <c r="BN233" i="3"/>
  <c r="BN232" i="3"/>
  <c r="BN208" i="3"/>
  <c r="BN207" i="3"/>
  <c r="BN206" i="3"/>
  <c r="BN205" i="3"/>
  <c r="BN204" i="3"/>
  <c r="BN203" i="3"/>
  <c r="BN202" i="3"/>
  <c r="BN201" i="3"/>
  <c r="BN200" i="3"/>
  <c r="BN199" i="3"/>
  <c r="BN186" i="3"/>
  <c r="BN185" i="3"/>
  <c r="BN184" i="3"/>
  <c r="BN183" i="3"/>
  <c r="BN182" i="3"/>
  <c r="BN181" i="3"/>
  <c r="BN180" i="3"/>
  <c r="BN179" i="3"/>
  <c r="BN178" i="3"/>
  <c r="BN177" i="3"/>
  <c r="BN153" i="3"/>
  <c r="BN152" i="3"/>
  <c r="BN151" i="3"/>
  <c r="BN150" i="3"/>
  <c r="BN149" i="3"/>
  <c r="BN148" i="3"/>
  <c r="BN147" i="3"/>
  <c r="BN146" i="3"/>
  <c r="BN145" i="3"/>
  <c r="BN144" i="3"/>
  <c r="BN131" i="3"/>
  <c r="BN130" i="3"/>
  <c r="BN129" i="3"/>
  <c r="BN128" i="3"/>
  <c r="BN127" i="3"/>
  <c r="BN126" i="3"/>
  <c r="BN125" i="3"/>
  <c r="BN124" i="3"/>
  <c r="BN123" i="3"/>
  <c r="BN122" i="3"/>
  <c r="BN87" i="3"/>
  <c r="BN85" i="3"/>
  <c r="BN83" i="3"/>
  <c r="C20" i="33" s="1"/>
  <c r="BN48" i="3"/>
  <c r="BN47" i="3"/>
  <c r="BN39" i="3"/>
  <c r="K39" i="33" s="1"/>
  <c r="BN36" i="3"/>
  <c r="BH670" i="4"/>
  <c r="BH669" i="4"/>
  <c r="I163" i="28" l="1"/>
  <c r="I98" i="28" s="1"/>
  <c r="BN477" i="3"/>
  <c r="W291" i="4"/>
  <c r="AS39" i="3"/>
  <c r="BT39" i="3" s="1"/>
  <c r="BM687" i="4"/>
  <c r="BM684" i="4"/>
  <c r="BM683" i="4"/>
  <c r="BM721" i="4" s="1"/>
  <c r="BM677" i="4"/>
  <c r="BM719" i="4" s="1"/>
  <c r="BM685" i="4"/>
  <c r="BM724" i="4" s="1"/>
  <c r="AP693" i="4"/>
  <c r="AQ693" i="4" s="1"/>
  <c r="AR693" i="4" s="1"/>
  <c r="BL725" i="4"/>
  <c r="AO687" i="4"/>
  <c r="AO684" i="4"/>
  <c r="AO683" i="4"/>
  <c r="AN719" i="4"/>
  <c r="AO677" i="4"/>
  <c r="AN725" i="4"/>
  <c r="AO685" i="4"/>
  <c r="AN705" i="4"/>
  <c r="BM705" i="4" s="1"/>
  <c r="BM712" i="4" s="1"/>
  <c r="X509" i="4"/>
  <c r="BN344" i="3"/>
  <c r="V237" i="4"/>
  <c r="V388" i="4" s="1"/>
  <c r="BN342" i="3"/>
  <c r="W67" i="3"/>
  <c r="W68" i="3" s="1"/>
  <c r="W509" i="4"/>
  <c r="V396" i="4"/>
  <c r="W434" i="4" s="1"/>
  <c r="V382" i="4"/>
  <c r="V494" i="4"/>
  <c r="V416" i="4"/>
  <c r="W425" i="4" s="1"/>
  <c r="AM27" i="32" l="1"/>
  <c r="K36" i="33"/>
  <c r="W73" i="3"/>
  <c r="W531" i="3" s="1"/>
  <c r="H6" i="32"/>
  <c r="H10" i="32" s="1"/>
  <c r="I101" i="28"/>
  <c r="I100" i="28"/>
  <c r="BM725" i="4"/>
  <c r="BN693" i="4"/>
  <c r="AP687" i="4"/>
  <c r="AQ687" i="4" s="1"/>
  <c r="AR687" i="4" s="1"/>
  <c r="AP683" i="4"/>
  <c r="AQ683" i="4" s="1"/>
  <c r="AR683" i="4" s="1"/>
  <c r="AP684" i="4"/>
  <c r="AQ684" i="4" s="1"/>
  <c r="AR684" i="4" s="1"/>
  <c r="AO719" i="4"/>
  <c r="AP677" i="4"/>
  <c r="BN677" i="4" s="1"/>
  <c r="BN719" i="4" s="1"/>
  <c r="AO725" i="4"/>
  <c r="AP685" i="4"/>
  <c r="BN685" i="4" s="1"/>
  <c r="AO705" i="4"/>
  <c r="AC509" i="4"/>
  <c r="AD509" i="4"/>
  <c r="BI720" i="4"/>
  <c r="AI681" i="4"/>
  <c r="V460" i="4"/>
  <c r="V461" i="4" s="1"/>
  <c r="W503" i="4"/>
  <c r="W501" i="4"/>
  <c r="V518" i="4"/>
  <c r="V389" i="4"/>
  <c r="V397" i="4" s="1"/>
  <c r="V491" i="4"/>
  <c r="W530" i="3" l="1"/>
  <c r="I137" i="28"/>
  <c r="I6" i="28" s="1"/>
  <c r="W534" i="3"/>
  <c r="H23" i="32" s="1"/>
  <c r="W527" i="3"/>
  <c r="W77" i="3"/>
  <c r="W31" i="3" s="1"/>
  <c r="X535" i="3"/>
  <c r="K24" i="33"/>
  <c r="L37" i="33"/>
  <c r="I8" i="28"/>
  <c r="I9" i="28"/>
  <c r="V469" i="4"/>
  <c r="V473" i="4" s="1"/>
  <c r="V477" i="4" s="1"/>
  <c r="V448" i="4" s="1"/>
  <c r="BN687" i="4"/>
  <c r="BN684" i="4"/>
  <c r="BN725" i="4"/>
  <c r="BN724" i="4"/>
  <c r="BN683" i="4"/>
  <c r="AP719" i="4"/>
  <c r="AQ677" i="4"/>
  <c r="AP725" i="4"/>
  <c r="AQ685" i="4"/>
  <c r="AP705" i="4"/>
  <c r="BN705" i="4" s="1"/>
  <c r="BN712" i="4" s="1"/>
  <c r="AJ681" i="4"/>
  <c r="V436" i="4"/>
  <c r="V401" i="4"/>
  <c r="V403" i="4" s="1"/>
  <c r="V376" i="4" s="1"/>
  <c r="V442" i="4"/>
  <c r="V440" i="4"/>
  <c r="W476" i="3"/>
  <c r="W501" i="3" s="1"/>
  <c r="W30" i="3"/>
  <c r="U370" i="4"/>
  <c r="U219" i="4"/>
  <c r="U728" i="4"/>
  <c r="U142" i="4"/>
  <c r="U177" i="4"/>
  <c r="V216" i="4" s="1"/>
  <c r="T177" i="4"/>
  <c r="S177" i="4"/>
  <c r="W81" i="3" l="1"/>
  <c r="H17" i="32"/>
  <c r="I176" i="28"/>
  <c r="I12" i="28" s="1"/>
  <c r="I15" i="28" s="1"/>
  <c r="H20" i="32"/>
  <c r="V336" i="4"/>
  <c r="V371" i="4" s="1"/>
  <c r="V511" i="4"/>
  <c r="V482" i="4"/>
  <c r="V515" i="4"/>
  <c r="BN721" i="4"/>
  <c r="AR677" i="4"/>
  <c r="AR719" i="4" s="1"/>
  <c r="AQ719" i="4"/>
  <c r="AQ725" i="4"/>
  <c r="AR685" i="4"/>
  <c r="AQ705" i="4"/>
  <c r="BJ681" i="4"/>
  <c r="BJ720" i="4" s="1"/>
  <c r="AK681" i="4"/>
  <c r="W472" i="3"/>
  <c r="W37" i="3"/>
  <c r="W578" i="3" s="1"/>
  <c r="H28" i="32" s="1"/>
  <c r="W341" i="3"/>
  <c r="W58" i="3"/>
  <c r="W84" i="3"/>
  <c r="T81" i="4"/>
  <c r="G140" i="28" s="1"/>
  <c r="G18" i="28" s="1"/>
  <c r="S81" i="4"/>
  <c r="F140" i="28" s="1"/>
  <c r="F18" i="28" s="1"/>
  <c r="I14" i="28" l="1"/>
  <c r="X473" i="3"/>
  <c r="H25" i="32"/>
  <c r="G21" i="28"/>
  <c r="G20" i="28"/>
  <c r="F21" i="28"/>
  <c r="F20" i="28"/>
  <c r="AR705" i="4"/>
  <c r="AR725" i="4"/>
  <c r="AL681" i="4"/>
  <c r="W499" i="3"/>
  <c r="W470" i="3"/>
  <c r="W497" i="3" s="1"/>
  <c r="BK681" i="4" l="1"/>
  <c r="BK720" i="4" s="1"/>
  <c r="AM681" i="4"/>
  <c r="AW390" i="3"/>
  <c r="AW462" i="3" s="1"/>
  <c r="AX390" i="3"/>
  <c r="AX462" i="3" s="1"/>
  <c r="AY390" i="3"/>
  <c r="AY462" i="3" s="1"/>
  <c r="F390" i="3"/>
  <c r="F462" i="3" s="1"/>
  <c r="H390" i="3"/>
  <c r="H462" i="3" s="1"/>
  <c r="I390" i="3"/>
  <c r="I462" i="3" s="1"/>
  <c r="J390" i="3"/>
  <c r="J462" i="3" s="1"/>
  <c r="K390" i="3"/>
  <c r="K462" i="3" s="1"/>
  <c r="L390" i="3"/>
  <c r="L462" i="3" s="1"/>
  <c r="N391" i="3"/>
  <c r="N390" i="3" s="1"/>
  <c r="M390" i="3"/>
  <c r="P391" i="3"/>
  <c r="P390" i="3" s="1"/>
  <c r="O390" i="3"/>
  <c r="R391" i="3"/>
  <c r="R390" i="3" s="1"/>
  <c r="Q390" i="3"/>
  <c r="T391" i="3"/>
  <c r="T390" i="3" s="1"/>
  <c r="S390" i="3"/>
  <c r="S462" i="3" s="1"/>
  <c r="AV462" i="3"/>
  <c r="AU462" i="3"/>
  <c r="V391" i="3"/>
  <c r="V390" i="3" s="1"/>
  <c r="V462" i="3" s="1"/>
  <c r="U390" i="3"/>
  <c r="BH390" i="3" s="1"/>
  <c r="E390" i="3"/>
  <c r="E462" i="3" s="1"/>
  <c r="G390" i="3"/>
  <c r="G462" i="3" s="1"/>
  <c r="BH392" i="3"/>
  <c r="BH389" i="3"/>
  <c r="BH388" i="3"/>
  <c r="BH383" i="3"/>
  <c r="BH382" i="3"/>
  <c r="BH381" i="3"/>
  <c r="BH380" i="3"/>
  <c r="BL681" i="4" l="1"/>
  <c r="BL720" i="4" s="1"/>
  <c r="AN681" i="4"/>
  <c r="U462" i="3"/>
  <c r="BM681" i="4" l="1"/>
  <c r="BM720" i="4" s="1"/>
  <c r="AO681" i="4"/>
  <c r="V41" i="3"/>
  <c r="V45" i="3"/>
  <c r="V560" i="3"/>
  <c r="V566" i="3" s="1"/>
  <c r="V23" i="3" s="1"/>
  <c r="V571" i="3"/>
  <c r="V570" i="3"/>
  <c r="V569" i="3"/>
  <c r="V568" i="3"/>
  <c r="V25" i="3" s="1"/>
  <c r="V549" i="3"/>
  <c r="W549" i="3" s="1"/>
  <c r="U546" i="3"/>
  <c r="V541" i="3"/>
  <c r="V537" i="3"/>
  <c r="V477" i="3"/>
  <c r="V464" i="3"/>
  <c r="V460" i="3"/>
  <c r="V354" i="3"/>
  <c r="V347" i="3"/>
  <c r="V342" i="3"/>
  <c r="V326" i="3"/>
  <c r="V316" i="3"/>
  <c r="V313" i="3"/>
  <c r="V291" i="3"/>
  <c r="V302" i="3" s="1"/>
  <c r="V304" i="3" s="1"/>
  <c r="V49" i="3" s="1"/>
  <c r="V279" i="3"/>
  <c r="V281" i="3" s="1"/>
  <c r="V252" i="3"/>
  <c r="V251" i="3"/>
  <c r="V250" i="3"/>
  <c r="V249" i="3"/>
  <c r="V248" i="3"/>
  <c r="V247" i="3"/>
  <c r="V246" i="3"/>
  <c r="V245" i="3"/>
  <c r="V231" i="3"/>
  <c r="V54" i="3" s="1"/>
  <c r="V230" i="3"/>
  <c r="V229" i="3"/>
  <c r="V228" i="3"/>
  <c r="V53" i="3" s="1"/>
  <c r="V227" i="3"/>
  <c r="V52" i="3" s="1"/>
  <c r="V226" i="3"/>
  <c r="V225" i="3"/>
  <c r="V224" i="3"/>
  <c r="V223" i="3"/>
  <c r="V222" i="3"/>
  <c r="V189" i="3"/>
  <c r="V187" i="3"/>
  <c r="V453" i="3"/>
  <c r="V461" i="3" s="1"/>
  <c r="V449" i="3"/>
  <c r="V448" i="3"/>
  <c r="V447" i="3"/>
  <c r="V446" i="3"/>
  <c r="V385" i="3"/>
  <c r="V161" i="3"/>
  <c r="V134" i="3"/>
  <c r="V132" i="3"/>
  <c r="V109" i="3" s="1"/>
  <c r="V106" i="3"/>
  <c r="W474" i="3" s="1"/>
  <c r="V87" i="3"/>
  <c r="X475" i="3" l="1"/>
  <c r="H26" i="32"/>
  <c r="V479" i="3"/>
  <c r="V503" i="3" s="1"/>
  <c r="G27" i="32"/>
  <c r="AP681" i="4"/>
  <c r="AQ681" i="4" s="1"/>
  <c r="AR681" i="4" s="1"/>
  <c r="V244" i="3"/>
  <c r="BN426" i="3"/>
  <c r="V318" i="3"/>
  <c r="V309" i="3" s="1"/>
  <c r="V576" i="3" s="1"/>
  <c r="W346" i="3"/>
  <c r="V344" i="3"/>
  <c r="W87" i="3"/>
  <c r="W344" i="3" s="1"/>
  <c r="W500" i="3"/>
  <c r="W471" i="3"/>
  <c r="W498" i="3" s="1"/>
  <c r="V384" i="3"/>
  <c r="V51" i="3"/>
  <c r="V46" i="3"/>
  <c r="V242" i="3"/>
  <c r="V502" i="3"/>
  <c r="V50" i="3"/>
  <c r="V567" i="3"/>
  <c r="V24" i="3" s="1"/>
  <c r="V565" i="3"/>
  <c r="V209" i="3"/>
  <c r="V198" i="3" s="1"/>
  <c r="V419" i="3"/>
  <c r="V408" i="3" s="1"/>
  <c r="V80" i="3"/>
  <c r="V82" i="3" s="1"/>
  <c r="V96" i="3" s="1"/>
  <c r="V79" i="3"/>
  <c r="G19" i="32" s="1"/>
  <c r="V78" i="3"/>
  <c r="G18" i="32" s="1"/>
  <c r="V75" i="3"/>
  <c r="G13" i="32" s="1"/>
  <c r="V74" i="3"/>
  <c r="G12" i="32" s="1"/>
  <c r="V71" i="3"/>
  <c r="V70" i="3"/>
  <c r="G7" i="32" s="1"/>
  <c r="V69" i="3"/>
  <c r="G5" i="32" s="1"/>
  <c r="V66" i="3"/>
  <c r="V65" i="3"/>
  <c r="V62" i="3"/>
  <c r="G4" i="32" s="1"/>
  <c r="V562" i="3" l="1"/>
  <c r="V561" i="3" s="1"/>
  <c r="BN681" i="4"/>
  <c r="BN720" i="4" s="1"/>
  <c r="BO426" i="3"/>
  <c r="AK426" i="3"/>
  <c r="V219" i="3"/>
  <c r="U406" i="4"/>
  <c r="U480" i="4"/>
  <c r="U476" i="4"/>
  <c r="U475" i="4"/>
  <c r="U474" i="4"/>
  <c r="U471" i="4"/>
  <c r="U470" i="4"/>
  <c r="U464" i="4"/>
  <c r="U463" i="4"/>
  <c r="U459" i="4"/>
  <c r="U420" i="4"/>
  <c r="U415" i="4"/>
  <c r="U413" i="4"/>
  <c r="U402" i="4"/>
  <c r="U400" i="4"/>
  <c r="V439" i="4" s="1"/>
  <c r="U399" i="4"/>
  <c r="U398" i="4"/>
  <c r="U392" i="4"/>
  <c r="U391" i="4"/>
  <c r="U387" i="4"/>
  <c r="V430" i="4" s="1"/>
  <c r="T370" i="4"/>
  <c r="U368" i="4"/>
  <c r="U367" i="4"/>
  <c r="U365" i="4"/>
  <c r="U362" i="4"/>
  <c r="U361" i="4"/>
  <c r="U359" i="4"/>
  <c r="U357" i="4"/>
  <c r="U355" i="4"/>
  <c r="U352" i="4"/>
  <c r="U345" i="4"/>
  <c r="V363" i="4"/>
  <c r="T325" i="4"/>
  <c r="S325" i="4"/>
  <c r="U315" i="4"/>
  <c r="H159" i="28" s="1"/>
  <c r="H87" i="28" s="1"/>
  <c r="U330" i="4"/>
  <c r="U332" i="4" s="1"/>
  <c r="U299" i="4"/>
  <c r="U297" i="4"/>
  <c r="U296" i="4"/>
  <c r="U294" i="4"/>
  <c r="U293" i="4"/>
  <c r="U288" i="4"/>
  <c r="U283" i="4"/>
  <c r="U276" i="4"/>
  <c r="U272" i="4"/>
  <c r="U271" i="4"/>
  <c r="U418" i="4" s="1"/>
  <c r="U493" i="4" s="1"/>
  <c r="U270" i="4"/>
  <c r="V289" i="4"/>
  <c r="U254" i="4"/>
  <c r="U256" i="4" s="1"/>
  <c r="U235" i="4"/>
  <c r="U234" i="4"/>
  <c r="U385" i="4" s="1"/>
  <c r="U232" i="4"/>
  <c r="U383" i="4" s="1"/>
  <c r="U230" i="4"/>
  <c r="U220" i="4"/>
  <c r="U217" i="4"/>
  <c r="U216" i="4"/>
  <c r="U213" i="4"/>
  <c r="U209" i="4"/>
  <c r="U207" i="4"/>
  <c r="U206" i="4"/>
  <c r="U205" i="4"/>
  <c r="U203" i="4"/>
  <c r="U200" i="4"/>
  <c r="U193" i="4"/>
  <c r="U178" i="4"/>
  <c r="U180" i="4" s="1"/>
  <c r="V211" i="4"/>
  <c r="U165" i="4"/>
  <c r="V208" i="4" s="1"/>
  <c r="U729" i="4"/>
  <c r="U726" i="4"/>
  <c r="U725" i="4"/>
  <c r="U722" i="4"/>
  <c r="U718" i="4"/>
  <c r="U716" i="4"/>
  <c r="U715" i="4"/>
  <c r="U714" i="4"/>
  <c r="U712" i="4"/>
  <c r="U709" i="4"/>
  <c r="U702" i="4"/>
  <c r="U686" i="4"/>
  <c r="U688" i="4" s="1"/>
  <c r="U681" i="4"/>
  <c r="U673" i="4"/>
  <c r="V717" i="4" s="1"/>
  <c r="U143" i="4"/>
  <c r="U140" i="4"/>
  <c r="U139" i="4"/>
  <c r="U136" i="4"/>
  <c r="U132" i="4"/>
  <c r="U130" i="4"/>
  <c r="U129" i="4"/>
  <c r="U123" i="4"/>
  <c r="U118" i="4"/>
  <c r="U116" i="4"/>
  <c r="U115" i="4" s="1"/>
  <c r="U83" i="4"/>
  <c r="U100" i="4"/>
  <c r="U102" i="4" s="1"/>
  <c r="V134" i="4"/>
  <c r="U62" i="4"/>
  <c r="U58" i="4"/>
  <c r="U56" i="4"/>
  <c r="U55" i="4"/>
  <c r="U52" i="4"/>
  <c r="U49" i="4"/>
  <c r="U15" i="4"/>
  <c r="V64" i="3" s="1"/>
  <c r="U13" i="4"/>
  <c r="U231" i="4" s="1"/>
  <c r="U382" i="4" s="1"/>
  <c r="U31" i="4"/>
  <c r="U42" i="4"/>
  <c r="V60" i="4"/>
  <c r="H89" i="28" l="1"/>
  <c r="H90" i="28"/>
  <c r="X150" i="4"/>
  <c r="H141" i="28"/>
  <c r="H23" i="28" s="1"/>
  <c r="V64" i="4"/>
  <c r="H166" i="28"/>
  <c r="H104" i="28" s="1"/>
  <c r="BC681" i="4"/>
  <c r="U453" i="4"/>
  <c r="U249" i="4"/>
  <c r="BC249" i="4" s="1"/>
  <c r="BB325" i="4"/>
  <c r="BP426" i="3"/>
  <c r="AL426" i="3"/>
  <c r="AM426" i="3" s="1"/>
  <c r="U317" i="4"/>
  <c r="V360" i="4" s="1"/>
  <c r="W358" i="4"/>
  <c r="V51" i="4"/>
  <c r="V713" i="4"/>
  <c r="V711" i="4"/>
  <c r="U419" i="4"/>
  <c r="U494" i="4" s="1"/>
  <c r="V281" i="4"/>
  <c r="V279" i="4"/>
  <c r="V433" i="4"/>
  <c r="V423" i="4"/>
  <c r="V505" i="4"/>
  <c r="V354" i="4"/>
  <c r="V356" i="4"/>
  <c r="V498" i="4"/>
  <c r="V508" i="4"/>
  <c r="V76" i="3"/>
  <c r="G14" i="32" s="1"/>
  <c r="G15" i="32" s="1"/>
  <c r="V126" i="4"/>
  <c r="V204" i="4"/>
  <c r="V202" i="4"/>
  <c r="U386" i="4"/>
  <c r="V429" i="4" s="1"/>
  <c r="V282" i="4"/>
  <c r="U495" i="4"/>
  <c r="U390" i="4"/>
  <c r="V432" i="4" s="1"/>
  <c r="U462" i="4"/>
  <c r="V507" i="4" s="1"/>
  <c r="U472" i="4"/>
  <c r="V514" i="4" s="1"/>
  <c r="U19" i="4"/>
  <c r="V57" i="4" s="1"/>
  <c r="V63" i="3"/>
  <c r="U233" i="4"/>
  <c r="U384" i="4" s="1"/>
  <c r="U32" i="4"/>
  <c r="U65" i="4"/>
  <c r="U381" i="4"/>
  <c r="U363" i="4"/>
  <c r="U269" i="4"/>
  <c r="U458" i="4"/>
  <c r="U417" i="4"/>
  <c r="U492" i="4" s="1"/>
  <c r="U305" i="4"/>
  <c r="U87" i="4"/>
  <c r="V131" i="4" s="1"/>
  <c r="U36" i="4" l="1"/>
  <c r="H106" i="28"/>
  <c r="H107" i="28"/>
  <c r="H25" i="28"/>
  <c r="H26" i="28"/>
  <c r="U452" i="4"/>
  <c r="V499" i="4" s="1"/>
  <c r="H163" i="28"/>
  <c r="H98" i="28" s="1"/>
  <c r="V291" i="4"/>
  <c r="U468" i="4"/>
  <c r="BQ426" i="3"/>
  <c r="AN426" i="3"/>
  <c r="AO426" i="3" s="1"/>
  <c r="U237" i="4"/>
  <c r="V284" i="4" s="1"/>
  <c r="V503" i="4"/>
  <c r="V501" i="4"/>
  <c r="V428" i="4"/>
  <c r="V426" i="4"/>
  <c r="V504" i="4"/>
  <c r="U416" i="4"/>
  <c r="V278" i="4"/>
  <c r="V280" i="4"/>
  <c r="V67" i="3"/>
  <c r="V68" i="3" s="1"/>
  <c r="U67" i="4"/>
  <c r="G24" i="32" s="1"/>
  <c r="U396" i="4"/>
  <c r="V73" i="3" l="1"/>
  <c r="G6" i="32"/>
  <c r="G10" i="32" s="1"/>
  <c r="W535" i="3"/>
  <c r="H137" i="28"/>
  <c r="H6" i="28" s="1"/>
  <c r="H101" i="28"/>
  <c r="H100" i="28"/>
  <c r="V434" i="4"/>
  <c r="BC396" i="4"/>
  <c r="BC468" i="4"/>
  <c r="BR426" i="3"/>
  <c r="AP426" i="3"/>
  <c r="AQ426" i="3" s="1"/>
  <c r="U388" i="4"/>
  <c r="V431" i="4" s="1"/>
  <c r="U460" i="4"/>
  <c r="V506" i="4" s="1"/>
  <c r="V427" i="4"/>
  <c r="V425" i="4"/>
  <c r="U518" i="4"/>
  <c r="U491" i="4"/>
  <c r="V509" i="4"/>
  <c r="V531" i="3"/>
  <c r="V530" i="3"/>
  <c r="V534" i="3"/>
  <c r="G23" i="32" s="1"/>
  <c r="V77" i="3"/>
  <c r="V527" i="3"/>
  <c r="BB119" i="4"/>
  <c r="BA119" i="4"/>
  <c r="AZ119" i="4"/>
  <c r="AY119" i="4"/>
  <c r="AX119" i="4"/>
  <c r="G17" i="32" l="1"/>
  <c r="H8" i="28"/>
  <c r="H9" i="28"/>
  <c r="BS426" i="3"/>
  <c r="AR426" i="3"/>
  <c r="AS426" i="3" s="1"/>
  <c r="BT426" i="3" s="1"/>
  <c r="U461" i="4"/>
  <c r="U389" i="4"/>
  <c r="U397" i="4" s="1"/>
  <c r="U442" i="4" s="1"/>
  <c r="V500" i="4"/>
  <c r="V30" i="3"/>
  <c r="V81" i="3"/>
  <c r="V31" i="3"/>
  <c r="V476" i="3"/>
  <c r="V501" i="3" s="1"/>
  <c r="H176" i="28" l="1"/>
  <c r="H12" i="28" s="1"/>
  <c r="H15" i="28" s="1"/>
  <c r="G20" i="32"/>
  <c r="U469" i="4"/>
  <c r="U482" i="4" s="1"/>
  <c r="U440" i="4"/>
  <c r="U401" i="4"/>
  <c r="U403" i="4" s="1"/>
  <c r="U376" i="4" s="1"/>
  <c r="U436" i="4"/>
  <c r="V341" i="3"/>
  <c r="V37" i="3"/>
  <c r="V578" i="3" s="1"/>
  <c r="G28" i="32" s="1"/>
  <c r="V472" i="3"/>
  <c r="V84" i="3"/>
  <c r="V58" i="3"/>
  <c r="V474" i="3"/>
  <c r="H14" i="28" l="1"/>
  <c r="W473" i="3"/>
  <c r="G25" i="32"/>
  <c r="W475" i="3"/>
  <c r="G26" i="32"/>
  <c r="U515" i="4"/>
  <c r="U511" i="4"/>
  <c r="U473" i="4"/>
  <c r="U477" i="4" s="1"/>
  <c r="U448" i="4" s="1"/>
  <c r="V470" i="3"/>
  <c r="V497" i="3" s="1"/>
  <c r="V499" i="3"/>
  <c r="V500" i="3"/>
  <c r="V471" i="3"/>
  <c r="V498" i="3" s="1"/>
  <c r="U45" i="3" l="1"/>
  <c r="U41" i="3"/>
  <c r="U566" i="3"/>
  <c r="U23" i="3" s="1"/>
  <c r="U571" i="3"/>
  <c r="U570" i="3"/>
  <c r="U569" i="3"/>
  <c r="U568" i="3"/>
  <c r="U25" i="3" s="1"/>
  <c r="S550" i="3"/>
  <c r="U550" i="3"/>
  <c r="U547" i="3"/>
  <c r="U541" i="3"/>
  <c r="U537" i="3"/>
  <c r="U477" i="3"/>
  <c r="U464" i="3"/>
  <c r="U460" i="3"/>
  <c r="U449" i="3"/>
  <c r="U448" i="3"/>
  <c r="U447" i="3"/>
  <c r="U446" i="3"/>
  <c r="U385" i="3"/>
  <c r="U353" i="3"/>
  <c r="U347" i="3"/>
  <c r="U326" i="3"/>
  <c r="U316" i="3"/>
  <c r="U313" i="3"/>
  <c r="U291" i="3"/>
  <c r="U302" i="3" s="1"/>
  <c r="U304" i="3" s="1"/>
  <c r="U279" i="3"/>
  <c r="U281" i="3" s="1"/>
  <c r="U252" i="3"/>
  <c r="U251" i="3"/>
  <c r="U250" i="3"/>
  <c r="U249" i="3"/>
  <c r="U248" i="3"/>
  <c r="U247" i="3"/>
  <c r="U246" i="3"/>
  <c r="U245" i="3"/>
  <c r="U231" i="3"/>
  <c r="U54" i="3" s="1"/>
  <c r="U230" i="3"/>
  <c r="U229" i="3"/>
  <c r="U228" i="3"/>
  <c r="U53" i="3" s="1"/>
  <c r="U227" i="3"/>
  <c r="U52" i="3" s="1"/>
  <c r="U226" i="3"/>
  <c r="U225" i="3"/>
  <c r="U224" i="3"/>
  <c r="U223" i="3"/>
  <c r="U222" i="3"/>
  <c r="U189" i="3"/>
  <c r="U187" i="3"/>
  <c r="U453" i="3"/>
  <c r="U461" i="3" s="1"/>
  <c r="U134" i="3"/>
  <c r="U161" i="3"/>
  <c r="U132" i="3"/>
  <c r="U419" i="3" s="1"/>
  <c r="U408" i="3" s="1"/>
  <c r="BH107" i="3"/>
  <c r="U502" i="3" l="1"/>
  <c r="F27" i="32"/>
  <c r="V348" i="3"/>
  <c r="U244" i="3"/>
  <c r="U46" i="3"/>
  <c r="BH385" i="3"/>
  <c r="U384" i="3"/>
  <c r="BH384" i="3" s="1"/>
  <c r="U51" i="3"/>
  <c r="U318" i="3"/>
  <c r="U309" i="3" s="1"/>
  <c r="U576" i="3" s="1"/>
  <c r="V346" i="3"/>
  <c r="U49" i="3"/>
  <c r="U574" i="3" s="1"/>
  <c r="U242" i="3"/>
  <c r="U50" i="3"/>
  <c r="U565" i="3"/>
  <c r="U567" i="3"/>
  <c r="U24" i="3" s="1"/>
  <c r="U479" i="3"/>
  <c r="U503" i="3" s="1"/>
  <c r="U209" i="3"/>
  <c r="U198" i="3" s="1"/>
  <c r="U109" i="3"/>
  <c r="U97" i="3"/>
  <c r="U354" i="3" s="1"/>
  <c r="U355" i="3" s="1"/>
  <c r="U480" i="3" s="1"/>
  <c r="U504" i="3" s="1"/>
  <c r="U95" i="3"/>
  <c r="U85" i="3"/>
  <c r="U342" i="3" s="1"/>
  <c r="U80" i="3"/>
  <c r="U82" i="3" s="1"/>
  <c r="U96" i="3" s="1"/>
  <c r="U79" i="3"/>
  <c r="F19" i="32" s="1"/>
  <c r="U78" i="3"/>
  <c r="F18" i="32" s="1"/>
  <c r="U75" i="3"/>
  <c r="F13" i="32" s="1"/>
  <c r="U74" i="3"/>
  <c r="F12" i="32" s="1"/>
  <c r="U71" i="3"/>
  <c r="U70" i="3"/>
  <c r="F7" i="32" s="1"/>
  <c r="U69" i="3"/>
  <c r="F5" i="32" s="1"/>
  <c r="U66" i="3"/>
  <c r="U65" i="3"/>
  <c r="U62" i="3"/>
  <c r="F4" i="32" s="1"/>
  <c r="U562" i="3" l="1"/>
  <c r="U561" i="3" s="1"/>
  <c r="U55" i="3"/>
  <c r="U219" i="3"/>
  <c r="T420" i="4"/>
  <c r="T495" i="4" s="1"/>
  <c r="T415" i="4"/>
  <c r="T414" i="4"/>
  <c r="T413" i="4"/>
  <c r="T406" i="4"/>
  <c r="T400" i="4"/>
  <c r="U439" i="4" s="1"/>
  <c r="T399" i="4"/>
  <c r="T398" i="4"/>
  <c r="T392" i="4"/>
  <c r="T391" i="4"/>
  <c r="T387" i="4"/>
  <c r="U430" i="4" s="1"/>
  <c r="T488" i="4"/>
  <c r="T480" i="4"/>
  <c r="T476" i="4"/>
  <c r="T474" i="4"/>
  <c r="T471" i="4"/>
  <c r="T470" i="4"/>
  <c r="T464" i="4"/>
  <c r="T463" i="4"/>
  <c r="T459" i="4"/>
  <c r="U505" i="4" s="1"/>
  <c r="T369" i="4"/>
  <c r="T368" i="4"/>
  <c r="T367" i="4"/>
  <c r="T365" i="4"/>
  <c r="T362" i="4"/>
  <c r="T361" i="4"/>
  <c r="T359" i="4"/>
  <c r="T357" i="4"/>
  <c r="T355" i="4"/>
  <c r="T352" i="4"/>
  <c r="T315" i="4"/>
  <c r="T345" i="4"/>
  <c r="T330" i="4"/>
  <c r="T332" i="4" s="1"/>
  <c r="T142" i="4"/>
  <c r="T728" i="4"/>
  <c r="T729" i="4" s="1"/>
  <c r="T219" i="4"/>
  <c r="T220" i="4" s="1"/>
  <c r="T299" i="4"/>
  <c r="T298" i="4"/>
  <c r="T297" i="4"/>
  <c r="T296" i="4"/>
  <c r="T294" i="4"/>
  <c r="T293" i="4"/>
  <c r="T290" i="4"/>
  <c r="T288" i="4"/>
  <c r="T283" i="4"/>
  <c r="T276" i="4"/>
  <c r="T272" i="4"/>
  <c r="T271" i="4"/>
  <c r="T418" i="4" s="1"/>
  <c r="T270" i="4"/>
  <c r="T243" i="4"/>
  <c r="T255" i="4"/>
  <c r="T475" i="4" s="1"/>
  <c r="T254" i="4"/>
  <c r="T235" i="4"/>
  <c r="T234" i="4"/>
  <c r="T385" i="4" s="1"/>
  <c r="T232" i="4"/>
  <c r="T383" i="4" s="1"/>
  <c r="T230" i="4"/>
  <c r="T381" i="4" s="1"/>
  <c r="T228" i="4"/>
  <c r="T218" i="4"/>
  <c r="T217" i="4"/>
  <c r="T216" i="4"/>
  <c r="T213" i="4"/>
  <c r="T209" i="4"/>
  <c r="T207" i="4"/>
  <c r="T206" i="4"/>
  <c r="T205" i="4"/>
  <c r="T203" i="4"/>
  <c r="T200" i="4"/>
  <c r="T193" i="4"/>
  <c r="R183" i="4"/>
  <c r="T178" i="4"/>
  <c r="T180" i="4" s="1"/>
  <c r="T153" i="4" s="1"/>
  <c r="T173" i="4"/>
  <c r="U211" i="4" s="1"/>
  <c r="T165" i="4"/>
  <c r="U208" i="4" s="1"/>
  <c r="T727" i="4"/>
  <c r="T726" i="4"/>
  <c r="T725" i="4"/>
  <c r="T722" i="4"/>
  <c r="T718" i="4"/>
  <c r="T716" i="4"/>
  <c r="T715" i="4"/>
  <c r="T714" i="4"/>
  <c r="T712" i="4"/>
  <c r="T709" i="4"/>
  <c r="T702" i="4"/>
  <c r="T686" i="4"/>
  <c r="T688" i="4" s="1"/>
  <c r="T681" i="4"/>
  <c r="T673" i="4"/>
  <c r="U717" i="4" s="1"/>
  <c r="T664" i="4"/>
  <c r="T143" i="4"/>
  <c r="T141" i="4"/>
  <c r="T140" i="4"/>
  <c r="T139" i="4"/>
  <c r="T136" i="4"/>
  <c r="T133" i="4"/>
  <c r="T132" i="4"/>
  <c r="T130" i="4"/>
  <c r="T129" i="4"/>
  <c r="T123" i="4"/>
  <c r="T118" i="4"/>
  <c r="U126" i="4" s="1"/>
  <c r="T116" i="4"/>
  <c r="T115" i="4" s="1"/>
  <c r="T83" i="4"/>
  <c r="G141" i="28" s="1"/>
  <c r="G23" i="28" s="1"/>
  <c r="T100" i="4"/>
  <c r="T102" i="4" s="1"/>
  <c r="T95" i="4"/>
  <c r="U134" i="4" s="1"/>
  <c r="T62" i="4"/>
  <c r="T58" i="4"/>
  <c r="T56" i="4"/>
  <c r="T55" i="4"/>
  <c r="T52" i="4"/>
  <c r="T49" i="4"/>
  <c r="T15" i="4"/>
  <c r="U64" i="3" s="1"/>
  <c r="T13" i="4"/>
  <c r="U63" i="3" s="1"/>
  <c r="T31" i="4"/>
  <c r="T42" i="4"/>
  <c r="U51" i="4" s="1"/>
  <c r="G26" i="28" l="1"/>
  <c r="G25" i="28"/>
  <c r="T65" i="4"/>
  <c r="G166" i="28"/>
  <c r="G104" i="28" s="1"/>
  <c r="V358" i="4"/>
  <c r="G159" i="28"/>
  <c r="G87" i="28" s="1"/>
  <c r="U289" i="4"/>
  <c r="G152" i="28"/>
  <c r="G60" i="28" s="1"/>
  <c r="T75" i="4"/>
  <c r="T441" i="4"/>
  <c r="T233" i="4"/>
  <c r="T384" i="4" s="1"/>
  <c r="U423" i="4"/>
  <c r="U433" i="4"/>
  <c r="T462" i="4"/>
  <c r="U507" i="4" s="1"/>
  <c r="T390" i="4"/>
  <c r="U432" i="4" s="1"/>
  <c r="T19" i="4"/>
  <c r="U57" i="4" s="1"/>
  <c r="T32" i="4"/>
  <c r="U64" i="4"/>
  <c r="U76" i="3"/>
  <c r="F14" i="32" s="1"/>
  <c r="F15" i="32" s="1"/>
  <c r="T231" i="4"/>
  <c r="T382" i="4" s="1"/>
  <c r="T472" i="4"/>
  <c r="U514" i="4" s="1"/>
  <c r="U498" i="4"/>
  <c r="U508" i="4"/>
  <c r="T419" i="4"/>
  <c r="T494" i="4" s="1"/>
  <c r="U281" i="4"/>
  <c r="U279" i="4"/>
  <c r="U202" i="4"/>
  <c r="U204" i="4"/>
  <c r="U356" i="4"/>
  <c r="U354" i="4"/>
  <c r="U60" i="4"/>
  <c r="T458" i="4"/>
  <c r="U504" i="4" s="1"/>
  <c r="U282" i="4"/>
  <c r="U711" i="4"/>
  <c r="U713" i="4"/>
  <c r="T317" i="4"/>
  <c r="U360" i="4" s="1"/>
  <c r="T493" i="4"/>
  <c r="T417" i="4"/>
  <c r="T492" i="4" s="1"/>
  <c r="T386" i="4"/>
  <c r="U429" i="4" s="1"/>
  <c r="T402" i="4"/>
  <c r="T256" i="4"/>
  <c r="T225" i="4" s="1"/>
  <c r="T229" i="4"/>
  <c r="T269" i="4"/>
  <c r="T453" i="4"/>
  <c r="T249" i="4"/>
  <c r="T87" i="4"/>
  <c r="U131" i="4" s="1"/>
  <c r="T36" i="4" l="1"/>
  <c r="G89" i="28"/>
  <c r="G90" i="28"/>
  <c r="G106" i="28"/>
  <c r="G107" i="28"/>
  <c r="G62" i="28"/>
  <c r="G63" i="28"/>
  <c r="T452" i="4"/>
  <c r="U499" i="4" s="1"/>
  <c r="G163" i="28"/>
  <c r="G98" i="28" s="1"/>
  <c r="T237" i="4"/>
  <c r="T388" i="4" s="1"/>
  <c r="U431" i="4" s="1"/>
  <c r="T67" i="4"/>
  <c r="U67" i="3"/>
  <c r="U68" i="3" s="1"/>
  <c r="U426" i="4"/>
  <c r="U428" i="4"/>
  <c r="T396" i="4"/>
  <c r="U434" i="4" s="1"/>
  <c r="U291" i="4"/>
  <c r="U503" i="4"/>
  <c r="U501" i="4"/>
  <c r="T416" i="4"/>
  <c r="T491" i="4" s="1"/>
  <c r="U500" i="4" s="1"/>
  <c r="U280" i="4"/>
  <c r="U278" i="4"/>
  <c r="T468" i="4"/>
  <c r="U509" i="4" s="1"/>
  <c r="U73" i="3" l="1"/>
  <c r="V535" i="3" s="1"/>
  <c r="F6" i="32"/>
  <c r="F10" i="32" s="1"/>
  <c r="T518" i="4"/>
  <c r="F24" i="32"/>
  <c r="T7" i="4"/>
  <c r="G101" i="28"/>
  <c r="G100" i="28"/>
  <c r="T460" i="4"/>
  <c r="U506" i="4" s="1"/>
  <c r="U284" i="4"/>
  <c r="T389" i="4"/>
  <c r="T397" i="4" s="1"/>
  <c r="T436" i="4" s="1"/>
  <c r="U77" i="3"/>
  <c r="F17" i="32" s="1"/>
  <c r="U534" i="3"/>
  <c r="F23" i="32" s="1"/>
  <c r="U527" i="3"/>
  <c r="U531" i="3"/>
  <c r="U427" i="4"/>
  <c r="U425" i="4"/>
  <c r="G137" i="28" l="1"/>
  <c r="G6" i="28" s="1"/>
  <c r="U530" i="3"/>
  <c r="G9" i="28"/>
  <c r="G8" i="28"/>
  <c r="U81" i="3"/>
  <c r="F20" i="32" s="1"/>
  <c r="T440" i="4"/>
  <c r="T461" i="4"/>
  <c r="T469" i="4" s="1"/>
  <c r="T473" i="4" s="1"/>
  <c r="T477" i="4" s="1"/>
  <c r="T448" i="4" s="1"/>
  <c r="T401" i="4"/>
  <c r="T403" i="4" s="1"/>
  <c r="T376" i="4" s="1"/>
  <c r="T442" i="4"/>
  <c r="U476" i="3"/>
  <c r="U501" i="3" s="1"/>
  <c r="U30" i="3"/>
  <c r="U31" i="3"/>
  <c r="BA5" i="4"/>
  <c r="BB5" i="4"/>
  <c r="U84" i="3" l="1"/>
  <c r="U37" i="3"/>
  <c r="U578" i="3" s="1"/>
  <c r="F28" i="32" s="1"/>
  <c r="G176" i="28"/>
  <c r="G12" i="28" s="1"/>
  <c r="U58" i="3"/>
  <c r="U341" i="3"/>
  <c r="U472" i="3"/>
  <c r="T511" i="4"/>
  <c r="T515" i="4"/>
  <c r="T482" i="4"/>
  <c r="BM48" i="3"/>
  <c r="BM478" i="3"/>
  <c r="BM443" i="3"/>
  <c r="BM442" i="3"/>
  <c r="BM441" i="3"/>
  <c r="BM440" i="3"/>
  <c r="BM439" i="3"/>
  <c r="BM438" i="3"/>
  <c r="BM437" i="3"/>
  <c r="BM436" i="3"/>
  <c r="BM435" i="3"/>
  <c r="BM434" i="3"/>
  <c r="BM418" i="3"/>
  <c r="BM417" i="3"/>
  <c r="BM416" i="3"/>
  <c r="BM415" i="3"/>
  <c r="BM414" i="3"/>
  <c r="BM413" i="3"/>
  <c r="BM412" i="3"/>
  <c r="BM411" i="3"/>
  <c r="BM410" i="3"/>
  <c r="BM409" i="3"/>
  <c r="BM401" i="3"/>
  <c r="BM400" i="3"/>
  <c r="BM399" i="3"/>
  <c r="BM398" i="3"/>
  <c r="BM397" i="3"/>
  <c r="BM396" i="3"/>
  <c r="BM395" i="3"/>
  <c r="BM394" i="3"/>
  <c r="BM393" i="3"/>
  <c r="BM336" i="3"/>
  <c r="BM335" i="3"/>
  <c r="BM334" i="3"/>
  <c r="BM333" i="3"/>
  <c r="BM332" i="3"/>
  <c r="BM331" i="3"/>
  <c r="BM330" i="3"/>
  <c r="BM329" i="3"/>
  <c r="BM328" i="3"/>
  <c r="BM327" i="3"/>
  <c r="BM301" i="3"/>
  <c r="BM300" i="3"/>
  <c r="BM299" i="3"/>
  <c r="BM298" i="3"/>
  <c r="BM297" i="3"/>
  <c r="BM296" i="3"/>
  <c r="BM295" i="3"/>
  <c r="BM294" i="3"/>
  <c r="BM293" i="3"/>
  <c r="BM292" i="3"/>
  <c r="BM263" i="3"/>
  <c r="BM262" i="3"/>
  <c r="BM261" i="3"/>
  <c r="BM260" i="3"/>
  <c r="BM259" i="3"/>
  <c r="BM258" i="3"/>
  <c r="BM257" i="3"/>
  <c r="BM256" i="3"/>
  <c r="BM255" i="3"/>
  <c r="BM254" i="3"/>
  <c r="BM241" i="3"/>
  <c r="BM240" i="3"/>
  <c r="BM239" i="3"/>
  <c r="BM238" i="3"/>
  <c r="BM237" i="3"/>
  <c r="BM236" i="3"/>
  <c r="BM235" i="3"/>
  <c r="BM234" i="3"/>
  <c r="BM233" i="3"/>
  <c r="BM232" i="3"/>
  <c r="BM208" i="3"/>
  <c r="BM207" i="3"/>
  <c r="BM206" i="3"/>
  <c r="BM205" i="3"/>
  <c r="BM204" i="3"/>
  <c r="BM203" i="3"/>
  <c r="BM202" i="3"/>
  <c r="BM201" i="3"/>
  <c r="BM200" i="3"/>
  <c r="BM199" i="3"/>
  <c r="BM186" i="3"/>
  <c r="BM185" i="3"/>
  <c r="BM184" i="3"/>
  <c r="BM183" i="3"/>
  <c r="BM182" i="3"/>
  <c r="BM181" i="3"/>
  <c r="BM180" i="3"/>
  <c r="BM179" i="3"/>
  <c r="BM178" i="3"/>
  <c r="BM177" i="3"/>
  <c r="BM153" i="3"/>
  <c r="BM152" i="3"/>
  <c r="BM151" i="3"/>
  <c r="BM150" i="3"/>
  <c r="BM149" i="3"/>
  <c r="BM148" i="3"/>
  <c r="BM147" i="3"/>
  <c r="BM146" i="3"/>
  <c r="BM145" i="3"/>
  <c r="BM144" i="3"/>
  <c r="BM131" i="3"/>
  <c r="BM130" i="3"/>
  <c r="BM129" i="3"/>
  <c r="BM128" i="3"/>
  <c r="BM127" i="3"/>
  <c r="BM126" i="3"/>
  <c r="BM125" i="3"/>
  <c r="BM124" i="3"/>
  <c r="BM123" i="3"/>
  <c r="BM122" i="3"/>
  <c r="BM87" i="3"/>
  <c r="BM85" i="3"/>
  <c r="BM83" i="3"/>
  <c r="BM47" i="3"/>
  <c r="BM36" i="3"/>
  <c r="BG670" i="4"/>
  <c r="BG669" i="4"/>
  <c r="V473" i="3" l="1"/>
  <c r="F25" i="32"/>
  <c r="G14" i="28"/>
  <c r="G15" i="28"/>
  <c r="U499" i="3"/>
  <c r="U580" i="3"/>
  <c r="U470" i="3"/>
  <c r="U497" i="3" s="1"/>
  <c r="BM477" i="3"/>
  <c r="AL27" i="32" s="1"/>
  <c r="BM342" i="3"/>
  <c r="BM344" i="3"/>
  <c r="N75" i="8"/>
  <c r="O69" i="8"/>
  <c r="P68" i="8"/>
  <c r="O68" i="8"/>
  <c r="L68" i="8"/>
  <c r="O67" i="8"/>
  <c r="L67" i="8"/>
  <c r="L66" i="8"/>
  <c r="L65" i="8"/>
  <c r="L64" i="8"/>
  <c r="N74" i="8" l="1"/>
  <c r="N73" i="8"/>
  <c r="N72" i="8"/>
  <c r="S370" i="4"/>
  <c r="S299" i="4"/>
  <c r="S219" i="4"/>
  <c r="S728" i="4"/>
  <c r="S142" i="4"/>
  <c r="J6" i="8"/>
  <c r="AL338" i="14" l="1"/>
  <c r="AL337" i="14"/>
  <c r="AL336" i="14"/>
  <c r="AL335" i="14"/>
  <c r="AL334" i="14"/>
  <c r="AL333" i="14"/>
  <c r="AL332" i="14"/>
  <c r="AL331" i="14"/>
  <c r="AL330" i="14"/>
  <c r="AL329" i="14"/>
  <c r="AL328" i="14"/>
  <c r="AL327" i="14"/>
  <c r="AL326" i="14"/>
  <c r="AL325" i="14"/>
  <c r="AL324" i="14"/>
  <c r="AL323" i="14"/>
  <c r="AL322" i="14"/>
  <c r="AL321" i="14"/>
  <c r="AL320" i="14"/>
  <c r="AL319" i="14"/>
  <c r="AL318" i="14"/>
  <c r="AL317" i="14"/>
  <c r="AL316" i="14"/>
  <c r="AL315" i="14"/>
  <c r="AL314" i="14"/>
  <c r="AL313" i="14"/>
  <c r="AL312" i="14"/>
  <c r="AL311" i="14"/>
  <c r="AL310" i="14"/>
  <c r="AL309" i="14"/>
  <c r="AL308" i="14"/>
  <c r="AL307" i="14"/>
  <c r="AL306" i="14"/>
  <c r="AL305" i="14"/>
  <c r="AL304" i="14"/>
  <c r="AL303" i="14"/>
  <c r="AL302" i="14"/>
  <c r="AL301" i="14"/>
  <c r="AL300" i="14"/>
  <c r="AL299" i="14"/>
  <c r="AL298" i="14"/>
  <c r="AL297" i="14"/>
  <c r="AL296" i="14"/>
  <c r="AL295" i="14"/>
  <c r="AL294" i="14"/>
  <c r="AL293" i="14"/>
  <c r="AL292" i="14"/>
  <c r="AL291" i="14"/>
  <c r="AL290" i="14"/>
  <c r="AL289" i="14"/>
  <c r="AL288" i="14"/>
  <c r="AL287" i="14"/>
  <c r="AL286" i="14"/>
  <c r="AL285" i="14"/>
  <c r="AL284" i="14"/>
  <c r="AL283" i="14"/>
  <c r="AL282" i="14"/>
  <c r="AL281" i="14"/>
  <c r="AL280" i="14"/>
  <c r="AL279" i="14"/>
  <c r="AL278" i="14"/>
  <c r="AL277" i="14"/>
  <c r="AL276" i="14"/>
  <c r="AL275" i="14"/>
  <c r="AL274" i="14"/>
  <c r="AL273" i="14"/>
  <c r="AL272" i="14"/>
  <c r="AL271" i="14"/>
  <c r="AL270" i="14"/>
  <c r="AL269" i="14"/>
  <c r="AL268" i="14"/>
  <c r="AL267" i="14"/>
  <c r="AL266" i="14"/>
  <c r="AL265" i="14"/>
  <c r="AL264" i="14"/>
  <c r="AL263" i="14"/>
  <c r="AL262" i="14"/>
  <c r="AL261" i="14"/>
  <c r="AL260" i="14"/>
  <c r="AL259" i="14"/>
  <c r="AL258" i="14"/>
  <c r="AL257" i="14"/>
  <c r="AL256" i="14"/>
  <c r="AL255" i="14"/>
  <c r="AL254" i="14"/>
  <c r="AL253" i="14"/>
  <c r="AL252" i="14"/>
  <c r="AL251" i="14"/>
  <c r="AL250" i="14"/>
  <c r="AL249" i="14"/>
  <c r="AL248" i="14"/>
  <c r="AL247" i="14"/>
  <c r="AL246" i="14"/>
  <c r="AL245" i="14"/>
  <c r="AL244" i="14"/>
  <c r="AL243" i="14"/>
  <c r="AL242" i="14"/>
  <c r="AL241" i="14"/>
  <c r="AL240" i="14"/>
  <c r="AL239" i="14"/>
  <c r="AL238" i="14"/>
  <c r="AL237" i="14"/>
  <c r="AL236" i="14"/>
  <c r="AL235" i="14"/>
  <c r="AL234" i="14"/>
  <c r="AL233" i="14"/>
  <c r="AL232" i="14"/>
  <c r="AL231" i="14"/>
  <c r="AL230" i="14"/>
  <c r="AL229" i="14"/>
  <c r="AL228" i="14"/>
  <c r="AL227" i="14"/>
  <c r="AL226" i="14"/>
  <c r="AL225" i="14"/>
  <c r="AL224" i="14"/>
  <c r="AL223" i="14"/>
  <c r="AL222" i="14"/>
  <c r="AL221" i="14"/>
  <c r="AL220" i="14"/>
  <c r="AL219" i="14"/>
  <c r="AL218" i="14"/>
  <c r="AL217" i="14"/>
  <c r="AL216" i="14"/>
  <c r="AL215" i="14"/>
  <c r="AL214" i="14"/>
  <c r="AL213" i="14"/>
  <c r="AL212" i="14"/>
  <c r="AL211" i="14"/>
  <c r="AL210" i="14"/>
  <c r="AL209" i="14"/>
  <c r="AL208" i="14"/>
  <c r="AL207" i="14"/>
  <c r="AL206" i="14"/>
  <c r="AL205" i="14"/>
  <c r="AL204" i="14"/>
  <c r="AL203" i="14"/>
  <c r="AL202" i="14"/>
  <c r="AL201" i="14"/>
  <c r="AL200" i="14"/>
  <c r="AL199" i="14"/>
  <c r="AL198" i="14"/>
  <c r="AL197" i="14"/>
  <c r="AL196" i="14"/>
  <c r="AL195" i="14"/>
  <c r="AL194" i="14"/>
  <c r="AL193" i="14"/>
  <c r="AL192" i="14"/>
  <c r="AL191" i="14"/>
  <c r="AL190" i="14"/>
  <c r="AL189" i="14"/>
  <c r="AL188" i="14"/>
  <c r="AL187" i="14"/>
  <c r="AL186" i="14"/>
  <c r="AL185" i="14"/>
  <c r="AL184" i="14"/>
  <c r="AL183" i="14"/>
  <c r="AL182" i="14"/>
  <c r="AL181" i="14"/>
  <c r="AL180" i="14"/>
  <c r="AL179" i="14"/>
  <c r="AL178" i="14"/>
  <c r="AL177" i="14"/>
  <c r="AL176" i="14"/>
  <c r="AL175" i="14"/>
  <c r="AL174" i="14"/>
  <c r="AL173" i="14"/>
  <c r="AL172" i="14"/>
  <c r="AL171" i="14"/>
  <c r="AL170" i="14"/>
  <c r="AL169" i="14"/>
  <c r="AL168" i="14"/>
  <c r="AL167" i="14"/>
  <c r="AL166" i="14"/>
  <c r="AL165" i="14"/>
  <c r="AL164" i="14"/>
  <c r="AL163" i="14"/>
  <c r="AL162" i="14"/>
  <c r="AL161" i="14"/>
  <c r="AL160" i="14"/>
  <c r="AL159" i="14"/>
  <c r="AL158" i="14"/>
  <c r="AL157" i="14"/>
  <c r="AL156" i="14"/>
  <c r="AL155" i="14"/>
  <c r="AL154" i="14"/>
  <c r="AL153" i="14"/>
  <c r="AL152" i="14"/>
  <c r="AL151" i="14"/>
  <c r="AL150" i="14"/>
  <c r="AL149" i="14"/>
  <c r="AL148" i="14"/>
  <c r="AL147" i="14"/>
  <c r="AL146" i="14"/>
  <c r="AL145" i="14"/>
  <c r="AL144" i="14"/>
  <c r="AL143" i="14"/>
  <c r="AL142" i="14"/>
  <c r="AL141" i="14"/>
  <c r="AL140" i="14"/>
  <c r="AL139" i="14"/>
  <c r="AL138" i="14"/>
  <c r="AL137" i="14"/>
  <c r="AL136" i="14"/>
  <c r="AL135" i="14"/>
  <c r="AL134" i="14"/>
  <c r="AL133" i="14"/>
  <c r="AL132" i="14"/>
  <c r="AL131" i="14"/>
  <c r="AL130" i="14"/>
  <c r="AL129" i="14"/>
  <c r="AL128" i="14"/>
  <c r="AL127" i="14"/>
  <c r="AL126" i="14"/>
  <c r="AL125" i="14"/>
  <c r="AL124" i="14"/>
  <c r="AL123" i="14"/>
  <c r="AL122" i="14"/>
  <c r="AL121" i="14"/>
  <c r="AL120" i="14"/>
  <c r="AL119" i="14"/>
  <c r="AL118" i="14"/>
  <c r="AL117" i="14"/>
  <c r="AL116" i="14"/>
  <c r="AL115" i="14"/>
  <c r="AL114" i="14"/>
  <c r="AL113" i="14"/>
  <c r="AL112" i="14"/>
  <c r="AL111" i="14"/>
  <c r="AL110" i="14"/>
  <c r="AL109" i="14"/>
  <c r="AL108" i="14"/>
  <c r="AL107" i="14"/>
  <c r="AL106" i="14"/>
  <c r="AL105" i="14"/>
  <c r="AL104" i="14"/>
  <c r="AL103" i="14"/>
  <c r="AL102" i="14"/>
  <c r="AL101" i="14"/>
  <c r="AL100" i="14"/>
  <c r="AL99" i="14"/>
  <c r="AL98" i="14"/>
  <c r="AL97" i="14"/>
  <c r="AL96" i="14"/>
  <c r="AL95" i="14"/>
  <c r="AL94" i="14"/>
  <c r="AL93" i="14"/>
  <c r="AL92" i="14"/>
  <c r="AL91" i="14"/>
  <c r="AL90" i="14"/>
  <c r="AL89" i="14"/>
  <c r="AL88" i="14"/>
  <c r="AL87" i="14"/>
  <c r="AL86" i="14"/>
  <c r="AL85" i="14"/>
  <c r="AL84" i="14"/>
  <c r="AL83" i="14"/>
  <c r="AL82" i="14"/>
  <c r="AL81" i="14"/>
  <c r="AL80" i="14"/>
  <c r="AL79" i="14"/>
  <c r="AL78" i="14"/>
  <c r="AL77" i="14"/>
  <c r="AL76" i="14"/>
  <c r="AL75" i="14"/>
  <c r="AL74" i="14"/>
  <c r="AL73" i="14"/>
  <c r="AL72" i="14"/>
  <c r="AL71" i="14"/>
  <c r="AL70" i="14"/>
  <c r="AL69" i="14"/>
  <c r="AL68" i="14"/>
  <c r="AL67" i="14"/>
  <c r="AL66" i="14"/>
  <c r="AL65" i="14"/>
  <c r="AL64" i="14"/>
  <c r="AL63" i="14"/>
  <c r="AL62" i="14"/>
  <c r="AL61" i="14"/>
  <c r="AL60" i="14"/>
  <c r="AL59" i="14"/>
  <c r="AL58" i="14"/>
  <c r="AL57" i="14"/>
  <c r="AL56" i="14"/>
  <c r="AL55" i="14"/>
  <c r="AL54" i="14"/>
  <c r="AL53" i="14"/>
  <c r="AL52" i="14"/>
  <c r="AL51" i="14"/>
  <c r="AL50" i="14"/>
  <c r="AL49" i="14"/>
  <c r="AL48" i="14"/>
  <c r="AL47" i="14"/>
  <c r="AL46" i="14"/>
  <c r="AL45" i="14"/>
  <c r="AL44" i="14"/>
  <c r="AL43" i="14"/>
  <c r="AL42" i="14"/>
  <c r="AL41" i="14"/>
  <c r="AL40" i="14"/>
  <c r="AL39" i="14"/>
  <c r="AL38" i="14"/>
  <c r="AL37" i="14"/>
  <c r="AL36" i="14"/>
  <c r="AL35" i="14"/>
  <c r="AL34" i="14"/>
  <c r="AL33" i="14"/>
  <c r="AL32" i="14"/>
  <c r="AL31" i="14"/>
  <c r="AL30" i="14"/>
  <c r="AL29" i="14"/>
  <c r="AL28" i="14"/>
  <c r="AL27" i="14"/>
  <c r="AL26" i="14"/>
  <c r="AL25" i="14"/>
  <c r="AL24" i="14"/>
  <c r="AL23" i="14"/>
  <c r="AL22" i="14"/>
  <c r="AL21" i="14"/>
  <c r="AL20" i="14"/>
  <c r="AL19" i="14"/>
  <c r="AL18" i="14"/>
  <c r="AL17" i="14"/>
  <c r="AL16" i="14"/>
  <c r="AL15" i="14"/>
  <c r="AL14" i="14"/>
  <c r="AL13" i="14"/>
  <c r="AL12" i="14"/>
  <c r="AL11" i="14"/>
  <c r="AL10" i="14"/>
  <c r="AL9" i="14"/>
  <c r="AL8" i="14"/>
  <c r="AL7" i="14"/>
  <c r="AL6" i="14"/>
  <c r="AN306" i="14" l="1"/>
  <c r="AN28" i="14"/>
  <c r="AN33" i="14"/>
  <c r="AN32" i="14"/>
  <c r="AN118" i="14" l="1"/>
  <c r="P103" i="14"/>
  <c r="O103" i="14"/>
  <c r="AN95" i="14"/>
  <c r="AN94" i="14"/>
  <c r="AN74" i="14"/>
  <c r="AN72" i="14"/>
  <c r="AP22" i="14"/>
  <c r="AO22" i="14"/>
  <c r="AN22" i="14"/>
  <c r="AN299" i="14"/>
  <c r="AN298" i="14"/>
  <c r="E336" i="14"/>
  <c r="AN318" i="14"/>
  <c r="AN317" i="14"/>
  <c r="AN316" i="14"/>
  <c r="AN315" i="14"/>
  <c r="AN314" i="14"/>
  <c r="AN313" i="14"/>
  <c r="AN310" i="14"/>
  <c r="AN307" i="14"/>
  <c r="AN304" i="14"/>
  <c r="AO303" i="14"/>
  <c r="AN303" i="14"/>
  <c r="AN302" i="14"/>
  <c r="AN292" i="14"/>
  <c r="AN291" i="14"/>
  <c r="AN290" i="14"/>
  <c r="AN289" i="14"/>
  <c r="AN288" i="14"/>
  <c r="AN285" i="14"/>
  <c r="AN282" i="14"/>
  <c r="AN332" i="14"/>
  <c r="AN331" i="14"/>
  <c r="Q103" i="14" l="1"/>
  <c r="R103" i="14" s="1"/>
  <c r="S103" i="14" s="1"/>
  <c r="T103" i="14" s="1"/>
  <c r="AO249" i="14"/>
  <c r="AN249" i="14"/>
  <c r="AN243" i="14"/>
  <c r="AN241" i="14"/>
  <c r="AN223" i="14"/>
  <c r="AN222" i="14"/>
  <c r="AN221" i="14"/>
  <c r="AN220" i="14"/>
  <c r="AN213" i="14"/>
  <c r="AN101" i="14"/>
  <c r="AO101" i="14"/>
  <c r="AN96" i="14"/>
  <c r="AN25" i="14" l="1"/>
  <c r="AN46" i="14"/>
  <c r="AN45" i="14"/>
  <c r="AN39" i="14"/>
  <c r="AN24" i="14"/>
  <c r="AO23" i="14"/>
  <c r="AN23" i="14"/>
  <c r="AN16" i="14"/>
  <c r="AN14" i="14"/>
  <c r="D334" i="14" l="1"/>
  <c r="D332" i="14"/>
  <c r="D331" i="14"/>
  <c r="D329" i="14"/>
  <c r="D324" i="14"/>
  <c r="D320" i="14"/>
  <c r="D315" i="14"/>
  <c r="D314" i="14"/>
  <c r="D313" i="14"/>
  <c r="D312" i="14"/>
  <c r="D311" i="14"/>
  <c r="D310" i="14"/>
  <c r="D309" i="14"/>
  <c r="D308" i="14"/>
  <c r="D307" i="14"/>
  <c r="D306" i="14"/>
  <c r="D305" i="14"/>
  <c r="D304" i="14"/>
  <c r="D303" i="14"/>
  <c r="D302" i="14"/>
  <c r="D298" i="14"/>
  <c r="D294" i="14"/>
  <c r="D293" i="14"/>
  <c r="D292" i="14"/>
  <c r="D291" i="14"/>
  <c r="D290" i="14"/>
  <c r="D289" i="14"/>
  <c r="D288" i="14"/>
  <c r="D287" i="14"/>
  <c r="D286" i="14"/>
  <c r="D285" i="14"/>
  <c r="D284" i="14"/>
  <c r="D283" i="14"/>
  <c r="D282" i="14"/>
  <c r="D281" i="14"/>
  <c r="D263" i="14"/>
  <c r="D165" i="14"/>
  <c r="D164" i="14"/>
  <c r="D163" i="14"/>
  <c r="D162" i="14"/>
  <c r="D160" i="14"/>
  <c r="D159" i="14"/>
  <c r="D157" i="14"/>
  <c r="D156" i="14"/>
  <c r="D155" i="14"/>
  <c r="D154" i="14"/>
  <c r="D145" i="14"/>
  <c r="D144" i="14"/>
  <c r="D143" i="14"/>
  <c r="D142" i="14"/>
  <c r="D141" i="14"/>
  <c r="D140" i="14"/>
  <c r="D138" i="14"/>
  <c r="D137" i="14"/>
  <c r="D136" i="14"/>
  <c r="D135" i="14"/>
  <c r="D134" i="14"/>
  <c r="D133" i="14"/>
  <c r="D128" i="14"/>
  <c r="D122" i="14"/>
  <c r="D121" i="14"/>
  <c r="D120" i="14"/>
  <c r="D116" i="14"/>
  <c r="D113" i="14"/>
  <c r="D112" i="14"/>
  <c r="D111" i="14"/>
  <c r="D110" i="14"/>
  <c r="D109" i="14"/>
  <c r="D108" i="14"/>
  <c r="D107" i="14"/>
  <c r="D101" i="14"/>
  <c r="D100" i="14"/>
  <c r="D99" i="14"/>
  <c r="D98" i="14"/>
  <c r="D97" i="14"/>
  <c r="D96" i="14"/>
  <c r="D95" i="14"/>
  <c r="D94" i="14"/>
  <c r="D93" i="14"/>
  <c r="D92" i="14"/>
  <c r="D91" i="14"/>
  <c r="D90" i="14"/>
  <c r="D89" i="14"/>
  <c r="D88" i="14"/>
  <c r="D87" i="14"/>
  <c r="D86" i="14"/>
  <c r="D85" i="14"/>
  <c r="D84" i="14"/>
  <c r="D83" i="14"/>
  <c r="D82" i="14"/>
  <c r="D81" i="14"/>
  <c r="D80" i="14"/>
  <c r="D79" i="14"/>
  <c r="D78" i="14"/>
  <c r="D77" i="14"/>
  <c r="D76" i="14"/>
  <c r="D75" i="14"/>
  <c r="D74" i="14"/>
  <c r="D73" i="14"/>
  <c r="D72" i="14"/>
  <c r="D71" i="14"/>
  <c r="D70" i="14"/>
  <c r="D69" i="14"/>
  <c r="D68" i="14"/>
  <c r="D67" i="14"/>
  <c r="D66" i="14"/>
  <c r="D65" i="14"/>
  <c r="D64" i="14"/>
  <c r="D63" i="14"/>
  <c r="D62" i="14"/>
  <c r="D61" i="14"/>
  <c r="D60" i="14"/>
  <c r="D59" i="14"/>
  <c r="D58" i="14"/>
  <c r="D57" i="14"/>
  <c r="D56" i="14"/>
  <c r="D55" i="14"/>
  <c r="D54" i="14"/>
  <c r="D53" i="14"/>
  <c r="D51" i="14"/>
  <c r="D50" i="14"/>
  <c r="D49" i="14"/>
  <c r="D48" i="14"/>
  <c r="D46" i="14"/>
  <c r="D45" i="14"/>
  <c r="D44" i="14"/>
  <c r="D43" i="14"/>
  <c r="D40" i="14"/>
  <c r="D39" i="14"/>
  <c r="D38" i="14"/>
  <c r="D37" i="14"/>
  <c r="D36" i="14"/>
  <c r="D35" i="14"/>
  <c r="D34" i="14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D14" i="14"/>
  <c r="T41" i="3" l="1"/>
  <c r="T45" i="3"/>
  <c r="T560" i="3"/>
  <c r="T566" i="3" s="1"/>
  <c r="T23" i="3" s="1"/>
  <c r="T549" i="3"/>
  <c r="U549" i="3" s="1"/>
  <c r="T546" i="3"/>
  <c r="T540" i="3"/>
  <c r="T539" i="3"/>
  <c r="T449" i="3"/>
  <c r="T448" i="3"/>
  <c r="T447" i="3"/>
  <c r="T446" i="3"/>
  <c r="T385" i="3"/>
  <c r="T571" i="3"/>
  <c r="T570" i="3"/>
  <c r="T569" i="3"/>
  <c r="T568" i="3"/>
  <c r="T25" i="3" s="1"/>
  <c r="T537" i="3"/>
  <c r="T477" i="3"/>
  <c r="T464" i="3"/>
  <c r="T460" i="3"/>
  <c r="T354" i="3"/>
  <c r="T347" i="3"/>
  <c r="T342" i="3"/>
  <c r="T326" i="3"/>
  <c r="T316" i="3"/>
  <c r="T313" i="3"/>
  <c r="T291" i="3"/>
  <c r="T302" i="3" s="1"/>
  <c r="T304" i="3" s="1"/>
  <c r="T49" i="3" s="1"/>
  <c r="T574" i="3" s="1"/>
  <c r="T502" i="3" l="1"/>
  <c r="E27" i="32"/>
  <c r="T318" i="3"/>
  <c r="T309" i="3" s="1"/>
  <c r="T576" i="3" s="1"/>
  <c r="U346" i="3"/>
  <c r="T479" i="3"/>
  <c r="T503" i="3" s="1"/>
  <c r="T541" i="3"/>
  <c r="T565" i="3"/>
  <c r="T567" i="3"/>
  <c r="T24" i="3" s="1"/>
  <c r="T279" i="3"/>
  <c r="T252" i="3"/>
  <c r="T251" i="3"/>
  <c r="T250" i="3"/>
  <c r="T249" i="3"/>
  <c r="T248" i="3"/>
  <c r="T247" i="3"/>
  <c r="T246" i="3"/>
  <c r="T245" i="3"/>
  <c r="T231" i="3"/>
  <c r="T54" i="3" s="1"/>
  <c r="T230" i="3"/>
  <c r="T229" i="3"/>
  <c r="T228" i="3"/>
  <c r="T53" i="3" s="1"/>
  <c r="T227" i="3"/>
  <c r="T52" i="3" s="1"/>
  <c r="T226" i="3"/>
  <c r="T225" i="3"/>
  <c r="T224" i="3"/>
  <c r="T223" i="3"/>
  <c r="T222" i="3"/>
  <c r="T189" i="3"/>
  <c r="T187" i="3"/>
  <c r="T46" i="3" s="1"/>
  <c r="T453" i="3"/>
  <c r="T461" i="3" s="1"/>
  <c r="T134" i="3"/>
  <c r="T161" i="3"/>
  <c r="T132" i="3"/>
  <c r="T419" i="3" s="1"/>
  <c r="T408" i="3" s="1"/>
  <c r="T106" i="3"/>
  <c r="U106" i="3" s="1"/>
  <c r="T87" i="3"/>
  <c r="T80" i="3"/>
  <c r="T79" i="3"/>
  <c r="E19" i="32" s="1"/>
  <c r="T78" i="3"/>
  <c r="E18" i="32" s="1"/>
  <c r="T75" i="3"/>
  <c r="E13" i="32" s="1"/>
  <c r="T74" i="3"/>
  <c r="E12" i="32" s="1"/>
  <c r="T71" i="3"/>
  <c r="T70" i="3"/>
  <c r="E7" i="32" s="1"/>
  <c r="T69" i="3"/>
  <c r="E5" i="32" s="1"/>
  <c r="T66" i="3"/>
  <c r="T65" i="3"/>
  <c r="T62" i="3"/>
  <c r="E4" i="32" s="1"/>
  <c r="S488" i="4"/>
  <c r="S480" i="4"/>
  <c r="S476" i="4"/>
  <c r="S474" i="4"/>
  <c r="S471" i="4"/>
  <c r="S470" i="4"/>
  <c r="S464" i="4"/>
  <c r="S463" i="4"/>
  <c r="S459" i="4"/>
  <c r="T505" i="4" s="1"/>
  <c r="S420" i="4"/>
  <c r="S495" i="4" s="1"/>
  <c r="S415" i="4"/>
  <c r="S414" i="4"/>
  <c r="S413" i="4"/>
  <c r="S406" i="4"/>
  <c r="S400" i="4"/>
  <c r="T439" i="4" s="1"/>
  <c r="S399" i="4"/>
  <c r="S398" i="4"/>
  <c r="S392" i="4"/>
  <c r="S391" i="4"/>
  <c r="S387" i="4"/>
  <c r="T430" i="4" s="1"/>
  <c r="S369" i="4"/>
  <c r="S368" i="4"/>
  <c r="S367" i="4"/>
  <c r="S365" i="4"/>
  <c r="S362" i="4"/>
  <c r="S361" i="4"/>
  <c r="S359" i="4"/>
  <c r="S357" i="4"/>
  <c r="S355" i="4"/>
  <c r="S352" i="4"/>
  <c r="S345" i="4"/>
  <c r="S330" i="4"/>
  <c r="S332" i="4" s="1"/>
  <c r="S315" i="4"/>
  <c r="F159" i="28" s="1"/>
  <c r="F87" i="28" s="1"/>
  <c r="S298" i="4"/>
  <c r="S297" i="4"/>
  <c r="S296" i="4"/>
  <c r="S294" i="4"/>
  <c r="S293" i="4"/>
  <c r="S290" i="4"/>
  <c r="S288" i="4"/>
  <c r="S283" i="4"/>
  <c r="S276" i="4"/>
  <c r="S272" i="4"/>
  <c r="S271" i="4"/>
  <c r="S418" i="4" s="1"/>
  <c r="S493" i="4" s="1"/>
  <c r="S270" i="4"/>
  <c r="S417" i="4" s="1"/>
  <c r="S243" i="4"/>
  <c r="S255" i="4"/>
  <c r="S475" i="4" s="1"/>
  <c r="S254" i="4"/>
  <c r="S235" i="4"/>
  <c r="S234" i="4"/>
  <c r="S385" i="4" s="1"/>
  <c r="S232" i="4"/>
  <c r="S230" i="4"/>
  <c r="S228" i="4"/>
  <c r="S220" i="4"/>
  <c r="S218" i="4"/>
  <c r="S213" i="4"/>
  <c r="S209" i="4"/>
  <c r="S207" i="4"/>
  <c r="S206" i="4"/>
  <c r="S205" i="4"/>
  <c r="S203" i="4"/>
  <c r="S193" i="4"/>
  <c r="S217" i="4"/>
  <c r="S178" i="4"/>
  <c r="S180" i="4" s="1"/>
  <c r="S165" i="4"/>
  <c r="T208" i="4" s="1"/>
  <c r="S729" i="4"/>
  <c r="S727" i="4"/>
  <c r="S726" i="4"/>
  <c r="S725" i="4"/>
  <c r="S722" i="4"/>
  <c r="S718" i="4"/>
  <c r="S716" i="4"/>
  <c r="S715" i="4"/>
  <c r="S714" i="4"/>
  <c r="S712" i="4"/>
  <c r="S709" i="4"/>
  <c r="S702" i="4"/>
  <c r="S686" i="4"/>
  <c r="S688" i="4" s="1"/>
  <c r="S681" i="4"/>
  <c r="BB681" i="4" s="1"/>
  <c r="S673" i="4"/>
  <c r="T717" i="4" s="1"/>
  <c r="S664" i="4"/>
  <c r="S143" i="4"/>
  <c r="S141" i="4"/>
  <c r="S140" i="4"/>
  <c r="S139" i="4"/>
  <c r="S136" i="4"/>
  <c r="S133" i="4"/>
  <c r="S132" i="4"/>
  <c r="S130" i="4"/>
  <c r="S129" i="4"/>
  <c r="S123" i="4"/>
  <c r="S118" i="4"/>
  <c r="T126" i="4" s="1"/>
  <c r="S116" i="4"/>
  <c r="S115" i="4" s="1"/>
  <c r="S83" i="4"/>
  <c r="F141" i="28" s="1"/>
  <c r="F23" i="28" s="1"/>
  <c r="S100" i="4"/>
  <c r="S102" i="4" s="1"/>
  <c r="S95" i="4"/>
  <c r="S62" i="4"/>
  <c r="S58" i="4"/>
  <c r="S56" i="4"/>
  <c r="S55" i="4"/>
  <c r="S52" i="4"/>
  <c r="S49" i="4"/>
  <c r="S42" i="4"/>
  <c r="T51" i="4" s="1"/>
  <c r="S15" i="4"/>
  <c r="T64" i="3" s="1"/>
  <c r="S13" i="4"/>
  <c r="T63" i="3" s="1"/>
  <c r="S31" i="4"/>
  <c r="F166" i="28" l="1"/>
  <c r="F104" i="28" s="1"/>
  <c r="F107" i="28" s="1"/>
  <c r="F90" i="28"/>
  <c r="F89" i="28"/>
  <c r="F25" i="28"/>
  <c r="F26" i="28"/>
  <c r="T289" i="4"/>
  <c r="F152" i="28"/>
  <c r="F60" i="28" s="1"/>
  <c r="T55" i="3"/>
  <c r="T134" i="4"/>
  <c r="BB95" i="4"/>
  <c r="S75" i="4"/>
  <c r="T244" i="3"/>
  <c r="S65" i="4"/>
  <c r="T64" i="4"/>
  <c r="T711" i="4"/>
  <c r="T713" i="4"/>
  <c r="T204" i="4"/>
  <c r="T202" i="4"/>
  <c r="T423" i="4"/>
  <c r="T433" i="4"/>
  <c r="T356" i="4"/>
  <c r="T354" i="4"/>
  <c r="S249" i="4"/>
  <c r="S317" i="4"/>
  <c r="T360" i="4" s="1"/>
  <c r="U358" i="4"/>
  <c r="S661" i="4"/>
  <c r="T689" i="4"/>
  <c r="U87" i="3"/>
  <c r="U344" i="3" s="1"/>
  <c r="T344" i="3"/>
  <c r="BH106" i="3"/>
  <c r="U474" i="3"/>
  <c r="F26" i="32" s="1"/>
  <c r="T109" i="3"/>
  <c r="T363" i="4"/>
  <c r="T60" i="4"/>
  <c r="T508" i="4"/>
  <c r="T498" i="4"/>
  <c r="S458" i="4"/>
  <c r="T504" i="4" s="1"/>
  <c r="T282" i="4"/>
  <c r="S419" i="4"/>
  <c r="S494" i="4" s="1"/>
  <c r="T281" i="4"/>
  <c r="T279" i="4"/>
  <c r="S229" i="4"/>
  <c r="T277" i="4" s="1"/>
  <c r="S269" i="4"/>
  <c r="T51" i="3"/>
  <c r="S441" i="4"/>
  <c r="S32" i="4"/>
  <c r="S231" i="4"/>
  <c r="S382" i="4" s="1"/>
  <c r="S233" i="4"/>
  <c r="S384" i="4" s="1"/>
  <c r="S472" i="4"/>
  <c r="T514" i="4" s="1"/>
  <c r="T76" i="3"/>
  <c r="E14" i="32" s="1"/>
  <c r="E15" i="32" s="1"/>
  <c r="S492" i="4"/>
  <c r="S390" i="4"/>
  <c r="T432" i="4" s="1"/>
  <c r="S462" i="4"/>
  <c r="T507" i="4" s="1"/>
  <c r="T242" i="3"/>
  <c r="T50" i="3"/>
  <c r="T562" i="3"/>
  <c r="T82" i="3"/>
  <c r="T96" i="3" s="1"/>
  <c r="T209" i="3"/>
  <c r="T198" i="3" s="1"/>
  <c r="S386" i="4"/>
  <c r="T429" i="4" s="1"/>
  <c r="S402" i="4"/>
  <c r="S453" i="4"/>
  <c r="S256" i="4"/>
  <c r="S225" i="4" s="1"/>
  <c r="S381" i="4"/>
  <c r="S383" i="4"/>
  <c r="S173" i="4"/>
  <c r="S87" i="4"/>
  <c r="T131" i="4" s="1"/>
  <c r="S19" i="4"/>
  <c r="T57" i="4" s="1"/>
  <c r="F106" i="28" l="1"/>
  <c r="F63" i="28"/>
  <c r="F62" i="28"/>
  <c r="S452" i="4"/>
  <c r="T499" i="4" s="1"/>
  <c r="F163" i="28"/>
  <c r="F98" i="28" s="1"/>
  <c r="T291" i="4"/>
  <c r="BB249" i="4"/>
  <c r="T211" i="4"/>
  <c r="BB173" i="4"/>
  <c r="S396" i="4"/>
  <c r="V475" i="3"/>
  <c r="U500" i="3"/>
  <c r="U471" i="3"/>
  <c r="U498" i="3" s="1"/>
  <c r="T503" i="4"/>
  <c r="T501" i="4"/>
  <c r="T426" i="4"/>
  <c r="T428" i="4"/>
  <c r="S416" i="4"/>
  <c r="T280" i="4"/>
  <c r="T278" i="4"/>
  <c r="S237" i="4"/>
  <c r="S460" i="4" s="1"/>
  <c r="T506" i="4" s="1"/>
  <c r="T67" i="3"/>
  <c r="S468" i="4"/>
  <c r="BB468" i="4" s="1"/>
  <c r="S36" i="4"/>
  <c r="S67" i="4"/>
  <c r="E24" i="32" s="1"/>
  <c r="T219" i="3"/>
  <c r="T561" i="3"/>
  <c r="F101" i="28" l="1"/>
  <c r="F100" i="28"/>
  <c r="T434" i="4"/>
  <c r="BB396" i="4"/>
  <c r="T509" i="4"/>
  <c r="T427" i="4"/>
  <c r="T425" i="4"/>
  <c r="S461" i="4"/>
  <c r="S469" i="4" s="1"/>
  <c r="S388" i="4"/>
  <c r="T431" i="4" s="1"/>
  <c r="T284" i="4"/>
  <c r="S491" i="4"/>
  <c r="S518" i="4"/>
  <c r="T68" i="3"/>
  <c r="T73" i="3" l="1"/>
  <c r="F137" i="28" s="1"/>
  <c r="F6" i="28" s="1"/>
  <c r="F9" i="28" s="1"/>
  <c r="E6" i="32"/>
  <c r="E10" i="32" s="1"/>
  <c r="T530" i="3"/>
  <c r="U535" i="3"/>
  <c r="T500" i="4"/>
  <c r="S482" i="4"/>
  <c r="S336" i="4"/>
  <c r="S371" i="4" s="1"/>
  <c r="S515" i="4"/>
  <c r="S389" i="4"/>
  <c r="S397" i="4" s="1"/>
  <c r="S511" i="4"/>
  <c r="S473" i="4"/>
  <c r="S477" i="4" s="1"/>
  <c r="T534" i="3"/>
  <c r="E23" i="32" s="1"/>
  <c r="T77" i="3"/>
  <c r="T531" i="3"/>
  <c r="T527" i="3"/>
  <c r="F8" i="28" l="1"/>
  <c r="E17" i="32"/>
  <c r="S436" i="4"/>
  <c r="S440" i="4"/>
  <c r="S442" i="4"/>
  <c r="S401" i="4"/>
  <c r="S403" i="4" s="1"/>
  <c r="S376" i="4" s="1"/>
  <c r="T81" i="3"/>
  <c r="T30" i="3"/>
  <c r="T476" i="3"/>
  <c r="T501" i="3" s="1"/>
  <c r="T31" i="3"/>
  <c r="F176" i="28" l="1"/>
  <c r="F12" i="28" s="1"/>
  <c r="F15" i="28" s="1"/>
  <c r="E20" i="32"/>
  <c r="T472" i="3"/>
  <c r="T474" i="3"/>
  <c r="T84" i="3"/>
  <c r="T341" i="3"/>
  <c r="T58" i="3"/>
  <c r="T37" i="3"/>
  <c r="T578" i="3" s="1"/>
  <c r="E28" i="32" s="1"/>
  <c r="R43" i="3"/>
  <c r="S43" i="3" s="1"/>
  <c r="T43" i="3" s="1"/>
  <c r="U43" i="3" s="1"/>
  <c r="V43" i="3" s="1"/>
  <c r="W43" i="3" s="1"/>
  <c r="X43" i="3" s="1"/>
  <c r="Y43" i="3" s="1"/>
  <c r="S41" i="3"/>
  <c r="S45" i="3"/>
  <c r="S547" i="3"/>
  <c r="BG547" i="3" s="1"/>
  <c r="R540" i="3"/>
  <c r="S540" i="3"/>
  <c r="BG540" i="3" s="1"/>
  <c r="S539" i="3"/>
  <c r="BG539" i="3" s="1"/>
  <c r="S538" i="3"/>
  <c r="BG538" i="3" s="1"/>
  <c r="S560" i="3"/>
  <c r="S566" i="3" s="1"/>
  <c r="S23" i="3" s="1"/>
  <c r="S571" i="3"/>
  <c r="S570" i="3"/>
  <c r="S569" i="3"/>
  <c r="S568" i="3"/>
  <c r="S25" i="3" s="1"/>
  <c r="S537" i="3"/>
  <c r="S477" i="3"/>
  <c r="S353" i="3"/>
  <c r="S347" i="3"/>
  <c r="S326" i="3"/>
  <c r="BG326" i="3" s="1"/>
  <c r="S316" i="3"/>
  <c r="T346" i="3" s="1"/>
  <c r="S313" i="3"/>
  <c r="BG313" i="3" s="1"/>
  <c r="S291" i="3"/>
  <c r="S302" i="3" s="1"/>
  <c r="S304" i="3" s="1"/>
  <c r="S279" i="3"/>
  <c r="S281" i="3" s="1"/>
  <c r="BG281" i="3" s="1"/>
  <c r="S252" i="3"/>
  <c r="BG252" i="3" s="1"/>
  <c r="S251" i="3"/>
  <c r="BG251" i="3" s="1"/>
  <c r="S250" i="3"/>
  <c r="BG250" i="3" s="1"/>
  <c r="S249" i="3"/>
  <c r="BG249" i="3" s="1"/>
  <c r="S248" i="3"/>
  <c r="BG248" i="3" s="1"/>
  <c r="S247" i="3"/>
  <c r="BG247" i="3" s="1"/>
  <c r="S246" i="3"/>
  <c r="BG246" i="3" s="1"/>
  <c r="S245" i="3"/>
  <c r="BG245" i="3" s="1"/>
  <c r="S231" i="3"/>
  <c r="S54" i="3" s="1"/>
  <c r="S230" i="3"/>
  <c r="BG230" i="3" s="1"/>
  <c r="S229" i="3"/>
  <c r="BG229" i="3" s="1"/>
  <c r="S228" i="3"/>
  <c r="S53" i="3" s="1"/>
  <c r="S227" i="3"/>
  <c r="S52" i="3" s="1"/>
  <c r="S226" i="3"/>
  <c r="BG226" i="3" s="1"/>
  <c r="S225" i="3"/>
  <c r="BG225" i="3" s="1"/>
  <c r="S224" i="3"/>
  <c r="BG224" i="3" s="1"/>
  <c r="S223" i="3"/>
  <c r="BG223" i="3" s="1"/>
  <c r="S222" i="3"/>
  <c r="S50" i="3" s="1"/>
  <c r="S189" i="3"/>
  <c r="BG189" i="3" s="1"/>
  <c r="S187" i="3"/>
  <c r="S464" i="3"/>
  <c r="BG464" i="3" s="1"/>
  <c r="S460" i="3"/>
  <c r="BG460" i="3" s="1"/>
  <c r="S453" i="3"/>
  <c r="S461" i="3" s="1"/>
  <c r="BG461" i="3" s="1"/>
  <c r="R453" i="3"/>
  <c r="R461" i="3" s="1"/>
  <c r="Q453" i="3"/>
  <c r="Q461" i="3" s="1"/>
  <c r="BF461" i="3" s="1"/>
  <c r="S161" i="3"/>
  <c r="BG161" i="3" s="1"/>
  <c r="R161" i="3"/>
  <c r="Q161" i="3"/>
  <c r="BF161" i="3" s="1"/>
  <c r="S449" i="3"/>
  <c r="BG449" i="3" s="1"/>
  <c r="S448" i="3"/>
  <c r="BG448" i="3" s="1"/>
  <c r="S447" i="3"/>
  <c r="BG447" i="3" s="1"/>
  <c r="S446" i="3"/>
  <c r="BG446" i="3" s="1"/>
  <c r="S385" i="3"/>
  <c r="S384" i="3" s="1"/>
  <c r="S134" i="3"/>
  <c r="S132" i="3"/>
  <c r="S419" i="3" s="1"/>
  <c r="S408" i="3" s="1"/>
  <c r="BG408" i="3" s="1"/>
  <c r="S107" i="3"/>
  <c r="BG107" i="3" s="1"/>
  <c r="S95" i="3"/>
  <c r="BG95" i="3" s="1"/>
  <c r="S85" i="3"/>
  <c r="S342" i="3" s="1"/>
  <c r="R62" i="3"/>
  <c r="C4" i="32" s="1"/>
  <c r="S62" i="3"/>
  <c r="D4" i="32" s="1"/>
  <c r="R65" i="3"/>
  <c r="S65" i="3"/>
  <c r="R66" i="3"/>
  <c r="S66" i="3"/>
  <c r="R69" i="3"/>
  <c r="C5" i="32" s="1"/>
  <c r="S69" i="3"/>
  <c r="D5" i="32" s="1"/>
  <c r="R70" i="3"/>
  <c r="C7" i="32" s="1"/>
  <c r="S70" i="3"/>
  <c r="D7" i="32" s="1"/>
  <c r="R71" i="3"/>
  <c r="S71" i="3"/>
  <c r="R74" i="3"/>
  <c r="C12" i="32" s="1"/>
  <c r="S74" i="3"/>
  <c r="D12" i="32" s="1"/>
  <c r="R75" i="3"/>
  <c r="C13" i="32" s="1"/>
  <c r="S75" i="3"/>
  <c r="D13" i="32" s="1"/>
  <c r="R78" i="3"/>
  <c r="C18" i="32" s="1"/>
  <c r="S78" i="3"/>
  <c r="D18" i="32" s="1"/>
  <c r="R79" i="3"/>
  <c r="C19" i="32" s="1"/>
  <c r="S79" i="3"/>
  <c r="D19" i="32" s="1"/>
  <c r="R80" i="3"/>
  <c r="S80" i="3"/>
  <c r="R480" i="4"/>
  <c r="R476" i="4"/>
  <c r="R474" i="4"/>
  <c r="R471" i="4"/>
  <c r="R470" i="4"/>
  <c r="R464" i="4"/>
  <c r="R463" i="4"/>
  <c r="R459" i="4"/>
  <c r="S505" i="4" s="1"/>
  <c r="R420" i="4"/>
  <c r="R495" i="4" s="1"/>
  <c r="BA495" i="4" s="1"/>
  <c r="R415" i="4"/>
  <c r="BA415" i="4" s="1"/>
  <c r="R414" i="4"/>
  <c r="BA414" i="4" s="1"/>
  <c r="R413" i="4"/>
  <c r="BA413" i="4" s="1"/>
  <c r="R406" i="4"/>
  <c r="R400" i="4"/>
  <c r="S439" i="4" s="1"/>
  <c r="R399" i="4"/>
  <c r="R398" i="4"/>
  <c r="R392" i="4"/>
  <c r="R391" i="4"/>
  <c r="R387" i="4"/>
  <c r="S430" i="4" s="1"/>
  <c r="R299" i="4"/>
  <c r="R370" i="4"/>
  <c r="Q370" i="4"/>
  <c r="R369" i="4"/>
  <c r="R368" i="4"/>
  <c r="R367" i="4"/>
  <c r="R365" i="4"/>
  <c r="R362" i="4"/>
  <c r="R359" i="4"/>
  <c r="R357" i="4"/>
  <c r="R355" i="4"/>
  <c r="R352" i="4"/>
  <c r="R345" i="4"/>
  <c r="BA345" i="4" s="1"/>
  <c r="R330" i="4"/>
  <c r="R332" i="4" s="1"/>
  <c r="R325" i="4"/>
  <c r="S363" i="4" s="1"/>
  <c r="R315" i="4"/>
  <c r="E159" i="28" s="1"/>
  <c r="E87" i="28" s="1"/>
  <c r="R298" i="4"/>
  <c r="R297" i="4"/>
  <c r="R296" i="4"/>
  <c r="R294" i="4"/>
  <c r="R293" i="4"/>
  <c r="R288" i="4"/>
  <c r="R283" i="4"/>
  <c r="R272" i="4"/>
  <c r="BA272" i="4" s="1"/>
  <c r="R271" i="4"/>
  <c r="R270" i="4"/>
  <c r="R417" i="4" s="1"/>
  <c r="R255" i="4"/>
  <c r="R254" i="4"/>
  <c r="R243" i="4"/>
  <c r="E152" i="28" s="1"/>
  <c r="E60" i="28" s="1"/>
  <c r="R235" i="4"/>
  <c r="S282" i="4" s="1"/>
  <c r="R234" i="4"/>
  <c r="R232" i="4"/>
  <c r="R383" i="4" s="1"/>
  <c r="R230" i="4"/>
  <c r="R228" i="4"/>
  <c r="R219" i="4"/>
  <c r="R220" i="4" s="1"/>
  <c r="R218" i="4"/>
  <c r="R213" i="4"/>
  <c r="R209" i="4"/>
  <c r="R207" i="4"/>
  <c r="R206" i="4"/>
  <c r="R205" i="4"/>
  <c r="R203" i="4"/>
  <c r="R190" i="4"/>
  <c r="S200" i="4" s="1"/>
  <c r="R193" i="4"/>
  <c r="R177" i="4"/>
  <c r="S216" i="4" s="1"/>
  <c r="R165" i="4"/>
  <c r="S208" i="4" s="1"/>
  <c r="R158" i="4"/>
  <c r="E146" i="28" s="1"/>
  <c r="E39" i="28" s="1"/>
  <c r="R728" i="4"/>
  <c r="R729" i="4" s="1"/>
  <c r="Q728" i="4"/>
  <c r="Q729" i="4" s="1"/>
  <c r="R727" i="4"/>
  <c r="R726" i="4"/>
  <c r="R725" i="4"/>
  <c r="R722" i="4"/>
  <c r="R718" i="4"/>
  <c r="R716" i="4"/>
  <c r="R715" i="4"/>
  <c r="R714" i="4"/>
  <c r="R712" i="4"/>
  <c r="R709" i="4"/>
  <c r="R702" i="4"/>
  <c r="BA702" i="4" s="1"/>
  <c r="R686" i="4"/>
  <c r="R688" i="4" s="1"/>
  <c r="R661" i="4" s="1"/>
  <c r="R681" i="4"/>
  <c r="R673" i="4"/>
  <c r="S717" i="4" s="1"/>
  <c r="R664" i="4"/>
  <c r="R142" i="4"/>
  <c r="R143" i="4" s="1"/>
  <c r="Q142" i="4"/>
  <c r="Q143" i="4" s="1"/>
  <c r="R141" i="4"/>
  <c r="R140" i="4"/>
  <c r="R139" i="4"/>
  <c r="R136" i="4"/>
  <c r="R133" i="4"/>
  <c r="R130" i="4"/>
  <c r="R129" i="4"/>
  <c r="R123" i="4"/>
  <c r="R118" i="4"/>
  <c r="S126" i="4" s="1"/>
  <c r="R116" i="4"/>
  <c r="R115" i="4" s="1"/>
  <c r="BA115" i="4" s="1"/>
  <c r="R100" i="4"/>
  <c r="R102" i="4" s="1"/>
  <c r="R83" i="4"/>
  <c r="E141" i="28" s="1"/>
  <c r="E23" i="28" s="1"/>
  <c r="R81" i="4"/>
  <c r="E140" i="28" s="1"/>
  <c r="E18" i="28" s="1"/>
  <c r="R62" i="4"/>
  <c r="R58" i="4"/>
  <c r="R56" i="4"/>
  <c r="R55" i="4"/>
  <c r="R52" i="4"/>
  <c r="R49" i="4"/>
  <c r="R42" i="4"/>
  <c r="S51" i="4" s="1"/>
  <c r="R31" i="4"/>
  <c r="R15" i="4"/>
  <c r="S64" i="3" s="1"/>
  <c r="R13" i="4"/>
  <c r="Q31" i="4"/>
  <c r="Q15" i="4"/>
  <c r="Q13" i="4"/>
  <c r="R63" i="3" s="1"/>
  <c r="R95" i="4"/>
  <c r="S134" i="4" s="1"/>
  <c r="BF5" i="4"/>
  <c r="BF670" i="4"/>
  <c r="BF669" i="4"/>
  <c r="BL478" i="3"/>
  <c r="BL443" i="3"/>
  <c r="BL442" i="3"/>
  <c r="BL441" i="3"/>
  <c r="BL440" i="3"/>
  <c r="BL439" i="3"/>
  <c r="BL438" i="3"/>
  <c r="BL437" i="3"/>
  <c r="BL436" i="3"/>
  <c r="BL435" i="3"/>
  <c r="BL434" i="3"/>
  <c r="BL418" i="3"/>
  <c r="BL417" i="3"/>
  <c r="BL416" i="3"/>
  <c r="BL415" i="3"/>
  <c r="BL414" i="3"/>
  <c r="BL413" i="3"/>
  <c r="BL412" i="3"/>
  <c r="BL411" i="3"/>
  <c r="BL410" i="3"/>
  <c r="BL409" i="3"/>
  <c r="BL401" i="3"/>
  <c r="BL400" i="3"/>
  <c r="BL399" i="3"/>
  <c r="BL398" i="3"/>
  <c r="BL397" i="3"/>
  <c r="BL396" i="3"/>
  <c r="BL395" i="3"/>
  <c r="BL394" i="3"/>
  <c r="BL393" i="3"/>
  <c r="BL336" i="3"/>
  <c r="BL335" i="3"/>
  <c r="BL334" i="3"/>
  <c r="BL333" i="3"/>
  <c r="BL332" i="3"/>
  <c r="BL331" i="3"/>
  <c r="BL330" i="3"/>
  <c r="BL329" i="3"/>
  <c r="BL328" i="3"/>
  <c r="BL327" i="3"/>
  <c r="BL301" i="3"/>
  <c r="BL300" i="3"/>
  <c r="BL299" i="3"/>
  <c r="BL298" i="3"/>
  <c r="BL297" i="3"/>
  <c r="BL296" i="3"/>
  <c r="BL295" i="3"/>
  <c r="BL294" i="3"/>
  <c r="BL293" i="3"/>
  <c r="BL292" i="3"/>
  <c r="BL263" i="3"/>
  <c r="BL262" i="3"/>
  <c r="BL261" i="3"/>
  <c r="BL260" i="3"/>
  <c r="BL259" i="3"/>
  <c r="BL258" i="3"/>
  <c r="BL257" i="3"/>
  <c r="BL256" i="3"/>
  <c r="BL255" i="3"/>
  <c r="BL254" i="3"/>
  <c r="BL241" i="3"/>
  <c r="BL240" i="3"/>
  <c r="BL239" i="3"/>
  <c r="BL238" i="3"/>
  <c r="BL237" i="3"/>
  <c r="BL236" i="3"/>
  <c r="BL235" i="3"/>
  <c r="BL234" i="3"/>
  <c r="BL233" i="3"/>
  <c r="BL232" i="3"/>
  <c r="BL208" i="3"/>
  <c r="BL207" i="3"/>
  <c r="BL206" i="3"/>
  <c r="BL205" i="3"/>
  <c r="BL204" i="3"/>
  <c r="BL203" i="3"/>
  <c r="BL202" i="3"/>
  <c r="BL201" i="3"/>
  <c r="BL200" i="3"/>
  <c r="BL199" i="3"/>
  <c r="BL186" i="3"/>
  <c r="BL185" i="3"/>
  <c r="BL184" i="3"/>
  <c r="BL183" i="3"/>
  <c r="BL182" i="3"/>
  <c r="BL181" i="3"/>
  <c r="BL180" i="3"/>
  <c r="BL179" i="3"/>
  <c r="BL178" i="3"/>
  <c r="BL177" i="3"/>
  <c r="BL153" i="3"/>
  <c r="BL152" i="3"/>
  <c r="BL151" i="3"/>
  <c r="BL150" i="3"/>
  <c r="BL149" i="3"/>
  <c r="BL148" i="3"/>
  <c r="BL147" i="3"/>
  <c r="BL146" i="3"/>
  <c r="BL145" i="3"/>
  <c r="BL144" i="3"/>
  <c r="BL131" i="3"/>
  <c r="BL130" i="3"/>
  <c r="BL129" i="3"/>
  <c r="BL128" i="3"/>
  <c r="BL127" i="3"/>
  <c r="BL126" i="3"/>
  <c r="BL125" i="3"/>
  <c r="BL124" i="3"/>
  <c r="BL123" i="3"/>
  <c r="BL122" i="3"/>
  <c r="BL87" i="3"/>
  <c r="BL85" i="3"/>
  <c r="BL83" i="3"/>
  <c r="BL47" i="3"/>
  <c r="BL36" i="3"/>
  <c r="BL477" i="3" s="1"/>
  <c r="AK27" i="32" s="1"/>
  <c r="E76" i="8"/>
  <c r="AN289" i="4"/>
  <c r="AP289" i="4" s="1"/>
  <c r="AR289" i="4" s="1"/>
  <c r="AU73" i="4"/>
  <c r="AT73" i="4"/>
  <c r="F73" i="4"/>
  <c r="E73" i="4"/>
  <c r="D73" i="4"/>
  <c r="C73" i="4"/>
  <c r="Q420" i="4"/>
  <c r="Q495" i="4" s="1"/>
  <c r="O273" i="4"/>
  <c r="O420" i="4" s="1"/>
  <c r="O495" i="4" s="1"/>
  <c r="N273" i="4"/>
  <c r="N420" i="4" s="1"/>
  <c r="M273" i="4"/>
  <c r="M420" i="4" s="1"/>
  <c r="M495" i="4" s="1"/>
  <c r="L273" i="4"/>
  <c r="AX273" i="4" s="1"/>
  <c r="K273" i="4"/>
  <c r="K420" i="4" s="1"/>
  <c r="K495" i="4" s="1"/>
  <c r="J273" i="4"/>
  <c r="J420" i="4" s="1"/>
  <c r="I273" i="4"/>
  <c r="I420" i="4" s="1"/>
  <c r="I495" i="4" s="1"/>
  <c r="H273" i="4"/>
  <c r="AV273" i="4" s="1"/>
  <c r="G273" i="4"/>
  <c r="G420" i="4" s="1"/>
  <c r="G495" i="4" s="1"/>
  <c r="F273" i="4"/>
  <c r="E273" i="4"/>
  <c r="E420" i="4" s="1"/>
  <c r="E495" i="4" s="1"/>
  <c r="D273" i="4"/>
  <c r="D420" i="4" s="1"/>
  <c r="C273" i="4"/>
  <c r="C420" i="4" s="1"/>
  <c r="C495" i="4" s="1"/>
  <c r="Q272" i="4"/>
  <c r="P272" i="4"/>
  <c r="O272" i="4"/>
  <c r="N272" i="4"/>
  <c r="M272" i="4"/>
  <c r="L272" i="4"/>
  <c r="K272" i="4"/>
  <c r="K419" i="4" s="1"/>
  <c r="J272" i="4"/>
  <c r="AW272" i="4" s="1"/>
  <c r="I272" i="4"/>
  <c r="I419" i="4" s="1"/>
  <c r="H272" i="4"/>
  <c r="G272" i="4"/>
  <c r="G419" i="4" s="1"/>
  <c r="F272" i="4"/>
  <c r="E272" i="4"/>
  <c r="D272" i="4"/>
  <c r="AT272" i="4" s="1"/>
  <c r="AT279" i="4" s="1"/>
  <c r="C272" i="4"/>
  <c r="Q271" i="4"/>
  <c r="Q418" i="4" s="1"/>
  <c r="Q493" i="4" s="1"/>
  <c r="P271" i="4"/>
  <c r="O271" i="4"/>
  <c r="O418" i="4" s="1"/>
  <c r="O493" i="4" s="1"/>
  <c r="N271" i="4"/>
  <c r="N418" i="4" s="1"/>
  <c r="AY418" i="4" s="1"/>
  <c r="M271" i="4"/>
  <c r="L271" i="4"/>
  <c r="AX271" i="4" s="1"/>
  <c r="K271" i="4"/>
  <c r="J271" i="4"/>
  <c r="J418" i="4" s="1"/>
  <c r="J493" i="4" s="1"/>
  <c r="AW493" i="4" s="1"/>
  <c r="I271" i="4"/>
  <c r="H271" i="4"/>
  <c r="AV271" i="4" s="1"/>
  <c r="G271" i="4"/>
  <c r="G418" i="4" s="1"/>
  <c r="G493" i="4" s="1"/>
  <c r="F271" i="4"/>
  <c r="F418" i="4" s="1"/>
  <c r="F493" i="4" s="1"/>
  <c r="AU493" i="4" s="1"/>
  <c r="E271" i="4"/>
  <c r="E418" i="4" s="1"/>
  <c r="E493" i="4" s="1"/>
  <c r="D271" i="4"/>
  <c r="C271" i="4"/>
  <c r="C418" i="4" s="1"/>
  <c r="C493" i="4" s="1"/>
  <c r="Q270" i="4"/>
  <c r="Q417" i="4" s="1"/>
  <c r="P270" i="4"/>
  <c r="O270" i="4"/>
  <c r="O417" i="4" s="1"/>
  <c r="N270" i="4"/>
  <c r="M270" i="4"/>
  <c r="M417" i="4" s="1"/>
  <c r="L270" i="4"/>
  <c r="K270" i="4"/>
  <c r="K417" i="4" s="1"/>
  <c r="J270" i="4"/>
  <c r="J417" i="4" s="1"/>
  <c r="AW417" i="4" s="1"/>
  <c r="I270" i="4"/>
  <c r="I417" i="4" s="1"/>
  <c r="H270" i="4"/>
  <c r="H417" i="4" s="1"/>
  <c r="AV417" i="4" s="1"/>
  <c r="G270" i="4"/>
  <c r="G417" i="4" s="1"/>
  <c r="F270" i="4"/>
  <c r="AU270" i="4" s="1"/>
  <c r="E270" i="4"/>
  <c r="E417" i="4" s="1"/>
  <c r="D270" i="4"/>
  <c r="C270" i="4"/>
  <c r="Q268" i="4"/>
  <c r="Q415" i="4" s="1"/>
  <c r="P268" i="4"/>
  <c r="P415" i="4" s="1"/>
  <c r="AZ415" i="4" s="1"/>
  <c r="O268" i="4"/>
  <c r="N268" i="4"/>
  <c r="AY268" i="4" s="1"/>
  <c r="M268" i="4"/>
  <c r="M415" i="4" s="1"/>
  <c r="L268" i="4"/>
  <c r="K268" i="4"/>
  <c r="J268" i="4"/>
  <c r="I268" i="4"/>
  <c r="I415" i="4" s="1"/>
  <c r="H268" i="4"/>
  <c r="H415" i="4" s="1"/>
  <c r="AV415" i="4" s="1"/>
  <c r="G268" i="4"/>
  <c r="Q267" i="4"/>
  <c r="P267" i="4"/>
  <c r="P414" i="4" s="1"/>
  <c r="AZ414" i="4" s="1"/>
  <c r="O267" i="4"/>
  <c r="O414" i="4" s="1"/>
  <c r="N267" i="4"/>
  <c r="M267" i="4"/>
  <c r="M414" i="4" s="1"/>
  <c r="L267" i="4"/>
  <c r="K267" i="4"/>
  <c r="K414" i="4" s="1"/>
  <c r="J267" i="4"/>
  <c r="I267" i="4"/>
  <c r="I414" i="4" s="1"/>
  <c r="H267" i="4"/>
  <c r="G267" i="4"/>
  <c r="G414" i="4" s="1"/>
  <c r="F267" i="4"/>
  <c r="F414" i="4" s="1"/>
  <c r="AU414" i="4" s="1"/>
  <c r="E267" i="4"/>
  <c r="E414" i="4" s="1"/>
  <c r="D267" i="4"/>
  <c r="C267" i="4"/>
  <c r="C414" i="4" s="1"/>
  <c r="Q266" i="4"/>
  <c r="P266" i="4"/>
  <c r="P413" i="4" s="1"/>
  <c r="AZ413" i="4" s="1"/>
  <c r="O266" i="4"/>
  <c r="N266" i="4"/>
  <c r="N413" i="4" s="1"/>
  <c r="AY413" i="4" s="1"/>
  <c r="M266" i="4"/>
  <c r="L266" i="4"/>
  <c r="L413" i="4" s="1"/>
  <c r="AX413" i="4" s="1"/>
  <c r="K266" i="4"/>
  <c r="J266" i="4"/>
  <c r="J413" i="4" s="1"/>
  <c r="AW413" i="4" s="1"/>
  <c r="I266" i="4"/>
  <c r="H266" i="4"/>
  <c r="H413" i="4" s="1"/>
  <c r="AV413" i="4" s="1"/>
  <c r="G266" i="4"/>
  <c r="F266" i="4"/>
  <c r="F413" i="4" s="1"/>
  <c r="AU413" i="4" s="1"/>
  <c r="E266" i="4"/>
  <c r="D266" i="4"/>
  <c r="D413" i="4" s="1"/>
  <c r="AT413" i="4" s="1"/>
  <c r="C266" i="4"/>
  <c r="P259" i="4"/>
  <c r="P406" i="4" s="1"/>
  <c r="O259" i="4"/>
  <c r="Q255" i="4"/>
  <c r="Q475" i="4" s="1"/>
  <c r="P255" i="4"/>
  <c r="O255" i="4"/>
  <c r="O475" i="4" s="1"/>
  <c r="N255" i="4"/>
  <c r="N402" i="4" s="1"/>
  <c r="M255" i="4"/>
  <c r="M475" i="4" s="1"/>
  <c r="L255" i="4"/>
  <c r="K255" i="4"/>
  <c r="K475" i="4" s="1"/>
  <c r="J255" i="4"/>
  <c r="I255" i="4"/>
  <c r="I475" i="4" s="1"/>
  <c r="H255" i="4"/>
  <c r="G255" i="4"/>
  <c r="G475" i="4" s="1"/>
  <c r="F255" i="4"/>
  <c r="E255" i="4"/>
  <c r="E475" i="4" s="1"/>
  <c r="D255" i="4"/>
  <c r="C255" i="4"/>
  <c r="Q400" i="4"/>
  <c r="P253" i="4"/>
  <c r="Q471" i="4"/>
  <c r="BA471" i="4" s="1"/>
  <c r="P252" i="4"/>
  <c r="P471" i="4" s="1"/>
  <c r="O252" i="4"/>
  <c r="N252" i="4"/>
  <c r="M252" i="4"/>
  <c r="L252" i="4"/>
  <c r="L399" i="4" s="1"/>
  <c r="K252" i="4"/>
  <c r="J252" i="4"/>
  <c r="J471" i="4" s="1"/>
  <c r="I252" i="4"/>
  <c r="G252" i="4"/>
  <c r="G471" i="4" s="1"/>
  <c r="E252" i="4"/>
  <c r="E399" i="4" s="1"/>
  <c r="C252" i="4"/>
  <c r="C471" i="4" s="1"/>
  <c r="P251" i="4"/>
  <c r="O251" i="4"/>
  <c r="O470" i="4" s="1"/>
  <c r="N251" i="4"/>
  <c r="M251" i="4"/>
  <c r="M470" i="4" s="1"/>
  <c r="L251" i="4"/>
  <c r="K251" i="4"/>
  <c r="K398" i="4" s="1"/>
  <c r="J251" i="4"/>
  <c r="I251" i="4"/>
  <c r="I398" i="4" s="1"/>
  <c r="G251" i="4"/>
  <c r="E251" i="4"/>
  <c r="E398" i="4" s="1"/>
  <c r="C251" i="4"/>
  <c r="Q250" i="4"/>
  <c r="Q297" i="4" s="1"/>
  <c r="P250" i="4"/>
  <c r="O250" i="4"/>
  <c r="N250" i="4"/>
  <c r="M250" i="4"/>
  <c r="L250" i="4"/>
  <c r="K250" i="4"/>
  <c r="J250" i="4"/>
  <c r="I250" i="4"/>
  <c r="G250" i="4"/>
  <c r="E250" i="4"/>
  <c r="C250" i="4"/>
  <c r="O245" i="4"/>
  <c r="O392" i="4" s="1"/>
  <c r="N245" i="4"/>
  <c r="M245" i="4"/>
  <c r="L245" i="4"/>
  <c r="K245" i="4"/>
  <c r="K392" i="4" s="1"/>
  <c r="J245" i="4"/>
  <c r="I245" i="4"/>
  <c r="I392" i="4" s="1"/>
  <c r="G245" i="4"/>
  <c r="E245" i="4"/>
  <c r="E392" i="4" s="1"/>
  <c r="C245" i="4"/>
  <c r="Q463" i="4"/>
  <c r="P244" i="4"/>
  <c r="O244" i="4"/>
  <c r="O463" i="4" s="1"/>
  <c r="N244" i="4"/>
  <c r="M244" i="4"/>
  <c r="M463" i="4" s="1"/>
  <c r="L244" i="4"/>
  <c r="L391" i="4" s="1"/>
  <c r="K244" i="4"/>
  <c r="K463" i="4" s="1"/>
  <c r="J244" i="4"/>
  <c r="I244" i="4"/>
  <c r="I463" i="4" s="1"/>
  <c r="G244" i="4"/>
  <c r="E244" i="4"/>
  <c r="E463" i="4" s="1"/>
  <c r="C244" i="4"/>
  <c r="P243" i="4"/>
  <c r="P390" i="4" s="1"/>
  <c r="O243" i="4"/>
  <c r="N243" i="4"/>
  <c r="M243" i="4"/>
  <c r="J243" i="4"/>
  <c r="J462" i="4" s="1"/>
  <c r="I243" i="4"/>
  <c r="G243" i="4"/>
  <c r="G390" i="4" s="1"/>
  <c r="P238" i="4"/>
  <c r="O238" i="4"/>
  <c r="N238" i="4"/>
  <c r="M238" i="4"/>
  <c r="L238" i="4"/>
  <c r="K238" i="4"/>
  <c r="J238" i="4"/>
  <c r="I238" i="4"/>
  <c r="G238" i="4"/>
  <c r="E238" i="4"/>
  <c r="C238" i="4"/>
  <c r="BA236" i="4"/>
  <c r="P236" i="4"/>
  <c r="O236" i="4"/>
  <c r="O459" i="4" s="1"/>
  <c r="N236" i="4"/>
  <c r="N387" i="4" s="1"/>
  <c r="M236" i="4"/>
  <c r="M387" i="4" s="1"/>
  <c r="L236" i="4"/>
  <c r="K236" i="4"/>
  <c r="K459" i="4" s="1"/>
  <c r="J236" i="4"/>
  <c r="I236" i="4"/>
  <c r="I387" i="4" s="1"/>
  <c r="G236" i="4"/>
  <c r="E236" i="4"/>
  <c r="E459" i="4" s="1"/>
  <c r="C236" i="4"/>
  <c r="C387" i="4" s="1"/>
  <c r="C430" i="4" s="1"/>
  <c r="Q235" i="4"/>
  <c r="P235" i="4"/>
  <c r="O235" i="4"/>
  <c r="N235" i="4"/>
  <c r="M235" i="4"/>
  <c r="M386" i="4" s="1"/>
  <c r="L235" i="4"/>
  <c r="K235" i="4"/>
  <c r="K458" i="4" s="1"/>
  <c r="J235" i="4"/>
  <c r="I235" i="4"/>
  <c r="I458" i="4" s="1"/>
  <c r="H235" i="4"/>
  <c r="G235" i="4"/>
  <c r="G458" i="4" s="1"/>
  <c r="F235" i="4"/>
  <c r="E235" i="4"/>
  <c r="E458" i="4" s="1"/>
  <c r="D235" i="4"/>
  <c r="C235" i="4"/>
  <c r="C458" i="4" s="1"/>
  <c r="C504" i="4" s="1"/>
  <c r="C232" i="4"/>
  <c r="E232" i="4"/>
  <c r="E383" i="4" s="1"/>
  <c r="G232" i="4"/>
  <c r="I232" i="4"/>
  <c r="I383" i="4" s="1"/>
  <c r="J232" i="4"/>
  <c r="K232" i="4"/>
  <c r="K383" i="4" s="1"/>
  <c r="L232" i="4"/>
  <c r="M232" i="4"/>
  <c r="M383" i="4" s="1"/>
  <c r="N232" i="4"/>
  <c r="O232" i="4"/>
  <c r="O383" i="4" s="1"/>
  <c r="P232" i="4"/>
  <c r="Q232" i="4"/>
  <c r="Q383" i="4" s="1"/>
  <c r="C234" i="4"/>
  <c r="C385" i="4" s="1"/>
  <c r="E234" i="4"/>
  <c r="E385" i="4" s="1"/>
  <c r="G234" i="4"/>
  <c r="G385" i="4" s="1"/>
  <c r="I234" i="4"/>
  <c r="I385" i="4" s="1"/>
  <c r="J234" i="4"/>
  <c r="K234" i="4"/>
  <c r="K385" i="4" s="1"/>
  <c r="L234" i="4"/>
  <c r="M234" i="4"/>
  <c r="M385" i="4" s="1"/>
  <c r="N234" i="4"/>
  <c r="O234" i="4"/>
  <c r="O385" i="4" s="1"/>
  <c r="P234" i="4"/>
  <c r="Q234" i="4"/>
  <c r="Q385" i="4" s="1"/>
  <c r="Q230" i="4"/>
  <c r="P230" i="4"/>
  <c r="P453" i="4" s="1"/>
  <c r="P452" i="4" s="1"/>
  <c r="O230" i="4"/>
  <c r="N230" i="4"/>
  <c r="N453" i="4" s="1"/>
  <c r="N452" i="4" s="1"/>
  <c r="M230" i="4"/>
  <c r="L230" i="4"/>
  <c r="L453" i="4" s="1"/>
  <c r="L452" i="4" s="1"/>
  <c r="K230" i="4"/>
  <c r="K381" i="4" s="1"/>
  <c r="J230" i="4"/>
  <c r="J453" i="4" s="1"/>
  <c r="I230" i="4"/>
  <c r="H230" i="4"/>
  <c r="G230" i="4"/>
  <c r="G453" i="4" s="1"/>
  <c r="G452" i="4" s="1"/>
  <c r="F230" i="4"/>
  <c r="E230" i="4"/>
  <c r="D230" i="4"/>
  <c r="C230" i="4"/>
  <c r="D228" i="4"/>
  <c r="D379" i="4" s="1"/>
  <c r="E228" i="4"/>
  <c r="E379" i="4" s="1"/>
  <c r="F228" i="4"/>
  <c r="F379" i="4" s="1"/>
  <c r="G228" i="4"/>
  <c r="G379" i="4" s="1"/>
  <c r="H228" i="4"/>
  <c r="H379" i="4" s="1"/>
  <c r="I228" i="4"/>
  <c r="I379" i="4" s="1"/>
  <c r="J228" i="4"/>
  <c r="J379" i="4" s="1"/>
  <c r="K228" i="4"/>
  <c r="K379" i="4" s="1"/>
  <c r="L228" i="4"/>
  <c r="M228" i="4"/>
  <c r="N228" i="4"/>
  <c r="O228" i="4"/>
  <c r="P228" i="4"/>
  <c r="Q228" i="4"/>
  <c r="C228" i="4"/>
  <c r="C379" i="4" s="1"/>
  <c r="B225" i="4"/>
  <c r="Q288" i="4"/>
  <c r="P288" i="4"/>
  <c r="O288" i="4"/>
  <c r="N288" i="4"/>
  <c r="M288" i="4"/>
  <c r="L288" i="4"/>
  <c r="K288" i="4"/>
  <c r="J288" i="4"/>
  <c r="C288" i="4"/>
  <c r="A263" i="4"/>
  <c r="A262" i="4"/>
  <c r="A261" i="4"/>
  <c r="A260" i="4"/>
  <c r="A259" i="4"/>
  <c r="AZ242" i="4"/>
  <c r="AY242" i="4"/>
  <c r="AX242" i="4"/>
  <c r="AW242" i="4"/>
  <c r="BA242" i="4"/>
  <c r="AG151" i="28" s="1"/>
  <c r="AG55" i="28" s="1"/>
  <c r="H242" i="4"/>
  <c r="F242" i="4"/>
  <c r="AU242" i="4" s="1"/>
  <c r="D242" i="4"/>
  <c r="Q414" i="4"/>
  <c r="BA266" i="4"/>
  <c r="Q391" i="4"/>
  <c r="BA244" i="4"/>
  <c r="Q392" i="4"/>
  <c r="Q459" i="4"/>
  <c r="Q387" i="4"/>
  <c r="Q470" i="4"/>
  <c r="Q398" i="4"/>
  <c r="Q480" i="4"/>
  <c r="Q406" i="4"/>
  <c r="AZ273" i="4"/>
  <c r="P420" i="4"/>
  <c r="P495" i="4" s="1"/>
  <c r="AZ495" i="4" s="1"/>
  <c r="Q399" i="4"/>
  <c r="BA399" i="4" s="1"/>
  <c r="BB232" i="4"/>
  <c r="BA273" i="4"/>
  <c r="BB266" i="4"/>
  <c r="BB234" i="4"/>
  <c r="BB255" i="4"/>
  <c r="BB269" i="4"/>
  <c r="N358" i="4"/>
  <c r="M358" i="4"/>
  <c r="L358" i="4"/>
  <c r="K358" i="4"/>
  <c r="I358" i="4"/>
  <c r="G358" i="4"/>
  <c r="E358" i="4"/>
  <c r="C358" i="4"/>
  <c r="Q315" i="4"/>
  <c r="P646" i="4"/>
  <c r="O646" i="4"/>
  <c r="I646" i="4"/>
  <c r="G646" i="4"/>
  <c r="E646" i="4"/>
  <c r="C646" i="4"/>
  <c r="P644" i="4"/>
  <c r="O644" i="4"/>
  <c r="N644" i="4"/>
  <c r="M644" i="4"/>
  <c r="L644" i="4"/>
  <c r="K644" i="4"/>
  <c r="I644" i="4"/>
  <c r="G644" i="4"/>
  <c r="E644" i="4"/>
  <c r="C644" i="4"/>
  <c r="Q644" i="4"/>
  <c r="Q476" i="4"/>
  <c r="Q474" i="4"/>
  <c r="Q369" i="4"/>
  <c r="Q368" i="4"/>
  <c r="Q367" i="4"/>
  <c r="Q365" i="4"/>
  <c r="Q362" i="4"/>
  <c r="Q359" i="4"/>
  <c r="Q357" i="4"/>
  <c r="Q355" i="4"/>
  <c r="Q352" i="4"/>
  <c r="Q345" i="4"/>
  <c r="Q319" i="4"/>
  <c r="P315" i="4"/>
  <c r="O315" i="4"/>
  <c r="O317" i="4" s="1"/>
  <c r="Q330" i="4"/>
  <c r="Q332" i="4" s="1"/>
  <c r="Q655" i="4"/>
  <c r="Q654" i="4"/>
  <c r="Q653" i="4"/>
  <c r="Q652" i="4"/>
  <c r="Q650" i="4"/>
  <c r="Q647" i="4"/>
  <c r="Q643" i="4"/>
  <c r="Q642" i="4"/>
  <c r="Q640" i="4"/>
  <c r="Q637" i="4"/>
  <c r="Q630" i="4"/>
  <c r="Q607" i="4"/>
  <c r="Q646" i="4" s="1"/>
  <c r="Q615" i="4"/>
  <c r="Q617" i="4" s="1"/>
  <c r="Q593" i="4" s="1"/>
  <c r="Q605" i="4"/>
  <c r="Q597" i="4"/>
  <c r="Q587" i="4"/>
  <c r="Q586" i="4"/>
  <c r="Q585" i="4"/>
  <c r="Q584" i="4"/>
  <c r="Q581" i="4"/>
  <c r="Q578" i="4"/>
  <c r="Q577" i="4"/>
  <c r="Q576" i="4"/>
  <c r="Q574" i="4"/>
  <c r="Q573" i="4"/>
  <c r="Q570" i="4"/>
  <c r="Q567" i="4"/>
  <c r="Q560" i="4"/>
  <c r="Q545" i="4"/>
  <c r="Q547" i="4" s="1"/>
  <c r="Q522" i="4" s="1"/>
  <c r="Q540" i="4"/>
  <c r="Q531" i="4"/>
  <c r="Q529" i="4"/>
  <c r="Q572" i="4" s="1"/>
  <c r="Q526" i="4"/>
  <c r="Q219" i="4"/>
  <c r="Q220" i="4" s="1"/>
  <c r="Q218" i="4"/>
  <c r="Q213" i="4"/>
  <c r="Q209" i="4"/>
  <c r="Q207" i="4"/>
  <c r="Q206" i="4"/>
  <c r="Q205" i="4"/>
  <c r="Q203" i="4"/>
  <c r="Q193" i="4"/>
  <c r="Q190" i="4"/>
  <c r="Q177" i="4"/>
  <c r="Q158" i="4"/>
  <c r="Q165" i="4"/>
  <c r="Q727" i="4"/>
  <c r="Q726" i="4"/>
  <c r="Q725" i="4"/>
  <c r="Q722" i="4"/>
  <c r="Q718" i="4"/>
  <c r="Q716" i="4"/>
  <c r="Q715" i="4"/>
  <c r="Q714" i="4"/>
  <c r="Q712" i="4"/>
  <c r="Q709" i="4"/>
  <c r="Q702" i="4"/>
  <c r="Q666" i="4"/>
  <c r="Q681" i="4" s="1"/>
  <c r="Q686" i="4"/>
  <c r="Q688" i="4" s="1"/>
  <c r="Q661" i="4" s="1"/>
  <c r="Q673" i="4"/>
  <c r="Q664" i="4"/>
  <c r="Q141" i="4"/>
  <c r="Q140" i="4"/>
  <c r="Q139" i="4"/>
  <c r="Q136" i="4"/>
  <c r="Q133" i="4"/>
  <c r="Q130" i="4"/>
  <c r="Q129" i="4"/>
  <c r="Q123" i="4"/>
  <c r="Q118" i="4"/>
  <c r="Q116" i="4"/>
  <c r="Q115" i="4" s="1"/>
  <c r="Q83" i="4"/>
  <c r="D141" i="28" s="1"/>
  <c r="D23" i="28" s="1"/>
  <c r="Q81" i="4"/>
  <c r="D140" i="28" s="1"/>
  <c r="D18" i="28" s="1"/>
  <c r="Q100" i="4"/>
  <c r="Q102" i="4" s="1"/>
  <c r="Q62" i="4"/>
  <c r="Q58" i="4"/>
  <c r="Q56" i="4"/>
  <c r="Q55" i="4"/>
  <c r="Q52" i="4"/>
  <c r="Q49" i="4"/>
  <c r="Q42" i="4"/>
  <c r="Q40" i="4"/>
  <c r="Q489" i="4" s="1"/>
  <c r="R41" i="3"/>
  <c r="R45" i="3"/>
  <c r="R326" i="3"/>
  <c r="R316" i="3"/>
  <c r="R318" i="3" s="1"/>
  <c r="R309" i="3" s="1"/>
  <c r="R576" i="3" s="1"/>
  <c r="R313" i="3"/>
  <c r="R291" i="3"/>
  <c r="R302" i="3" s="1"/>
  <c r="R304" i="3" s="1"/>
  <c r="R276" i="3" s="1"/>
  <c r="R575" i="3" s="1"/>
  <c r="R279" i="3"/>
  <c r="R281" i="3" s="1"/>
  <c r="R252" i="3"/>
  <c r="R251" i="3"/>
  <c r="R250" i="3"/>
  <c r="R249" i="3"/>
  <c r="R248" i="3"/>
  <c r="R247" i="3"/>
  <c r="R246" i="3"/>
  <c r="R245" i="3"/>
  <c r="R230" i="3"/>
  <c r="R229" i="3"/>
  <c r="R228" i="3"/>
  <c r="R53" i="3" s="1"/>
  <c r="R227" i="3"/>
  <c r="R52" i="3" s="1"/>
  <c r="R226" i="3"/>
  <c r="R225" i="3"/>
  <c r="R224" i="3"/>
  <c r="R223" i="3"/>
  <c r="R222" i="3"/>
  <c r="R50" i="3" s="1"/>
  <c r="R189" i="3"/>
  <c r="R187" i="3"/>
  <c r="R209" i="3" s="1"/>
  <c r="R134" i="3"/>
  <c r="R121" i="3"/>
  <c r="R231" i="3" s="1"/>
  <c r="R54" i="3" s="1"/>
  <c r="R342" i="3"/>
  <c r="Q464" i="4"/>
  <c r="Q95" i="4"/>
  <c r="R132" i="4"/>
  <c r="Q132" i="4"/>
  <c r="BA252" i="4"/>
  <c r="BB243" i="4"/>
  <c r="AH152" i="28" s="1"/>
  <c r="AH60" i="28" s="1"/>
  <c r="R560" i="3"/>
  <c r="R567" i="3" s="1"/>
  <c r="R24" i="3" s="1"/>
  <c r="Q560" i="3"/>
  <c r="Q567" i="3" s="1"/>
  <c r="Q24" i="3" s="1"/>
  <c r="R549" i="3"/>
  <c r="S549" i="3" s="1"/>
  <c r="BG549" i="3" s="1"/>
  <c r="P549" i="3"/>
  <c r="Q549" i="3" s="1"/>
  <c r="BF549" i="3" s="1"/>
  <c r="R548" i="3"/>
  <c r="S548" i="3" s="1"/>
  <c r="BG548" i="3" s="1"/>
  <c r="R546" i="3"/>
  <c r="S546" i="3" s="1"/>
  <c r="BG546" i="3" s="1"/>
  <c r="Q539" i="3"/>
  <c r="BF539" i="3" s="1"/>
  <c r="R539" i="3"/>
  <c r="R538" i="3"/>
  <c r="R537" i="3"/>
  <c r="R477" i="3"/>
  <c r="R464" i="3"/>
  <c r="R460" i="3"/>
  <c r="R448" i="3"/>
  <c r="R447" i="3"/>
  <c r="R446" i="3"/>
  <c r="R385" i="3"/>
  <c r="R106" i="3"/>
  <c r="S106" i="3" s="1"/>
  <c r="BG106" i="3" s="1"/>
  <c r="AI299" i="4"/>
  <c r="AJ299" i="4" s="1"/>
  <c r="AK299" i="4" s="1"/>
  <c r="R97" i="3"/>
  <c r="S97" i="3" s="1"/>
  <c r="BG97" i="3" s="1"/>
  <c r="R87" i="3"/>
  <c r="S87" i="3" s="1"/>
  <c r="N43" i="3"/>
  <c r="O43" i="3"/>
  <c r="P43" i="3"/>
  <c r="E10" i="6"/>
  <c r="Q45" i="3"/>
  <c r="Q41" i="3"/>
  <c r="Q571" i="3"/>
  <c r="Q570" i="3"/>
  <c r="Q569" i="3"/>
  <c r="Q568" i="3"/>
  <c r="Q25" i="3" s="1"/>
  <c r="Q566" i="3"/>
  <c r="Q23" i="3" s="1"/>
  <c r="Q547" i="3"/>
  <c r="BF547" i="3" s="1"/>
  <c r="Q540" i="3"/>
  <c r="Q538" i="3"/>
  <c r="BF538" i="3" s="1"/>
  <c r="Q537" i="3"/>
  <c r="Q529" i="3"/>
  <c r="BF529" i="3" s="1"/>
  <c r="Q477" i="3"/>
  <c r="Q502" i="3" s="1"/>
  <c r="Q464" i="3"/>
  <c r="BF464" i="3" s="1"/>
  <c r="Q460" i="3"/>
  <c r="BF460" i="3" s="1"/>
  <c r="Q449" i="3"/>
  <c r="BF449" i="3" s="1"/>
  <c r="Q448" i="3"/>
  <c r="BF448" i="3" s="1"/>
  <c r="Q447" i="3"/>
  <c r="BF447" i="3" s="1"/>
  <c r="Q446" i="3"/>
  <c r="BF446" i="3" s="1"/>
  <c r="Q385" i="3"/>
  <c r="Q353" i="3"/>
  <c r="Q347" i="3"/>
  <c r="Q326" i="3"/>
  <c r="BF326" i="3" s="1"/>
  <c r="Q316" i="3"/>
  <c r="Q318" i="3" s="1"/>
  <c r="Q309" i="3" s="1"/>
  <c r="Q576" i="3" s="1"/>
  <c r="Q313" i="3"/>
  <c r="BF313" i="3" s="1"/>
  <c r="Q291" i="3"/>
  <c r="Q302" i="3" s="1"/>
  <c r="Q304" i="3" s="1"/>
  <c r="Q276" i="3" s="1"/>
  <c r="Q575" i="3" s="1"/>
  <c r="Q279" i="3"/>
  <c r="BF279" i="3" s="1"/>
  <c r="Q252" i="3"/>
  <c r="BF252" i="3" s="1"/>
  <c r="Q251" i="3"/>
  <c r="BF251" i="3" s="1"/>
  <c r="Q250" i="3"/>
  <c r="BF250" i="3" s="1"/>
  <c r="Q249" i="3"/>
  <c r="BF249" i="3" s="1"/>
  <c r="Q248" i="3"/>
  <c r="BF248" i="3" s="1"/>
  <c r="Q247" i="3"/>
  <c r="BF247" i="3" s="1"/>
  <c r="Q246" i="3"/>
  <c r="BF246" i="3" s="1"/>
  <c r="Q245" i="3"/>
  <c r="BF245" i="3" s="1"/>
  <c r="Q231" i="3"/>
  <c r="Q54" i="3" s="1"/>
  <c r="Q230" i="3"/>
  <c r="BF230" i="3" s="1"/>
  <c r="Q229" i="3"/>
  <c r="BF229" i="3" s="1"/>
  <c r="Q228" i="3"/>
  <c r="Q53" i="3" s="1"/>
  <c r="Q227" i="3"/>
  <c r="Q52" i="3" s="1"/>
  <c r="Q226" i="3"/>
  <c r="BF226" i="3" s="1"/>
  <c r="Q225" i="3"/>
  <c r="BF225" i="3" s="1"/>
  <c r="Q224" i="3"/>
  <c r="BF224" i="3" s="1"/>
  <c r="Q223" i="3"/>
  <c r="BF223" i="3" s="1"/>
  <c r="Q222" i="3"/>
  <c r="Q50" i="3" s="1"/>
  <c r="Q189" i="3"/>
  <c r="BF189" i="3" s="1"/>
  <c r="Q187" i="3"/>
  <c r="Q209" i="3" s="1"/>
  <c r="Q134" i="3"/>
  <c r="BF134" i="3" s="1"/>
  <c r="Q132" i="3"/>
  <c r="Q419" i="3" s="1"/>
  <c r="Q408" i="3" s="1"/>
  <c r="BF408" i="3" s="1"/>
  <c r="Q107" i="3"/>
  <c r="BF107" i="3" s="1"/>
  <c r="Q95" i="3"/>
  <c r="BF95" i="3" s="1"/>
  <c r="Q85" i="3"/>
  <c r="Q342" i="3" s="1"/>
  <c r="Q80" i="3"/>
  <c r="Q79" i="3"/>
  <c r="Q78" i="3"/>
  <c r="Q75" i="3"/>
  <c r="Q74" i="3"/>
  <c r="Q70" i="3"/>
  <c r="Q69" i="3"/>
  <c r="Q66" i="3"/>
  <c r="Q65" i="3"/>
  <c r="Q62" i="3"/>
  <c r="P15" i="4"/>
  <c r="P13" i="4"/>
  <c r="Q63" i="3" s="1"/>
  <c r="P476" i="4"/>
  <c r="P474" i="4"/>
  <c r="P370" i="4"/>
  <c r="O370" i="4"/>
  <c r="P369" i="4"/>
  <c r="P368" i="4"/>
  <c r="P367" i="4"/>
  <c r="P365" i="4"/>
  <c r="P362" i="4"/>
  <c r="P361" i="4"/>
  <c r="P359" i="4"/>
  <c r="P357" i="4"/>
  <c r="P355" i="4"/>
  <c r="P352" i="4"/>
  <c r="P345" i="4"/>
  <c r="AZ345" i="4" s="1"/>
  <c r="P330" i="4"/>
  <c r="P332" i="4" s="1"/>
  <c r="P325" i="4"/>
  <c r="P655" i="4"/>
  <c r="O655" i="4"/>
  <c r="P587" i="4"/>
  <c r="O587" i="4"/>
  <c r="P219" i="4"/>
  <c r="P220" i="4" s="1"/>
  <c r="P654" i="4"/>
  <c r="P653" i="4"/>
  <c r="P652" i="4"/>
  <c r="P650" i="4"/>
  <c r="P647" i="4"/>
  <c r="P643" i="4"/>
  <c r="P642" i="4"/>
  <c r="P640" i="4"/>
  <c r="P637" i="4"/>
  <c r="P630" i="4"/>
  <c r="AZ630" i="4" s="1"/>
  <c r="P615" i="4"/>
  <c r="P617" i="4" s="1"/>
  <c r="P610" i="4"/>
  <c r="P605" i="4"/>
  <c r="P597" i="4"/>
  <c r="P586" i="4"/>
  <c r="P585" i="4"/>
  <c r="P581" i="4"/>
  <c r="P578" i="4"/>
  <c r="P577" i="4"/>
  <c r="P576" i="4"/>
  <c r="P574" i="4"/>
  <c r="P573" i="4"/>
  <c r="P570" i="4"/>
  <c r="P567" i="4"/>
  <c r="P560" i="4"/>
  <c r="AZ560" i="4" s="1"/>
  <c r="P545" i="4"/>
  <c r="P547" i="4" s="1"/>
  <c r="P522" i="4" s="1"/>
  <c r="P540" i="4"/>
  <c r="P531" i="4"/>
  <c r="P529" i="4"/>
  <c r="P572" i="4" s="1"/>
  <c r="P526" i="4"/>
  <c r="P218" i="4"/>
  <c r="P213" i="4"/>
  <c r="P209" i="4"/>
  <c r="P207" i="4"/>
  <c r="P206" i="4"/>
  <c r="P205" i="4"/>
  <c r="P203" i="4"/>
  <c r="P190" i="4"/>
  <c r="AZ190" i="4" s="1"/>
  <c r="P193" i="4"/>
  <c r="AZ193" i="4" s="1"/>
  <c r="P177" i="4"/>
  <c r="P217" i="4" s="1"/>
  <c r="P173" i="4"/>
  <c r="P165" i="4"/>
  <c r="P728" i="4"/>
  <c r="P729" i="4" s="1"/>
  <c r="O728" i="4"/>
  <c r="O729" i="4" s="1"/>
  <c r="P142" i="4"/>
  <c r="P143" i="4" s="1"/>
  <c r="P727" i="4"/>
  <c r="P726" i="4"/>
  <c r="P725" i="4"/>
  <c r="P722" i="4"/>
  <c r="P718" i="4"/>
  <c r="P716" i="4"/>
  <c r="P715" i="4"/>
  <c r="P714" i="4"/>
  <c r="P712" i="4"/>
  <c r="P709" i="4"/>
  <c r="P702" i="4"/>
  <c r="AZ702" i="4" s="1"/>
  <c r="P686" i="4"/>
  <c r="P688" i="4" s="1"/>
  <c r="P661" i="4" s="1"/>
  <c r="P681" i="4"/>
  <c r="P673" i="4"/>
  <c r="P664" i="4"/>
  <c r="P141" i="4"/>
  <c r="P140" i="4"/>
  <c r="P139" i="4"/>
  <c r="P136" i="4"/>
  <c r="P133" i="4"/>
  <c r="P132" i="4"/>
  <c r="P130" i="4"/>
  <c r="P129" i="4"/>
  <c r="P123" i="4"/>
  <c r="P118" i="4"/>
  <c r="AZ118" i="4" s="1"/>
  <c r="P116" i="4"/>
  <c r="P83" i="4"/>
  <c r="P81" i="4"/>
  <c r="P100" i="4"/>
  <c r="P102" i="4" s="1"/>
  <c r="P95" i="4"/>
  <c r="O49" i="4"/>
  <c r="P49" i="4"/>
  <c r="O52" i="4"/>
  <c r="P52" i="4"/>
  <c r="O55" i="4"/>
  <c r="O56" i="4"/>
  <c r="P56" i="4"/>
  <c r="O58" i="4"/>
  <c r="P58" i="4"/>
  <c r="O62" i="4"/>
  <c r="P62" i="4"/>
  <c r="O42" i="4"/>
  <c r="O40" i="4"/>
  <c r="O489" i="4" s="1"/>
  <c r="P31" i="4"/>
  <c r="P32" i="4" s="1"/>
  <c r="P23" i="4"/>
  <c r="P55" i="4"/>
  <c r="BE5" i="4"/>
  <c r="BK478" i="3"/>
  <c r="BK443" i="3"/>
  <c r="BK442" i="3"/>
  <c r="BK441" i="3"/>
  <c r="BK440" i="3"/>
  <c r="BK439" i="3"/>
  <c r="BK438" i="3"/>
  <c r="BK437" i="3"/>
  <c r="BK436" i="3"/>
  <c r="BK435" i="3"/>
  <c r="BK434" i="3"/>
  <c r="BK418" i="3"/>
  <c r="BK417" i="3"/>
  <c r="BK416" i="3"/>
  <c r="BK415" i="3"/>
  <c r="BK414" i="3"/>
  <c r="BK413" i="3"/>
  <c r="BK412" i="3"/>
  <c r="BK411" i="3"/>
  <c r="BK410" i="3"/>
  <c r="BK409" i="3"/>
  <c r="BK401" i="3"/>
  <c r="BK400" i="3"/>
  <c r="BK399" i="3"/>
  <c r="BK398" i="3"/>
  <c r="BK397" i="3"/>
  <c r="BK396" i="3"/>
  <c r="BK395" i="3"/>
  <c r="BK394" i="3"/>
  <c r="BK393" i="3"/>
  <c r="BK336" i="3"/>
  <c r="BK335" i="3"/>
  <c r="BK334" i="3"/>
  <c r="BK333" i="3"/>
  <c r="BK332" i="3"/>
  <c r="BK331" i="3"/>
  <c r="BK330" i="3"/>
  <c r="BK329" i="3"/>
  <c r="BK328" i="3"/>
  <c r="BK327" i="3"/>
  <c r="BK301" i="3"/>
  <c r="BK300" i="3"/>
  <c r="BK299" i="3"/>
  <c r="BK298" i="3"/>
  <c r="BK297" i="3"/>
  <c r="BK296" i="3"/>
  <c r="BK295" i="3"/>
  <c r="BK294" i="3"/>
  <c r="BK293" i="3"/>
  <c r="BK292" i="3"/>
  <c r="BK263" i="3"/>
  <c r="BK262" i="3"/>
  <c r="BK261" i="3"/>
  <c r="BK260" i="3"/>
  <c r="BK259" i="3"/>
  <c r="BK258" i="3"/>
  <c r="BK257" i="3"/>
  <c r="BK256" i="3"/>
  <c r="BK255" i="3"/>
  <c r="BK254" i="3"/>
  <c r="BK241" i="3"/>
  <c r="BK240" i="3"/>
  <c r="BK239" i="3"/>
  <c r="BK238" i="3"/>
  <c r="BK237" i="3"/>
  <c r="BK236" i="3"/>
  <c r="BK235" i="3"/>
  <c r="BK234" i="3"/>
  <c r="BK233" i="3"/>
  <c r="BK232" i="3"/>
  <c r="BK208" i="3"/>
  <c r="BK207" i="3"/>
  <c r="BK206" i="3"/>
  <c r="BK205" i="3"/>
  <c r="BK204" i="3"/>
  <c r="BK203" i="3"/>
  <c r="BK202" i="3"/>
  <c r="BK201" i="3"/>
  <c r="BK200" i="3"/>
  <c r="BK199" i="3"/>
  <c r="BK186" i="3"/>
  <c r="BK185" i="3"/>
  <c r="BK184" i="3"/>
  <c r="BK183" i="3"/>
  <c r="BK182" i="3"/>
  <c r="BK181" i="3"/>
  <c r="BK180" i="3"/>
  <c r="BK179" i="3"/>
  <c r="BK178" i="3"/>
  <c r="BK177" i="3"/>
  <c r="BK153" i="3"/>
  <c r="BK152" i="3"/>
  <c r="BK151" i="3"/>
  <c r="BK150" i="3"/>
  <c r="BK149" i="3"/>
  <c r="BK148" i="3"/>
  <c r="BK147" i="3"/>
  <c r="BK146" i="3"/>
  <c r="BK145" i="3"/>
  <c r="BK144" i="3"/>
  <c r="BK131" i="3"/>
  <c r="BK130" i="3"/>
  <c r="BK129" i="3"/>
  <c r="BK128" i="3"/>
  <c r="BK127" i="3"/>
  <c r="BK126" i="3"/>
  <c r="BK125" i="3"/>
  <c r="BK124" i="3"/>
  <c r="BK123" i="3"/>
  <c r="BK122" i="3"/>
  <c r="BK87" i="3"/>
  <c r="BK85" i="3"/>
  <c r="BK83" i="3"/>
  <c r="BK47" i="3"/>
  <c r="BK36" i="3"/>
  <c r="BE670" i="4"/>
  <c r="BE669" i="4"/>
  <c r="O568" i="3"/>
  <c r="O25" i="3" s="1"/>
  <c r="P568" i="3"/>
  <c r="P25" i="3" s="1"/>
  <c r="O569" i="3"/>
  <c r="P569" i="3"/>
  <c r="O570" i="3"/>
  <c r="P570" i="3"/>
  <c r="O571" i="3"/>
  <c r="P571" i="3"/>
  <c r="AY699" i="4"/>
  <c r="AX699" i="4"/>
  <c r="AW699" i="4"/>
  <c r="AV699" i="4"/>
  <c r="AU699" i="4"/>
  <c r="AT699" i="4"/>
  <c r="AZ699" i="4"/>
  <c r="N474" i="4"/>
  <c r="O474" i="4"/>
  <c r="N476" i="4"/>
  <c r="O476" i="4"/>
  <c r="O369" i="4"/>
  <c r="O368" i="4"/>
  <c r="O367" i="4"/>
  <c r="O365" i="4"/>
  <c r="O362" i="4"/>
  <c r="O359" i="4"/>
  <c r="O357" i="4"/>
  <c r="O355" i="4"/>
  <c r="O352" i="4"/>
  <c r="O345" i="4"/>
  <c r="O330" i="4"/>
  <c r="O332" i="4" s="1"/>
  <c r="O325" i="4"/>
  <c r="N637" i="4"/>
  <c r="N640" i="4"/>
  <c r="O640" i="4"/>
  <c r="N642" i="4"/>
  <c r="O642" i="4"/>
  <c r="N643" i="4"/>
  <c r="O643" i="4"/>
  <c r="N647" i="4"/>
  <c r="N650" i="4"/>
  <c r="O650" i="4"/>
  <c r="N652" i="4"/>
  <c r="O652" i="4"/>
  <c r="N653" i="4"/>
  <c r="O653" i="4"/>
  <c r="N654" i="4"/>
  <c r="O654" i="4"/>
  <c r="N655" i="4"/>
  <c r="O630" i="4"/>
  <c r="O615" i="4"/>
  <c r="O617" i="4" s="1"/>
  <c r="O593" i="4" s="1"/>
  <c r="O610" i="4"/>
  <c r="O605" i="4"/>
  <c r="N597" i="4"/>
  <c r="O597" i="4"/>
  <c r="N567" i="4"/>
  <c r="O567" i="4"/>
  <c r="N570" i="4"/>
  <c r="O570" i="4"/>
  <c r="N573" i="4"/>
  <c r="O573" i="4"/>
  <c r="N574" i="4"/>
  <c r="O574" i="4"/>
  <c r="N576" i="4"/>
  <c r="O576" i="4"/>
  <c r="N577" i="4"/>
  <c r="O577" i="4"/>
  <c r="N578" i="4"/>
  <c r="O578" i="4"/>
  <c r="N581" i="4"/>
  <c r="O581" i="4"/>
  <c r="N586" i="4"/>
  <c r="O586" i="4"/>
  <c r="O560" i="4"/>
  <c r="O544" i="4"/>
  <c r="P584" i="4" s="1"/>
  <c r="O540" i="4"/>
  <c r="O531" i="4"/>
  <c r="O529" i="4"/>
  <c r="O572" i="4" s="1"/>
  <c r="N526" i="4"/>
  <c r="O526" i="4"/>
  <c r="O219" i="4"/>
  <c r="O220" i="4" s="1"/>
  <c r="N203" i="4"/>
  <c r="O203" i="4"/>
  <c r="N205" i="4"/>
  <c r="O205" i="4"/>
  <c r="N206" i="4"/>
  <c r="O206" i="4"/>
  <c r="N207" i="4"/>
  <c r="O207" i="4"/>
  <c r="N209" i="4"/>
  <c r="O209" i="4"/>
  <c r="N213" i="4"/>
  <c r="O213" i="4"/>
  <c r="N216" i="4"/>
  <c r="N217" i="4"/>
  <c r="N218" i="4"/>
  <c r="O218" i="4"/>
  <c r="O193" i="4"/>
  <c r="O177" i="4"/>
  <c r="O178" i="4" s="1"/>
  <c r="O180" i="4" s="1"/>
  <c r="O153" i="4" s="1"/>
  <c r="O173" i="4"/>
  <c r="O165" i="4"/>
  <c r="O190" i="4"/>
  <c r="O488" i="4" s="1"/>
  <c r="N709" i="4"/>
  <c r="O709" i="4"/>
  <c r="N712" i="4"/>
  <c r="O712" i="4"/>
  <c r="N714" i="4"/>
  <c r="O714" i="4"/>
  <c r="N715" i="4"/>
  <c r="O715" i="4"/>
  <c r="N716" i="4"/>
  <c r="O716" i="4"/>
  <c r="N718" i="4"/>
  <c r="O718" i="4"/>
  <c r="N722" i="4"/>
  <c r="O722" i="4"/>
  <c r="N725" i="4"/>
  <c r="O725" i="4"/>
  <c r="N726" i="4"/>
  <c r="O726" i="4"/>
  <c r="N727" i="4"/>
  <c r="O727" i="4"/>
  <c r="O702" i="4"/>
  <c r="N691" i="4"/>
  <c r="O691" i="4"/>
  <c r="P691" i="4" s="1"/>
  <c r="P105" i="4" s="1"/>
  <c r="O686" i="4"/>
  <c r="O688" i="4" s="1"/>
  <c r="O661" i="4" s="1"/>
  <c r="O681" i="4"/>
  <c r="O673" i="4"/>
  <c r="O664" i="4"/>
  <c r="O142" i="4"/>
  <c r="O143" i="4" s="1"/>
  <c r="O141" i="4"/>
  <c r="O140" i="4"/>
  <c r="O139" i="4"/>
  <c r="O136" i="4"/>
  <c r="O133" i="4"/>
  <c r="O132" i="4"/>
  <c r="O130" i="4"/>
  <c r="O129" i="4"/>
  <c r="O123" i="4"/>
  <c r="O118" i="4"/>
  <c r="O116" i="4"/>
  <c r="O115" i="4" s="1"/>
  <c r="O100" i="4"/>
  <c r="O102" i="4" s="1"/>
  <c r="O95" i="4"/>
  <c r="O83" i="4"/>
  <c r="O81" i="4"/>
  <c r="N49" i="4"/>
  <c r="N52" i="4"/>
  <c r="N55" i="4"/>
  <c r="N56" i="4"/>
  <c r="N58" i="4"/>
  <c r="N62" i="4"/>
  <c r="N40" i="4"/>
  <c r="N42" i="4"/>
  <c r="AY42" i="4" s="1"/>
  <c r="O23" i="4"/>
  <c r="O27" i="4" s="1"/>
  <c r="O15" i="4"/>
  <c r="P64" i="3" s="1"/>
  <c r="O13" i="4"/>
  <c r="P63" i="3" s="1"/>
  <c r="N31" i="4"/>
  <c r="M31" i="4"/>
  <c r="M32" i="4" s="1"/>
  <c r="M36" i="4" s="1"/>
  <c r="O31" i="4"/>
  <c r="O45" i="3"/>
  <c r="P45" i="3"/>
  <c r="O41" i="3"/>
  <c r="P41" i="3"/>
  <c r="P546" i="3"/>
  <c r="Q546" i="3" s="1"/>
  <c r="BF546" i="3" s="1"/>
  <c r="P560" i="3"/>
  <c r="P566" i="3" s="1"/>
  <c r="P23" i="3" s="1"/>
  <c r="P548" i="3"/>
  <c r="Q548" i="3" s="1"/>
  <c r="BF548" i="3" s="1"/>
  <c r="N539" i="3"/>
  <c r="P540" i="3"/>
  <c r="O540" i="3"/>
  <c r="BE540" i="3" s="1"/>
  <c r="N540" i="3"/>
  <c r="P539" i="3"/>
  <c r="O539" i="3"/>
  <c r="BE539" i="3" s="1"/>
  <c r="P538" i="3"/>
  <c r="O538" i="3"/>
  <c r="N538" i="3"/>
  <c r="O537" i="3"/>
  <c r="P537" i="3"/>
  <c r="O477" i="3"/>
  <c r="O502" i="3" s="1"/>
  <c r="P477" i="3"/>
  <c r="P502" i="3" s="1"/>
  <c r="P464" i="3"/>
  <c r="P460" i="3"/>
  <c r="P449" i="3"/>
  <c r="P448" i="3"/>
  <c r="P447" i="3"/>
  <c r="P446" i="3"/>
  <c r="P385" i="3"/>
  <c r="P347" i="3"/>
  <c r="P342" i="3"/>
  <c r="P326" i="3"/>
  <c r="P316" i="3"/>
  <c r="P318" i="3" s="1"/>
  <c r="P309" i="3" s="1"/>
  <c r="P576" i="3" s="1"/>
  <c r="P313" i="3"/>
  <c r="P291" i="3"/>
  <c r="P302" i="3" s="1"/>
  <c r="P304" i="3" s="1"/>
  <c r="O222" i="3"/>
  <c r="O50" i="3" s="1"/>
  <c r="P222" i="3"/>
  <c r="P50" i="3" s="1"/>
  <c r="O223" i="3"/>
  <c r="BE223" i="3" s="1"/>
  <c r="P223" i="3"/>
  <c r="O224" i="3"/>
  <c r="BE224" i="3" s="1"/>
  <c r="P224" i="3"/>
  <c r="O225" i="3"/>
  <c r="BE225" i="3" s="1"/>
  <c r="P225" i="3"/>
  <c r="O226" i="3"/>
  <c r="BE226" i="3" s="1"/>
  <c r="P226" i="3"/>
  <c r="O227" i="3"/>
  <c r="O52" i="3" s="1"/>
  <c r="P227" i="3"/>
  <c r="P52" i="3" s="1"/>
  <c r="O228" i="3"/>
  <c r="O53" i="3" s="1"/>
  <c r="P228" i="3"/>
  <c r="P53" i="3" s="1"/>
  <c r="O229" i="3"/>
  <c r="BE229" i="3" s="1"/>
  <c r="P229" i="3"/>
  <c r="O230" i="3"/>
  <c r="BE230" i="3" s="1"/>
  <c r="P230" i="3"/>
  <c r="O231" i="3"/>
  <c r="O54" i="3" s="1"/>
  <c r="P231" i="3"/>
  <c r="P54" i="3" s="1"/>
  <c r="O245" i="3"/>
  <c r="BE245" i="3" s="1"/>
  <c r="P245" i="3"/>
  <c r="O246" i="3"/>
  <c r="BE246" i="3" s="1"/>
  <c r="P246" i="3"/>
  <c r="O247" i="3"/>
  <c r="BE247" i="3" s="1"/>
  <c r="P247" i="3"/>
  <c r="O248" i="3"/>
  <c r="BE248" i="3" s="1"/>
  <c r="P248" i="3"/>
  <c r="O249" i="3"/>
  <c r="BE249" i="3" s="1"/>
  <c r="P249" i="3"/>
  <c r="O250" i="3"/>
  <c r="BE250" i="3" s="1"/>
  <c r="P250" i="3"/>
  <c r="O251" i="3"/>
  <c r="BE251" i="3" s="1"/>
  <c r="P251" i="3"/>
  <c r="P252" i="3"/>
  <c r="O279" i="3"/>
  <c r="O281" i="3" s="1"/>
  <c r="P279" i="3"/>
  <c r="P281" i="3" s="1"/>
  <c r="O189" i="3"/>
  <c r="BE189" i="3" s="1"/>
  <c r="P189" i="3"/>
  <c r="P187" i="3"/>
  <c r="P209" i="3" s="1"/>
  <c r="P161" i="3"/>
  <c r="P453" i="3" s="1"/>
  <c r="P461" i="3" s="1"/>
  <c r="P134" i="3"/>
  <c r="P132" i="3"/>
  <c r="P109" i="3" s="1"/>
  <c r="P106" i="3"/>
  <c r="Q106" i="3" s="1"/>
  <c r="BF106" i="3" s="1"/>
  <c r="P97" i="3"/>
  <c r="P354" i="3" s="1"/>
  <c r="P87" i="3"/>
  <c r="P344" i="3" s="1"/>
  <c r="O87" i="3"/>
  <c r="O344" i="3" s="1"/>
  <c r="O62" i="3"/>
  <c r="O65" i="3"/>
  <c r="P65" i="3"/>
  <c r="O66" i="3"/>
  <c r="P66" i="3"/>
  <c r="O69" i="3"/>
  <c r="P69" i="3"/>
  <c r="O70" i="3"/>
  <c r="P70" i="3"/>
  <c r="O74" i="3"/>
  <c r="O75" i="3"/>
  <c r="P75" i="3"/>
  <c r="O78" i="3"/>
  <c r="O79" i="3"/>
  <c r="P79" i="3"/>
  <c r="O80" i="3"/>
  <c r="P80" i="3"/>
  <c r="P82" i="3" s="1"/>
  <c r="P96" i="3" s="1"/>
  <c r="BA699" i="4"/>
  <c r="B522" i="4"/>
  <c r="M83" i="4"/>
  <c r="N83" i="4"/>
  <c r="N23" i="4"/>
  <c r="BJ478" i="3"/>
  <c r="BJ443" i="3"/>
  <c r="BJ442" i="3"/>
  <c r="BJ441" i="3"/>
  <c r="BJ440" i="3"/>
  <c r="BJ439" i="3"/>
  <c r="BJ438" i="3"/>
  <c r="BJ437" i="3"/>
  <c r="BJ436" i="3"/>
  <c r="BJ435" i="3"/>
  <c r="BJ434" i="3"/>
  <c r="BJ418" i="3"/>
  <c r="BJ417" i="3"/>
  <c r="BJ416" i="3"/>
  <c r="BJ415" i="3"/>
  <c r="BJ414" i="3"/>
  <c r="BJ413" i="3"/>
  <c r="BJ412" i="3"/>
  <c r="BJ411" i="3"/>
  <c r="BJ410" i="3"/>
  <c r="BJ409" i="3"/>
  <c r="BJ401" i="3"/>
  <c r="BJ400" i="3"/>
  <c r="BJ399" i="3"/>
  <c r="BJ398" i="3"/>
  <c r="BJ397" i="3"/>
  <c r="BJ396" i="3"/>
  <c r="BJ395" i="3"/>
  <c r="BJ394" i="3"/>
  <c r="BJ393" i="3"/>
  <c r="BJ336" i="3"/>
  <c r="BJ335" i="3"/>
  <c r="BJ334" i="3"/>
  <c r="BJ333" i="3"/>
  <c r="BJ332" i="3"/>
  <c r="BJ331" i="3"/>
  <c r="BJ330" i="3"/>
  <c r="BJ329" i="3"/>
  <c r="BJ328" i="3"/>
  <c r="BJ327" i="3"/>
  <c r="BJ301" i="3"/>
  <c r="BJ300" i="3"/>
  <c r="BJ299" i="3"/>
  <c r="BJ298" i="3"/>
  <c r="BJ297" i="3"/>
  <c r="BJ296" i="3"/>
  <c r="BJ295" i="3"/>
  <c r="BJ294" i="3"/>
  <c r="BJ293" i="3"/>
  <c r="BJ292" i="3"/>
  <c r="BJ263" i="3"/>
  <c r="BJ262" i="3"/>
  <c r="BJ261" i="3"/>
  <c r="BJ260" i="3"/>
  <c r="BJ259" i="3"/>
  <c r="BJ258" i="3"/>
  <c r="BJ257" i="3"/>
  <c r="BJ256" i="3"/>
  <c r="BJ255" i="3"/>
  <c r="BJ254" i="3"/>
  <c r="BJ241" i="3"/>
  <c r="BJ240" i="3"/>
  <c r="BJ239" i="3"/>
  <c r="BJ238" i="3"/>
  <c r="BJ237" i="3"/>
  <c r="BJ236" i="3"/>
  <c r="BJ235" i="3"/>
  <c r="BJ234" i="3"/>
  <c r="BJ233" i="3"/>
  <c r="BJ232" i="3"/>
  <c r="BJ208" i="3"/>
  <c r="BJ207" i="3"/>
  <c r="BJ206" i="3"/>
  <c r="BJ205" i="3"/>
  <c r="BJ204" i="3"/>
  <c r="BJ203" i="3"/>
  <c r="BJ202" i="3"/>
  <c r="BJ201" i="3"/>
  <c r="BJ200" i="3"/>
  <c r="BJ199" i="3"/>
  <c r="BJ186" i="3"/>
  <c r="BJ185" i="3"/>
  <c r="BJ184" i="3"/>
  <c r="BJ183" i="3"/>
  <c r="BJ182" i="3"/>
  <c r="BJ181" i="3"/>
  <c r="BJ180" i="3"/>
  <c r="BJ179" i="3"/>
  <c r="BJ178" i="3"/>
  <c r="BJ177" i="3"/>
  <c r="BJ153" i="3"/>
  <c r="BJ152" i="3"/>
  <c r="BJ151" i="3"/>
  <c r="BJ150" i="3"/>
  <c r="BJ149" i="3"/>
  <c r="BJ148" i="3"/>
  <c r="BJ147" i="3"/>
  <c r="BJ146" i="3"/>
  <c r="BJ145" i="3"/>
  <c r="BJ144" i="3"/>
  <c r="BJ131" i="3"/>
  <c r="BJ130" i="3"/>
  <c r="BJ129" i="3"/>
  <c r="BJ128" i="3"/>
  <c r="BJ127" i="3"/>
  <c r="BJ126" i="3"/>
  <c r="BJ125" i="3"/>
  <c r="BJ124" i="3"/>
  <c r="BJ123" i="3"/>
  <c r="BJ122" i="3"/>
  <c r="BJ87" i="3"/>
  <c r="BJ85" i="3"/>
  <c r="BJ83" i="3"/>
  <c r="BJ47" i="3"/>
  <c r="BJ36" i="3"/>
  <c r="BD670" i="4"/>
  <c r="BD669" i="4"/>
  <c r="BD5" i="4"/>
  <c r="O560" i="3"/>
  <c r="O567" i="3" s="1"/>
  <c r="O24" i="3" s="1"/>
  <c r="O550" i="3"/>
  <c r="BE550" i="3" s="1"/>
  <c r="O547" i="3"/>
  <c r="BE547" i="3" s="1"/>
  <c r="O529" i="3"/>
  <c r="BE529" i="3" s="1"/>
  <c r="O464" i="3"/>
  <c r="BE464" i="3" s="1"/>
  <c r="O460" i="3"/>
  <c r="BE460" i="3" s="1"/>
  <c r="O449" i="3"/>
  <c r="BE449" i="3" s="1"/>
  <c r="O448" i="3"/>
  <c r="BE448" i="3" s="1"/>
  <c r="O447" i="3"/>
  <c r="BE447" i="3" s="1"/>
  <c r="O446" i="3"/>
  <c r="BE446" i="3" s="1"/>
  <c r="O385" i="3"/>
  <c r="O347" i="3"/>
  <c r="O326" i="3"/>
  <c r="BE326" i="3" s="1"/>
  <c r="O316" i="3"/>
  <c r="O318" i="3" s="1"/>
  <c r="O309" i="3" s="1"/>
  <c r="O576" i="3" s="1"/>
  <c r="O313" i="3"/>
  <c r="BE313" i="3" s="1"/>
  <c r="O291" i="3"/>
  <c r="O302" i="3" s="1"/>
  <c r="O304" i="3" s="1"/>
  <c r="O197" i="3"/>
  <c r="O252" i="3" s="1"/>
  <c r="BE252" i="3" s="1"/>
  <c r="O187" i="3"/>
  <c r="O209" i="3" s="1"/>
  <c r="O161" i="3"/>
  <c r="O453" i="3" s="1"/>
  <c r="O461" i="3" s="1"/>
  <c r="BE461" i="3" s="1"/>
  <c r="O134" i="3"/>
  <c r="BE134" i="3" s="1"/>
  <c r="O107" i="3"/>
  <c r="BE107" i="3" s="1"/>
  <c r="O106" i="3"/>
  <c r="O97" i="3"/>
  <c r="O354" i="3" s="1"/>
  <c r="O95" i="3"/>
  <c r="N353" i="3" s="1"/>
  <c r="O85" i="3"/>
  <c r="O342" i="3" s="1"/>
  <c r="N369" i="4"/>
  <c r="N368" i="4"/>
  <c r="N367" i="4"/>
  <c r="N365" i="4"/>
  <c r="N362" i="4"/>
  <c r="N359" i="4"/>
  <c r="N357" i="4"/>
  <c r="N355" i="4"/>
  <c r="N352" i="4"/>
  <c r="N345" i="4"/>
  <c r="AY345" i="4" s="1"/>
  <c r="N330" i="4"/>
  <c r="N332" i="4" s="1"/>
  <c r="N319" i="4"/>
  <c r="N317" i="4"/>
  <c r="N630" i="4"/>
  <c r="M630" i="4"/>
  <c r="N620" i="4"/>
  <c r="N259" i="4" s="1"/>
  <c r="N615" i="4"/>
  <c r="N617" i="4" s="1"/>
  <c r="N593" i="4" s="1"/>
  <c r="N610" i="4"/>
  <c r="N605" i="4"/>
  <c r="N560" i="4"/>
  <c r="AY560" i="4" s="1"/>
  <c r="N544" i="4"/>
  <c r="N253" i="4" s="1"/>
  <c r="N531" i="4"/>
  <c r="N529" i="4"/>
  <c r="N572" i="4" s="1"/>
  <c r="N193" i="4"/>
  <c r="AY193" i="4" s="1"/>
  <c r="N190" i="4"/>
  <c r="N488" i="4" s="1"/>
  <c r="AY488" i="4" s="1"/>
  <c r="N178" i="4"/>
  <c r="N180" i="4" s="1"/>
  <c r="N153" i="4" s="1"/>
  <c r="N165" i="4"/>
  <c r="N702" i="4"/>
  <c r="AY702" i="4" s="1"/>
  <c r="N141" i="4"/>
  <c r="N681" i="4"/>
  <c r="N664" i="4"/>
  <c r="M370" i="4"/>
  <c r="M655" i="4"/>
  <c r="M587" i="4"/>
  <c r="M219" i="4"/>
  <c r="M220" i="4" s="1"/>
  <c r="N142" i="4"/>
  <c r="N143" i="4" s="1"/>
  <c r="M142" i="4"/>
  <c r="M143" i="4" s="1"/>
  <c r="M728" i="4"/>
  <c r="M729" i="4" s="1"/>
  <c r="N140" i="4"/>
  <c r="N139" i="4"/>
  <c r="N136" i="4"/>
  <c r="N133" i="4"/>
  <c r="N130" i="4"/>
  <c r="N129" i="4"/>
  <c r="N123" i="4"/>
  <c r="N118" i="4"/>
  <c r="AY118" i="4" s="1"/>
  <c r="N116" i="4"/>
  <c r="AY116" i="4" s="1"/>
  <c r="N95" i="4"/>
  <c r="N81" i="4"/>
  <c r="N15" i="4"/>
  <c r="O64" i="3" s="1"/>
  <c r="N13" i="4"/>
  <c r="F284" i="3"/>
  <c r="O65" i="8"/>
  <c r="O66" i="8"/>
  <c r="AW219" i="3"/>
  <c r="AV219" i="3"/>
  <c r="AU219" i="3"/>
  <c r="N560" i="3"/>
  <c r="N566" i="3" s="1"/>
  <c r="N23" i="3" s="1"/>
  <c r="N571" i="3"/>
  <c r="N570" i="3"/>
  <c r="N569" i="3"/>
  <c r="N568" i="3"/>
  <c r="N25" i="3" s="1"/>
  <c r="N549" i="3"/>
  <c r="O549" i="3" s="1"/>
  <c r="BE549" i="3" s="1"/>
  <c r="M549" i="3"/>
  <c r="L549" i="3"/>
  <c r="N548" i="3"/>
  <c r="O548" i="3" s="1"/>
  <c r="M548" i="3"/>
  <c r="L548" i="3"/>
  <c r="N546" i="3"/>
  <c r="O546" i="3" s="1"/>
  <c r="BE546" i="3" s="1"/>
  <c r="N537" i="3"/>
  <c r="N477" i="3"/>
  <c r="N502" i="3" s="1"/>
  <c r="N464" i="3"/>
  <c r="N460" i="3"/>
  <c r="N449" i="3"/>
  <c r="N448" i="3"/>
  <c r="N447" i="3"/>
  <c r="N446" i="3"/>
  <c r="N385" i="3"/>
  <c r="N45" i="3"/>
  <c r="N41" i="3"/>
  <c r="N347" i="3"/>
  <c r="N342" i="3"/>
  <c r="N326" i="3"/>
  <c r="N316" i="3"/>
  <c r="N318" i="3" s="1"/>
  <c r="N309" i="3" s="1"/>
  <c r="N576" i="3" s="1"/>
  <c r="N313" i="3"/>
  <c r="N291" i="3"/>
  <c r="N302" i="3" s="1"/>
  <c r="N304" i="3" s="1"/>
  <c r="N49" i="3" s="1"/>
  <c r="N574" i="3" s="1"/>
  <c r="N279" i="3"/>
  <c r="N281" i="3" s="1"/>
  <c r="N251" i="3"/>
  <c r="N250" i="3"/>
  <c r="N249" i="3"/>
  <c r="N248" i="3"/>
  <c r="N247" i="3"/>
  <c r="N246" i="3"/>
  <c r="N245" i="3"/>
  <c r="N231" i="3"/>
  <c r="N54" i="3" s="1"/>
  <c r="N230" i="3"/>
  <c r="N229" i="3"/>
  <c r="N228" i="3"/>
  <c r="N53" i="3" s="1"/>
  <c r="N227" i="3"/>
  <c r="N52" i="3" s="1"/>
  <c r="N226" i="3"/>
  <c r="N225" i="3"/>
  <c r="N224" i="3"/>
  <c r="N223" i="3"/>
  <c r="N222" i="3"/>
  <c r="N197" i="3"/>
  <c r="N189" i="3"/>
  <c r="N187" i="3"/>
  <c r="N142" i="3"/>
  <c r="N134" i="3"/>
  <c r="N161" i="3"/>
  <c r="N453" i="3" s="1"/>
  <c r="N461" i="3" s="1"/>
  <c r="N132" i="3"/>
  <c r="N106" i="3"/>
  <c r="N97" i="3"/>
  <c r="N354" i="3" s="1"/>
  <c r="M87" i="3"/>
  <c r="M344" i="3" s="1"/>
  <c r="N87" i="3"/>
  <c r="N344" i="3" s="1"/>
  <c r="N80" i="3"/>
  <c r="N82" i="3" s="1"/>
  <c r="N96" i="3" s="1"/>
  <c r="N79" i="3"/>
  <c r="N78" i="3"/>
  <c r="N75" i="3"/>
  <c r="N74" i="3"/>
  <c r="N70" i="3"/>
  <c r="N69" i="3"/>
  <c r="N66" i="3"/>
  <c r="N65" i="3"/>
  <c r="N62" i="3"/>
  <c r="M476" i="4"/>
  <c r="M474" i="4"/>
  <c r="M369" i="4"/>
  <c r="M368" i="4"/>
  <c r="M367" i="4"/>
  <c r="M365" i="4"/>
  <c r="M362" i="4"/>
  <c r="M359" i="4"/>
  <c r="M357" i="4"/>
  <c r="M355" i="4"/>
  <c r="M352" i="4"/>
  <c r="M345" i="4"/>
  <c r="M319" i="4"/>
  <c r="M325" i="4" s="1"/>
  <c r="M330" i="4"/>
  <c r="M332" i="4" s="1"/>
  <c r="M317" i="4"/>
  <c r="M654" i="4"/>
  <c r="M653" i="4"/>
  <c r="M652" i="4"/>
  <c r="M650" i="4"/>
  <c r="M647" i="4"/>
  <c r="M643" i="4"/>
  <c r="M642" i="4"/>
  <c r="M640" i="4"/>
  <c r="M637" i="4"/>
  <c r="M620" i="4"/>
  <c r="M259" i="4" s="1"/>
  <c r="M406" i="4" s="1"/>
  <c r="M615" i="4"/>
  <c r="M617" i="4" s="1"/>
  <c r="M593" i="4" s="1"/>
  <c r="M610" i="4"/>
  <c r="M605" i="4"/>
  <c r="M597" i="4"/>
  <c r="M586" i="4"/>
  <c r="M581" i="4"/>
  <c r="M578" i="4"/>
  <c r="M577" i="4"/>
  <c r="M576" i="4"/>
  <c r="M574" i="4"/>
  <c r="M573" i="4"/>
  <c r="M570" i="4"/>
  <c r="M567" i="4"/>
  <c r="M560" i="4"/>
  <c r="M544" i="4"/>
  <c r="M545" i="4" s="1"/>
  <c r="M547" i="4" s="1"/>
  <c r="M522" i="4" s="1"/>
  <c r="M540" i="4"/>
  <c r="M531" i="4"/>
  <c r="M529" i="4"/>
  <c r="M572" i="4" s="1"/>
  <c r="M526" i="4"/>
  <c r="M190" i="4"/>
  <c r="M488" i="4" s="1"/>
  <c r="M183" i="4"/>
  <c r="AY183" i="4" s="1"/>
  <c r="M218" i="4"/>
  <c r="M217" i="4"/>
  <c r="M216" i="4"/>
  <c r="M213" i="4"/>
  <c r="M209" i="4"/>
  <c r="M207" i="4"/>
  <c r="M206" i="4"/>
  <c r="M205" i="4"/>
  <c r="M203" i="4"/>
  <c r="M193" i="4"/>
  <c r="M178" i="4"/>
  <c r="M180" i="4" s="1"/>
  <c r="M153" i="4" s="1"/>
  <c r="M173" i="4"/>
  <c r="M165" i="4"/>
  <c r="M727" i="4"/>
  <c r="M726" i="4"/>
  <c r="M725" i="4"/>
  <c r="M722" i="4"/>
  <c r="M718" i="4"/>
  <c r="M716" i="4"/>
  <c r="M715" i="4"/>
  <c r="M714" i="4"/>
  <c r="M712" i="4"/>
  <c r="M709" i="4"/>
  <c r="M702" i="4"/>
  <c r="M691" i="4"/>
  <c r="M686" i="4"/>
  <c r="M688" i="4" s="1"/>
  <c r="M661" i="4" s="1"/>
  <c r="M681" i="4"/>
  <c r="AY681" i="4" s="1"/>
  <c r="M673" i="4"/>
  <c r="M664" i="4"/>
  <c r="M141" i="4"/>
  <c r="M140" i="4"/>
  <c r="M139" i="4"/>
  <c r="M136" i="4"/>
  <c r="M133" i="4"/>
  <c r="M130" i="4"/>
  <c r="M129" i="4"/>
  <c r="M123" i="4"/>
  <c r="M118" i="4"/>
  <c r="M116" i="4"/>
  <c r="M115" i="4" s="1"/>
  <c r="M89" i="4"/>
  <c r="N132" i="4" s="1"/>
  <c r="M81" i="4"/>
  <c r="M100" i="4"/>
  <c r="M102" i="4" s="1"/>
  <c r="M62" i="4"/>
  <c r="M58" i="4"/>
  <c r="M56" i="4"/>
  <c r="M55" i="4"/>
  <c r="M52" i="4"/>
  <c r="M49" i="4"/>
  <c r="M42" i="4"/>
  <c r="M23" i="4"/>
  <c r="M27" i="4" s="1"/>
  <c r="M15" i="4"/>
  <c r="M13" i="4"/>
  <c r="N63" i="3" s="1"/>
  <c r="L190" i="4"/>
  <c r="L200" i="4" s="1"/>
  <c r="M107" i="3"/>
  <c r="BD107" i="3" s="1"/>
  <c r="BC105" i="3"/>
  <c r="BB105" i="3"/>
  <c r="BA105" i="3"/>
  <c r="AZ105" i="3"/>
  <c r="AY105" i="3"/>
  <c r="AX105" i="3"/>
  <c r="AW105" i="3"/>
  <c r="AV105" i="3"/>
  <c r="AU105" i="3"/>
  <c r="BC104" i="3"/>
  <c r="BB104" i="3"/>
  <c r="BA104" i="3"/>
  <c r="AZ104" i="3"/>
  <c r="AY104" i="3"/>
  <c r="AX104" i="3"/>
  <c r="AW104" i="3"/>
  <c r="AV104" i="3"/>
  <c r="AU104" i="3"/>
  <c r="AU481" i="3" s="1"/>
  <c r="AU505" i="3" s="1"/>
  <c r="AY103" i="3"/>
  <c r="AY464" i="3" s="1"/>
  <c r="AX103" i="3"/>
  <c r="AX464" i="3" s="1"/>
  <c r="AW103" i="3"/>
  <c r="AW372" i="3" s="1"/>
  <c r="AV103" i="3"/>
  <c r="AV372" i="3" s="1"/>
  <c r="AU103" i="3"/>
  <c r="AU372" i="3" s="1"/>
  <c r="L103" i="3"/>
  <c r="L464" i="3" s="1"/>
  <c r="L105" i="3"/>
  <c r="K105" i="3"/>
  <c r="J105" i="3"/>
  <c r="I105" i="3"/>
  <c r="H105" i="3"/>
  <c r="G105" i="3"/>
  <c r="F105" i="3"/>
  <c r="E105" i="3"/>
  <c r="D105" i="3"/>
  <c r="L104" i="3"/>
  <c r="K104" i="3"/>
  <c r="J104" i="3"/>
  <c r="I104" i="3"/>
  <c r="H104" i="3"/>
  <c r="G104" i="3"/>
  <c r="F104" i="3"/>
  <c r="E104" i="3"/>
  <c r="D104" i="3"/>
  <c r="D103" i="3"/>
  <c r="D464" i="3" s="1"/>
  <c r="K103" i="3"/>
  <c r="BC103" i="3" s="1"/>
  <c r="BC372" i="3" s="1"/>
  <c r="J103" i="3"/>
  <c r="I103" i="3"/>
  <c r="BB103" i="3" s="1"/>
  <c r="BB372" i="3" s="1"/>
  <c r="H103" i="3"/>
  <c r="H464" i="3" s="1"/>
  <c r="G103" i="3"/>
  <c r="G464" i="3" s="1"/>
  <c r="BA464" i="3" s="1"/>
  <c r="F103" i="3"/>
  <c r="E103" i="3"/>
  <c r="AZ103" i="3" s="1"/>
  <c r="AZ372" i="3" s="1"/>
  <c r="AY36" i="3"/>
  <c r="AY477" i="3" s="1"/>
  <c r="AX36" i="3"/>
  <c r="AX477" i="3" s="1"/>
  <c r="AX479" i="3" s="1"/>
  <c r="AX503" i="3" s="1"/>
  <c r="AW36" i="3"/>
  <c r="AW477" i="3" s="1"/>
  <c r="AV36" i="3"/>
  <c r="AV477" i="3" s="1"/>
  <c r="AV502" i="3" s="1"/>
  <c r="AU36" i="3"/>
  <c r="AU477" i="3" s="1"/>
  <c r="AU479" i="3" s="1"/>
  <c r="AU503" i="3" s="1"/>
  <c r="D36" i="3"/>
  <c r="D477" i="3" s="1"/>
  <c r="D479" i="3" s="1"/>
  <c r="D503" i="3" s="1"/>
  <c r="E36" i="3"/>
  <c r="F36" i="3"/>
  <c r="F477" i="3" s="1"/>
  <c r="F502" i="3" s="1"/>
  <c r="G36" i="3"/>
  <c r="G477" i="3" s="1"/>
  <c r="G479" i="3" s="1"/>
  <c r="G503" i="3" s="1"/>
  <c r="H36" i="3"/>
  <c r="H477" i="3" s="1"/>
  <c r="H479" i="3" s="1"/>
  <c r="H503" i="3" s="1"/>
  <c r="I36" i="3"/>
  <c r="J36" i="3"/>
  <c r="J477" i="3" s="1"/>
  <c r="J479" i="3" s="1"/>
  <c r="J503" i="3" s="1"/>
  <c r="K36" i="3"/>
  <c r="K477" i="3" s="1"/>
  <c r="L36" i="3"/>
  <c r="L477" i="3" s="1"/>
  <c r="AW5" i="4"/>
  <c r="AX5" i="4"/>
  <c r="BI344" i="3"/>
  <c r="BI478" i="3"/>
  <c r="BI443" i="3"/>
  <c r="BI442" i="3"/>
  <c r="BI441" i="3"/>
  <c r="BI440" i="3"/>
  <c r="BI439" i="3"/>
  <c r="BI438" i="3"/>
  <c r="BI437" i="3"/>
  <c r="BI436" i="3"/>
  <c r="BI435" i="3"/>
  <c r="BI434" i="3"/>
  <c r="BI418" i="3"/>
  <c r="BI417" i="3"/>
  <c r="BI416" i="3"/>
  <c r="BI415" i="3"/>
  <c r="BI414" i="3"/>
  <c r="BI413" i="3"/>
  <c r="BI412" i="3"/>
  <c r="BI411" i="3"/>
  <c r="BI410" i="3"/>
  <c r="BI409" i="3"/>
  <c r="BI401" i="3"/>
  <c r="BI400" i="3"/>
  <c r="BI399" i="3"/>
  <c r="BI398" i="3"/>
  <c r="BI397" i="3"/>
  <c r="BI396" i="3"/>
  <c r="BI395" i="3"/>
  <c r="BI394" i="3"/>
  <c r="BI393" i="3"/>
  <c r="BI336" i="3"/>
  <c r="BI335" i="3"/>
  <c r="BI334" i="3"/>
  <c r="BI333" i="3"/>
  <c r="BI332" i="3"/>
  <c r="BI331" i="3"/>
  <c r="BI330" i="3"/>
  <c r="BI329" i="3"/>
  <c r="BI328" i="3"/>
  <c r="BI327" i="3"/>
  <c r="BI301" i="3"/>
  <c r="BI300" i="3"/>
  <c r="BI299" i="3"/>
  <c r="BI298" i="3"/>
  <c r="BI297" i="3"/>
  <c r="BI296" i="3"/>
  <c r="BI295" i="3"/>
  <c r="BI294" i="3"/>
  <c r="BI293" i="3"/>
  <c r="BI292" i="3"/>
  <c r="BI263" i="3"/>
  <c r="BI262" i="3"/>
  <c r="BI261" i="3"/>
  <c r="BI260" i="3"/>
  <c r="BI259" i="3"/>
  <c r="BI258" i="3"/>
  <c r="BI257" i="3"/>
  <c r="BI256" i="3"/>
  <c r="BI255" i="3"/>
  <c r="BI254" i="3"/>
  <c r="BI241" i="3"/>
  <c r="BI240" i="3"/>
  <c r="BI239" i="3"/>
  <c r="BI238" i="3"/>
  <c r="BI237" i="3"/>
  <c r="BI236" i="3"/>
  <c r="BI235" i="3"/>
  <c r="BI234" i="3"/>
  <c r="BI233" i="3"/>
  <c r="BI232" i="3"/>
  <c r="BI208" i="3"/>
  <c r="BI207" i="3"/>
  <c r="BI206" i="3"/>
  <c r="BI205" i="3"/>
  <c r="BI204" i="3"/>
  <c r="BI203" i="3"/>
  <c r="BI202" i="3"/>
  <c r="BI201" i="3"/>
  <c r="BI200" i="3"/>
  <c r="BI199" i="3"/>
  <c r="BI186" i="3"/>
  <c r="BI185" i="3"/>
  <c r="BI184" i="3"/>
  <c r="BI183" i="3"/>
  <c r="BI182" i="3"/>
  <c r="BI181" i="3"/>
  <c r="BI180" i="3"/>
  <c r="BI179" i="3"/>
  <c r="BI178" i="3"/>
  <c r="BI177" i="3"/>
  <c r="BI153" i="3"/>
  <c r="BI152" i="3"/>
  <c r="BI151" i="3"/>
  <c r="BI150" i="3"/>
  <c r="BI149" i="3"/>
  <c r="BI148" i="3"/>
  <c r="BI147" i="3"/>
  <c r="BI146" i="3"/>
  <c r="BI145" i="3"/>
  <c r="BI144" i="3"/>
  <c r="BI131" i="3"/>
  <c r="BI130" i="3"/>
  <c r="BI129" i="3"/>
  <c r="BI128" i="3"/>
  <c r="BI127" i="3"/>
  <c r="BI126" i="3"/>
  <c r="BI125" i="3"/>
  <c r="BI124" i="3"/>
  <c r="BI123" i="3"/>
  <c r="BI122" i="3"/>
  <c r="BI87" i="3"/>
  <c r="BI85" i="3"/>
  <c r="BI83" i="3"/>
  <c r="BI47" i="3"/>
  <c r="BI36" i="3"/>
  <c r="BI477" i="3" s="1"/>
  <c r="AH27" i="32" s="1"/>
  <c r="BC670" i="4"/>
  <c r="BC669" i="4"/>
  <c r="M45" i="3"/>
  <c r="M571" i="3"/>
  <c r="M570" i="3"/>
  <c r="M569" i="3"/>
  <c r="M568" i="3"/>
  <c r="M25" i="3" s="1"/>
  <c r="M560" i="3"/>
  <c r="M566" i="3" s="1"/>
  <c r="M23" i="3" s="1"/>
  <c r="M550" i="3"/>
  <c r="BD550" i="3" s="1"/>
  <c r="M547" i="3"/>
  <c r="BD547" i="3" s="1"/>
  <c r="M540" i="3"/>
  <c r="BD540" i="3" s="1"/>
  <c r="M539" i="3"/>
  <c r="BD539" i="3" s="1"/>
  <c r="M538" i="3"/>
  <c r="BD538" i="3" s="1"/>
  <c r="M537" i="3"/>
  <c r="M529" i="3"/>
  <c r="BD529" i="3" s="1"/>
  <c r="M478" i="3"/>
  <c r="BD478" i="3" s="1"/>
  <c r="M464" i="3"/>
  <c r="BD464" i="3" s="1"/>
  <c r="M460" i="3"/>
  <c r="BD460" i="3" s="1"/>
  <c r="M449" i="3"/>
  <c r="BD449" i="3" s="1"/>
  <c r="M448" i="3"/>
  <c r="BD448" i="3" s="1"/>
  <c r="M447" i="3"/>
  <c r="BD447" i="3" s="1"/>
  <c r="M446" i="3"/>
  <c r="BD446" i="3" s="1"/>
  <c r="M385" i="3"/>
  <c r="M347" i="3"/>
  <c r="M326" i="3"/>
  <c r="BD326" i="3" s="1"/>
  <c r="M313" i="3"/>
  <c r="BD313" i="3" s="1"/>
  <c r="M291" i="3"/>
  <c r="M302" i="3" s="1"/>
  <c r="M304" i="3" s="1"/>
  <c r="M279" i="3"/>
  <c r="M281" i="3" s="1"/>
  <c r="M251" i="3"/>
  <c r="BD251" i="3" s="1"/>
  <c r="M250" i="3"/>
  <c r="BD250" i="3" s="1"/>
  <c r="M249" i="3"/>
  <c r="BD249" i="3" s="1"/>
  <c r="M248" i="3"/>
  <c r="BD248" i="3" s="1"/>
  <c r="M247" i="3"/>
  <c r="BD247" i="3" s="1"/>
  <c r="M246" i="3"/>
  <c r="BD246" i="3" s="1"/>
  <c r="M245" i="3"/>
  <c r="BD245" i="3" s="1"/>
  <c r="M231" i="3"/>
  <c r="M54" i="3" s="1"/>
  <c r="M230" i="3"/>
  <c r="BD230" i="3" s="1"/>
  <c r="M229" i="3"/>
  <c r="BD229" i="3" s="1"/>
  <c r="M228" i="3"/>
  <c r="M53" i="3" s="1"/>
  <c r="M227" i="3"/>
  <c r="M52" i="3" s="1"/>
  <c r="M226" i="3"/>
  <c r="BD226" i="3" s="1"/>
  <c r="M225" i="3"/>
  <c r="BD225" i="3" s="1"/>
  <c r="M224" i="3"/>
  <c r="BD224" i="3" s="1"/>
  <c r="M223" i="3"/>
  <c r="BD223" i="3" s="1"/>
  <c r="M222" i="3"/>
  <c r="M50" i="3" s="1"/>
  <c r="M197" i="3"/>
  <c r="BD197" i="3" s="1"/>
  <c r="M189" i="3"/>
  <c r="BD189" i="3" s="1"/>
  <c r="M187" i="3"/>
  <c r="M209" i="3" s="1"/>
  <c r="M142" i="3"/>
  <c r="BD142" i="3" s="1"/>
  <c r="M134" i="3"/>
  <c r="M100" i="3"/>
  <c r="M161" i="3" s="1"/>
  <c r="M453" i="3" s="1"/>
  <c r="M461" i="3" s="1"/>
  <c r="BD461" i="3" s="1"/>
  <c r="M95" i="3"/>
  <c r="L353" i="3" s="1"/>
  <c r="M342" i="3"/>
  <c r="M80" i="3"/>
  <c r="M79" i="3"/>
  <c r="M78" i="3"/>
  <c r="M75" i="3"/>
  <c r="M74" i="3"/>
  <c r="M70" i="3"/>
  <c r="M69" i="3"/>
  <c r="M66" i="3"/>
  <c r="M65" i="3"/>
  <c r="M62" i="3"/>
  <c r="L42" i="4"/>
  <c r="AX42" i="4" s="1"/>
  <c r="L476" i="4"/>
  <c r="L474" i="4"/>
  <c r="L370" i="4"/>
  <c r="L369" i="4"/>
  <c r="L368" i="4"/>
  <c r="L365" i="4"/>
  <c r="L362" i="4"/>
  <c r="L361" i="4"/>
  <c r="L359" i="4"/>
  <c r="L357" i="4"/>
  <c r="L355" i="4"/>
  <c r="L352" i="4"/>
  <c r="L345" i="4"/>
  <c r="AX345" i="4" s="1"/>
  <c r="L335" i="4"/>
  <c r="L317" i="4"/>
  <c r="L308" i="4"/>
  <c r="M308" i="4" s="1"/>
  <c r="L655" i="4"/>
  <c r="L654" i="4"/>
  <c r="L653" i="4"/>
  <c r="L650" i="4"/>
  <c r="L647" i="4"/>
  <c r="L643" i="4"/>
  <c r="L642" i="4"/>
  <c r="L640" i="4"/>
  <c r="L637" i="4"/>
  <c r="L620" i="4"/>
  <c r="L615" i="4"/>
  <c r="L617" i="4" s="1"/>
  <c r="L593" i="4" s="1"/>
  <c r="L607" i="4"/>
  <c r="L605" i="4"/>
  <c r="L587" i="4"/>
  <c r="L586" i="4"/>
  <c r="L581" i="4"/>
  <c r="L578" i="4"/>
  <c r="L577" i="4"/>
  <c r="L576" i="4"/>
  <c r="L574" i="4"/>
  <c r="L573" i="4"/>
  <c r="L570" i="4"/>
  <c r="L567" i="4"/>
  <c r="L560" i="4"/>
  <c r="AX560" i="4" s="1"/>
  <c r="L550" i="4"/>
  <c r="L544" i="4"/>
  <c r="L545" i="4" s="1"/>
  <c r="L547" i="4" s="1"/>
  <c r="L522" i="4" s="1"/>
  <c r="L531" i="4"/>
  <c r="L529" i="4"/>
  <c r="L572" i="4" s="1"/>
  <c r="L219" i="4"/>
  <c r="L220" i="4" s="1"/>
  <c r="L218" i="4"/>
  <c r="L217" i="4"/>
  <c r="L216" i="4"/>
  <c r="L213" i="4"/>
  <c r="L209" i="4"/>
  <c r="L207" i="4"/>
  <c r="L206" i="4"/>
  <c r="L205" i="4"/>
  <c r="L203" i="4"/>
  <c r="L193" i="4"/>
  <c r="L183" i="4"/>
  <c r="L165" i="4"/>
  <c r="L728" i="4"/>
  <c r="L729" i="4" s="1"/>
  <c r="L727" i="4"/>
  <c r="L726" i="4"/>
  <c r="L722" i="4"/>
  <c r="L716" i="4"/>
  <c r="L715" i="4"/>
  <c r="L714" i="4"/>
  <c r="L712" i="4"/>
  <c r="L709" i="4"/>
  <c r="L702" i="4"/>
  <c r="L691" i="4"/>
  <c r="L686" i="4"/>
  <c r="L688" i="4" s="1"/>
  <c r="L661" i="4" s="1"/>
  <c r="L664" i="4"/>
  <c r="L142" i="4"/>
  <c r="L143" i="4" s="1"/>
  <c r="L140" i="4"/>
  <c r="L139" i="4"/>
  <c r="L136" i="4"/>
  <c r="L130" i="4"/>
  <c r="L129" i="4"/>
  <c r="L116" i="4"/>
  <c r="AX116" i="4" s="1"/>
  <c r="L118" i="4"/>
  <c r="AX118" i="4" s="1"/>
  <c r="L89" i="4"/>
  <c r="L83" i="4"/>
  <c r="L81" i="4"/>
  <c r="L62" i="4"/>
  <c r="L58" i="4"/>
  <c r="L56" i="4"/>
  <c r="L55" i="4"/>
  <c r="L52" i="4"/>
  <c r="L49" i="4"/>
  <c r="L31" i="4"/>
  <c r="L32" i="4" s="1"/>
  <c r="L67" i="4" s="1"/>
  <c r="L518" i="4" s="1"/>
  <c r="L23" i="4"/>
  <c r="L27" i="4" s="1"/>
  <c r="L15" i="4"/>
  <c r="L13" i="4"/>
  <c r="M39" i="3"/>
  <c r="N39" i="3" s="1"/>
  <c r="M36" i="3"/>
  <c r="M477" i="3" s="1"/>
  <c r="M502" i="3" s="1"/>
  <c r="BE36" i="3"/>
  <c r="BE477" i="3" s="1"/>
  <c r="BH478" i="3"/>
  <c r="BG478" i="3"/>
  <c r="BF478" i="3"/>
  <c r="BE478" i="3"/>
  <c r="BC478" i="3"/>
  <c r="BB478" i="3"/>
  <c r="BA478" i="3"/>
  <c r="AZ478" i="3"/>
  <c r="A485" i="4"/>
  <c r="A484" i="4"/>
  <c r="A483" i="4"/>
  <c r="A481" i="4"/>
  <c r="A480" i="4"/>
  <c r="A410" i="4"/>
  <c r="A409" i="4"/>
  <c r="A408" i="4"/>
  <c r="A407" i="4"/>
  <c r="A406" i="4"/>
  <c r="A339" i="4"/>
  <c r="A338" i="4"/>
  <c r="A337" i="4"/>
  <c r="A336" i="4"/>
  <c r="A335" i="4"/>
  <c r="A624" i="4"/>
  <c r="A623" i="4"/>
  <c r="A622" i="4"/>
  <c r="A621" i="4"/>
  <c r="A620" i="4"/>
  <c r="A554" i="4"/>
  <c r="A553" i="4"/>
  <c r="A552" i="4"/>
  <c r="A551" i="4"/>
  <c r="A550" i="4"/>
  <c r="A187" i="4"/>
  <c r="A186" i="4"/>
  <c r="A185" i="4"/>
  <c r="A184" i="4"/>
  <c r="A183" i="4"/>
  <c r="A109" i="4"/>
  <c r="A695" i="4"/>
  <c r="A694" i="4"/>
  <c r="A693" i="4"/>
  <c r="A692" i="4"/>
  <c r="A691" i="4"/>
  <c r="A107" i="4"/>
  <c r="A106" i="4"/>
  <c r="A108" i="4"/>
  <c r="A105" i="4"/>
  <c r="M353" i="3"/>
  <c r="M41" i="3"/>
  <c r="AU546" i="3"/>
  <c r="AV546" i="3"/>
  <c r="AW546" i="3"/>
  <c r="AX546" i="3"/>
  <c r="AY547" i="3"/>
  <c r="D546" i="3"/>
  <c r="E546" i="3" s="1"/>
  <c r="AZ546" i="3" s="1"/>
  <c r="F546" i="3"/>
  <c r="G546" i="3" s="1"/>
  <c r="BA546" i="3" s="1"/>
  <c r="H546" i="3"/>
  <c r="I546" i="3" s="1"/>
  <c r="BB546" i="3" s="1"/>
  <c r="AY546" i="3"/>
  <c r="BC550" i="3"/>
  <c r="BC549" i="3"/>
  <c r="BC548" i="3"/>
  <c r="BC547" i="3"/>
  <c r="E550" i="3"/>
  <c r="AZ550" i="3" s="1"/>
  <c r="G550" i="3"/>
  <c r="BA550" i="3" s="1"/>
  <c r="I550" i="3"/>
  <c r="BB550" i="3" s="1"/>
  <c r="E547" i="3"/>
  <c r="AZ547" i="3" s="1"/>
  <c r="E548" i="3"/>
  <c r="AZ548" i="3" s="1"/>
  <c r="E549" i="3"/>
  <c r="AZ549" i="3" s="1"/>
  <c r="G547" i="3"/>
  <c r="BA547" i="3" s="1"/>
  <c r="G548" i="3"/>
  <c r="BA548" i="3" s="1"/>
  <c r="G549" i="3"/>
  <c r="BA549" i="3" s="1"/>
  <c r="I549" i="3"/>
  <c r="BB549" i="3" s="1"/>
  <c r="I548" i="3"/>
  <c r="BB548" i="3" s="1"/>
  <c r="I547" i="3"/>
  <c r="BB547" i="3" s="1"/>
  <c r="J546" i="3"/>
  <c r="K546" i="3"/>
  <c r="L546" i="3"/>
  <c r="M546" i="3" s="1"/>
  <c r="BD546" i="3" s="1"/>
  <c r="K133" i="4"/>
  <c r="J133" i="4"/>
  <c r="I133" i="4"/>
  <c r="G133" i="4"/>
  <c r="E133" i="4"/>
  <c r="C133" i="4"/>
  <c r="K578" i="4"/>
  <c r="J578" i="4"/>
  <c r="I578" i="4"/>
  <c r="G578" i="4"/>
  <c r="E578" i="4"/>
  <c r="C578" i="4"/>
  <c r="AW109" i="3"/>
  <c r="AV109" i="3"/>
  <c r="AU109" i="3"/>
  <c r="BC106" i="3"/>
  <c r="K106" i="3"/>
  <c r="L106" i="3"/>
  <c r="M106" i="3" s="1"/>
  <c r="BD106" i="3" s="1"/>
  <c r="J106" i="3"/>
  <c r="G106" i="3"/>
  <c r="F106" i="3"/>
  <c r="AY543" i="3"/>
  <c r="AY545" i="3" s="1"/>
  <c r="AX543" i="3"/>
  <c r="AX545" i="3" s="1"/>
  <c r="AW543" i="3"/>
  <c r="AW545" i="3" s="1"/>
  <c r="AV543" i="3"/>
  <c r="AV545" i="3" s="1"/>
  <c r="AU543" i="3"/>
  <c r="AU545" i="3" s="1"/>
  <c r="E542" i="3"/>
  <c r="AZ542" i="3" s="1"/>
  <c r="D543" i="3"/>
  <c r="D545" i="3" s="1"/>
  <c r="E544" i="3"/>
  <c r="AW541" i="3"/>
  <c r="AW540" i="3"/>
  <c r="AW539" i="3"/>
  <c r="AW538" i="3"/>
  <c r="AX541" i="3"/>
  <c r="AX540" i="3"/>
  <c r="AX539" i="3"/>
  <c r="AX538" i="3"/>
  <c r="AY541" i="3"/>
  <c r="AY540" i="3"/>
  <c r="AY539" i="3"/>
  <c r="AY538" i="3"/>
  <c r="AZ541" i="3"/>
  <c r="D541" i="3"/>
  <c r="D540" i="3"/>
  <c r="D539" i="3"/>
  <c r="D538" i="3"/>
  <c r="E538" i="3"/>
  <c r="AZ538" i="3" s="1"/>
  <c r="E539" i="3"/>
  <c r="AZ539" i="3" s="1"/>
  <c r="E540" i="3"/>
  <c r="AZ540" i="3" s="1"/>
  <c r="F541" i="3"/>
  <c r="F540" i="3"/>
  <c r="F539" i="3"/>
  <c r="F538" i="3"/>
  <c r="G541" i="3"/>
  <c r="BA541" i="3" s="1"/>
  <c r="G540" i="3"/>
  <c r="BA540" i="3" s="1"/>
  <c r="G539" i="3"/>
  <c r="BA539" i="3" s="1"/>
  <c r="G538" i="3"/>
  <c r="BA538" i="3" s="1"/>
  <c r="H538" i="3"/>
  <c r="H539" i="3"/>
  <c r="H540" i="3"/>
  <c r="H541" i="3"/>
  <c r="I541" i="3"/>
  <c r="BB541" i="3" s="1"/>
  <c r="I540" i="3"/>
  <c r="BB540" i="3" s="1"/>
  <c r="I539" i="3"/>
  <c r="BB539" i="3" s="1"/>
  <c r="I538" i="3"/>
  <c r="BB538" i="3" s="1"/>
  <c r="J538" i="3"/>
  <c r="J539" i="3"/>
  <c r="J540" i="3"/>
  <c r="J541" i="3"/>
  <c r="K541" i="3"/>
  <c r="BC541" i="3" s="1"/>
  <c r="K540" i="3"/>
  <c r="BC540" i="3" s="1"/>
  <c r="K539" i="3"/>
  <c r="BC539" i="3" s="1"/>
  <c r="K538" i="3"/>
  <c r="BC538" i="3" s="1"/>
  <c r="L541" i="3"/>
  <c r="L540" i="3"/>
  <c r="L539" i="3"/>
  <c r="L538" i="3"/>
  <c r="BH538" i="3"/>
  <c r="D391" i="3"/>
  <c r="D462" i="3" s="1"/>
  <c r="M462" i="3"/>
  <c r="AZ391" i="3"/>
  <c r="BC391" i="3"/>
  <c r="BB391" i="3"/>
  <c r="BA391" i="3"/>
  <c r="BH540" i="3"/>
  <c r="BH539" i="3"/>
  <c r="BH541" i="3"/>
  <c r="L537" i="3"/>
  <c r="K537" i="3"/>
  <c r="J537" i="3"/>
  <c r="I537" i="3"/>
  <c r="H537" i="3"/>
  <c r="G537" i="3"/>
  <c r="F537" i="3"/>
  <c r="E537" i="3"/>
  <c r="D537" i="3"/>
  <c r="AU82" i="3"/>
  <c r="AU96" i="3" s="1"/>
  <c r="AU79" i="3"/>
  <c r="AV79" i="3"/>
  <c r="AU100" i="3"/>
  <c r="AU453" i="3" s="1"/>
  <c r="AU461" i="3" s="1"/>
  <c r="AV100" i="3"/>
  <c r="AV453" i="3" s="1"/>
  <c r="AV461" i="3" s="1"/>
  <c r="E582" i="4"/>
  <c r="C582" i="4"/>
  <c r="E214" i="4"/>
  <c r="C214" i="4"/>
  <c r="E723" i="4"/>
  <c r="C723" i="4"/>
  <c r="C137" i="4"/>
  <c r="E137" i="4"/>
  <c r="C530" i="3"/>
  <c r="BC529" i="3"/>
  <c r="BB529" i="3"/>
  <c r="BA529" i="3"/>
  <c r="AZ529" i="3"/>
  <c r="AY529" i="3"/>
  <c r="BG529" i="3"/>
  <c r="K488" i="4"/>
  <c r="K476" i="4"/>
  <c r="K474" i="4"/>
  <c r="L291" i="3"/>
  <c r="K291" i="3"/>
  <c r="BC291" i="3" s="1"/>
  <c r="AU87" i="3"/>
  <c r="L87" i="3"/>
  <c r="L344" i="3" s="1"/>
  <c r="AY579" i="3"/>
  <c r="AX579" i="3"/>
  <c r="AW579" i="3"/>
  <c r="AV579" i="3"/>
  <c r="AU571" i="3"/>
  <c r="AU570" i="3"/>
  <c r="AU569" i="3"/>
  <c r="AU568" i="3"/>
  <c r="AU25" i="3" s="1"/>
  <c r="AU567" i="3"/>
  <c r="AU24" i="3" s="1"/>
  <c r="AU566" i="3"/>
  <c r="AU23" i="3" s="1"/>
  <c r="AU565" i="3"/>
  <c r="AU460" i="3"/>
  <c r="AW419" i="3"/>
  <c r="AW408" i="3" s="1"/>
  <c r="AV419" i="3"/>
  <c r="AV408" i="3" s="1"/>
  <c r="AU419" i="3"/>
  <c r="AU408" i="3" s="1"/>
  <c r="AU381" i="3"/>
  <c r="AU380" i="3"/>
  <c r="AU302" i="3"/>
  <c r="AU282" i="3"/>
  <c r="AU279" i="3"/>
  <c r="AU97" i="3"/>
  <c r="AU76" i="3"/>
  <c r="AU533" i="3" s="1"/>
  <c r="AU71" i="3"/>
  <c r="AU562" i="3" s="1"/>
  <c r="AU67" i="3"/>
  <c r="AU68" i="3" s="1"/>
  <c r="AU61" i="3"/>
  <c r="AU54" i="3"/>
  <c r="AU53" i="3"/>
  <c r="AU52" i="3"/>
  <c r="AU51" i="3"/>
  <c r="AU50" i="3"/>
  <c r="AU45" i="3"/>
  <c r="L56" i="3"/>
  <c r="L302" i="3"/>
  <c r="L304" i="3" s="1"/>
  <c r="L49" i="3" s="1"/>
  <c r="L574" i="3" s="1"/>
  <c r="L316" i="3"/>
  <c r="L318" i="3" s="1"/>
  <c r="L560" i="3"/>
  <c r="L566" i="3" s="1"/>
  <c r="L23" i="3" s="1"/>
  <c r="L197" i="3"/>
  <c r="L189" i="3"/>
  <c r="L176" i="3"/>
  <c r="L187" i="3" s="1"/>
  <c r="J176" i="3"/>
  <c r="L142" i="3"/>
  <c r="L134" i="3"/>
  <c r="L121" i="3"/>
  <c r="L132" i="3" s="1"/>
  <c r="L419" i="3" s="1"/>
  <c r="L408" i="3" s="1"/>
  <c r="L97" i="3"/>
  <c r="M97" i="3" s="1"/>
  <c r="L570" i="3"/>
  <c r="L569" i="3"/>
  <c r="L568" i="3"/>
  <c r="L25" i="3" s="1"/>
  <c r="L460" i="3"/>
  <c r="L449" i="3"/>
  <c r="L448" i="3"/>
  <c r="L447" i="3"/>
  <c r="L446" i="3"/>
  <c r="L385" i="3"/>
  <c r="L347" i="3"/>
  <c r="L342" i="3"/>
  <c r="L326" i="3"/>
  <c r="L313" i="3"/>
  <c r="L279" i="3"/>
  <c r="L281" i="3" s="1"/>
  <c r="L250" i="3"/>
  <c r="L249" i="3"/>
  <c r="L248" i="3"/>
  <c r="L247" i="3"/>
  <c r="L246" i="3"/>
  <c r="L245" i="3"/>
  <c r="L230" i="3"/>
  <c r="L229" i="3"/>
  <c r="L228" i="3"/>
  <c r="L53" i="3" s="1"/>
  <c r="L227" i="3"/>
  <c r="L52" i="3" s="1"/>
  <c r="L225" i="3"/>
  <c r="L224" i="3"/>
  <c r="L222" i="3"/>
  <c r="L50" i="3" s="1"/>
  <c r="L141" i="3"/>
  <c r="L251" i="3" s="1"/>
  <c r="L161" i="3"/>
  <c r="L453" i="3" s="1"/>
  <c r="L461" i="3" s="1"/>
  <c r="L80" i="3"/>
  <c r="L82" i="3" s="1"/>
  <c r="L79" i="3"/>
  <c r="L78" i="3"/>
  <c r="L75" i="3"/>
  <c r="L74" i="3"/>
  <c r="L70" i="3"/>
  <c r="L69" i="3"/>
  <c r="L66" i="3"/>
  <c r="L65" i="3"/>
  <c r="L62" i="3"/>
  <c r="K335" i="4"/>
  <c r="K620" i="4"/>
  <c r="K550" i="4"/>
  <c r="K183" i="4"/>
  <c r="K691" i="4"/>
  <c r="K370" i="4"/>
  <c r="K655" i="4"/>
  <c r="K587" i="4"/>
  <c r="K588" i="4" s="1"/>
  <c r="K219" i="4"/>
  <c r="K220" i="4" s="1"/>
  <c r="K728" i="4"/>
  <c r="K729" i="4" s="1"/>
  <c r="K142" i="4"/>
  <c r="K143" i="4" s="1"/>
  <c r="K544" i="4"/>
  <c r="I329" i="4"/>
  <c r="I368" i="4" s="1"/>
  <c r="J329" i="4"/>
  <c r="J368" i="4" s="1"/>
  <c r="K329" i="4"/>
  <c r="K368" i="4" s="1"/>
  <c r="I614" i="4"/>
  <c r="J614" i="4"/>
  <c r="J615" i="4" s="1"/>
  <c r="J617" i="4" s="1"/>
  <c r="J593" i="4" s="1"/>
  <c r="K614" i="4"/>
  <c r="K653" i="4" s="1"/>
  <c r="K607" i="4"/>
  <c r="M646" i="4" s="1"/>
  <c r="K685" i="4"/>
  <c r="K726" i="4" s="1"/>
  <c r="K89" i="4"/>
  <c r="K95" i="4" s="1"/>
  <c r="K83" i="4"/>
  <c r="K81" i="4"/>
  <c r="K369" i="4"/>
  <c r="K365" i="4"/>
  <c r="K362" i="4"/>
  <c r="K361" i="4"/>
  <c r="K359" i="4"/>
  <c r="K357" i="4"/>
  <c r="K355" i="4"/>
  <c r="K352" i="4"/>
  <c r="K345" i="4"/>
  <c r="K325" i="4"/>
  <c r="K317" i="4"/>
  <c r="K309" i="4"/>
  <c r="K654" i="4"/>
  <c r="K650" i="4"/>
  <c r="K647" i="4"/>
  <c r="K643" i="4"/>
  <c r="K642" i="4"/>
  <c r="K640" i="4"/>
  <c r="K637" i="4"/>
  <c r="K630" i="4"/>
  <c r="K605" i="4"/>
  <c r="K597" i="4"/>
  <c r="K586" i="4"/>
  <c r="K581" i="4"/>
  <c r="K577" i="4"/>
  <c r="K576" i="4"/>
  <c r="K574" i="4"/>
  <c r="K573" i="4"/>
  <c r="K570" i="4"/>
  <c r="K567" i="4"/>
  <c r="K560" i="4"/>
  <c r="K540" i="4"/>
  <c r="K531" i="4"/>
  <c r="K529" i="4"/>
  <c r="K572" i="4" s="1"/>
  <c r="K526" i="4"/>
  <c r="K218" i="4"/>
  <c r="K213" i="4"/>
  <c r="K209" i="4"/>
  <c r="K207" i="4"/>
  <c r="K206" i="4"/>
  <c r="K205" i="4"/>
  <c r="K203" i="4"/>
  <c r="K200" i="4"/>
  <c r="K193" i="4"/>
  <c r="K178" i="4"/>
  <c r="K180" i="4" s="1"/>
  <c r="K153" i="4" s="1"/>
  <c r="K173" i="4"/>
  <c r="K165" i="4"/>
  <c r="K727" i="4"/>
  <c r="K722" i="4"/>
  <c r="K718" i="4"/>
  <c r="K716" i="4"/>
  <c r="K715" i="4"/>
  <c r="K714" i="4"/>
  <c r="K712" i="4"/>
  <c r="K709" i="4"/>
  <c r="K702" i="4"/>
  <c r="K681" i="4"/>
  <c r="K673" i="4"/>
  <c r="K664" i="4"/>
  <c r="K141" i="4"/>
  <c r="K136" i="4"/>
  <c r="K130" i="4"/>
  <c r="K129" i="4"/>
  <c r="K123" i="4"/>
  <c r="K118" i="4"/>
  <c r="K116" i="4"/>
  <c r="K79" i="4"/>
  <c r="K23" i="4"/>
  <c r="K15" i="4"/>
  <c r="L64" i="3" s="1"/>
  <c r="K13" i="4"/>
  <c r="K31" i="4"/>
  <c r="L76" i="3" s="1"/>
  <c r="L571" i="3"/>
  <c r="K217" i="4"/>
  <c r="K100" i="4"/>
  <c r="K102" i="4" s="1"/>
  <c r="K140" i="4"/>
  <c r="AV380" i="3"/>
  <c r="AV384" i="3" s="1"/>
  <c r="AW353" i="3"/>
  <c r="AV353" i="3"/>
  <c r="AU313" i="3"/>
  <c r="AU46" i="3" s="1"/>
  <c r="AV316" i="3"/>
  <c r="AV318" i="3" s="1"/>
  <c r="AV309" i="3" s="1"/>
  <c r="AV576" i="3" s="1"/>
  <c r="AU316" i="3"/>
  <c r="AU318" i="3" s="1"/>
  <c r="AU309" i="3" s="1"/>
  <c r="AU576" i="3" s="1"/>
  <c r="AV347" i="3"/>
  <c r="AV342" i="3"/>
  <c r="AV97" i="3"/>
  <c r="AV354" i="3" s="1"/>
  <c r="AV87" i="3"/>
  <c r="AV344" i="3" s="1"/>
  <c r="AV63" i="3"/>
  <c r="AV71" i="3"/>
  <c r="AW71" i="3"/>
  <c r="AW63" i="3"/>
  <c r="AW67" i="3" s="1"/>
  <c r="AW68" i="3" s="1"/>
  <c r="AW380" i="3"/>
  <c r="AW384" i="3" s="1"/>
  <c r="AV279" i="3"/>
  <c r="AW279" i="3"/>
  <c r="AW97" i="3"/>
  <c r="AW354" i="3" s="1"/>
  <c r="AW87" i="3"/>
  <c r="AW344" i="3" s="1"/>
  <c r="AW100" i="3"/>
  <c r="AW453" i="3" s="1"/>
  <c r="AW461" i="3" s="1"/>
  <c r="AV82" i="3"/>
  <c r="AV96" i="3" s="1"/>
  <c r="AY82" i="3"/>
  <c r="AY96" i="3" s="1"/>
  <c r="AX82" i="3"/>
  <c r="AX96" i="3" s="1"/>
  <c r="AW79" i="3"/>
  <c r="AW82" i="3"/>
  <c r="AW96" i="3" s="1"/>
  <c r="AV291" i="3"/>
  <c r="AV302" i="3" s="1"/>
  <c r="AV282" i="3"/>
  <c r="AW282" i="3"/>
  <c r="AW291" i="3"/>
  <c r="AW302" i="3" s="1"/>
  <c r="AX282" i="3"/>
  <c r="AX560" i="3"/>
  <c r="AX565" i="3" s="1"/>
  <c r="AX380" i="3"/>
  <c r="AX384" i="3" s="1"/>
  <c r="AX290" i="3"/>
  <c r="AX291" i="3" s="1"/>
  <c r="AX302" i="3" s="1"/>
  <c r="AY314" i="3"/>
  <c r="AY316" i="3" s="1"/>
  <c r="AY318" i="3" s="1"/>
  <c r="AY309" i="3" s="1"/>
  <c r="AY576" i="3" s="1"/>
  <c r="AX197" i="3"/>
  <c r="AX189" i="3"/>
  <c r="AX142" i="3"/>
  <c r="AX134" i="3"/>
  <c r="AX118" i="3"/>
  <c r="AX132" i="3" s="1"/>
  <c r="AX419" i="3" s="1"/>
  <c r="AX408" i="3" s="1"/>
  <c r="AX97" i="3"/>
  <c r="AX354" i="3" s="1"/>
  <c r="AX87" i="3"/>
  <c r="AX344" i="3" s="1"/>
  <c r="AX71" i="3"/>
  <c r="AX67" i="3"/>
  <c r="AX68" i="3" s="1"/>
  <c r="AX141" i="3"/>
  <c r="AX251" i="3" s="1"/>
  <c r="AX161" i="3"/>
  <c r="AX453" i="3" s="1"/>
  <c r="AX461" i="3" s="1"/>
  <c r="AX187" i="3"/>
  <c r="AX209" i="3" s="1"/>
  <c r="AX446" i="3"/>
  <c r="AX447" i="3"/>
  <c r="AX448" i="3"/>
  <c r="AX449" i="3"/>
  <c r="AW316" i="3"/>
  <c r="AX316" i="3"/>
  <c r="AX318" i="3" s="1"/>
  <c r="AX309" i="3" s="1"/>
  <c r="AX576" i="3" s="1"/>
  <c r="AV313" i="3"/>
  <c r="AV46" i="3" s="1"/>
  <c r="AW313" i="3"/>
  <c r="AW46" i="3" s="1"/>
  <c r="AX313" i="3"/>
  <c r="AX279" i="3"/>
  <c r="AX222" i="3"/>
  <c r="AX50" i="3" s="1"/>
  <c r="AX223" i="3"/>
  <c r="AX224" i="3"/>
  <c r="AX225" i="3"/>
  <c r="AX226" i="3"/>
  <c r="AX227" i="3"/>
  <c r="AX52" i="3" s="1"/>
  <c r="AX229" i="3"/>
  <c r="AX230" i="3"/>
  <c r="AX231" i="3"/>
  <c r="AX54" i="3" s="1"/>
  <c r="AX245" i="3"/>
  <c r="AX246" i="3"/>
  <c r="AX247" i="3"/>
  <c r="AX248" i="3"/>
  <c r="AX249" i="3"/>
  <c r="AX250" i="3"/>
  <c r="AY560" i="3"/>
  <c r="AY567" i="3" s="1"/>
  <c r="AY24" i="3" s="1"/>
  <c r="AY380" i="3"/>
  <c r="AY384" i="3" s="1"/>
  <c r="AX571" i="3"/>
  <c r="AW571" i="3"/>
  <c r="AV571" i="3"/>
  <c r="AY570" i="3"/>
  <c r="AX570" i="3"/>
  <c r="AW570" i="3"/>
  <c r="AV570" i="3"/>
  <c r="AX569" i="3"/>
  <c r="AW569" i="3"/>
  <c r="AV569" i="3"/>
  <c r="AY568" i="3"/>
  <c r="AY25" i="3" s="1"/>
  <c r="AX568" i="3"/>
  <c r="AX25" i="3" s="1"/>
  <c r="AW568" i="3"/>
  <c r="AW25" i="3" s="1"/>
  <c r="AV568" i="3"/>
  <c r="AV25" i="3" s="1"/>
  <c r="AW567" i="3"/>
  <c r="AW24" i="3" s="1"/>
  <c r="AV567" i="3"/>
  <c r="AV24" i="3" s="1"/>
  <c r="AW533" i="3"/>
  <c r="AV533" i="3"/>
  <c r="AY460" i="3"/>
  <c r="AX460" i="3"/>
  <c r="AW460" i="3"/>
  <c r="AV460" i="3"/>
  <c r="AY449" i="3"/>
  <c r="AY448" i="3"/>
  <c r="AY447" i="3"/>
  <c r="AY446" i="3"/>
  <c r="AX353" i="3"/>
  <c r="AX347" i="3"/>
  <c r="AW347" i="3"/>
  <c r="AX342" i="3"/>
  <c r="AW342" i="3"/>
  <c r="AY347" i="3"/>
  <c r="AY342" i="3"/>
  <c r="AY324" i="3"/>
  <c r="AY325" i="3" s="1"/>
  <c r="AY326" i="3" s="1"/>
  <c r="AY61" i="3"/>
  <c r="AX61" i="3"/>
  <c r="AW61" i="3"/>
  <c r="AV61" i="3"/>
  <c r="AW54" i="3"/>
  <c r="AV54" i="3"/>
  <c r="AW53" i="3"/>
  <c r="AV53" i="3"/>
  <c r="AW52" i="3"/>
  <c r="AV52" i="3"/>
  <c r="AW51" i="3"/>
  <c r="AV51" i="3"/>
  <c r="AW50" i="3"/>
  <c r="AV50" i="3"/>
  <c r="AY45" i="3"/>
  <c r="AX45" i="3"/>
  <c r="AW45" i="3"/>
  <c r="AV45" i="3"/>
  <c r="AY290" i="3"/>
  <c r="AY291" i="3" s="1"/>
  <c r="AY302" i="3" s="1"/>
  <c r="AY282" i="3"/>
  <c r="AY279" i="3"/>
  <c r="AY250" i="3"/>
  <c r="AY249" i="3"/>
  <c r="AY248" i="3"/>
  <c r="AY247" i="3"/>
  <c r="AY246" i="3"/>
  <c r="AY245" i="3"/>
  <c r="AY231" i="3"/>
  <c r="AY230" i="3"/>
  <c r="AY229" i="3"/>
  <c r="AY227" i="3"/>
  <c r="AY52" i="3" s="1"/>
  <c r="AY226" i="3"/>
  <c r="AY225" i="3"/>
  <c r="AY224" i="3"/>
  <c r="AY223" i="3"/>
  <c r="AY222" i="3"/>
  <c r="AY50" i="3" s="1"/>
  <c r="AY197" i="3"/>
  <c r="AY189" i="3"/>
  <c r="AY173" i="3"/>
  <c r="AY187" i="3" s="1"/>
  <c r="AY161" i="3"/>
  <c r="AY453" i="3" s="1"/>
  <c r="AY461" i="3" s="1"/>
  <c r="AY142" i="3"/>
  <c r="AY141" i="3"/>
  <c r="AY251" i="3" s="1"/>
  <c r="AY134" i="3"/>
  <c r="AY118" i="3"/>
  <c r="AY132" i="3" s="1"/>
  <c r="AY97" i="3"/>
  <c r="AY354" i="3" s="1"/>
  <c r="AY87" i="3"/>
  <c r="AY344" i="3" s="1"/>
  <c r="AY76" i="3"/>
  <c r="AY533" i="3" s="1"/>
  <c r="AY71" i="3"/>
  <c r="AY67" i="3"/>
  <c r="AY68" i="3" s="1"/>
  <c r="E325" i="3"/>
  <c r="E326" i="3" s="1"/>
  <c r="AZ326" i="3" s="1"/>
  <c r="D325" i="3"/>
  <c r="D326" i="3" s="1"/>
  <c r="D197" i="3"/>
  <c r="D189" i="3"/>
  <c r="D176" i="3"/>
  <c r="D173" i="3"/>
  <c r="D142" i="3"/>
  <c r="D134" i="3"/>
  <c r="D121" i="3"/>
  <c r="D118" i="3"/>
  <c r="E560" i="3"/>
  <c r="E566" i="3" s="1"/>
  <c r="E23" i="3" s="1"/>
  <c r="D560" i="3"/>
  <c r="D567" i="3" s="1"/>
  <c r="D24" i="3" s="1"/>
  <c r="D380" i="3"/>
  <c r="E380" i="3"/>
  <c r="AZ380" i="3" s="1"/>
  <c r="D290" i="3"/>
  <c r="D291" i="3" s="1"/>
  <c r="D302" i="3" s="1"/>
  <c r="E290" i="3"/>
  <c r="E291" i="3" s="1"/>
  <c r="D282" i="3"/>
  <c r="E282" i="3"/>
  <c r="E197" i="3"/>
  <c r="AZ197" i="3" s="1"/>
  <c r="E189" i="3"/>
  <c r="AZ189" i="3" s="1"/>
  <c r="E176" i="3"/>
  <c r="E231" i="3" s="1"/>
  <c r="E173" i="3"/>
  <c r="AZ173" i="3" s="1"/>
  <c r="E142" i="3"/>
  <c r="AZ142" i="3" s="1"/>
  <c r="E134" i="3"/>
  <c r="AZ134" i="3" s="1"/>
  <c r="E118" i="3"/>
  <c r="E132" i="3" s="1"/>
  <c r="AV565" i="3"/>
  <c r="AV566" i="3"/>
  <c r="AV23" i="3" s="1"/>
  <c r="AW565" i="3"/>
  <c r="AW566" i="3"/>
  <c r="AW23" i="3" s="1"/>
  <c r="D331" i="4"/>
  <c r="AT331" i="4" s="1"/>
  <c r="D328" i="4"/>
  <c r="AT328" i="4" s="1"/>
  <c r="D327" i="4"/>
  <c r="AT327" i="4" s="1"/>
  <c r="D326" i="4"/>
  <c r="D321" i="4"/>
  <c r="D320" i="4"/>
  <c r="D319" i="4"/>
  <c r="E361" i="4" s="1"/>
  <c r="D318" i="4"/>
  <c r="D316" i="4"/>
  <c r="D359" i="4" s="1"/>
  <c r="D315" i="4"/>
  <c r="AT315" i="4" s="1"/>
  <c r="AT358" i="4" s="1"/>
  <c r="D310" i="4"/>
  <c r="F331" i="4"/>
  <c r="F328" i="4"/>
  <c r="F327" i="4"/>
  <c r="F326" i="4"/>
  <c r="F370" i="4" s="1"/>
  <c r="F321" i="4"/>
  <c r="H319" i="4"/>
  <c r="H361" i="4" s="1"/>
  <c r="F319" i="4"/>
  <c r="F320" i="4"/>
  <c r="AU320" i="4" s="1"/>
  <c r="F318" i="4"/>
  <c r="F316" i="4"/>
  <c r="G359" i="4" s="1"/>
  <c r="F315" i="4"/>
  <c r="F310" i="4"/>
  <c r="H331" i="4"/>
  <c r="AV331" i="4" s="1"/>
  <c r="H328" i="4"/>
  <c r="AV328" i="4" s="1"/>
  <c r="H327" i="4"/>
  <c r="AV327" i="4" s="1"/>
  <c r="H326" i="4"/>
  <c r="H321" i="4"/>
  <c r="H362" i="4" s="1"/>
  <c r="H320" i="4"/>
  <c r="AV320" i="4" s="1"/>
  <c r="H318" i="4"/>
  <c r="H316" i="4"/>
  <c r="H359" i="4" s="1"/>
  <c r="H315" i="4"/>
  <c r="H310" i="4"/>
  <c r="D613" i="4"/>
  <c r="AT613" i="4" s="1"/>
  <c r="D612" i="4"/>
  <c r="AT612" i="4" s="1"/>
  <c r="D611" i="4"/>
  <c r="D655" i="4" s="1"/>
  <c r="D608" i="4"/>
  <c r="D607" i="4"/>
  <c r="D606" i="4"/>
  <c r="D604" i="4"/>
  <c r="AT604" i="4" s="1"/>
  <c r="AT644" i="4" s="1"/>
  <c r="F613" i="4"/>
  <c r="F612" i="4"/>
  <c r="F611" i="4"/>
  <c r="F655" i="4" s="1"/>
  <c r="F608" i="4"/>
  <c r="AU608" i="4" s="1"/>
  <c r="F607" i="4"/>
  <c r="AU607" i="4" s="1"/>
  <c r="F606" i="4"/>
  <c r="F604" i="4"/>
  <c r="AU604" i="4" s="1"/>
  <c r="H613" i="4"/>
  <c r="AV613" i="4" s="1"/>
  <c r="H612" i="4"/>
  <c r="AV612" i="4" s="1"/>
  <c r="H611" i="4"/>
  <c r="H655" i="4" s="1"/>
  <c r="H607" i="4"/>
  <c r="H606" i="4"/>
  <c r="H604" i="4"/>
  <c r="D543" i="4"/>
  <c r="D542" i="4"/>
  <c r="D541" i="4"/>
  <c r="D539" i="4"/>
  <c r="D245" i="4" s="1"/>
  <c r="D538" i="4"/>
  <c r="AT538" i="4" s="1"/>
  <c r="D536" i="4"/>
  <c r="D576" i="4" s="1"/>
  <c r="D535" i="4"/>
  <c r="D533" i="4"/>
  <c r="F543" i="4"/>
  <c r="F542" i="4"/>
  <c r="AU542" i="4" s="1"/>
  <c r="F541" i="4"/>
  <c r="F539" i="4"/>
  <c r="F538" i="4"/>
  <c r="AU538" i="4" s="1"/>
  <c r="F536" i="4"/>
  <c r="G576" i="4" s="1"/>
  <c r="F535" i="4"/>
  <c r="F533" i="4"/>
  <c r="G574" i="4" s="1"/>
  <c r="H543" i="4"/>
  <c r="AV543" i="4" s="1"/>
  <c r="H542" i="4"/>
  <c r="H541" i="4"/>
  <c r="H587" i="4" s="1"/>
  <c r="H588" i="4" s="1"/>
  <c r="H539" i="4"/>
  <c r="H578" i="4" s="1"/>
  <c r="H538" i="4"/>
  <c r="H537" i="4"/>
  <c r="H577" i="4" s="1"/>
  <c r="H536" i="4"/>
  <c r="H535" i="4"/>
  <c r="H533" i="4"/>
  <c r="I574" i="4" s="1"/>
  <c r="D179" i="4"/>
  <c r="AT179" i="4" s="1"/>
  <c r="D176" i="4"/>
  <c r="D175" i="4"/>
  <c r="D174" i="4"/>
  <c r="D219" i="4" s="1"/>
  <c r="D220" i="4" s="1"/>
  <c r="D169" i="4"/>
  <c r="AT169" i="4" s="1"/>
  <c r="D168" i="4"/>
  <c r="AT168" i="4" s="1"/>
  <c r="D167" i="4"/>
  <c r="D166" i="4"/>
  <c r="D164" i="4"/>
  <c r="E207" i="4" s="1"/>
  <c r="D158" i="4"/>
  <c r="AT158" i="4" s="1"/>
  <c r="D159" i="4"/>
  <c r="AT159" i="4" s="1"/>
  <c r="H179" i="4"/>
  <c r="AV179" i="4" s="1"/>
  <c r="F179" i="4"/>
  <c r="AU179" i="4" s="1"/>
  <c r="F176" i="4"/>
  <c r="F175" i="4"/>
  <c r="AU175" i="4" s="1"/>
  <c r="F174" i="4"/>
  <c r="F219" i="4" s="1"/>
  <c r="F220" i="4" s="1"/>
  <c r="F169" i="4"/>
  <c r="AU169" i="4" s="1"/>
  <c r="F168" i="4"/>
  <c r="AU168" i="4" s="1"/>
  <c r="F167" i="4"/>
  <c r="G209" i="4" s="1"/>
  <c r="F166" i="4"/>
  <c r="F164" i="4"/>
  <c r="F159" i="4"/>
  <c r="AU159" i="4" s="1"/>
  <c r="F158" i="4"/>
  <c r="AU158" i="4" s="1"/>
  <c r="H176" i="4"/>
  <c r="H175" i="4"/>
  <c r="H174" i="4"/>
  <c r="H219" i="4" s="1"/>
  <c r="H220" i="4" s="1"/>
  <c r="H169" i="4"/>
  <c r="AV169" i="4" s="1"/>
  <c r="H166" i="4"/>
  <c r="H164" i="4"/>
  <c r="I207" i="4" s="1"/>
  <c r="H159" i="4"/>
  <c r="H158" i="4"/>
  <c r="AV158" i="4" s="1"/>
  <c r="D687" i="4"/>
  <c r="AT687" i="4" s="1"/>
  <c r="D683" i="4"/>
  <c r="F683" i="4"/>
  <c r="AU683" i="4" s="1"/>
  <c r="D682" i="4"/>
  <c r="D728" i="4" s="1"/>
  <c r="D729" i="4" s="1"/>
  <c r="D677" i="4"/>
  <c r="AT677" i="4" s="1"/>
  <c r="D676" i="4"/>
  <c r="AT676" i="4" s="1"/>
  <c r="D674" i="4"/>
  <c r="D666" i="4"/>
  <c r="AT666" i="4" s="1"/>
  <c r="F682" i="4"/>
  <c r="F677" i="4"/>
  <c r="AU677" i="4" s="1"/>
  <c r="F676" i="4"/>
  <c r="AU676" i="4" s="1"/>
  <c r="F674" i="4"/>
  <c r="F673" i="4" s="1"/>
  <c r="F666" i="4"/>
  <c r="AU666" i="4" s="1"/>
  <c r="H687" i="4"/>
  <c r="AV687" i="4" s="1"/>
  <c r="H684" i="4"/>
  <c r="AV684" i="4" s="1"/>
  <c r="H683" i="4"/>
  <c r="AV683" i="4" s="1"/>
  <c r="H682" i="4"/>
  <c r="H677" i="4"/>
  <c r="AV677" i="4" s="1"/>
  <c r="H676" i="4"/>
  <c r="AV676" i="4" s="1"/>
  <c r="H674" i="4"/>
  <c r="H673" i="4" s="1"/>
  <c r="H666" i="4"/>
  <c r="AV666" i="4" s="1"/>
  <c r="D97" i="4"/>
  <c r="AT97" i="4" s="1"/>
  <c r="D84" i="4"/>
  <c r="AT84" i="4" s="1"/>
  <c r="D82" i="4"/>
  <c r="AT82" i="4" s="1"/>
  <c r="D101" i="4"/>
  <c r="AT101" i="4" s="1"/>
  <c r="D96" i="4"/>
  <c r="D142" i="4" s="1"/>
  <c r="D143" i="4" s="1"/>
  <c r="D98" i="4"/>
  <c r="D91" i="4"/>
  <c r="AT91" i="4" s="1"/>
  <c r="D90" i="4"/>
  <c r="AT90" i="4" s="1"/>
  <c r="D89" i="4"/>
  <c r="D132" i="4" s="1"/>
  <c r="D88" i="4"/>
  <c r="D86" i="4"/>
  <c r="E130" i="4" s="1"/>
  <c r="D85" i="4"/>
  <c r="D80" i="4"/>
  <c r="D79" i="4" s="1"/>
  <c r="F84" i="4"/>
  <c r="AU84" i="4" s="1"/>
  <c r="F82" i="4"/>
  <c r="AU82" i="4" s="1"/>
  <c r="F89" i="4"/>
  <c r="F132" i="4" s="1"/>
  <c r="F90" i="4"/>
  <c r="AU90" i="4" s="1"/>
  <c r="F96" i="4"/>
  <c r="F91" i="4"/>
  <c r="F101" i="4"/>
  <c r="AU101" i="4" s="1"/>
  <c r="F98" i="4"/>
  <c r="AU98" i="4" s="1"/>
  <c r="F97" i="4"/>
  <c r="AU97" i="4" s="1"/>
  <c r="F86" i="4"/>
  <c r="F130" i="4" s="1"/>
  <c r="F85" i="4"/>
  <c r="F129" i="4" s="1"/>
  <c r="F88" i="4"/>
  <c r="F80" i="4"/>
  <c r="F79" i="4" s="1"/>
  <c r="H101" i="4"/>
  <c r="AV101" i="4" s="1"/>
  <c r="H98" i="4"/>
  <c r="H97" i="4"/>
  <c r="AV97" i="4" s="1"/>
  <c r="H96" i="4"/>
  <c r="H90" i="4"/>
  <c r="AV90" i="4" s="1"/>
  <c r="H91" i="4"/>
  <c r="H88" i="4"/>
  <c r="H85" i="4"/>
  <c r="H86" i="4"/>
  <c r="I130" i="4" s="1"/>
  <c r="H84" i="4"/>
  <c r="H82" i="4"/>
  <c r="J81" i="4"/>
  <c r="D16" i="4"/>
  <c r="D15" i="4" s="1"/>
  <c r="D18" i="4"/>
  <c r="D56" i="4" s="1"/>
  <c r="D17" i="4"/>
  <c r="D55" i="4" s="1"/>
  <c r="D14" i="4"/>
  <c r="AT14" i="4" s="1"/>
  <c r="D33" i="4"/>
  <c r="E78" i="3" s="1"/>
  <c r="D34" i="4"/>
  <c r="AT34" i="4" s="1"/>
  <c r="D30" i="4"/>
  <c r="AT30" i="4" s="1"/>
  <c r="D29" i="4"/>
  <c r="AT29" i="4" s="1"/>
  <c r="D28" i="4"/>
  <c r="D22" i="4"/>
  <c r="AT22" i="4" s="1"/>
  <c r="D21" i="4"/>
  <c r="E69" i="3" s="1"/>
  <c r="D20" i="4"/>
  <c r="F14" i="4"/>
  <c r="F16" i="4"/>
  <c r="AU16" i="4" s="1"/>
  <c r="F17" i="4"/>
  <c r="G55" i="4" s="1"/>
  <c r="F18" i="4"/>
  <c r="G66" i="3" s="1"/>
  <c r="F34" i="4"/>
  <c r="G79" i="3" s="1"/>
  <c r="F33" i="4"/>
  <c r="AU33" i="4" s="1"/>
  <c r="F30" i="4"/>
  <c r="F29" i="4"/>
  <c r="G74" i="3" s="1"/>
  <c r="F22" i="4"/>
  <c r="AU22" i="4" s="1"/>
  <c r="F20" i="4"/>
  <c r="F12" i="4"/>
  <c r="G62" i="3" s="1"/>
  <c r="H14" i="4"/>
  <c r="AV14" i="4" s="1"/>
  <c r="H16" i="4"/>
  <c r="H17" i="4"/>
  <c r="H55" i="4" s="1"/>
  <c r="H18" i="4"/>
  <c r="I56" i="4" s="1"/>
  <c r="H34" i="4"/>
  <c r="AV34" i="4" s="1"/>
  <c r="H33" i="4"/>
  <c r="H474" i="4" s="1"/>
  <c r="H30" i="4"/>
  <c r="AV30" i="4" s="1"/>
  <c r="H29" i="4"/>
  <c r="AV29" i="4" s="1"/>
  <c r="H22" i="4"/>
  <c r="I70" i="3" s="1"/>
  <c r="H21" i="4"/>
  <c r="H58" i="4" s="1"/>
  <c r="H28" i="4"/>
  <c r="H20" i="4"/>
  <c r="H12" i="4"/>
  <c r="I62" i="3" s="1"/>
  <c r="D12" i="4"/>
  <c r="AT12" i="4" s="1"/>
  <c r="E97" i="3"/>
  <c r="AZ97" i="3" s="1"/>
  <c r="D87" i="3"/>
  <c r="D344" i="3" s="1"/>
  <c r="E87" i="3"/>
  <c r="E344" i="3" s="1"/>
  <c r="C31" i="4"/>
  <c r="D76" i="3" s="1"/>
  <c r="F28" i="4"/>
  <c r="F21" i="4"/>
  <c r="F58" i="4" s="1"/>
  <c r="I40" i="4"/>
  <c r="I489" i="4" s="1"/>
  <c r="H40" i="4"/>
  <c r="H489" i="4" s="1"/>
  <c r="AV489" i="4" s="1"/>
  <c r="G40" i="4"/>
  <c r="G489" i="4" s="1"/>
  <c r="F40" i="4"/>
  <c r="AU40" i="4" s="1"/>
  <c r="E40" i="4"/>
  <c r="E489" i="4" s="1"/>
  <c r="D40" i="4"/>
  <c r="AT40" i="4" s="1"/>
  <c r="C40" i="4"/>
  <c r="J40" i="4"/>
  <c r="J489" i="4" s="1"/>
  <c r="AW489" i="4" s="1"/>
  <c r="AZ5" i="4"/>
  <c r="AY5" i="4"/>
  <c r="AV5" i="4"/>
  <c r="AU5" i="4"/>
  <c r="AT5" i="4"/>
  <c r="C1" i="4"/>
  <c r="J488" i="4"/>
  <c r="AW488" i="4" s="1"/>
  <c r="I488" i="4"/>
  <c r="H488" i="4"/>
  <c r="AV488" i="4" s="1"/>
  <c r="G488" i="4"/>
  <c r="F488" i="4"/>
  <c r="E488" i="4"/>
  <c r="D488" i="4"/>
  <c r="C488" i="4"/>
  <c r="C498" i="4" s="1"/>
  <c r="J476" i="4"/>
  <c r="I476" i="4"/>
  <c r="H476" i="4"/>
  <c r="G476" i="4"/>
  <c r="F476" i="4"/>
  <c r="E476" i="4"/>
  <c r="D476" i="4"/>
  <c r="C476" i="4"/>
  <c r="J474" i="4"/>
  <c r="I474" i="4"/>
  <c r="G474" i="4"/>
  <c r="E474" i="4"/>
  <c r="C474" i="4"/>
  <c r="AW457" i="4"/>
  <c r="AV457" i="4"/>
  <c r="AU457" i="4"/>
  <c r="AT457" i="4"/>
  <c r="AW456" i="4"/>
  <c r="AV456" i="4"/>
  <c r="AU456" i="4"/>
  <c r="AT456" i="4"/>
  <c r="AW455" i="4"/>
  <c r="AV455" i="4"/>
  <c r="AU455" i="4"/>
  <c r="AT455" i="4"/>
  <c r="AW454" i="4"/>
  <c r="AV454" i="4"/>
  <c r="AU454" i="4"/>
  <c r="AT454" i="4"/>
  <c r="J370" i="4"/>
  <c r="I370" i="4"/>
  <c r="G370" i="4"/>
  <c r="E370" i="4"/>
  <c r="C370" i="4"/>
  <c r="J369" i="4"/>
  <c r="I369" i="4"/>
  <c r="H369" i="4"/>
  <c r="J365" i="4"/>
  <c r="I365" i="4"/>
  <c r="G365" i="4"/>
  <c r="E365" i="4"/>
  <c r="C365" i="4"/>
  <c r="J362" i="4"/>
  <c r="I362" i="4"/>
  <c r="G362" i="4"/>
  <c r="E362" i="4"/>
  <c r="C362" i="4"/>
  <c r="J361" i="4"/>
  <c r="C361" i="4"/>
  <c r="J359" i="4"/>
  <c r="C359" i="4"/>
  <c r="J357" i="4"/>
  <c r="I357" i="4"/>
  <c r="H357" i="4"/>
  <c r="G357" i="4"/>
  <c r="F357" i="4"/>
  <c r="E357" i="4"/>
  <c r="D357" i="4"/>
  <c r="C357" i="4"/>
  <c r="J355" i="4"/>
  <c r="I355" i="4"/>
  <c r="H355" i="4"/>
  <c r="G355" i="4"/>
  <c r="F355" i="4"/>
  <c r="E355" i="4"/>
  <c r="D355" i="4"/>
  <c r="C355" i="4"/>
  <c r="J352" i="4"/>
  <c r="I352" i="4"/>
  <c r="H352" i="4"/>
  <c r="G352" i="4"/>
  <c r="F352" i="4"/>
  <c r="E352" i="4"/>
  <c r="D352" i="4"/>
  <c r="C352" i="4"/>
  <c r="AW349" i="4"/>
  <c r="AV349" i="4"/>
  <c r="AU349" i="4"/>
  <c r="AT349" i="4"/>
  <c r="AW348" i="4"/>
  <c r="AV348" i="4"/>
  <c r="AU348" i="4"/>
  <c r="AT348" i="4"/>
  <c r="AW347" i="4"/>
  <c r="AV347" i="4"/>
  <c r="AU347" i="4"/>
  <c r="AT347" i="4"/>
  <c r="AW346" i="4"/>
  <c r="AV346" i="4"/>
  <c r="AU346" i="4"/>
  <c r="AT346" i="4"/>
  <c r="J345" i="4"/>
  <c r="I345" i="4"/>
  <c r="H345" i="4"/>
  <c r="G345" i="4"/>
  <c r="F345" i="4"/>
  <c r="E345" i="4"/>
  <c r="D345" i="4"/>
  <c r="AT345" i="4" s="1"/>
  <c r="C345" i="4"/>
  <c r="AW344" i="4"/>
  <c r="AV344" i="4"/>
  <c r="G369" i="4"/>
  <c r="AW343" i="4"/>
  <c r="AV343" i="4"/>
  <c r="AU343" i="4"/>
  <c r="AT343" i="4"/>
  <c r="AW342" i="4"/>
  <c r="AV342" i="4"/>
  <c r="AU342" i="4"/>
  <c r="AT342" i="4"/>
  <c r="AX342" i="4"/>
  <c r="I335" i="4"/>
  <c r="J335" i="4" s="1"/>
  <c r="G335" i="4"/>
  <c r="E335" i="4"/>
  <c r="C335" i="4"/>
  <c r="AW331" i="4"/>
  <c r="G329" i="4"/>
  <c r="G330" i="4" s="1"/>
  <c r="G332" i="4" s="1"/>
  <c r="G305" i="4" s="1"/>
  <c r="E329" i="4"/>
  <c r="E330" i="4" s="1"/>
  <c r="E332" i="4" s="1"/>
  <c r="E305" i="4" s="1"/>
  <c r="C329" i="4"/>
  <c r="C330" i="4" s="1"/>
  <c r="C332" i="4" s="1"/>
  <c r="C305" i="4" s="1"/>
  <c r="AW328" i="4"/>
  <c r="AW327" i="4"/>
  <c r="J325" i="4"/>
  <c r="I325" i="4"/>
  <c r="G325" i="4"/>
  <c r="E325" i="4"/>
  <c r="C325" i="4"/>
  <c r="AW321" i="4"/>
  <c r="AW320" i="4"/>
  <c r="AW319" i="4"/>
  <c r="J317" i="4"/>
  <c r="I317" i="4"/>
  <c r="G317" i="4"/>
  <c r="E317" i="4"/>
  <c r="C317" i="4"/>
  <c r="C360" i="4" s="1"/>
  <c r="AW316" i="4"/>
  <c r="AW315" i="4"/>
  <c r="AW314" i="4"/>
  <c r="AV314" i="4"/>
  <c r="AU314" i="4"/>
  <c r="AT314" i="4"/>
  <c r="AW313" i="4"/>
  <c r="AV313" i="4"/>
  <c r="AU313" i="4"/>
  <c r="AT313" i="4"/>
  <c r="AW312" i="4"/>
  <c r="AV312" i="4"/>
  <c r="AU312" i="4"/>
  <c r="AT312" i="4"/>
  <c r="AX312" i="4"/>
  <c r="AW311" i="4"/>
  <c r="AV311" i="4"/>
  <c r="AU311" i="4"/>
  <c r="AT311" i="4"/>
  <c r="AW310" i="4"/>
  <c r="J309" i="4"/>
  <c r="I309" i="4"/>
  <c r="G309" i="4"/>
  <c r="E309" i="4"/>
  <c r="C309" i="4"/>
  <c r="C353" i="4" s="1"/>
  <c r="J655" i="4"/>
  <c r="I655" i="4"/>
  <c r="G655" i="4"/>
  <c r="E655" i="4"/>
  <c r="C655" i="4"/>
  <c r="J654" i="4"/>
  <c r="I654" i="4"/>
  <c r="H654" i="4"/>
  <c r="J650" i="4"/>
  <c r="I650" i="4"/>
  <c r="G650" i="4"/>
  <c r="E650" i="4"/>
  <c r="C650" i="4"/>
  <c r="J647" i="4"/>
  <c r="I647" i="4"/>
  <c r="H647" i="4"/>
  <c r="G647" i="4"/>
  <c r="F647" i="4"/>
  <c r="E647" i="4"/>
  <c r="D647" i="4"/>
  <c r="C647" i="4"/>
  <c r="J643" i="4"/>
  <c r="I643" i="4"/>
  <c r="H643" i="4"/>
  <c r="G643" i="4"/>
  <c r="F643" i="4"/>
  <c r="E643" i="4"/>
  <c r="D643" i="4"/>
  <c r="C643" i="4"/>
  <c r="J642" i="4"/>
  <c r="I642" i="4"/>
  <c r="H642" i="4"/>
  <c r="G642" i="4"/>
  <c r="F642" i="4"/>
  <c r="E642" i="4"/>
  <c r="D642" i="4"/>
  <c r="C642" i="4"/>
  <c r="J640" i="4"/>
  <c r="I640" i="4"/>
  <c r="H640" i="4"/>
  <c r="G640" i="4"/>
  <c r="F640" i="4"/>
  <c r="E640" i="4"/>
  <c r="D640" i="4"/>
  <c r="C640" i="4"/>
  <c r="J637" i="4"/>
  <c r="I637" i="4"/>
  <c r="H637" i="4"/>
  <c r="G637" i="4"/>
  <c r="F637" i="4"/>
  <c r="E637" i="4"/>
  <c r="D637" i="4"/>
  <c r="C637" i="4"/>
  <c r="AW634" i="4"/>
  <c r="AV634" i="4"/>
  <c r="AU634" i="4"/>
  <c r="AT634" i="4"/>
  <c r="AW633" i="4"/>
  <c r="AV633" i="4"/>
  <c r="AU633" i="4"/>
  <c r="AT633" i="4"/>
  <c r="AT640" i="4" s="1"/>
  <c r="AW632" i="4"/>
  <c r="AV632" i="4"/>
  <c r="AU632" i="4"/>
  <c r="AT632" i="4"/>
  <c r="AW631" i="4"/>
  <c r="AV631" i="4"/>
  <c r="AU631" i="4"/>
  <c r="AT631" i="4"/>
  <c r="J630" i="4"/>
  <c r="I630" i="4"/>
  <c r="H630" i="4"/>
  <c r="AV630" i="4" s="1"/>
  <c r="G630" i="4"/>
  <c r="F630" i="4"/>
  <c r="E630" i="4"/>
  <c r="D630" i="4"/>
  <c r="C630" i="4"/>
  <c r="C639" i="4" s="1"/>
  <c r="AW629" i="4"/>
  <c r="AV629" i="4"/>
  <c r="AW628" i="4"/>
  <c r="AV628" i="4"/>
  <c r="AU628" i="4"/>
  <c r="AT628" i="4"/>
  <c r="AW627" i="4"/>
  <c r="AV627" i="4"/>
  <c r="AU627" i="4"/>
  <c r="AT627" i="4"/>
  <c r="AT637" i="4" s="1"/>
  <c r="I620" i="4"/>
  <c r="J620" i="4" s="1"/>
  <c r="AW620" i="4" s="1"/>
  <c r="G620" i="4"/>
  <c r="E620" i="4"/>
  <c r="C620" i="4"/>
  <c r="AW616" i="4"/>
  <c r="AV616" i="4"/>
  <c r="AU616" i="4"/>
  <c r="AT616" i="4"/>
  <c r="G614" i="4"/>
  <c r="G615" i="4" s="1"/>
  <c r="G617" i="4" s="1"/>
  <c r="G593" i="4" s="1"/>
  <c r="E614" i="4"/>
  <c r="E653" i="4" s="1"/>
  <c r="C614" i="4"/>
  <c r="AW613" i="4"/>
  <c r="AW612" i="4"/>
  <c r="J610" i="4"/>
  <c r="I610" i="4"/>
  <c r="G610" i="4"/>
  <c r="E610" i="4"/>
  <c r="C610" i="4"/>
  <c r="C648" i="4" s="1"/>
  <c r="AW609" i="4"/>
  <c r="AV609" i="4"/>
  <c r="AU609" i="4"/>
  <c r="AT609" i="4"/>
  <c r="AW608" i="4"/>
  <c r="AV608" i="4"/>
  <c r="AW607" i="4"/>
  <c r="J605" i="4"/>
  <c r="I605" i="4"/>
  <c r="G605" i="4"/>
  <c r="E605" i="4"/>
  <c r="C605" i="4"/>
  <c r="C645" i="4" s="1"/>
  <c r="AW604" i="4"/>
  <c r="AW603" i="4"/>
  <c r="AV603" i="4"/>
  <c r="AU603" i="4"/>
  <c r="AT603" i="4"/>
  <c r="AT643" i="4" s="1"/>
  <c r="AW602" i="4"/>
  <c r="AV602" i="4"/>
  <c r="AU602" i="4"/>
  <c r="AT602" i="4"/>
  <c r="AW601" i="4"/>
  <c r="AV601" i="4"/>
  <c r="AU601" i="4"/>
  <c r="AT601" i="4"/>
  <c r="AW600" i="4"/>
  <c r="AV600" i="4"/>
  <c r="AU600" i="4"/>
  <c r="AT600" i="4"/>
  <c r="AW599" i="4"/>
  <c r="AV599" i="4"/>
  <c r="AU599" i="4"/>
  <c r="AT599" i="4"/>
  <c r="AW598" i="4"/>
  <c r="AV598" i="4"/>
  <c r="AU598" i="4"/>
  <c r="AT598" i="4"/>
  <c r="J597" i="4"/>
  <c r="I597" i="4"/>
  <c r="H597" i="4"/>
  <c r="G597" i="4"/>
  <c r="F597" i="4"/>
  <c r="E597" i="4"/>
  <c r="D597" i="4"/>
  <c r="C597" i="4"/>
  <c r="C638" i="4" s="1"/>
  <c r="J587" i="4"/>
  <c r="J588" i="4" s="1"/>
  <c r="I587" i="4"/>
  <c r="I588" i="4" s="1"/>
  <c r="G587" i="4"/>
  <c r="E587" i="4"/>
  <c r="C587" i="4"/>
  <c r="C588" i="4" s="1"/>
  <c r="J586" i="4"/>
  <c r="I586" i="4"/>
  <c r="H586" i="4"/>
  <c r="J581" i="4"/>
  <c r="I581" i="4"/>
  <c r="G581" i="4"/>
  <c r="E581" i="4"/>
  <c r="C581" i="4"/>
  <c r="J577" i="4"/>
  <c r="J576" i="4"/>
  <c r="C576" i="4"/>
  <c r="J574" i="4"/>
  <c r="C574" i="4"/>
  <c r="J573" i="4"/>
  <c r="I573" i="4"/>
  <c r="H573" i="4"/>
  <c r="G573" i="4"/>
  <c r="F573" i="4"/>
  <c r="E573" i="4"/>
  <c r="D573" i="4"/>
  <c r="C573" i="4"/>
  <c r="J570" i="4"/>
  <c r="I570" i="4"/>
  <c r="H570" i="4"/>
  <c r="G570" i="4"/>
  <c r="F570" i="4"/>
  <c r="E570" i="4"/>
  <c r="D570" i="4"/>
  <c r="C570" i="4"/>
  <c r="J567" i="4"/>
  <c r="I567" i="4"/>
  <c r="H567" i="4"/>
  <c r="G567" i="4"/>
  <c r="F567" i="4"/>
  <c r="E567" i="4"/>
  <c r="D567" i="4"/>
  <c r="C567" i="4"/>
  <c r="AW564" i="4"/>
  <c r="AV564" i="4"/>
  <c r="AU564" i="4"/>
  <c r="AT564" i="4"/>
  <c r="AX564" i="4"/>
  <c r="AW563" i="4"/>
  <c r="AV563" i="4"/>
  <c r="AU563" i="4"/>
  <c r="AT563" i="4"/>
  <c r="AT570" i="4" s="1"/>
  <c r="AW562" i="4"/>
  <c r="AV562" i="4"/>
  <c r="AU562" i="4"/>
  <c r="AT562" i="4"/>
  <c r="AW561" i="4"/>
  <c r="AV561" i="4"/>
  <c r="AU561" i="4"/>
  <c r="AT561" i="4"/>
  <c r="J560" i="4"/>
  <c r="AW560" i="4" s="1"/>
  <c r="I560" i="4"/>
  <c r="H560" i="4"/>
  <c r="G560" i="4"/>
  <c r="F560" i="4"/>
  <c r="E560" i="4"/>
  <c r="D560" i="4"/>
  <c r="AT560" i="4" s="1"/>
  <c r="AT569" i="4" s="1"/>
  <c r="C560" i="4"/>
  <c r="C569" i="4" s="1"/>
  <c r="AW559" i="4"/>
  <c r="AV559" i="4"/>
  <c r="G586" i="4"/>
  <c r="AW558" i="4"/>
  <c r="AV558" i="4"/>
  <c r="AU558" i="4"/>
  <c r="AT558" i="4"/>
  <c r="AW557" i="4"/>
  <c r="AV557" i="4"/>
  <c r="AU557" i="4"/>
  <c r="AT557" i="4"/>
  <c r="AT567" i="4" s="1"/>
  <c r="AX557" i="4"/>
  <c r="I550" i="4"/>
  <c r="J550" i="4" s="1"/>
  <c r="AW550" i="4" s="1"/>
  <c r="G550" i="4"/>
  <c r="E550" i="4"/>
  <c r="C550" i="4"/>
  <c r="AW546" i="4"/>
  <c r="AV546" i="4"/>
  <c r="AU546" i="4"/>
  <c r="AT546" i="4"/>
  <c r="J544" i="4"/>
  <c r="J545" i="4" s="1"/>
  <c r="J547" i="4" s="1"/>
  <c r="J522" i="4" s="1"/>
  <c r="I544" i="4"/>
  <c r="I585" i="4" s="1"/>
  <c r="G544" i="4"/>
  <c r="E544" i="4"/>
  <c r="E545" i="4" s="1"/>
  <c r="E547" i="4" s="1"/>
  <c r="E522" i="4" s="1"/>
  <c r="C544" i="4"/>
  <c r="AW543" i="4"/>
  <c r="AW542" i="4"/>
  <c r="J540" i="4"/>
  <c r="I540" i="4"/>
  <c r="G540" i="4"/>
  <c r="AW539" i="4"/>
  <c r="AW538" i="4"/>
  <c r="AW537" i="4"/>
  <c r="E537" i="4"/>
  <c r="E540" i="4" s="1"/>
  <c r="C537" i="4"/>
  <c r="C243" i="4" s="1"/>
  <c r="C289" i="4" s="1"/>
  <c r="AW536" i="4"/>
  <c r="AW533" i="4"/>
  <c r="AW532" i="4"/>
  <c r="AV532" i="4"/>
  <c r="AU532" i="4"/>
  <c r="AT532" i="4"/>
  <c r="J531" i="4"/>
  <c r="I531" i="4"/>
  <c r="G531" i="4"/>
  <c r="E531" i="4"/>
  <c r="C531" i="4"/>
  <c r="J529" i="4"/>
  <c r="J572" i="4" s="1"/>
  <c r="I529" i="4"/>
  <c r="I572" i="4" s="1"/>
  <c r="G529" i="4"/>
  <c r="G572" i="4" s="1"/>
  <c r="E529" i="4"/>
  <c r="E572" i="4" s="1"/>
  <c r="C529" i="4"/>
  <c r="C572" i="4" s="1"/>
  <c r="AW527" i="4"/>
  <c r="AV527" i="4"/>
  <c r="AU527" i="4"/>
  <c r="AT527" i="4"/>
  <c r="AT568" i="4" s="1"/>
  <c r="J526" i="4"/>
  <c r="I526" i="4"/>
  <c r="H526" i="4"/>
  <c r="G526" i="4"/>
  <c r="F526" i="4"/>
  <c r="E526" i="4"/>
  <c r="D526" i="4"/>
  <c r="C526" i="4"/>
  <c r="C568" i="4" s="1"/>
  <c r="J219" i="4"/>
  <c r="J220" i="4" s="1"/>
  <c r="I219" i="4"/>
  <c r="I220" i="4" s="1"/>
  <c r="G219" i="4"/>
  <c r="G220" i="4" s="1"/>
  <c r="E219" i="4"/>
  <c r="E220" i="4" s="1"/>
  <c r="C219" i="4"/>
  <c r="C220" i="4" s="1"/>
  <c r="J218" i="4"/>
  <c r="I218" i="4"/>
  <c r="H218" i="4"/>
  <c r="J213" i="4"/>
  <c r="I213" i="4"/>
  <c r="G213" i="4"/>
  <c r="E213" i="4"/>
  <c r="C213" i="4"/>
  <c r="J209" i="4"/>
  <c r="I209" i="4"/>
  <c r="H209" i="4"/>
  <c r="C209" i="4"/>
  <c r="J207" i="4"/>
  <c r="C207" i="4"/>
  <c r="J206" i="4"/>
  <c r="I206" i="4"/>
  <c r="H206" i="4"/>
  <c r="G206" i="4"/>
  <c r="F206" i="4"/>
  <c r="E206" i="4"/>
  <c r="D206" i="4"/>
  <c r="C206" i="4"/>
  <c r="J205" i="4"/>
  <c r="AJ205" i="4"/>
  <c r="AK205" i="4" s="1"/>
  <c r="AL205" i="4" s="1"/>
  <c r="AM205" i="4" s="1"/>
  <c r="AN205" i="4" s="1"/>
  <c r="AO205" i="4" s="1"/>
  <c r="AP205" i="4" s="1"/>
  <c r="AQ205" i="4" s="1"/>
  <c r="AR205" i="4" s="1"/>
  <c r="I205" i="4"/>
  <c r="H205" i="4"/>
  <c r="G205" i="4"/>
  <c r="F205" i="4"/>
  <c r="E205" i="4"/>
  <c r="D205" i="4"/>
  <c r="C205" i="4"/>
  <c r="J203" i="4"/>
  <c r="I203" i="4"/>
  <c r="H203" i="4"/>
  <c r="G203" i="4"/>
  <c r="F203" i="4"/>
  <c r="E203" i="4"/>
  <c r="D203" i="4"/>
  <c r="C203" i="4"/>
  <c r="J200" i="4"/>
  <c r="I200" i="4"/>
  <c r="H200" i="4"/>
  <c r="G200" i="4"/>
  <c r="F200" i="4"/>
  <c r="E200" i="4"/>
  <c r="D200" i="4"/>
  <c r="C200" i="4"/>
  <c r="AW197" i="4"/>
  <c r="AV197" i="4"/>
  <c r="AU197" i="4"/>
  <c r="AT197" i="4"/>
  <c r="AW196" i="4"/>
  <c r="AV196" i="4"/>
  <c r="AU196" i="4"/>
  <c r="AT196" i="4"/>
  <c r="AW195" i="4"/>
  <c r="AV195" i="4"/>
  <c r="AU195" i="4"/>
  <c r="AT195" i="4"/>
  <c r="AW194" i="4"/>
  <c r="AV194" i="4"/>
  <c r="AU194" i="4"/>
  <c r="AT194" i="4"/>
  <c r="J193" i="4"/>
  <c r="AW193" i="4" s="1"/>
  <c r="I193" i="4"/>
  <c r="H193" i="4"/>
  <c r="AV193" i="4" s="1"/>
  <c r="G193" i="4"/>
  <c r="F193" i="4"/>
  <c r="AU193" i="4" s="1"/>
  <c r="E193" i="4"/>
  <c r="D193" i="4"/>
  <c r="AT193" i="4" s="1"/>
  <c r="C193" i="4"/>
  <c r="AW192" i="4"/>
  <c r="AV192" i="4"/>
  <c r="AW191" i="4"/>
  <c r="AV191" i="4"/>
  <c r="AU191" i="4"/>
  <c r="AT191" i="4"/>
  <c r="AW190" i="4"/>
  <c r="AV190" i="4"/>
  <c r="AU190" i="4"/>
  <c r="AT190" i="4"/>
  <c r="I183" i="4"/>
  <c r="G183" i="4"/>
  <c r="E183" i="4"/>
  <c r="C183" i="4"/>
  <c r="AW179" i="4"/>
  <c r="J177" i="4"/>
  <c r="K216" i="4" s="1"/>
  <c r="I177" i="4"/>
  <c r="G177" i="4"/>
  <c r="G178" i="4" s="1"/>
  <c r="G180" i="4" s="1"/>
  <c r="G153" i="4" s="1"/>
  <c r="E177" i="4"/>
  <c r="E217" i="4" s="1"/>
  <c r="C177" i="4"/>
  <c r="C178" i="4" s="1"/>
  <c r="C180" i="4" s="1"/>
  <c r="C153" i="4" s="1"/>
  <c r="AW176" i="4"/>
  <c r="AW175" i="4"/>
  <c r="J173" i="4"/>
  <c r="I173" i="4"/>
  <c r="G173" i="4"/>
  <c r="E173" i="4"/>
  <c r="C173" i="4"/>
  <c r="AW169" i="4"/>
  <c r="AW168" i="4"/>
  <c r="AV168" i="4"/>
  <c r="AW167" i="4"/>
  <c r="AV167" i="4"/>
  <c r="J165" i="4"/>
  <c r="I165" i="4"/>
  <c r="G165" i="4"/>
  <c r="E165" i="4"/>
  <c r="C165" i="4"/>
  <c r="C208" i="4" s="1"/>
  <c r="AW164" i="4"/>
  <c r="AW163" i="4"/>
  <c r="AV163" i="4"/>
  <c r="AU163" i="4"/>
  <c r="AT163" i="4"/>
  <c r="AW162" i="4"/>
  <c r="AV162" i="4"/>
  <c r="AU162" i="4"/>
  <c r="AT162" i="4"/>
  <c r="AW161" i="4"/>
  <c r="AV161" i="4"/>
  <c r="AU161" i="4"/>
  <c r="AT161" i="4"/>
  <c r="AW160" i="4"/>
  <c r="AV160" i="4"/>
  <c r="AU160" i="4"/>
  <c r="AT160" i="4"/>
  <c r="AW159" i="4"/>
  <c r="AW158" i="4"/>
  <c r="J728" i="4"/>
  <c r="J729" i="4" s="1"/>
  <c r="I728" i="4"/>
  <c r="I729" i="4" s="1"/>
  <c r="G728" i="4"/>
  <c r="G729" i="4" s="1"/>
  <c r="E728" i="4"/>
  <c r="E729" i="4" s="1"/>
  <c r="C728" i="4"/>
  <c r="C729" i="4" s="1"/>
  <c r="AI727" i="4"/>
  <c r="AJ727" i="4" s="1"/>
  <c r="AK727" i="4" s="1"/>
  <c r="AL727" i="4" s="1"/>
  <c r="AM727" i="4" s="1"/>
  <c r="AN727" i="4" s="1"/>
  <c r="AO727" i="4" s="1"/>
  <c r="AP727" i="4" s="1"/>
  <c r="AQ727" i="4" s="1"/>
  <c r="AR727" i="4" s="1"/>
  <c r="J727" i="4"/>
  <c r="I727" i="4"/>
  <c r="H727" i="4"/>
  <c r="J722" i="4"/>
  <c r="I722" i="4"/>
  <c r="G722" i="4"/>
  <c r="E722" i="4"/>
  <c r="C722" i="4"/>
  <c r="J718" i="4"/>
  <c r="I718" i="4"/>
  <c r="H718" i="4"/>
  <c r="G718" i="4"/>
  <c r="F718" i="4"/>
  <c r="E718" i="4"/>
  <c r="D718" i="4"/>
  <c r="C718" i="4"/>
  <c r="J716" i="4"/>
  <c r="I716" i="4"/>
  <c r="H716" i="4"/>
  <c r="G716" i="4"/>
  <c r="F716" i="4"/>
  <c r="E716" i="4"/>
  <c r="D716" i="4"/>
  <c r="C716" i="4"/>
  <c r="J715" i="4"/>
  <c r="I715" i="4"/>
  <c r="H715" i="4"/>
  <c r="G715" i="4"/>
  <c r="F715" i="4"/>
  <c r="E715" i="4"/>
  <c r="D715" i="4"/>
  <c r="C715" i="4"/>
  <c r="J714" i="4"/>
  <c r="I714" i="4"/>
  <c r="H714" i="4"/>
  <c r="G714" i="4"/>
  <c r="F714" i="4"/>
  <c r="E714" i="4"/>
  <c r="D714" i="4"/>
  <c r="C714" i="4"/>
  <c r="J712" i="4"/>
  <c r="I712" i="4"/>
  <c r="H712" i="4"/>
  <c r="G712" i="4"/>
  <c r="F712" i="4"/>
  <c r="E712" i="4"/>
  <c r="D712" i="4"/>
  <c r="C712" i="4"/>
  <c r="J709" i="4"/>
  <c r="I709" i="4"/>
  <c r="H709" i="4"/>
  <c r="G709" i="4"/>
  <c r="F709" i="4"/>
  <c r="E709" i="4"/>
  <c r="D709" i="4"/>
  <c r="C709" i="4"/>
  <c r="AW706" i="4"/>
  <c r="AV706" i="4"/>
  <c r="AU706" i="4"/>
  <c r="AT706" i="4"/>
  <c r="AX706" i="4"/>
  <c r="AW705" i="4"/>
  <c r="AV705" i="4"/>
  <c r="AU705" i="4"/>
  <c r="AT705" i="4"/>
  <c r="AW704" i="4"/>
  <c r="AV704" i="4"/>
  <c r="AU704" i="4"/>
  <c r="AT704" i="4"/>
  <c r="AW703" i="4"/>
  <c r="AV703" i="4"/>
  <c r="AU703" i="4"/>
  <c r="AT703" i="4"/>
  <c r="J702" i="4"/>
  <c r="I702" i="4"/>
  <c r="H702" i="4"/>
  <c r="G702" i="4"/>
  <c r="F702" i="4"/>
  <c r="E702" i="4"/>
  <c r="D702" i="4"/>
  <c r="AT702" i="4" s="1"/>
  <c r="C702" i="4"/>
  <c r="C713" i="4" s="1"/>
  <c r="AW701" i="4"/>
  <c r="AV701" i="4"/>
  <c r="G727" i="4"/>
  <c r="AW700" i="4"/>
  <c r="AV700" i="4"/>
  <c r="AU700" i="4"/>
  <c r="AT700" i="4"/>
  <c r="AW698" i="4"/>
  <c r="AV698" i="4"/>
  <c r="AU698" i="4"/>
  <c r="AT698" i="4"/>
  <c r="I691" i="4"/>
  <c r="J691" i="4" s="1"/>
  <c r="AW691" i="4" s="1"/>
  <c r="G691" i="4"/>
  <c r="E691" i="4"/>
  <c r="C691" i="4"/>
  <c r="AW687" i="4"/>
  <c r="AU687" i="4"/>
  <c r="J685" i="4"/>
  <c r="J686" i="4" s="1"/>
  <c r="J688" i="4" s="1"/>
  <c r="J661" i="4" s="1"/>
  <c r="I685" i="4"/>
  <c r="G685" i="4"/>
  <c r="G726" i="4" s="1"/>
  <c r="E685" i="4"/>
  <c r="E726" i="4" s="1"/>
  <c r="C685" i="4"/>
  <c r="C726" i="4" s="1"/>
  <c r="AW684" i="4"/>
  <c r="AU684" i="4"/>
  <c r="AT684" i="4"/>
  <c r="AW683" i="4"/>
  <c r="J681" i="4"/>
  <c r="I681" i="4"/>
  <c r="G681" i="4"/>
  <c r="E681" i="4"/>
  <c r="C681" i="4"/>
  <c r="AW677" i="4"/>
  <c r="AW676" i="4"/>
  <c r="AW675" i="4"/>
  <c r="AV675" i="4"/>
  <c r="AU675" i="4"/>
  <c r="AT675" i="4"/>
  <c r="J673" i="4"/>
  <c r="I673" i="4"/>
  <c r="G673" i="4"/>
  <c r="E673" i="4"/>
  <c r="C673" i="4"/>
  <c r="C717" i="4" s="1"/>
  <c r="AW672" i="4"/>
  <c r="AV672" i="4"/>
  <c r="AU672" i="4"/>
  <c r="AT672" i="4"/>
  <c r="AW671" i="4"/>
  <c r="AV671" i="4"/>
  <c r="AU671" i="4"/>
  <c r="AT671" i="4"/>
  <c r="AT715" i="4" s="1"/>
  <c r="BB670" i="4"/>
  <c r="BA670" i="4"/>
  <c r="AZ670" i="4"/>
  <c r="AY670" i="4"/>
  <c r="AX670" i="4"/>
  <c r="AW670" i="4"/>
  <c r="AV670" i="4"/>
  <c r="AU670" i="4"/>
  <c r="AT670" i="4"/>
  <c r="BB669" i="4"/>
  <c r="BA669" i="4"/>
  <c r="AZ669" i="4"/>
  <c r="AY669" i="4"/>
  <c r="AX669" i="4"/>
  <c r="AW669" i="4"/>
  <c r="AV669" i="4"/>
  <c r="AU669" i="4"/>
  <c r="AT669" i="4"/>
  <c r="AW668" i="4"/>
  <c r="AV668" i="4"/>
  <c r="AU668" i="4"/>
  <c r="AT668" i="4"/>
  <c r="AW667" i="4"/>
  <c r="AV667" i="4"/>
  <c r="AU667" i="4"/>
  <c r="AT667" i="4"/>
  <c r="AW666" i="4"/>
  <c r="J664" i="4"/>
  <c r="J156" i="4" s="1"/>
  <c r="K156" i="4" s="1"/>
  <c r="I664" i="4"/>
  <c r="I156" i="4" s="1"/>
  <c r="H664" i="4"/>
  <c r="G664" i="4"/>
  <c r="G156" i="4" s="1"/>
  <c r="F664" i="4"/>
  <c r="F156" i="4" s="1"/>
  <c r="E664" i="4"/>
  <c r="E156" i="4" s="1"/>
  <c r="D664" i="4"/>
  <c r="D156" i="4" s="1"/>
  <c r="C664" i="4"/>
  <c r="C156" i="4" s="1"/>
  <c r="J142" i="4"/>
  <c r="J143" i="4" s="1"/>
  <c r="I142" i="4"/>
  <c r="I143" i="4" s="1"/>
  <c r="G142" i="4"/>
  <c r="G143" i="4" s="1"/>
  <c r="E142" i="4"/>
  <c r="E143" i="4" s="1"/>
  <c r="C142" i="4"/>
  <c r="C143" i="4" s="1"/>
  <c r="J141" i="4"/>
  <c r="I141" i="4"/>
  <c r="H141" i="4"/>
  <c r="J136" i="4"/>
  <c r="I136" i="4"/>
  <c r="G136" i="4"/>
  <c r="E136" i="4"/>
  <c r="C136" i="4"/>
  <c r="J132" i="4"/>
  <c r="C132" i="4"/>
  <c r="J130" i="4"/>
  <c r="C130" i="4"/>
  <c r="J129" i="4"/>
  <c r="C129" i="4"/>
  <c r="J123" i="4"/>
  <c r="I123" i="4"/>
  <c r="H123" i="4"/>
  <c r="G123" i="4"/>
  <c r="F123" i="4"/>
  <c r="E123" i="4"/>
  <c r="D123" i="4"/>
  <c r="C123" i="4"/>
  <c r="AW120" i="4"/>
  <c r="AV120" i="4"/>
  <c r="AU120" i="4"/>
  <c r="AT120" i="4"/>
  <c r="J118" i="4"/>
  <c r="AW118" i="4" s="1"/>
  <c r="I118" i="4"/>
  <c r="H118" i="4"/>
  <c r="AV118" i="4" s="1"/>
  <c r="G118" i="4"/>
  <c r="F118" i="4"/>
  <c r="AU118" i="4" s="1"/>
  <c r="E118" i="4"/>
  <c r="D118" i="4"/>
  <c r="C118" i="4"/>
  <c r="C126" i="4" s="1"/>
  <c r="AW117" i="4"/>
  <c r="AV117" i="4"/>
  <c r="AU117" i="4"/>
  <c r="AT117" i="4"/>
  <c r="J116" i="4"/>
  <c r="J115" i="4" s="1"/>
  <c r="AW115" i="4" s="1"/>
  <c r="I116" i="4"/>
  <c r="H116" i="4"/>
  <c r="AV116" i="4" s="1"/>
  <c r="G116" i="4"/>
  <c r="F116" i="4"/>
  <c r="F115" i="4" s="1"/>
  <c r="AU115" i="4" s="1"/>
  <c r="E116" i="4"/>
  <c r="D116" i="4"/>
  <c r="D115" i="4" s="1"/>
  <c r="C116" i="4"/>
  <c r="C115" i="4" s="1"/>
  <c r="AW114" i="4"/>
  <c r="AV114" i="4"/>
  <c r="G141" i="4"/>
  <c r="AW113" i="4"/>
  <c r="AV113" i="4"/>
  <c r="AU113" i="4"/>
  <c r="AT113" i="4"/>
  <c r="AW112" i="4"/>
  <c r="AV112" i="4"/>
  <c r="AU112" i="4"/>
  <c r="AT112" i="4"/>
  <c r="AW101" i="4"/>
  <c r="J99" i="4"/>
  <c r="J140" i="4" s="1"/>
  <c r="I99" i="4"/>
  <c r="I140" i="4" s="1"/>
  <c r="G99" i="4"/>
  <c r="G140" i="4" s="1"/>
  <c r="E99" i="4"/>
  <c r="E140" i="4" s="1"/>
  <c r="C99" i="4"/>
  <c r="AW98" i="4"/>
  <c r="AW97" i="4"/>
  <c r="J95" i="4"/>
  <c r="I95" i="4"/>
  <c r="E95" i="4"/>
  <c r="C95" i="4"/>
  <c r="AW91" i="4"/>
  <c r="AW90" i="4"/>
  <c r="AW89" i="4"/>
  <c r="G89" i="4"/>
  <c r="H89" i="4" s="1"/>
  <c r="I132" i="4" s="1"/>
  <c r="AW86" i="4"/>
  <c r="AW85" i="4"/>
  <c r="AW84" i="4"/>
  <c r="AX84" i="4"/>
  <c r="J83" i="4"/>
  <c r="I83" i="4"/>
  <c r="G83" i="4"/>
  <c r="E83" i="4"/>
  <c r="C83" i="4"/>
  <c r="AW82" i="4"/>
  <c r="I81" i="4"/>
  <c r="G81" i="4"/>
  <c r="E81" i="4"/>
  <c r="C81" i="4"/>
  <c r="AW80" i="4"/>
  <c r="AV80" i="4"/>
  <c r="J79" i="4"/>
  <c r="I79" i="4"/>
  <c r="H79" i="4"/>
  <c r="G79" i="4"/>
  <c r="E79" i="4"/>
  <c r="C79" i="4"/>
  <c r="C124" i="4" s="1"/>
  <c r="G62" i="4"/>
  <c r="E62" i="4"/>
  <c r="C62" i="4"/>
  <c r="J58" i="4"/>
  <c r="C58" i="4"/>
  <c r="J56" i="4"/>
  <c r="C56" i="4"/>
  <c r="J55" i="4"/>
  <c r="C55" i="4"/>
  <c r="J52" i="4"/>
  <c r="I52" i="4"/>
  <c r="H52" i="4"/>
  <c r="G52" i="4"/>
  <c r="F52" i="4"/>
  <c r="E52" i="4"/>
  <c r="D52" i="4"/>
  <c r="C52" i="4"/>
  <c r="J49" i="4"/>
  <c r="I49" i="4"/>
  <c r="H49" i="4"/>
  <c r="G49" i="4"/>
  <c r="F49" i="4"/>
  <c r="E49" i="4"/>
  <c r="D49" i="4"/>
  <c r="C49" i="4"/>
  <c r="AW46" i="4"/>
  <c r="BC537" i="3" s="1"/>
  <c r="AV46" i="4"/>
  <c r="AU46" i="4"/>
  <c r="AT46" i="4"/>
  <c r="AW45" i="4"/>
  <c r="AV45" i="4"/>
  <c r="AU45" i="4"/>
  <c r="AT45" i="4"/>
  <c r="AW44" i="4"/>
  <c r="AV44" i="4"/>
  <c r="AU44" i="4"/>
  <c r="AT44" i="4"/>
  <c r="AW43" i="4"/>
  <c r="AV43" i="4"/>
  <c r="AU43" i="4"/>
  <c r="AT43" i="4"/>
  <c r="J42" i="4"/>
  <c r="AW42" i="4" s="1"/>
  <c r="I42" i="4"/>
  <c r="H42" i="4"/>
  <c r="AV42" i="4" s="1"/>
  <c r="G42" i="4"/>
  <c r="F42" i="4"/>
  <c r="AU42" i="4" s="1"/>
  <c r="E42" i="4"/>
  <c r="D42" i="4"/>
  <c r="AT42" i="4" s="1"/>
  <c r="C42" i="4"/>
  <c r="C51" i="4" s="1"/>
  <c r="AW39" i="4"/>
  <c r="AV39" i="4"/>
  <c r="AU39" i="4"/>
  <c r="AT39" i="4"/>
  <c r="AW35" i="4"/>
  <c r="AV35" i="4"/>
  <c r="AU35" i="4"/>
  <c r="AT35" i="4"/>
  <c r="AW34" i="4"/>
  <c r="AW33" i="4"/>
  <c r="G31" i="4"/>
  <c r="G32" i="4" s="1"/>
  <c r="E31" i="4"/>
  <c r="E32" i="4" s="1"/>
  <c r="E67" i="4" s="1"/>
  <c r="E518" i="4" s="1"/>
  <c r="AW30" i="4"/>
  <c r="J29" i="4"/>
  <c r="J31" i="4" s="1"/>
  <c r="I29" i="4"/>
  <c r="I31" i="4" s="1"/>
  <c r="J23" i="4"/>
  <c r="I23" i="4"/>
  <c r="I27" i="4" s="1"/>
  <c r="G23" i="4"/>
  <c r="E23" i="4"/>
  <c r="E27" i="4" s="1"/>
  <c r="C23" i="4"/>
  <c r="AW22" i="4"/>
  <c r="AW21" i="4"/>
  <c r="K58" i="4"/>
  <c r="AW18" i="4"/>
  <c r="AW17" i="4"/>
  <c r="AW16" i="4"/>
  <c r="J15" i="4"/>
  <c r="I15" i="4"/>
  <c r="J64" i="3" s="1"/>
  <c r="G15" i="4"/>
  <c r="H64" i="3" s="1"/>
  <c r="E15" i="4"/>
  <c r="C15" i="4"/>
  <c r="AW14" i="4"/>
  <c r="J13" i="4"/>
  <c r="I13" i="4"/>
  <c r="J63" i="3" s="1"/>
  <c r="G13" i="4"/>
  <c r="E13" i="4"/>
  <c r="C13" i="4"/>
  <c r="D63" i="3" s="1"/>
  <c r="AW12" i="4"/>
  <c r="AX687" i="4"/>
  <c r="AX162" i="4"/>
  <c r="AX631" i="4"/>
  <c r="AX320" i="4"/>
  <c r="AX331" i="4"/>
  <c r="AX196" i="4"/>
  <c r="AX194" i="4"/>
  <c r="AX86" i="4"/>
  <c r="AX90" i="4"/>
  <c r="AX101" i="4"/>
  <c r="AX672" i="4"/>
  <c r="AX676" i="4"/>
  <c r="AX698" i="4"/>
  <c r="AX160" i="4"/>
  <c r="AX164" i="4"/>
  <c r="AX168" i="4"/>
  <c r="AX179" i="4"/>
  <c r="AX537" i="4"/>
  <c r="AX310" i="4"/>
  <c r="AX314" i="4"/>
  <c r="AX328" i="4"/>
  <c r="AX457" i="4"/>
  <c r="AX120" i="4"/>
  <c r="AX98" i="4"/>
  <c r="AY101" i="4"/>
  <c r="AX85" i="4"/>
  <c r="AX703" i="4"/>
  <c r="AX705" i="4"/>
  <c r="AX195" i="4"/>
  <c r="AX561" i="4"/>
  <c r="AX563" i="4"/>
  <c r="AX197" i="4"/>
  <c r="AX161" i="4"/>
  <c r="AX163" i="4"/>
  <c r="AX167" i="4"/>
  <c r="G218" i="4"/>
  <c r="AX532" i="4"/>
  <c r="AX536" i="4"/>
  <c r="AX538" i="4"/>
  <c r="AX546" i="4"/>
  <c r="AY603" i="4"/>
  <c r="AX533" i="4"/>
  <c r="AX599" i="4"/>
  <c r="AX601" i="4"/>
  <c r="AX603" i="4"/>
  <c r="AX604" i="4"/>
  <c r="AX633" i="4"/>
  <c r="AX311" i="4"/>
  <c r="AX316" i="4"/>
  <c r="AX349" i="4"/>
  <c r="AX600" i="4"/>
  <c r="AX602" i="4"/>
  <c r="AX608" i="4"/>
  <c r="AX616" i="4"/>
  <c r="G654" i="4"/>
  <c r="AX346" i="4"/>
  <c r="AX348" i="4"/>
  <c r="AX319" i="4"/>
  <c r="AY455" i="4"/>
  <c r="AX454" i="4"/>
  <c r="AX455" i="4"/>
  <c r="AX456" i="4"/>
  <c r="AY532" i="4"/>
  <c r="AY312" i="4"/>
  <c r="AY537" i="4"/>
  <c r="AY536" i="4"/>
  <c r="AY314" i="4"/>
  <c r="AY163" i="4"/>
  <c r="AY160" i="4"/>
  <c r="AX315" i="4"/>
  <c r="AX684" i="4"/>
  <c r="AX35" i="4"/>
  <c r="AY456" i="4"/>
  <c r="AY342" i="4"/>
  <c r="AX634" i="4"/>
  <c r="AX627" i="4"/>
  <c r="AY599" i="4"/>
  <c r="AY557" i="4"/>
  <c r="AY706" i="4"/>
  <c r="AX159" i="4"/>
  <c r="AY197" i="4"/>
  <c r="AX701" i="4"/>
  <c r="AX700" i="4"/>
  <c r="K52" i="4"/>
  <c r="AY84" i="4"/>
  <c r="AY457" i="4"/>
  <c r="AY331" i="4"/>
  <c r="AY320" i="4"/>
  <c r="AY349" i="4"/>
  <c r="AY601" i="4"/>
  <c r="AY564" i="4"/>
  <c r="AY164" i="4"/>
  <c r="AX313" i="4"/>
  <c r="AX176" i="4"/>
  <c r="AY179" i="4"/>
  <c r="AY168" i="4"/>
  <c r="AY167" i="4"/>
  <c r="AY546" i="4"/>
  <c r="AY538" i="4"/>
  <c r="AY533" i="4"/>
  <c r="AY162" i="4"/>
  <c r="AY161" i="4"/>
  <c r="AY676" i="4"/>
  <c r="AX671" i="4"/>
  <c r="AY90" i="4"/>
  <c r="AY687" i="4"/>
  <c r="AZ532" i="4"/>
  <c r="AZ320" i="4"/>
  <c r="AX543" i="4"/>
  <c r="AZ331" i="4"/>
  <c r="AZ163" i="4"/>
  <c r="AY671" i="4"/>
  <c r="AZ168" i="4"/>
  <c r="AZ179" i="4"/>
  <c r="AZ457" i="4"/>
  <c r="AZ314" i="4"/>
  <c r="AZ687" i="4"/>
  <c r="AZ676" i="4"/>
  <c r="AZ161" i="4"/>
  <c r="AY313" i="4"/>
  <c r="AY120" i="4"/>
  <c r="AY684" i="4"/>
  <c r="AY602" i="4"/>
  <c r="AY616" i="4"/>
  <c r="AY328" i="4"/>
  <c r="AZ455" i="4"/>
  <c r="AY454" i="4"/>
  <c r="K56" i="4"/>
  <c r="AX80" i="4"/>
  <c r="AZ90" i="4"/>
  <c r="AY98" i="4"/>
  <c r="AY698" i="4"/>
  <c r="AZ533" i="4"/>
  <c r="AZ706" i="4"/>
  <c r="AZ601" i="4"/>
  <c r="AY311" i="4"/>
  <c r="AX22" i="4"/>
  <c r="K49" i="4"/>
  <c r="AZ101" i="4"/>
  <c r="AY672" i="4"/>
  <c r="AY705" i="4"/>
  <c r="AY703" i="4"/>
  <c r="AY563" i="4"/>
  <c r="AY561" i="4"/>
  <c r="AZ160" i="4"/>
  <c r="AZ537" i="4"/>
  <c r="AX30" i="4"/>
  <c r="AZ603" i="4"/>
  <c r="AY176" i="4"/>
  <c r="AZ564" i="4"/>
  <c r="AZ312" i="4"/>
  <c r="AY607" i="4"/>
  <c r="AY608" i="4"/>
  <c r="AX34" i="4"/>
  <c r="AY315" i="4"/>
  <c r="AY316" i="4"/>
  <c r="AZ349" i="4"/>
  <c r="AY348" i="4"/>
  <c r="AY346" i="4"/>
  <c r="K55" i="4"/>
  <c r="AX17" i="4"/>
  <c r="AY86" i="4"/>
  <c r="AX21" i="4"/>
  <c r="AZ162" i="4"/>
  <c r="AZ538" i="4"/>
  <c r="AZ546" i="4"/>
  <c r="AZ167" i="4"/>
  <c r="AZ197" i="4"/>
  <c r="AX16" i="4"/>
  <c r="AY159" i="4"/>
  <c r="AY196" i="4"/>
  <c r="AY194" i="4"/>
  <c r="AZ557" i="4"/>
  <c r="AY600" i="4"/>
  <c r="AX613" i="4"/>
  <c r="AY633" i="4"/>
  <c r="AX46" i="4"/>
  <c r="BD537" i="3" s="1"/>
  <c r="AZ319" i="4"/>
  <c r="AZ342" i="4"/>
  <c r="BC320" i="4"/>
  <c r="AZ536" i="4"/>
  <c r="AY604" i="4"/>
  <c r="BA179" i="4"/>
  <c r="BA168" i="4"/>
  <c r="BA161" i="4"/>
  <c r="AZ671" i="4"/>
  <c r="AX43" i="4"/>
  <c r="BA160" i="4"/>
  <c r="BA167" i="4"/>
  <c r="AV274" i="3"/>
  <c r="BA457" i="4"/>
  <c r="BA342" i="4"/>
  <c r="BA331" i="4"/>
  <c r="BA320" i="4"/>
  <c r="AZ313" i="4"/>
  <c r="AY634" i="4"/>
  <c r="AX39" i="4"/>
  <c r="AZ599" i="4"/>
  <c r="BA197" i="4"/>
  <c r="AY195" i="4"/>
  <c r="AZ84" i="4"/>
  <c r="BA676" i="4"/>
  <c r="BA687" i="4"/>
  <c r="BA314" i="4"/>
  <c r="BA163" i="4"/>
  <c r="AY35" i="4"/>
  <c r="AY310" i="4"/>
  <c r="BA706" i="4"/>
  <c r="AY543" i="4"/>
  <c r="BA162" i="4"/>
  <c r="AX18" i="4"/>
  <c r="AZ607" i="4"/>
  <c r="BA312" i="4"/>
  <c r="AZ672" i="4"/>
  <c r="AZ456" i="4"/>
  <c r="AY631" i="4"/>
  <c r="AY627" i="4"/>
  <c r="BA349" i="4"/>
  <c r="AY700" i="4"/>
  <c r="AX45" i="4"/>
  <c r="AZ86" i="4"/>
  <c r="AY85" i="4"/>
  <c r="BB331" i="4"/>
  <c r="BB687" i="4"/>
  <c r="AY701" i="4"/>
  <c r="BB706" i="4"/>
  <c r="BB190" i="4"/>
  <c r="BB168" i="4"/>
  <c r="BA313" i="4"/>
  <c r="AY22" i="4"/>
  <c r="BB167" i="4"/>
  <c r="BA671" i="4"/>
  <c r="AW274" i="3"/>
  <c r="AZ120" i="4"/>
  <c r="AZ328" i="4"/>
  <c r="AY34" i="4"/>
  <c r="AZ616" i="4"/>
  <c r="AZ316" i="4"/>
  <c r="AZ98" i="4"/>
  <c r="AZ89" i="4"/>
  <c r="AZ703" i="4"/>
  <c r="AZ705" i="4"/>
  <c r="AZ561" i="4"/>
  <c r="AZ563" i="4"/>
  <c r="AZ159" i="4"/>
  <c r="AZ85" i="4"/>
  <c r="AY16" i="4"/>
  <c r="AZ602" i="4"/>
  <c r="BA90" i="4"/>
  <c r="AZ311" i="4"/>
  <c r="AY613" i="4"/>
  <c r="AZ346" i="4"/>
  <c r="AZ348" i="4"/>
  <c r="AZ196" i="4"/>
  <c r="AZ194" i="4"/>
  <c r="AZ176" i="4"/>
  <c r="AZ164" i="4"/>
  <c r="AZ608" i="4"/>
  <c r="BB349" i="4"/>
  <c r="AZ684" i="4"/>
  <c r="BA455" i="4"/>
  <c r="AZ698" i="4"/>
  <c r="AY30" i="4"/>
  <c r="BB197" i="4"/>
  <c r="AZ600" i="4"/>
  <c r="AZ633" i="4"/>
  <c r="BA101" i="4"/>
  <c r="BB342" i="4"/>
  <c r="AY46" i="4"/>
  <c r="BE537" i="3" s="1"/>
  <c r="AZ543" i="4"/>
  <c r="AZ631" i="4"/>
  <c r="AZ35" i="4"/>
  <c r="BA164" i="4"/>
  <c r="AZ195" i="4"/>
  <c r="AZ604" i="4"/>
  <c r="BA86" i="4"/>
  <c r="AY17" i="4"/>
  <c r="AZ701" i="4"/>
  <c r="AZ700" i="4"/>
  <c r="AY45" i="4"/>
  <c r="AZ454" i="4"/>
  <c r="AZ634" i="4"/>
  <c r="BB90" i="4"/>
  <c r="AY18" i="4"/>
  <c r="AZ613" i="4"/>
  <c r="BA196" i="4"/>
  <c r="BA194" i="4"/>
  <c r="BA684" i="4"/>
  <c r="AZ17" i="4"/>
  <c r="BA120" i="4"/>
  <c r="BA159" i="4"/>
  <c r="BA456" i="4"/>
  <c r="BA85" i="4"/>
  <c r="AZ16" i="4"/>
  <c r="AZ30" i="4"/>
  <c r="BA348" i="4"/>
  <c r="BA672" i="4"/>
  <c r="BA454" i="4"/>
  <c r="AY43" i="4"/>
  <c r="BA698" i="4"/>
  <c r="BA316" i="4"/>
  <c r="AZ34" i="4"/>
  <c r="BA98" i="4"/>
  <c r="BA705" i="4"/>
  <c r="BA703" i="4"/>
  <c r="BB164" i="4"/>
  <c r="AZ22" i="4"/>
  <c r="AZ310" i="4"/>
  <c r="BA346" i="4"/>
  <c r="BA195" i="4"/>
  <c r="AZ46" i="4"/>
  <c r="BF537" i="3" s="1"/>
  <c r="AZ18" i="4"/>
  <c r="BA35" i="4"/>
  <c r="AZ45" i="4"/>
  <c r="BA701" i="4"/>
  <c r="BA700" i="4"/>
  <c r="BA311" i="4"/>
  <c r="BA89" i="4"/>
  <c r="BA176" i="4"/>
  <c r="BB311" i="4"/>
  <c r="BA22" i="4"/>
  <c r="AZ43" i="4"/>
  <c r="BA310" i="4"/>
  <c r="BA34" i="4"/>
  <c r="BB98" i="4"/>
  <c r="BA328" i="4"/>
  <c r="BA30" i="4"/>
  <c r="BC311" i="4"/>
  <c r="BA17" i="4"/>
  <c r="BA46" i="4"/>
  <c r="BG537" i="3" s="1"/>
  <c r="BA18" i="4"/>
  <c r="BA45" i="4"/>
  <c r="BB459" i="4"/>
  <c r="BB494" i="4"/>
  <c r="BA43" i="4"/>
  <c r="F325" i="3"/>
  <c r="F326" i="3" s="1"/>
  <c r="G325" i="3"/>
  <c r="G326" i="3" s="1"/>
  <c r="BA326" i="3" s="1"/>
  <c r="G560" i="3"/>
  <c r="G566" i="3" s="1"/>
  <c r="G23" i="3" s="1"/>
  <c r="F560" i="3"/>
  <c r="F567" i="3" s="1"/>
  <c r="F24" i="3" s="1"/>
  <c r="F380" i="3"/>
  <c r="G380" i="3"/>
  <c r="BA380" i="3" s="1"/>
  <c r="F197" i="3"/>
  <c r="F189" i="3"/>
  <c r="F176" i="3"/>
  <c r="F187" i="3" s="1"/>
  <c r="F209" i="3" s="1"/>
  <c r="G197" i="3"/>
  <c r="BA197" i="3" s="1"/>
  <c r="G189" i="3"/>
  <c r="BA189" i="3" s="1"/>
  <c r="F142" i="3"/>
  <c r="F134" i="3"/>
  <c r="F121" i="3"/>
  <c r="F118" i="3"/>
  <c r="F228" i="3" s="1"/>
  <c r="F53" i="3" s="1"/>
  <c r="G142" i="3"/>
  <c r="G134" i="3"/>
  <c r="BA134" i="3" s="1"/>
  <c r="G118" i="3"/>
  <c r="G228" i="3" s="1"/>
  <c r="G53" i="3" s="1"/>
  <c r="F97" i="3"/>
  <c r="G97" i="3"/>
  <c r="G354" i="3" s="1"/>
  <c r="H97" i="3"/>
  <c r="F87" i="3"/>
  <c r="F344" i="3" s="1"/>
  <c r="G87" i="3"/>
  <c r="G344" i="3" s="1"/>
  <c r="H325" i="3"/>
  <c r="H326" i="3" s="1"/>
  <c r="H290" i="3"/>
  <c r="H291" i="3" s="1"/>
  <c r="H302" i="3" s="1"/>
  <c r="G290" i="3"/>
  <c r="G291" i="3" s="1"/>
  <c r="F290" i="3"/>
  <c r="F291" i="3" s="1"/>
  <c r="F302" i="3" s="1"/>
  <c r="F282" i="3"/>
  <c r="G282" i="3"/>
  <c r="H282" i="3"/>
  <c r="I325" i="3"/>
  <c r="I326" i="3" s="1"/>
  <c r="BB326" i="3" s="1"/>
  <c r="H560" i="3"/>
  <c r="H566" i="3" s="1"/>
  <c r="H23" i="3" s="1"/>
  <c r="H380" i="3"/>
  <c r="I291" i="3"/>
  <c r="BB291" i="3" s="1"/>
  <c r="H250" i="3"/>
  <c r="G250" i="3"/>
  <c r="BA250" i="3" s="1"/>
  <c r="F250" i="3"/>
  <c r="E250" i="3"/>
  <c r="AZ250" i="3" s="1"/>
  <c r="D250" i="3"/>
  <c r="H249" i="3"/>
  <c r="G249" i="3"/>
  <c r="BA249" i="3" s="1"/>
  <c r="F249" i="3"/>
  <c r="E249" i="3"/>
  <c r="AZ249" i="3" s="1"/>
  <c r="D249" i="3"/>
  <c r="H248" i="3"/>
  <c r="G248" i="3"/>
  <c r="BA248" i="3" s="1"/>
  <c r="F248" i="3"/>
  <c r="E248" i="3"/>
  <c r="AZ248" i="3" s="1"/>
  <c r="D248" i="3"/>
  <c r="H247" i="3"/>
  <c r="G247" i="3"/>
  <c r="BA247" i="3" s="1"/>
  <c r="F247" i="3"/>
  <c r="E247" i="3"/>
  <c r="AZ247" i="3" s="1"/>
  <c r="D247" i="3"/>
  <c r="H246" i="3"/>
  <c r="G246" i="3"/>
  <c r="BA246" i="3" s="1"/>
  <c r="F246" i="3"/>
  <c r="E246" i="3"/>
  <c r="AZ246" i="3" s="1"/>
  <c r="D246" i="3"/>
  <c r="H245" i="3"/>
  <c r="G245" i="3"/>
  <c r="BA245" i="3" s="1"/>
  <c r="F245" i="3"/>
  <c r="E245" i="3"/>
  <c r="AZ245" i="3" s="1"/>
  <c r="D245" i="3"/>
  <c r="G231" i="3"/>
  <c r="BA231" i="3" s="1"/>
  <c r="H230" i="3"/>
  <c r="G230" i="3"/>
  <c r="BA230" i="3" s="1"/>
  <c r="F230" i="3"/>
  <c r="E230" i="3"/>
  <c r="AZ230" i="3" s="1"/>
  <c r="D230" i="3"/>
  <c r="H229" i="3"/>
  <c r="G229" i="3"/>
  <c r="BA229" i="3" s="1"/>
  <c r="F229" i="3"/>
  <c r="E229" i="3"/>
  <c r="AZ229" i="3" s="1"/>
  <c r="D229" i="3"/>
  <c r="H228" i="3"/>
  <c r="H53" i="3" s="1"/>
  <c r="H227" i="3"/>
  <c r="H52" i="3" s="1"/>
  <c r="G227" i="3"/>
  <c r="G52" i="3" s="1"/>
  <c r="F227" i="3"/>
  <c r="F52" i="3" s="1"/>
  <c r="E227" i="3"/>
  <c r="E52" i="3" s="1"/>
  <c r="D227" i="3"/>
  <c r="D52" i="3" s="1"/>
  <c r="G226" i="3"/>
  <c r="BA226" i="3" s="1"/>
  <c r="F226" i="3"/>
  <c r="E226" i="3"/>
  <c r="AZ226" i="3" s="1"/>
  <c r="D226" i="3"/>
  <c r="H225" i="3"/>
  <c r="G225" i="3"/>
  <c r="BA225" i="3" s="1"/>
  <c r="F225" i="3"/>
  <c r="E225" i="3"/>
  <c r="D225" i="3"/>
  <c r="H224" i="3"/>
  <c r="G224" i="3"/>
  <c r="BA224" i="3" s="1"/>
  <c r="F224" i="3"/>
  <c r="E224" i="3"/>
  <c r="AZ224" i="3" s="1"/>
  <c r="D224" i="3"/>
  <c r="H223" i="3"/>
  <c r="G223" i="3"/>
  <c r="BA223" i="3" s="1"/>
  <c r="F223" i="3"/>
  <c r="E223" i="3"/>
  <c r="D223" i="3"/>
  <c r="H222" i="3"/>
  <c r="H50" i="3" s="1"/>
  <c r="G222" i="3"/>
  <c r="F222" i="3"/>
  <c r="F50" i="3" s="1"/>
  <c r="E222" i="3"/>
  <c r="E50" i="3" s="1"/>
  <c r="D222" i="3"/>
  <c r="D50" i="3" s="1"/>
  <c r="H197" i="3"/>
  <c r="H189" i="3"/>
  <c r="H176" i="3"/>
  <c r="H171" i="3"/>
  <c r="H45" i="3" s="1"/>
  <c r="H142" i="3"/>
  <c r="H134" i="3"/>
  <c r="H121" i="3"/>
  <c r="H116" i="3"/>
  <c r="H100" i="3"/>
  <c r="H161" i="3" s="1"/>
  <c r="H453" i="3" s="1"/>
  <c r="H461" i="3" s="1"/>
  <c r="I97" i="3"/>
  <c r="I354" i="3" s="1"/>
  <c r="H87" i="3"/>
  <c r="H344" i="3" s="1"/>
  <c r="I87" i="3"/>
  <c r="I344" i="3" s="1"/>
  <c r="I80" i="3"/>
  <c r="I82" i="3" s="1"/>
  <c r="I96" i="3" s="1"/>
  <c r="H80" i="3"/>
  <c r="H82" i="3" s="1"/>
  <c r="G80" i="3"/>
  <c r="G82" i="3" s="1"/>
  <c r="G96" i="3" s="1"/>
  <c r="F80" i="3"/>
  <c r="F82" i="3" s="1"/>
  <c r="E80" i="3"/>
  <c r="D80" i="3"/>
  <c r="D82" i="3" s="1"/>
  <c r="D96" i="3" s="1"/>
  <c r="H79" i="3"/>
  <c r="F79" i="3"/>
  <c r="D79" i="3"/>
  <c r="H78" i="3"/>
  <c r="F78" i="3"/>
  <c r="D78" i="3"/>
  <c r="H75" i="3"/>
  <c r="F75" i="3"/>
  <c r="D75" i="3"/>
  <c r="H74" i="3"/>
  <c r="F74" i="3"/>
  <c r="D74" i="3"/>
  <c r="H70" i="3"/>
  <c r="F70" i="3"/>
  <c r="D70" i="3"/>
  <c r="H69" i="3"/>
  <c r="F69" i="3"/>
  <c r="D69" i="3"/>
  <c r="H66" i="3"/>
  <c r="F66" i="3"/>
  <c r="D66" i="3"/>
  <c r="H65" i="3"/>
  <c r="F65" i="3"/>
  <c r="D65" i="3"/>
  <c r="H62" i="3"/>
  <c r="F62" i="3"/>
  <c r="D62" i="3"/>
  <c r="H60" i="3"/>
  <c r="G60" i="3"/>
  <c r="F60" i="3"/>
  <c r="E60" i="3"/>
  <c r="D60" i="3"/>
  <c r="AW164" i="3"/>
  <c r="AV164" i="3"/>
  <c r="AU164" i="3"/>
  <c r="C164" i="3"/>
  <c r="C58" i="3"/>
  <c r="P8" i="9"/>
  <c r="Q8" i="9" s="1"/>
  <c r="G6" i="8"/>
  <c r="G7" i="8" s="1"/>
  <c r="A14" i="9"/>
  <c r="K45" i="3"/>
  <c r="I45" i="3"/>
  <c r="G45" i="3"/>
  <c r="F45" i="3"/>
  <c r="E45" i="3"/>
  <c r="D45" i="3"/>
  <c r="C481" i="3"/>
  <c r="C480" i="3"/>
  <c r="BC579" i="3"/>
  <c r="BB579" i="3"/>
  <c r="BA579" i="3"/>
  <c r="AZ579" i="3"/>
  <c r="AU579" i="3"/>
  <c r="C578" i="3"/>
  <c r="C581" i="3" s="1"/>
  <c r="C576" i="3"/>
  <c r="C575" i="3"/>
  <c r="C574" i="3"/>
  <c r="C536" i="3"/>
  <c r="C528" i="3"/>
  <c r="C532" i="3"/>
  <c r="C535" i="3"/>
  <c r="C534" i="3"/>
  <c r="C533" i="3"/>
  <c r="C474" i="3"/>
  <c r="C472" i="3"/>
  <c r="C219" i="3"/>
  <c r="C359" i="3"/>
  <c r="C456" i="3"/>
  <c r="C274" i="3"/>
  <c r="C3" i="3"/>
  <c r="C2" i="3"/>
  <c r="P7" i="9"/>
  <c r="Q7" i="9" s="1"/>
  <c r="R7" i="9" s="1"/>
  <c r="S7" i="9" s="1"/>
  <c r="T7" i="9" s="1"/>
  <c r="U7" i="9" s="1"/>
  <c r="V7" i="9" s="1"/>
  <c r="W7" i="9" s="1"/>
  <c r="BC465" i="3"/>
  <c r="BB465" i="3"/>
  <c r="BA465" i="3"/>
  <c r="AZ465" i="3"/>
  <c r="K460" i="3"/>
  <c r="BC460" i="3" s="1"/>
  <c r="J460" i="3"/>
  <c r="H460" i="3"/>
  <c r="G460" i="3"/>
  <c r="BA460" i="3" s="1"/>
  <c r="F460" i="3"/>
  <c r="E460" i="3"/>
  <c r="AZ460" i="3" s="1"/>
  <c r="D460" i="3"/>
  <c r="I460" i="3"/>
  <c r="BB460" i="3" s="1"/>
  <c r="BC48" i="3"/>
  <c r="BB48" i="3"/>
  <c r="BA48" i="3"/>
  <c r="AZ48" i="3"/>
  <c r="BH47" i="3"/>
  <c r="BG47" i="3"/>
  <c r="BF47" i="3"/>
  <c r="BE47" i="3"/>
  <c r="BD47" i="3"/>
  <c r="BC47" i="3"/>
  <c r="BB47" i="3"/>
  <c r="BA47" i="3"/>
  <c r="AZ47" i="3"/>
  <c r="BC42" i="3"/>
  <c r="BB42" i="3"/>
  <c r="BA42" i="3"/>
  <c r="AZ42" i="3"/>
  <c r="BC559" i="3"/>
  <c r="BB559" i="3"/>
  <c r="BA559" i="3"/>
  <c r="AZ559" i="3"/>
  <c r="BC558" i="3"/>
  <c r="BB558" i="3"/>
  <c r="BA558" i="3"/>
  <c r="AZ558" i="3"/>
  <c r="BC452" i="3"/>
  <c r="BB452" i="3"/>
  <c r="BA452" i="3"/>
  <c r="AZ452" i="3"/>
  <c r="BC451" i="3"/>
  <c r="BB451" i="3"/>
  <c r="BA451" i="3"/>
  <c r="AZ451" i="3"/>
  <c r="BC433" i="3"/>
  <c r="BB433" i="3"/>
  <c r="BA433" i="3"/>
  <c r="AZ433" i="3"/>
  <c r="BC432" i="3"/>
  <c r="BB432" i="3"/>
  <c r="BA432" i="3"/>
  <c r="AZ432" i="3"/>
  <c r="BC431" i="3"/>
  <c r="BB431" i="3"/>
  <c r="BA431" i="3"/>
  <c r="AZ431" i="3"/>
  <c r="BC430" i="3"/>
  <c r="BB430" i="3"/>
  <c r="BA430" i="3"/>
  <c r="AZ430" i="3"/>
  <c r="BC429" i="3"/>
  <c r="BB429" i="3"/>
  <c r="BA429" i="3"/>
  <c r="AZ429" i="3"/>
  <c r="BC428" i="3"/>
  <c r="BB428" i="3"/>
  <c r="BA428" i="3"/>
  <c r="AZ428" i="3"/>
  <c r="BC427" i="3"/>
  <c r="BB427" i="3"/>
  <c r="BA427" i="3"/>
  <c r="AZ427" i="3"/>
  <c r="BC426" i="3"/>
  <c r="BB426" i="3"/>
  <c r="BA426" i="3"/>
  <c r="AZ426" i="3"/>
  <c r="BC425" i="3"/>
  <c r="BB425" i="3"/>
  <c r="BA425" i="3"/>
  <c r="AZ425" i="3"/>
  <c r="BC423" i="3"/>
  <c r="BB423" i="3"/>
  <c r="BA423" i="3"/>
  <c r="AZ423" i="3"/>
  <c r="BC422" i="3"/>
  <c r="BB422" i="3"/>
  <c r="BA422" i="3"/>
  <c r="AZ422" i="3"/>
  <c r="BC421" i="3"/>
  <c r="BB421" i="3"/>
  <c r="BA421" i="3"/>
  <c r="AZ421" i="3"/>
  <c r="BC407" i="3"/>
  <c r="BB407" i="3"/>
  <c r="BA407" i="3"/>
  <c r="AZ407" i="3"/>
  <c r="BC406" i="3"/>
  <c r="BB406" i="3"/>
  <c r="BA406" i="3"/>
  <c r="AZ406" i="3"/>
  <c r="BC405" i="3"/>
  <c r="BB405" i="3"/>
  <c r="BA405" i="3"/>
  <c r="AZ405" i="3"/>
  <c r="BC404" i="3"/>
  <c r="BB404" i="3"/>
  <c r="BA404" i="3"/>
  <c r="AZ404" i="3"/>
  <c r="BC403" i="3"/>
  <c r="BB403" i="3"/>
  <c r="BA403" i="3"/>
  <c r="AZ403" i="3"/>
  <c r="BH401" i="3"/>
  <c r="BG401" i="3"/>
  <c r="BF401" i="3"/>
  <c r="BE401" i="3"/>
  <c r="BD401" i="3"/>
  <c r="BC401" i="3"/>
  <c r="BB401" i="3"/>
  <c r="BA401" i="3"/>
  <c r="AZ401" i="3"/>
  <c r="BH400" i="3"/>
  <c r="BG400" i="3"/>
  <c r="BF400" i="3"/>
  <c r="BE400" i="3"/>
  <c r="BD400" i="3"/>
  <c r="BC400" i="3"/>
  <c r="BB400" i="3"/>
  <c r="BA400" i="3"/>
  <c r="AZ400" i="3"/>
  <c r="BH399" i="3"/>
  <c r="BG399" i="3"/>
  <c r="BF399" i="3"/>
  <c r="BE399" i="3"/>
  <c r="BD399" i="3"/>
  <c r="BC399" i="3"/>
  <c r="BB399" i="3"/>
  <c r="BA399" i="3"/>
  <c r="AZ399" i="3"/>
  <c r="BH398" i="3"/>
  <c r="BG398" i="3"/>
  <c r="BF398" i="3"/>
  <c r="BE398" i="3"/>
  <c r="BD398" i="3"/>
  <c r="BC398" i="3"/>
  <c r="BB398" i="3"/>
  <c r="BA398" i="3"/>
  <c r="AZ398" i="3"/>
  <c r="BH397" i="3"/>
  <c r="BG397" i="3"/>
  <c r="BF397" i="3"/>
  <c r="BE397" i="3"/>
  <c r="BD397" i="3"/>
  <c r="BC397" i="3"/>
  <c r="BB397" i="3"/>
  <c r="BA397" i="3"/>
  <c r="AZ397" i="3"/>
  <c r="BH396" i="3"/>
  <c r="BG396" i="3"/>
  <c r="BF396" i="3"/>
  <c r="BE396" i="3"/>
  <c r="BD396" i="3"/>
  <c r="BC396" i="3"/>
  <c r="BB396" i="3"/>
  <c r="BA396" i="3"/>
  <c r="AZ396" i="3"/>
  <c r="BH395" i="3"/>
  <c r="BG395" i="3"/>
  <c r="BF395" i="3"/>
  <c r="BE395" i="3"/>
  <c r="BD395" i="3"/>
  <c r="BC395" i="3"/>
  <c r="BB395" i="3"/>
  <c r="BA395" i="3"/>
  <c r="AZ395" i="3"/>
  <c r="BH394" i="3"/>
  <c r="BG394" i="3"/>
  <c r="BF394" i="3"/>
  <c r="BE394" i="3"/>
  <c r="BD394" i="3"/>
  <c r="BC394" i="3"/>
  <c r="BB394" i="3"/>
  <c r="BA394" i="3"/>
  <c r="AZ394" i="3"/>
  <c r="BH393" i="3"/>
  <c r="BG393" i="3"/>
  <c r="BF393" i="3"/>
  <c r="BE393" i="3"/>
  <c r="BD393" i="3"/>
  <c r="BC393" i="3"/>
  <c r="BB393" i="3"/>
  <c r="BA393" i="3"/>
  <c r="AZ393" i="3"/>
  <c r="BC392" i="3"/>
  <c r="BB392" i="3"/>
  <c r="BA392" i="3"/>
  <c r="AZ392" i="3"/>
  <c r="BC390" i="3"/>
  <c r="BB390" i="3"/>
  <c r="BA390" i="3"/>
  <c r="AZ390" i="3"/>
  <c r="BC389" i="3"/>
  <c r="BB389" i="3"/>
  <c r="BA389" i="3"/>
  <c r="AZ389" i="3"/>
  <c r="BC388" i="3"/>
  <c r="BB388" i="3"/>
  <c r="BA388" i="3"/>
  <c r="AZ388" i="3"/>
  <c r="BC387" i="3"/>
  <c r="BB387" i="3"/>
  <c r="BA387" i="3"/>
  <c r="AZ387" i="3"/>
  <c r="BC386" i="3"/>
  <c r="BB386" i="3"/>
  <c r="BA386" i="3"/>
  <c r="AZ386" i="3"/>
  <c r="BC383" i="3"/>
  <c r="BB383" i="3"/>
  <c r="BA383" i="3"/>
  <c r="AZ383" i="3"/>
  <c r="BC382" i="3"/>
  <c r="BB382" i="3"/>
  <c r="BA382" i="3"/>
  <c r="AZ382" i="3"/>
  <c r="BC381" i="3"/>
  <c r="BB381" i="3"/>
  <c r="BA381" i="3"/>
  <c r="AZ381" i="3"/>
  <c r="BC380" i="3"/>
  <c r="BB380" i="3"/>
  <c r="K571" i="3"/>
  <c r="J571" i="3"/>
  <c r="I571" i="3"/>
  <c r="H571" i="3"/>
  <c r="G571" i="3"/>
  <c r="F571" i="3"/>
  <c r="E571" i="3"/>
  <c r="K570" i="3"/>
  <c r="J570" i="3"/>
  <c r="I570" i="3"/>
  <c r="H570" i="3"/>
  <c r="G570" i="3"/>
  <c r="F570" i="3"/>
  <c r="E570" i="3"/>
  <c r="K569" i="3"/>
  <c r="J569" i="3"/>
  <c r="I569" i="3"/>
  <c r="H569" i="3"/>
  <c r="G569" i="3"/>
  <c r="F569" i="3"/>
  <c r="E569" i="3"/>
  <c r="K568" i="3"/>
  <c r="K25" i="3" s="1"/>
  <c r="J568" i="3"/>
  <c r="J25" i="3" s="1"/>
  <c r="I568" i="3"/>
  <c r="I25" i="3" s="1"/>
  <c r="H568" i="3"/>
  <c r="H25" i="3" s="1"/>
  <c r="G568" i="3"/>
  <c r="G25" i="3" s="1"/>
  <c r="F568" i="3"/>
  <c r="F25" i="3" s="1"/>
  <c r="E568" i="3"/>
  <c r="E25" i="3" s="1"/>
  <c r="D571" i="3"/>
  <c r="D570" i="3"/>
  <c r="D569" i="3"/>
  <c r="D568" i="3"/>
  <c r="D25" i="3" s="1"/>
  <c r="K449" i="3"/>
  <c r="BC449" i="3" s="1"/>
  <c r="J449" i="3"/>
  <c r="I449" i="3"/>
  <c r="BB449" i="3" s="1"/>
  <c r="H449" i="3"/>
  <c r="G449" i="3"/>
  <c r="BA449" i="3" s="1"/>
  <c r="F449" i="3"/>
  <c r="E449" i="3"/>
  <c r="AZ449" i="3" s="1"/>
  <c r="K448" i="3"/>
  <c r="BC448" i="3" s="1"/>
  <c r="J448" i="3"/>
  <c r="I448" i="3"/>
  <c r="BB448" i="3" s="1"/>
  <c r="H448" i="3"/>
  <c r="G448" i="3"/>
  <c r="BA448" i="3" s="1"/>
  <c r="F448" i="3"/>
  <c r="E448" i="3"/>
  <c r="AZ448" i="3" s="1"/>
  <c r="K447" i="3"/>
  <c r="BC447" i="3" s="1"/>
  <c r="J447" i="3"/>
  <c r="I447" i="3"/>
  <c r="BB447" i="3" s="1"/>
  <c r="H447" i="3"/>
  <c r="G447" i="3"/>
  <c r="BA447" i="3" s="1"/>
  <c r="F447" i="3"/>
  <c r="E447" i="3"/>
  <c r="AZ447" i="3" s="1"/>
  <c r="K446" i="3"/>
  <c r="BC446" i="3" s="1"/>
  <c r="J446" i="3"/>
  <c r="I446" i="3"/>
  <c r="BB446" i="3" s="1"/>
  <c r="H446" i="3"/>
  <c r="G446" i="3"/>
  <c r="BA446" i="3" s="1"/>
  <c r="F446" i="3"/>
  <c r="E446" i="3"/>
  <c r="AZ446" i="3" s="1"/>
  <c r="D449" i="3"/>
  <c r="D448" i="3"/>
  <c r="D447" i="3"/>
  <c r="D446" i="3"/>
  <c r="BB443" i="3"/>
  <c r="BA443" i="3"/>
  <c r="AZ443" i="3"/>
  <c r="BH442" i="3"/>
  <c r="BG442" i="3"/>
  <c r="BF442" i="3"/>
  <c r="BE442" i="3"/>
  <c r="BD442" i="3"/>
  <c r="BC442" i="3"/>
  <c r="BB442" i="3"/>
  <c r="BA442" i="3"/>
  <c r="AZ442" i="3"/>
  <c r="BH441" i="3"/>
  <c r="BG441" i="3"/>
  <c r="BF441" i="3"/>
  <c r="BE441" i="3"/>
  <c r="BD441" i="3"/>
  <c r="BC441" i="3"/>
  <c r="BB441" i="3"/>
  <c r="BA441" i="3"/>
  <c r="AZ441" i="3"/>
  <c r="BH440" i="3"/>
  <c r="BG440" i="3"/>
  <c r="BF440" i="3"/>
  <c r="BE440" i="3"/>
  <c r="BD440" i="3"/>
  <c r="BC440" i="3"/>
  <c r="BB440" i="3"/>
  <c r="BA440" i="3"/>
  <c r="AZ440" i="3"/>
  <c r="BH439" i="3"/>
  <c r="BG439" i="3"/>
  <c r="BF439" i="3"/>
  <c r="BE439" i="3"/>
  <c r="BD439" i="3"/>
  <c r="BC439" i="3"/>
  <c r="BB439" i="3"/>
  <c r="BA439" i="3"/>
  <c r="AZ439" i="3"/>
  <c r="BH438" i="3"/>
  <c r="BG438" i="3"/>
  <c r="BF438" i="3"/>
  <c r="BE438" i="3"/>
  <c r="BD438" i="3"/>
  <c r="BC438" i="3"/>
  <c r="BB438" i="3"/>
  <c r="BA438" i="3"/>
  <c r="AZ438" i="3"/>
  <c r="BH437" i="3"/>
  <c r="BG437" i="3"/>
  <c r="BF437" i="3"/>
  <c r="BE437" i="3"/>
  <c r="BD437" i="3"/>
  <c r="BC437" i="3"/>
  <c r="BB437" i="3"/>
  <c r="BA437" i="3"/>
  <c r="AZ437" i="3"/>
  <c r="BH436" i="3"/>
  <c r="BG436" i="3"/>
  <c r="BF436" i="3"/>
  <c r="BE436" i="3"/>
  <c r="BD436" i="3"/>
  <c r="BC436" i="3"/>
  <c r="BB436" i="3"/>
  <c r="BA436" i="3"/>
  <c r="AZ436" i="3"/>
  <c r="BH435" i="3"/>
  <c r="BG435" i="3"/>
  <c r="BF435" i="3"/>
  <c r="BE435" i="3"/>
  <c r="BD435" i="3"/>
  <c r="BC435" i="3"/>
  <c r="BB435" i="3"/>
  <c r="BA435" i="3"/>
  <c r="AZ435" i="3"/>
  <c r="BH434" i="3"/>
  <c r="BG434" i="3"/>
  <c r="BF434" i="3"/>
  <c r="BE434" i="3"/>
  <c r="BD434" i="3"/>
  <c r="BC434" i="3"/>
  <c r="BB434" i="3"/>
  <c r="BA434" i="3"/>
  <c r="AZ434" i="3"/>
  <c r="K385" i="3"/>
  <c r="K384" i="3" s="1"/>
  <c r="J385" i="3"/>
  <c r="J384" i="3" s="1"/>
  <c r="I385" i="3"/>
  <c r="H385" i="3"/>
  <c r="G385" i="3"/>
  <c r="BA385" i="3" s="1"/>
  <c r="F385" i="3"/>
  <c r="E385" i="3"/>
  <c r="D385" i="3"/>
  <c r="BH418" i="3"/>
  <c r="BG418" i="3"/>
  <c r="BF418" i="3"/>
  <c r="BE418" i="3"/>
  <c r="BD418" i="3"/>
  <c r="BC418" i="3"/>
  <c r="BB418" i="3"/>
  <c r="BA418" i="3"/>
  <c r="AZ418" i="3"/>
  <c r="BH417" i="3"/>
  <c r="BG417" i="3"/>
  <c r="BF417" i="3"/>
  <c r="BE417" i="3"/>
  <c r="BD417" i="3"/>
  <c r="BC417" i="3"/>
  <c r="BB417" i="3"/>
  <c r="BA417" i="3"/>
  <c r="AZ417" i="3"/>
  <c r="BH416" i="3"/>
  <c r="BG416" i="3"/>
  <c r="BF416" i="3"/>
  <c r="BE416" i="3"/>
  <c r="BD416" i="3"/>
  <c r="BC416" i="3"/>
  <c r="BB416" i="3"/>
  <c r="BA416" i="3"/>
  <c r="AZ416" i="3"/>
  <c r="BH415" i="3"/>
  <c r="BG415" i="3"/>
  <c r="BF415" i="3"/>
  <c r="BE415" i="3"/>
  <c r="BD415" i="3"/>
  <c r="BC415" i="3"/>
  <c r="BB415" i="3"/>
  <c r="BA415" i="3"/>
  <c r="AZ415" i="3"/>
  <c r="BH414" i="3"/>
  <c r="BG414" i="3"/>
  <c r="BF414" i="3"/>
  <c r="BE414" i="3"/>
  <c r="BD414" i="3"/>
  <c r="BC414" i="3"/>
  <c r="BB414" i="3"/>
  <c r="BA414" i="3"/>
  <c r="AZ414" i="3"/>
  <c r="BH413" i="3"/>
  <c r="BG413" i="3"/>
  <c r="BF413" i="3"/>
  <c r="BE413" i="3"/>
  <c r="BD413" i="3"/>
  <c r="BC413" i="3"/>
  <c r="BB413" i="3"/>
  <c r="BA413" i="3"/>
  <c r="AZ413" i="3"/>
  <c r="BH412" i="3"/>
  <c r="BG412" i="3"/>
  <c r="BF412" i="3"/>
  <c r="BE412" i="3"/>
  <c r="BD412" i="3"/>
  <c r="BC412" i="3"/>
  <c r="BB412" i="3"/>
  <c r="BA412" i="3"/>
  <c r="AZ412" i="3"/>
  <c r="BH411" i="3"/>
  <c r="BG411" i="3"/>
  <c r="BF411" i="3"/>
  <c r="BE411" i="3"/>
  <c r="BD411" i="3"/>
  <c r="BC411" i="3"/>
  <c r="BB411" i="3"/>
  <c r="BA411" i="3"/>
  <c r="AZ411" i="3"/>
  <c r="BH410" i="3"/>
  <c r="BG410" i="3"/>
  <c r="BF410" i="3"/>
  <c r="BE410" i="3"/>
  <c r="BD410" i="3"/>
  <c r="BC410" i="3"/>
  <c r="BB410" i="3"/>
  <c r="BA410" i="3"/>
  <c r="AZ410" i="3"/>
  <c r="BH409" i="3"/>
  <c r="BG409" i="3"/>
  <c r="BF409" i="3"/>
  <c r="BE409" i="3"/>
  <c r="BD409" i="3"/>
  <c r="BC409" i="3"/>
  <c r="BB409" i="3"/>
  <c r="BA409" i="3"/>
  <c r="AZ409" i="3"/>
  <c r="K560" i="3"/>
  <c r="K567" i="3" s="1"/>
  <c r="K24" i="3" s="1"/>
  <c r="I560" i="3"/>
  <c r="I567" i="3" s="1"/>
  <c r="I24" i="3" s="1"/>
  <c r="J560" i="3"/>
  <c r="J566" i="3" s="1"/>
  <c r="J23" i="3" s="1"/>
  <c r="BH465" i="3"/>
  <c r="BF465" i="3"/>
  <c r="BD465" i="3"/>
  <c r="BE465" i="3"/>
  <c r="BG465" i="3"/>
  <c r="BD451" i="3"/>
  <c r="BD429" i="3"/>
  <c r="BD432" i="3"/>
  <c r="BD452" i="3"/>
  <c r="BD431" i="3"/>
  <c r="BD433" i="3"/>
  <c r="BE452" i="3"/>
  <c r="BE433" i="3"/>
  <c r="BE431" i="3"/>
  <c r="BE432" i="3"/>
  <c r="BE429" i="3"/>
  <c r="BE451" i="3"/>
  <c r="BF429" i="3"/>
  <c r="BF432" i="3"/>
  <c r="BF431" i="3"/>
  <c r="BF433" i="3"/>
  <c r="BG433" i="3"/>
  <c r="BG431" i="3"/>
  <c r="BG432" i="3"/>
  <c r="BG429" i="3"/>
  <c r="BH429" i="3"/>
  <c r="BF452" i="3"/>
  <c r="BF451" i="3"/>
  <c r="BG451" i="3"/>
  <c r="BG452" i="3"/>
  <c r="BH161" i="3"/>
  <c r="BH460" i="3"/>
  <c r="AZ336" i="3"/>
  <c r="AZ335" i="3"/>
  <c r="AZ334" i="3"/>
  <c r="AZ333" i="3"/>
  <c r="AZ332" i="3"/>
  <c r="AZ331" i="3"/>
  <c r="AZ330" i="3"/>
  <c r="AZ329" i="3"/>
  <c r="AZ328" i="3"/>
  <c r="AZ327" i="3"/>
  <c r="AZ324" i="3"/>
  <c r="AZ323" i="3"/>
  <c r="AZ322" i="3"/>
  <c r="AZ321" i="3"/>
  <c r="AZ317" i="3"/>
  <c r="AZ312" i="3"/>
  <c r="AZ307" i="3"/>
  <c r="AZ301" i="3"/>
  <c r="AZ300" i="3"/>
  <c r="AZ299" i="3"/>
  <c r="AZ298" i="3"/>
  <c r="AZ297" i="3"/>
  <c r="AZ296" i="3"/>
  <c r="AZ295" i="3"/>
  <c r="AZ294" i="3"/>
  <c r="AZ293" i="3"/>
  <c r="AZ292" i="3"/>
  <c r="AZ289" i="3"/>
  <c r="AZ288" i="3"/>
  <c r="AZ287" i="3"/>
  <c r="AZ286" i="3"/>
  <c r="AZ285" i="3"/>
  <c r="AZ263" i="3"/>
  <c r="AZ262" i="3"/>
  <c r="AZ261" i="3"/>
  <c r="AZ260" i="3"/>
  <c r="AZ259" i="3"/>
  <c r="AZ258" i="3"/>
  <c r="AZ257" i="3"/>
  <c r="AZ256" i="3"/>
  <c r="AZ255" i="3"/>
  <c r="AZ254" i="3"/>
  <c r="AZ241" i="3"/>
  <c r="AZ240" i="3"/>
  <c r="AZ239" i="3"/>
  <c r="AZ238" i="3"/>
  <c r="AZ237" i="3"/>
  <c r="AZ236" i="3"/>
  <c r="AZ235" i="3"/>
  <c r="AZ234" i="3"/>
  <c r="AZ233" i="3"/>
  <c r="AZ232" i="3"/>
  <c r="AZ217" i="3"/>
  <c r="AZ208" i="3"/>
  <c r="AZ207" i="3"/>
  <c r="AZ206" i="3"/>
  <c r="AZ205" i="3"/>
  <c r="AZ204" i="3"/>
  <c r="AZ203" i="3"/>
  <c r="AZ202" i="3"/>
  <c r="AZ201" i="3"/>
  <c r="AZ200" i="3"/>
  <c r="AZ199" i="3"/>
  <c r="AZ195" i="3"/>
  <c r="AZ194" i="3"/>
  <c r="AZ193" i="3"/>
  <c r="AZ192" i="3"/>
  <c r="AZ191" i="3"/>
  <c r="AZ190" i="3"/>
  <c r="AZ186" i="3"/>
  <c r="AZ185" i="3"/>
  <c r="AZ184" i="3"/>
  <c r="AZ183" i="3"/>
  <c r="AZ182" i="3"/>
  <c r="AZ181" i="3"/>
  <c r="AZ180" i="3"/>
  <c r="AZ179" i="3"/>
  <c r="AZ178" i="3"/>
  <c r="AZ177" i="3"/>
  <c r="AZ175" i="3"/>
  <c r="AZ174" i="3"/>
  <c r="AZ172" i="3"/>
  <c r="AZ171" i="3"/>
  <c r="AZ170" i="3"/>
  <c r="AZ169" i="3"/>
  <c r="AZ168" i="3"/>
  <c r="AZ167" i="3"/>
  <c r="AZ159" i="3"/>
  <c r="AZ158" i="3"/>
  <c r="AZ157" i="3"/>
  <c r="AZ156" i="3"/>
  <c r="AZ153" i="3"/>
  <c r="AZ152" i="3"/>
  <c r="AZ151" i="3"/>
  <c r="AZ150" i="3"/>
  <c r="AZ149" i="3"/>
  <c r="AZ148" i="3"/>
  <c r="AZ147" i="3"/>
  <c r="AZ146" i="3"/>
  <c r="AZ145" i="3"/>
  <c r="AZ144" i="3"/>
  <c r="AZ140" i="3"/>
  <c r="AZ139" i="3"/>
  <c r="AZ138" i="3"/>
  <c r="AZ137" i="3"/>
  <c r="AZ136" i="3"/>
  <c r="AZ135" i="3"/>
  <c r="AZ131" i="3"/>
  <c r="AZ130" i="3"/>
  <c r="AZ129" i="3"/>
  <c r="AZ128" i="3"/>
  <c r="AZ127" i="3"/>
  <c r="AZ126" i="3"/>
  <c r="AZ125" i="3"/>
  <c r="AZ124" i="3"/>
  <c r="AZ123" i="3"/>
  <c r="AZ122" i="3"/>
  <c r="AZ121" i="3"/>
  <c r="AZ120" i="3"/>
  <c r="AZ119" i="3"/>
  <c r="AZ117" i="3"/>
  <c r="AZ116" i="3"/>
  <c r="AZ115" i="3"/>
  <c r="AZ114" i="3"/>
  <c r="AZ113" i="3"/>
  <c r="AZ112" i="3"/>
  <c r="AZ100" i="3"/>
  <c r="AZ99" i="3"/>
  <c r="AZ95" i="3"/>
  <c r="AY353" i="3" s="1"/>
  <c r="AZ85" i="3"/>
  <c r="AZ342" i="3" s="1"/>
  <c r="AZ83" i="3"/>
  <c r="BA336" i="3"/>
  <c r="BA335" i="3"/>
  <c r="BA334" i="3"/>
  <c r="BA333" i="3"/>
  <c r="BA332" i="3"/>
  <c r="BA331" i="3"/>
  <c r="BA330" i="3"/>
  <c r="BA329" i="3"/>
  <c r="BA328" i="3"/>
  <c r="BA327" i="3"/>
  <c r="BA324" i="3"/>
  <c r="BA323" i="3"/>
  <c r="BA322" i="3"/>
  <c r="BA321" i="3"/>
  <c r="BA317" i="3"/>
  <c r="BA312" i="3"/>
  <c r="BA307" i="3"/>
  <c r="BA301" i="3"/>
  <c r="BA300" i="3"/>
  <c r="BA299" i="3"/>
  <c r="BA298" i="3"/>
  <c r="BA297" i="3"/>
  <c r="BA296" i="3"/>
  <c r="BA295" i="3"/>
  <c r="BA294" i="3"/>
  <c r="BA293" i="3"/>
  <c r="BA292" i="3"/>
  <c r="BA289" i="3"/>
  <c r="BA288" i="3"/>
  <c r="BA287" i="3"/>
  <c r="BA286" i="3"/>
  <c r="BA285" i="3"/>
  <c r="BA263" i="3"/>
  <c r="BA262" i="3"/>
  <c r="BA261" i="3"/>
  <c r="BA260" i="3"/>
  <c r="BA259" i="3"/>
  <c r="BA258" i="3"/>
  <c r="BA257" i="3"/>
  <c r="BA256" i="3"/>
  <c r="BA255" i="3"/>
  <c r="BA254" i="3"/>
  <c r="BA241" i="3"/>
  <c r="BA240" i="3"/>
  <c r="BA239" i="3"/>
  <c r="BA238" i="3"/>
  <c r="BA237" i="3"/>
  <c r="BA236" i="3"/>
  <c r="BA235" i="3"/>
  <c r="BA234" i="3"/>
  <c r="BA233" i="3"/>
  <c r="BA232" i="3"/>
  <c r="BA217" i="3"/>
  <c r="BA208" i="3"/>
  <c r="BA207" i="3"/>
  <c r="BA206" i="3"/>
  <c r="BA205" i="3"/>
  <c r="BA204" i="3"/>
  <c r="BA203" i="3"/>
  <c r="BA202" i="3"/>
  <c r="BA201" i="3"/>
  <c r="BA200" i="3"/>
  <c r="BA199" i="3"/>
  <c r="BA195" i="3"/>
  <c r="BA194" i="3"/>
  <c r="BA193" i="3"/>
  <c r="BA192" i="3"/>
  <c r="BA191" i="3"/>
  <c r="BA190" i="3"/>
  <c r="BA186" i="3"/>
  <c r="BA185" i="3"/>
  <c r="BA184" i="3"/>
  <c r="BA183" i="3"/>
  <c r="BA182" i="3"/>
  <c r="BA181" i="3"/>
  <c r="BA180" i="3"/>
  <c r="BA179" i="3"/>
  <c r="BA178" i="3"/>
  <c r="BA177" i="3"/>
  <c r="BA176" i="3"/>
  <c r="BA175" i="3"/>
  <c r="BA174" i="3"/>
  <c r="BA173" i="3"/>
  <c r="BA172" i="3"/>
  <c r="BA171" i="3"/>
  <c r="BA170" i="3"/>
  <c r="BA169" i="3"/>
  <c r="BA168" i="3"/>
  <c r="BA167" i="3"/>
  <c r="BA159" i="3"/>
  <c r="BA158" i="3"/>
  <c r="BA157" i="3"/>
  <c r="BA156" i="3"/>
  <c r="BA153" i="3"/>
  <c r="BA152" i="3"/>
  <c r="BA151" i="3"/>
  <c r="BA150" i="3"/>
  <c r="BA149" i="3"/>
  <c r="BA148" i="3"/>
  <c r="BA147" i="3"/>
  <c r="BA146" i="3"/>
  <c r="BA145" i="3"/>
  <c r="BA144" i="3"/>
  <c r="BA140" i="3"/>
  <c r="BA139" i="3"/>
  <c r="BA138" i="3"/>
  <c r="BA137" i="3"/>
  <c r="BA136" i="3"/>
  <c r="BA135" i="3"/>
  <c r="BA131" i="3"/>
  <c r="BA130" i="3"/>
  <c r="BA129" i="3"/>
  <c r="BA128" i="3"/>
  <c r="BA127" i="3"/>
  <c r="BA126" i="3"/>
  <c r="BA125" i="3"/>
  <c r="BA124" i="3"/>
  <c r="BA123" i="3"/>
  <c r="BA122" i="3"/>
  <c r="BA121" i="3"/>
  <c r="BA120" i="3"/>
  <c r="BA119" i="3"/>
  <c r="BA117" i="3"/>
  <c r="BA116" i="3"/>
  <c r="BA115" i="3"/>
  <c r="BA114" i="3"/>
  <c r="BA113" i="3"/>
  <c r="BA112" i="3"/>
  <c r="BA100" i="3"/>
  <c r="BA99" i="3"/>
  <c r="BA95" i="3"/>
  <c r="AZ353" i="3" s="1"/>
  <c r="BA85" i="3"/>
  <c r="BA83" i="3"/>
  <c r="BB336" i="3"/>
  <c r="BB335" i="3"/>
  <c r="BB334" i="3"/>
  <c r="BB333" i="3"/>
  <c r="BB332" i="3"/>
  <c r="BB331" i="3"/>
  <c r="BB330" i="3"/>
  <c r="BB329" i="3"/>
  <c r="BB328" i="3"/>
  <c r="BB327" i="3"/>
  <c r="BB324" i="3"/>
  <c r="BB323" i="3"/>
  <c r="BB322" i="3"/>
  <c r="BB321" i="3"/>
  <c r="BB317" i="3"/>
  <c r="BB312" i="3"/>
  <c r="BB307" i="3"/>
  <c r="BB301" i="3"/>
  <c r="BB300" i="3"/>
  <c r="BB299" i="3"/>
  <c r="BB298" i="3"/>
  <c r="BB297" i="3"/>
  <c r="BB296" i="3"/>
  <c r="BB295" i="3"/>
  <c r="BB294" i="3"/>
  <c r="BB293" i="3"/>
  <c r="BB292" i="3"/>
  <c r="BB290" i="3"/>
  <c r="BB289" i="3"/>
  <c r="BB288" i="3"/>
  <c r="BB287" i="3"/>
  <c r="BB286" i="3"/>
  <c r="BB285" i="3"/>
  <c r="BB263" i="3"/>
  <c r="BB262" i="3"/>
  <c r="BB261" i="3"/>
  <c r="BB260" i="3"/>
  <c r="BB259" i="3"/>
  <c r="BB258" i="3"/>
  <c r="BB257" i="3"/>
  <c r="BB256" i="3"/>
  <c r="BB255" i="3"/>
  <c r="BB254" i="3"/>
  <c r="BB241" i="3"/>
  <c r="BB240" i="3"/>
  <c r="BB239" i="3"/>
  <c r="BB238" i="3"/>
  <c r="BB237" i="3"/>
  <c r="BB236" i="3"/>
  <c r="BB235" i="3"/>
  <c r="BB234" i="3"/>
  <c r="BB233" i="3"/>
  <c r="BB232" i="3"/>
  <c r="BB217" i="3"/>
  <c r="BB208" i="3"/>
  <c r="BB207" i="3"/>
  <c r="BB206" i="3"/>
  <c r="BB205" i="3"/>
  <c r="BB204" i="3"/>
  <c r="BB203" i="3"/>
  <c r="BB202" i="3"/>
  <c r="BB201" i="3"/>
  <c r="BB200" i="3"/>
  <c r="BB199" i="3"/>
  <c r="BB195" i="3"/>
  <c r="BB194" i="3"/>
  <c r="BB193" i="3"/>
  <c r="BB192" i="3"/>
  <c r="BB191" i="3"/>
  <c r="BB190" i="3"/>
  <c r="BB186" i="3"/>
  <c r="BB185" i="3"/>
  <c r="BB184" i="3"/>
  <c r="BB183" i="3"/>
  <c r="BB182" i="3"/>
  <c r="BB181" i="3"/>
  <c r="BB180" i="3"/>
  <c r="BB179" i="3"/>
  <c r="BB178" i="3"/>
  <c r="BB177" i="3"/>
  <c r="BB176" i="3"/>
  <c r="BB175" i="3"/>
  <c r="BB174" i="3"/>
  <c r="BB173" i="3"/>
  <c r="BB172" i="3"/>
  <c r="BB171" i="3"/>
  <c r="BB170" i="3"/>
  <c r="BB169" i="3"/>
  <c r="BB168" i="3"/>
  <c r="BB167" i="3"/>
  <c r="BB159" i="3"/>
  <c r="BB158" i="3"/>
  <c r="BB157" i="3"/>
  <c r="BB156" i="3"/>
  <c r="BB153" i="3"/>
  <c r="BB152" i="3"/>
  <c r="BB151" i="3"/>
  <c r="BB150" i="3"/>
  <c r="BB149" i="3"/>
  <c r="BB148" i="3"/>
  <c r="BB147" i="3"/>
  <c r="BB146" i="3"/>
  <c r="BB145" i="3"/>
  <c r="BB144" i="3"/>
  <c r="BB140" i="3"/>
  <c r="BB139" i="3"/>
  <c r="BB138" i="3"/>
  <c r="BB137" i="3"/>
  <c r="BB136" i="3"/>
  <c r="BB135" i="3"/>
  <c r="BB131" i="3"/>
  <c r="BB130" i="3"/>
  <c r="BB129" i="3"/>
  <c r="BB128" i="3"/>
  <c r="BB127" i="3"/>
  <c r="BB126" i="3"/>
  <c r="BB125" i="3"/>
  <c r="BB124" i="3"/>
  <c r="BB123" i="3"/>
  <c r="BB122" i="3"/>
  <c r="BB121" i="3"/>
  <c r="BB120" i="3"/>
  <c r="BB119" i="3"/>
  <c r="BB118" i="3"/>
  <c r="BB117" i="3"/>
  <c r="BB116" i="3"/>
  <c r="BB115" i="3"/>
  <c r="BB114" i="3"/>
  <c r="BB113" i="3"/>
  <c r="BB112" i="3"/>
  <c r="BB99" i="3"/>
  <c r="BB83" i="3"/>
  <c r="BH336" i="3"/>
  <c r="BH335" i="3"/>
  <c r="BH334" i="3"/>
  <c r="BH333" i="3"/>
  <c r="BH332" i="3"/>
  <c r="BH331" i="3"/>
  <c r="BH330" i="3"/>
  <c r="BH329" i="3"/>
  <c r="BH328" i="3"/>
  <c r="BH327" i="3"/>
  <c r="BH301" i="3"/>
  <c r="BH300" i="3"/>
  <c r="BH299" i="3"/>
  <c r="BH298" i="3"/>
  <c r="BH297" i="3"/>
  <c r="BH296" i="3"/>
  <c r="BH295" i="3"/>
  <c r="BH294" i="3"/>
  <c r="BH293" i="3"/>
  <c r="BH292" i="3"/>
  <c r="BH263" i="3"/>
  <c r="BH262" i="3"/>
  <c r="BH261" i="3"/>
  <c r="BH260" i="3"/>
  <c r="BH259" i="3"/>
  <c r="BH258" i="3"/>
  <c r="BH257" i="3"/>
  <c r="BH256" i="3"/>
  <c r="BH255" i="3"/>
  <c r="BH254" i="3"/>
  <c r="BH241" i="3"/>
  <c r="BH240" i="3"/>
  <c r="BH239" i="3"/>
  <c r="BH238" i="3"/>
  <c r="BH237" i="3"/>
  <c r="BH236" i="3"/>
  <c r="BH235" i="3"/>
  <c r="BH234" i="3"/>
  <c r="BH233" i="3"/>
  <c r="BH232" i="3"/>
  <c r="BH208" i="3"/>
  <c r="BH207" i="3"/>
  <c r="BH206" i="3"/>
  <c r="BH205" i="3"/>
  <c r="BH204" i="3"/>
  <c r="BH203" i="3"/>
  <c r="BH202" i="3"/>
  <c r="BH201" i="3"/>
  <c r="BH200" i="3"/>
  <c r="BH199" i="3"/>
  <c r="BH186" i="3"/>
  <c r="BH185" i="3"/>
  <c r="BH184" i="3"/>
  <c r="BH183" i="3"/>
  <c r="BH182" i="3"/>
  <c r="BH181" i="3"/>
  <c r="BH180" i="3"/>
  <c r="BH179" i="3"/>
  <c r="BH178" i="3"/>
  <c r="BH177" i="3"/>
  <c r="BH153" i="3"/>
  <c r="BH152" i="3"/>
  <c r="BH151" i="3"/>
  <c r="BH150" i="3"/>
  <c r="BH149" i="3"/>
  <c r="BH148" i="3"/>
  <c r="BH147" i="3"/>
  <c r="BH146" i="3"/>
  <c r="BH145" i="3"/>
  <c r="BH144" i="3"/>
  <c r="BH131" i="3"/>
  <c r="BH130" i="3"/>
  <c r="BH129" i="3"/>
  <c r="BH128" i="3"/>
  <c r="BH127" i="3"/>
  <c r="BH126" i="3"/>
  <c r="BH125" i="3"/>
  <c r="BH124" i="3"/>
  <c r="BH123" i="3"/>
  <c r="BH122" i="3"/>
  <c r="BH87" i="3"/>
  <c r="BH85" i="3"/>
  <c r="BH83" i="3"/>
  <c r="BG336" i="3"/>
  <c r="BG335" i="3"/>
  <c r="BG334" i="3"/>
  <c r="BG333" i="3"/>
  <c r="BG332" i="3"/>
  <c r="BG331" i="3"/>
  <c r="BG330" i="3"/>
  <c r="BG329" i="3"/>
  <c r="BG328" i="3"/>
  <c r="BG327" i="3"/>
  <c r="BG301" i="3"/>
  <c r="BG300" i="3"/>
  <c r="BG299" i="3"/>
  <c r="BG298" i="3"/>
  <c r="BG297" i="3"/>
  <c r="BG296" i="3"/>
  <c r="BG295" i="3"/>
  <c r="BG294" i="3"/>
  <c r="BG293" i="3"/>
  <c r="BG292" i="3"/>
  <c r="BG263" i="3"/>
  <c r="BG262" i="3"/>
  <c r="BG261" i="3"/>
  <c r="BG260" i="3"/>
  <c r="BG259" i="3"/>
  <c r="BG258" i="3"/>
  <c r="BG257" i="3"/>
  <c r="BG256" i="3"/>
  <c r="BG255" i="3"/>
  <c r="BG254" i="3"/>
  <c r="BG241" i="3"/>
  <c r="BG240" i="3"/>
  <c r="BG239" i="3"/>
  <c r="BG238" i="3"/>
  <c r="BG237" i="3"/>
  <c r="BG236" i="3"/>
  <c r="BG235" i="3"/>
  <c r="BG234" i="3"/>
  <c r="BG233" i="3"/>
  <c r="BG232" i="3"/>
  <c r="BG208" i="3"/>
  <c r="BG207" i="3"/>
  <c r="BG206" i="3"/>
  <c r="BG205" i="3"/>
  <c r="BG204" i="3"/>
  <c r="BG203" i="3"/>
  <c r="BG202" i="3"/>
  <c r="BG201" i="3"/>
  <c r="BG200" i="3"/>
  <c r="BG199" i="3"/>
  <c r="BG186" i="3"/>
  <c r="BG185" i="3"/>
  <c r="BG184" i="3"/>
  <c r="BG183" i="3"/>
  <c r="BG182" i="3"/>
  <c r="BG181" i="3"/>
  <c r="BG180" i="3"/>
  <c r="BG179" i="3"/>
  <c r="BG178" i="3"/>
  <c r="BG177" i="3"/>
  <c r="BG153" i="3"/>
  <c r="BG152" i="3"/>
  <c r="BG151" i="3"/>
  <c r="BG150" i="3"/>
  <c r="BG149" i="3"/>
  <c r="BG148" i="3"/>
  <c r="BG147" i="3"/>
  <c r="BG146" i="3"/>
  <c r="BG145" i="3"/>
  <c r="BG144" i="3"/>
  <c r="BG131" i="3"/>
  <c r="BG130" i="3"/>
  <c r="BG129" i="3"/>
  <c r="BG128" i="3"/>
  <c r="BG127" i="3"/>
  <c r="BG126" i="3"/>
  <c r="BG125" i="3"/>
  <c r="BG124" i="3"/>
  <c r="BG123" i="3"/>
  <c r="BG122" i="3"/>
  <c r="BG83" i="3"/>
  <c r="BF336" i="3"/>
  <c r="BF335" i="3"/>
  <c r="BF334" i="3"/>
  <c r="BF333" i="3"/>
  <c r="BF332" i="3"/>
  <c r="BF331" i="3"/>
  <c r="BF330" i="3"/>
  <c r="BF329" i="3"/>
  <c r="BF328" i="3"/>
  <c r="BF327" i="3"/>
  <c r="BF301" i="3"/>
  <c r="BF300" i="3"/>
  <c r="BF299" i="3"/>
  <c r="BF298" i="3"/>
  <c r="BF297" i="3"/>
  <c r="BF296" i="3"/>
  <c r="BF295" i="3"/>
  <c r="BF294" i="3"/>
  <c r="BF293" i="3"/>
  <c r="BF292" i="3"/>
  <c r="BF263" i="3"/>
  <c r="BF262" i="3"/>
  <c r="BF261" i="3"/>
  <c r="BF260" i="3"/>
  <c r="BF259" i="3"/>
  <c r="BF258" i="3"/>
  <c r="BF257" i="3"/>
  <c r="BF256" i="3"/>
  <c r="BF255" i="3"/>
  <c r="BF254" i="3"/>
  <c r="BF241" i="3"/>
  <c r="BF240" i="3"/>
  <c r="BF239" i="3"/>
  <c r="BF238" i="3"/>
  <c r="BF237" i="3"/>
  <c r="BF236" i="3"/>
  <c r="BF235" i="3"/>
  <c r="BF234" i="3"/>
  <c r="BF233" i="3"/>
  <c r="BF232" i="3"/>
  <c r="BF208" i="3"/>
  <c r="BF207" i="3"/>
  <c r="BF206" i="3"/>
  <c r="BF205" i="3"/>
  <c r="BF204" i="3"/>
  <c r="BF203" i="3"/>
  <c r="BF202" i="3"/>
  <c r="BF201" i="3"/>
  <c r="BF200" i="3"/>
  <c r="BF199" i="3"/>
  <c r="BF186" i="3"/>
  <c r="BF185" i="3"/>
  <c r="BF184" i="3"/>
  <c r="BF183" i="3"/>
  <c r="BF182" i="3"/>
  <c r="BF181" i="3"/>
  <c r="BF180" i="3"/>
  <c r="BF179" i="3"/>
  <c r="BF178" i="3"/>
  <c r="BF177" i="3"/>
  <c r="BF153" i="3"/>
  <c r="BF152" i="3"/>
  <c r="BF151" i="3"/>
  <c r="BF150" i="3"/>
  <c r="BF149" i="3"/>
  <c r="BF148" i="3"/>
  <c r="BF147" i="3"/>
  <c r="BF146" i="3"/>
  <c r="BF145" i="3"/>
  <c r="BF144" i="3"/>
  <c r="BF131" i="3"/>
  <c r="BF130" i="3"/>
  <c r="BF129" i="3"/>
  <c r="BF128" i="3"/>
  <c r="BF127" i="3"/>
  <c r="BF126" i="3"/>
  <c r="BF125" i="3"/>
  <c r="BF124" i="3"/>
  <c r="BF123" i="3"/>
  <c r="BF122" i="3"/>
  <c r="BF83" i="3"/>
  <c r="BE336" i="3"/>
  <c r="BE335" i="3"/>
  <c r="BE334" i="3"/>
  <c r="BE333" i="3"/>
  <c r="BE332" i="3"/>
  <c r="BE331" i="3"/>
  <c r="BE330" i="3"/>
  <c r="BE329" i="3"/>
  <c r="BE328" i="3"/>
  <c r="BE327" i="3"/>
  <c r="BE301" i="3"/>
  <c r="BE300" i="3"/>
  <c r="BE299" i="3"/>
  <c r="BE298" i="3"/>
  <c r="BE297" i="3"/>
  <c r="BE296" i="3"/>
  <c r="BE295" i="3"/>
  <c r="BE294" i="3"/>
  <c r="BE293" i="3"/>
  <c r="BE292" i="3"/>
  <c r="BE263" i="3"/>
  <c r="BE262" i="3"/>
  <c r="BE261" i="3"/>
  <c r="BE260" i="3"/>
  <c r="BE259" i="3"/>
  <c r="BE258" i="3"/>
  <c r="BE257" i="3"/>
  <c r="BE256" i="3"/>
  <c r="BE255" i="3"/>
  <c r="BE254" i="3"/>
  <c r="BE241" i="3"/>
  <c r="BE240" i="3"/>
  <c r="BE239" i="3"/>
  <c r="BE238" i="3"/>
  <c r="BE237" i="3"/>
  <c r="BE236" i="3"/>
  <c r="BE235" i="3"/>
  <c r="BE234" i="3"/>
  <c r="BE233" i="3"/>
  <c r="BE232" i="3"/>
  <c r="BE208" i="3"/>
  <c r="BE207" i="3"/>
  <c r="BE206" i="3"/>
  <c r="BE205" i="3"/>
  <c r="BE204" i="3"/>
  <c r="BE203" i="3"/>
  <c r="BE202" i="3"/>
  <c r="BE201" i="3"/>
  <c r="BE200" i="3"/>
  <c r="BE199" i="3"/>
  <c r="BE186" i="3"/>
  <c r="BE185" i="3"/>
  <c r="BE184" i="3"/>
  <c r="BE183" i="3"/>
  <c r="BE182" i="3"/>
  <c r="BE181" i="3"/>
  <c r="BE180" i="3"/>
  <c r="BE179" i="3"/>
  <c r="BE178" i="3"/>
  <c r="BE177" i="3"/>
  <c r="BE153" i="3"/>
  <c r="BE152" i="3"/>
  <c r="BE151" i="3"/>
  <c r="BE150" i="3"/>
  <c r="BE149" i="3"/>
  <c r="BE148" i="3"/>
  <c r="BE147" i="3"/>
  <c r="BE146" i="3"/>
  <c r="BE145" i="3"/>
  <c r="BE144" i="3"/>
  <c r="BE131" i="3"/>
  <c r="BE130" i="3"/>
  <c r="BE129" i="3"/>
  <c r="BE128" i="3"/>
  <c r="BE127" i="3"/>
  <c r="BE126" i="3"/>
  <c r="BE125" i="3"/>
  <c r="BE124" i="3"/>
  <c r="BE123" i="3"/>
  <c r="BE122" i="3"/>
  <c r="BE83" i="3"/>
  <c r="BD336" i="3"/>
  <c r="BD335" i="3"/>
  <c r="BD334" i="3"/>
  <c r="BD333" i="3"/>
  <c r="BD332" i="3"/>
  <c r="BD331" i="3"/>
  <c r="BD330" i="3"/>
  <c r="BD329" i="3"/>
  <c r="BD328" i="3"/>
  <c r="BD327" i="3"/>
  <c r="BD301" i="3"/>
  <c r="BD300" i="3"/>
  <c r="BD299" i="3"/>
  <c r="BD298" i="3"/>
  <c r="BD297" i="3"/>
  <c r="BD296" i="3"/>
  <c r="BD295" i="3"/>
  <c r="BD294" i="3"/>
  <c r="BD293" i="3"/>
  <c r="BD292" i="3"/>
  <c r="BD263" i="3"/>
  <c r="BD262" i="3"/>
  <c r="BD261" i="3"/>
  <c r="BD260" i="3"/>
  <c r="BD259" i="3"/>
  <c r="BD258" i="3"/>
  <c r="BD257" i="3"/>
  <c r="BD256" i="3"/>
  <c r="BD255" i="3"/>
  <c r="BD254" i="3"/>
  <c r="BD241" i="3"/>
  <c r="BD240" i="3"/>
  <c r="BD239" i="3"/>
  <c r="BD238" i="3"/>
  <c r="BD237" i="3"/>
  <c r="BD236" i="3"/>
  <c r="BD235" i="3"/>
  <c r="BD234" i="3"/>
  <c r="BD233" i="3"/>
  <c r="BD232" i="3"/>
  <c r="BD208" i="3"/>
  <c r="BD207" i="3"/>
  <c r="BD206" i="3"/>
  <c r="BD205" i="3"/>
  <c r="BD204" i="3"/>
  <c r="BD203" i="3"/>
  <c r="BD202" i="3"/>
  <c r="BD201" i="3"/>
  <c r="BD200" i="3"/>
  <c r="BD199" i="3"/>
  <c r="BD186" i="3"/>
  <c r="BD185" i="3"/>
  <c r="BD184" i="3"/>
  <c r="BD183" i="3"/>
  <c r="BD182" i="3"/>
  <c r="BD181" i="3"/>
  <c r="BD180" i="3"/>
  <c r="BD179" i="3"/>
  <c r="BD178" i="3"/>
  <c r="BD177" i="3"/>
  <c r="BD153" i="3"/>
  <c r="BD152" i="3"/>
  <c r="BD151" i="3"/>
  <c r="BD150" i="3"/>
  <c r="BD149" i="3"/>
  <c r="BD148" i="3"/>
  <c r="BD147" i="3"/>
  <c r="BD146" i="3"/>
  <c r="BD145" i="3"/>
  <c r="BD144" i="3"/>
  <c r="BD131" i="3"/>
  <c r="BD130" i="3"/>
  <c r="BD129" i="3"/>
  <c r="BD128" i="3"/>
  <c r="BD127" i="3"/>
  <c r="BD126" i="3"/>
  <c r="BD125" i="3"/>
  <c r="BD124" i="3"/>
  <c r="BD123" i="3"/>
  <c r="BD122" i="3"/>
  <c r="BD85" i="3"/>
  <c r="BD83" i="3"/>
  <c r="BC336" i="3"/>
  <c r="BC335" i="3"/>
  <c r="BC334" i="3"/>
  <c r="BC333" i="3"/>
  <c r="BC332" i="3"/>
  <c r="BC331" i="3"/>
  <c r="BC330" i="3"/>
  <c r="BC329" i="3"/>
  <c r="BC328" i="3"/>
  <c r="BC327" i="3"/>
  <c r="BC325" i="3"/>
  <c r="BC324" i="3"/>
  <c r="BC323" i="3"/>
  <c r="BC322" i="3"/>
  <c r="BC321" i="3"/>
  <c r="BC317" i="3"/>
  <c r="BC312" i="3"/>
  <c r="BC263" i="3"/>
  <c r="BC262" i="3"/>
  <c r="BC261" i="3"/>
  <c r="BC260" i="3"/>
  <c r="BC259" i="3"/>
  <c r="BC258" i="3"/>
  <c r="BC257" i="3"/>
  <c r="BC256" i="3"/>
  <c r="BC255" i="3"/>
  <c r="BC254" i="3"/>
  <c r="BC241" i="3"/>
  <c r="BC240" i="3"/>
  <c r="BC239" i="3"/>
  <c r="BC238" i="3"/>
  <c r="BC237" i="3"/>
  <c r="BC236" i="3"/>
  <c r="BC235" i="3"/>
  <c r="BC234" i="3"/>
  <c r="BC233" i="3"/>
  <c r="BC232" i="3"/>
  <c r="BC307" i="3"/>
  <c r="BC301" i="3"/>
  <c r="BC300" i="3"/>
  <c r="BC299" i="3"/>
  <c r="BC298" i="3"/>
  <c r="BC297" i="3"/>
  <c r="BC296" i="3"/>
  <c r="BC295" i="3"/>
  <c r="BC294" i="3"/>
  <c r="BC293" i="3"/>
  <c r="BC292" i="3"/>
  <c r="BC290" i="3"/>
  <c r="BC289" i="3"/>
  <c r="BC288" i="3"/>
  <c r="BC287" i="3"/>
  <c r="BC286" i="3"/>
  <c r="BC285" i="3"/>
  <c r="BC217" i="3"/>
  <c r="BC208" i="3"/>
  <c r="BC207" i="3"/>
  <c r="BC206" i="3"/>
  <c r="BC205" i="3"/>
  <c r="BC204" i="3"/>
  <c r="BC203" i="3"/>
  <c r="BC202" i="3"/>
  <c r="BC201" i="3"/>
  <c r="BC200" i="3"/>
  <c r="BC199" i="3"/>
  <c r="BC195" i="3"/>
  <c r="BC194" i="3"/>
  <c r="BC193" i="3"/>
  <c r="BC192" i="3"/>
  <c r="BC191" i="3"/>
  <c r="BC190" i="3"/>
  <c r="BC186" i="3"/>
  <c r="BC185" i="3"/>
  <c r="BC184" i="3"/>
  <c r="BC183" i="3"/>
  <c r="BC182" i="3"/>
  <c r="BC181" i="3"/>
  <c r="BC180" i="3"/>
  <c r="BC179" i="3"/>
  <c r="BC178" i="3"/>
  <c r="BC177" i="3"/>
  <c r="BC175" i="3"/>
  <c r="BC174" i="3"/>
  <c r="BC173" i="3"/>
  <c r="BC172" i="3"/>
  <c r="BC171" i="3"/>
  <c r="BC170" i="3"/>
  <c r="BC169" i="3"/>
  <c r="BC168" i="3"/>
  <c r="BC167" i="3"/>
  <c r="BC159" i="3"/>
  <c r="BC158" i="3"/>
  <c r="BC157" i="3"/>
  <c r="BC156" i="3"/>
  <c r="BC153" i="3"/>
  <c r="BC152" i="3"/>
  <c r="BC151" i="3"/>
  <c r="BC150" i="3"/>
  <c r="BC149" i="3"/>
  <c r="BC148" i="3"/>
  <c r="BC147" i="3"/>
  <c r="BC146" i="3"/>
  <c r="BC145" i="3"/>
  <c r="BC144" i="3"/>
  <c r="BC140" i="3"/>
  <c r="BC139" i="3"/>
  <c r="BC138" i="3"/>
  <c r="BC137" i="3"/>
  <c r="BC136" i="3"/>
  <c r="BC135" i="3"/>
  <c r="BC131" i="3"/>
  <c r="BC130" i="3"/>
  <c r="BC129" i="3"/>
  <c r="BC128" i="3"/>
  <c r="BC127" i="3"/>
  <c r="BC126" i="3"/>
  <c r="BC125" i="3"/>
  <c r="BC124" i="3"/>
  <c r="BC123" i="3"/>
  <c r="BC122" i="3"/>
  <c r="BC120" i="3"/>
  <c r="BC119" i="3"/>
  <c r="BC118" i="3"/>
  <c r="BC117" i="3"/>
  <c r="BC116" i="3"/>
  <c r="BC115" i="3"/>
  <c r="BC114" i="3"/>
  <c r="BC113" i="3"/>
  <c r="BC112" i="3"/>
  <c r="BC99" i="3"/>
  <c r="K60" i="3"/>
  <c r="J60" i="3"/>
  <c r="C4" i="6"/>
  <c r="C3" i="6"/>
  <c r="D354" i="3"/>
  <c r="I353" i="3"/>
  <c r="G353" i="3"/>
  <c r="F353" i="3"/>
  <c r="E353" i="3"/>
  <c r="D353" i="3"/>
  <c r="K353" i="3"/>
  <c r="K347" i="3"/>
  <c r="I347" i="3"/>
  <c r="H347" i="3"/>
  <c r="G347" i="3"/>
  <c r="F347" i="3"/>
  <c r="E347" i="3"/>
  <c r="D347" i="3"/>
  <c r="J347" i="3"/>
  <c r="J342" i="3"/>
  <c r="H342" i="3"/>
  <c r="G342" i="3"/>
  <c r="F342" i="3"/>
  <c r="E342" i="3"/>
  <c r="D342" i="3"/>
  <c r="J316" i="3"/>
  <c r="J326" i="3"/>
  <c r="K326" i="3"/>
  <c r="BC326" i="3" s="1"/>
  <c r="K316" i="3"/>
  <c r="M316" i="3"/>
  <c r="BD316" i="3" s="1"/>
  <c r="I316" i="3"/>
  <c r="I318" i="3" s="1"/>
  <c r="I309" i="3" s="1"/>
  <c r="I576" i="3" s="1"/>
  <c r="H316" i="3"/>
  <c r="G316" i="3"/>
  <c r="G318" i="3" s="1"/>
  <c r="G309" i="3" s="1"/>
  <c r="G576" i="3" s="1"/>
  <c r="F316" i="3"/>
  <c r="F318" i="3" s="1"/>
  <c r="F309" i="3" s="1"/>
  <c r="F576" i="3" s="1"/>
  <c r="E316" i="3"/>
  <c r="AZ316" i="3" s="1"/>
  <c r="D316" i="3"/>
  <c r="D346" i="3" s="1"/>
  <c r="I313" i="3"/>
  <c r="BB313" i="3" s="1"/>
  <c r="H313" i="3"/>
  <c r="G313" i="3"/>
  <c r="F313" i="3"/>
  <c r="E313" i="3"/>
  <c r="AZ313" i="3" s="1"/>
  <c r="D313" i="3"/>
  <c r="K313" i="3"/>
  <c r="BC313" i="3" s="1"/>
  <c r="J313" i="3"/>
  <c r="J302" i="3"/>
  <c r="J304" i="3" s="1"/>
  <c r="K279" i="3"/>
  <c r="J279" i="3"/>
  <c r="J281" i="3" s="1"/>
  <c r="I279" i="3"/>
  <c r="H279" i="3"/>
  <c r="G279" i="3"/>
  <c r="F279" i="3"/>
  <c r="E279" i="3"/>
  <c r="D279" i="3"/>
  <c r="BD195" i="3"/>
  <c r="BD191" i="3"/>
  <c r="BD190" i="3"/>
  <c r="BD174" i="3"/>
  <c r="BD172" i="3"/>
  <c r="K250" i="3"/>
  <c r="BC250" i="3" s="1"/>
  <c r="J250" i="3"/>
  <c r="I250" i="3"/>
  <c r="BB250" i="3" s="1"/>
  <c r="K249" i="3"/>
  <c r="BC249" i="3" s="1"/>
  <c r="J249" i="3"/>
  <c r="I249" i="3"/>
  <c r="BB249" i="3" s="1"/>
  <c r="K248" i="3"/>
  <c r="BC248" i="3" s="1"/>
  <c r="J248" i="3"/>
  <c r="I248" i="3"/>
  <c r="BB248" i="3" s="1"/>
  <c r="K247" i="3"/>
  <c r="BC247" i="3" s="1"/>
  <c r="J247" i="3"/>
  <c r="I247" i="3"/>
  <c r="BB247" i="3" s="1"/>
  <c r="K246" i="3"/>
  <c r="BC246" i="3" s="1"/>
  <c r="J246" i="3"/>
  <c r="I246" i="3"/>
  <c r="BB246" i="3" s="1"/>
  <c r="K245" i="3"/>
  <c r="BC245" i="3" s="1"/>
  <c r="J245" i="3"/>
  <c r="I245" i="3"/>
  <c r="BB245" i="3" s="1"/>
  <c r="I231" i="3"/>
  <c r="K230" i="3"/>
  <c r="BC230" i="3" s="1"/>
  <c r="J230" i="3"/>
  <c r="I230" i="3"/>
  <c r="BB230" i="3" s="1"/>
  <c r="K229" i="3"/>
  <c r="BC229" i="3" s="1"/>
  <c r="J229" i="3"/>
  <c r="I229" i="3"/>
  <c r="BB229" i="3" s="1"/>
  <c r="K228" i="3"/>
  <c r="J228" i="3"/>
  <c r="J53" i="3" s="1"/>
  <c r="I228" i="3"/>
  <c r="I53" i="3" s="1"/>
  <c r="K227" i="3"/>
  <c r="K52" i="3" s="1"/>
  <c r="J227" i="3"/>
  <c r="J52" i="3" s="1"/>
  <c r="I227" i="3"/>
  <c r="I52" i="3" s="1"/>
  <c r="K226" i="3"/>
  <c r="BC226" i="3" s="1"/>
  <c r="I226" i="3"/>
  <c r="BB226" i="3" s="1"/>
  <c r="K225" i="3"/>
  <c r="BC225" i="3" s="1"/>
  <c r="J225" i="3"/>
  <c r="I225" i="3"/>
  <c r="BB225" i="3" s="1"/>
  <c r="K224" i="3"/>
  <c r="BC224" i="3" s="1"/>
  <c r="J224" i="3"/>
  <c r="I224" i="3"/>
  <c r="BB224" i="3" s="1"/>
  <c r="K223" i="3"/>
  <c r="BC223" i="3" s="1"/>
  <c r="J223" i="3"/>
  <c r="I223" i="3"/>
  <c r="BB223" i="3" s="1"/>
  <c r="J222" i="3"/>
  <c r="J50" i="3" s="1"/>
  <c r="I222" i="3"/>
  <c r="K222" i="3"/>
  <c r="K50" i="3" s="1"/>
  <c r="J171" i="3"/>
  <c r="J197" i="3"/>
  <c r="J189" i="3"/>
  <c r="I197" i="3"/>
  <c r="BB197" i="3" s="1"/>
  <c r="I189" i="3"/>
  <c r="BB189" i="3" s="1"/>
  <c r="K197" i="3"/>
  <c r="BC197" i="3" s="1"/>
  <c r="K189" i="3"/>
  <c r="BC189" i="3" s="1"/>
  <c r="I187" i="3"/>
  <c r="I209" i="3" s="1"/>
  <c r="I219" i="3" s="1"/>
  <c r="G187" i="3"/>
  <c r="G209" i="3" s="1"/>
  <c r="G219" i="3" s="1"/>
  <c r="K176" i="3"/>
  <c r="K187" i="3" s="1"/>
  <c r="K209" i="3" s="1"/>
  <c r="BC196" i="3"/>
  <c r="BB196" i="3"/>
  <c r="BA196" i="3"/>
  <c r="AZ196" i="3"/>
  <c r="J142" i="3"/>
  <c r="J134" i="3"/>
  <c r="J121" i="3"/>
  <c r="J132" i="3" s="1"/>
  <c r="I142" i="3"/>
  <c r="I134" i="3"/>
  <c r="AU274" i="3"/>
  <c r="G161" i="3"/>
  <c r="G453" i="3" s="1"/>
  <c r="G461" i="3" s="1"/>
  <c r="BA461" i="3" s="1"/>
  <c r="F161" i="3"/>
  <c r="F453" i="3" s="1"/>
  <c r="F461" i="3" s="1"/>
  <c r="E161" i="3"/>
  <c r="E453" i="3" s="1"/>
  <c r="E461" i="3" s="1"/>
  <c r="AZ461" i="3" s="1"/>
  <c r="D161" i="3"/>
  <c r="D453" i="3" s="1"/>
  <c r="D461" i="3" s="1"/>
  <c r="K100" i="3"/>
  <c r="K161" i="3" s="1"/>
  <c r="BC161" i="3" s="1"/>
  <c r="J100" i="3"/>
  <c r="J161" i="3" s="1"/>
  <c r="J453" i="3" s="1"/>
  <c r="J461" i="3" s="1"/>
  <c r="I100" i="3"/>
  <c r="I161" i="3" s="1"/>
  <c r="I453" i="3" s="1"/>
  <c r="BD136" i="3"/>
  <c r="BD119" i="3"/>
  <c r="K142" i="3"/>
  <c r="BC142" i="3" s="1"/>
  <c r="J141" i="3"/>
  <c r="J251" i="3" s="1"/>
  <c r="I141" i="3"/>
  <c r="BB141" i="3" s="1"/>
  <c r="H141" i="3"/>
  <c r="H251" i="3" s="1"/>
  <c r="G141" i="3"/>
  <c r="G251" i="3" s="1"/>
  <c r="BA251" i="3" s="1"/>
  <c r="F141" i="3"/>
  <c r="F251" i="3" s="1"/>
  <c r="E141" i="3"/>
  <c r="AZ141" i="3" s="1"/>
  <c r="D141" i="3"/>
  <c r="D251" i="3" s="1"/>
  <c r="K141" i="3"/>
  <c r="BC141" i="3" s="1"/>
  <c r="K134" i="3"/>
  <c r="BC134" i="3" s="1"/>
  <c r="I132" i="3"/>
  <c r="K121" i="3"/>
  <c r="K132" i="3" s="1"/>
  <c r="S3" i="9"/>
  <c r="P9" i="9"/>
  <c r="Q9" i="9" s="1"/>
  <c r="R9" i="9" s="1"/>
  <c r="S9" i="9" s="1"/>
  <c r="T9" i="9" s="1"/>
  <c r="BE48" i="3"/>
  <c r="BD48" i="3"/>
  <c r="BH342" i="3"/>
  <c r="BH344" i="3"/>
  <c r="BD117" i="3"/>
  <c r="BD140" i="3"/>
  <c r="BE194" i="3"/>
  <c r="BD194" i="3"/>
  <c r="BD317" i="3"/>
  <c r="BD120" i="3"/>
  <c r="BE175" i="3"/>
  <c r="BD175" i="3"/>
  <c r="BE285" i="3"/>
  <c r="BD285" i="3"/>
  <c r="BD196" i="3"/>
  <c r="BD141" i="3"/>
  <c r="K80" i="3"/>
  <c r="J80" i="3"/>
  <c r="J82" i="3" s="1"/>
  <c r="J96" i="3" s="1"/>
  <c r="J87" i="3"/>
  <c r="K87" i="3" s="1"/>
  <c r="K344" i="3" s="1"/>
  <c r="J97" i="3"/>
  <c r="J354" i="3" s="1"/>
  <c r="I85" i="3"/>
  <c r="I342" i="3" s="1"/>
  <c r="K85" i="3"/>
  <c r="K342" i="3" s="1"/>
  <c r="K95" i="3"/>
  <c r="BC95" i="3" s="1"/>
  <c r="I95" i="3"/>
  <c r="BB95" i="3" s="1"/>
  <c r="BD286" i="3"/>
  <c r="BD158" i="3"/>
  <c r="BD157" i="3"/>
  <c r="BD42" i="3"/>
  <c r="BD392" i="3"/>
  <c r="BD430" i="3"/>
  <c r="BE135" i="3"/>
  <c r="BD135" i="3"/>
  <c r="BD139" i="3"/>
  <c r="BE120" i="3"/>
  <c r="BE136" i="3"/>
  <c r="BD323" i="3"/>
  <c r="BE99" i="3"/>
  <c r="BD99" i="3"/>
  <c r="BE317" i="3"/>
  <c r="BE286" i="3"/>
  <c r="BE140" i="3"/>
  <c r="BE117" i="3"/>
  <c r="BE195" i="3"/>
  <c r="BE191" i="3"/>
  <c r="BE190" i="3"/>
  <c r="BE174" i="3"/>
  <c r="BE172" i="3"/>
  <c r="BE119" i="3"/>
  <c r="BE392" i="3"/>
  <c r="BF135" i="3"/>
  <c r="BF117" i="3"/>
  <c r="BF140" i="3"/>
  <c r="BF286" i="3"/>
  <c r="BF317" i="3"/>
  <c r="BF136" i="3"/>
  <c r="BF120" i="3"/>
  <c r="BF48" i="3"/>
  <c r="BF285" i="3"/>
  <c r="BF194" i="3"/>
  <c r="BF175" i="3"/>
  <c r="BE196" i="3"/>
  <c r="BE141" i="3"/>
  <c r="BE158" i="3"/>
  <c r="BE157" i="3"/>
  <c r="BE42" i="3"/>
  <c r="BE430" i="3"/>
  <c r="BF392" i="3"/>
  <c r="BE323" i="3"/>
  <c r="BE139" i="3"/>
  <c r="BG120" i="3"/>
  <c r="BG136" i="3"/>
  <c r="BH317" i="3"/>
  <c r="BG317" i="3"/>
  <c r="BG286" i="3"/>
  <c r="BG140" i="3"/>
  <c r="BG117" i="3"/>
  <c r="BF195" i="3"/>
  <c r="BF191" i="3"/>
  <c r="BF190" i="3"/>
  <c r="BF174" i="3"/>
  <c r="BF172" i="3"/>
  <c r="BF119" i="3"/>
  <c r="BF99" i="3"/>
  <c r="BF157" i="3"/>
  <c r="BH291" i="3"/>
  <c r="BF42" i="3"/>
  <c r="BG392" i="3"/>
  <c r="BF430" i="3"/>
  <c r="BF36" i="3"/>
  <c r="BF477" i="3" s="1"/>
  <c r="BG48" i="3"/>
  <c r="BG285" i="3"/>
  <c r="BG194" i="3"/>
  <c r="BG175" i="3"/>
  <c r="BF196" i="3"/>
  <c r="BG135" i="3"/>
  <c r="BF141" i="3"/>
  <c r="BF158" i="3"/>
  <c r="BG42" i="3"/>
  <c r="AX704" i="4"/>
  <c r="BG430" i="3"/>
  <c r="BF139" i="3"/>
  <c r="BF323" i="3"/>
  <c r="BG195" i="3"/>
  <c r="BG191" i="3"/>
  <c r="BG190" i="3"/>
  <c r="BG174" i="3"/>
  <c r="BG172" i="3"/>
  <c r="BG119" i="3"/>
  <c r="BG99" i="3"/>
  <c r="BG158" i="3"/>
  <c r="BG157" i="3"/>
  <c r="BG39" i="3"/>
  <c r="BG36" i="3"/>
  <c r="BG477" i="3" s="1"/>
  <c r="AF27" i="32" s="1"/>
  <c r="BG196" i="3"/>
  <c r="BI135" i="3"/>
  <c r="BG141" i="3"/>
  <c r="BJ48" i="3"/>
  <c r="BH48" i="3"/>
  <c r="BI48" i="3"/>
  <c r="BH135" i="3"/>
  <c r="AY704" i="4"/>
  <c r="BG323" i="3"/>
  <c r="BG139" i="3"/>
  <c r="BH99" i="3"/>
  <c r="BK48" i="3"/>
  <c r="BL48" i="3"/>
  <c r="AZ704" i="4"/>
  <c r="BH39" i="3"/>
  <c r="BH36" i="3"/>
  <c r="BH477" i="3" s="1"/>
  <c r="AG27" i="32" s="1"/>
  <c r="BH139" i="3"/>
  <c r="BA704" i="4"/>
  <c r="BC83" i="3"/>
  <c r="K79" i="3"/>
  <c r="J79" i="3"/>
  <c r="K78" i="3"/>
  <c r="J78" i="3"/>
  <c r="K75" i="3"/>
  <c r="J75" i="3"/>
  <c r="BD406" i="3"/>
  <c r="BE406" i="3"/>
  <c r="BF406" i="3"/>
  <c r="BG406" i="3"/>
  <c r="K70" i="3"/>
  <c r="J70" i="3"/>
  <c r="K69" i="3"/>
  <c r="J69" i="3"/>
  <c r="K66" i="3"/>
  <c r="J66" i="3"/>
  <c r="K65" i="3"/>
  <c r="J65" i="3"/>
  <c r="K62" i="3"/>
  <c r="J62" i="3"/>
  <c r="BD118" i="3"/>
  <c r="BD389" i="3"/>
  <c r="BD173" i="3"/>
  <c r="BE118" i="3"/>
  <c r="BD287" i="3"/>
  <c r="BD324" i="3"/>
  <c r="BE389" i="3"/>
  <c r="BD290" i="3"/>
  <c r="BE173" i="3"/>
  <c r="AU532" i="3"/>
  <c r="BD390" i="3"/>
  <c r="BF118" i="3"/>
  <c r="BE287" i="3"/>
  <c r="BE324" i="3"/>
  <c r="BF389" i="3"/>
  <c r="BF173" i="3"/>
  <c r="BE290" i="3"/>
  <c r="AU2" i="3"/>
  <c r="BE390" i="3"/>
  <c r="BG118" i="3"/>
  <c r="BF287" i="3"/>
  <c r="AU3" i="3"/>
  <c r="AV3" i="3"/>
  <c r="BF290" i="3"/>
  <c r="BG389" i="3"/>
  <c r="BF324" i="3"/>
  <c r="BF390" i="3"/>
  <c r="BG173" i="3"/>
  <c r="BG287" i="3"/>
  <c r="BG290" i="3"/>
  <c r="BG324" i="3"/>
  <c r="BG390" i="3"/>
  <c r="D2" i="3"/>
  <c r="D3" i="3"/>
  <c r="E1" i="3"/>
  <c r="AX668" i="4"/>
  <c r="AX117" i="4"/>
  <c r="AX667" i="4"/>
  <c r="AX327" i="4"/>
  <c r="AX542" i="4"/>
  <c r="AX175" i="4"/>
  <c r="AX97" i="4"/>
  <c r="AX683" i="4"/>
  <c r="AX612" i="4"/>
  <c r="AY667" i="4"/>
  <c r="AX82" i="4"/>
  <c r="AY668" i="4"/>
  <c r="AX14" i="4"/>
  <c r="AY82" i="4"/>
  <c r="AY327" i="4"/>
  <c r="AY683" i="4"/>
  <c r="AY97" i="4"/>
  <c r="AY685" i="4"/>
  <c r="AY542" i="4"/>
  <c r="AY175" i="4"/>
  <c r="AZ667" i="4"/>
  <c r="AY14" i="4"/>
  <c r="AY612" i="4"/>
  <c r="AZ668" i="4"/>
  <c r="AZ542" i="4"/>
  <c r="AZ327" i="4"/>
  <c r="BA251" i="4"/>
  <c r="AZ82" i="4"/>
  <c r="AZ175" i="4"/>
  <c r="AZ97" i="4"/>
  <c r="AZ683" i="4"/>
  <c r="BA668" i="4"/>
  <c r="AZ612" i="4"/>
  <c r="AZ685" i="4"/>
  <c r="BA84" i="4"/>
  <c r="AZ14" i="4"/>
  <c r="BA667" i="4"/>
  <c r="BA683" i="4"/>
  <c r="BA82" i="4"/>
  <c r="BA327" i="4"/>
  <c r="BA16" i="4"/>
  <c r="BA685" i="4"/>
  <c r="BA175" i="4"/>
  <c r="BA97" i="4"/>
  <c r="BA14" i="4"/>
  <c r="BB83" i="4"/>
  <c r="BC443" i="3"/>
  <c r="K40" i="4"/>
  <c r="K62" i="4"/>
  <c r="BD443" i="3"/>
  <c r="BE443" i="3"/>
  <c r="BF443" i="3"/>
  <c r="BG443" i="3"/>
  <c r="BH443" i="3"/>
  <c r="G2" i="8"/>
  <c r="H2" i="8" s="1"/>
  <c r="I2" i="8" s="1"/>
  <c r="J2" i="8" s="1"/>
  <c r="BH461" i="3"/>
  <c r="BF100" i="3"/>
  <c r="BG100" i="3"/>
  <c r="BE100" i="3"/>
  <c r="K42" i="4"/>
  <c r="BD116" i="3"/>
  <c r="BD113" i="3"/>
  <c r="BD137" i="3"/>
  <c r="BD112" i="3"/>
  <c r="M132" i="3"/>
  <c r="M419" i="3" s="1"/>
  <c r="M408" i="3" s="1"/>
  <c r="BD408" i="3" s="1"/>
  <c r="BD114" i="3"/>
  <c r="BD121" i="3"/>
  <c r="BD115" i="3"/>
  <c r="BD325" i="3"/>
  <c r="BD192" i="3"/>
  <c r="BD138" i="3"/>
  <c r="BD289" i="3"/>
  <c r="BD381" i="3"/>
  <c r="BD403" i="3"/>
  <c r="BD170" i="3"/>
  <c r="BD176" i="3"/>
  <c r="BD423" i="3"/>
  <c r="BD421" i="3"/>
  <c r="BD193" i="3"/>
  <c r="BD386" i="3"/>
  <c r="BD387" i="3"/>
  <c r="BD404" i="3"/>
  <c r="BD383" i="3"/>
  <c r="BD407" i="3"/>
  <c r="BD382" i="3"/>
  <c r="BD388" i="3"/>
  <c r="BD422" i="3"/>
  <c r="BD405" i="3"/>
  <c r="L40" i="4"/>
  <c r="L489" i="4" s="1"/>
  <c r="AX489" i="4" s="1"/>
  <c r="BD427" i="3"/>
  <c r="BE387" i="3"/>
  <c r="BD426" i="3"/>
  <c r="BE427" i="3"/>
  <c r="BD380" i="3"/>
  <c r="BE405" i="3"/>
  <c r="BD425" i="3"/>
  <c r="L141" i="4"/>
  <c r="BF427" i="3"/>
  <c r="AX191" i="4"/>
  <c r="AX192" i="4"/>
  <c r="BF405" i="3"/>
  <c r="AX628" i="4"/>
  <c r="AX343" i="4"/>
  <c r="AX344" i="4"/>
  <c r="BF387" i="3"/>
  <c r="AX558" i="4"/>
  <c r="AX559" i="4"/>
  <c r="AX113" i="4"/>
  <c r="AX114" i="4"/>
  <c r="AX629" i="4"/>
  <c r="AX177" i="4"/>
  <c r="AX99" i="4"/>
  <c r="BG387" i="3"/>
  <c r="BH387" i="3"/>
  <c r="BG405" i="3"/>
  <c r="BG427" i="3"/>
  <c r="BH427" i="3"/>
  <c r="BH405" i="3"/>
  <c r="L223" i="3"/>
  <c r="BD171" i="3"/>
  <c r="L226" i="3"/>
  <c r="L45" i="3"/>
  <c r="BD312" i="3"/>
  <c r="BD167" i="3"/>
  <c r="BD288" i="3"/>
  <c r="BD168" i="3"/>
  <c r="BD169" i="3"/>
  <c r="BD559" i="3"/>
  <c r="BD322" i="3"/>
  <c r="BD321" i="3"/>
  <c r="BD558" i="3"/>
  <c r="AX91" i="4"/>
  <c r="AX321" i="4"/>
  <c r="AX539" i="4"/>
  <c r="AX609" i="4"/>
  <c r="AX169" i="4"/>
  <c r="AX677" i="4"/>
  <c r="L100" i="4"/>
  <c r="L102" i="4" s="1"/>
  <c r="AX29" i="4"/>
  <c r="AX12" i="4"/>
  <c r="AX33" i="4"/>
  <c r="BD103" i="3"/>
  <c r="BD156" i="3"/>
  <c r="BD579" i="3"/>
  <c r="BE156" i="3"/>
  <c r="BE103" i="3"/>
  <c r="BE372" i="3" s="1"/>
  <c r="BD217" i="3"/>
  <c r="BD159" i="3"/>
  <c r="AX347" i="4"/>
  <c r="O353" i="3"/>
  <c r="AX562" i="4"/>
  <c r="BD307" i="3"/>
  <c r="AY347" i="4"/>
  <c r="AX44" i="4"/>
  <c r="BF103" i="3"/>
  <c r="BF372" i="3" s="1"/>
  <c r="BF156" i="3"/>
  <c r="AZ347" i="4"/>
  <c r="BG103" i="3"/>
  <c r="BG372" i="3" s="1"/>
  <c r="L133" i="4"/>
  <c r="AX112" i="4"/>
  <c r="L78" i="4"/>
  <c r="M78" i="4" s="1"/>
  <c r="N78" i="4" s="1"/>
  <c r="N79" i="4" s="1"/>
  <c r="L123" i="4"/>
  <c r="BG156" i="3"/>
  <c r="AY112" i="4"/>
  <c r="AY39" i="4"/>
  <c r="BA347" i="4"/>
  <c r="BE116" i="3"/>
  <c r="AZ112" i="4"/>
  <c r="BE289" i="3"/>
  <c r="BE115" i="3"/>
  <c r="BE171" i="3"/>
  <c r="BE113" i="3"/>
  <c r="BE169" i="3"/>
  <c r="BE112" i="3"/>
  <c r="O132" i="3"/>
  <c r="O419" i="3" s="1"/>
  <c r="O408" i="3" s="1"/>
  <c r="BE408" i="3" s="1"/>
  <c r="BE137" i="3"/>
  <c r="BE121" i="3"/>
  <c r="BE114" i="3"/>
  <c r="BE421" i="3"/>
  <c r="BE168" i="3"/>
  <c r="BE170" i="3"/>
  <c r="BA112" i="4"/>
  <c r="BE403" i="3"/>
  <c r="BE381" i="3"/>
  <c r="BE167" i="3"/>
  <c r="BE423" i="3"/>
  <c r="BE142" i="3"/>
  <c r="BE325" i="3"/>
  <c r="BE176" i="3"/>
  <c r="BE192" i="3"/>
  <c r="BE138" i="3"/>
  <c r="BE322" i="3"/>
  <c r="BE193" i="3"/>
  <c r="BE288" i="3"/>
  <c r="BE321" i="3"/>
  <c r="BE312" i="3"/>
  <c r="M40" i="4"/>
  <c r="M489" i="4" s="1"/>
  <c r="BE407" i="3"/>
  <c r="BE386" i="3"/>
  <c r="BE382" i="3"/>
  <c r="BE559" i="3"/>
  <c r="BE383" i="3"/>
  <c r="BE388" i="3"/>
  <c r="BE404" i="3"/>
  <c r="BE425" i="3"/>
  <c r="BE380" i="3"/>
  <c r="BE426" i="3"/>
  <c r="BE422" i="3"/>
  <c r="BE558" i="3"/>
  <c r="AY329" i="4"/>
  <c r="AY558" i="4"/>
  <c r="AY559" i="4"/>
  <c r="AY191" i="4"/>
  <c r="AY344" i="4"/>
  <c r="AY343" i="4"/>
  <c r="AY113" i="4"/>
  <c r="AY628" i="4"/>
  <c r="AY614" i="4"/>
  <c r="AY192" i="4"/>
  <c r="AY539" i="4"/>
  <c r="AY629" i="4"/>
  <c r="AY677" i="4"/>
  <c r="AY91" i="4"/>
  <c r="AY177" i="4"/>
  <c r="AY99" i="4"/>
  <c r="AY321" i="4"/>
  <c r="AY609" i="4"/>
  <c r="AY169" i="4"/>
  <c r="AY80" i="4"/>
  <c r="AX666" i="4"/>
  <c r="L673" i="4"/>
  <c r="L681" i="4"/>
  <c r="AX675" i="4"/>
  <c r="L718" i="4"/>
  <c r="AY675" i="4"/>
  <c r="AY21" i="4"/>
  <c r="AZ21" i="4"/>
  <c r="AZ675" i="4"/>
  <c r="BA21" i="4"/>
  <c r="BA675" i="4"/>
  <c r="AX158" i="4"/>
  <c r="AY158" i="4"/>
  <c r="L178" i="4"/>
  <c r="L180" i="4" s="1"/>
  <c r="L153" i="4" s="1"/>
  <c r="L173" i="4"/>
  <c r="AX527" i="4"/>
  <c r="L526" i="4"/>
  <c r="AY527" i="4"/>
  <c r="AZ527" i="4"/>
  <c r="L540" i="4"/>
  <c r="AX598" i="4"/>
  <c r="L597" i="4"/>
  <c r="AY598" i="4"/>
  <c r="AX632" i="4"/>
  <c r="L630" i="4"/>
  <c r="AY632" i="4"/>
  <c r="L330" i="4"/>
  <c r="L332" i="4" s="1"/>
  <c r="L325" i="4"/>
  <c r="N370" i="4"/>
  <c r="AJ370" i="4"/>
  <c r="AK370" i="4" s="1"/>
  <c r="AY335" i="4"/>
  <c r="AY550" i="4"/>
  <c r="BD428" i="3"/>
  <c r="AY12" i="4"/>
  <c r="AY117" i="4"/>
  <c r="AZ117" i="4"/>
  <c r="N100" i="4"/>
  <c r="N102" i="4" s="1"/>
  <c r="BA117" i="4"/>
  <c r="AY29" i="4"/>
  <c r="AY33" i="4"/>
  <c r="BE579" i="3"/>
  <c r="BE217" i="3"/>
  <c r="BE159" i="3"/>
  <c r="BE307" i="3"/>
  <c r="AY562" i="4"/>
  <c r="AY44" i="4"/>
  <c r="AY114" i="4"/>
  <c r="AZ80" i="4"/>
  <c r="BA80" i="4"/>
  <c r="AY666" i="4"/>
  <c r="P62" i="3"/>
  <c r="N673" i="4"/>
  <c r="N728" i="4"/>
  <c r="N729" i="4" s="1"/>
  <c r="N686" i="4"/>
  <c r="N688" i="4" s="1"/>
  <c r="N661" i="4" s="1"/>
  <c r="N219" i="4"/>
  <c r="N220" i="4" s="1"/>
  <c r="N173" i="4"/>
  <c r="N587" i="4"/>
  <c r="N540" i="4"/>
  <c r="BE428" i="3"/>
  <c r="P74" i="3"/>
  <c r="P78" i="3"/>
  <c r="BB87" i="4"/>
  <c r="AZ666" i="4"/>
  <c r="AZ158" i="4"/>
  <c r="AZ335" i="4"/>
  <c r="AZ620" i="4"/>
  <c r="AZ183" i="4"/>
  <c r="AZ550" i="4"/>
  <c r="O647" i="4"/>
  <c r="O637" i="4"/>
  <c r="AZ627" i="4"/>
  <c r="AZ598" i="4"/>
  <c r="AZ39" i="4"/>
  <c r="AZ12" i="4"/>
  <c r="BF116" i="3"/>
  <c r="BF114" i="3"/>
  <c r="BF115" i="3"/>
  <c r="BF113" i="3"/>
  <c r="BF112" i="3"/>
  <c r="BF171" i="3"/>
  <c r="BF137" i="3"/>
  <c r="BA39" i="4"/>
  <c r="BG171" i="3"/>
  <c r="BF167" i="3"/>
  <c r="BF170" i="3"/>
  <c r="BF142" i="3"/>
  <c r="BF289" i="3"/>
  <c r="BF403" i="3"/>
  <c r="BF192" i="3"/>
  <c r="BF168" i="3"/>
  <c r="BF169" i="3"/>
  <c r="BG116" i="3"/>
  <c r="BF138" i="3"/>
  <c r="BF381" i="3"/>
  <c r="BG381" i="3"/>
  <c r="BG192" i="3"/>
  <c r="BF312" i="3"/>
  <c r="BF423" i="3"/>
  <c r="BF322" i="3"/>
  <c r="BG114" i="3"/>
  <c r="BF421" i="3"/>
  <c r="BF193" i="3"/>
  <c r="BG115" i="3"/>
  <c r="BG113" i="3"/>
  <c r="BF197" i="3"/>
  <c r="BF288" i="3"/>
  <c r="BG112" i="3"/>
  <c r="BG137" i="3"/>
  <c r="BG169" i="3"/>
  <c r="R570" i="3"/>
  <c r="R568" i="3"/>
  <c r="R25" i="3" s="1"/>
  <c r="BG193" i="3"/>
  <c r="BG197" i="3"/>
  <c r="BG421" i="3"/>
  <c r="BG322" i="3"/>
  <c r="BG167" i="3"/>
  <c r="BG142" i="3"/>
  <c r="BG289" i="3"/>
  <c r="BF559" i="3"/>
  <c r="BG168" i="3"/>
  <c r="BG138" i="3"/>
  <c r="BF321" i="3"/>
  <c r="BG170" i="3"/>
  <c r="BG403" i="3"/>
  <c r="BG312" i="3"/>
  <c r="AZ632" i="4"/>
  <c r="BF558" i="3"/>
  <c r="BG423" i="3"/>
  <c r="BG288" i="3"/>
  <c r="BG321" i="3"/>
  <c r="BG559" i="3"/>
  <c r="BG558" i="3"/>
  <c r="AZ609" i="4"/>
  <c r="AZ539" i="4"/>
  <c r="AZ169" i="4"/>
  <c r="AZ321" i="4"/>
  <c r="AZ91" i="4"/>
  <c r="AZ677" i="4"/>
  <c r="BA259" i="4"/>
  <c r="BA691" i="4"/>
  <c r="BA335" i="4"/>
  <c r="BA183" i="4"/>
  <c r="BB480" i="4"/>
  <c r="BA105" i="4"/>
  <c r="BB105" i="4"/>
  <c r="BF388" i="3"/>
  <c r="BF176" i="3"/>
  <c r="BF121" i="3"/>
  <c r="BG176" i="3"/>
  <c r="BF325" i="3"/>
  <c r="BF404" i="3"/>
  <c r="BF407" i="3"/>
  <c r="BF383" i="3"/>
  <c r="BF382" i="3"/>
  <c r="BF386" i="3"/>
  <c r="BG121" i="3"/>
  <c r="R347" i="3"/>
  <c r="R571" i="3"/>
  <c r="R569" i="3"/>
  <c r="P40" i="4"/>
  <c r="BF380" i="3"/>
  <c r="BF425" i="3"/>
  <c r="BF426" i="3"/>
  <c r="BF422" i="3"/>
  <c r="BG404" i="3"/>
  <c r="BG383" i="3"/>
  <c r="AZ344" i="4"/>
  <c r="AZ192" i="4"/>
  <c r="AZ113" i="4"/>
  <c r="BG325" i="3"/>
  <c r="AZ558" i="4"/>
  <c r="AZ628" i="4"/>
  <c r="AZ343" i="4"/>
  <c r="AZ191" i="4"/>
  <c r="AZ559" i="4"/>
  <c r="BG382" i="3"/>
  <c r="BG426" i="3"/>
  <c r="BG407" i="3"/>
  <c r="AZ629" i="4"/>
  <c r="AZ614" i="4"/>
  <c r="BG386" i="3"/>
  <c r="AZ99" i="4"/>
  <c r="BG388" i="3"/>
  <c r="AZ329" i="4"/>
  <c r="R40" i="4"/>
  <c r="AZ114" i="4"/>
  <c r="BG425" i="3"/>
  <c r="BG422" i="3"/>
  <c r="BG380" i="3"/>
  <c r="BA267" i="4"/>
  <c r="BA268" i="4"/>
  <c r="BA253" i="4"/>
  <c r="BA99" i="4"/>
  <c r="BA191" i="4"/>
  <c r="BA192" i="4"/>
  <c r="BA343" i="4"/>
  <c r="BA114" i="4"/>
  <c r="BA113" i="4"/>
  <c r="BA329" i="4"/>
  <c r="BA344" i="4"/>
  <c r="AZ29" i="4"/>
  <c r="BF550" i="3"/>
  <c r="AZ33" i="4"/>
  <c r="BF217" i="3"/>
  <c r="BF159" i="3"/>
  <c r="BF428" i="3"/>
  <c r="BF307" i="3"/>
  <c r="AZ562" i="4"/>
  <c r="P42" i="4"/>
  <c r="AZ44" i="4"/>
  <c r="BF579" i="3"/>
  <c r="R449" i="3"/>
  <c r="BA12" i="4"/>
  <c r="BA23" i="4"/>
  <c r="BA677" i="4"/>
  <c r="BA169" i="4"/>
  <c r="AG148" i="28" s="1"/>
  <c r="BA245" i="4"/>
  <c r="AG154" i="28" s="1"/>
  <c r="AG70" i="28" s="1"/>
  <c r="BA321" i="4"/>
  <c r="AG160" i="28" s="1"/>
  <c r="AG92" i="28" s="1"/>
  <c r="BA91" i="4"/>
  <c r="R305" i="4"/>
  <c r="BA44" i="4"/>
  <c r="BA29" i="4"/>
  <c r="BG550" i="3"/>
  <c r="BA33" i="4"/>
  <c r="BG579" i="3"/>
  <c r="BG428" i="3"/>
  <c r="BG217" i="3"/>
  <c r="BG159" i="3"/>
  <c r="BG307" i="3"/>
  <c r="BG560" i="3" l="1"/>
  <c r="F14" i="28"/>
  <c r="U475" i="3"/>
  <c r="E26" i="32"/>
  <c r="U473" i="3"/>
  <c r="E25" i="32"/>
  <c r="E166" i="28"/>
  <c r="E104" i="28" s="1"/>
  <c r="E107" i="28" s="1"/>
  <c r="AF8" i="32"/>
  <c r="R502" i="3"/>
  <c r="C27" i="32"/>
  <c r="BA681" i="4"/>
  <c r="BG316" i="3"/>
  <c r="BG318" i="3" s="1"/>
  <c r="BG231" i="3"/>
  <c r="S479" i="3"/>
  <c r="S503" i="3" s="1"/>
  <c r="D27" i="32"/>
  <c r="BA15" i="4"/>
  <c r="BG291" i="3"/>
  <c r="BG302" i="3" s="1"/>
  <c r="BD291" i="3"/>
  <c r="BD100" i="3"/>
  <c r="BA95" i="4"/>
  <c r="AZ95" i="4"/>
  <c r="BA474" i="4"/>
  <c r="BA116" i="4"/>
  <c r="AH63" i="28"/>
  <c r="AH62" i="28"/>
  <c r="E25" i="28"/>
  <c r="E26" i="28"/>
  <c r="E42" i="28"/>
  <c r="E41" i="28"/>
  <c r="E63" i="28"/>
  <c r="E62" i="28"/>
  <c r="AG94" i="28"/>
  <c r="AG95" i="28"/>
  <c r="AG57" i="28"/>
  <c r="AG58" i="28"/>
  <c r="E90" i="28"/>
  <c r="E89" i="28"/>
  <c r="AG73" i="28"/>
  <c r="AG72" i="28"/>
  <c r="D25" i="28"/>
  <c r="D26" i="28"/>
  <c r="BD222" i="3"/>
  <c r="BD50" i="3" s="1"/>
  <c r="Q173" i="4"/>
  <c r="Q211" i="4" s="1"/>
  <c r="D146" i="28"/>
  <c r="D39" i="28" s="1"/>
  <c r="R361" i="4"/>
  <c r="D157" i="28"/>
  <c r="D76" i="28" s="1"/>
  <c r="S358" i="4"/>
  <c r="D159" i="28"/>
  <c r="D87" i="28" s="1"/>
  <c r="Q65" i="4"/>
  <c r="D166" i="28"/>
  <c r="D104" i="28" s="1"/>
  <c r="E20" i="28"/>
  <c r="E21" i="28"/>
  <c r="D21" i="28"/>
  <c r="D20" i="28"/>
  <c r="AY273" i="4"/>
  <c r="AW562" i="3"/>
  <c r="AW564" i="3" s="1"/>
  <c r="AW26" i="3" s="1"/>
  <c r="R562" i="3"/>
  <c r="R561" i="3" s="1"/>
  <c r="AX562" i="3"/>
  <c r="AX564" i="3" s="1"/>
  <c r="AX26" i="3" s="1"/>
  <c r="AV562" i="3"/>
  <c r="AV561" i="3" s="1"/>
  <c r="AV563" i="3" s="1"/>
  <c r="AV22" i="3" s="1"/>
  <c r="AY562" i="3"/>
  <c r="AY561" i="3" s="1"/>
  <c r="AY563" i="3" s="1"/>
  <c r="AY22" i="3" s="1"/>
  <c r="O64" i="8"/>
  <c r="P353" i="3"/>
  <c r="BF353" i="3" s="1"/>
  <c r="BF228" i="3"/>
  <c r="BF53" i="3" s="1"/>
  <c r="Q281" i="3"/>
  <c r="BF281" i="3" s="1"/>
  <c r="BF282" i="3" s="1"/>
  <c r="Q528" i="4"/>
  <c r="Q571" i="4" s="1"/>
  <c r="BA398" i="4"/>
  <c r="BG453" i="3"/>
  <c r="L305" i="4"/>
  <c r="M305" i="4"/>
  <c r="P305" i="4"/>
  <c r="Q305" i="4"/>
  <c r="N305" i="4"/>
  <c r="I464" i="3"/>
  <c r="BB464" i="3" s="1"/>
  <c r="AW325" i="4"/>
  <c r="AW681" i="4"/>
  <c r="AW720" i="4" s="1"/>
  <c r="AZ325" i="4"/>
  <c r="AW95" i="4"/>
  <c r="AW173" i="4"/>
  <c r="AX681" i="4"/>
  <c r="AX720" i="4" s="1"/>
  <c r="AZ173" i="4"/>
  <c r="AZ681" i="4"/>
  <c r="C211" i="4"/>
  <c r="AY173" i="4"/>
  <c r="AX173" i="4"/>
  <c r="AX325" i="4"/>
  <c r="AX372" i="3"/>
  <c r="BE560" i="3"/>
  <c r="BE567" i="3" s="1"/>
  <c r="BE24" i="3" s="1"/>
  <c r="BE95" i="3"/>
  <c r="K464" i="3"/>
  <c r="BC464" i="3" s="1"/>
  <c r="BF560" i="3"/>
  <c r="BF567" i="3" s="1"/>
  <c r="BF24" i="3" s="1"/>
  <c r="BA13" i="4"/>
  <c r="BA392" i="4"/>
  <c r="BA433" i="4" s="1"/>
  <c r="K71" i="3"/>
  <c r="J27" i="4"/>
  <c r="AW27" i="4" s="1"/>
  <c r="L71" i="3"/>
  <c r="K27" i="4"/>
  <c r="AX27" i="4" s="1"/>
  <c r="Q71" i="3"/>
  <c r="P27" i="4"/>
  <c r="AZ27" i="4" s="1"/>
  <c r="BA387" i="4"/>
  <c r="D23" i="4"/>
  <c r="D27" i="4" s="1"/>
  <c r="C27" i="4"/>
  <c r="C60" i="4" s="1"/>
  <c r="G27" i="4"/>
  <c r="H72" i="3" s="1"/>
  <c r="O71" i="3"/>
  <c r="N27" i="4"/>
  <c r="AY27" i="4" s="1"/>
  <c r="AZ31" i="4"/>
  <c r="O244" i="3"/>
  <c r="BE244" i="3" s="1"/>
  <c r="D33" i="3"/>
  <c r="D356" i="3" s="1"/>
  <c r="AV33" i="3"/>
  <c r="AV356" i="3" s="1"/>
  <c r="AU33" i="3"/>
  <c r="BF453" i="3"/>
  <c r="BE227" i="3"/>
  <c r="BE52" i="3" s="1"/>
  <c r="R353" i="3"/>
  <c r="BG353" i="3" s="1"/>
  <c r="BG347" i="3"/>
  <c r="BD95" i="3"/>
  <c r="BA103" i="3"/>
  <c r="BA372" i="3" s="1"/>
  <c r="D566" i="3"/>
  <c r="D23" i="3" s="1"/>
  <c r="R346" i="3"/>
  <c r="K566" i="3"/>
  <c r="K23" i="3" s="1"/>
  <c r="L46" i="3"/>
  <c r="AY41" i="3"/>
  <c r="AY43" i="3" s="1"/>
  <c r="C2" i="4"/>
  <c r="AZ177" i="4"/>
  <c r="AZ216" i="4" s="1"/>
  <c r="BG227" i="3"/>
  <c r="BG52" i="3" s="1"/>
  <c r="BE279" i="3"/>
  <c r="AU480" i="3"/>
  <c r="AU504" i="3" s="1"/>
  <c r="E244" i="3"/>
  <c r="AZ244" i="3" s="1"/>
  <c r="F231" i="3"/>
  <c r="F242" i="3" s="1"/>
  <c r="H41" i="3"/>
  <c r="H43" i="3" s="1"/>
  <c r="D228" i="3"/>
  <c r="D53" i="3" s="1"/>
  <c r="L41" i="3"/>
  <c r="L43" i="3" s="1"/>
  <c r="BA83" i="4"/>
  <c r="AG141" i="28" s="1"/>
  <c r="AG23" i="28" s="1"/>
  <c r="N244" i="3"/>
  <c r="Q87" i="3"/>
  <c r="Q344" i="3" s="1"/>
  <c r="BF344" i="3" s="1"/>
  <c r="D252" i="3"/>
  <c r="D231" i="3"/>
  <c r="D54" i="3" s="1"/>
  <c r="AY252" i="3"/>
  <c r="E567" i="3"/>
  <c r="E24" i="3" s="1"/>
  <c r="H231" i="3"/>
  <c r="AZ314" i="3"/>
  <c r="AZ569" i="3" s="1"/>
  <c r="BE291" i="3"/>
  <c r="BE302" i="3" s="1"/>
  <c r="E252" i="3"/>
  <c r="AZ252" i="3" s="1"/>
  <c r="H226" i="3"/>
  <c r="H51" i="3" s="1"/>
  <c r="AX566" i="3"/>
  <c r="AX23" i="3" s="1"/>
  <c r="L276" i="3"/>
  <c r="L575" i="3" s="1"/>
  <c r="AX266" i="4"/>
  <c r="AL299" i="4"/>
  <c r="J399" i="4"/>
  <c r="AL370" i="4"/>
  <c r="Q325" i="4"/>
  <c r="AW273" i="4"/>
  <c r="I294" i="4"/>
  <c r="E464" i="4"/>
  <c r="E508" i="4" s="1"/>
  <c r="Q402" i="4"/>
  <c r="I293" i="4"/>
  <c r="E402" i="4"/>
  <c r="AX567" i="3"/>
  <c r="AX24" i="3" s="1"/>
  <c r="D288" i="4"/>
  <c r="AZ420" i="4"/>
  <c r="AU18" i="4"/>
  <c r="F288" i="4"/>
  <c r="I288" i="4"/>
  <c r="AX352" i="4"/>
  <c r="E74" i="3"/>
  <c r="AZ74" i="3" s="1"/>
  <c r="AZ532" i="3" s="1"/>
  <c r="AX359" i="4"/>
  <c r="M398" i="4"/>
  <c r="M441" i="4"/>
  <c r="AV22" i="4"/>
  <c r="R430" i="4"/>
  <c r="AZ15" i="4"/>
  <c r="R356" i="4"/>
  <c r="AZ266" i="4"/>
  <c r="BA276" i="4" s="1"/>
  <c r="M294" i="4"/>
  <c r="BA480" i="4"/>
  <c r="Q294" i="4"/>
  <c r="AV266" i="4"/>
  <c r="AZ544" i="4"/>
  <c r="AZ583" i="4" s="1"/>
  <c r="BA666" i="4"/>
  <c r="H244" i="3"/>
  <c r="D244" i="3"/>
  <c r="L244" i="3"/>
  <c r="BA288" i="4"/>
  <c r="H252" i="3"/>
  <c r="L252" i="3"/>
  <c r="Q293" i="4"/>
  <c r="M459" i="4"/>
  <c r="E386" i="4"/>
  <c r="AX502" i="3"/>
  <c r="AV32" i="3"/>
  <c r="N567" i="3"/>
  <c r="N24" i="3" s="1"/>
  <c r="BD549" i="3"/>
  <c r="I441" i="4"/>
  <c r="BC560" i="3"/>
  <c r="BC566" i="3" s="1"/>
  <c r="BC23" i="3" s="1"/>
  <c r="BC570" i="3"/>
  <c r="AY165" i="4"/>
  <c r="AY166" i="4" s="1"/>
  <c r="P64" i="4"/>
  <c r="S244" i="3"/>
  <c r="BG244" i="3" s="1"/>
  <c r="BB39" i="3"/>
  <c r="G41" i="3"/>
  <c r="G43" i="3" s="1"/>
  <c r="K41" i="3"/>
  <c r="AX531" i="4"/>
  <c r="I459" i="4"/>
  <c r="I386" i="4"/>
  <c r="Q254" i="4"/>
  <c r="Q256" i="4" s="1"/>
  <c r="Q225" i="4" s="1"/>
  <c r="AX691" i="4"/>
  <c r="BG279" i="3"/>
  <c r="BG282" i="3" s="1"/>
  <c r="BG228" i="3"/>
  <c r="BG53" i="3" s="1"/>
  <c r="BF85" i="3"/>
  <c r="BF316" i="3"/>
  <c r="BF318" i="3" s="1"/>
  <c r="BB462" i="3"/>
  <c r="BD342" i="3"/>
  <c r="AU80" i="4"/>
  <c r="D83" i="4"/>
  <c r="AT83" i="4" s="1"/>
  <c r="AU384" i="3"/>
  <c r="I252" i="3"/>
  <c r="BB252" i="3" s="1"/>
  <c r="S567" i="3"/>
  <c r="S24" i="3" s="1"/>
  <c r="AV304" i="3"/>
  <c r="AV55" i="3" s="1"/>
  <c r="P567" i="3"/>
  <c r="P24" i="3" s="1"/>
  <c r="AZ222" i="3"/>
  <c r="AZ50" i="3" s="1"/>
  <c r="BD347" i="3"/>
  <c r="G288" i="4"/>
  <c r="R281" i="4"/>
  <c r="P381" i="4"/>
  <c r="F229" i="4"/>
  <c r="C10" i="25"/>
  <c r="C11" i="25" s="1"/>
  <c r="AV270" i="4"/>
  <c r="AZ268" i="4"/>
  <c r="BA383" i="4"/>
  <c r="BA463" i="4"/>
  <c r="G132" i="3"/>
  <c r="G109" i="3" s="1"/>
  <c r="G252" i="3"/>
  <c r="BA252" i="3" s="1"/>
  <c r="F244" i="3"/>
  <c r="R244" i="3"/>
  <c r="BB142" i="3"/>
  <c r="I244" i="3"/>
  <c r="BB244" i="3" s="1"/>
  <c r="I355" i="3"/>
  <c r="I480" i="3" s="1"/>
  <c r="I504" i="3" s="1"/>
  <c r="BA290" i="3"/>
  <c r="AV12" i="4"/>
  <c r="AO289" i="4"/>
  <c r="AQ289" i="4" s="1"/>
  <c r="AZ474" i="4"/>
  <c r="BA42" i="4"/>
  <c r="BA420" i="4"/>
  <c r="R51" i="4"/>
  <c r="P51" i="4"/>
  <c r="M211" i="4"/>
  <c r="K492" i="4"/>
  <c r="I402" i="4"/>
  <c r="BA459" i="4"/>
  <c r="BB505" i="4" s="1"/>
  <c r="K391" i="4"/>
  <c r="AX391" i="4" s="1"/>
  <c r="F550" i="4"/>
  <c r="AU550" i="4" s="1"/>
  <c r="R711" i="4"/>
  <c r="M64" i="4"/>
  <c r="AZ83" i="4"/>
  <c r="AX52" i="4"/>
  <c r="O641" i="4"/>
  <c r="AZ610" i="4"/>
  <c r="AY565" i="3"/>
  <c r="AY304" i="3"/>
  <c r="AY55" i="3" s="1"/>
  <c r="BN326" i="3"/>
  <c r="BC100" i="3"/>
  <c r="I566" i="3"/>
  <c r="I23" i="3" s="1"/>
  <c r="J252" i="3"/>
  <c r="BB325" i="3"/>
  <c r="BB337" i="3" s="1"/>
  <c r="BE342" i="3"/>
  <c r="AX81" i="4"/>
  <c r="M132" i="4"/>
  <c r="AY13" i="4"/>
  <c r="AY53" i="4" s="1"/>
  <c r="G69" i="3"/>
  <c r="BA69" i="3" s="1"/>
  <c r="AY319" i="4"/>
  <c r="AY361" i="4" s="1"/>
  <c r="BA292" i="4"/>
  <c r="BD227" i="3"/>
  <c r="BD52" i="3" s="1"/>
  <c r="K97" i="3"/>
  <c r="BC97" i="3" s="1"/>
  <c r="J344" i="3"/>
  <c r="BC344" i="3" s="1"/>
  <c r="BA161" i="3"/>
  <c r="D281" i="3"/>
  <c r="D348" i="3" s="1"/>
  <c r="BE85" i="3"/>
  <c r="AV464" i="3"/>
  <c r="BD560" i="3"/>
  <c r="BD566" i="3" s="1"/>
  <c r="BD23" i="3" s="1"/>
  <c r="J187" i="3"/>
  <c r="J209" i="3" s="1"/>
  <c r="J198" i="3" s="1"/>
  <c r="AZ118" i="3"/>
  <c r="AZ132" i="3" s="1"/>
  <c r="AZ109" i="3" s="1"/>
  <c r="E464" i="3"/>
  <c r="AZ464" i="3" s="1"/>
  <c r="AY129" i="4"/>
  <c r="D304" i="3"/>
  <c r="D49" i="3" s="1"/>
  <c r="D574" i="3" s="1"/>
  <c r="AX13" i="4"/>
  <c r="AX53" i="4" s="1"/>
  <c r="M567" i="3"/>
  <c r="M24" i="3" s="1"/>
  <c r="M219" i="3"/>
  <c r="BA453" i="3"/>
  <c r="BD87" i="3"/>
  <c r="BB302" i="3"/>
  <c r="BC36" i="3"/>
  <c r="BC477" i="3" s="1"/>
  <c r="BC502" i="3" s="1"/>
  <c r="E686" i="4"/>
  <c r="E688" i="4" s="1"/>
  <c r="E661" i="4" s="1"/>
  <c r="D187" i="3"/>
  <c r="D209" i="3" s="1"/>
  <c r="D198" i="3" s="1"/>
  <c r="AY32" i="3"/>
  <c r="E41" i="3"/>
  <c r="E43" i="3" s="1"/>
  <c r="L638" i="4"/>
  <c r="M641" i="4"/>
  <c r="E615" i="4"/>
  <c r="E617" i="4" s="1"/>
  <c r="E593" i="4" s="1"/>
  <c r="AY673" i="4"/>
  <c r="AY674" i="4" s="1"/>
  <c r="K479" i="3"/>
  <c r="K503" i="3" s="1"/>
  <c r="K502" i="3"/>
  <c r="AY313" i="3"/>
  <c r="AY46" i="3" s="1"/>
  <c r="AY372" i="3"/>
  <c r="AX281" i="3"/>
  <c r="AU41" i="3"/>
  <c r="AU43" i="3" s="1"/>
  <c r="M541" i="3"/>
  <c r="BD541" i="3" s="1"/>
  <c r="M565" i="3"/>
  <c r="BD548" i="3"/>
  <c r="I41" i="3"/>
  <c r="I43" i="3" s="1"/>
  <c r="G502" i="3"/>
  <c r="BA97" i="3"/>
  <c r="AX123" i="4"/>
  <c r="BD161" i="3"/>
  <c r="D41" i="3"/>
  <c r="D43" i="3" s="1"/>
  <c r="J231" i="3"/>
  <c r="J54" i="3" s="1"/>
  <c r="E354" i="3"/>
  <c r="E355" i="3" s="1"/>
  <c r="E480" i="3" s="1"/>
  <c r="E504" i="3" s="1"/>
  <c r="BB570" i="3"/>
  <c r="AZ176" i="3"/>
  <c r="AZ187" i="3" s="1"/>
  <c r="AZ209" i="3" s="1"/>
  <c r="AZ219" i="3" s="1"/>
  <c r="AZ560" i="3"/>
  <c r="AZ567" i="3" s="1"/>
  <c r="AZ24" i="3" s="1"/>
  <c r="BC39" i="3"/>
  <c r="D71" i="3"/>
  <c r="D562" i="3" s="1"/>
  <c r="D561" i="3" s="1"/>
  <c r="AX190" i="4"/>
  <c r="AX210" i="4" s="1"/>
  <c r="J87" i="4"/>
  <c r="AY566" i="3"/>
  <c r="AY23" i="3" s="1"/>
  <c r="AU464" i="3"/>
  <c r="L488" i="4"/>
  <c r="AX488" i="4" s="1"/>
  <c r="AY498" i="4" s="1"/>
  <c r="M244" i="3"/>
  <c r="BD244" i="3" s="1"/>
  <c r="AW32" i="3"/>
  <c r="BG342" i="3"/>
  <c r="BG134" i="3"/>
  <c r="AY23" i="4"/>
  <c r="AY59" i="4" s="1"/>
  <c r="BD231" i="3"/>
  <c r="BD54" i="3" s="1"/>
  <c r="BA39" i="3"/>
  <c r="J217" i="4"/>
  <c r="BD279" i="3"/>
  <c r="BD453" i="3"/>
  <c r="BC314" i="3"/>
  <c r="BC571" i="3" s="1"/>
  <c r="J567" i="3"/>
  <c r="J24" i="3" s="1"/>
  <c r="BB560" i="3"/>
  <c r="BB567" i="3" s="1"/>
  <c r="BB24" i="3" s="1"/>
  <c r="BA36" i="3"/>
  <c r="BA477" i="3" s="1"/>
  <c r="BA502" i="3" s="1"/>
  <c r="E66" i="3"/>
  <c r="AZ66" i="3" s="1"/>
  <c r="AX358" i="4"/>
  <c r="F15" i="4"/>
  <c r="AU15" i="4" s="1"/>
  <c r="AV41" i="3"/>
  <c r="AV43" i="3" s="1"/>
  <c r="AY244" i="3"/>
  <c r="AY569" i="3"/>
  <c r="AY571" i="3"/>
  <c r="BD344" i="3"/>
  <c r="BC546" i="3"/>
  <c r="BE106" i="3"/>
  <c r="R541" i="3"/>
  <c r="M464" i="4"/>
  <c r="I79" i="3"/>
  <c r="BB79" i="3" s="1"/>
  <c r="AU29" i="4"/>
  <c r="AU61" i="4" s="1"/>
  <c r="F83" i="4"/>
  <c r="AU83" i="4" s="1"/>
  <c r="D620" i="4"/>
  <c r="AT620" i="4" s="1"/>
  <c r="AW81" i="4"/>
  <c r="I330" i="4"/>
  <c r="I332" i="4" s="1"/>
  <c r="I305" i="4" s="1"/>
  <c r="AZ133" i="4"/>
  <c r="AY620" i="4"/>
  <c r="AX56" i="4"/>
  <c r="D207" i="4"/>
  <c r="AX83" i="4"/>
  <c r="L299" i="4"/>
  <c r="AY605" i="4"/>
  <c r="AY606" i="4" s="1"/>
  <c r="R489" i="4"/>
  <c r="BA489" i="4" s="1"/>
  <c r="P689" i="4"/>
  <c r="P569" i="4"/>
  <c r="O391" i="4"/>
  <c r="I279" i="4"/>
  <c r="M279" i="4"/>
  <c r="O585" i="4"/>
  <c r="P211" i="4"/>
  <c r="L381" i="4"/>
  <c r="AX381" i="4" s="1"/>
  <c r="E391" i="4"/>
  <c r="AY206" i="4"/>
  <c r="C641" i="4"/>
  <c r="AT642" i="4"/>
  <c r="F232" i="4"/>
  <c r="F383" i="4" s="1"/>
  <c r="AU533" i="4"/>
  <c r="P717" i="4"/>
  <c r="AZ476" i="4"/>
  <c r="AU718" i="4"/>
  <c r="AT647" i="4"/>
  <c r="AV352" i="4"/>
  <c r="F62" i="4"/>
  <c r="L356" i="4"/>
  <c r="AX183" i="4"/>
  <c r="AX474" i="4"/>
  <c r="AY610" i="4"/>
  <c r="BA406" i="4"/>
  <c r="R282" i="4"/>
  <c r="F209" i="4"/>
  <c r="K363" i="4"/>
  <c r="D335" i="4"/>
  <c r="AT335" i="4" s="1"/>
  <c r="D644" i="4"/>
  <c r="AX550" i="4"/>
  <c r="BA720" i="4"/>
  <c r="R208" i="4"/>
  <c r="BA470" i="4"/>
  <c r="BA510" i="4" s="1"/>
  <c r="BA270" i="4"/>
  <c r="G269" i="4"/>
  <c r="G416" i="4" s="1"/>
  <c r="AX578" i="4"/>
  <c r="AY714" i="4"/>
  <c r="N75" i="4"/>
  <c r="K75" i="4"/>
  <c r="M75" i="4"/>
  <c r="P75" i="4"/>
  <c r="L75" i="4"/>
  <c r="R75" i="4"/>
  <c r="M7" i="4"/>
  <c r="O75" i="4"/>
  <c r="Q75" i="4"/>
  <c r="AX718" i="4"/>
  <c r="AX714" i="4"/>
  <c r="E368" i="4"/>
  <c r="G217" i="4"/>
  <c r="AU642" i="4"/>
  <c r="AX567" i="4"/>
  <c r="AX207" i="4"/>
  <c r="AW685" i="4"/>
  <c r="AW724" i="4" s="1"/>
  <c r="J360" i="4"/>
  <c r="BA31" i="4"/>
  <c r="AG166" i="28" s="1"/>
  <c r="AG104" i="28" s="1"/>
  <c r="BA464" i="4"/>
  <c r="AY203" i="4"/>
  <c r="AX58" i="4"/>
  <c r="AX205" i="4"/>
  <c r="F531" i="4"/>
  <c r="AU531" i="4" s="1"/>
  <c r="P49" i="3"/>
  <c r="P574" i="3" s="1"/>
  <c r="P276" i="3"/>
  <c r="P575" i="3" s="1"/>
  <c r="P577" i="3" s="1"/>
  <c r="R333" i="4"/>
  <c r="O579" i="4"/>
  <c r="BE197" i="3"/>
  <c r="AX23" i="4"/>
  <c r="AX59" i="4" s="1"/>
  <c r="BC222" i="3"/>
  <c r="BC50" i="3" s="1"/>
  <c r="K244" i="3"/>
  <c r="BC244" i="3" s="1"/>
  <c r="E477" i="3"/>
  <c r="E502" i="3" s="1"/>
  <c r="I477" i="3"/>
  <c r="I502" i="3" s="1"/>
  <c r="E70" i="3"/>
  <c r="AZ70" i="3" s="1"/>
  <c r="BA87" i="3"/>
  <c r="F72" i="3"/>
  <c r="D614" i="4"/>
  <c r="D652" i="4" s="1"/>
  <c r="K639" i="4"/>
  <c r="H531" i="4"/>
  <c r="AV531" i="4" s="1"/>
  <c r="D213" i="4"/>
  <c r="N585" i="4"/>
  <c r="Q244" i="3"/>
  <c r="BF244" i="3" s="1"/>
  <c r="E293" i="4"/>
  <c r="R566" i="3"/>
  <c r="R23" i="3" s="1"/>
  <c r="BE97" i="3"/>
  <c r="BC176" i="3"/>
  <c r="BC187" i="3" s="1"/>
  <c r="BC46" i="3" s="1"/>
  <c r="AZ41" i="3"/>
  <c r="AZ43" i="3" s="1"/>
  <c r="I54" i="3"/>
  <c r="F354" i="3"/>
  <c r="BA354" i="3" s="1"/>
  <c r="F71" i="3"/>
  <c r="F562" i="3" s="1"/>
  <c r="F561" i="3" s="1"/>
  <c r="H304" i="3"/>
  <c r="H49" i="3" s="1"/>
  <c r="H574" i="3" s="1"/>
  <c r="BB97" i="3"/>
  <c r="H620" i="4"/>
  <c r="AV620" i="4" s="1"/>
  <c r="K204" i="4"/>
  <c r="F23" i="4"/>
  <c r="AU23" i="4" s="1"/>
  <c r="AU59" i="4" s="1"/>
  <c r="AU206" i="4"/>
  <c r="AX244" i="3"/>
  <c r="K231" i="4"/>
  <c r="K382" i="4" s="1"/>
  <c r="N252" i="3"/>
  <c r="AZ23" i="4"/>
  <c r="AZ59" i="4" s="1"/>
  <c r="AZ673" i="4"/>
  <c r="AZ674" i="4" s="1"/>
  <c r="BE316" i="3"/>
  <c r="BE318" i="3" s="1"/>
  <c r="AX329" i="4"/>
  <c r="AX366" i="4" s="1"/>
  <c r="K252" i="3"/>
  <c r="BC252" i="3" s="1"/>
  <c r="BA142" i="3"/>
  <c r="E79" i="3"/>
  <c r="AZ79" i="3" s="1"/>
  <c r="AY190" i="4"/>
  <c r="AZ200" i="4" s="1"/>
  <c r="K711" i="4"/>
  <c r="D183" i="4"/>
  <c r="AT183" i="4" s="1"/>
  <c r="N584" i="4"/>
  <c r="BE344" i="3"/>
  <c r="P198" i="3"/>
  <c r="BF347" i="3"/>
  <c r="R344" i="3"/>
  <c r="R132" i="3"/>
  <c r="L420" i="4"/>
  <c r="L495" i="4" s="1"/>
  <c r="AX495" i="4" s="1"/>
  <c r="AZ165" i="4"/>
  <c r="BA81" i="4"/>
  <c r="AG140" i="28" s="1"/>
  <c r="AG18" i="28" s="1"/>
  <c r="BA158" i="4"/>
  <c r="AG146" i="28" s="1"/>
  <c r="AG39" i="28" s="1"/>
  <c r="BA391" i="4"/>
  <c r="I65" i="3"/>
  <c r="BB65" i="3" s="1"/>
  <c r="AY640" i="4"/>
  <c r="J178" i="4"/>
  <c r="J180" i="4" s="1"/>
  <c r="J153" i="4" s="1"/>
  <c r="C216" i="4"/>
  <c r="AZ586" i="4"/>
  <c r="I75" i="3"/>
  <c r="BB75" i="3" s="1"/>
  <c r="G78" i="3"/>
  <c r="BA78" i="3" s="1"/>
  <c r="AY359" i="4"/>
  <c r="C217" i="4"/>
  <c r="AW218" i="4"/>
  <c r="AX203" i="4"/>
  <c r="J208" i="4"/>
  <c r="AW637" i="4"/>
  <c r="D544" i="4"/>
  <c r="D584" i="4" s="1"/>
  <c r="O87" i="4"/>
  <c r="AB45" i="9"/>
  <c r="G9" i="8"/>
  <c r="AZ346" i="3"/>
  <c r="BD314" i="3"/>
  <c r="BD571" i="3" s="1"/>
  <c r="O458" i="4"/>
  <c r="BG54" i="3"/>
  <c r="AZ578" i="4"/>
  <c r="BG566" i="3"/>
  <c r="BG23" i="3" s="1"/>
  <c r="AZ49" i="4"/>
  <c r="P71" i="3"/>
  <c r="AY630" i="4"/>
  <c r="AZ639" i="4" s="1"/>
  <c r="BD41" i="3"/>
  <c r="BC41" i="3"/>
  <c r="I46" i="3"/>
  <c r="D132" i="3"/>
  <c r="D109" i="3" s="1"/>
  <c r="AZ325" i="3"/>
  <c r="AZ337" i="3" s="1"/>
  <c r="AZ347" i="3" s="1"/>
  <c r="G567" i="3"/>
  <c r="G24" i="3" s="1"/>
  <c r="BA568" i="3"/>
  <c r="BA25" i="3" s="1"/>
  <c r="BA560" i="3"/>
  <c r="BA567" i="3" s="1"/>
  <c r="BA24" i="3" s="1"/>
  <c r="F464" i="3"/>
  <c r="J464" i="3"/>
  <c r="E65" i="3"/>
  <c r="AZ65" i="3" s="1"/>
  <c r="G244" i="3"/>
  <c r="BA244" i="3" s="1"/>
  <c r="F304" i="3"/>
  <c r="F49" i="3" s="1"/>
  <c r="F574" i="3" s="1"/>
  <c r="BA190" i="4"/>
  <c r="BA200" i="4" s="1"/>
  <c r="AX529" i="4"/>
  <c r="AX571" i="4" s="1"/>
  <c r="AX573" i="4"/>
  <c r="E585" i="4"/>
  <c r="C530" i="4"/>
  <c r="I464" i="4"/>
  <c r="I508" i="4" s="1"/>
  <c r="G126" i="4"/>
  <c r="AT536" i="4"/>
  <c r="AT576" i="4" s="1"/>
  <c r="AV316" i="4"/>
  <c r="AW359" i="4" s="1"/>
  <c r="F335" i="4"/>
  <c r="AU335" i="4" s="1"/>
  <c r="AY281" i="3"/>
  <c r="AX304" i="3"/>
  <c r="AX49" i="3" s="1"/>
  <c r="AX574" i="3" s="1"/>
  <c r="AY81" i="4"/>
  <c r="AY83" i="4"/>
  <c r="BF342" i="3"/>
  <c r="P480" i="4"/>
  <c r="Q541" i="3"/>
  <c r="BF541" i="3" s="1"/>
  <c r="O358" i="4"/>
  <c r="AT273" i="4"/>
  <c r="E470" i="4"/>
  <c r="H279" i="4"/>
  <c r="BG85" i="3"/>
  <c r="H567" i="3"/>
  <c r="H24" i="3" s="1"/>
  <c r="BC462" i="3"/>
  <c r="H71" i="3"/>
  <c r="H562" i="3" s="1"/>
  <c r="H561" i="3" s="1"/>
  <c r="E54" i="3"/>
  <c r="AU116" i="4"/>
  <c r="AV18" i="4"/>
  <c r="AT164" i="4"/>
  <c r="AT207" i="4" s="1"/>
  <c r="AW654" i="4"/>
  <c r="L105" i="4"/>
  <c r="AY476" i="4"/>
  <c r="BA673" i="4"/>
  <c r="BA674" i="4" s="1"/>
  <c r="AU271" i="4"/>
  <c r="M392" i="4"/>
  <c r="G399" i="4"/>
  <c r="K386" i="4"/>
  <c r="AY216" i="4"/>
  <c r="J244" i="3"/>
  <c r="AX31" i="4"/>
  <c r="K74" i="3"/>
  <c r="BF80" i="3"/>
  <c r="BB134" i="3"/>
  <c r="BB314" i="3"/>
  <c r="BB571" i="3" s="1"/>
  <c r="R103" i="4"/>
  <c r="AZ362" i="4"/>
  <c r="BF291" i="3"/>
  <c r="BF302" i="3" s="1"/>
  <c r="BB100" i="3"/>
  <c r="F132" i="3"/>
  <c r="F419" i="3" s="1"/>
  <c r="F408" i="3" s="1"/>
  <c r="F281" i="3"/>
  <c r="H354" i="3"/>
  <c r="BB354" i="3" s="1"/>
  <c r="AZ290" i="3"/>
  <c r="C577" i="3"/>
  <c r="F252" i="3"/>
  <c r="BA315" i="4"/>
  <c r="AG159" i="28" s="1"/>
  <c r="AG87" i="28" s="1"/>
  <c r="BA352" i="4"/>
  <c r="AX361" i="4"/>
  <c r="J641" i="4"/>
  <c r="AT80" i="4"/>
  <c r="E492" i="4"/>
  <c r="AW567" i="4"/>
  <c r="AV654" i="4"/>
  <c r="AW357" i="4"/>
  <c r="AX72" i="3"/>
  <c r="AX73" i="3" s="1"/>
  <c r="AX530" i="3" s="1"/>
  <c r="L652" i="4"/>
  <c r="O541" i="3"/>
  <c r="BE541" i="3" s="1"/>
  <c r="R200" i="4"/>
  <c r="K402" i="4"/>
  <c r="G386" i="4"/>
  <c r="L471" i="4"/>
  <c r="K470" i="4"/>
  <c r="D229" i="4"/>
  <c r="AZ288" i="4"/>
  <c r="AU266" i="4"/>
  <c r="AZ13" i="4"/>
  <c r="AZ81" i="4"/>
  <c r="BA713" i="4"/>
  <c r="BA725" i="4"/>
  <c r="K294" i="4"/>
  <c r="BA207" i="4"/>
  <c r="BA319" i="4"/>
  <c r="AY577" i="4"/>
  <c r="AY357" i="4"/>
  <c r="J585" i="4"/>
  <c r="AV33" i="4"/>
  <c r="AW203" i="4"/>
  <c r="AW640" i="4"/>
  <c r="AU418" i="4"/>
  <c r="N528" i="4"/>
  <c r="N571" i="4" s="1"/>
  <c r="N233" i="4"/>
  <c r="N384" i="4" s="1"/>
  <c r="P528" i="4"/>
  <c r="P571" i="4" s="1"/>
  <c r="Q87" i="4"/>
  <c r="C386" i="4"/>
  <c r="C429" i="4" s="1"/>
  <c r="J381" i="4"/>
  <c r="J380" i="4" s="1"/>
  <c r="N493" i="4"/>
  <c r="AY493" i="4" s="1"/>
  <c r="K293" i="4"/>
  <c r="E294" i="4"/>
  <c r="O387" i="4"/>
  <c r="O430" i="4" s="1"/>
  <c r="K387" i="4"/>
  <c r="E387" i="4"/>
  <c r="AW266" i="4"/>
  <c r="P254" i="4"/>
  <c r="P256" i="4" s="1"/>
  <c r="P225" i="4" s="1"/>
  <c r="P441" i="4"/>
  <c r="R233" i="4"/>
  <c r="R384" i="4" s="1"/>
  <c r="AZ441" i="4"/>
  <c r="AZ691" i="4"/>
  <c r="N299" i="4"/>
  <c r="AY718" i="4"/>
  <c r="AY544" i="4"/>
  <c r="L588" i="4"/>
  <c r="O294" i="4"/>
  <c r="BA203" i="4"/>
  <c r="AY52" i="4"/>
  <c r="G65" i="4"/>
  <c r="J19" i="4"/>
  <c r="K67" i="3" s="1"/>
  <c r="E299" i="4"/>
  <c r="AW418" i="4"/>
  <c r="AV476" i="4"/>
  <c r="F381" i="4"/>
  <c r="F380" i="4" s="1"/>
  <c r="M585" i="4"/>
  <c r="O386" i="4"/>
  <c r="H288" i="4"/>
  <c r="H420" i="4"/>
  <c r="H495" i="4" s="1"/>
  <c r="AV495" i="4" s="1"/>
  <c r="AY271" i="4"/>
  <c r="O398" i="4"/>
  <c r="M391" i="4"/>
  <c r="C282" i="4"/>
  <c r="N229" i="4"/>
  <c r="AY266" i="4"/>
  <c r="H229" i="4"/>
  <c r="M293" i="4"/>
  <c r="O293" i="4"/>
  <c r="BA400" i="4"/>
  <c r="BA438" i="4" s="1"/>
  <c r="AX51" i="4"/>
  <c r="AU34" i="4"/>
  <c r="AV49" i="4"/>
  <c r="AV52" i="4"/>
  <c r="AT175" i="4"/>
  <c r="AU205" i="4"/>
  <c r="J569" i="4"/>
  <c r="AW605" i="4"/>
  <c r="AW606" i="4" s="1"/>
  <c r="J648" i="4"/>
  <c r="Q717" i="4"/>
  <c r="BA232" i="4"/>
  <c r="O402" i="4"/>
  <c r="N381" i="4"/>
  <c r="AW271" i="4"/>
  <c r="I391" i="4"/>
  <c r="G402" i="4"/>
  <c r="J390" i="4"/>
  <c r="AV268" i="4"/>
  <c r="G282" i="4"/>
  <c r="K282" i="4"/>
  <c r="J276" i="4"/>
  <c r="BJ477" i="3"/>
  <c r="AI27" i="32" s="1"/>
  <c r="AZ367" i="4"/>
  <c r="BA130" i="4"/>
  <c r="AZ209" i="4"/>
  <c r="AV714" i="4"/>
  <c r="AY568" i="4"/>
  <c r="E62" i="3"/>
  <c r="I69" i="3"/>
  <c r="BB69" i="3" s="1"/>
  <c r="G70" i="3"/>
  <c r="BA70" i="3" s="1"/>
  <c r="H76" i="3"/>
  <c r="AZ644" i="4"/>
  <c r="BB352" i="4"/>
  <c r="J653" i="4"/>
  <c r="I100" i="4"/>
  <c r="I102" i="4" s="1"/>
  <c r="H23" i="4"/>
  <c r="AV23" i="4" s="1"/>
  <c r="AV59" i="4" s="1"/>
  <c r="C462" i="4"/>
  <c r="C507" i="4" s="1"/>
  <c r="F13" i="4"/>
  <c r="G63" i="3" s="1"/>
  <c r="AU14" i="4"/>
  <c r="AU54" i="4" s="1"/>
  <c r="AV86" i="4"/>
  <c r="AW130" i="4" s="1"/>
  <c r="H207" i="4"/>
  <c r="J253" i="4"/>
  <c r="J400" i="4" s="1"/>
  <c r="AV586" i="4"/>
  <c r="AW570" i="4"/>
  <c r="AV647" i="4"/>
  <c r="G639" i="4"/>
  <c r="AU310" i="4"/>
  <c r="G356" i="4"/>
  <c r="L208" i="4"/>
  <c r="P178" i="4"/>
  <c r="P180" i="4" s="1"/>
  <c r="P153" i="4" s="1"/>
  <c r="Q358" i="4"/>
  <c r="Q231" i="4"/>
  <c r="Q382" i="4" s="1"/>
  <c r="L229" i="4"/>
  <c r="Q200" i="4"/>
  <c r="Q361" i="4"/>
  <c r="I78" i="3"/>
  <c r="BB78" i="3" s="1"/>
  <c r="AZ576" i="4"/>
  <c r="AY207" i="4"/>
  <c r="E36" i="4"/>
  <c r="AX577" i="4"/>
  <c r="H329" i="4"/>
  <c r="H330" i="4" s="1"/>
  <c r="H332" i="4" s="1"/>
  <c r="H305" i="4" s="1"/>
  <c r="K641" i="4"/>
  <c r="E588" i="4"/>
  <c r="D81" i="4"/>
  <c r="D126" i="4"/>
  <c r="AU731" i="4"/>
  <c r="E711" i="4"/>
  <c r="AV712" i="4"/>
  <c r="AU721" i="4"/>
  <c r="AU167" i="4"/>
  <c r="AV209" i="4" s="1"/>
  <c r="AW531" i="4"/>
  <c r="F474" i="4"/>
  <c r="AU474" i="4" s="1"/>
  <c r="AU719" i="4"/>
  <c r="F238" i="4"/>
  <c r="Q317" i="4"/>
  <c r="AZ315" i="4"/>
  <c r="AZ358" i="4" s="1"/>
  <c r="BB276" i="4"/>
  <c r="AV242" i="4"/>
  <c r="AW288" i="4" s="1"/>
  <c r="M402" i="4"/>
  <c r="AY402" i="4" s="1"/>
  <c r="C399" i="4"/>
  <c r="J229" i="4"/>
  <c r="AT266" i="4"/>
  <c r="AT276" i="4" s="1"/>
  <c r="BA235" i="4"/>
  <c r="I249" i="4"/>
  <c r="AY235" i="4"/>
  <c r="G279" i="4"/>
  <c r="O279" i="4"/>
  <c r="R458" i="4"/>
  <c r="S504" i="4" s="1"/>
  <c r="H646" i="4"/>
  <c r="BA291" i="3"/>
  <c r="G302" i="3"/>
  <c r="G304" i="3" s="1"/>
  <c r="G276" i="3" s="1"/>
  <c r="G575" i="3" s="1"/>
  <c r="G577" i="3" s="1"/>
  <c r="M354" i="3"/>
  <c r="M355" i="3" s="1"/>
  <c r="M480" i="3" s="1"/>
  <c r="M504" i="3" s="1"/>
  <c r="BD97" i="3"/>
  <c r="AZ291" i="3"/>
  <c r="E302" i="3"/>
  <c r="E304" i="3" s="1"/>
  <c r="E49" i="3" s="1"/>
  <c r="E574" i="3" s="1"/>
  <c r="BG570" i="3"/>
  <c r="BE548" i="3"/>
  <c r="BE222" i="3"/>
  <c r="BE50" i="3" s="1"/>
  <c r="BD134" i="3"/>
  <c r="L109" i="3"/>
  <c r="H353" i="3"/>
  <c r="BB353" i="3" s="1"/>
  <c r="F41" i="3"/>
  <c r="F43" i="3" s="1"/>
  <c r="J41" i="3"/>
  <c r="J43" i="3" s="1"/>
  <c r="BD36" i="3"/>
  <c r="BD477" i="3" s="1"/>
  <c r="BD502" i="3" s="1"/>
  <c r="H281" i="3"/>
  <c r="K302" i="3"/>
  <c r="K304" i="3" s="1"/>
  <c r="K49" i="3" s="1"/>
  <c r="K574" i="3" s="1"/>
  <c r="I302" i="3"/>
  <c r="I304" i="3" s="1"/>
  <c r="I276" i="3" s="1"/>
  <c r="I575" i="3" s="1"/>
  <c r="I577" i="3" s="1"/>
  <c r="BB87" i="3"/>
  <c r="AZ87" i="3"/>
  <c r="AZ344" i="3" s="1"/>
  <c r="AZ36" i="3"/>
  <c r="AZ477" i="3" s="1"/>
  <c r="AZ502" i="3" s="1"/>
  <c r="AZ39" i="3"/>
  <c r="AW41" i="3"/>
  <c r="AW43" i="3" s="1"/>
  <c r="AX198" i="3"/>
  <c r="AV281" i="3"/>
  <c r="AV355" i="3"/>
  <c r="AV480" i="3" s="1"/>
  <c r="AV504" i="3" s="1"/>
  <c r="BF540" i="3"/>
  <c r="AX32" i="3"/>
  <c r="M252" i="3"/>
  <c r="BD252" i="3" s="1"/>
  <c r="O566" i="3"/>
  <c r="O23" i="3" s="1"/>
  <c r="BE347" i="3"/>
  <c r="Q97" i="3"/>
  <c r="Q43" i="3" s="1"/>
  <c r="H187" i="3"/>
  <c r="H209" i="3" s="1"/>
  <c r="H198" i="3" s="1"/>
  <c r="BD318" i="3"/>
  <c r="BA118" i="3"/>
  <c r="BA132" i="3" s="1"/>
  <c r="BA109" i="3" s="1"/>
  <c r="AZ462" i="3"/>
  <c r="E228" i="3"/>
  <c r="E53" i="3" s="1"/>
  <c r="AX41" i="3"/>
  <c r="AX43" i="3" s="1"/>
  <c r="AY72" i="3"/>
  <c r="AY73" i="3" s="1"/>
  <c r="AW464" i="3"/>
  <c r="AX252" i="3"/>
  <c r="L354" i="3"/>
  <c r="L355" i="3" s="1"/>
  <c r="L480" i="3" s="1"/>
  <c r="L504" i="3" s="1"/>
  <c r="L231" i="3"/>
  <c r="L54" i="3" s="1"/>
  <c r="AU564" i="3"/>
  <c r="AU26" i="3" s="1"/>
  <c r="M198" i="3"/>
  <c r="BD198" i="3" s="1"/>
  <c r="P346" i="3"/>
  <c r="P244" i="3"/>
  <c r="P541" i="3"/>
  <c r="Q198" i="3"/>
  <c r="BF198" i="3" s="1"/>
  <c r="R354" i="3"/>
  <c r="S541" i="3"/>
  <c r="BG541" i="3" s="1"/>
  <c r="O109" i="3"/>
  <c r="BG568" i="3"/>
  <c r="BG25" i="3" s="1"/>
  <c r="L51" i="3"/>
  <c r="BE228" i="3"/>
  <c r="BE53" i="3" s="1"/>
  <c r="BF502" i="3"/>
  <c r="E187" i="3"/>
  <c r="E209" i="3" s="1"/>
  <c r="E219" i="3" s="1"/>
  <c r="BE87" i="3"/>
  <c r="F566" i="3"/>
  <c r="F23" i="3" s="1"/>
  <c r="BB36" i="3"/>
  <c r="BB477" i="3" s="1"/>
  <c r="BB502" i="3" s="1"/>
  <c r="BE538" i="3"/>
  <c r="N541" i="3"/>
  <c r="AW40" i="4"/>
  <c r="F489" i="4"/>
  <c r="AU489" i="4" s="1"/>
  <c r="H529" i="4"/>
  <c r="AV529" i="4" s="1"/>
  <c r="H213" i="4"/>
  <c r="K528" i="4"/>
  <c r="K571" i="4" s="1"/>
  <c r="L379" i="4"/>
  <c r="L204" i="4"/>
  <c r="N71" i="3"/>
  <c r="P231" i="4"/>
  <c r="P382" i="4" s="1"/>
  <c r="Q386" i="4"/>
  <c r="AW243" i="4"/>
  <c r="AZ244" i="4"/>
  <c r="N294" i="4"/>
  <c r="R689" i="4"/>
  <c r="R178" i="4"/>
  <c r="R180" i="4" s="1"/>
  <c r="R153" i="4" s="1"/>
  <c r="R441" i="4"/>
  <c r="BA476" i="4"/>
  <c r="AZ123" i="4"/>
  <c r="I545" i="4"/>
  <c r="I547" i="4" s="1"/>
  <c r="I522" i="4" s="1"/>
  <c r="J584" i="4"/>
  <c r="C577" i="4"/>
  <c r="J726" i="4"/>
  <c r="AT118" i="4"/>
  <c r="AU128" i="4" s="1"/>
  <c r="J528" i="4"/>
  <c r="J571" i="4" s="1"/>
  <c r="C540" i="4"/>
  <c r="C579" i="4" s="1"/>
  <c r="AU12" i="4"/>
  <c r="AW51" i="4"/>
  <c r="G87" i="4"/>
  <c r="AU673" i="4"/>
  <c r="AU674" i="4" s="1"/>
  <c r="AW709" i="4"/>
  <c r="AU712" i="4"/>
  <c r="G259" i="4"/>
  <c r="G406" i="4" s="1"/>
  <c r="AV570" i="4"/>
  <c r="C299" i="4"/>
  <c r="AV642" i="4"/>
  <c r="I641" i="4"/>
  <c r="AV321" i="4"/>
  <c r="AV362" i="4" s="1"/>
  <c r="H354" i="4"/>
  <c r="H402" i="4"/>
  <c r="F244" i="4"/>
  <c r="AU244" i="4" s="1"/>
  <c r="AX476" i="4"/>
  <c r="AX335" i="4"/>
  <c r="N713" i="4"/>
  <c r="BE78" i="3"/>
  <c r="AY720" i="4"/>
  <c r="P200" i="4"/>
  <c r="P488" i="4"/>
  <c r="AZ488" i="4" s="1"/>
  <c r="AZ498" i="4" s="1"/>
  <c r="AZ531" i="4"/>
  <c r="Q458" i="4"/>
  <c r="BA133" i="4"/>
  <c r="AZ719" i="4"/>
  <c r="BA366" i="4"/>
  <c r="AZ568" i="4"/>
  <c r="F64" i="3"/>
  <c r="G65" i="3"/>
  <c r="BA65" i="3" s="1"/>
  <c r="I66" i="3"/>
  <c r="BB66" i="3" s="1"/>
  <c r="AZ52" i="4"/>
  <c r="BA712" i="4"/>
  <c r="BA709" i="4"/>
  <c r="BA129" i="4"/>
  <c r="AY55" i="4"/>
  <c r="BB209" i="4"/>
  <c r="AX715" i="4"/>
  <c r="J725" i="4"/>
  <c r="H115" i="4"/>
  <c r="AV115" i="4" s="1"/>
  <c r="E65" i="4"/>
  <c r="AV718" i="4"/>
  <c r="J72" i="3"/>
  <c r="D537" i="4"/>
  <c r="D577" i="4" s="1"/>
  <c r="C390" i="4"/>
  <c r="C432" i="4" s="1"/>
  <c r="AW29" i="4"/>
  <c r="AW61" i="4" s="1"/>
  <c r="AU49" i="4"/>
  <c r="AU52" i="4"/>
  <c r="AW716" i="4"/>
  <c r="AV205" i="4"/>
  <c r="AV218" i="4"/>
  <c r="AU203" i="4"/>
  <c r="E253" i="4"/>
  <c r="E254" i="4" s="1"/>
  <c r="E256" i="4" s="1"/>
  <c r="E225" i="4" s="1"/>
  <c r="D62" i="4"/>
  <c r="D529" i="4"/>
  <c r="D572" i="4" s="1"/>
  <c r="O64" i="4"/>
  <c r="AZ230" i="4"/>
  <c r="AT235" i="4"/>
  <c r="AT282" i="4" s="1"/>
  <c r="AY243" i="4"/>
  <c r="C464" i="4"/>
  <c r="C508" i="4" s="1"/>
  <c r="J464" i="4"/>
  <c r="J508" i="4" s="1"/>
  <c r="Q281" i="4"/>
  <c r="R87" i="4"/>
  <c r="S131" i="4" s="1"/>
  <c r="R217" i="4"/>
  <c r="BA719" i="4"/>
  <c r="AX141" i="4"/>
  <c r="J71" i="3"/>
  <c r="BA355" i="4"/>
  <c r="AZ646" i="4"/>
  <c r="AW544" i="4"/>
  <c r="AW583" i="4" s="1"/>
  <c r="AW23" i="4"/>
  <c r="AW59" i="4" s="1"/>
  <c r="E115" i="4"/>
  <c r="H56" i="4"/>
  <c r="AV709" i="4"/>
  <c r="J713" i="4"/>
  <c r="AW712" i="4"/>
  <c r="AW540" i="4"/>
  <c r="AW586" i="4"/>
  <c r="AW369" i="4"/>
  <c r="G354" i="4"/>
  <c r="P333" i="4"/>
  <c r="R317" i="4"/>
  <c r="T358" i="4"/>
  <c r="BG222" i="3"/>
  <c r="BD228" i="3"/>
  <c r="BF231" i="3"/>
  <c r="BF54" i="3" s="1"/>
  <c r="N276" i="3"/>
  <c r="N575" i="3" s="1"/>
  <c r="N577" i="3" s="1"/>
  <c r="BE231" i="3"/>
  <c r="BE54" i="3" s="1"/>
  <c r="O355" i="3"/>
  <c r="O480" i="3" s="1"/>
  <c r="O504" i="3" s="1"/>
  <c r="BD353" i="3"/>
  <c r="BB316" i="3"/>
  <c r="BB318" i="3" s="1"/>
  <c r="BB347" i="3"/>
  <c r="O46" i="3"/>
  <c r="O242" i="3"/>
  <c r="R577" i="3"/>
  <c r="BF222" i="3"/>
  <c r="BE161" i="3"/>
  <c r="BE453" i="3"/>
  <c r="AY135" i="4"/>
  <c r="BF227" i="3"/>
  <c r="BF52" i="3" s="1"/>
  <c r="BD39" i="3"/>
  <c r="BB227" i="3"/>
  <c r="BB52" i="3" s="1"/>
  <c r="L346" i="3"/>
  <c r="BA227" i="3"/>
  <c r="BA52" i="3" s="1"/>
  <c r="AW649" i="4"/>
  <c r="Q577" i="3"/>
  <c r="AW126" i="4"/>
  <c r="AX126" i="4"/>
  <c r="N126" i="4"/>
  <c r="AZ212" i="4"/>
  <c r="AW423" i="4"/>
  <c r="AW116" i="4"/>
  <c r="K202" i="4"/>
  <c r="E51" i="4"/>
  <c r="I51" i="4"/>
  <c r="K134" i="4"/>
  <c r="E126" i="4"/>
  <c r="I126" i="4"/>
  <c r="AW474" i="4"/>
  <c r="AY128" i="4"/>
  <c r="M645" i="4"/>
  <c r="M360" i="4"/>
  <c r="M356" i="4"/>
  <c r="I298" i="4"/>
  <c r="P298" i="4"/>
  <c r="I281" i="4"/>
  <c r="AZ267" i="4"/>
  <c r="BA295" i="4" s="1"/>
  <c r="M568" i="4"/>
  <c r="AZ354" i="4"/>
  <c r="AX193" i="4"/>
  <c r="AY202" i="4" s="1"/>
  <c r="AT116" i="4"/>
  <c r="AZ128" i="4"/>
  <c r="K126" i="4"/>
  <c r="AX128" i="4"/>
  <c r="N711" i="4"/>
  <c r="Q711" i="4"/>
  <c r="Q713" i="4"/>
  <c r="R713" i="4"/>
  <c r="K279" i="4"/>
  <c r="N290" i="4"/>
  <c r="AY126" i="4"/>
  <c r="O305" i="4"/>
  <c r="AV423" i="4"/>
  <c r="L51" i="4"/>
  <c r="J639" i="4"/>
  <c r="I713" i="4"/>
  <c r="H126" i="4"/>
  <c r="G717" i="4"/>
  <c r="AU204" i="4"/>
  <c r="AW165" i="4"/>
  <c r="AW166" i="4" s="1"/>
  <c r="G204" i="4"/>
  <c r="AT476" i="4"/>
  <c r="AV474" i="4"/>
  <c r="O711" i="4"/>
  <c r="P363" i="4"/>
  <c r="R126" i="4"/>
  <c r="Q126" i="4"/>
  <c r="J226" i="3"/>
  <c r="J51" i="3" s="1"/>
  <c r="K453" i="3"/>
  <c r="K461" i="3" s="1"/>
  <c r="BC461" i="3" s="1"/>
  <c r="M318" i="3"/>
  <c r="M309" i="3" s="1"/>
  <c r="M576" i="3" s="1"/>
  <c r="BA325" i="3"/>
  <c r="BA54" i="3" s="1"/>
  <c r="AY51" i="3"/>
  <c r="BE354" i="3"/>
  <c r="L209" i="3"/>
  <c r="L198" i="3" s="1"/>
  <c r="BC227" i="3"/>
  <c r="BC52" i="3" s="1"/>
  <c r="K251" i="3"/>
  <c r="BC251" i="3" s="1"/>
  <c r="J45" i="3"/>
  <c r="BC45" i="3"/>
  <c r="AY54" i="4"/>
  <c r="AY364" i="4"/>
  <c r="BB85" i="3"/>
  <c r="BB161" i="3"/>
  <c r="BA462" i="3"/>
  <c r="F51" i="3"/>
  <c r="AX51" i="3"/>
  <c r="AU304" i="3"/>
  <c r="AU55" i="3" s="1"/>
  <c r="K109" i="3"/>
  <c r="K419" i="3"/>
  <c r="K408" i="3" s="1"/>
  <c r="BC408" i="3" s="1"/>
  <c r="AY419" i="3"/>
  <c r="AY408" i="3" s="1"/>
  <c r="AY109" i="3"/>
  <c r="S344" i="3"/>
  <c r="BG87" i="3"/>
  <c r="AY209" i="3"/>
  <c r="AY198" i="3" s="1"/>
  <c r="BG314" i="3"/>
  <c r="BG571" i="3" s="1"/>
  <c r="N355" i="3"/>
  <c r="N480" i="3" s="1"/>
  <c r="N504" i="3" s="1"/>
  <c r="AV479" i="3"/>
  <c r="AV503" i="3" s="1"/>
  <c r="AX228" i="3"/>
  <c r="AX53" i="3" s="1"/>
  <c r="AW304" i="3"/>
  <c r="AW276" i="3" s="1"/>
  <c r="AW575" i="3" s="1"/>
  <c r="L565" i="3"/>
  <c r="L384" i="3"/>
  <c r="O565" i="3"/>
  <c r="D1" i="4"/>
  <c r="K231" i="3"/>
  <c r="BC231" i="3" s="1"/>
  <c r="BC54" i="3" s="1"/>
  <c r="BC121" i="3"/>
  <c r="BC132" i="3" s="1"/>
  <c r="BC109" i="3" s="1"/>
  <c r="AY355" i="3"/>
  <c r="AY480" i="3" s="1"/>
  <c r="AY504" i="3" s="1"/>
  <c r="G384" i="3"/>
  <c r="BA384" i="3" s="1"/>
  <c r="BA402" i="3" s="1"/>
  <c r="AY228" i="3"/>
  <c r="AY53" i="3" s="1"/>
  <c r="E384" i="3"/>
  <c r="AZ384" i="3" s="1"/>
  <c r="L567" i="3"/>
  <c r="L24" i="3" s="1"/>
  <c r="BD385" i="3"/>
  <c r="M384" i="3"/>
  <c r="BD384" i="3" s="1"/>
  <c r="P419" i="3"/>
  <c r="P408" i="3" s="1"/>
  <c r="BE41" i="3"/>
  <c r="I565" i="3"/>
  <c r="I384" i="3"/>
  <c r="BB384" i="3" s="1"/>
  <c r="F384" i="3"/>
  <c r="D384" i="3"/>
  <c r="AW281" i="3"/>
  <c r="AU281" i="3"/>
  <c r="R242" i="3"/>
  <c r="BD568" i="3"/>
  <c r="BD25" i="3" s="1"/>
  <c r="H384" i="3"/>
  <c r="S354" i="3"/>
  <c r="N565" i="3"/>
  <c r="BE385" i="3"/>
  <c r="Q565" i="3"/>
  <c r="R565" i="3"/>
  <c r="BG385" i="3"/>
  <c r="BG565" i="3" s="1"/>
  <c r="P565" i="3"/>
  <c r="BE281" i="3"/>
  <c r="O348" i="3"/>
  <c r="G242" i="3"/>
  <c r="BE132" i="3"/>
  <c r="BE109" i="3" s="1"/>
  <c r="D355" i="3"/>
  <c r="D480" i="3" s="1"/>
  <c r="D504" i="3" s="1"/>
  <c r="M46" i="3"/>
  <c r="BJ342" i="3"/>
  <c r="BJ344" i="3"/>
  <c r="Q346" i="3"/>
  <c r="Q46" i="3"/>
  <c r="J353" i="3"/>
  <c r="J355" i="3" s="1"/>
  <c r="J480" i="3" s="1"/>
  <c r="J504" i="3" s="1"/>
  <c r="BE570" i="3"/>
  <c r="F1" i="3"/>
  <c r="BC87" i="3"/>
  <c r="BC347" i="3"/>
  <c r="BA347" i="3"/>
  <c r="G355" i="3"/>
  <c r="G480" i="3" s="1"/>
  <c r="G504" i="3" s="1"/>
  <c r="BC302" i="3"/>
  <c r="BB45" i="3"/>
  <c r="BA187" i="3"/>
  <c r="BA209" i="3" s="1"/>
  <c r="BA45" i="3"/>
  <c r="AX355" i="3"/>
  <c r="AX480" i="3" s="1"/>
  <c r="AX504" i="3" s="1"/>
  <c r="R479" i="3"/>
  <c r="R503" i="3" s="1"/>
  <c r="K219" i="3"/>
  <c r="K198" i="3"/>
  <c r="BC198" i="3" s="1"/>
  <c r="BF51" i="3"/>
  <c r="BE337" i="3"/>
  <c r="BD372" i="3"/>
  <c r="AW2" i="3"/>
  <c r="D318" i="3"/>
  <c r="D309" i="3" s="1"/>
  <c r="D576" i="3" s="1"/>
  <c r="BA342" i="3"/>
  <c r="BB344" i="3"/>
  <c r="BB568" i="3"/>
  <c r="BB25" i="3" s="1"/>
  <c r="AV67" i="3"/>
  <c r="AV68" i="3" s="1"/>
  <c r="BL344" i="3"/>
  <c r="BG567" i="3"/>
  <c r="BG24" i="3" s="1"/>
  <c r="P348" i="3"/>
  <c r="BE353" i="3"/>
  <c r="AV2" i="3"/>
  <c r="BG502" i="3"/>
  <c r="BB342" i="3"/>
  <c r="BA344" i="3"/>
  <c r="AZ568" i="3"/>
  <c r="AZ25" i="3" s="1"/>
  <c r="BA51" i="3"/>
  <c r="M242" i="3"/>
  <c r="BB228" i="3"/>
  <c r="BB53" i="3" s="1"/>
  <c r="K51" i="3"/>
  <c r="BB132" i="3"/>
  <c r="BB109" i="3" s="1"/>
  <c r="BB187" i="3"/>
  <c r="BB209" i="3" s="1"/>
  <c r="BB219" i="3" s="1"/>
  <c r="F479" i="3"/>
  <c r="F503" i="3" s="1"/>
  <c r="AY54" i="3"/>
  <c r="M479" i="3"/>
  <c r="M503" i="3" s="1"/>
  <c r="BI342" i="3"/>
  <c r="P51" i="3"/>
  <c r="AX55" i="4"/>
  <c r="BK477" i="3"/>
  <c r="AJ27" i="32" s="1"/>
  <c r="E259" i="4"/>
  <c r="E406" i="4" s="1"/>
  <c r="E641" i="4"/>
  <c r="I299" i="4"/>
  <c r="AY643" i="4"/>
  <c r="AW647" i="4"/>
  <c r="F639" i="4"/>
  <c r="AV640" i="4"/>
  <c r="F498" i="4"/>
  <c r="J498" i="4"/>
  <c r="AY644" i="4"/>
  <c r="AW643" i="4"/>
  <c r="AW610" i="4"/>
  <c r="AV649" i="4"/>
  <c r="AZ651" i="4"/>
  <c r="AZ640" i="4"/>
  <c r="AX637" i="4"/>
  <c r="AX644" i="4"/>
  <c r="E498" i="4"/>
  <c r="F641" i="4"/>
  <c r="G653" i="4"/>
  <c r="C653" i="4"/>
  <c r="AU640" i="4"/>
  <c r="AW630" i="4"/>
  <c r="AW639" i="4" s="1"/>
  <c r="C615" i="4"/>
  <c r="C617" i="4" s="1"/>
  <c r="C593" i="4" s="1"/>
  <c r="J645" i="4"/>
  <c r="AX620" i="4"/>
  <c r="Q299" i="4"/>
  <c r="AX607" i="4"/>
  <c r="AY646" i="4" s="1"/>
  <c r="AZ605" i="4"/>
  <c r="AZ569" i="4"/>
  <c r="AW568" i="4"/>
  <c r="I253" i="4"/>
  <c r="I254" i="4" s="1"/>
  <c r="I256" i="4" s="1"/>
  <c r="I225" i="4" s="1"/>
  <c r="I259" i="4"/>
  <c r="I406" i="4" s="1"/>
  <c r="I498" i="4"/>
  <c r="L259" i="4"/>
  <c r="L406" i="4" s="1"/>
  <c r="E290" i="4"/>
  <c r="O290" i="4"/>
  <c r="Q441" i="4"/>
  <c r="BE45" i="3"/>
  <c r="G46" i="3"/>
  <c r="C580" i="3"/>
  <c r="BB314" i="4"/>
  <c r="C87" i="4"/>
  <c r="C131" i="4" s="1"/>
  <c r="G462" i="4"/>
  <c r="G95" i="4"/>
  <c r="AV89" i="4"/>
  <c r="AW132" i="4" s="1"/>
  <c r="H711" i="4"/>
  <c r="G713" i="4"/>
  <c r="AY721" i="4"/>
  <c r="AW200" i="4"/>
  <c r="AV200" i="4"/>
  <c r="E204" i="4"/>
  <c r="F202" i="4"/>
  <c r="I204" i="4"/>
  <c r="I202" i="4"/>
  <c r="C253" i="4"/>
  <c r="C296" i="4" s="1"/>
  <c r="C584" i="4"/>
  <c r="C545" i="4"/>
  <c r="C547" i="4" s="1"/>
  <c r="C522" i="4" s="1"/>
  <c r="G253" i="4"/>
  <c r="G254" i="4" s="1"/>
  <c r="G256" i="4" s="1"/>
  <c r="G225" i="4" s="1"/>
  <c r="G585" i="4"/>
  <c r="G545" i="4"/>
  <c r="G547" i="4" s="1"/>
  <c r="G522" i="4" s="1"/>
  <c r="C259" i="4"/>
  <c r="C406" i="4" s="1"/>
  <c r="D550" i="4"/>
  <c r="AU560" i="4"/>
  <c r="AU569" i="4" s="1"/>
  <c r="G569" i="4"/>
  <c r="G588" i="4"/>
  <c r="G299" i="4"/>
  <c r="J356" i="4"/>
  <c r="K356" i="4"/>
  <c r="AU590" i="4"/>
  <c r="BA724" i="4"/>
  <c r="C65" i="4"/>
  <c r="C64" i="4"/>
  <c r="H62" i="4"/>
  <c r="H31" i="4"/>
  <c r="I64" i="4" s="1"/>
  <c r="F31" i="4"/>
  <c r="AU31" i="4" s="1"/>
  <c r="AU63" i="4" s="1"/>
  <c r="F55" i="4"/>
  <c r="AU17" i="4"/>
  <c r="E58" i="4"/>
  <c r="AT21" i="4"/>
  <c r="AT58" i="4" s="1"/>
  <c r="D474" i="4"/>
  <c r="AT474" i="4" s="1"/>
  <c r="AT33" i="4"/>
  <c r="G130" i="4"/>
  <c r="AU86" i="4"/>
  <c r="F133" i="4"/>
  <c r="AU91" i="4"/>
  <c r="AU133" i="4" s="1"/>
  <c r="E132" i="4"/>
  <c r="AT89" i="4"/>
  <c r="AT132" i="4" s="1"/>
  <c r="D133" i="4"/>
  <c r="D722" i="4"/>
  <c r="AT683" i="4"/>
  <c r="G207" i="4"/>
  <c r="AU164" i="4"/>
  <c r="E209" i="4"/>
  <c r="AT167" i="4"/>
  <c r="AT209" i="4" s="1"/>
  <c r="H251" i="4"/>
  <c r="H470" i="4" s="1"/>
  <c r="AV542" i="4"/>
  <c r="AV580" i="4" s="1"/>
  <c r="F576" i="4"/>
  <c r="AU536" i="4"/>
  <c r="F245" i="4"/>
  <c r="AU539" i="4"/>
  <c r="AU578" i="4" s="1"/>
  <c r="D574" i="4"/>
  <c r="AT533" i="4"/>
  <c r="AT573" i="4" s="1"/>
  <c r="D251" i="4"/>
  <c r="D398" i="4" s="1"/>
  <c r="AT542" i="4"/>
  <c r="AT580" i="4" s="1"/>
  <c r="H644" i="4"/>
  <c r="AV604" i="4"/>
  <c r="AV644" i="4" s="1"/>
  <c r="J646" i="4"/>
  <c r="AV607" i="4"/>
  <c r="AV646" i="4" s="1"/>
  <c r="AU613" i="4"/>
  <c r="F614" i="4"/>
  <c r="F615" i="4" s="1"/>
  <c r="F617" i="4" s="1"/>
  <c r="F593" i="4" s="1"/>
  <c r="D244" i="4"/>
  <c r="AT244" i="4" s="1"/>
  <c r="AT608" i="4"/>
  <c r="H381" i="4"/>
  <c r="H380" i="4" s="1"/>
  <c r="AV310" i="4"/>
  <c r="H370" i="4"/>
  <c r="H335" i="4"/>
  <c r="AV335" i="4" s="1"/>
  <c r="F359" i="4"/>
  <c r="AU316" i="4"/>
  <c r="AU328" i="4"/>
  <c r="F329" i="4"/>
  <c r="F330" i="4" s="1"/>
  <c r="F332" i="4" s="1"/>
  <c r="F305" i="4" s="1"/>
  <c r="D381" i="4"/>
  <c r="D380" i="4" s="1"/>
  <c r="AT310" i="4"/>
  <c r="D361" i="4"/>
  <c r="AT319" i="4"/>
  <c r="AT361" i="4" s="1"/>
  <c r="D362" i="4"/>
  <c r="AT321" i="4"/>
  <c r="AU72" i="3"/>
  <c r="AU73" i="3" s="1"/>
  <c r="L233" i="4"/>
  <c r="L384" i="4" s="1"/>
  <c r="M64" i="3"/>
  <c r="BD64" i="3" s="1"/>
  <c r="N648" i="4"/>
  <c r="N462" i="4"/>
  <c r="O361" i="4"/>
  <c r="N325" i="4"/>
  <c r="N363" i="4" s="1"/>
  <c r="N354" i="4"/>
  <c r="BC98" i="4"/>
  <c r="BD132" i="3"/>
  <c r="BD109" i="3" s="1"/>
  <c r="BA49" i="4"/>
  <c r="AY215" i="4"/>
  <c r="BE187" i="3"/>
  <c r="BE46" i="3" s="1"/>
  <c r="BF41" i="3"/>
  <c r="BD337" i="3"/>
  <c r="BD187" i="3"/>
  <c r="BD46" i="3" s="1"/>
  <c r="AX586" i="4"/>
  <c r="AX369" i="4"/>
  <c r="AX654" i="4"/>
  <c r="AX218" i="4"/>
  <c r="BH100" i="3"/>
  <c r="BH453" i="3"/>
  <c r="AX54" i="4"/>
  <c r="E3" i="3"/>
  <c r="BH245" i="3"/>
  <c r="BH227" i="3"/>
  <c r="BH190" i="3"/>
  <c r="BH194" i="3"/>
  <c r="AZ453" i="3"/>
  <c r="BC342" i="3"/>
  <c r="BC316" i="3"/>
  <c r="BC318" i="3" s="1"/>
  <c r="BC51" i="3"/>
  <c r="H346" i="3"/>
  <c r="BA353" i="3"/>
  <c r="BB231" i="3"/>
  <c r="I51" i="3"/>
  <c r="BA316" i="3"/>
  <c r="BA318" i="3" s="1"/>
  <c r="K318" i="3"/>
  <c r="K309" i="3" s="1"/>
  <c r="K576" i="3" s="1"/>
  <c r="H132" i="3"/>
  <c r="BA222" i="3"/>
  <c r="BA50" i="3" s="1"/>
  <c r="AZ227" i="3"/>
  <c r="AZ52" i="3" s="1"/>
  <c r="AZ231" i="3"/>
  <c r="BA570" i="3"/>
  <c r="BC568" i="3"/>
  <c r="BC25" i="3" s="1"/>
  <c r="J502" i="3"/>
  <c r="D502" i="3"/>
  <c r="G50" i="3"/>
  <c r="F63" i="3"/>
  <c r="D64" i="3"/>
  <c r="I74" i="3"/>
  <c r="BB74" i="3" s="1"/>
  <c r="E75" i="3"/>
  <c r="AZ75" i="3" s="1"/>
  <c r="G75" i="3"/>
  <c r="BA75" i="3" s="1"/>
  <c r="F76" i="3"/>
  <c r="E51" i="3"/>
  <c r="G51" i="3"/>
  <c r="D51" i="3"/>
  <c r="BB385" i="4"/>
  <c r="BA715" i="4"/>
  <c r="BB390" i="4"/>
  <c r="AY355" i="4"/>
  <c r="AZ357" i="4"/>
  <c r="AZ205" i="4"/>
  <c r="AY712" i="4"/>
  <c r="AY356" i="4"/>
  <c r="AY317" i="4"/>
  <c r="AY318" i="4" s="1"/>
  <c r="AU345" i="4"/>
  <c r="AU356" i="4" s="1"/>
  <c r="F620" i="4"/>
  <c r="AU620" i="4" s="1"/>
  <c r="AU570" i="4"/>
  <c r="C585" i="4"/>
  <c r="F204" i="4"/>
  <c r="AW99" i="4"/>
  <c r="AW138" i="4" s="1"/>
  <c r="AT15" i="4"/>
  <c r="AX709" i="4"/>
  <c r="C711" i="4"/>
  <c r="K139" i="4"/>
  <c r="H81" i="4"/>
  <c r="AV81" i="4" s="1"/>
  <c r="F569" i="4"/>
  <c r="F713" i="4"/>
  <c r="AW335" i="4"/>
  <c r="AT16" i="4"/>
  <c r="AV16" i="4"/>
  <c r="AT17" i="4"/>
  <c r="AV21" i="4"/>
  <c r="AW58" i="4" s="1"/>
  <c r="AU30" i="4"/>
  <c r="G67" i="4"/>
  <c r="G518" i="4" s="1"/>
  <c r="G36" i="4"/>
  <c r="E55" i="4"/>
  <c r="D58" i="4"/>
  <c r="I58" i="4"/>
  <c r="AV82" i="4"/>
  <c r="AV128" i="4" s="1"/>
  <c r="AT86" i="4"/>
  <c r="AT130" i="4" s="1"/>
  <c r="AU145" i="4"/>
  <c r="D130" i="4"/>
  <c r="H130" i="4"/>
  <c r="D136" i="4"/>
  <c r="I686" i="4"/>
  <c r="I688" i="4" s="1"/>
  <c r="I661" i="4" s="1"/>
  <c r="I726" i="4"/>
  <c r="AV164" i="4"/>
  <c r="AW207" i="4" s="1"/>
  <c r="AV175" i="4"/>
  <c r="AV212" i="4" s="1"/>
  <c r="F207" i="4"/>
  <c r="D209" i="4"/>
  <c r="F213" i="4"/>
  <c r="F529" i="4"/>
  <c r="F572" i="4" s="1"/>
  <c r="D531" i="4"/>
  <c r="AT531" i="4" s="1"/>
  <c r="AT539" i="4"/>
  <c r="AT578" i="4" s="1"/>
  <c r="K579" i="4"/>
  <c r="J579" i="4"/>
  <c r="E574" i="4"/>
  <c r="E576" i="4"/>
  <c r="C652" i="4"/>
  <c r="AU637" i="4"/>
  <c r="AU647" i="4"/>
  <c r="AV637" i="4"/>
  <c r="AT630" i="4"/>
  <c r="E639" i="4"/>
  <c r="D639" i="4"/>
  <c r="D641" i="4"/>
  <c r="AU630" i="4"/>
  <c r="G641" i="4"/>
  <c r="I639" i="4"/>
  <c r="H639" i="4"/>
  <c r="H641" i="4"/>
  <c r="D309" i="4"/>
  <c r="D353" i="4" s="1"/>
  <c r="F309" i="4"/>
  <c r="G353" i="4" s="1"/>
  <c r="H309" i="4"/>
  <c r="I353" i="4" s="1"/>
  <c r="AT316" i="4"/>
  <c r="AT359" i="4" s="1"/>
  <c r="AV319" i="4"/>
  <c r="AW361" i="4" s="1"/>
  <c r="J363" i="4"/>
  <c r="D329" i="4"/>
  <c r="AT329" i="4" s="1"/>
  <c r="E359" i="4"/>
  <c r="I359" i="4"/>
  <c r="I361" i="4"/>
  <c r="AW479" i="3"/>
  <c r="AW503" i="3" s="1"/>
  <c r="AW502" i="3"/>
  <c r="AY502" i="3"/>
  <c r="AY479" i="3"/>
  <c r="AY503" i="3" s="1"/>
  <c r="L645" i="4"/>
  <c r="K645" i="4"/>
  <c r="L360" i="4"/>
  <c r="K360" i="4"/>
  <c r="K545" i="4"/>
  <c r="K547" i="4" s="1"/>
  <c r="K522" i="4" s="1"/>
  <c r="K584" i="4"/>
  <c r="L479" i="3"/>
  <c r="L503" i="3" s="1"/>
  <c r="L502" i="3"/>
  <c r="M43" i="3"/>
  <c r="L19" i="4"/>
  <c r="M67" i="3" s="1"/>
  <c r="M354" i="4"/>
  <c r="AX569" i="4"/>
  <c r="AW580" i="4"/>
  <c r="N356" i="4"/>
  <c r="N202" i="4"/>
  <c r="M95" i="4"/>
  <c r="AY95" i="4" s="1"/>
  <c r="AY89" i="4"/>
  <c r="N204" i="4"/>
  <c r="M202" i="4"/>
  <c r="AY531" i="4"/>
  <c r="N209" i="3"/>
  <c r="N219" i="3" s="1"/>
  <c r="N46" i="3"/>
  <c r="O356" i="4"/>
  <c r="N390" i="4"/>
  <c r="N76" i="3"/>
  <c r="M65" i="4"/>
  <c r="O202" i="4"/>
  <c r="O569" i="4"/>
  <c r="AY474" i="4"/>
  <c r="P115" i="4"/>
  <c r="AZ115" i="4" s="1"/>
  <c r="BA125" i="4" s="1"/>
  <c r="AZ116" i="4"/>
  <c r="AZ540" i="4"/>
  <c r="Q569" i="4"/>
  <c r="Q453" i="4"/>
  <c r="N430" i="4"/>
  <c r="G294" i="4"/>
  <c r="J294" i="4"/>
  <c r="L294" i="4"/>
  <c r="P294" i="4"/>
  <c r="D402" i="4"/>
  <c r="G54" i="3"/>
  <c r="AZ203" i="4"/>
  <c r="AZ570" i="4"/>
  <c r="AZ712" i="4"/>
  <c r="AZ130" i="4"/>
  <c r="BA206" i="4"/>
  <c r="AZ352" i="4"/>
  <c r="AZ567" i="4"/>
  <c r="AY716" i="4"/>
  <c r="AY573" i="4"/>
  <c r="AX640" i="4"/>
  <c r="AU51" i="4"/>
  <c r="E528" i="4"/>
  <c r="E571" i="4" s="1"/>
  <c r="H299" i="4"/>
  <c r="J299" i="4"/>
  <c r="AW642" i="4"/>
  <c r="AU352" i="4"/>
  <c r="D354" i="4"/>
  <c r="AW355" i="4"/>
  <c r="AU476" i="4"/>
  <c r="AW476" i="4"/>
  <c r="H498" i="4"/>
  <c r="D95" i="4"/>
  <c r="F581" i="4"/>
  <c r="AX46" i="3"/>
  <c r="AW355" i="3"/>
  <c r="AW480" i="3" s="1"/>
  <c r="AW504" i="3" s="1"/>
  <c r="AX212" i="4"/>
  <c r="AY15" i="4"/>
  <c r="M231" i="4"/>
  <c r="M382" i="4" s="1"/>
  <c r="M105" i="4"/>
  <c r="M480" i="4" s="1"/>
  <c r="N569" i="4"/>
  <c r="M462" i="4"/>
  <c r="N242" i="3"/>
  <c r="N51" i="3"/>
  <c r="N639" i="4"/>
  <c r="N360" i="4"/>
  <c r="Q219" i="3"/>
  <c r="Q279" i="4"/>
  <c r="E279" i="4"/>
  <c r="Q298" i="4"/>
  <c r="N458" i="4"/>
  <c r="J269" i="4"/>
  <c r="AW269" i="4" s="1"/>
  <c r="O269" i="4"/>
  <c r="O416" i="4" s="1"/>
  <c r="O491" i="4" s="1"/>
  <c r="E269" i="4"/>
  <c r="E416" i="4" s="1"/>
  <c r="Q269" i="4"/>
  <c r="Q416" i="4" s="1"/>
  <c r="Q491" i="4" s="1"/>
  <c r="AX288" i="4"/>
  <c r="AY288" i="4"/>
  <c r="BL342" i="3"/>
  <c r="S242" i="3"/>
  <c r="S51" i="3"/>
  <c r="AX649" i="4"/>
  <c r="AX135" i="4"/>
  <c r="BA61" i="4"/>
  <c r="AY61" i="4"/>
  <c r="BA54" i="4"/>
  <c r="BA135" i="4"/>
  <c r="AY649" i="4"/>
  <c r="AU222" i="4"/>
  <c r="AU135" i="4"/>
  <c r="AV40" i="4"/>
  <c r="D489" i="4"/>
  <c r="AT489" i="4" s="1"/>
  <c r="D124" i="4"/>
  <c r="D568" i="4"/>
  <c r="BG62" i="3"/>
  <c r="AF4" i="32" s="1"/>
  <c r="BF74" i="3"/>
  <c r="BF532" i="3" s="1"/>
  <c r="BD62" i="3"/>
  <c r="BE62" i="3"/>
  <c r="BG78" i="3"/>
  <c r="AF18" i="32" s="1"/>
  <c r="BG74" i="3"/>
  <c r="BG71" i="3"/>
  <c r="BF79" i="3"/>
  <c r="BG66" i="3"/>
  <c r="BD79" i="3"/>
  <c r="BD69" i="3"/>
  <c r="BF66" i="3"/>
  <c r="BF70" i="3"/>
  <c r="BF385" i="3"/>
  <c r="E565" i="3"/>
  <c r="BD66" i="3"/>
  <c r="BF69" i="3"/>
  <c r="AZ580" i="4"/>
  <c r="M711" i="4"/>
  <c r="M713" i="4"/>
  <c r="N65" i="4"/>
  <c r="O76" i="3"/>
  <c r="P713" i="4"/>
  <c r="O713" i="4"/>
  <c r="O354" i="4"/>
  <c r="Q645" i="4"/>
  <c r="P645" i="4"/>
  <c r="O299" i="4"/>
  <c r="O588" i="4"/>
  <c r="P354" i="4"/>
  <c r="Q217" i="4"/>
  <c r="Q472" i="4"/>
  <c r="Q216" i="4"/>
  <c r="R204" i="4"/>
  <c r="Q202" i="4"/>
  <c r="Q354" i="4"/>
  <c r="E229" i="4"/>
  <c r="K380" i="4"/>
  <c r="M229" i="4"/>
  <c r="M453" i="4"/>
  <c r="L458" i="4"/>
  <c r="L282" i="4"/>
  <c r="O282" i="4"/>
  <c r="N386" i="4"/>
  <c r="N429" i="4" s="1"/>
  <c r="Q282" i="4"/>
  <c r="P282" i="4"/>
  <c r="AZ235" i="4"/>
  <c r="P458" i="4"/>
  <c r="M283" i="4"/>
  <c r="L283" i="4"/>
  <c r="P463" i="4"/>
  <c r="AZ463" i="4" s="1"/>
  <c r="P391" i="4"/>
  <c r="G392" i="4"/>
  <c r="G290" i="4"/>
  <c r="C249" i="4"/>
  <c r="J249" i="4"/>
  <c r="J396" i="4" s="1"/>
  <c r="C293" i="4"/>
  <c r="N470" i="4"/>
  <c r="AY470" i="4" s="1"/>
  <c r="AY251" i="4"/>
  <c r="N398" i="4"/>
  <c r="E471" i="4"/>
  <c r="M471" i="4"/>
  <c r="M399" i="4"/>
  <c r="AY252" i="4"/>
  <c r="O471" i="4"/>
  <c r="AZ471" i="4" s="1"/>
  <c r="O399" i="4"/>
  <c r="J475" i="4"/>
  <c r="AW475" i="4" s="1"/>
  <c r="AW255" i="4"/>
  <c r="J402" i="4"/>
  <c r="Q413" i="4"/>
  <c r="R433" i="4" s="1"/>
  <c r="R276" i="4"/>
  <c r="Q290" i="4"/>
  <c r="R290" i="4"/>
  <c r="Q276" i="4"/>
  <c r="D414" i="4"/>
  <c r="AT414" i="4" s="1"/>
  <c r="AU445" i="4" s="1"/>
  <c r="AT267" i="4"/>
  <c r="H414" i="4"/>
  <c r="AV267" i="4"/>
  <c r="H298" i="4"/>
  <c r="J414" i="4"/>
  <c r="AW414" i="4" s="1"/>
  <c r="AW267" i="4"/>
  <c r="L414" i="4"/>
  <c r="AX414" i="4" s="1"/>
  <c r="L298" i="4"/>
  <c r="N414" i="4"/>
  <c r="AY414" i="4" s="1"/>
  <c r="AY267" i="4"/>
  <c r="AY298" i="4" s="1"/>
  <c r="G415" i="4"/>
  <c r="G441" i="4" s="1"/>
  <c r="G298" i="4"/>
  <c r="K415" i="4"/>
  <c r="K441" i="4" s="1"/>
  <c r="K298" i="4"/>
  <c r="O415" i="4"/>
  <c r="O441" i="4" s="1"/>
  <c r="O298" i="4"/>
  <c r="D417" i="4"/>
  <c r="AT417" i="4" s="1"/>
  <c r="AT270" i="4"/>
  <c r="F417" i="4"/>
  <c r="F269" i="4"/>
  <c r="L417" i="4"/>
  <c r="AX417" i="4" s="1"/>
  <c r="AX270" i="4"/>
  <c r="N417" i="4"/>
  <c r="AY417" i="4" s="1"/>
  <c r="AY270" i="4"/>
  <c r="N269" i="4"/>
  <c r="AY269" i="4" s="1"/>
  <c r="P417" i="4"/>
  <c r="AZ417" i="4" s="1"/>
  <c r="AZ270" i="4"/>
  <c r="BB236" i="4"/>
  <c r="BB283" i="4" s="1"/>
  <c r="R64" i="3"/>
  <c r="BG64" i="3" s="1"/>
  <c r="Q530" i="4"/>
  <c r="R202" i="4"/>
  <c r="G58" i="4"/>
  <c r="AU21" i="4"/>
  <c r="J367" i="4"/>
  <c r="BA362" i="4"/>
  <c r="BA177" i="4"/>
  <c r="BA215" i="4" s="1"/>
  <c r="AZ654" i="4"/>
  <c r="AZ423" i="4"/>
  <c r="AZ637" i="4"/>
  <c r="O105" i="4"/>
  <c r="BF78" i="3"/>
  <c r="P76" i="3"/>
  <c r="N579" i="4"/>
  <c r="N32" i="4"/>
  <c r="N67" i="4" s="1"/>
  <c r="N518" i="4" s="1"/>
  <c r="AY31" i="4"/>
  <c r="AY691" i="4"/>
  <c r="M363" i="4"/>
  <c r="L610" i="4"/>
  <c r="M648" i="4" s="1"/>
  <c r="AX568" i="4"/>
  <c r="AY654" i="4"/>
  <c r="BA356" i="4"/>
  <c r="AX61" i="4"/>
  <c r="AX362" i="4"/>
  <c r="AX614" i="4"/>
  <c r="AX651" i="4" s="1"/>
  <c r="AX544" i="4"/>
  <c r="AX583" i="4" s="1"/>
  <c r="K32" i="4"/>
  <c r="K36" i="4" s="1"/>
  <c r="K65" i="4"/>
  <c r="K64" i="4"/>
  <c r="AZ725" i="4"/>
  <c r="AZ714" i="4"/>
  <c r="AX685" i="4"/>
  <c r="AY725" i="4" s="1"/>
  <c r="BC66" i="3"/>
  <c r="AX702" i="4"/>
  <c r="AY711" i="4" s="1"/>
  <c r="BA56" i="4"/>
  <c r="BB462" i="4"/>
  <c r="BA55" i="4"/>
  <c r="BB705" i="4"/>
  <c r="BB712" i="4" s="1"/>
  <c r="BA118" i="4"/>
  <c r="BA126" i="4" s="1"/>
  <c r="BA205" i="4"/>
  <c r="BA193" i="4"/>
  <c r="BA202" i="4" s="1"/>
  <c r="AZ727" i="4"/>
  <c r="AT352" i="4"/>
  <c r="AZ202" i="4"/>
  <c r="AZ529" i="4"/>
  <c r="AZ571" i="4" s="1"/>
  <c r="AZ359" i="4"/>
  <c r="BB676" i="4"/>
  <c r="AY387" i="4"/>
  <c r="BA165" i="4"/>
  <c r="BA212" i="4"/>
  <c r="AY529" i="4"/>
  <c r="AY571" i="4" s="1"/>
  <c r="AY358" i="4"/>
  <c r="AX423" i="4"/>
  <c r="AX605" i="4"/>
  <c r="AY130" i="4"/>
  <c r="AY715" i="4"/>
  <c r="AX15" i="4"/>
  <c r="AX89" i="4"/>
  <c r="AX132" i="4" s="1"/>
  <c r="AV126" i="4"/>
  <c r="AY352" i="4"/>
  <c r="AY205" i="4"/>
  <c r="AU423" i="4"/>
  <c r="J330" i="4"/>
  <c r="J332" i="4" s="1"/>
  <c r="C356" i="4"/>
  <c r="C354" i="4"/>
  <c r="AW329" i="4"/>
  <c r="AX317" i="4"/>
  <c r="AX318" i="4" s="1"/>
  <c r="I653" i="4"/>
  <c r="J652" i="4"/>
  <c r="I615" i="4"/>
  <c r="I617" i="4" s="1"/>
  <c r="I593" i="4" s="1"/>
  <c r="AW614" i="4"/>
  <c r="AW651" i="4" s="1"/>
  <c r="AX643" i="4"/>
  <c r="AY576" i="4"/>
  <c r="AW529" i="4"/>
  <c r="J204" i="4"/>
  <c r="J202" i="4"/>
  <c r="AX165" i="4"/>
  <c r="J711" i="4"/>
  <c r="C32" i="4"/>
  <c r="K652" i="4"/>
  <c r="K208" i="4"/>
  <c r="F356" i="4"/>
  <c r="E202" i="4"/>
  <c r="G464" i="4"/>
  <c r="G508" i="4" s="1"/>
  <c r="K124" i="4"/>
  <c r="H492" i="4"/>
  <c r="AV492" i="4" s="1"/>
  <c r="J492" i="4"/>
  <c r="AW492" i="4" s="1"/>
  <c r="K569" i="4"/>
  <c r="AU580" i="4"/>
  <c r="G56" i="4"/>
  <c r="F56" i="4"/>
  <c r="G129" i="4"/>
  <c r="AU85" i="4"/>
  <c r="F142" i="4"/>
  <c r="F143" i="4" s="1"/>
  <c r="F95" i="4"/>
  <c r="AU95" i="4" s="1"/>
  <c r="H681" i="4"/>
  <c r="AV681" i="4" s="1"/>
  <c r="F728" i="4"/>
  <c r="F729" i="4" s="1"/>
  <c r="F681" i="4"/>
  <c r="AU681" i="4" s="1"/>
  <c r="D681" i="4"/>
  <c r="D673" i="4"/>
  <c r="H173" i="4"/>
  <c r="I211" i="4" s="1"/>
  <c r="F173" i="4"/>
  <c r="G211" i="4" s="1"/>
  <c r="D173" i="4"/>
  <c r="D211" i="4" s="1"/>
  <c r="H244" i="4"/>
  <c r="AV244" i="4" s="1"/>
  <c r="AV538" i="4"/>
  <c r="H581" i="4"/>
  <c r="H550" i="4"/>
  <c r="AV550" i="4" s="1"/>
  <c r="D587" i="4"/>
  <c r="D581" i="4"/>
  <c r="L231" i="4"/>
  <c r="M63" i="3"/>
  <c r="L464" i="4"/>
  <c r="L95" i="4"/>
  <c r="AX95" i="4" s="1"/>
  <c r="M569" i="4"/>
  <c r="M361" i="4"/>
  <c r="M87" i="4"/>
  <c r="M528" i="4"/>
  <c r="O208" i="4"/>
  <c r="O645" i="4"/>
  <c r="N464" i="4"/>
  <c r="P356" i="4"/>
  <c r="P711" i="4"/>
  <c r="P204" i="4"/>
  <c r="O204" i="4"/>
  <c r="P579" i="4"/>
  <c r="P648" i="4"/>
  <c r="O648" i="4"/>
  <c r="BB420" i="4"/>
  <c r="P67" i="4"/>
  <c r="P518" i="4" s="1"/>
  <c r="P36" i="4"/>
  <c r="Q208" i="4"/>
  <c r="P208" i="4"/>
  <c r="Q588" i="4"/>
  <c r="Q233" i="4"/>
  <c r="Q384" i="4" s="1"/>
  <c r="M298" i="4"/>
  <c r="AU267" i="4"/>
  <c r="BB272" i="4"/>
  <c r="BB279" i="4" s="1"/>
  <c r="BB270" i="4"/>
  <c r="J298" i="4"/>
  <c r="AW270" i="4"/>
  <c r="AX267" i="4"/>
  <c r="AT133" i="4"/>
  <c r="AV123" i="4"/>
  <c r="AW123" i="4"/>
  <c r="AW141" i="4"/>
  <c r="AV141" i="4"/>
  <c r="F126" i="4"/>
  <c r="J126" i="4"/>
  <c r="AU714" i="4"/>
  <c r="AW714" i="4"/>
  <c r="AW715" i="4"/>
  <c r="F717" i="4"/>
  <c r="H717" i="4"/>
  <c r="AW673" i="4"/>
  <c r="AW674" i="4" s="1"/>
  <c r="AW718" i="4"/>
  <c r="AW721" i="4"/>
  <c r="AU709" i="4"/>
  <c r="AV727" i="4"/>
  <c r="AW727" i="4"/>
  <c r="AV206" i="4"/>
  <c r="AW206" i="4"/>
  <c r="F582" i="4"/>
  <c r="H236" i="4"/>
  <c r="H387" i="4" s="1"/>
  <c r="I430" i="4" s="1"/>
  <c r="L711" i="4"/>
  <c r="K87" i="4"/>
  <c r="O134" i="4"/>
  <c r="O231" i="4"/>
  <c r="O382" i="4" s="1"/>
  <c r="Q134" i="4"/>
  <c r="R505" i="4"/>
  <c r="E288" i="4"/>
  <c r="AT242" i="4"/>
  <c r="AT288" i="4" s="1"/>
  <c r="D418" i="4"/>
  <c r="AT271" i="4"/>
  <c r="D269" i="4"/>
  <c r="AT269" i="4" s="1"/>
  <c r="AT278" i="4" s="1"/>
  <c r="H418" i="4"/>
  <c r="H493" i="4" s="1"/>
  <c r="AV493" i="4" s="1"/>
  <c r="H269" i="4"/>
  <c r="H416" i="4" s="1"/>
  <c r="L418" i="4"/>
  <c r="L269" i="4"/>
  <c r="AX269" i="4" s="1"/>
  <c r="C279" i="4"/>
  <c r="C419" i="4"/>
  <c r="C426" i="4" s="1"/>
  <c r="F279" i="4"/>
  <c r="E419" i="4"/>
  <c r="E494" i="4" s="1"/>
  <c r="N279" i="4"/>
  <c r="M281" i="4"/>
  <c r="M419" i="4"/>
  <c r="M494" i="4" s="1"/>
  <c r="P279" i="4"/>
  <c r="O419" i="4"/>
  <c r="O494" i="4" s="1"/>
  <c r="R279" i="4"/>
  <c r="Q419" i="4"/>
  <c r="Q494" i="4" s="1"/>
  <c r="R717" i="4"/>
  <c r="AY58" i="4"/>
  <c r="AZ58" i="4"/>
  <c r="AT123" i="4"/>
  <c r="J565" i="3"/>
  <c r="BB163" i="4"/>
  <c r="BB206" i="4" s="1"/>
  <c r="AY567" i="4"/>
  <c r="AY578" i="4"/>
  <c r="G528" i="4"/>
  <c r="G571" i="4" s="1"/>
  <c r="G19" i="4"/>
  <c r="AW15" i="4"/>
  <c r="K64" i="3"/>
  <c r="BC64" i="3" s="1"/>
  <c r="AZ537" i="3"/>
  <c r="AV532" i="3"/>
  <c r="BB537" i="3"/>
  <c r="AX532" i="3"/>
  <c r="I530" i="4"/>
  <c r="I233" i="4"/>
  <c r="I384" i="4" s="1"/>
  <c r="C134" i="4"/>
  <c r="D99" i="4"/>
  <c r="AT99" i="4" s="1"/>
  <c r="C100" i="4"/>
  <c r="C102" i="4" s="1"/>
  <c r="C75" i="4" s="1"/>
  <c r="C139" i="4"/>
  <c r="C140" i="4"/>
  <c r="BA441" i="4"/>
  <c r="AZ139" i="4"/>
  <c r="M579" i="4"/>
  <c r="AX540" i="4"/>
  <c r="M717" i="4"/>
  <c r="L717" i="4"/>
  <c r="AY362" i="4"/>
  <c r="AY141" i="4"/>
  <c r="BA721" i="4"/>
  <c r="AZ713" i="4"/>
  <c r="AY580" i="4"/>
  <c r="J76" i="3"/>
  <c r="K63" i="3"/>
  <c r="BC63" i="3" s="1"/>
  <c r="J74" i="3"/>
  <c r="H63" i="3"/>
  <c r="E64" i="3"/>
  <c r="AT355" i="4"/>
  <c r="BA359" i="4"/>
  <c r="AZ55" i="4"/>
  <c r="AT716" i="4"/>
  <c r="AT206" i="4"/>
  <c r="AY637" i="4"/>
  <c r="AX49" i="4"/>
  <c r="AY709" i="4"/>
  <c r="AY719" i="4"/>
  <c r="AU202" i="4"/>
  <c r="AV202" i="4"/>
  <c r="AX206" i="4"/>
  <c r="E87" i="4"/>
  <c r="J51" i="4"/>
  <c r="J64" i="4"/>
  <c r="K76" i="3"/>
  <c r="BB458" i="4"/>
  <c r="BB89" i="4"/>
  <c r="BB132" i="4" s="1"/>
  <c r="AZ204" i="4"/>
  <c r="BB161" i="4"/>
  <c r="BB15" i="4"/>
  <c r="BA718" i="4"/>
  <c r="AY647" i="4"/>
  <c r="AY218" i="4"/>
  <c r="AY586" i="4"/>
  <c r="AY49" i="4"/>
  <c r="AY123" i="4"/>
  <c r="AZ356" i="4"/>
  <c r="AX647" i="4"/>
  <c r="BA364" i="4"/>
  <c r="BA714" i="4"/>
  <c r="AY212" i="4"/>
  <c r="AY724" i="4"/>
  <c r="AX364" i="4"/>
  <c r="BA727" i="4"/>
  <c r="BB207" i="4"/>
  <c r="AY56" i="4"/>
  <c r="AZ642" i="4"/>
  <c r="AZ709" i="4"/>
  <c r="AZ716" i="4"/>
  <c r="AZ643" i="4"/>
  <c r="AZ577" i="4"/>
  <c r="AY570" i="4"/>
  <c r="AZ573" i="4"/>
  <c r="AZ206" i="4"/>
  <c r="AX727" i="4"/>
  <c r="AW498" i="4"/>
  <c r="E100" i="4"/>
  <c r="E102" i="4" s="1"/>
  <c r="E75" i="4" s="1"/>
  <c r="F99" i="4"/>
  <c r="AU99" i="4" s="1"/>
  <c r="G492" i="4"/>
  <c r="G115" i="4"/>
  <c r="I492" i="4"/>
  <c r="I115" i="4"/>
  <c r="AU715" i="4"/>
  <c r="AV715" i="4"/>
  <c r="D685" i="4"/>
  <c r="C686" i="4"/>
  <c r="C688" i="4" s="1"/>
  <c r="C661" i="4" s="1"/>
  <c r="C725" i="4"/>
  <c r="D691" i="4"/>
  <c r="AT691" i="4" s="1"/>
  <c r="C105" i="4"/>
  <c r="D713" i="4"/>
  <c r="D711" i="4"/>
  <c r="E713" i="4"/>
  <c r="F711" i="4"/>
  <c r="G711" i="4"/>
  <c r="AU702" i="4"/>
  <c r="AU711" i="4" s="1"/>
  <c r="H713" i="4"/>
  <c r="AV702" i="4"/>
  <c r="I711" i="4"/>
  <c r="AW702" i="4"/>
  <c r="K713" i="4"/>
  <c r="AW209" i="4"/>
  <c r="J211" i="4"/>
  <c r="K211" i="4"/>
  <c r="J183" i="4"/>
  <c r="I105" i="4"/>
  <c r="AX712" i="4"/>
  <c r="AX130" i="4"/>
  <c r="AW49" i="4"/>
  <c r="AW52" i="4"/>
  <c r="N530" i="4"/>
  <c r="N105" i="4"/>
  <c r="O360" i="4"/>
  <c r="R354" i="4"/>
  <c r="AU643" i="4"/>
  <c r="AV643" i="4"/>
  <c r="AU644" i="4"/>
  <c r="AW317" i="4"/>
  <c r="AW318" i="4" s="1"/>
  <c r="AV369" i="4"/>
  <c r="AX357" i="4"/>
  <c r="AW364" i="4"/>
  <c r="J644" i="4"/>
  <c r="F578" i="4"/>
  <c r="D165" i="4"/>
  <c r="D208" i="4" s="1"/>
  <c r="D238" i="4"/>
  <c r="H605" i="4"/>
  <c r="AV605" i="4" s="1"/>
  <c r="H365" i="4"/>
  <c r="K115" i="4"/>
  <c r="L713" i="4"/>
  <c r="M60" i="4"/>
  <c r="L528" i="4"/>
  <c r="M71" i="3"/>
  <c r="L309" i="4"/>
  <c r="L353" i="4" s="1"/>
  <c r="L115" i="4"/>
  <c r="M200" i="4"/>
  <c r="M67" i="4"/>
  <c r="M518" i="4" s="1"/>
  <c r="N115" i="4"/>
  <c r="AY115" i="4" s="1"/>
  <c r="P103" i="4"/>
  <c r="O528" i="4"/>
  <c r="N64" i="4"/>
  <c r="P87" i="4"/>
  <c r="Q178" i="4"/>
  <c r="Q180" i="4" s="1"/>
  <c r="Q488" i="4"/>
  <c r="N289" i="4"/>
  <c r="AU255" i="4"/>
  <c r="AV255" i="4"/>
  <c r="Q19" i="4"/>
  <c r="R67" i="3" s="1"/>
  <c r="AY138" i="4"/>
  <c r="AY727" i="4"/>
  <c r="BA139" i="4"/>
  <c r="AZ141" i="4"/>
  <c r="AZ369" i="4"/>
  <c r="AY51" i="4"/>
  <c r="AY540" i="4"/>
  <c r="N717" i="4"/>
  <c r="BA58" i="4"/>
  <c r="AZ718" i="4"/>
  <c r="AY651" i="4"/>
  <c r="AY369" i="4"/>
  <c r="AY366" i="4"/>
  <c r="AX133" i="4"/>
  <c r="AZ711" i="4"/>
  <c r="H565" i="3"/>
  <c r="AZ69" i="3"/>
  <c r="BB70" i="3"/>
  <c r="AZ715" i="4"/>
  <c r="AX642" i="4"/>
  <c r="AX209" i="4"/>
  <c r="AY209" i="4"/>
  <c r="AT115" i="4"/>
  <c r="AU125" i="4" s="1"/>
  <c r="AW204" i="4"/>
  <c r="AW202" i="4"/>
  <c r="H132" i="4"/>
  <c r="AW31" i="4"/>
  <c r="D13" i="4"/>
  <c r="AT13" i="4" s="1"/>
  <c r="C19" i="4"/>
  <c r="H13" i="4"/>
  <c r="AV13" i="4" s="1"/>
  <c r="AV53" i="4" s="1"/>
  <c r="G231" i="4"/>
  <c r="J231" i="4"/>
  <c r="J382" i="4" s="1"/>
  <c r="AW13" i="4"/>
  <c r="AW53" i="4" s="1"/>
  <c r="G530" i="4"/>
  <c r="G233" i="4"/>
  <c r="H15" i="4"/>
  <c r="J233" i="4"/>
  <c r="J384" i="4" s="1"/>
  <c r="J530" i="4"/>
  <c r="J470" i="4"/>
  <c r="J65" i="4"/>
  <c r="J62" i="4"/>
  <c r="J32" i="4"/>
  <c r="J67" i="4" s="1"/>
  <c r="J518" i="4" s="1"/>
  <c r="F51" i="4"/>
  <c r="G51" i="4"/>
  <c r="AV51" i="4"/>
  <c r="BA537" i="3"/>
  <c r="AW532" i="3"/>
  <c r="AW133" i="4"/>
  <c r="J134" i="4"/>
  <c r="H99" i="4"/>
  <c r="H140" i="4" s="1"/>
  <c r="G100" i="4"/>
  <c r="G102" i="4" s="1"/>
  <c r="G75" i="4" s="1"/>
  <c r="J139" i="4"/>
  <c r="J100" i="4"/>
  <c r="J102" i="4" s="1"/>
  <c r="AU716" i="4"/>
  <c r="AV716" i="4"/>
  <c r="I717" i="4"/>
  <c r="AV673" i="4"/>
  <c r="K717" i="4"/>
  <c r="J717" i="4"/>
  <c r="H685" i="4"/>
  <c r="AV685" i="4" s="1"/>
  <c r="G686" i="4"/>
  <c r="G688" i="4" s="1"/>
  <c r="G661" i="4" s="1"/>
  <c r="AU210" i="4"/>
  <c r="AU212" i="4"/>
  <c r="E105" i="4"/>
  <c r="AW362" i="4"/>
  <c r="AW352" i="4"/>
  <c r="D356" i="4"/>
  <c r="E354" i="4"/>
  <c r="E356" i="4"/>
  <c r="F354" i="4"/>
  <c r="H356" i="4"/>
  <c r="I354" i="4"/>
  <c r="I356" i="4"/>
  <c r="AV345" i="4"/>
  <c r="J354" i="4"/>
  <c r="K354" i="4"/>
  <c r="AW345" i="4"/>
  <c r="AV355" i="4"/>
  <c r="AU357" i="4"/>
  <c r="AU355" i="4"/>
  <c r="D498" i="4"/>
  <c r="AT488" i="4"/>
  <c r="G498" i="4"/>
  <c r="AU488" i="4"/>
  <c r="I55" i="4"/>
  <c r="AV17" i="4"/>
  <c r="E56" i="4"/>
  <c r="AT18" i="4"/>
  <c r="AV84" i="4"/>
  <c r="H83" i="4"/>
  <c r="I129" i="4"/>
  <c r="H129" i="4"/>
  <c r="AV85" i="4"/>
  <c r="H133" i="4"/>
  <c r="AV91" i="4"/>
  <c r="AV133" i="4" s="1"/>
  <c r="H142" i="4"/>
  <c r="H143" i="4" s="1"/>
  <c r="H136" i="4"/>
  <c r="H95" i="4"/>
  <c r="AV98" i="4"/>
  <c r="F137" i="4"/>
  <c r="F136" i="4"/>
  <c r="AU89" i="4"/>
  <c r="G132" i="4"/>
  <c r="E129" i="4"/>
  <c r="D129" i="4"/>
  <c r="AT85" i="4"/>
  <c r="AT98" i="4"/>
  <c r="H728" i="4"/>
  <c r="H722" i="4"/>
  <c r="F723" i="4"/>
  <c r="F722" i="4"/>
  <c r="AV159" i="4"/>
  <c r="AV204" i="4" s="1"/>
  <c r="H204" i="4"/>
  <c r="H165" i="4"/>
  <c r="AV176" i="4"/>
  <c r="H177" i="4"/>
  <c r="F165" i="4"/>
  <c r="F214" i="4"/>
  <c r="AU176" i="4"/>
  <c r="D214" i="4"/>
  <c r="AT176" i="4"/>
  <c r="D177" i="4"/>
  <c r="D217" i="4" s="1"/>
  <c r="H574" i="4"/>
  <c r="AV533" i="4"/>
  <c r="H576" i="4"/>
  <c r="AV536" i="4"/>
  <c r="I576" i="4"/>
  <c r="H540" i="4"/>
  <c r="H252" i="4"/>
  <c r="H471" i="4" s="1"/>
  <c r="AV471" i="4" s="1"/>
  <c r="H544" i="4"/>
  <c r="H545" i="4" s="1"/>
  <c r="H547" i="4" s="1"/>
  <c r="H522" i="4" s="1"/>
  <c r="F250" i="4"/>
  <c r="F587" i="4"/>
  <c r="AU543" i="4"/>
  <c r="F252" i="4"/>
  <c r="F471" i="4" s="1"/>
  <c r="F544" i="4"/>
  <c r="D252" i="4"/>
  <c r="D399" i="4" s="1"/>
  <c r="AT543" i="4"/>
  <c r="H650" i="4"/>
  <c r="H610" i="4"/>
  <c r="F610" i="4"/>
  <c r="F605" i="4"/>
  <c r="F251" i="4"/>
  <c r="F650" i="4"/>
  <c r="AU612" i="4"/>
  <c r="AU649" i="4" s="1"/>
  <c r="F644" i="4"/>
  <c r="D605" i="4"/>
  <c r="D646" i="4"/>
  <c r="AT607" i="4"/>
  <c r="D650" i="4"/>
  <c r="D610" i="4"/>
  <c r="AT610" i="4" s="1"/>
  <c r="AT648" i="4" s="1"/>
  <c r="H458" i="4"/>
  <c r="H386" i="4"/>
  <c r="J358" i="4"/>
  <c r="AV315" i="4"/>
  <c r="H325" i="4"/>
  <c r="AV325" i="4" s="1"/>
  <c r="H317" i="4"/>
  <c r="F358" i="4"/>
  <c r="F386" i="4"/>
  <c r="AU315" i="4"/>
  <c r="AU358" i="4" s="1"/>
  <c r="F317" i="4"/>
  <c r="F361" i="4"/>
  <c r="F325" i="4"/>
  <c r="G363" i="4" s="1"/>
  <c r="AU319" i="4"/>
  <c r="G361" i="4"/>
  <c r="F362" i="4"/>
  <c r="AU321" i="4"/>
  <c r="AU362" i="4" s="1"/>
  <c r="F365" i="4"/>
  <c r="AU327" i="4"/>
  <c r="AU364" i="4" s="1"/>
  <c r="F402" i="4"/>
  <c r="AU331" i="4"/>
  <c r="D386" i="4"/>
  <c r="D358" i="4"/>
  <c r="D317" i="4"/>
  <c r="AT320" i="4"/>
  <c r="D370" i="4"/>
  <c r="D365" i="4"/>
  <c r="D325" i="4"/>
  <c r="M76" i="3"/>
  <c r="BD76" i="3" s="1"/>
  <c r="L64" i="4"/>
  <c r="L253" i="4"/>
  <c r="L254" i="4" s="1"/>
  <c r="L256" i="4" s="1"/>
  <c r="L225" i="4" s="1"/>
  <c r="L585" i="4"/>
  <c r="L243" i="4"/>
  <c r="L646" i="4"/>
  <c r="M309" i="4"/>
  <c r="N308" i="4"/>
  <c r="O308" i="4" s="1"/>
  <c r="I470" i="4"/>
  <c r="I62" i="4"/>
  <c r="I32" i="4"/>
  <c r="I65" i="4"/>
  <c r="F81" i="4"/>
  <c r="AU81" i="4" s="1"/>
  <c r="I87" i="4"/>
  <c r="I528" i="4"/>
  <c r="E233" i="4"/>
  <c r="E530" i="4"/>
  <c r="AU123" i="4"/>
  <c r="E178" i="4"/>
  <c r="E180" i="4" s="1"/>
  <c r="E153" i="4" s="1"/>
  <c r="F177" i="4"/>
  <c r="F178" i="4" s="1"/>
  <c r="F180" i="4" s="1"/>
  <c r="F153" i="4" s="1"/>
  <c r="I217" i="4"/>
  <c r="J216" i="4"/>
  <c r="I178" i="4"/>
  <c r="I180" i="4" s="1"/>
  <c r="I153" i="4" s="1"/>
  <c r="AW177" i="4"/>
  <c r="AX216" i="4" s="1"/>
  <c r="H183" i="4"/>
  <c r="AV183" i="4" s="1"/>
  <c r="G105" i="4"/>
  <c r="AT210" i="4"/>
  <c r="AU200" i="4"/>
  <c r="C204" i="4"/>
  <c r="D202" i="4"/>
  <c r="D204" i="4"/>
  <c r="C202" i="4"/>
  <c r="G202" i="4"/>
  <c r="H202" i="4"/>
  <c r="AW205" i="4"/>
  <c r="AV203" i="4"/>
  <c r="AV568" i="4"/>
  <c r="AU568" i="4"/>
  <c r="AX576" i="4"/>
  <c r="E243" i="4"/>
  <c r="F537" i="4"/>
  <c r="AU537" i="4" s="1"/>
  <c r="AU567" i="4"/>
  <c r="AW578" i="4"/>
  <c r="AV567" i="4"/>
  <c r="D569" i="4"/>
  <c r="E569" i="4"/>
  <c r="H569" i="4"/>
  <c r="I569" i="4"/>
  <c r="AV560" i="4"/>
  <c r="H614" i="4"/>
  <c r="AV357" i="4"/>
  <c r="C363" i="4"/>
  <c r="C368" i="4"/>
  <c r="C367" i="4"/>
  <c r="G368" i="4"/>
  <c r="L725" i="4"/>
  <c r="K686" i="4"/>
  <c r="K688" i="4" s="1"/>
  <c r="K661" i="4" s="1"/>
  <c r="K725" i="4"/>
  <c r="K498" i="4"/>
  <c r="N72" i="3"/>
  <c r="O498" i="4"/>
  <c r="N498" i="4"/>
  <c r="O464" i="4"/>
  <c r="P126" i="4"/>
  <c r="P216" i="4"/>
  <c r="O216" i="4"/>
  <c r="O253" i="4"/>
  <c r="O472" i="4" s="1"/>
  <c r="O584" i="4"/>
  <c r="P641" i="4"/>
  <c r="O639" i="4"/>
  <c r="D495" i="4"/>
  <c r="AT495" i="4" s="1"/>
  <c r="AT420" i="4"/>
  <c r="BB235" i="4"/>
  <c r="R249" i="4"/>
  <c r="R396" i="4" s="1"/>
  <c r="R229" i="4"/>
  <c r="S277" i="4" s="1"/>
  <c r="R381" i="4"/>
  <c r="R385" i="4"/>
  <c r="BA385" i="4" s="1"/>
  <c r="BA234" i="4"/>
  <c r="R462" i="4"/>
  <c r="S507" i="4" s="1"/>
  <c r="R390" i="4"/>
  <c r="S432" i="4" s="1"/>
  <c r="R475" i="4"/>
  <c r="BA475" i="4" s="1"/>
  <c r="R256" i="4"/>
  <c r="R402" i="4"/>
  <c r="BA255" i="4"/>
  <c r="R418" i="4"/>
  <c r="BA271" i="4"/>
  <c r="R269" i="4"/>
  <c r="S278" i="4" s="1"/>
  <c r="BB699" i="4"/>
  <c r="AX355" i="4"/>
  <c r="J259" i="4"/>
  <c r="AX570" i="4"/>
  <c r="AX129" i="4"/>
  <c r="AX716" i="4"/>
  <c r="D51" i="4"/>
  <c r="H51" i="4"/>
  <c r="C528" i="4"/>
  <c r="AW83" i="4"/>
  <c r="F685" i="4"/>
  <c r="H691" i="4"/>
  <c r="AV691" i="4" s="1"/>
  <c r="H243" i="4"/>
  <c r="H462" i="4" s="1"/>
  <c r="I577" i="4"/>
  <c r="AV537" i="4"/>
  <c r="H245" i="4"/>
  <c r="AV539" i="4"/>
  <c r="AV578" i="4" s="1"/>
  <c r="F236" i="4"/>
  <c r="F459" i="4" s="1"/>
  <c r="F574" i="4"/>
  <c r="L63" i="3"/>
  <c r="K19" i="4"/>
  <c r="K464" i="4"/>
  <c r="L132" i="4"/>
  <c r="K132" i="4"/>
  <c r="K243" i="4"/>
  <c r="K390" i="4" s="1"/>
  <c r="K610" i="4"/>
  <c r="K648" i="4" s="1"/>
  <c r="K646" i="4"/>
  <c r="L367" i="4"/>
  <c r="K330" i="4"/>
  <c r="K332" i="4" s="1"/>
  <c r="L87" i="4"/>
  <c r="L530" i="4"/>
  <c r="M204" i="4"/>
  <c r="L202" i="4"/>
  <c r="M233" i="4"/>
  <c r="M530" i="4"/>
  <c r="M51" i="4"/>
  <c r="N208" i="4"/>
  <c r="N200" i="4"/>
  <c r="M253" i="4"/>
  <c r="M584" i="4"/>
  <c r="N645" i="4"/>
  <c r="M390" i="4"/>
  <c r="N361" i="4"/>
  <c r="N545" i="4"/>
  <c r="N547" i="4" s="1"/>
  <c r="N522" i="4" s="1"/>
  <c r="N641" i="4"/>
  <c r="O200" i="4"/>
  <c r="N231" i="4"/>
  <c r="O63" i="3"/>
  <c r="BE63" i="3" s="1"/>
  <c r="N19" i="4"/>
  <c r="O67" i="3" s="1"/>
  <c r="M299" i="4"/>
  <c r="M588" i="4"/>
  <c r="O217" i="4"/>
  <c r="P639" i="4"/>
  <c r="O545" i="4"/>
  <c r="O547" i="4" s="1"/>
  <c r="O522" i="4" s="1"/>
  <c r="O65" i="4"/>
  <c r="O32" i="4"/>
  <c r="O67" i="4" s="1"/>
  <c r="O518" i="4" s="1"/>
  <c r="O530" i="4"/>
  <c r="O233" i="4"/>
  <c r="O19" i="4"/>
  <c r="P472" i="4"/>
  <c r="Q76" i="3"/>
  <c r="Q204" i="4"/>
  <c r="P202" i="4"/>
  <c r="Q641" i="4"/>
  <c r="Q639" i="4"/>
  <c r="P588" i="4"/>
  <c r="P299" i="4"/>
  <c r="BB273" i="4"/>
  <c r="AT230" i="4"/>
  <c r="C229" i="4"/>
  <c r="C277" i="4" s="1"/>
  <c r="C381" i="4"/>
  <c r="C453" i="4"/>
  <c r="E453" i="4"/>
  <c r="E452" i="4" s="1"/>
  <c r="AU230" i="4"/>
  <c r="E381" i="4"/>
  <c r="G381" i="4"/>
  <c r="G229" i="4"/>
  <c r="AV230" i="4"/>
  <c r="AW230" i="4"/>
  <c r="I381" i="4"/>
  <c r="I453" i="4"/>
  <c r="I452" i="4" s="1"/>
  <c r="I229" i="4"/>
  <c r="K453" i="4"/>
  <c r="K229" i="4"/>
  <c r="AX230" i="4"/>
  <c r="AY230" i="4"/>
  <c r="M381" i="4"/>
  <c r="M249" i="4"/>
  <c r="O249" i="4"/>
  <c r="O453" i="4"/>
  <c r="O229" i="4"/>
  <c r="O381" i="4"/>
  <c r="Q381" i="4"/>
  <c r="BA230" i="4"/>
  <c r="Q229" i="4"/>
  <c r="P385" i="4"/>
  <c r="AZ385" i="4" s="1"/>
  <c r="AZ234" i="4"/>
  <c r="N385" i="4"/>
  <c r="AY385" i="4" s="1"/>
  <c r="AY234" i="4"/>
  <c r="L385" i="4"/>
  <c r="AX385" i="4" s="1"/>
  <c r="AX234" i="4"/>
  <c r="J385" i="4"/>
  <c r="AW385" i="4" s="1"/>
  <c r="AW234" i="4"/>
  <c r="P383" i="4"/>
  <c r="P281" i="4"/>
  <c r="AZ232" i="4"/>
  <c r="N383" i="4"/>
  <c r="N281" i="4"/>
  <c r="AY232" i="4"/>
  <c r="L383" i="4"/>
  <c r="AX383" i="4" s="1"/>
  <c r="L281" i="4"/>
  <c r="AX232" i="4"/>
  <c r="J383" i="4"/>
  <c r="J281" i="4"/>
  <c r="AW232" i="4"/>
  <c r="G383" i="4"/>
  <c r="G281" i="4"/>
  <c r="C383" i="4"/>
  <c r="C281" i="4"/>
  <c r="E282" i="4"/>
  <c r="D282" i="4"/>
  <c r="F282" i="4"/>
  <c r="AU235" i="4"/>
  <c r="I282" i="4"/>
  <c r="H282" i="4"/>
  <c r="AV235" i="4"/>
  <c r="AW235" i="4"/>
  <c r="J458" i="4"/>
  <c r="J282" i="4"/>
  <c r="J386" i="4"/>
  <c r="M282" i="4"/>
  <c r="L386" i="4"/>
  <c r="AX235" i="4"/>
  <c r="C283" i="4"/>
  <c r="C459" i="4"/>
  <c r="C505" i="4" s="1"/>
  <c r="G387" i="4"/>
  <c r="G459" i="4"/>
  <c r="J459" i="4"/>
  <c r="AW236" i="4"/>
  <c r="K283" i="4"/>
  <c r="J387" i="4"/>
  <c r="J283" i="4"/>
  <c r="L459" i="4"/>
  <c r="AX236" i="4"/>
  <c r="L387" i="4"/>
  <c r="N459" i="4"/>
  <c r="AY236" i="4"/>
  <c r="O283" i="4"/>
  <c r="N283" i="4"/>
  <c r="P459" i="4"/>
  <c r="Q505" i="4" s="1"/>
  <c r="AZ236" i="4"/>
  <c r="Q283" i="4"/>
  <c r="P387" i="4"/>
  <c r="P283" i="4"/>
  <c r="I462" i="4"/>
  <c r="AW462" i="4" s="1"/>
  <c r="J289" i="4"/>
  <c r="I390" i="4"/>
  <c r="AZ243" i="4"/>
  <c r="P289" i="4"/>
  <c r="O289" i="4"/>
  <c r="O390" i="4"/>
  <c r="O462" i="4"/>
  <c r="C463" i="4"/>
  <c r="C391" i="4"/>
  <c r="G463" i="4"/>
  <c r="G391" i="4"/>
  <c r="J463" i="4"/>
  <c r="AW463" i="4" s="1"/>
  <c r="J391" i="4"/>
  <c r="AW244" i="4"/>
  <c r="AX244" i="4"/>
  <c r="L463" i="4"/>
  <c r="AX463" i="4" s="1"/>
  <c r="N391" i="4"/>
  <c r="AY244" i="4"/>
  <c r="N463" i="4"/>
  <c r="AY463" i="4" s="1"/>
  <c r="C290" i="4"/>
  <c r="C392" i="4"/>
  <c r="J392" i="4"/>
  <c r="J290" i="4"/>
  <c r="AW245" i="4"/>
  <c r="AX245" i="4"/>
  <c r="L290" i="4"/>
  <c r="L392" i="4"/>
  <c r="AY245" i="4"/>
  <c r="N392" i="4"/>
  <c r="G249" i="4"/>
  <c r="N249" i="4"/>
  <c r="C470" i="4"/>
  <c r="C294" i="4"/>
  <c r="C398" i="4"/>
  <c r="G293" i="4"/>
  <c r="G470" i="4"/>
  <c r="G398" i="4"/>
  <c r="AW251" i="4"/>
  <c r="J398" i="4"/>
  <c r="AW398" i="4" s="1"/>
  <c r="L470" i="4"/>
  <c r="L398" i="4"/>
  <c r="AX398" i="4" s="1"/>
  <c r="AX251" i="4"/>
  <c r="P470" i="4"/>
  <c r="AZ470" i="4" s="1"/>
  <c r="P293" i="4"/>
  <c r="AZ251" i="4"/>
  <c r="P398" i="4"/>
  <c r="P297" i="4"/>
  <c r="I471" i="4"/>
  <c r="AW471" i="4" s="1"/>
  <c r="AW252" i="4"/>
  <c r="I399" i="4"/>
  <c r="K471" i="4"/>
  <c r="AX252" i="4"/>
  <c r="K399" i="4"/>
  <c r="AX399" i="4" s="1"/>
  <c r="N399" i="4"/>
  <c r="N471" i="4"/>
  <c r="AZ252" i="4"/>
  <c r="P399" i="4"/>
  <c r="P400" i="4"/>
  <c r="Q439" i="4" s="1"/>
  <c r="Q296" i="4"/>
  <c r="C475" i="4"/>
  <c r="AT255" i="4"/>
  <c r="C402" i="4"/>
  <c r="AX255" i="4"/>
  <c r="L475" i="4"/>
  <c r="AX475" i="4" s="1"/>
  <c r="L402" i="4"/>
  <c r="AY255" i="4"/>
  <c r="N475" i="4"/>
  <c r="AY475" i="4" s="1"/>
  <c r="AZ255" i="4"/>
  <c r="P475" i="4"/>
  <c r="AZ475" i="4" s="1"/>
  <c r="P402" i="4"/>
  <c r="O406" i="4"/>
  <c r="AZ406" i="4" s="1"/>
  <c r="AZ259" i="4"/>
  <c r="C413" i="4"/>
  <c r="C276" i="4"/>
  <c r="D276" i="4"/>
  <c r="E413" i="4"/>
  <c r="E276" i="4"/>
  <c r="F276" i="4"/>
  <c r="G413" i="4"/>
  <c r="G276" i="4"/>
  <c r="H276" i="4"/>
  <c r="I413" i="4"/>
  <c r="I276" i="4"/>
  <c r="I290" i="4"/>
  <c r="K413" i="4"/>
  <c r="K276" i="4"/>
  <c r="L276" i="4"/>
  <c r="K290" i="4"/>
  <c r="M276" i="4"/>
  <c r="N276" i="4"/>
  <c r="M413" i="4"/>
  <c r="M290" i="4"/>
  <c r="O413" i="4"/>
  <c r="O276" i="4"/>
  <c r="P276" i="4"/>
  <c r="P418" i="4"/>
  <c r="P269" i="4"/>
  <c r="P416" i="4" s="1"/>
  <c r="AZ271" i="4"/>
  <c r="G494" i="4"/>
  <c r="I494" i="4"/>
  <c r="F691" i="4"/>
  <c r="F183" i="4"/>
  <c r="AU183" i="4" s="1"/>
  <c r="I568" i="4"/>
  <c r="D638" i="4"/>
  <c r="D453" i="4"/>
  <c r="D452" i="4" s="1"/>
  <c r="H234" i="4"/>
  <c r="AV234" i="4" s="1"/>
  <c r="F453" i="4"/>
  <c r="F452" i="4" s="1"/>
  <c r="G499" i="4" s="1"/>
  <c r="F475" i="4"/>
  <c r="AU475" i="4" s="1"/>
  <c r="F458" i="4"/>
  <c r="G504" i="4" s="1"/>
  <c r="D458" i="4"/>
  <c r="E504" i="4" s="1"/>
  <c r="D234" i="4"/>
  <c r="AT234" i="4" s="1"/>
  <c r="H232" i="4"/>
  <c r="H383" i="4" s="1"/>
  <c r="H475" i="4"/>
  <c r="AV475" i="4" s="1"/>
  <c r="D232" i="4"/>
  <c r="D383" i="4" s="1"/>
  <c r="D137" i="4"/>
  <c r="D723" i="4"/>
  <c r="H453" i="4"/>
  <c r="D475" i="4"/>
  <c r="H238" i="4"/>
  <c r="H250" i="4"/>
  <c r="D236" i="4"/>
  <c r="AT236" i="4" s="1"/>
  <c r="AT283" i="4" s="1"/>
  <c r="K494" i="4"/>
  <c r="L569" i="4"/>
  <c r="K233" i="4"/>
  <c r="K384" i="4" s="1"/>
  <c r="K367" i="4"/>
  <c r="K253" i="4"/>
  <c r="K297" i="4" s="1"/>
  <c r="K299" i="4"/>
  <c r="K105" i="4"/>
  <c r="K259" i="4"/>
  <c r="M208" i="4"/>
  <c r="N638" i="4"/>
  <c r="N87" i="4"/>
  <c r="O51" i="4"/>
  <c r="P134" i="4"/>
  <c r="P638" i="4"/>
  <c r="Q356" i="4"/>
  <c r="Q64" i="3"/>
  <c r="BF64" i="3" s="1"/>
  <c r="P19" i="4"/>
  <c r="Q67" i="3" s="1"/>
  <c r="Q243" i="4"/>
  <c r="Q610" i="4"/>
  <c r="Q648" i="4" s="1"/>
  <c r="R358" i="4"/>
  <c r="P386" i="4"/>
  <c r="P358" i="4"/>
  <c r="P317" i="4"/>
  <c r="S63" i="3"/>
  <c r="BG63" i="3" s="1"/>
  <c r="R19" i="4"/>
  <c r="S67" i="3" s="1"/>
  <c r="S64" i="4"/>
  <c r="S76" i="3"/>
  <c r="D14" i="32" s="1"/>
  <c r="D15" i="32" s="1"/>
  <c r="R32" i="4"/>
  <c r="R65" i="4"/>
  <c r="R472" i="4"/>
  <c r="P233" i="4"/>
  <c r="P384" i="4" s="1"/>
  <c r="Q579" i="4"/>
  <c r="R134" i="4"/>
  <c r="M458" i="4"/>
  <c r="N282" i="4"/>
  <c r="P245" i="4"/>
  <c r="AZ245" i="4" s="1"/>
  <c r="J415" i="4"/>
  <c r="AW268" i="4"/>
  <c r="L415" i="4"/>
  <c r="AX268" i="4"/>
  <c r="N415" i="4"/>
  <c r="N298" i="4"/>
  <c r="C417" i="4"/>
  <c r="C492" i="4" s="1"/>
  <c r="C269" i="4"/>
  <c r="I418" i="4"/>
  <c r="I493" i="4" s="1"/>
  <c r="I269" i="4"/>
  <c r="K418" i="4"/>
  <c r="K493" i="4" s="1"/>
  <c r="K269" i="4"/>
  <c r="K416" i="4" s="1"/>
  <c r="M418" i="4"/>
  <c r="M493" i="4" s="1"/>
  <c r="M269" i="4"/>
  <c r="M416" i="4" s="1"/>
  <c r="D419" i="4"/>
  <c r="E281" i="4"/>
  <c r="D279" i="4"/>
  <c r="F419" i="4"/>
  <c r="AU272" i="4"/>
  <c r="AU279" i="4" s="1"/>
  <c r="H419" i="4"/>
  <c r="AV272" i="4"/>
  <c r="J419" i="4"/>
  <c r="J279" i="4"/>
  <c r="K281" i="4"/>
  <c r="L419" i="4"/>
  <c r="L426" i="4" s="1"/>
  <c r="AX272" i="4"/>
  <c r="AX279" i="4" s="1"/>
  <c r="L279" i="4"/>
  <c r="N419" i="4"/>
  <c r="O281" i="4"/>
  <c r="AY272" i="4"/>
  <c r="P419" i="4"/>
  <c r="AZ272" i="4"/>
  <c r="F420" i="4"/>
  <c r="AU273" i="4"/>
  <c r="R453" i="4"/>
  <c r="R173" i="4"/>
  <c r="R439" i="4"/>
  <c r="R64" i="4"/>
  <c r="R216" i="4"/>
  <c r="R488" i="4"/>
  <c r="S508" i="4" s="1"/>
  <c r="BG70" i="3"/>
  <c r="AF7" i="32" s="1"/>
  <c r="BG69" i="3"/>
  <c r="AF5" i="32" s="1"/>
  <c r="BF337" i="3"/>
  <c r="BG132" i="3"/>
  <c r="BG109" i="3" s="1"/>
  <c r="BF45" i="3"/>
  <c r="BD51" i="3"/>
  <c r="E109" i="3"/>
  <c r="E419" i="3"/>
  <c r="E408" i="3" s="1"/>
  <c r="AZ408" i="3" s="1"/>
  <c r="I109" i="3"/>
  <c r="I419" i="3"/>
  <c r="I408" i="3" s="1"/>
  <c r="BB408" i="3" s="1"/>
  <c r="F346" i="3"/>
  <c r="E346" i="3"/>
  <c r="J318" i="3"/>
  <c r="J309" i="3" s="1"/>
  <c r="J576" i="3" s="1"/>
  <c r="K346" i="3"/>
  <c r="AZ354" i="3"/>
  <c r="AZ355" i="3" s="1"/>
  <c r="AZ480" i="3" s="1"/>
  <c r="AZ504" i="3" s="1"/>
  <c r="BI431" i="3"/>
  <c r="BH431" i="3"/>
  <c r="BF570" i="3"/>
  <c r="BG45" i="3"/>
  <c r="BG187" i="3"/>
  <c r="BG209" i="3" s="1"/>
  <c r="BG219" i="3" s="1"/>
  <c r="BG51" i="3"/>
  <c r="BF187" i="3"/>
  <c r="BF46" i="3" s="1"/>
  <c r="BF132" i="3"/>
  <c r="BF109" i="3" s="1"/>
  <c r="P219" i="3"/>
  <c r="BE314" i="3"/>
  <c r="BE569" i="3" s="1"/>
  <c r="BE51" i="3"/>
  <c r="BG41" i="3"/>
  <c r="BG43" i="3" s="1"/>
  <c r="BD45" i="3"/>
  <c r="BD302" i="3"/>
  <c r="BD570" i="3"/>
  <c r="M109" i="3"/>
  <c r="E2" i="3"/>
  <c r="BC85" i="3"/>
  <c r="BH191" i="3"/>
  <c r="BH157" i="3"/>
  <c r="BH250" i="3"/>
  <c r="AZ318" i="3"/>
  <c r="J346" i="3"/>
  <c r="BC337" i="3"/>
  <c r="I251" i="3"/>
  <c r="BB251" i="3" s="1"/>
  <c r="G346" i="3"/>
  <c r="AZ161" i="3"/>
  <c r="BA313" i="3"/>
  <c r="BA141" i="3"/>
  <c r="E251" i="3"/>
  <c r="AZ251" i="3" s="1"/>
  <c r="E318" i="3"/>
  <c r="E309" i="3" s="1"/>
  <c r="E576" i="3" s="1"/>
  <c r="I50" i="3"/>
  <c r="I242" i="3"/>
  <c r="BB222" i="3"/>
  <c r="BB50" i="3" s="1"/>
  <c r="K53" i="3"/>
  <c r="BC228" i="3"/>
  <c r="BC53" i="3" s="1"/>
  <c r="E281" i="3"/>
  <c r="AZ281" i="3" s="1"/>
  <c r="AZ279" i="3"/>
  <c r="G281" i="3"/>
  <c r="BA279" i="3"/>
  <c r="I281" i="3"/>
  <c r="BB281" i="3" s="1"/>
  <c r="BB279" i="3"/>
  <c r="K281" i="3"/>
  <c r="K348" i="3" s="1"/>
  <c r="BC279" i="3"/>
  <c r="H318" i="3"/>
  <c r="H309" i="3" s="1"/>
  <c r="H576" i="3" s="1"/>
  <c r="I346" i="3"/>
  <c r="N346" i="3"/>
  <c r="M346" i="3"/>
  <c r="AZ45" i="3"/>
  <c r="AZ570" i="3"/>
  <c r="AW318" i="3"/>
  <c r="AW346" i="3"/>
  <c r="BI427" i="3"/>
  <c r="AW54" i="4"/>
  <c r="O276" i="3"/>
  <c r="O575" i="3" s="1"/>
  <c r="O577" i="3" s="1"/>
  <c r="O55" i="3"/>
  <c r="O49" i="3"/>
  <c r="O574" i="3" s="1"/>
  <c r="K46" i="3"/>
  <c r="F46" i="3"/>
  <c r="BA228" i="3"/>
  <c r="AZ223" i="3"/>
  <c r="AZ225" i="3"/>
  <c r="AZ51" i="3" s="1"/>
  <c r="AU502" i="3"/>
  <c r="H502" i="3"/>
  <c r="AW128" i="4"/>
  <c r="AW212" i="4"/>
  <c r="AW135" i="4"/>
  <c r="AW210" i="4"/>
  <c r="AW719" i="4"/>
  <c r="AX346" i="3"/>
  <c r="AX109" i="3"/>
  <c r="AV346" i="3"/>
  <c r="AU561" i="3"/>
  <c r="AU563" i="3" s="1"/>
  <c r="AU22" i="3" s="1"/>
  <c r="Q242" i="3"/>
  <c r="Q51" i="3"/>
  <c r="R51" i="3"/>
  <c r="R46" i="3"/>
  <c r="N479" i="3"/>
  <c r="N503" i="3" s="1"/>
  <c r="M51" i="3"/>
  <c r="N348" i="3"/>
  <c r="BD281" i="3"/>
  <c r="BI39" i="3"/>
  <c r="S276" i="3"/>
  <c r="S575" i="3" s="1"/>
  <c r="S49" i="3"/>
  <c r="S574" i="3" s="1"/>
  <c r="BB453" i="3"/>
  <c r="I461" i="3"/>
  <c r="BB461" i="3" s="1"/>
  <c r="F198" i="3"/>
  <c r="F219" i="3"/>
  <c r="BB51" i="3"/>
  <c r="J276" i="3"/>
  <c r="J575" i="3" s="1"/>
  <c r="J49" i="3"/>
  <c r="J574" i="3" s="1"/>
  <c r="M49" i="3"/>
  <c r="M574" i="3" s="1"/>
  <c r="M276" i="3"/>
  <c r="M575" i="3" s="1"/>
  <c r="O39" i="3"/>
  <c r="P55" i="3"/>
  <c r="P46" i="3"/>
  <c r="BH323" i="3"/>
  <c r="BH196" i="3"/>
  <c r="BH246" i="3"/>
  <c r="BH447" i="3"/>
  <c r="BH119" i="3"/>
  <c r="BH174" i="3"/>
  <c r="BH175" i="3"/>
  <c r="BH117" i="3"/>
  <c r="BI317" i="3"/>
  <c r="BE502" i="3"/>
  <c r="I198" i="3"/>
  <c r="BB198" i="3" s="1"/>
  <c r="G198" i="3"/>
  <c r="BA198" i="3" s="1"/>
  <c r="BH452" i="3"/>
  <c r="BH433" i="3"/>
  <c r="BH432" i="3"/>
  <c r="O51" i="3"/>
  <c r="BK342" i="3"/>
  <c r="BK344" i="3"/>
  <c r="BC272" i="4"/>
  <c r="J452" i="4"/>
  <c r="BC183" i="4"/>
  <c r="BB413" i="4"/>
  <c r="BB423" i="4" s="1"/>
  <c r="AT423" i="4"/>
  <c r="J495" i="4"/>
  <c r="AW495" i="4" s="1"/>
  <c r="AW420" i="4"/>
  <c r="N495" i="4"/>
  <c r="AY495" i="4" s="1"/>
  <c r="AY420" i="4"/>
  <c r="BA417" i="4"/>
  <c r="R492" i="4"/>
  <c r="BA492" i="4" s="1"/>
  <c r="BA79" i="3"/>
  <c r="BB454" i="4"/>
  <c r="BB159" i="4"/>
  <c r="BB120" i="4"/>
  <c r="BB672" i="4"/>
  <c r="BB716" i="4" s="1"/>
  <c r="AZ126" i="4"/>
  <c r="BD190" i="4"/>
  <c r="AT200" i="4"/>
  <c r="BB317" i="4"/>
  <c r="BB391" i="4"/>
  <c r="L293" i="4"/>
  <c r="J293" i="4"/>
  <c r="R386" i="4"/>
  <c r="BB183" i="4"/>
  <c r="BA423" i="4"/>
  <c r="AX630" i="4"/>
  <c r="M639" i="4"/>
  <c r="L579" i="4"/>
  <c r="AX673" i="4"/>
  <c r="BC80" i="3"/>
  <c r="M492" i="4"/>
  <c r="O492" i="4"/>
  <c r="Q492" i="4"/>
  <c r="AT49" i="4"/>
  <c r="BB116" i="4"/>
  <c r="BB684" i="4"/>
  <c r="BD320" i="4"/>
  <c r="AT203" i="4"/>
  <c r="AZ355" i="4"/>
  <c r="BA357" i="4"/>
  <c r="BB319" i="4"/>
  <c r="AH157" i="28" s="1"/>
  <c r="AH76" i="28" s="1"/>
  <c r="BB475" i="4"/>
  <c r="L211" i="4"/>
  <c r="BA59" i="4"/>
  <c r="BA369" i="4"/>
  <c r="BA141" i="4"/>
  <c r="BA218" i="4"/>
  <c r="BA138" i="4"/>
  <c r="BA298" i="4"/>
  <c r="AZ652" i="4"/>
  <c r="AZ218" i="4"/>
  <c r="BC259" i="4"/>
  <c r="AZ647" i="4"/>
  <c r="N211" i="4"/>
  <c r="O717" i="4"/>
  <c r="AY569" i="4"/>
  <c r="L641" i="4"/>
  <c r="L639" i="4"/>
  <c r="AT718" i="4"/>
  <c r="AY133" i="4"/>
  <c r="BB112" i="4"/>
  <c r="BB123" i="4" s="1"/>
  <c r="BA123" i="4"/>
  <c r="BA354" i="4"/>
  <c r="O78" i="4"/>
  <c r="AX138" i="4"/>
  <c r="K51" i="4"/>
  <c r="BC65" i="3"/>
  <c r="BC75" i="3"/>
  <c r="BC78" i="3"/>
  <c r="BA711" i="4"/>
  <c r="BB80" i="3"/>
  <c r="BA80" i="3"/>
  <c r="BA52" i="4"/>
  <c r="AT52" i="4"/>
  <c r="BB17" i="4"/>
  <c r="BB55" i="4" s="1"/>
  <c r="BB196" i="4"/>
  <c r="BB203" i="4" s="1"/>
  <c r="BB316" i="4"/>
  <c r="BB359" i="4" s="1"/>
  <c r="BC314" i="4"/>
  <c r="BB456" i="4"/>
  <c r="BC313" i="4"/>
  <c r="BB313" i="4"/>
  <c r="BB384" i="4"/>
  <c r="BB312" i="4"/>
  <c r="BB671" i="4"/>
  <c r="BB715" i="4" s="1"/>
  <c r="E19" i="4"/>
  <c r="I19" i="4"/>
  <c r="I231" i="4"/>
  <c r="BA66" i="3"/>
  <c r="BB176" i="4"/>
  <c r="BA132" i="4"/>
  <c r="AZ56" i="4"/>
  <c r="BA716" i="4"/>
  <c r="AZ129" i="4"/>
  <c r="AY423" i="4"/>
  <c r="BB165" i="4"/>
  <c r="BB320" i="4"/>
  <c r="BA209" i="4"/>
  <c r="AY642" i="4"/>
  <c r="E231" i="4"/>
  <c r="BD65" i="3"/>
  <c r="BC349" i="4"/>
  <c r="C233" i="4"/>
  <c r="D31" i="4"/>
  <c r="E64" i="4" s="1"/>
  <c r="D582" i="4"/>
  <c r="H358" i="4"/>
  <c r="F646" i="4"/>
  <c r="D578" i="4"/>
  <c r="F234" i="4"/>
  <c r="F385" i="4" s="1"/>
  <c r="AU385" i="4" s="1"/>
  <c r="D250" i="4"/>
  <c r="K615" i="4"/>
  <c r="K617" i="4" s="1"/>
  <c r="K593" i="4" s="1"/>
  <c r="K530" i="4"/>
  <c r="L126" i="4"/>
  <c r="L354" i="4"/>
  <c r="K585" i="4"/>
  <c r="L584" i="4"/>
  <c r="L65" i="4"/>
  <c r="M379" i="4"/>
  <c r="M126" i="4"/>
  <c r="N646" i="4"/>
  <c r="Q32" i="4"/>
  <c r="T500" i="3"/>
  <c r="T471" i="3"/>
  <c r="T498" i="3" s="1"/>
  <c r="M19" i="4"/>
  <c r="N67" i="3" s="1"/>
  <c r="N64" i="3"/>
  <c r="BE64" i="3" s="1"/>
  <c r="N51" i="4"/>
  <c r="O126" i="4"/>
  <c r="P530" i="4"/>
  <c r="BG65" i="3"/>
  <c r="T470" i="3"/>
  <c r="T497" i="3" s="1"/>
  <c r="T499" i="3"/>
  <c r="BC476" i="4"/>
  <c r="BC413" i="4"/>
  <c r="BC687" i="4"/>
  <c r="AZ42" i="4"/>
  <c r="Q51" i="4"/>
  <c r="BA367" i="4"/>
  <c r="AZ366" i="4"/>
  <c r="N588" i="4"/>
  <c r="O211" i="4"/>
  <c r="L363" i="4"/>
  <c r="AY139" i="4"/>
  <c r="M79" i="4"/>
  <c r="N124" i="4" s="1"/>
  <c r="L79" i="4"/>
  <c r="L124" i="4" s="1"/>
  <c r="AY354" i="4"/>
  <c r="L36" i="4"/>
  <c r="BC69" i="3"/>
  <c r="BC70" i="3"/>
  <c r="F565" i="3"/>
  <c r="AZ385" i="3"/>
  <c r="BB476" i="4"/>
  <c r="BB85" i="4"/>
  <c r="BB129" i="4" s="1"/>
  <c r="AT712" i="4"/>
  <c r="BB348" i="4"/>
  <c r="BB86" i="4"/>
  <c r="BB130" i="4" s="1"/>
  <c r="BB101" i="4"/>
  <c r="AZ207" i="4"/>
  <c r="BB406" i="4"/>
  <c r="AY532" i="3"/>
  <c r="K10" i="4"/>
  <c r="L60" i="3" s="1"/>
  <c r="L156" i="4"/>
  <c r="M156" i="4" s="1"/>
  <c r="N156" i="4" s="1"/>
  <c r="AT245" i="4"/>
  <c r="D392" i="4"/>
  <c r="D290" i="4"/>
  <c r="C231" i="4"/>
  <c r="N400" i="4"/>
  <c r="N297" i="4"/>
  <c r="N472" i="4"/>
  <c r="N254" i="4"/>
  <c r="N256" i="4" s="1"/>
  <c r="N225" i="4" s="1"/>
  <c r="AY259" i="4"/>
  <c r="N406" i="4"/>
  <c r="AY406" i="4" s="1"/>
  <c r="P593" i="4"/>
  <c r="P618" i="4"/>
  <c r="BE69" i="3"/>
  <c r="BE66" i="3"/>
  <c r="BE65" i="3"/>
  <c r="P65" i="4"/>
  <c r="Q64" i="4"/>
  <c r="P568" i="4"/>
  <c r="BD70" i="3"/>
  <c r="BB233" i="4"/>
  <c r="Q568" i="4"/>
  <c r="P229" i="4"/>
  <c r="BG72" i="3"/>
  <c r="AF9" i="32" s="1"/>
  <c r="S60" i="4"/>
  <c r="S204" i="4"/>
  <c r="S202" i="4"/>
  <c r="S289" i="4"/>
  <c r="S281" i="4"/>
  <c r="S279" i="4"/>
  <c r="P462" i="4"/>
  <c r="N293" i="4"/>
  <c r="R76" i="3"/>
  <c r="C14" i="32" s="1"/>
  <c r="C15" i="32" s="1"/>
  <c r="S713" i="4"/>
  <c r="S711" i="4"/>
  <c r="R419" i="4"/>
  <c r="S356" i="4"/>
  <c r="S354" i="4"/>
  <c r="S423" i="4"/>
  <c r="S433" i="4"/>
  <c r="BI139" i="3"/>
  <c r="BG337" i="3"/>
  <c r="BF314" i="3"/>
  <c r="BF568" i="3"/>
  <c r="BF25" i="3" s="1"/>
  <c r="BE568" i="3"/>
  <c r="BE25" i="3" s="1"/>
  <c r="AX40" i="4"/>
  <c r="C3" i="4"/>
  <c r="BH249" i="3"/>
  <c r="BH229" i="3"/>
  <c r="BH172" i="3"/>
  <c r="BH195" i="3"/>
  <c r="BH136" i="3"/>
  <c r="AW72" i="3"/>
  <c r="AW73" i="3" s="1"/>
  <c r="L309" i="3"/>
  <c r="L576" i="3" s="1"/>
  <c r="L55" i="3"/>
  <c r="J419" i="3"/>
  <c r="J408" i="3" s="1"/>
  <c r="J109" i="3"/>
  <c r="BH451" i="3"/>
  <c r="N462" i="3"/>
  <c r="BD391" i="3"/>
  <c r="BD462" i="3" s="1"/>
  <c r="F542" i="3"/>
  <c r="E543" i="3"/>
  <c r="N109" i="3"/>
  <c r="N419" i="3"/>
  <c r="N408" i="3" s="1"/>
  <c r="S348" i="3"/>
  <c r="G124" i="4"/>
  <c r="F568" i="4"/>
  <c r="G568" i="4"/>
  <c r="J568" i="4"/>
  <c r="G638" i="4"/>
  <c r="J353" i="4"/>
  <c r="AX219" i="3"/>
  <c r="AY346" i="3"/>
  <c r="AZ544" i="3"/>
  <c r="F544" i="3"/>
  <c r="G544" i="3" s="1"/>
  <c r="M348" i="3"/>
  <c r="N55" i="3"/>
  <c r="N50" i="3"/>
  <c r="O346" i="3"/>
  <c r="O198" i="3"/>
  <c r="BE198" i="3" s="1"/>
  <c r="O219" i="3"/>
  <c r="Q49" i="3"/>
  <c r="Q574" i="3" s="1"/>
  <c r="Q55" i="3"/>
  <c r="R55" i="3"/>
  <c r="R49" i="3"/>
  <c r="R574" i="3" s="1"/>
  <c r="S209" i="3"/>
  <c r="S198" i="3" s="1"/>
  <c r="BG198" i="3" s="1"/>
  <c r="S346" i="3"/>
  <c r="S502" i="3"/>
  <c r="S46" i="3"/>
  <c r="E322" i="14"/>
  <c r="E326" i="14"/>
  <c r="P242" i="3"/>
  <c r="O568" i="4"/>
  <c r="O638" i="4"/>
  <c r="Q638" i="4"/>
  <c r="Q109" i="3"/>
  <c r="S109" i="3"/>
  <c r="S318" i="3"/>
  <c r="S309" i="3" s="1"/>
  <c r="S576" i="3" s="1"/>
  <c r="BF63" i="3"/>
  <c r="K489" i="4"/>
  <c r="BC79" i="3"/>
  <c r="BB385" i="3"/>
  <c r="BC384" i="3"/>
  <c r="BC385" i="3"/>
  <c r="K565" i="3"/>
  <c r="BA62" i="3"/>
  <c r="BB62" i="3"/>
  <c r="F96" i="3"/>
  <c r="BA96" i="3" s="1"/>
  <c r="BA82" i="3"/>
  <c r="H96" i="3"/>
  <c r="BB96" i="3" s="1"/>
  <c r="BB82" i="3"/>
  <c r="E124" i="4"/>
  <c r="F124" i="4"/>
  <c r="I124" i="4"/>
  <c r="J124" i="4"/>
  <c r="E638" i="4"/>
  <c r="F638" i="4"/>
  <c r="I638" i="4"/>
  <c r="J638" i="4"/>
  <c r="AT649" i="4"/>
  <c r="AV719" i="4"/>
  <c r="AV210" i="4"/>
  <c r="AV61" i="4"/>
  <c r="AV135" i="4"/>
  <c r="AV721" i="4"/>
  <c r="AV364" i="4"/>
  <c r="AZ364" i="4"/>
  <c r="AZ649" i="4"/>
  <c r="AZ54" i="4"/>
  <c r="AZ721" i="4"/>
  <c r="L96" i="3"/>
  <c r="K353" i="4"/>
  <c r="BD74" i="3"/>
  <c r="BD78" i="3"/>
  <c r="M82" i="3"/>
  <c r="M96" i="3" s="1"/>
  <c r="O82" i="3"/>
  <c r="BF75" i="3"/>
  <c r="N489" i="4"/>
  <c r="S82" i="3"/>
  <c r="S96" i="3" s="1"/>
  <c r="S565" i="3"/>
  <c r="AT590" i="4"/>
  <c r="AZ61" i="4"/>
  <c r="AZ138" i="4"/>
  <c r="BF62" i="3"/>
  <c r="BE74" i="3"/>
  <c r="M638" i="4"/>
  <c r="L568" i="4"/>
  <c r="AY40" i="4"/>
  <c r="AZ724" i="4"/>
  <c r="AZ135" i="4"/>
  <c r="BF65" i="3"/>
  <c r="BC62" i="3"/>
  <c r="BE80" i="3"/>
  <c r="BD80" i="3"/>
  <c r="K82" i="3"/>
  <c r="D565" i="3"/>
  <c r="G565" i="3"/>
  <c r="G8" i="8"/>
  <c r="BA74" i="3"/>
  <c r="AZ78" i="3"/>
  <c r="E82" i="3"/>
  <c r="E96" i="3" s="1"/>
  <c r="AZ96" i="3" s="1"/>
  <c r="AZ80" i="3"/>
  <c r="AV54" i="4"/>
  <c r="H638" i="4"/>
  <c r="H568" i="4"/>
  <c r="H124" i="4"/>
  <c r="E568" i="4"/>
  <c r="AT719" i="4"/>
  <c r="C489" i="4"/>
  <c r="BD75" i="3"/>
  <c r="AX580" i="4"/>
  <c r="AX721" i="4"/>
  <c r="AX215" i="4"/>
  <c r="AX719" i="4"/>
  <c r="BE70" i="3"/>
  <c r="BE75" i="3"/>
  <c r="BE79" i="3"/>
  <c r="Q82" i="3"/>
  <c r="R82" i="3"/>
  <c r="BG80" i="3"/>
  <c r="BG79" i="3"/>
  <c r="AF19" i="32" s="1"/>
  <c r="BG75" i="3"/>
  <c r="AF13" i="32" s="1"/>
  <c r="K568" i="4"/>
  <c r="K638" i="4"/>
  <c r="N568" i="4"/>
  <c r="S562" i="3"/>
  <c r="E338" i="14"/>
  <c r="E337" i="14"/>
  <c r="E265" i="14"/>
  <c r="E9" i="6"/>
  <c r="J8" i="8"/>
  <c r="G8" i="6"/>
  <c r="BB252" i="4"/>
  <c r="BB242" i="4"/>
  <c r="BA40" i="4"/>
  <c r="AZ40" i="4"/>
  <c r="P489" i="4"/>
  <c r="BC269" i="4"/>
  <c r="BC278" i="4" s="1"/>
  <c r="AB19" i="9"/>
  <c r="AA14" i="9" s="1"/>
  <c r="BI405" i="3"/>
  <c r="BI387" i="3"/>
  <c r="BI429" i="3"/>
  <c r="BI432" i="3"/>
  <c r="BI433" i="3"/>
  <c r="BI538" i="3"/>
  <c r="BI465" i="3"/>
  <c r="BJ540" i="3"/>
  <c r="BI541" i="3"/>
  <c r="BI540" i="3"/>
  <c r="BH326" i="3"/>
  <c r="BI326" i="3"/>
  <c r="BH430" i="3"/>
  <c r="BH286" i="3"/>
  <c r="BI285" i="3"/>
  <c r="BI291" i="3"/>
  <c r="BI286" i="3"/>
  <c r="BH285" i="3"/>
  <c r="R198" i="3"/>
  <c r="R219" i="3"/>
  <c r="BI194" i="3"/>
  <c r="BI191" i="3"/>
  <c r="BI172" i="3"/>
  <c r="BH198" i="3"/>
  <c r="BI198" i="3"/>
  <c r="BI195" i="3"/>
  <c r="BI175" i="3"/>
  <c r="BI453" i="3"/>
  <c r="BI136" i="3"/>
  <c r="BI117" i="3"/>
  <c r="BI229" i="3"/>
  <c r="BH230" i="3"/>
  <c r="BB193" i="4"/>
  <c r="BH448" i="3"/>
  <c r="BH158" i="3"/>
  <c r="BH120" i="3"/>
  <c r="BH140" i="3"/>
  <c r="AT202" i="4"/>
  <c r="BI106" i="3"/>
  <c r="BC480" i="4"/>
  <c r="BC458" i="4"/>
  <c r="BC462" i="4"/>
  <c r="BB46" i="4"/>
  <c r="BH537" i="3" s="1"/>
  <c r="BB495" i="4"/>
  <c r="BB463" i="4"/>
  <c r="BB455" i="4"/>
  <c r="BB471" i="4"/>
  <c r="BB457" i="4"/>
  <c r="BB259" i="4"/>
  <c r="BB383" i="4"/>
  <c r="BB335" i="4"/>
  <c r="BB402" i="4"/>
  <c r="BC233" i="4"/>
  <c r="BC273" i="4"/>
  <c r="BB271" i="4"/>
  <c r="BC244" i="4"/>
  <c r="BB244" i="4"/>
  <c r="BC243" i="4"/>
  <c r="BC232" i="4"/>
  <c r="BC234" i="4"/>
  <c r="BC197" i="4"/>
  <c r="BB488" i="4"/>
  <c r="BB162" i="4"/>
  <c r="BB18" i="4"/>
  <c r="BB56" i="4" s="1"/>
  <c r="BC163" i="4"/>
  <c r="BC165" i="4"/>
  <c r="BC160" i="4"/>
  <c r="BB160" i="4"/>
  <c r="BB179" i="4"/>
  <c r="BC161" i="4"/>
  <c r="BB698" i="4"/>
  <c r="BB709" i="4" s="1"/>
  <c r="BB39" i="4"/>
  <c r="BB49" i="4" s="1"/>
  <c r="BB703" i="4"/>
  <c r="BB691" i="4"/>
  <c r="AT709" i="4"/>
  <c r="BC673" i="4"/>
  <c r="BB21" i="4"/>
  <c r="W458" i="4"/>
  <c r="X504" i="4" s="1"/>
  <c r="W463" i="4"/>
  <c r="BC676" i="4"/>
  <c r="BB673" i="4"/>
  <c r="BB675" i="4"/>
  <c r="BB718" i="4" s="1"/>
  <c r="BD687" i="4"/>
  <c r="BB45" i="4"/>
  <c r="BB52" i="4" s="1"/>
  <c r="BB492" i="4"/>
  <c r="BB118" i="4"/>
  <c r="BD90" i="4"/>
  <c r="BH69" i="3"/>
  <c r="AG5" i="32" s="1"/>
  <c r="R231" i="4"/>
  <c r="R60" i="4"/>
  <c r="G10" i="8"/>
  <c r="BB315" i="4"/>
  <c r="AH159" i="28" s="1"/>
  <c r="AH87" i="28" s="1"/>
  <c r="P10" i="9"/>
  <c r="R8" i="9"/>
  <c r="S8" i="9" s="1"/>
  <c r="Q10" i="9"/>
  <c r="U9" i="9"/>
  <c r="X7" i="9"/>
  <c r="BG532" i="3" l="1"/>
  <c r="AF12" i="32"/>
  <c r="E106" i="28"/>
  <c r="BB58" i="4"/>
  <c r="AV564" i="3"/>
  <c r="AV26" i="3" s="1"/>
  <c r="AZ292" i="4"/>
  <c r="AW561" i="3"/>
  <c r="AW563" i="3" s="1"/>
  <c r="AW22" i="3" s="1"/>
  <c r="BA173" i="4"/>
  <c r="AY292" i="4"/>
  <c r="AG26" i="28"/>
  <c r="AG25" i="28"/>
  <c r="D107" i="28"/>
  <c r="D106" i="28"/>
  <c r="D42" i="28"/>
  <c r="D41" i="28"/>
  <c r="D90" i="28"/>
  <c r="D89" i="28"/>
  <c r="AH79" i="28"/>
  <c r="AH78" i="28"/>
  <c r="AG41" i="28"/>
  <c r="AG42" i="28"/>
  <c r="AH90" i="28"/>
  <c r="AH89" i="28"/>
  <c r="AG90" i="28"/>
  <c r="AG89" i="28"/>
  <c r="AG107" i="28"/>
  <c r="AG106" i="28"/>
  <c r="D78" i="28"/>
  <c r="D79" i="28"/>
  <c r="Q534" i="4"/>
  <c r="BG562" i="3"/>
  <c r="BG564" i="3" s="1"/>
  <c r="BG26" i="3" s="1"/>
  <c r="AY564" i="3"/>
  <c r="AY26" i="3" s="1"/>
  <c r="E163" i="28"/>
  <c r="E98" i="28" s="1"/>
  <c r="BB288" i="4"/>
  <c r="AH151" i="28"/>
  <c r="AH55" i="28" s="1"/>
  <c r="Q452" i="4"/>
  <c r="Q499" i="4" s="1"/>
  <c r="AG20" i="28"/>
  <c r="AG21" i="28"/>
  <c r="BC289" i="4"/>
  <c r="AI152" i="28"/>
  <c r="AI60" i="28" s="1"/>
  <c r="BA361" i="4"/>
  <c r="AG157" i="28"/>
  <c r="AG76" i="28" s="1"/>
  <c r="Q249" i="4"/>
  <c r="Q468" i="4" s="1"/>
  <c r="D152" i="28"/>
  <c r="D60" i="28" s="1"/>
  <c r="AX561" i="3"/>
  <c r="AX563" i="3" s="1"/>
  <c r="AX22" i="3" s="1"/>
  <c r="K562" i="3"/>
  <c r="K561" i="3" s="1"/>
  <c r="E1" i="4"/>
  <c r="J562" i="3"/>
  <c r="J561" i="3" s="1"/>
  <c r="N562" i="3"/>
  <c r="N561" i="3" s="1"/>
  <c r="P562" i="3"/>
  <c r="P561" i="3" s="1"/>
  <c r="O562" i="3"/>
  <c r="O561" i="3" s="1"/>
  <c r="Q562" i="3"/>
  <c r="Q561" i="3" s="1"/>
  <c r="L562" i="3"/>
  <c r="L561" i="3" s="1"/>
  <c r="D2" i="4"/>
  <c r="P355" i="3"/>
  <c r="P480" i="3" s="1"/>
  <c r="P504" i="3" s="1"/>
  <c r="R348" i="3"/>
  <c r="BG348" i="3" s="1"/>
  <c r="Q348" i="3"/>
  <c r="BF348" i="3" s="1"/>
  <c r="AW326" i="4"/>
  <c r="AW330" i="4" s="1"/>
  <c r="AW332" i="4" s="1"/>
  <c r="AW305" i="4" s="1"/>
  <c r="AZ565" i="3"/>
  <c r="AZ566" i="3"/>
  <c r="AZ23" i="3" s="1"/>
  <c r="J305" i="4"/>
  <c r="K305" i="4"/>
  <c r="AV49" i="3"/>
  <c r="AV574" i="3" s="1"/>
  <c r="BG346" i="3"/>
  <c r="AW174" i="4"/>
  <c r="BB200" i="4"/>
  <c r="D276" i="3"/>
  <c r="D575" i="3" s="1"/>
  <c r="D577" i="3" s="1"/>
  <c r="AZ211" i="4"/>
  <c r="AY174" i="4"/>
  <c r="AY219" i="4" s="1"/>
  <c r="AZ210" i="4"/>
  <c r="BD565" i="3"/>
  <c r="H46" i="3"/>
  <c r="BE566" i="3"/>
  <c r="BE23" i="3" s="1"/>
  <c r="BE565" i="3"/>
  <c r="J46" i="3"/>
  <c r="BA337" i="3"/>
  <c r="BA309" i="3" s="1"/>
  <c r="BA576" i="3" s="1"/>
  <c r="BD567" i="3"/>
  <c r="BD24" i="3" s="1"/>
  <c r="BA302" i="3"/>
  <c r="O72" i="3"/>
  <c r="BE72" i="3" s="1"/>
  <c r="AT23" i="4"/>
  <c r="AT59" i="4" s="1"/>
  <c r="E71" i="3"/>
  <c r="E562" i="3" s="1"/>
  <c r="E561" i="3" s="1"/>
  <c r="AZ561" i="3" s="1"/>
  <c r="AZ563" i="3" s="1"/>
  <c r="AZ22" i="3" s="1"/>
  <c r="AZ64" i="4"/>
  <c r="D464" i="4"/>
  <c r="D508" i="4" s="1"/>
  <c r="AX326" i="4"/>
  <c r="AX368" i="4" s="1"/>
  <c r="AV95" i="4"/>
  <c r="Q363" i="4"/>
  <c r="BA325" i="4"/>
  <c r="BB363" i="4" s="1"/>
  <c r="AT173" i="4"/>
  <c r="AT211" i="4" s="1"/>
  <c r="AU325" i="4"/>
  <c r="G396" i="4"/>
  <c r="AT95" i="4"/>
  <c r="AT134" i="4" s="1"/>
  <c r="M396" i="4"/>
  <c r="AY249" i="4"/>
  <c r="AU720" i="4"/>
  <c r="AT681" i="4"/>
  <c r="AT720" i="4" s="1"/>
  <c r="AY325" i="4"/>
  <c r="AY326" i="4" s="1"/>
  <c r="AV720" i="4"/>
  <c r="AW249" i="4"/>
  <c r="AV173" i="4"/>
  <c r="AW211" i="4" s="1"/>
  <c r="AU173" i="4"/>
  <c r="AT325" i="4"/>
  <c r="AT363" i="4" s="1"/>
  <c r="I55" i="3"/>
  <c r="I49" i="3"/>
  <c r="I574" i="3" s="1"/>
  <c r="H219" i="3"/>
  <c r="BF566" i="3"/>
  <c r="BF23" i="3" s="1"/>
  <c r="D242" i="3"/>
  <c r="E198" i="3"/>
  <c r="AZ198" i="3" s="1"/>
  <c r="BF565" i="3"/>
  <c r="K72" i="3"/>
  <c r="BC72" i="3" s="1"/>
  <c r="BA64" i="4"/>
  <c r="AW399" i="4"/>
  <c r="BA290" i="4"/>
  <c r="Q72" i="3"/>
  <c r="BA402" i="4"/>
  <c r="D233" i="4"/>
  <c r="D384" i="4" s="1"/>
  <c r="D530" i="4"/>
  <c r="AT530" i="4" s="1"/>
  <c r="AT572" i="4" s="1"/>
  <c r="AU56" i="4"/>
  <c r="H27" i="4"/>
  <c r="AV27" i="4" s="1"/>
  <c r="F27" i="4"/>
  <c r="G60" i="4" s="1"/>
  <c r="R363" i="4"/>
  <c r="AU402" i="4"/>
  <c r="BA566" i="3"/>
  <c r="BA23" i="3" s="1"/>
  <c r="L577" i="3"/>
  <c r="AW292" i="4"/>
  <c r="AX292" i="4"/>
  <c r="D87" i="4"/>
  <c r="E131" i="4" s="1"/>
  <c r="R355" i="3"/>
  <c r="R480" i="3" s="1"/>
  <c r="R504" i="3" s="1"/>
  <c r="H242" i="3"/>
  <c r="E33" i="3"/>
  <c r="E356" i="3" s="1"/>
  <c r="E357" i="3" s="1"/>
  <c r="E481" i="3" s="1"/>
  <c r="E505" i="3" s="1"/>
  <c r="AX76" i="3"/>
  <c r="AX77" i="3" s="1"/>
  <c r="AZ571" i="3"/>
  <c r="L242" i="3"/>
  <c r="BH52" i="3"/>
  <c r="BA41" i="3"/>
  <c r="BA43" i="3" s="1"/>
  <c r="D46" i="3"/>
  <c r="BB41" i="3"/>
  <c r="BB43" i="3" s="1"/>
  <c r="BD43" i="3"/>
  <c r="F54" i="3"/>
  <c r="G348" i="3"/>
  <c r="BF87" i="3"/>
  <c r="AZ215" i="4"/>
  <c r="AY276" i="4"/>
  <c r="AY276" i="3"/>
  <c r="AY575" i="3" s="1"/>
  <c r="AY577" i="3" s="1"/>
  <c r="H276" i="3"/>
  <c r="H575" i="3" s="1"/>
  <c r="H577" i="3" s="1"/>
  <c r="H54" i="3"/>
  <c r="BD242" i="3"/>
  <c r="BC569" i="3"/>
  <c r="D219" i="3"/>
  <c r="G55" i="3"/>
  <c r="AV276" i="3"/>
  <c r="AV575" i="3" s="1"/>
  <c r="AV577" i="3" s="1"/>
  <c r="BE309" i="3"/>
  <c r="BE576" i="3" s="1"/>
  <c r="BE282" i="3"/>
  <c r="BE304" i="3" s="1"/>
  <c r="AW348" i="3"/>
  <c r="BG344" i="3"/>
  <c r="J219" i="3"/>
  <c r="BG242" i="3"/>
  <c r="AX528" i="3"/>
  <c r="BE348" i="3"/>
  <c r="BB54" i="3"/>
  <c r="AM370" i="4"/>
  <c r="AM299" i="4"/>
  <c r="L219" i="3"/>
  <c r="G419" i="3"/>
  <c r="G408" i="3" s="1"/>
  <c r="BA408" i="3" s="1"/>
  <c r="BA419" i="3" s="1"/>
  <c r="AW49" i="3"/>
  <c r="AW574" i="3" s="1"/>
  <c r="BC567" i="3"/>
  <c r="BC24" i="3" s="1"/>
  <c r="BC565" i="3"/>
  <c r="AZ208" i="4"/>
  <c r="D419" i="3"/>
  <c r="D408" i="3" s="1"/>
  <c r="BA219" i="3"/>
  <c r="BB566" i="3"/>
  <c r="BB23" i="3" s="1"/>
  <c r="AY367" i="4"/>
  <c r="AZ381" i="4"/>
  <c r="BA435" i="4"/>
  <c r="AU13" i="4"/>
  <c r="AU53" i="4" s="1"/>
  <c r="AZ648" i="4"/>
  <c r="E5" i="3"/>
  <c r="BB361" i="4"/>
  <c r="F368" i="4"/>
  <c r="G64" i="3"/>
  <c r="BA64" i="3" s="1"/>
  <c r="AV56" i="4"/>
  <c r="F530" i="4"/>
  <c r="AU530" i="4" s="1"/>
  <c r="AU572" i="4" s="1"/>
  <c r="F233" i="4"/>
  <c r="F384" i="4" s="1"/>
  <c r="Q131" i="4"/>
  <c r="AZ361" i="4"/>
  <c r="BB126" i="4"/>
  <c r="K131" i="4"/>
  <c r="AX367" i="4"/>
  <c r="AY398" i="4"/>
  <c r="AY208" i="4"/>
  <c r="AV276" i="4"/>
  <c r="AZ584" i="4"/>
  <c r="AW276" i="4"/>
  <c r="AX579" i="4"/>
  <c r="M505" i="4"/>
  <c r="AY279" i="4"/>
  <c r="AV348" i="3"/>
  <c r="AY348" i="3"/>
  <c r="BG46" i="3"/>
  <c r="G1" i="3"/>
  <c r="J254" i="4"/>
  <c r="J256" i="4" s="1"/>
  <c r="J225" i="4" s="1"/>
  <c r="BF209" i="3"/>
  <c r="BF219" i="3" s="1"/>
  <c r="AY219" i="3"/>
  <c r="BB355" i="3"/>
  <c r="BB480" i="3" s="1"/>
  <c r="BB504" i="3" s="1"/>
  <c r="BG304" i="3"/>
  <c r="BG276" i="3" s="1"/>
  <c r="BG575" i="3" s="1"/>
  <c r="BD209" i="3"/>
  <c r="BD219" i="3" s="1"/>
  <c r="M577" i="3"/>
  <c r="BF309" i="3"/>
  <c r="BF576" i="3" s="1"/>
  <c r="AX3" i="3"/>
  <c r="E577" i="4"/>
  <c r="AY645" i="4"/>
  <c r="F464" i="4"/>
  <c r="F508" i="4" s="1"/>
  <c r="BB565" i="3"/>
  <c r="F109" i="3"/>
  <c r="K43" i="3"/>
  <c r="BC43" i="3"/>
  <c r="AY49" i="3"/>
  <c r="AY574" i="3" s="1"/>
  <c r="BD53" i="3"/>
  <c r="K354" i="3"/>
  <c r="K355" i="3" s="1"/>
  <c r="K480" i="3" s="1"/>
  <c r="K504" i="3" s="1"/>
  <c r="BG309" i="3"/>
  <c r="BG576" i="3" s="1"/>
  <c r="AY242" i="3"/>
  <c r="J577" i="3"/>
  <c r="BD354" i="3"/>
  <c r="BD355" i="3" s="1"/>
  <c r="BD480" i="3" s="1"/>
  <c r="BD504" i="3" s="1"/>
  <c r="AT56" i="4"/>
  <c r="BA63" i="3"/>
  <c r="N76" i="8"/>
  <c r="P65" i="8" s="1"/>
  <c r="P67" i="8" s="1"/>
  <c r="AV357" i="3"/>
  <c r="AV481" i="3" s="1"/>
  <c r="AV505" i="3" s="1"/>
  <c r="BO326" i="3"/>
  <c r="AW127" i="4"/>
  <c r="G71" i="3"/>
  <c r="G562" i="3" s="1"/>
  <c r="G561" i="3" s="1"/>
  <c r="BA561" i="3" s="1"/>
  <c r="BA563" i="3" s="1"/>
  <c r="BA22" i="3" s="1"/>
  <c r="BE571" i="3"/>
  <c r="AX363" i="4"/>
  <c r="AT126" i="4"/>
  <c r="O60" i="4"/>
  <c r="F294" i="4"/>
  <c r="AW402" i="4"/>
  <c r="AU127" i="4"/>
  <c r="AZ391" i="4"/>
  <c r="BB134" i="4"/>
  <c r="N60" i="4"/>
  <c r="BD63" i="3"/>
  <c r="F139" i="4"/>
  <c r="H367" i="4"/>
  <c r="AX498" i="4"/>
  <c r="J297" i="4"/>
  <c r="I297" i="4"/>
  <c r="BA384" i="4"/>
  <c r="AU641" i="4"/>
  <c r="AY464" i="4"/>
  <c r="AY508" i="4" s="1"/>
  <c r="E584" i="4"/>
  <c r="AY639" i="4"/>
  <c r="D259" i="4"/>
  <c r="D406" i="4" s="1"/>
  <c r="AT406" i="4" s="1"/>
  <c r="D585" i="4"/>
  <c r="D545" i="4"/>
  <c r="D547" i="4" s="1"/>
  <c r="D522" i="4" s="1"/>
  <c r="AT544" i="4"/>
  <c r="AT583" i="4" s="1"/>
  <c r="AT537" i="4"/>
  <c r="AT577" i="4" s="1"/>
  <c r="AX231" i="4"/>
  <c r="AX280" i="4" s="1"/>
  <c r="BA682" i="4"/>
  <c r="BA728" i="4" s="1"/>
  <c r="AZ641" i="4"/>
  <c r="J472" i="4"/>
  <c r="AY611" i="4"/>
  <c r="AY655" i="4" s="1"/>
  <c r="AI451" i="4"/>
  <c r="BC504" i="4"/>
  <c r="D134" i="4"/>
  <c r="M72" i="3"/>
  <c r="AY204" i="4"/>
  <c r="J131" i="4"/>
  <c r="AT27" i="4"/>
  <c r="C468" i="4"/>
  <c r="AZ276" i="4"/>
  <c r="E283" i="4"/>
  <c r="AZ645" i="4"/>
  <c r="R334" i="4"/>
  <c r="AZ62" i="3"/>
  <c r="AZ290" i="4"/>
  <c r="AY290" i="4"/>
  <c r="D72" i="3"/>
  <c r="AY231" i="4"/>
  <c r="AY280" i="4" s="1"/>
  <c r="E208" i="4"/>
  <c r="F353" i="4"/>
  <c r="AU471" i="4"/>
  <c r="I472" i="4"/>
  <c r="F278" i="4"/>
  <c r="J36" i="4"/>
  <c r="J7" i="4" s="1"/>
  <c r="J296" i="4"/>
  <c r="AZ579" i="4"/>
  <c r="K424" i="4"/>
  <c r="AZ302" i="3"/>
  <c r="H355" i="3"/>
  <c r="H480" i="3" s="1"/>
  <c r="H504" i="3" s="1"/>
  <c r="L498" i="4"/>
  <c r="J277" i="4"/>
  <c r="L508" i="4"/>
  <c r="AZ282" i="4"/>
  <c r="M508" i="4"/>
  <c r="P498" i="4"/>
  <c r="G297" i="4"/>
  <c r="L277" i="4"/>
  <c r="M498" i="4"/>
  <c r="BB717" i="4"/>
  <c r="W504" i="4"/>
  <c r="L380" i="4"/>
  <c r="L424" i="4" s="1"/>
  <c r="BC71" i="3"/>
  <c r="E276" i="3"/>
  <c r="E575" i="3" s="1"/>
  <c r="E577" i="3" s="1"/>
  <c r="R131" i="4"/>
  <c r="AX470" i="4"/>
  <c r="AX510" i="4" s="1"/>
  <c r="AY200" i="4"/>
  <c r="F65" i="4"/>
  <c r="G64" i="4"/>
  <c r="S577" i="3"/>
  <c r="AX276" i="3"/>
  <c r="AX575" i="3" s="1"/>
  <c r="AX577" i="3" s="1"/>
  <c r="BE209" i="3"/>
  <c r="BE219" i="3" s="1"/>
  <c r="S498" i="4"/>
  <c r="S57" i="4"/>
  <c r="N36" i="4"/>
  <c r="N7" i="4" s="1"/>
  <c r="BA127" i="4"/>
  <c r="D5" i="3"/>
  <c r="D564" i="3" s="1"/>
  <c r="D26" i="3" s="1"/>
  <c r="BG50" i="3"/>
  <c r="F55" i="3"/>
  <c r="BC309" i="3"/>
  <c r="BC576" i="3" s="1"/>
  <c r="AW3" i="3"/>
  <c r="AZ289" i="4"/>
  <c r="I400" i="4"/>
  <c r="AW400" i="4" s="1"/>
  <c r="AU132" i="4"/>
  <c r="D253" i="4"/>
  <c r="AT253" i="4" s="1"/>
  <c r="F32" i="4"/>
  <c r="F67" i="4" s="1"/>
  <c r="F518" i="4" s="1"/>
  <c r="F64" i="4"/>
  <c r="P181" i="4"/>
  <c r="AW253" i="4"/>
  <c r="AW295" i="4" s="1"/>
  <c r="AX646" i="4"/>
  <c r="BB569" i="3"/>
  <c r="F2" i="3"/>
  <c r="AY210" i="4"/>
  <c r="F355" i="3"/>
  <c r="F480" i="3" s="1"/>
  <c r="F504" i="3" s="1"/>
  <c r="J242" i="3"/>
  <c r="E479" i="3"/>
  <c r="E503" i="3" s="1"/>
  <c r="AV402" i="4"/>
  <c r="AX200" i="4"/>
  <c r="BA204" i="4"/>
  <c r="AX531" i="3"/>
  <c r="F3" i="3"/>
  <c r="AV58" i="4"/>
  <c r="E46" i="3"/>
  <c r="H385" i="4"/>
  <c r="AV385" i="4" s="1"/>
  <c r="C472" i="4"/>
  <c r="C514" i="4" s="1"/>
  <c r="P492" i="4"/>
  <c r="AZ492" i="4" s="1"/>
  <c r="BG569" i="3"/>
  <c r="BD282" i="3"/>
  <c r="BD304" i="3" s="1"/>
  <c r="BD55" i="3" s="1"/>
  <c r="AX527" i="3"/>
  <c r="AZ402" i="4"/>
  <c r="AZ398" i="4"/>
  <c r="AZ435" i="4" s="1"/>
  <c r="AX204" i="4"/>
  <c r="AZ125" i="4"/>
  <c r="AU354" i="4"/>
  <c r="D243" i="4"/>
  <c r="AT243" i="4" s="1"/>
  <c r="AT289" i="4" s="1"/>
  <c r="BC74" i="3"/>
  <c r="BC532" i="3" s="1"/>
  <c r="H64" i="4"/>
  <c r="AW125" i="4"/>
  <c r="BD309" i="3"/>
  <c r="BD576" i="3" s="1"/>
  <c r="G11" i="8"/>
  <c r="L382" i="4"/>
  <c r="AX382" i="4" s="1"/>
  <c r="AT252" i="4"/>
  <c r="AY652" i="4"/>
  <c r="AY399" i="4"/>
  <c r="G652" i="4"/>
  <c r="AX724" i="4"/>
  <c r="AU232" i="4"/>
  <c r="AU281" i="4" s="1"/>
  <c r="F281" i="4"/>
  <c r="H398" i="4"/>
  <c r="AV398" i="4" s="1"/>
  <c r="F290" i="4"/>
  <c r="AY471" i="4"/>
  <c r="K400" i="4"/>
  <c r="K439" i="4" s="1"/>
  <c r="AV420" i="4"/>
  <c r="AW435" i="4" s="1"/>
  <c r="AU529" i="4"/>
  <c r="AU571" i="4" s="1"/>
  <c r="F504" i="4"/>
  <c r="O534" i="4"/>
  <c r="D281" i="4"/>
  <c r="AY682" i="4"/>
  <c r="AY726" i="4" s="1"/>
  <c r="AX384" i="4"/>
  <c r="AY233" i="4"/>
  <c r="H572" i="4"/>
  <c r="O504" i="4"/>
  <c r="AZ458" i="4"/>
  <c r="R289" i="4"/>
  <c r="AU130" i="4"/>
  <c r="M296" i="4"/>
  <c r="BA717" i="4"/>
  <c r="AZ459" i="4"/>
  <c r="BA505" i="4" s="1"/>
  <c r="F259" i="4"/>
  <c r="AU259" i="4" s="1"/>
  <c r="BA208" i="4"/>
  <c r="AX725" i="4"/>
  <c r="H463" i="4"/>
  <c r="AV463" i="4" s="1"/>
  <c r="AT31" i="4"/>
  <c r="AU64" i="4" s="1"/>
  <c r="H283" i="4"/>
  <c r="H391" i="4"/>
  <c r="AV391" i="4" s="1"/>
  <c r="D19" i="4"/>
  <c r="E67" i="3" s="1"/>
  <c r="AZ166" i="4"/>
  <c r="F463" i="4"/>
  <c r="AU463" i="4" s="1"/>
  <c r="F391" i="4"/>
  <c r="AU391" i="4" s="1"/>
  <c r="BF71" i="3"/>
  <c r="AZ717" i="4"/>
  <c r="AX402" i="4"/>
  <c r="AY391" i="4"/>
  <c r="AY360" i="4"/>
  <c r="AV288" i="4"/>
  <c r="AW725" i="4"/>
  <c r="H259" i="4"/>
  <c r="AV259" i="4" s="1"/>
  <c r="H368" i="4"/>
  <c r="M297" i="4"/>
  <c r="H353" i="4"/>
  <c r="H277" i="4"/>
  <c r="N296" i="4"/>
  <c r="Q237" i="4"/>
  <c r="Q460" i="4" s="1"/>
  <c r="Q461" i="4" s="1"/>
  <c r="H399" i="4"/>
  <c r="AV399" i="4" s="1"/>
  <c r="AU282" i="4"/>
  <c r="AY381" i="4"/>
  <c r="AV576" i="4"/>
  <c r="AX202" i="4"/>
  <c r="F19" i="4"/>
  <c r="G67" i="3" s="1"/>
  <c r="BA210" i="4"/>
  <c r="E277" i="4"/>
  <c r="AW56" i="4"/>
  <c r="AT614" i="4"/>
  <c r="AT652" i="4" s="1"/>
  <c r="AU207" i="4"/>
  <c r="J280" i="4"/>
  <c r="AU713" i="4"/>
  <c r="AV713" i="4"/>
  <c r="I283" i="4"/>
  <c r="AW641" i="4"/>
  <c r="M384" i="4"/>
  <c r="AY384" i="4" s="1"/>
  <c r="M254" i="4"/>
  <c r="M256" i="4" s="1"/>
  <c r="AX298" i="4"/>
  <c r="AT402" i="4"/>
  <c r="AV236" i="4"/>
  <c r="AW283" i="4" s="1"/>
  <c r="BA233" i="4"/>
  <c r="N508" i="4"/>
  <c r="J75" i="4"/>
  <c r="J468" i="4"/>
  <c r="G134" i="4"/>
  <c r="E7" i="4"/>
  <c r="S291" i="4"/>
  <c r="L7" i="4"/>
  <c r="H281" i="4"/>
  <c r="AY87" i="4"/>
  <c r="AY88" i="4" s="1"/>
  <c r="AY96" i="4" s="1"/>
  <c r="H459" i="4"/>
  <c r="I505" i="4" s="1"/>
  <c r="Q504" i="4"/>
  <c r="AW470" i="4"/>
  <c r="AW510" i="4" s="1"/>
  <c r="G534" i="4"/>
  <c r="P7" i="4"/>
  <c r="K7" i="4"/>
  <c r="G7" i="4"/>
  <c r="I75" i="4"/>
  <c r="J60" i="4"/>
  <c r="M134" i="4"/>
  <c r="AZ682" i="4"/>
  <c r="AZ686" i="4" s="1"/>
  <c r="AZ688" i="4" s="1"/>
  <c r="I468" i="4"/>
  <c r="AW468" i="4" s="1"/>
  <c r="AY534" i="3"/>
  <c r="AY528" i="3"/>
  <c r="BC208" i="4"/>
  <c r="AU49" i="3"/>
  <c r="AU574" i="3" s="1"/>
  <c r="D470" i="4"/>
  <c r="AT470" i="4" s="1"/>
  <c r="AV251" i="4"/>
  <c r="AV292" i="4" s="1"/>
  <c r="BD311" i="4"/>
  <c r="G283" i="4"/>
  <c r="AU251" i="4"/>
  <c r="AU292" i="4" s="1"/>
  <c r="AU245" i="4"/>
  <c r="AU290" i="4" s="1"/>
  <c r="F276" i="3"/>
  <c r="F575" i="3" s="1"/>
  <c r="F577" i="3" s="1"/>
  <c r="R514" i="4"/>
  <c r="O507" i="4"/>
  <c r="I396" i="4"/>
  <c r="D653" i="4"/>
  <c r="F653" i="4"/>
  <c r="E652" i="4"/>
  <c r="AU126" i="4"/>
  <c r="BB309" i="3"/>
  <c r="BB576" i="3" s="1"/>
  <c r="AU576" i="4"/>
  <c r="AT81" i="4"/>
  <c r="BC453" i="3"/>
  <c r="BF242" i="3"/>
  <c r="I479" i="3"/>
  <c r="I503" i="3" s="1"/>
  <c r="K276" i="3"/>
  <c r="K575" i="3" s="1"/>
  <c r="K577" i="3" s="1"/>
  <c r="R419" i="3"/>
  <c r="R408" i="3" s="1"/>
  <c r="R109" i="3"/>
  <c r="BC206" i="4"/>
  <c r="AZ720" i="4"/>
  <c r="AU276" i="3"/>
  <c r="AU575" i="3" s="1"/>
  <c r="AU577" i="3" s="1"/>
  <c r="AX55" i="3"/>
  <c r="AT251" i="4"/>
  <c r="D231" i="4"/>
  <c r="D382" i="4" s="1"/>
  <c r="J237" i="4"/>
  <c r="J388" i="4" s="1"/>
  <c r="F392" i="4"/>
  <c r="F433" i="4" s="1"/>
  <c r="J507" i="4"/>
  <c r="N441" i="4"/>
  <c r="J291" i="4"/>
  <c r="D615" i="4"/>
  <c r="D617" i="4" s="1"/>
  <c r="D593" i="4" s="1"/>
  <c r="P504" i="4"/>
  <c r="R104" i="4"/>
  <c r="AW644" i="4"/>
  <c r="AX348" i="3"/>
  <c r="BF346" i="3"/>
  <c r="BJ317" i="3"/>
  <c r="BE71" i="3"/>
  <c r="AV232" i="4"/>
  <c r="AV281" i="4" s="1"/>
  <c r="D294" i="4"/>
  <c r="BA166" i="4"/>
  <c r="AZ606" i="4"/>
  <c r="AZ611" i="4" s="1"/>
  <c r="AZ650" i="4" s="1"/>
  <c r="F470" i="4"/>
  <c r="AU470" i="4" s="1"/>
  <c r="AY510" i="4"/>
  <c r="AW366" i="4"/>
  <c r="R504" i="4"/>
  <c r="H293" i="4"/>
  <c r="AX290" i="4"/>
  <c r="AW391" i="4"/>
  <c r="Q514" i="4"/>
  <c r="AT399" i="4"/>
  <c r="C480" i="4"/>
  <c r="AW611" i="4"/>
  <c r="AW653" i="4" s="1"/>
  <c r="BA358" i="4"/>
  <c r="BC353" i="3"/>
  <c r="BG354" i="3"/>
  <c r="BG355" i="3" s="1"/>
  <c r="BG480" i="3" s="1"/>
  <c r="BG504" i="3" s="1"/>
  <c r="BE43" i="3"/>
  <c r="AX420" i="4"/>
  <c r="AZ233" i="4"/>
  <c r="R360" i="4"/>
  <c r="AX243" i="4"/>
  <c r="AX289" i="4" s="1"/>
  <c r="BA134" i="4"/>
  <c r="BD161" i="4"/>
  <c r="BC281" i="4"/>
  <c r="E353" i="4"/>
  <c r="AY77" i="3"/>
  <c r="AX63" i="4"/>
  <c r="R416" i="4"/>
  <c r="R491" i="4" s="1"/>
  <c r="O254" i="4"/>
  <c r="O256" i="4" s="1"/>
  <c r="P257" i="4" s="1"/>
  <c r="BC423" i="4"/>
  <c r="M289" i="4"/>
  <c r="BC279" i="4"/>
  <c r="BD569" i="3"/>
  <c r="M55" i="3"/>
  <c r="M520" i="4" s="1"/>
  <c r="G49" i="3"/>
  <c r="G574" i="3" s="1"/>
  <c r="AX242" i="3"/>
  <c r="BF50" i="3"/>
  <c r="AW298" i="4"/>
  <c r="AW290" i="4"/>
  <c r="Q60" i="4"/>
  <c r="E297" i="4"/>
  <c r="AV130" i="4"/>
  <c r="D368" i="4"/>
  <c r="D463" i="4"/>
  <c r="AT463" i="4" s="1"/>
  <c r="E211" i="4"/>
  <c r="E242" i="3"/>
  <c r="AZ54" i="3"/>
  <c r="BA565" i="3"/>
  <c r="AU276" i="4"/>
  <c r="AX276" i="4"/>
  <c r="AY530" i="3"/>
  <c r="S280" i="4"/>
  <c r="AZ253" i="4"/>
  <c r="BA296" i="4" s="1"/>
  <c r="P548" i="4"/>
  <c r="L462" i="4"/>
  <c r="M507" i="4" s="1"/>
  <c r="AY641" i="4"/>
  <c r="D55" i="3"/>
  <c r="C520" i="4" s="1"/>
  <c r="AY527" i="3"/>
  <c r="AY531" i="3"/>
  <c r="AZ348" i="3"/>
  <c r="AZ309" i="3"/>
  <c r="AZ576" i="3" s="1"/>
  <c r="BE242" i="3"/>
  <c r="AZ298" i="4"/>
  <c r="AV279" i="4"/>
  <c r="Q429" i="4"/>
  <c r="G491" i="4"/>
  <c r="AX471" i="4"/>
  <c r="AZ510" i="4"/>
  <c r="O277" i="4"/>
  <c r="BB282" i="4"/>
  <c r="G400" i="4"/>
  <c r="D391" i="4"/>
  <c r="AT391" i="4" s="1"/>
  <c r="AY583" i="4"/>
  <c r="N534" i="4"/>
  <c r="AW464" i="4"/>
  <c r="AW508" i="4" s="1"/>
  <c r="AW682" i="4"/>
  <c r="AW686" i="4" s="1"/>
  <c r="AW688" i="4" s="1"/>
  <c r="AW661" i="4" s="1"/>
  <c r="AY528" i="4"/>
  <c r="AY64" i="4"/>
  <c r="AT550" i="4"/>
  <c r="K242" i="3"/>
  <c r="BC363" i="4"/>
  <c r="P237" i="4"/>
  <c r="P460" i="4" s="1"/>
  <c r="O400" i="4"/>
  <c r="P439" i="4" s="1"/>
  <c r="AY713" i="4"/>
  <c r="BD314" i="4"/>
  <c r="R429" i="4"/>
  <c r="AU458" i="4"/>
  <c r="K54" i="3"/>
  <c r="D357" i="3"/>
  <c r="D481" i="3" s="1"/>
  <c r="D505" i="3" s="1"/>
  <c r="BD346" i="3"/>
  <c r="AT165" i="4"/>
  <c r="AT166" i="4" s="1"/>
  <c r="G472" i="4"/>
  <c r="AV298" i="4"/>
  <c r="I71" i="3"/>
  <c r="AZ228" i="3"/>
  <c r="AZ53" i="3" s="1"/>
  <c r="R57" i="4"/>
  <c r="P277" i="4"/>
  <c r="AX253" i="4"/>
  <c r="P505" i="4"/>
  <c r="AV418" i="4"/>
  <c r="AU129" i="4"/>
  <c r="AX208" i="4"/>
  <c r="D540" i="4"/>
  <c r="D579" i="4" s="1"/>
  <c r="AV127" i="4"/>
  <c r="BD272" i="4"/>
  <c r="BD279" i="4" s="1"/>
  <c r="M380" i="4"/>
  <c r="BA216" i="4"/>
  <c r="AV125" i="4"/>
  <c r="AT529" i="4"/>
  <c r="AT571" i="4" s="1"/>
  <c r="BC717" i="4"/>
  <c r="BC507" i="4"/>
  <c r="AZ231" i="4"/>
  <c r="D385" i="4"/>
  <c r="AT385" i="4" s="1"/>
  <c r="AU453" i="4"/>
  <c r="O36" i="4"/>
  <c r="D471" i="4"/>
  <c r="AT471" i="4" s="1"/>
  <c r="K254" i="4"/>
  <c r="K256" i="4" s="1"/>
  <c r="M571" i="4"/>
  <c r="D330" i="4"/>
  <c r="D332" i="4" s="1"/>
  <c r="D305" i="4" s="1"/>
  <c r="AW717" i="4"/>
  <c r="E139" i="4"/>
  <c r="O278" i="4"/>
  <c r="AU209" i="4"/>
  <c r="H464" i="4"/>
  <c r="H508" i="4" s="1"/>
  <c r="AV245" i="4"/>
  <c r="AV290" i="4" s="1"/>
  <c r="F277" i="4"/>
  <c r="L237" i="4"/>
  <c r="L460" i="4" s="1"/>
  <c r="H290" i="4"/>
  <c r="AZ530" i="4"/>
  <c r="AZ572" i="4" s="1"/>
  <c r="BC675" i="4"/>
  <c r="BC718" i="4" s="1"/>
  <c r="AX233" i="4"/>
  <c r="K237" i="4"/>
  <c r="K388" i="4" s="1"/>
  <c r="K389" i="4" s="1"/>
  <c r="C428" i="4"/>
  <c r="M400" i="4"/>
  <c r="AY400" i="4" s="1"/>
  <c r="M472" i="4"/>
  <c r="AY253" i="4"/>
  <c r="AW259" i="4"/>
  <c r="J406" i="4"/>
  <c r="AW406" i="4" s="1"/>
  <c r="L472" i="4"/>
  <c r="L400" i="4"/>
  <c r="BC342" i="4"/>
  <c r="BC352" i="4" s="1"/>
  <c r="AU269" i="4"/>
  <c r="AU278" i="4" s="1"/>
  <c r="G278" i="4"/>
  <c r="AZ132" i="4"/>
  <c r="AY132" i="4"/>
  <c r="BC384" i="4"/>
  <c r="AU234" i="4"/>
  <c r="AU329" i="4"/>
  <c r="AU366" i="4" s="1"/>
  <c r="G367" i="4"/>
  <c r="F367" i="4"/>
  <c r="AV31" i="4"/>
  <c r="AW64" i="4" s="1"/>
  <c r="H32" i="4"/>
  <c r="H67" i="4" s="1"/>
  <c r="H518" i="4" s="1"/>
  <c r="I76" i="3"/>
  <c r="BB76" i="3" s="1"/>
  <c r="H65" i="4"/>
  <c r="C254" i="4"/>
  <c r="C256" i="4" s="1"/>
  <c r="C225" i="4" s="1"/>
  <c r="C297" i="4"/>
  <c r="C400" i="4"/>
  <c r="C439" i="4" s="1"/>
  <c r="R211" i="4"/>
  <c r="R468" i="4"/>
  <c r="S509" i="4" s="1"/>
  <c r="BC699" i="4"/>
  <c r="H392" i="4"/>
  <c r="AV392" i="4" s="1"/>
  <c r="AV433" i="4" s="1"/>
  <c r="D32" i="4"/>
  <c r="D36" i="4" s="1"/>
  <c r="M426" i="4"/>
  <c r="K406" i="4"/>
  <c r="AX406" i="4" s="1"/>
  <c r="AX259" i="4"/>
  <c r="C494" i="4"/>
  <c r="C503" i="4" s="1"/>
  <c r="AW282" i="4"/>
  <c r="G725" i="4"/>
  <c r="F726" i="4"/>
  <c r="H231" i="4"/>
  <c r="AV231" i="4" s="1"/>
  <c r="F211" i="4"/>
  <c r="BC684" i="4"/>
  <c r="BC672" i="4"/>
  <c r="BC716" i="4" s="1"/>
  <c r="BE76" i="3"/>
  <c r="BA458" i="4"/>
  <c r="BB504" i="4" s="1"/>
  <c r="AZ127" i="4"/>
  <c r="AZ87" i="4"/>
  <c r="BB208" i="4"/>
  <c r="AX717" i="4"/>
  <c r="AZ399" i="4"/>
  <c r="AX283" i="4"/>
  <c r="AX282" i="4"/>
  <c r="L534" i="4"/>
  <c r="E400" i="4"/>
  <c r="J416" i="4"/>
  <c r="J491" i="4" s="1"/>
  <c r="AW491" i="4" s="1"/>
  <c r="Q498" i="4"/>
  <c r="E472" i="4"/>
  <c r="H211" i="4"/>
  <c r="G76" i="3"/>
  <c r="BA76" i="3" s="1"/>
  <c r="F134" i="4"/>
  <c r="K67" i="4"/>
  <c r="K518" i="4" s="1"/>
  <c r="AX278" i="4"/>
  <c r="AX584" i="4"/>
  <c r="AU58" i="4"/>
  <c r="M277" i="4"/>
  <c r="I367" i="4"/>
  <c r="AV329" i="4"/>
  <c r="AV711" i="4"/>
  <c r="AZ64" i="3"/>
  <c r="O520" i="4"/>
  <c r="Q354" i="3"/>
  <c r="BF97" i="3"/>
  <c r="BF43" i="3" s="1"/>
  <c r="D283" i="4"/>
  <c r="M428" i="4"/>
  <c r="AZ279" i="4"/>
  <c r="AX166" i="4"/>
  <c r="AX174" i="4" s="1"/>
  <c r="S360" i="4"/>
  <c r="BA317" i="4"/>
  <c r="BA318" i="4" s="1"/>
  <c r="BD349" i="4"/>
  <c r="AY415" i="4"/>
  <c r="AY441" i="4" s="1"/>
  <c r="L297" i="4"/>
  <c r="R277" i="4"/>
  <c r="L60" i="4"/>
  <c r="O363" i="4"/>
  <c r="L494" i="4"/>
  <c r="AX419" i="4"/>
  <c r="AV99" i="4"/>
  <c r="AV138" i="4" s="1"/>
  <c r="BA87" i="4"/>
  <c r="BB346" i="3"/>
  <c r="AZ283" i="4"/>
  <c r="BA283" i="4"/>
  <c r="AY283" i="4"/>
  <c r="AX281" i="4"/>
  <c r="BG273" i="4"/>
  <c r="AW711" i="4"/>
  <c r="AW281" i="4"/>
  <c r="AY278" i="4"/>
  <c r="BA281" i="4"/>
  <c r="AY282" i="4"/>
  <c r="AV282" i="4"/>
  <c r="AZ281" i="4"/>
  <c r="BA128" i="4"/>
  <c r="BB281" i="4"/>
  <c r="AY281" i="4"/>
  <c r="BA279" i="4"/>
  <c r="BA282" i="4"/>
  <c r="AW279" i="4"/>
  <c r="BJ99" i="3"/>
  <c r="AZ46" i="3"/>
  <c r="S355" i="3"/>
  <c r="S480" i="3" s="1"/>
  <c r="S504" i="3" s="1"/>
  <c r="F348" i="3"/>
  <c r="BI99" i="3"/>
  <c r="BC209" i="3"/>
  <c r="BC219" i="3" s="1"/>
  <c r="BE355" i="3"/>
  <c r="BE480" i="3" s="1"/>
  <c r="BE504" i="3" s="1"/>
  <c r="N198" i="3"/>
  <c r="K277" i="4"/>
  <c r="K55" i="3"/>
  <c r="K520" i="4" s="1"/>
  <c r="BB46" i="3"/>
  <c r="N384" i="3"/>
  <c r="J55" i="3"/>
  <c r="E55" i="3"/>
  <c r="L348" i="3"/>
  <c r="BD348" i="3" s="1"/>
  <c r="BA355" i="3"/>
  <c r="BA480" i="3" s="1"/>
  <c r="BA504" i="3" s="1"/>
  <c r="BE346" i="3"/>
  <c r="BC281" i="3"/>
  <c r="BC282" i="3" s="1"/>
  <c r="BC304" i="3" s="1"/>
  <c r="AV72" i="3"/>
  <c r="AV73" i="3" s="1"/>
  <c r="BF304" i="3"/>
  <c r="BF49" i="3" s="1"/>
  <c r="BF574" i="3" s="1"/>
  <c r="E348" i="3"/>
  <c r="I348" i="3"/>
  <c r="H55" i="3"/>
  <c r="J348" i="3"/>
  <c r="BC348" i="3" s="1"/>
  <c r="BB282" i="3"/>
  <c r="BB304" i="3" s="1"/>
  <c r="AZ282" i="3"/>
  <c r="D3" i="4"/>
  <c r="BD244" i="4"/>
  <c r="AU55" i="4"/>
  <c r="D459" i="4"/>
  <c r="D505" i="4" s="1"/>
  <c r="D387" i="4"/>
  <c r="D430" i="4" s="1"/>
  <c r="AW453" i="4"/>
  <c r="O280" i="4"/>
  <c r="N416" i="4"/>
  <c r="N425" i="4" s="1"/>
  <c r="N492" i="4"/>
  <c r="AY492" i="4" s="1"/>
  <c r="D492" i="4"/>
  <c r="AT492" i="4" s="1"/>
  <c r="L480" i="4"/>
  <c r="BC35" i="4"/>
  <c r="BC196" i="4"/>
  <c r="BC203" i="4" s="1"/>
  <c r="BC194" i="4"/>
  <c r="AT498" i="4"/>
  <c r="BC190" i="4"/>
  <c r="BC200" i="4" s="1"/>
  <c r="O514" i="4"/>
  <c r="P514" i="4"/>
  <c r="AU535" i="3"/>
  <c r="AU527" i="3"/>
  <c r="AU528" i="3"/>
  <c r="AU77" i="3"/>
  <c r="AU530" i="3"/>
  <c r="AU534" i="3"/>
  <c r="AU531" i="3"/>
  <c r="E491" i="4"/>
  <c r="AW63" i="4"/>
  <c r="N507" i="4"/>
  <c r="AY462" i="4"/>
  <c r="N134" i="4"/>
  <c r="E367" i="4"/>
  <c r="D367" i="4"/>
  <c r="AV641" i="4"/>
  <c r="AU639" i="4"/>
  <c r="AT641" i="4"/>
  <c r="AT639" i="4"/>
  <c r="AU573" i="4"/>
  <c r="AV639" i="4"/>
  <c r="BB387" i="4"/>
  <c r="BB430" i="4" s="1"/>
  <c r="BC420" i="4"/>
  <c r="BB419" i="4"/>
  <c r="BI246" i="3"/>
  <c r="BI119" i="3"/>
  <c r="P520" i="4"/>
  <c r="BC242" i="3"/>
  <c r="P280" i="4"/>
  <c r="O296" i="4"/>
  <c r="P296" i="4"/>
  <c r="O297" i="4"/>
  <c r="M237" i="4"/>
  <c r="M460" i="4" s="1"/>
  <c r="L280" i="4"/>
  <c r="D293" i="4"/>
  <c r="H249" i="4"/>
  <c r="I291" i="4" s="1"/>
  <c r="AT232" i="4"/>
  <c r="AT281" i="4" s="1"/>
  <c r="F686" i="4"/>
  <c r="F688" i="4" s="1"/>
  <c r="F661" i="4" s="1"/>
  <c r="BE320" i="4"/>
  <c r="AX610" i="4"/>
  <c r="AX648" i="4" s="1"/>
  <c r="O131" i="4"/>
  <c r="N131" i="4"/>
  <c r="M280" i="4"/>
  <c r="L296" i="4"/>
  <c r="K472" i="4"/>
  <c r="K296" i="4"/>
  <c r="AT129" i="4"/>
  <c r="M468" i="4"/>
  <c r="BB242" i="3"/>
  <c r="AW215" i="4"/>
  <c r="BC346" i="3"/>
  <c r="BA19" i="4"/>
  <c r="BA20" i="4" s="1"/>
  <c r="Q57" i="4"/>
  <c r="N291" i="4"/>
  <c r="AY530" i="4"/>
  <c r="AY572" i="4" s="1"/>
  <c r="D105" i="4"/>
  <c r="D100" i="4"/>
  <c r="D102" i="4" s="1"/>
  <c r="D75" i="4" s="1"/>
  <c r="H100" i="4"/>
  <c r="H102" i="4" s="1"/>
  <c r="F416" i="4"/>
  <c r="F491" i="4" s="1"/>
  <c r="AU491" i="4" s="1"/>
  <c r="D416" i="4"/>
  <c r="E425" i="4" s="1"/>
  <c r="AU682" i="4"/>
  <c r="AU728" i="4" s="1"/>
  <c r="AY579" i="4"/>
  <c r="BC90" i="4"/>
  <c r="E278" i="4"/>
  <c r="E134" i="4"/>
  <c r="AW713" i="4"/>
  <c r="AX139" i="4"/>
  <c r="M68" i="3"/>
  <c r="AV207" i="4"/>
  <c r="H419" i="3"/>
  <c r="H408" i="3" s="1"/>
  <c r="H109" i="3"/>
  <c r="AU359" i="4"/>
  <c r="AV359" i="4"/>
  <c r="F652" i="4"/>
  <c r="AU614" i="4"/>
  <c r="AW646" i="4"/>
  <c r="D277" i="4"/>
  <c r="I277" i="4"/>
  <c r="E499" i="4"/>
  <c r="M353" i="4"/>
  <c r="N277" i="4"/>
  <c r="J499" i="4"/>
  <c r="F499" i="4"/>
  <c r="Q277" i="4"/>
  <c r="G277" i="4"/>
  <c r="BG67" i="3"/>
  <c r="BG68" i="3" s="1"/>
  <c r="Q68" i="3"/>
  <c r="BC76" i="3"/>
  <c r="S68" i="3"/>
  <c r="BI80" i="3"/>
  <c r="R68" i="3"/>
  <c r="K68" i="3"/>
  <c r="BF76" i="3"/>
  <c r="AW645" i="4"/>
  <c r="AV606" i="4"/>
  <c r="BB34" i="4"/>
  <c r="D65" i="4"/>
  <c r="AX211" i="4"/>
  <c r="N396" i="4"/>
  <c r="I289" i="4"/>
  <c r="BA381" i="4"/>
  <c r="Q508" i="4"/>
  <c r="L493" i="4"/>
  <c r="AX493" i="4" s="1"/>
  <c r="AX418" i="4"/>
  <c r="AU288" i="4"/>
  <c r="L416" i="4"/>
  <c r="AX416" i="4" s="1"/>
  <c r="L134" i="4"/>
  <c r="D588" i="4"/>
  <c r="D299" i="4"/>
  <c r="E717" i="4"/>
  <c r="D717" i="4"/>
  <c r="AT673" i="4"/>
  <c r="AX645" i="4"/>
  <c r="AX606" i="4"/>
  <c r="AX652" i="4"/>
  <c r="AY584" i="4"/>
  <c r="AZ105" i="4"/>
  <c r="O480" i="4"/>
  <c r="AZ480" i="4" s="1"/>
  <c r="AU417" i="4"/>
  <c r="F492" i="4"/>
  <c r="AU492" i="4" s="1"/>
  <c r="R423" i="4"/>
  <c r="Q423" i="4"/>
  <c r="AY386" i="4"/>
  <c r="O429" i="4"/>
  <c r="M452" i="4"/>
  <c r="AY453" i="4"/>
  <c r="Q433" i="4"/>
  <c r="H278" i="4"/>
  <c r="AV269" i="4"/>
  <c r="D493" i="4"/>
  <c r="AT493" i="4" s="1"/>
  <c r="AT418" i="4"/>
  <c r="C67" i="4"/>
  <c r="C518" i="4" s="1"/>
  <c r="C36" i="4"/>
  <c r="AV414" i="4"/>
  <c r="AV441" i="4" s="1"/>
  <c r="H441" i="4"/>
  <c r="C291" i="4"/>
  <c r="C396" i="4"/>
  <c r="L504" i="4"/>
  <c r="AX458" i="4"/>
  <c r="L492" i="4"/>
  <c r="AX492" i="4" s="1"/>
  <c r="M491" i="4"/>
  <c r="AZ416" i="4"/>
  <c r="Q425" i="4"/>
  <c r="Q427" i="4"/>
  <c r="P425" i="4"/>
  <c r="BD160" i="4"/>
  <c r="L428" i="4"/>
  <c r="AZ472" i="4"/>
  <c r="AW576" i="4"/>
  <c r="AW233" i="4"/>
  <c r="AX115" i="4"/>
  <c r="AY125" i="4" s="1"/>
  <c r="M562" i="3"/>
  <c r="BD71" i="3"/>
  <c r="I645" i="4"/>
  <c r="H645" i="4"/>
  <c r="E72" i="3"/>
  <c r="D60" i="4"/>
  <c r="N480" i="4"/>
  <c r="AY480" i="4" s="1"/>
  <c r="AY105" i="4"/>
  <c r="I480" i="4"/>
  <c r="D686" i="4"/>
  <c r="D688" i="4" s="1"/>
  <c r="D661" i="4" s="1"/>
  <c r="E725" i="4"/>
  <c r="AT685" i="4"/>
  <c r="D726" i="4"/>
  <c r="D725" i="4"/>
  <c r="AX360" i="4"/>
  <c r="AX711" i="4"/>
  <c r="E60" i="4"/>
  <c r="H67" i="3"/>
  <c r="H68" i="3" s="1"/>
  <c r="H73" i="3" s="1"/>
  <c r="Q153" i="4"/>
  <c r="R181" i="4"/>
  <c r="O571" i="4"/>
  <c r="AZ528" i="4"/>
  <c r="L571" i="4"/>
  <c r="AX528" i="4"/>
  <c r="J105" i="4"/>
  <c r="J480" i="4" s="1"/>
  <c r="AW183" i="4"/>
  <c r="F140" i="4"/>
  <c r="G139" i="4"/>
  <c r="F100" i="4"/>
  <c r="F102" i="4" s="1"/>
  <c r="F75" i="4" s="1"/>
  <c r="D140" i="4"/>
  <c r="D139" i="4"/>
  <c r="AX713" i="4"/>
  <c r="P131" i="4"/>
  <c r="BG76" i="3"/>
  <c r="AF14" i="32" s="1"/>
  <c r="O68" i="3"/>
  <c r="AV462" i="4"/>
  <c r="H507" i="4"/>
  <c r="P534" i="4"/>
  <c r="R498" i="4"/>
  <c r="R508" i="4"/>
  <c r="BA488" i="4"/>
  <c r="R452" i="4"/>
  <c r="BA453" i="4"/>
  <c r="O428" i="4"/>
  <c r="N426" i="4"/>
  <c r="AY419" i="4"/>
  <c r="J426" i="4"/>
  <c r="K426" i="4"/>
  <c r="AW419" i="4"/>
  <c r="K428" i="4"/>
  <c r="I426" i="4"/>
  <c r="I428" i="4"/>
  <c r="H426" i="4"/>
  <c r="AV419" i="4"/>
  <c r="F426" i="4"/>
  <c r="G426" i="4"/>
  <c r="AU419" i="4"/>
  <c r="M278" i="4"/>
  <c r="N278" i="4"/>
  <c r="K278" i="4"/>
  <c r="L278" i="4"/>
  <c r="K280" i="4"/>
  <c r="I278" i="4"/>
  <c r="J278" i="4"/>
  <c r="C278" i="4"/>
  <c r="D278" i="4"/>
  <c r="BC266" i="4"/>
  <c r="BC276" i="4" s="1"/>
  <c r="K480" i="4"/>
  <c r="AX105" i="4"/>
  <c r="H452" i="4"/>
  <c r="AV453" i="4"/>
  <c r="F505" i="4"/>
  <c r="AU459" i="4"/>
  <c r="D504" i="4"/>
  <c r="AT458" i="4"/>
  <c r="I416" i="4"/>
  <c r="C416" i="4"/>
  <c r="P493" i="4"/>
  <c r="AZ493" i="4" s="1"/>
  <c r="AZ418" i="4"/>
  <c r="I433" i="4"/>
  <c r="I423" i="4"/>
  <c r="J423" i="4"/>
  <c r="E433" i="4"/>
  <c r="E423" i="4"/>
  <c r="F423" i="4"/>
  <c r="AT475" i="4"/>
  <c r="N433" i="4"/>
  <c r="AY392" i="4"/>
  <c r="AY433" i="4" s="1"/>
  <c r="L433" i="4"/>
  <c r="AX392" i="4"/>
  <c r="AX433" i="4" s="1"/>
  <c r="C433" i="4"/>
  <c r="J432" i="4"/>
  <c r="AW390" i="4"/>
  <c r="I507" i="4"/>
  <c r="Q430" i="4"/>
  <c r="P430" i="4"/>
  <c r="AZ387" i="4"/>
  <c r="M430" i="4"/>
  <c r="L430" i="4"/>
  <c r="AX387" i="4"/>
  <c r="L505" i="4"/>
  <c r="AX459" i="4"/>
  <c r="K430" i="4"/>
  <c r="AW387" i="4"/>
  <c r="J430" i="4"/>
  <c r="AV387" i="4"/>
  <c r="L429" i="4"/>
  <c r="AX386" i="4"/>
  <c r="M429" i="4"/>
  <c r="K429" i="4"/>
  <c r="AW386" i="4"/>
  <c r="J429" i="4"/>
  <c r="K504" i="4"/>
  <c r="AW458" i="4"/>
  <c r="J504" i="4"/>
  <c r="G428" i="4"/>
  <c r="P428" i="4"/>
  <c r="AZ383" i="4"/>
  <c r="O396" i="4"/>
  <c r="O291" i="4"/>
  <c r="K452" i="4"/>
  <c r="L499" i="4" s="1"/>
  <c r="AX453" i="4"/>
  <c r="E380" i="4"/>
  <c r="AU381" i="4"/>
  <c r="AT381" i="4"/>
  <c r="C380" i="4"/>
  <c r="P57" i="4"/>
  <c r="P67" i="3"/>
  <c r="P68" i="3" s="1"/>
  <c r="AZ19" i="4"/>
  <c r="O57" i="4"/>
  <c r="N382" i="4"/>
  <c r="N280" i="4"/>
  <c r="N237" i="4"/>
  <c r="N388" i="4" s="1"/>
  <c r="M534" i="4"/>
  <c r="M131" i="4"/>
  <c r="AX87" i="4"/>
  <c r="L131" i="4"/>
  <c r="K508" i="4"/>
  <c r="AX464" i="4"/>
  <c r="AX508" i="4" s="1"/>
  <c r="F283" i="4"/>
  <c r="F387" i="4"/>
  <c r="AU236" i="4"/>
  <c r="AU283" i="4" s="1"/>
  <c r="J494" i="4"/>
  <c r="K501" i="4" s="1"/>
  <c r="F494" i="4"/>
  <c r="F503" i="4" s="1"/>
  <c r="R225" i="4"/>
  <c r="R257" i="4"/>
  <c r="O426" i="4"/>
  <c r="O468" i="4"/>
  <c r="P72" i="3"/>
  <c r="P60" i="4"/>
  <c r="H652" i="4"/>
  <c r="AV614" i="4"/>
  <c r="H653" i="4"/>
  <c r="I652" i="4"/>
  <c r="AV569" i="4"/>
  <c r="AW569" i="4"/>
  <c r="G577" i="4"/>
  <c r="F577" i="4"/>
  <c r="F243" i="4"/>
  <c r="F249" i="4" s="1"/>
  <c r="AV571" i="4"/>
  <c r="G480" i="4"/>
  <c r="AU177" i="4"/>
  <c r="I571" i="4"/>
  <c r="I534" i="4"/>
  <c r="AW528" i="4"/>
  <c r="L249" i="4"/>
  <c r="L289" i="4"/>
  <c r="L390" i="4"/>
  <c r="M432" i="4" s="1"/>
  <c r="D363" i="4"/>
  <c r="E363" i="4"/>
  <c r="F363" i="4"/>
  <c r="G360" i="4"/>
  <c r="F360" i="4"/>
  <c r="F429" i="4"/>
  <c r="G429" i="4"/>
  <c r="AU386" i="4"/>
  <c r="H360" i="4"/>
  <c r="AV317" i="4"/>
  <c r="I360" i="4"/>
  <c r="AV358" i="4"/>
  <c r="AW358" i="4"/>
  <c r="I429" i="4"/>
  <c r="AV386" i="4"/>
  <c r="H429" i="4"/>
  <c r="E648" i="4"/>
  <c r="D648" i="4"/>
  <c r="AU646" i="4"/>
  <c r="AT646" i="4"/>
  <c r="E645" i="4"/>
  <c r="AT605" i="4"/>
  <c r="D645" i="4"/>
  <c r="F645" i="4"/>
  <c r="G645" i="4"/>
  <c r="AU605" i="4"/>
  <c r="H615" i="4"/>
  <c r="H617" i="4" s="1"/>
  <c r="H593" i="4" s="1"/>
  <c r="F584" i="4"/>
  <c r="F253" i="4"/>
  <c r="F254" i="4" s="1"/>
  <c r="F256" i="4" s="1"/>
  <c r="F225" i="4" s="1"/>
  <c r="F585" i="4"/>
  <c r="AU544" i="4"/>
  <c r="G584" i="4"/>
  <c r="F545" i="4"/>
  <c r="F547" i="4" s="1"/>
  <c r="F522" i="4" s="1"/>
  <c r="H584" i="4"/>
  <c r="H253" i="4"/>
  <c r="H472" i="4" s="1"/>
  <c r="AV544" i="4"/>
  <c r="I584" i="4"/>
  <c r="H585" i="4"/>
  <c r="H579" i="4"/>
  <c r="AV540" i="4"/>
  <c r="I579" i="4"/>
  <c r="AW573" i="4"/>
  <c r="AV573" i="4"/>
  <c r="F217" i="4"/>
  <c r="F208" i="4"/>
  <c r="AU165" i="4"/>
  <c r="G208" i="4"/>
  <c r="H105" i="4"/>
  <c r="H729" i="4"/>
  <c r="AV129" i="4"/>
  <c r="AW129" i="4"/>
  <c r="H430" i="4"/>
  <c r="AW354" i="4"/>
  <c r="AX356" i="4"/>
  <c r="AV354" i="4"/>
  <c r="AW356" i="4"/>
  <c r="AV416" i="4"/>
  <c r="H425" i="4"/>
  <c r="E480" i="4"/>
  <c r="H686" i="4"/>
  <c r="H688" i="4" s="1"/>
  <c r="I725" i="4"/>
  <c r="H725" i="4"/>
  <c r="H726" i="4"/>
  <c r="H139" i="4"/>
  <c r="I139" i="4"/>
  <c r="G384" i="4"/>
  <c r="H528" i="4"/>
  <c r="H19" i="4"/>
  <c r="I57" i="4" s="1"/>
  <c r="I63" i="3"/>
  <c r="D528" i="4"/>
  <c r="AT528" i="4" s="1"/>
  <c r="E63" i="3"/>
  <c r="AZ63" i="3" s="1"/>
  <c r="AW384" i="4"/>
  <c r="AV132" i="4"/>
  <c r="AX134" i="4"/>
  <c r="K491" i="4"/>
  <c r="L648" i="4"/>
  <c r="N468" i="4"/>
  <c r="P491" i="4"/>
  <c r="P500" i="4" s="1"/>
  <c r="AX64" i="4"/>
  <c r="S211" i="4"/>
  <c r="F495" i="4"/>
  <c r="AU495" i="4" s="1"/>
  <c r="AU420" i="4"/>
  <c r="Q428" i="4"/>
  <c r="P426" i="4"/>
  <c r="AZ419" i="4"/>
  <c r="AT419" i="4"/>
  <c r="AT426" i="4" s="1"/>
  <c r="E426" i="4"/>
  <c r="E428" i="4"/>
  <c r="D426" i="4"/>
  <c r="L441" i="4"/>
  <c r="AX415" i="4"/>
  <c r="AX441" i="4" s="1"/>
  <c r="AW415" i="4"/>
  <c r="AW441" i="4" s="1"/>
  <c r="J441" i="4"/>
  <c r="P464" i="4"/>
  <c r="P508" i="4" s="1"/>
  <c r="P290" i="4"/>
  <c r="P249" i="4"/>
  <c r="AZ249" i="4" s="1"/>
  <c r="P392" i="4"/>
  <c r="N504" i="4"/>
  <c r="M504" i="4"/>
  <c r="AY458" i="4"/>
  <c r="P494" i="4"/>
  <c r="S514" i="4"/>
  <c r="BA472" i="4"/>
  <c r="R36" i="4"/>
  <c r="R67" i="4"/>
  <c r="P360" i="4"/>
  <c r="AZ317" i="4"/>
  <c r="P429" i="4"/>
  <c r="AZ386" i="4"/>
  <c r="Q360" i="4"/>
  <c r="Q289" i="4"/>
  <c r="Q390" i="4"/>
  <c r="BA243" i="4"/>
  <c r="AG152" i="28" s="1"/>
  <c r="AG60" i="28" s="1"/>
  <c r="Q462" i="4"/>
  <c r="Q507" i="4" s="1"/>
  <c r="H294" i="4"/>
  <c r="AU691" i="4"/>
  <c r="F105" i="4"/>
  <c r="AZ269" i="4"/>
  <c r="AZ278" i="4" s="1"/>
  <c r="P278" i="4"/>
  <c r="Q278" i="4"/>
  <c r="Q280" i="4"/>
  <c r="P423" i="4"/>
  <c r="O433" i="4"/>
  <c r="O423" i="4"/>
  <c r="N423" i="4"/>
  <c r="M423" i="4"/>
  <c r="M433" i="4"/>
  <c r="L423" i="4"/>
  <c r="K423" i="4"/>
  <c r="K433" i="4"/>
  <c r="G423" i="4"/>
  <c r="H423" i="4"/>
  <c r="G433" i="4"/>
  <c r="C423" i="4"/>
  <c r="D423" i="4"/>
  <c r="J433" i="4"/>
  <c r="AW392" i="4"/>
  <c r="AW433" i="4" s="1"/>
  <c r="P432" i="4"/>
  <c r="O432" i="4"/>
  <c r="AZ390" i="4"/>
  <c r="O505" i="4"/>
  <c r="N505" i="4"/>
  <c r="AY459" i="4"/>
  <c r="K505" i="4"/>
  <c r="AW459" i="4"/>
  <c r="J505" i="4"/>
  <c r="G505" i="4"/>
  <c r="J428" i="4"/>
  <c r="AW383" i="4"/>
  <c r="N428" i="4"/>
  <c r="AY383" i="4"/>
  <c r="O452" i="4"/>
  <c r="AZ453" i="4"/>
  <c r="I380" i="4"/>
  <c r="AW381" i="4"/>
  <c r="AV381" i="4"/>
  <c r="G380" i="4"/>
  <c r="C452" i="4"/>
  <c r="C499" i="4" s="1"/>
  <c r="AT453" i="4"/>
  <c r="O384" i="4"/>
  <c r="AZ384" i="4" s="1"/>
  <c r="O237" i="4"/>
  <c r="N494" i="4"/>
  <c r="N432" i="4"/>
  <c r="AY390" i="4"/>
  <c r="K462" i="4"/>
  <c r="K507" i="4" s="1"/>
  <c r="K289" i="4"/>
  <c r="K249" i="4"/>
  <c r="L72" i="3"/>
  <c r="K60" i="4"/>
  <c r="L57" i="4"/>
  <c r="L67" i="3"/>
  <c r="K57" i="4"/>
  <c r="AX19" i="4"/>
  <c r="AX20" i="4" s="1"/>
  <c r="AX28" i="4" s="1"/>
  <c r="AV577" i="4"/>
  <c r="AW577" i="4"/>
  <c r="AV243" i="4"/>
  <c r="AW289" i="4" s="1"/>
  <c r="H289" i="4"/>
  <c r="H390" i="4"/>
  <c r="AU685" i="4"/>
  <c r="AV725" i="4" s="1"/>
  <c r="F725" i="4"/>
  <c r="H494" i="4"/>
  <c r="D494" i="4"/>
  <c r="C571" i="4"/>
  <c r="C534" i="4"/>
  <c r="G468" i="4"/>
  <c r="R278" i="4"/>
  <c r="BA269" i="4"/>
  <c r="R493" i="4"/>
  <c r="BA493" i="4" s="1"/>
  <c r="BA418" i="4"/>
  <c r="Q426" i="4"/>
  <c r="O508" i="4"/>
  <c r="E462" i="4"/>
  <c r="E249" i="4"/>
  <c r="E390" i="4"/>
  <c r="F216" i="4"/>
  <c r="G216" i="4"/>
  <c r="E384" i="4"/>
  <c r="AW87" i="4"/>
  <c r="F528" i="4"/>
  <c r="F87" i="4"/>
  <c r="I67" i="4"/>
  <c r="I518" i="4" s="1"/>
  <c r="I36" i="4"/>
  <c r="N379" i="4"/>
  <c r="N380" i="4" s="1"/>
  <c r="N309" i="4"/>
  <c r="N353" i="4" s="1"/>
  <c r="D360" i="4"/>
  <c r="AT317" i="4"/>
  <c r="E360" i="4"/>
  <c r="E429" i="4"/>
  <c r="D429" i="4"/>
  <c r="AT386" i="4"/>
  <c r="AT429" i="4" s="1"/>
  <c r="AV361" i="4"/>
  <c r="AU361" i="4"/>
  <c r="H363" i="4"/>
  <c r="I363" i="4"/>
  <c r="H504" i="4"/>
  <c r="I504" i="4"/>
  <c r="AV458" i="4"/>
  <c r="F293" i="4"/>
  <c r="F398" i="4"/>
  <c r="AU398" i="4" s="1"/>
  <c r="AU610" i="4"/>
  <c r="AU648" i="4" s="1"/>
  <c r="F648" i="4"/>
  <c r="G648" i="4"/>
  <c r="I648" i="4"/>
  <c r="AV610" i="4"/>
  <c r="H648" i="4"/>
  <c r="AU252" i="4"/>
  <c r="F399" i="4"/>
  <c r="AU399" i="4" s="1"/>
  <c r="F540" i="4"/>
  <c r="F588" i="4"/>
  <c r="F299" i="4"/>
  <c r="AV252" i="4"/>
  <c r="D216" i="4"/>
  <c r="AT177" i="4"/>
  <c r="E216" i="4"/>
  <c r="D178" i="4"/>
  <c r="D180" i="4" s="1"/>
  <c r="D153" i="4" s="1"/>
  <c r="H216" i="4"/>
  <c r="I216" i="4"/>
  <c r="H217" i="4"/>
  <c r="H178" i="4"/>
  <c r="H180" i="4" s="1"/>
  <c r="AV177" i="4"/>
  <c r="I208" i="4"/>
  <c r="H208" i="4"/>
  <c r="AV165" i="4"/>
  <c r="I134" i="4"/>
  <c r="H134" i="4"/>
  <c r="AV83" i="4"/>
  <c r="H87" i="4"/>
  <c r="AV55" i="4"/>
  <c r="AW55" i="4"/>
  <c r="AU498" i="4"/>
  <c r="AV498" i="4"/>
  <c r="AU317" i="4"/>
  <c r="AV724" i="4"/>
  <c r="AV674" i="4"/>
  <c r="AV682" i="4" s="1"/>
  <c r="AV728" i="4" s="1"/>
  <c r="AV717" i="4"/>
  <c r="F231" i="4"/>
  <c r="AU231" i="4" s="1"/>
  <c r="AW530" i="4"/>
  <c r="AW572" i="4" s="1"/>
  <c r="J534" i="4"/>
  <c r="AV15" i="4"/>
  <c r="H233" i="4"/>
  <c r="H530" i="4"/>
  <c r="AV530" i="4" s="1"/>
  <c r="AV572" i="4" s="1"/>
  <c r="I64" i="3"/>
  <c r="BB64" i="3" s="1"/>
  <c r="G280" i="4"/>
  <c r="G382" i="4"/>
  <c r="G237" i="4"/>
  <c r="C57" i="4"/>
  <c r="D67" i="3"/>
  <c r="D68" i="3" s="1"/>
  <c r="AU139" i="4"/>
  <c r="AU138" i="4"/>
  <c r="E534" i="4"/>
  <c r="AV356" i="4"/>
  <c r="H491" i="4"/>
  <c r="AV491" i="4" s="1"/>
  <c r="AW571" i="4"/>
  <c r="AX354" i="4"/>
  <c r="BA53" i="3"/>
  <c r="BA242" i="3"/>
  <c r="BA281" i="3"/>
  <c r="BA282" i="3" s="1"/>
  <c r="H348" i="3"/>
  <c r="BA346" i="3"/>
  <c r="BJ427" i="3"/>
  <c r="AW309" i="3"/>
  <c r="AW576" i="3" s="1"/>
  <c r="AW577" i="3" s="1"/>
  <c r="AW55" i="3"/>
  <c r="BA314" i="3"/>
  <c r="BA46" i="3"/>
  <c r="BI249" i="3"/>
  <c r="M124" i="4"/>
  <c r="O479" i="3"/>
  <c r="O503" i="3" s="1"/>
  <c r="P39" i="3"/>
  <c r="BE39" i="3"/>
  <c r="BC454" i="4"/>
  <c r="BC105" i="4"/>
  <c r="BC211" i="4"/>
  <c r="BE161" i="4"/>
  <c r="BC456" i="4"/>
  <c r="BD96" i="3"/>
  <c r="BF320" i="4"/>
  <c r="AX674" i="4"/>
  <c r="AX682" i="4" s="1"/>
  <c r="AY717" i="4"/>
  <c r="AX639" i="4"/>
  <c r="AX641" i="4"/>
  <c r="S429" i="4"/>
  <c r="BA386" i="4"/>
  <c r="BD85" i="4"/>
  <c r="BB43" i="4"/>
  <c r="BC391" i="4"/>
  <c r="BC86" i="4"/>
  <c r="BC130" i="4" s="1"/>
  <c r="Q36" i="4"/>
  <c r="Q67" i="4"/>
  <c r="O379" i="4"/>
  <c r="O380" i="4" s="1"/>
  <c r="O309" i="4"/>
  <c r="P308" i="4"/>
  <c r="K432" i="4"/>
  <c r="K534" i="4"/>
  <c r="AX530" i="4"/>
  <c r="C384" i="4"/>
  <c r="E280" i="4"/>
  <c r="E237" i="4"/>
  <c r="E460" i="4" s="1"/>
  <c r="E382" i="4"/>
  <c r="AW231" i="4"/>
  <c r="I382" i="4"/>
  <c r="I237" i="4"/>
  <c r="I280" i="4"/>
  <c r="BB195" i="4"/>
  <c r="BB194" i="4"/>
  <c r="AT55" i="4"/>
  <c r="BH65" i="3"/>
  <c r="O79" i="4"/>
  <c r="O124" i="4" s="1"/>
  <c r="P78" i="4"/>
  <c r="AY211" i="4"/>
  <c r="BC317" i="4"/>
  <c r="BC360" i="4" s="1"/>
  <c r="BE314" i="4"/>
  <c r="N57" i="4"/>
  <c r="M57" i="4"/>
  <c r="AY19" i="4"/>
  <c r="D64" i="4"/>
  <c r="E76" i="3"/>
  <c r="J57" i="4"/>
  <c r="AW19" i="4"/>
  <c r="J67" i="3"/>
  <c r="F67" i="3"/>
  <c r="BB35" i="4"/>
  <c r="S434" i="4"/>
  <c r="N68" i="3"/>
  <c r="N73" i="3" s="1"/>
  <c r="N534" i="3" s="1"/>
  <c r="BE67" i="3"/>
  <c r="BE68" i="3" s="1"/>
  <c r="BC255" i="4"/>
  <c r="AT290" i="4"/>
  <c r="H428" i="4"/>
  <c r="AV383" i="4"/>
  <c r="O156" i="4"/>
  <c r="AV470" i="4"/>
  <c r="BC101" i="4"/>
  <c r="BD476" i="4"/>
  <c r="BC85" i="4"/>
  <c r="BC129" i="4" s="1"/>
  <c r="AZ402" i="3"/>
  <c r="L10" i="4"/>
  <c r="M60" i="3" s="1"/>
  <c r="BC671" i="4"/>
  <c r="BC715" i="4" s="1"/>
  <c r="BE687" i="4"/>
  <c r="S426" i="4"/>
  <c r="S428" i="4"/>
  <c r="R494" i="4"/>
  <c r="R428" i="4"/>
  <c r="R426" i="4"/>
  <c r="BA419" i="4"/>
  <c r="P507" i="4"/>
  <c r="AZ462" i="4"/>
  <c r="AZ382" i="4"/>
  <c r="C280" i="4"/>
  <c r="C382" i="4"/>
  <c r="C237" i="4"/>
  <c r="P427" i="4"/>
  <c r="AT398" i="4"/>
  <c r="D433" i="4"/>
  <c r="AT392" i="4"/>
  <c r="D428" i="4"/>
  <c r="AT383" i="4"/>
  <c r="F428" i="4"/>
  <c r="AU383" i="4"/>
  <c r="BB346" i="4"/>
  <c r="BB417" i="4"/>
  <c r="BB357" i="4"/>
  <c r="BB355" i="4"/>
  <c r="BA53" i="4"/>
  <c r="AZ53" i="4"/>
  <c r="AZ51" i="4"/>
  <c r="BA51" i="4"/>
  <c r="M10" i="4"/>
  <c r="N60" i="3" s="1"/>
  <c r="AW530" i="3"/>
  <c r="AW527" i="3"/>
  <c r="AW534" i="3"/>
  <c r="AW531" i="3"/>
  <c r="AW77" i="3"/>
  <c r="AW528" i="3"/>
  <c r="S561" i="3"/>
  <c r="BG561" i="3" s="1"/>
  <c r="BG563" i="3" s="1"/>
  <c r="BG22" i="3" s="1"/>
  <c r="S55" i="3"/>
  <c r="R520" i="4" s="1"/>
  <c r="Q520" i="4"/>
  <c r="N520" i="4"/>
  <c r="AZ543" i="3"/>
  <c r="E545" i="3"/>
  <c r="AZ545" i="3" s="1"/>
  <c r="BC402" i="3"/>
  <c r="BB402" i="3"/>
  <c r="BB419" i="3" s="1"/>
  <c r="BA544" i="3"/>
  <c r="H544" i="3"/>
  <c r="I544" i="3" s="1"/>
  <c r="S219" i="3"/>
  <c r="F543" i="3"/>
  <c r="F545" i="3" s="1"/>
  <c r="G542" i="3"/>
  <c r="BD402" i="3"/>
  <c r="BD419" i="3" s="1"/>
  <c r="BH141" i="3"/>
  <c r="BH251" i="3"/>
  <c r="BF571" i="3"/>
  <c r="BF569" i="3"/>
  <c r="BH79" i="3"/>
  <c r="AG19" i="32" s="1"/>
  <c r="BA532" i="3"/>
  <c r="AZ82" i="3"/>
  <c r="BC82" i="3"/>
  <c r="K96" i="3"/>
  <c r="BC96" i="3" s="1"/>
  <c r="O96" i="3"/>
  <c r="BE96" i="3" s="1"/>
  <c r="BE82" i="3"/>
  <c r="BD532" i="3"/>
  <c r="R96" i="3"/>
  <c r="BG96" i="3" s="1"/>
  <c r="BG82" i="3"/>
  <c r="Q96" i="3"/>
  <c r="BF96" i="3" s="1"/>
  <c r="BF82" i="3"/>
  <c r="BB532" i="3"/>
  <c r="AY63" i="4"/>
  <c r="BE532" i="3"/>
  <c r="AY489" i="4"/>
  <c r="BD82" i="3"/>
  <c r="BC242" i="4"/>
  <c r="AZ489" i="4"/>
  <c r="AZ63" i="4"/>
  <c r="BA63" i="4"/>
  <c r="BJ405" i="3"/>
  <c r="BJ433" i="3"/>
  <c r="BJ432" i="3"/>
  <c r="BJ429" i="3"/>
  <c r="BJ387" i="3"/>
  <c r="BI539" i="3"/>
  <c r="BJ541" i="3"/>
  <c r="BK540" i="3"/>
  <c r="BJ465" i="3"/>
  <c r="BJ538" i="3"/>
  <c r="BK317" i="3"/>
  <c r="BJ326" i="3"/>
  <c r="BJ286" i="3"/>
  <c r="BJ291" i="3"/>
  <c r="BI392" i="3"/>
  <c r="BJ285" i="3"/>
  <c r="BJ194" i="3"/>
  <c r="BJ191" i="3"/>
  <c r="BJ172" i="3"/>
  <c r="BJ195" i="3"/>
  <c r="BJ175" i="3"/>
  <c r="BI190" i="3"/>
  <c r="BI245" i="3"/>
  <c r="BI196" i="3"/>
  <c r="BI174" i="3"/>
  <c r="BJ198" i="3"/>
  <c r="BJ453" i="3"/>
  <c r="BI461" i="3"/>
  <c r="BI452" i="3"/>
  <c r="BI141" i="3"/>
  <c r="BB202" i="4"/>
  <c r="BB204" i="4"/>
  <c r="BI447" i="3"/>
  <c r="BI157" i="3"/>
  <c r="BI448" i="3"/>
  <c r="BI158" i="3"/>
  <c r="BJ135" i="3"/>
  <c r="BI107" i="3"/>
  <c r="BJ106" i="3"/>
  <c r="BJ39" i="3"/>
  <c r="BC495" i="4"/>
  <c r="BC459" i="4"/>
  <c r="BC505" i="4" s="1"/>
  <c r="BC475" i="4"/>
  <c r="BC455" i="4"/>
  <c r="BD454" i="4"/>
  <c r="BI82" i="3"/>
  <c r="BC348" i="4"/>
  <c r="BC355" i="4" s="1"/>
  <c r="BC335" i="4"/>
  <c r="BC316" i="4"/>
  <c r="BC359" i="4" s="1"/>
  <c r="BC406" i="4"/>
  <c r="BC291" i="4"/>
  <c r="BC235" i="4"/>
  <c r="BC282" i="4" s="1"/>
  <c r="BC385" i="4"/>
  <c r="BD255" i="4"/>
  <c r="BD233" i="4"/>
  <c r="BD197" i="4"/>
  <c r="BC193" i="4"/>
  <c r="BC202" i="4" s="1"/>
  <c r="BC195" i="4"/>
  <c r="BB205" i="4"/>
  <c r="BB166" i="4"/>
  <c r="AH147" i="28" s="1"/>
  <c r="AH44" i="28" s="1"/>
  <c r="BC159" i="4"/>
  <c r="BD163" i="4"/>
  <c r="BD206" i="4" s="1"/>
  <c r="BB22" i="4"/>
  <c r="BB701" i="4"/>
  <c r="BB700" i="4"/>
  <c r="BC691" i="4"/>
  <c r="BH406" i="3"/>
  <c r="BC705" i="4"/>
  <c r="BC712" i="4" s="1"/>
  <c r="BC703" i="4"/>
  <c r="BC698" i="4"/>
  <c r="BC709" i="4" s="1"/>
  <c r="BD699" i="4"/>
  <c r="BC120" i="4"/>
  <c r="BH118" i="3"/>
  <c r="BC112" i="4"/>
  <c r="BC123" i="4" s="1"/>
  <c r="BC89" i="4"/>
  <c r="BC132" i="4" s="1"/>
  <c r="BC134" i="4"/>
  <c r="BA231" i="4"/>
  <c r="R382" i="4"/>
  <c r="R237" i="4"/>
  <c r="S284" i="4" s="1"/>
  <c r="R280" i="4"/>
  <c r="BB230" i="4"/>
  <c r="BD363" i="4"/>
  <c r="BB358" i="4"/>
  <c r="BB318" i="4"/>
  <c r="BB386" i="4"/>
  <c r="BC315" i="4"/>
  <c r="R10" i="9"/>
  <c r="Y7" i="9"/>
  <c r="V9" i="9"/>
  <c r="T8" i="9"/>
  <c r="S10" i="9"/>
  <c r="BG73" i="3" l="1"/>
  <c r="AG137" i="28" s="1"/>
  <c r="AG6" i="28" s="1"/>
  <c r="AG8" i="28" s="1"/>
  <c r="AF6" i="32"/>
  <c r="AF10" i="32" s="1"/>
  <c r="Q518" i="4"/>
  <c r="C24" i="32"/>
  <c r="R73" i="3"/>
  <c r="D137" i="28" s="1"/>
  <c r="D6" i="28" s="1"/>
  <c r="C6" i="32"/>
  <c r="C10" i="32" s="1"/>
  <c r="R518" i="4"/>
  <c r="D24" i="32"/>
  <c r="S73" i="3"/>
  <c r="S530" i="3" s="1"/>
  <c r="D6" i="32"/>
  <c r="D10" i="32" s="1"/>
  <c r="AF15" i="32"/>
  <c r="R291" i="4"/>
  <c r="Q396" i="4"/>
  <c r="BA396" i="4" s="1"/>
  <c r="BB434" i="4" s="1"/>
  <c r="AH46" i="28"/>
  <c r="AH47" i="28"/>
  <c r="D63" i="28"/>
  <c r="D62" i="28"/>
  <c r="AG79" i="28"/>
  <c r="AG78" i="28"/>
  <c r="AH58" i="28"/>
  <c r="AH57" i="28"/>
  <c r="E101" i="28"/>
  <c r="E100" i="28"/>
  <c r="AG63" i="28"/>
  <c r="AG62" i="28"/>
  <c r="AI62" i="28"/>
  <c r="AI63" i="28"/>
  <c r="D163" i="28"/>
  <c r="D98" i="28" s="1"/>
  <c r="BA249" i="4"/>
  <c r="BB291" i="4" s="1"/>
  <c r="BF562" i="3"/>
  <c r="BF564" i="3" s="1"/>
  <c r="BF26" i="3" s="1"/>
  <c r="BC561" i="3"/>
  <c r="BC563" i="3" s="1"/>
  <c r="BC22" i="3" s="1"/>
  <c r="BA174" i="4"/>
  <c r="AG147" i="28"/>
  <c r="AG44" i="28" s="1"/>
  <c r="BC288" i="4"/>
  <c r="AI151" i="28"/>
  <c r="AI55" i="28" s="1"/>
  <c r="BC358" i="4"/>
  <c r="AI159" i="28"/>
  <c r="AI87" i="28" s="1"/>
  <c r="E2" i="4"/>
  <c r="BE562" i="3"/>
  <c r="BE564" i="3" s="1"/>
  <c r="BE26" i="3" s="1"/>
  <c r="BC562" i="3"/>
  <c r="BC564" i="3" s="1"/>
  <c r="BC26" i="3" s="1"/>
  <c r="AY476" i="3"/>
  <c r="AY501" i="3" s="1"/>
  <c r="AX31" i="3"/>
  <c r="AZ562" i="3"/>
  <c r="AZ564" i="3" s="1"/>
  <c r="AZ26" i="3" s="1"/>
  <c r="AZ71" i="3"/>
  <c r="O73" i="3"/>
  <c r="O531" i="3" s="1"/>
  <c r="BA304" i="3"/>
  <c r="BA276" i="3" s="1"/>
  <c r="BA575" i="3" s="1"/>
  <c r="BA577" i="3" s="1"/>
  <c r="I520" i="4"/>
  <c r="D61" i="3"/>
  <c r="E564" i="3"/>
  <c r="E26" i="3" s="1"/>
  <c r="N434" i="4"/>
  <c r="BA326" i="4"/>
  <c r="BA365" i="4" s="1"/>
  <c r="AZ363" i="4"/>
  <c r="AU363" i="4"/>
  <c r="AU134" i="4"/>
  <c r="BA468" i="4"/>
  <c r="AT464" i="4"/>
  <c r="K468" i="4"/>
  <c r="K509" i="4" s="1"/>
  <c r="AX249" i="4"/>
  <c r="AZ174" i="4"/>
  <c r="AZ178" i="4" s="1"/>
  <c r="AZ180" i="4" s="1"/>
  <c r="AZ153" i="4" s="1"/>
  <c r="AV249" i="4"/>
  <c r="AW291" i="4" s="1"/>
  <c r="AY468" i="4"/>
  <c r="AT174" i="4"/>
  <c r="AT213" i="4" s="1"/>
  <c r="AU249" i="4"/>
  <c r="J434" i="4"/>
  <c r="AW396" i="4"/>
  <c r="C509" i="4"/>
  <c r="AY396" i="4"/>
  <c r="C434" i="4"/>
  <c r="G520" i="4"/>
  <c r="Q73" i="3"/>
  <c r="F520" i="4"/>
  <c r="BG577" i="3"/>
  <c r="K73" i="3"/>
  <c r="K77" i="3" s="1"/>
  <c r="BA348" i="3"/>
  <c r="AY213" i="4"/>
  <c r="BF72" i="3"/>
  <c r="AY217" i="4"/>
  <c r="AT384" i="4"/>
  <c r="AY178" i="4"/>
  <c r="AY180" i="4" s="1"/>
  <c r="AY153" i="4" s="1"/>
  <c r="D131" i="4"/>
  <c r="AT233" i="4"/>
  <c r="BA363" i="4"/>
  <c r="BA28" i="4"/>
  <c r="BA726" i="4"/>
  <c r="BA686" i="4"/>
  <c r="BA688" i="4" s="1"/>
  <c r="BA661" i="4" s="1"/>
  <c r="AT87" i="4"/>
  <c r="AT131" i="4" s="1"/>
  <c r="AX534" i="3"/>
  <c r="AX535" i="3"/>
  <c r="AX533" i="3"/>
  <c r="BG49" i="3"/>
  <c r="BG574" i="3" s="1"/>
  <c r="AX30" i="3"/>
  <c r="AX476" i="3"/>
  <c r="AX501" i="3" s="1"/>
  <c r="AX81" i="3"/>
  <c r="AY535" i="3"/>
  <c r="BC354" i="3"/>
  <c r="F33" i="3"/>
  <c r="F356" i="3" s="1"/>
  <c r="F357" i="3" s="1"/>
  <c r="F481" i="3" s="1"/>
  <c r="F505" i="3" s="1"/>
  <c r="AW33" i="3"/>
  <c r="AW356" i="3" s="1"/>
  <c r="AW357" i="3" s="1"/>
  <c r="AW481" i="3" s="1"/>
  <c r="AW505" i="3" s="1"/>
  <c r="AX33" i="3"/>
  <c r="AX356" i="3" s="1"/>
  <c r="AX357" i="3" s="1"/>
  <c r="AX481" i="3" s="1"/>
  <c r="AX505" i="3" s="1"/>
  <c r="AN299" i="4"/>
  <c r="AO299" i="4" s="1"/>
  <c r="AP299" i="4" s="1"/>
  <c r="AQ299" i="4" s="1"/>
  <c r="AR299" i="4" s="1"/>
  <c r="AN370" i="4"/>
  <c r="AO370" i="4" s="1"/>
  <c r="AP370" i="4" s="1"/>
  <c r="AQ370" i="4" s="1"/>
  <c r="AR370" i="4" s="1"/>
  <c r="L520" i="4"/>
  <c r="AX520" i="4" s="1"/>
  <c r="AZ304" i="3"/>
  <c r="AZ276" i="3" s="1"/>
  <c r="AZ575" i="3" s="1"/>
  <c r="AZ577" i="3" s="1"/>
  <c r="AZ242" i="3"/>
  <c r="AZ56" i="3"/>
  <c r="AU27" i="4"/>
  <c r="AV60" i="4" s="1"/>
  <c r="F60" i="4"/>
  <c r="N439" i="4"/>
  <c r="BE49" i="3"/>
  <c r="BE574" i="3" s="1"/>
  <c r="BE55" i="3"/>
  <c r="D5" i="4"/>
  <c r="D292" i="4" s="1"/>
  <c r="E532" i="3"/>
  <c r="E563" i="3"/>
  <c r="E22" i="3" s="1"/>
  <c r="BG55" i="3"/>
  <c r="E61" i="3"/>
  <c r="C5" i="4"/>
  <c r="C292" i="4" s="1"/>
  <c r="AZ29" i="3"/>
  <c r="AZ479" i="3" s="1"/>
  <c r="AZ503" i="3" s="1"/>
  <c r="D563" i="3"/>
  <c r="D22" i="3" s="1"/>
  <c r="AX2" i="3"/>
  <c r="BC355" i="3"/>
  <c r="BC480" i="3" s="1"/>
  <c r="BC504" i="3" s="1"/>
  <c r="D532" i="3"/>
  <c r="AZ60" i="3"/>
  <c r="AZ61" i="3" s="1"/>
  <c r="D533" i="3"/>
  <c r="G3" i="3"/>
  <c r="G68" i="3"/>
  <c r="E3" i="4"/>
  <c r="AU233" i="4"/>
  <c r="AU384" i="4"/>
  <c r="G72" i="3"/>
  <c r="BA72" i="3" s="1"/>
  <c r="AY435" i="4"/>
  <c r="AT584" i="4"/>
  <c r="AU464" i="4"/>
  <c r="AU508" i="4" s="1"/>
  <c r="AY653" i="4"/>
  <c r="H1" i="3"/>
  <c r="BD72" i="3"/>
  <c r="BA562" i="3"/>
  <c r="BA564" i="3" s="1"/>
  <c r="BA26" i="3" s="1"/>
  <c r="BA71" i="3"/>
  <c r="F1" i="4"/>
  <c r="G2" i="3"/>
  <c r="H520" i="4"/>
  <c r="BA520" i="4"/>
  <c r="AY520" i="4"/>
  <c r="AZ520" i="4"/>
  <c r="AJ451" i="4"/>
  <c r="AK451" i="4" s="1"/>
  <c r="M73" i="3"/>
  <c r="M530" i="3" s="1"/>
  <c r="BA722" i="4"/>
  <c r="E289" i="4"/>
  <c r="D67" i="4"/>
  <c r="D518" i="4" s="1"/>
  <c r="R182" i="4"/>
  <c r="AT259" i="4"/>
  <c r="AY650" i="4"/>
  <c r="AU211" i="4"/>
  <c r="AY615" i="4"/>
  <c r="AY617" i="4" s="1"/>
  <c r="AY593" i="4" s="1"/>
  <c r="AW472" i="4"/>
  <c r="AW513" i="4" s="1"/>
  <c r="J514" i="4"/>
  <c r="D480" i="4"/>
  <c r="AT480" i="4" s="1"/>
  <c r="K514" i="4"/>
  <c r="AU577" i="4"/>
  <c r="D472" i="4"/>
  <c r="AT472" i="4" s="1"/>
  <c r="E296" i="4"/>
  <c r="D297" i="4"/>
  <c r="D462" i="4"/>
  <c r="AT462" i="4" s="1"/>
  <c r="AT507" i="4" s="1"/>
  <c r="D254" i="4"/>
  <c r="D256" i="4" s="1"/>
  <c r="D225" i="4" s="1"/>
  <c r="D400" i="4"/>
  <c r="E439" i="4" s="1"/>
  <c r="AZ72" i="3"/>
  <c r="I60" i="4"/>
  <c r="AY131" i="4"/>
  <c r="AW368" i="4"/>
  <c r="AW365" i="4"/>
  <c r="AZ131" i="4"/>
  <c r="AZ295" i="4"/>
  <c r="AW370" i="4"/>
  <c r="D73" i="3"/>
  <c r="D535" i="3" s="1"/>
  <c r="AT19" i="4"/>
  <c r="AT20" i="4" s="1"/>
  <c r="AT28" i="4" s="1"/>
  <c r="F57" i="4"/>
  <c r="G57" i="4"/>
  <c r="BE73" i="3"/>
  <c r="BE531" i="3" s="1"/>
  <c r="AU19" i="4"/>
  <c r="J439" i="4"/>
  <c r="AT651" i="4"/>
  <c r="F36" i="4"/>
  <c r="F7" i="4" s="1"/>
  <c r="D390" i="4"/>
  <c r="E432" i="4" s="1"/>
  <c r="AV278" i="4"/>
  <c r="D249" i="4"/>
  <c r="D296" i="4"/>
  <c r="D289" i="4"/>
  <c r="AZ400" i="4"/>
  <c r="BA439" i="4" s="1"/>
  <c r="O439" i="4"/>
  <c r="AV504" i="4"/>
  <c r="M424" i="4"/>
  <c r="BD672" i="4"/>
  <c r="BD716" i="4" s="1"/>
  <c r="W459" i="4"/>
  <c r="X505" i="4" s="1"/>
  <c r="W462" i="4"/>
  <c r="X507" i="4" s="1"/>
  <c r="BD495" i="4"/>
  <c r="BE276" i="3"/>
  <c r="BE575" i="3" s="1"/>
  <c r="BE577" i="3" s="1"/>
  <c r="AV459" i="4"/>
  <c r="AW505" i="4" s="1"/>
  <c r="BK99" i="3"/>
  <c r="H396" i="4"/>
  <c r="AV396" i="4" s="1"/>
  <c r="H505" i="4"/>
  <c r="BD49" i="3"/>
  <c r="BD574" i="3" s="1"/>
  <c r="AX237" i="4"/>
  <c r="AX238" i="4" s="1"/>
  <c r="AY722" i="4"/>
  <c r="H291" i="4"/>
  <c r="S427" i="4"/>
  <c r="AT416" i="4"/>
  <c r="R509" i="4"/>
  <c r="AX611" i="4"/>
  <c r="AX615" i="4" s="1"/>
  <c r="AX617" i="4" s="1"/>
  <c r="AX593" i="4" s="1"/>
  <c r="O575" i="4"/>
  <c r="F480" i="4"/>
  <c r="AU480" i="4" s="1"/>
  <c r="AW650" i="4"/>
  <c r="L388" i="4"/>
  <c r="L389" i="4" s="1"/>
  <c r="F297" i="4"/>
  <c r="H406" i="4"/>
  <c r="AV406" i="4" s="1"/>
  <c r="AU280" i="4"/>
  <c r="P388" i="4"/>
  <c r="P389" i="4" s="1"/>
  <c r="AZ655" i="4"/>
  <c r="AZ534" i="4"/>
  <c r="AZ535" i="4" s="1"/>
  <c r="AZ541" i="4" s="1"/>
  <c r="AZ581" i="4" s="1"/>
  <c r="Q284" i="4"/>
  <c r="P284" i="4"/>
  <c r="D280" i="4"/>
  <c r="Q388" i="4"/>
  <c r="Q389" i="4" s="1"/>
  <c r="AU510" i="4"/>
  <c r="BA416" i="4"/>
  <c r="BA425" i="4" s="1"/>
  <c r="S425" i="4"/>
  <c r="L432" i="4"/>
  <c r="AZ653" i="4"/>
  <c r="L439" i="4"/>
  <c r="AY296" i="4"/>
  <c r="R425" i="4"/>
  <c r="K427" i="4"/>
  <c r="H480" i="4"/>
  <c r="AV480" i="4" s="1"/>
  <c r="AZ615" i="4"/>
  <c r="AZ617" i="4" s="1"/>
  <c r="AZ593" i="4" s="1"/>
  <c r="D237" i="4"/>
  <c r="D284" i="4" s="1"/>
  <c r="E57" i="4"/>
  <c r="AT231" i="4"/>
  <c r="AT280" i="4" s="1"/>
  <c r="AY295" i="4"/>
  <c r="E430" i="4"/>
  <c r="AW438" i="4"/>
  <c r="AW655" i="4"/>
  <c r="D57" i="4"/>
  <c r="O225" i="4"/>
  <c r="H433" i="4"/>
  <c r="AY289" i="4"/>
  <c r="M439" i="4"/>
  <c r="F425" i="4"/>
  <c r="AW615" i="4"/>
  <c r="AW617" i="4" s="1"/>
  <c r="AW593" i="4" s="1"/>
  <c r="F406" i="4"/>
  <c r="AU406" i="4" s="1"/>
  <c r="G427" i="4"/>
  <c r="AV134" i="4"/>
  <c r="AU416" i="4"/>
  <c r="F500" i="4"/>
  <c r="AZ722" i="4"/>
  <c r="AZ728" i="4"/>
  <c r="AY728" i="4"/>
  <c r="AY686" i="4"/>
  <c r="AY688" i="4" s="1"/>
  <c r="AY661" i="4" s="1"/>
  <c r="D503" i="4"/>
  <c r="AT105" i="4"/>
  <c r="C501" i="4"/>
  <c r="J284" i="4"/>
  <c r="G500" i="4"/>
  <c r="J509" i="4"/>
  <c r="K460" i="4"/>
  <c r="AX460" i="4" s="1"/>
  <c r="AW416" i="4"/>
  <c r="AX425" i="4" s="1"/>
  <c r="I7" i="4"/>
  <c r="H661" i="4"/>
  <c r="M575" i="4"/>
  <c r="J427" i="4"/>
  <c r="K225" i="4"/>
  <c r="AZ726" i="4"/>
  <c r="BE672" i="4"/>
  <c r="AZ296" i="4"/>
  <c r="AX400" i="4"/>
  <c r="AX438" i="4" s="1"/>
  <c r="Q7" i="4"/>
  <c r="K425" i="4"/>
  <c r="H153" i="4"/>
  <c r="M225" i="4"/>
  <c r="BD194" i="4"/>
  <c r="D7" i="4"/>
  <c r="L284" i="4"/>
  <c r="L507" i="4"/>
  <c r="R7" i="4"/>
  <c r="C7" i="4"/>
  <c r="H75" i="4"/>
  <c r="O7" i="4"/>
  <c r="M388" i="4"/>
  <c r="M389" i="4" s="1"/>
  <c r="M397" i="4" s="1"/>
  <c r="M401" i="4" s="1"/>
  <c r="M403" i="4" s="1"/>
  <c r="M376" i="4" s="1"/>
  <c r="K284" i="4"/>
  <c r="J460" i="4"/>
  <c r="J461" i="4" s="1"/>
  <c r="J469" i="4" s="1"/>
  <c r="AT387" i="4"/>
  <c r="AT430" i="4" s="1"/>
  <c r="AU723" i="4"/>
  <c r="H297" i="4"/>
  <c r="H60" i="4"/>
  <c r="N531" i="3"/>
  <c r="H468" i="4"/>
  <c r="AV468" i="4" s="1"/>
  <c r="AY363" i="4"/>
  <c r="AW280" i="4"/>
  <c r="AW726" i="4"/>
  <c r="I72" i="3"/>
  <c r="BB72" i="3" s="1"/>
  <c r="AX435" i="4"/>
  <c r="AZ661" i="4"/>
  <c r="AY426" i="4"/>
  <c r="L514" i="4"/>
  <c r="M514" i="4"/>
  <c r="AW213" i="4"/>
  <c r="AW178" i="4"/>
  <c r="AW180" i="4" s="1"/>
  <c r="AW153" i="4" s="1"/>
  <c r="AW219" i="4"/>
  <c r="AW217" i="4"/>
  <c r="BJ431" i="3"/>
  <c r="AY31" i="3"/>
  <c r="AX472" i="4"/>
  <c r="AU392" i="4"/>
  <c r="AU433" i="4" s="1"/>
  <c r="AW728" i="4"/>
  <c r="H36" i="4"/>
  <c r="BD276" i="3"/>
  <c r="BD575" i="3" s="1"/>
  <c r="BD577" i="3" s="1"/>
  <c r="AY472" i="4"/>
  <c r="AY513" i="4" s="1"/>
  <c r="AW722" i="4"/>
  <c r="AZ429" i="4"/>
  <c r="AT208" i="4"/>
  <c r="AV464" i="4"/>
  <c r="AV508" i="4" s="1"/>
  <c r="AU367" i="4"/>
  <c r="BD211" i="4"/>
  <c r="BE190" i="4"/>
  <c r="BE200" i="4" s="1"/>
  <c r="N514" i="4"/>
  <c r="AX480" i="4"/>
  <c r="D520" i="4"/>
  <c r="AT520" i="4" s="1"/>
  <c r="I562" i="3"/>
  <c r="BB71" i="3"/>
  <c r="AY30" i="3"/>
  <c r="BB348" i="3"/>
  <c r="N424" i="4"/>
  <c r="AZ464" i="4"/>
  <c r="AZ508" i="4" s="1"/>
  <c r="AZ426" i="4"/>
  <c r="BA280" i="4"/>
  <c r="AY81" i="3"/>
  <c r="AZ88" i="4"/>
  <c r="M284" i="4"/>
  <c r="AV611" i="4"/>
  <c r="AV655" i="4" s="1"/>
  <c r="AW139" i="4"/>
  <c r="BA504" i="4"/>
  <c r="J520" i="4"/>
  <c r="AU435" i="4"/>
  <c r="AV139" i="4"/>
  <c r="BA131" i="4"/>
  <c r="AU686" i="4"/>
  <c r="AU688" i="4" s="1"/>
  <c r="AU661" i="4" s="1"/>
  <c r="AX296" i="4"/>
  <c r="AX295" i="4"/>
  <c r="E579" i="4"/>
  <c r="AT540" i="4"/>
  <c r="AT579" i="4" s="1"/>
  <c r="BD313" i="4"/>
  <c r="BD317" i="4"/>
  <c r="BD360" i="4" s="1"/>
  <c r="BC204" i="4"/>
  <c r="BC205" i="4"/>
  <c r="BD200" i="4"/>
  <c r="BA533" i="3"/>
  <c r="R258" i="4"/>
  <c r="L427" i="4"/>
  <c r="AU722" i="4"/>
  <c r="AY428" i="4"/>
  <c r="L491" i="4"/>
  <c r="AX491" i="4" s="1"/>
  <c r="AX502" i="4" s="1"/>
  <c r="AX390" i="4"/>
  <c r="AX432" i="4" s="1"/>
  <c r="BA514" i="4"/>
  <c r="M425" i="4"/>
  <c r="AY505" i="4"/>
  <c r="BD319" i="4"/>
  <c r="AJ157" i="28" s="1"/>
  <c r="AJ76" i="28" s="1"/>
  <c r="M427" i="4"/>
  <c r="BD129" i="4"/>
  <c r="BA429" i="4"/>
  <c r="BF67" i="3"/>
  <c r="BF68" i="3" s="1"/>
  <c r="D491" i="4"/>
  <c r="E500" i="4" s="1"/>
  <c r="D425" i="4"/>
  <c r="AY100" i="4"/>
  <c r="AY102" i="4" s="1"/>
  <c r="BB360" i="4"/>
  <c r="AV367" i="4"/>
  <c r="AV366" i="4"/>
  <c r="AW367" i="4"/>
  <c r="H280" i="4"/>
  <c r="H382" i="4"/>
  <c r="H427" i="4" s="1"/>
  <c r="AV64" i="4"/>
  <c r="AV63" i="4"/>
  <c r="BD342" i="4"/>
  <c r="BD352" i="4" s="1"/>
  <c r="Q355" i="3"/>
  <c r="Q480" i="3" s="1"/>
  <c r="Q504" i="3" s="1"/>
  <c r="BF354" i="3"/>
  <c r="BF355" i="3" s="1"/>
  <c r="BF480" i="3" s="1"/>
  <c r="BF504" i="3" s="1"/>
  <c r="E520" i="4"/>
  <c r="AX217" i="4"/>
  <c r="AX219" i="4"/>
  <c r="AX178" i="4"/>
  <c r="AX180" i="4" s="1"/>
  <c r="AX153" i="4" s="1"/>
  <c r="AX213" i="4"/>
  <c r="AX365" i="4"/>
  <c r="AY648" i="4"/>
  <c r="AT459" i="4"/>
  <c r="AT505" i="4" s="1"/>
  <c r="BA88" i="4"/>
  <c r="BA96" i="4" s="1"/>
  <c r="BB131" i="4"/>
  <c r="AX494" i="4"/>
  <c r="M501" i="4"/>
  <c r="O427" i="4"/>
  <c r="E505" i="4"/>
  <c r="N460" i="4"/>
  <c r="N461" i="4" s="1"/>
  <c r="N469" i="4" s="1"/>
  <c r="N473" i="4" s="1"/>
  <c r="N477" i="4" s="1"/>
  <c r="L501" i="4"/>
  <c r="M503" i="4"/>
  <c r="N284" i="4"/>
  <c r="AV211" i="4"/>
  <c r="L503" i="4"/>
  <c r="F472" i="4"/>
  <c r="G514" i="4" s="1"/>
  <c r="H254" i="4"/>
  <c r="H256" i="4" s="1"/>
  <c r="AV283" i="4"/>
  <c r="AV280" i="4"/>
  <c r="AW278" i="4"/>
  <c r="BA278" i="4"/>
  <c r="BB278" i="4"/>
  <c r="AZ280" i="4"/>
  <c r="BC55" i="3"/>
  <c r="BC276" i="3"/>
  <c r="BC575" i="3" s="1"/>
  <c r="BC577" i="3" s="1"/>
  <c r="BC49" i="3"/>
  <c r="BC574" i="3" s="1"/>
  <c r="O462" i="3"/>
  <c r="O384" i="3"/>
  <c r="BE384" i="3" s="1"/>
  <c r="AV535" i="3"/>
  <c r="AW535" i="3"/>
  <c r="K499" i="4"/>
  <c r="BD243" i="4"/>
  <c r="AZ33" i="3"/>
  <c r="BB276" i="3"/>
  <c r="BB575" i="3" s="1"/>
  <c r="BB577" i="3" s="1"/>
  <c r="BB49" i="3"/>
  <c r="BB574" i="3" s="1"/>
  <c r="BB55" i="3"/>
  <c r="BF55" i="3"/>
  <c r="BF276" i="3"/>
  <c r="BF575" i="3" s="1"/>
  <c r="BF577" i="3" s="1"/>
  <c r="AV531" i="3"/>
  <c r="AV534" i="3"/>
  <c r="AV528" i="3"/>
  <c r="AV527" i="3"/>
  <c r="AV530" i="3"/>
  <c r="AV77" i="3"/>
  <c r="BI96" i="3"/>
  <c r="BC119" i="4"/>
  <c r="BC236" i="4"/>
  <c r="BC283" i="4" s="1"/>
  <c r="I460" i="4"/>
  <c r="AW480" i="4"/>
  <c r="AY416" i="4"/>
  <c r="AZ425" i="4" s="1"/>
  <c r="N491" i="4"/>
  <c r="N500" i="4" s="1"/>
  <c r="O425" i="4"/>
  <c r="L425" i="4"/>
  <c r="BH116" i="3"/>
  <c r="BH226" i="3"/>
  <c r="BH112" i="3"/>
  <c r="BD98" i="4"/>
  <c r="G425" i="4"/>
  <c r="BD316" i="4"/>
  <c r="BD359" i="4" s="1"/>
  <c r="BC471" i="4"/>
  <c r="AU651" i="4"/>
  <c r="AU652" i="4"/>
  <c r="BC494" i="4"/>
  <c r="BC501" i="4" s="1"/>
  <c r="AY134" i="4"/>
  <c r="AZ134" i="4"/>
  <c r="AU81" i="3"/>
  <c r="AU30" i="3"/>
  <c r="AU31" i="3"/>
  <c r="AU476" i="3"/>
  <c r="AU501" i="3" s="1"/>
  <c r="O353" i="4"/>
  <c r="R77" i="3"/>
  <c r="C17" i="32" s="1"/>
  <c r="BB533" i="3"/>
  <c r="R534" i="3"/>
  <c r="C23" i="32" s="1"/>
  <c r="N530" i="3"/>
  <c r="N77" i="3"/>
  <c r="R527" i="3"/>
  <c r="R530" i="3"/>
  <c r="N527" i="3"/>
  <c r="AX462" i="4"/>
  <c r="AX507" i="4" s="1"/>
  <c r="AV726" i="4"/>
  <c r="M499" i="4"/>
  <c r="N499" i="4"/>
  <c r="AT674" i="4"/>
  <c r="AT682" i="4" s="1"/>
  <c r="AT726" i="4" s="1"/>
  <c r="AU717" i="4"/>
  <c r="AT717" i="4"/>
  <c r="AW105" i="4"/>
  <c r="H514" i="4"/>
  <c r="AV472" i="4"/>
  <c r="AV513" i="4" s="1"/>
  <c r="I514" i="4"/>
  <c r="H530" i="3"/>
  <c r="H534" i="3"/>
  <c r="H531" i="3"/>
  <c r="H527" i="3"/>
  <c r="H77" i="3"/>
  <c r="H81" i="3" s="1"/>
  <c r="AZ432" i="4"/>
  <c r="AU429" i="4"/>
  <c r="AZ428" i="4"/>
  <c r="BD562" i="3"/>
  <c r="BD564" i="3" s="1"/>
  <c r="BD26" i="3" s="1"/>
  <c r="M561" i="3"/>
  <c r="BD561" i="3" s="1"/>
  <c r="BD563" i="3" s="1"/>
  <c r="BD22" i="3" s="1"/>
  <c r="AX125" i="4"/>
  <c r="AY127" i="4"/>
  <c r="AX127" i="4"/>
  <c r="AV500" i="4"/>
  <c r="AW502" i="4"/>
  <c r="AV502" i="4"/>
  <c r="G388" i="4"/>
  <c r="G389" i="4" s="1"/>
  <c r="G397" i="4" s="1"/>
  <c r="G460" i="4"/>
  <c r="H131" i="4"/>
  <c r="AV87" i="4"/>
  <c r="AW216" i="4"/>
  <c r="AV216" i="4"/>
  <c r="AV215" i="4"/>
  <c r="AV363" i="4"/>
  <c r="AW363" i="4"/>
  <c r="AU528" i="4"/>
  <c r="F571" i="4"/>
  <c r="F534" i="4"/>
  <c r="AU534" i="4" s="1"/>
  <c r="AW88" i="4"/>
  <c r="AW96" i="4" s="1"/>
  <c r="E396" i="4"/>
  <c r="E468" i="4"/>
  <c r="AW500" i="4"/>
  <c r="C575" i="4"/>
  <c r="AV494" i="4"/>
  <c r="H501" i="4"/>
  <c r="I503" i="4"/>
  <c r="H432" i="4"/>
  <c r="AV390" i="4"/>
  <c r="AW432" i="4" s="1"/>
  <c r="AX60" i="4"/>
  <c r="AY60" i="4"/>
  <c r="O388" i="4"/>
  <c r="O284" i="4"/>
  <c r="O460" i="4"/>
  <c r="H424" i="4"/>
  <c r="G424" i="4"/>
  <c r="P499" i="4"/>
  <c r="O499" i="4"/>
  <c r="I501" i="4"/>
  <c r="R507" i="4"/>
  <c r="BA462" i="4"/>
  <c r="BB507" i="4" s="1"/>
  <c r="R432" i="4"/>
  <c r="Q432" i="4"/>
  <c r="BA390" i="4"/>
  <c r="AY504" i="4"/>
  <c r="AZ504" i="4"/>
  <c r="P291" i="4"/>
  <c r="P468" i="4"/>
  <c r="P509" i="4" s="1"/>
  <c r="P396" i="4"/>
  <c r="BA211" i="4"/>
  <c r="BB211" i="4"/>
  <c r="N509" i="4"/>
  <c r="K500" i="4"/>
  <c r="BB63" i="3"/>
  <c r="AV528" i="4"/>
  <c r="H571" i="4"/>
  <c r="H534" i="4"/>
  <c r="I575" i="4" s="1"/>
  <c r="AW134" i="4"/>
  <c r="AU208" i="4"/>
  <c r="AU166" i="4"/>
  <c r="AU174" i="4" s="1"/>
  <c r="AW579" i="4"/>
  <c r="AV583" i="4"/>
  <c r="AV584" i="4"/>
  <c r="AW584" i="4"/>
  <c r="F468" i="4"/>
  <c r="F291" i="4"/>
  <c r="G291" i="4"/>
  <c r="AU606" i="4"/>
  <c r="AU611" i="4" s="1"/>
  <c r="AU645" i="4"/>
  <c r="AV645" i="4"/>
  <c r="AT606" i="4"/>
  <c r="AT611" i="4" s="1"/>
  <c r="AT645" i="4"/>
  <c r="AV318" i="4"/>
  <c r="AV326" i="4" s="1"/>
  <c r="AV360" i="4"/>
  <c r="AW360" i="4"/>
  <c r="M291" i="4"/>
  <c r="L291" i="4"/>
  <c r="L396" i="4"/>
  <c r="L468" i="4"/>
  <c r="AW534" i="4"/>
  <c r="AU216" i="4"/>
  <c r="AU215" i="4"/>
  <c r="G289" i="4"/>
  <c r="F289" i="4"/>
  <c r="F462" i="4"/>
  <c r="AU462" i="4" s="1"/>
  <c r="F390" i="4"/>
  <c r="O509" i="4"/>
  <c r="BH121" i="3"/>
  <c r="J501" i="4"/>
  <c r="K503" i="4"/>
  <c r="AW494" i="4"/>
  <c r="AU387" i="4"/>
  <c r="AV430" i="4" s="1"/>
  <c r="F430" i="4"/>
  <c r="N427" i="4"/>
  <c r="N389" i="4"/>
  <c r="N397" i="4" s="1"/>
  <c r="AZ20" i="4"/>
  <c r="AZ28" i="4" s="1"/>
  <c r="BA57" i="4"/>
  <c r="C424" i="4"/>
  <c r="D424" i="4"/>
  <c r="AW504" i="4"/>
  <c r="AX504" i="4"/>
  <c r="AX429" i="4"/>
  <c r="AY429" i="4"/>
  <c r="I432" i="4"/>
  <c r="H503" i="4"/>
  <c r="I425" i="4"/>
  <c r="I491" i="4"/>
  <c r="H499" i="4"/>
  <c r="I499" i="4"/>
  <c r="AU426" i="4"/>
  <c r="AW426" i="4"/>
  <c r="AX428" i="4"/>
  <c r="BA498" i="4"/>
  <c r="BA508" i="4"/>
  <c r="AX426" i="4"/>
  <c r="P575" i="4"/>
  <c r="Q575" i="4"/>
  <c r="BB498" i="4"/>
  <c r="AX330" i="4"/>
  <c r="AX332" i="4" s="1"/>
  <c r="AX305" i="4" s="1"/>
  <c r="N10" i="4"/>
  <c r="O60" i="3" s="1"/>
  <c r="AY237" i="4"/>
  <c r="AZ237" i="4"/>
  <c r="H500" i="4"/>
  <c r="AY382" i="4"/>
  <c r="O424" i="4"/>
  <c r="Q469" i="4"/>
  <c r="Q482" i="4" s="1"/>
  <c r="H384" i="4"/>
  <c r="H237" i="4"/>
  <c r="I284" i="4" s="1"/>
  <c r="J575" i="4"/>
  <c r="F280" i="4"/>
  <c r="F382" i="4"/>
  <c r="F427" i="4" s="1"/>
  <c r="AV686" i="4"/>
  <c r="AV688" i="4" s="1"/>
  <c r="AV661" i="4" s="1"/>
  <c r="AV722" i="4"/>
  <c r="AU318" i="4"/>
  <c r="AU326" i="4" s="1"/>
  <c r="AU360" i="4"/>
  <c r="J425" i="4"/>
  <c r="AV166" i="4"/>
  <c r="AV174" i="4" s="1"/>
  <c r="AV208" i="4"/>
  <c r="AW208" i="4"/>
  <c r="F579" i="4"/>
  <c r="G579" i="4"/>
  <c r="AU540" i="4"/>
  <c r="AV648" i="4"/>
  <c r="AW648" i="4"/>
  <c r="AT318" i="4"/>
  <c r="AT326" i="4" s="1"/>
  <c r="AT360" i="4"/>
  <c r="G131" i="4"/>
  <c r="F131" i="4"/>
  <c r="AU87" i="4"/>
  <c r="I131" i="4"/>
  <c r="AU243" i="4"/>
  <c r="AT494" i="4"/>
  <c r="E503" i="4"/>
  <c r="D501" i="4"/>
  <c r="AU725" i="4"/>
  <c r="AU724" i="4"/>
  <c r="AU726" i="4"/>
  <c r="BD67" i="3"/>
  <c r="BD68" i="3" s="1"/>
  <c r="L68" i="3"/>
  <c r="L73" i="3" s="1"/>
  <c r="K396" i="4"/>
  <c r="K291" i="4"/>
  <c r="AY494" i="4"/>
  <c r="O501" i="4"/>
  <c r="O503" i="4"/>
  <c r="N501" i="4"/>
  <c r="N503" i="4"/>
  <c r="I424" i="4"/>
  <c r="J424" i="4"/>
  <c r="AW428" i="4"/>
  <c r="E501" i="4"/>
  <c r="J503" i="4"/>
  <c r="D499" i="4"/>
  <c r="O434" i="4"/>
  <c r="BA289" i="4"/>
  <c r="BB289" i="4"/>
  <c r="AZ360" i="4"/>
  <c r="BA360" i="4"/>
  <c r="AZ318" i="4"/>
  <c r="AZ326" i="4" s="1"/>
  <c r="AZ494" i="4"/>
  <c r="Q501" i="4"/>
  <c r="Q503" i="4"/>
  <c r="P501" i="4"/>
  <c r="P503" i="4"/>
  <c r="P433" i="4"/>
  <c r="AZ392" i="4"/>
  <c r="AZ433" i="4" s="1"/>
  <c r="AZ505" i="4"/>
  <c r="Q500" i="4"/>
  <c r="AZ491" i="4"/>
  <c r="D571" i="4"/>
  <c r="D534" i="4"/>
  <c r="D575" i="4" s="1"/>
  <c r="H57" i="4"/>
  <c r="AV19" i="4"/>
  <c r="I67" i="3"/>
  <c r="BB67" i="3" s="1"/>
  <c r="AV233" i="4"/>
  <c r="AU105" i="4"/>
  <c r="AW60" i="4"/>
  <c r="H296" i="4"/>
  <c r="H400" i="4"/>
  <c r="AV253" i="4"/>
  <c r="I296" i="4"/>
  <c r="AU584" i="4"/>
  <c r="AU583" i="4"/>
  <c r="F296" i="4"/>
  <c r="G296" i="4"/>
  <c r="F400" i="4"/>
  <c r="AU253" i="4"/>
  <c r="AV429" i="4"/>
  <c r="F396" i="4"/>
  <c r="AV105" i="4"/>
  <c r="AV652" i="4"/>
  <c r="AW652" i="4"/>
  <c r="AV651" i="4"/>
  <c r="AZ60" i="4"/>
  <c r="BA60" i="4"/>
  <c r="F501" i="4"/>
  <c r="AU494" i="4"/>
  <c r="G503" i="4"/>
  <c r="AX131" i="4"/>
  <c r="AX88" i="4"/>
  <c r="AX96" i="4" s="1"/>
  <c r="N575" i="4"/>
  <c r="AY534" i="4"/>
  <c r="AY535" i="4" s="1"/>
  <c r="P73" i="3"/>
  <c r="E424" i="4"/>
  <c r="F424" i="4"/>
  <c r="AZ291" i="4"/>
  <c r="AW429" i="4"/>
  <c r="G430" i="4"/>
  <c r="AW430" i="4"/>
  <c r="AX505" i="4"/>
  <c r="AX430" i="4"/>
  <c r="AY430" i="4"/>
  <c r="BA430" i="4"/>
  <c r="AZ430" i="4"/>
  <c r="G501" i="4"/>
  <c r="C425" i="4"/>
  <c r="C491" i="4"/>
  <c r="C500" i="4" s="1"/>
  <c r="AT504" i="4"/>
  <c r="AU504" i="4"/>
  <c r="AV426" i="4"/>
  <c r="S499" i="4"/>
  <c r="R499" i="4"/>
  <c r="F237" i="4"/>
  <c r="AW507" i="4"/>
  <c r="Q291" i="4"/>
  <c r="BK427" i="3"/>
  <c r="BA569" i="3"/>
  <c r="BA571" i="3"/>
  <c r="BL99" i="3"/>
  <c r="BI251" i="3"/>
  <c r="BL317" i="3"/>
  <c r="BC533" i="3"/>
  <c r="BL540" i="3"/>
  <c r="Q39" i="3"/>
  <c r="Q479" i="3" s="1"/>
  <c r="Q503" i="3" s="1"/>
  <c r="P479" i="3"/>
  <c r="P503" i="3" s="1"/>
  <c r="BF190" i="4"/>
  <c r="AX722" i="4"/>
  <c r="AX686" i="4"/>
  <c r="AX688" i="4" s="1"/>
  <c r="AX661" i="4" s="1"/>
  <c r="AX726" i="4"/>
  <c r="AX728" i="4"/>
  <c r="BF98" i="4"/>
  <c r="BE86" i="4"/>
  <c r="BD684" i="4"/>
  <c r="BF687" i="4"/>
  <c r="BF161" i="4"/>
  <c r="BF317" i="4"/>
  <c r="AX370" i="4"/>
  <c r="BF311" i="4"/>
  <c r="BF314" i="4"/>
  <c r="BH66" i="3"/>
  <c r="BH80" i="3"/>
  <c r="K431" i="4"/>
  <c r="AY20" i="4"/>
  <c r="AY28" i="4" s="1"/>
  <c r="AY57" i="4"/>
  <c r="AZ57" i="4"/>
  <c r="I388" i="4"/>
  <c r="I389" i="4" s="1"/>
  <c r="I397" i="4" s="1"/>
  <c r="AW237" i="4"/>
  <c r="E427" i="4"/>
  <c r="AX572" i="4"/>
  <c r="BE317" i="4"/>
  <c r="BC319" i="4"/>
  <c r="E461" i="4"/>
  <c r="BA67" i="3"/>
  <c r="F68" i="3"/>
  <c r="F73" i="3" s="1"/>
  <c r="BC67" i="3"/>
  <c r="J68" i="3"/>
  <c r="J73" i="3" s="1"/>
  <c r="AW20" i="4"/>
  <c r="AW28" i="4" s="1"/>
  <c r="AX57" i="4"/>
  <c r="J389" i="4"/>
  <c r="J397" i="4" s="1"/>
  <c r="AZ76" i="3"/>
  <c r="AZ533" i="3" s="1"/>
  <c r="E533" i="3"/>
  <c r="Q78" i="4"/>
  <c r="P79" i="4"/>
  <c r="P124" i="4" s="1"/>
  <c r="BC312" i="4"/>
  <c r="BC383" i="4"/>
  <c r="AW382" i="4"/>
  <c r="I427" i="4"/>
  <c r="E388" i="4"/>
  <c r="L575" i="4"/>
  <c r="K575" i="4"/>
  <c r="AX534" i="4"/>
  <c r="Q308" i="4"/>
  <c r="P309" i="4"/>
  <c r="P353" i="4" s="1"/>
  <c r="P379" i="4"/>
  <c r="P380" i="4" s="1"/>
  <c r="P424" i="4" s="1"/>
  <c r="BE85" i="4"/>
  <c r="BE129" i="4" s="1"/>
  <c r="BE163" i="4"/>
  <c r="BE206" i="4" s="1"/>
  <c r="BE211" i="4"/>
  <c r="BE454" i="4"/>
  <c r="BD101" i="4"/>
  <c r="D427" i="4"/>
  <c r="AU428" i="4"/>
  <c r="C427" i="4"/>
  <c r="AT382" i="4"/>
  <c r="S500" i="4"/>
  <c r="R500" i="4"/>
  <c r="BA491" i="4"/>
  <c r="S501" i="4"/>
  <c r="S503" i="4"/>
  <c r="R501" i="4"/>
  <c r="BA494" i="4"/>
  <c r="R503" i="4"/>
  <c r="BE311" i="4"/>
  <c r="BD86" i="4"/>
  <c r="BD130" i="4" s="1"/>
  <c r="BC164" i="4"/>
  <c r="BC207" i="4" s="1"/>
  <c r="BC402" i="4"/>
  <c r="BC331" i="4"/>
  <c r="AV428" i="4"/>
  <c r="M461" i="4"/>
  <c r="M469" i="4" s="1"/>
  <c r="M506" i="4"/>
  <c r="AY438" i="4"/>
  <c r="BD533" i="3"/>
  <c r="AZ67" i="3"/>
  <c r="E68" i="3"/>
  <c r="E73" i="3" s="1"/>
  <c r="C460" i="4"/>
  <c r="C284" i="4"/>
  <c r="C388" i="4"/>
  <c r="C389" i="4" s="1"/>
  <c r="C397" i="4" s="1"/>
  <c r="BE349" i="4"/>
  <c r="AZ507" i="4"/>
  <c r="BA426" i="4"/>
  <c r="BA428" i="4"/>
  <c r="BB428" i="4"/>
  <c r="AZ419" i="3"/>
  <c r="AV510" i="4"/>
  <c r="AV435" i="4"/>
  <c r="P156" i="4"/>
  <c r="O10" i="4"/>
  <c r="P60" i="3" s="1"/>
  <c r="L461" i="4"/>
  <c r="Q506" i="4"/>
  <c r="P461" i="4"/>
  <c r="BB426" i="4"/>
  <c r="BC419" i="3"/>
  <c r="BB544" i="3"/>
  <c r="J544" i="3"/>
  <c r="AW31" i="3"/>
  <c r="AW30" i="3"/>
  <c r="AW81" i="3"/>
  <c r="AW476" i="3"/>
  <c r="AW501" i="3" s="1"/>
  <c r="BA542" i="3"/>
  <c r="G543" i="3"/>
  <c r="H542" i="3"/>
  <c r="BE391" i="3"/>
  <c r="BE462" i="3" s="1"/>
  <c r="BG534" i="3"/>
  <c r="AF23" i="32" s="1"/>
  <c r="BG527" i="3"/>
  <c r="BE561" i="3"/>
  <c r="BE563" i="3" s="1"/>
  <c r="BE22" i="3" s="1"/>
  <c r="BF561" i="3"/>
  <c r="BF563" i="3" s="1"/>
  <c r="BF22" i="3" s="1"/>
  <c r="BC252" i="4"/>
  <c r="AZ513" i="4"/>
  <c r="BA513" i="4"/>
  <c r="BK405" i="3"/>
  <c r="BK429" i="3"/>
  <c r="BK431" i="3"/>
  <c r="BK387" i="3"/>
  <c r="BK432" i="3"/>
  <c r="BK433" i="3"/>
  <c r="BK465" i="3"/>
  <c r="BK538" i="3"/>
  <c r="BK541" i="3"/>
  <c r="BJ539" i="3"/>
  <c r="BK326" i="3"/>
  <c r="BK285" i="3"/>
  <c r="BJ392" i="3"/>
  <c r="BI430" i="3"/>
  <c r="BK291" i="3"/>
  <c r="BK286" i="3"/>
  <c r="BK194" i="3"/>
  <c r="BK191" i="3"/>
  <c r="BK172" i="3"/>
  <c r="BJ229" i="3"/>
  <c r="BK198" i="3"/>
  <c r="BK175" i="3"/>
  <c r="BK195" i="3"/>
  <c r="BK453" i="3"/>
  <c r="BI161" i="3"/>
  <c r="BI460" i="3"/>
  <c r="BI100" i="3"/>
  <c r="BI451" i="3"/>
  <c r="BI323" i="3"/>
  <c r="BI227" i="3"/>
  <c r="BJ249" i="3"/>
  <c r="BJ139" i="3"/>
  <c r="BI120" i="3"/>
  <c r="BI230" i="3"/>
  <c r="BJ119" i="3"/>
  <c r="BI140" i="3"/>
  <c r="BI250" i="3"/>
  <c r="BJ136" i="3"/>
  <c r="BJ246" i="3"/>
  <c r="BK106" i="3"/>
  <c r="BJ107" i="3"/>
  <c r="BK39" i="3"/>
  <c r="BD458" i="4"/>
  <c r="BD504" i="4" s="1"/>
  <c r="BC270" i="4"/>
  <c r="BC271" i="4"/>
  <c r="BC463" i="4"/>
  <c r="BD475" i="4"/>
  <c r="BC457" i="4"/>
  <c r="BD456" i="4"/>
  <c r="BC419" i="4"/>
  <c r="BC426" i="4" s="1"/>
  <c r="BC417" i="4"/>
  <c r="BC346" i="4"/>
  <c r="BE319" i="4"/>
  <c r="AK157" i="28" s="1"/>
  <c r="AK76" i="28" s="1"/>
  <c r="BD273" i="4"/>
  <c r="BD420" i="4"/>
  <c r="BD269" i="4"/>
  <c r="BD278" i="4" s="1"/>
  <c r="BE272" i="4"/>
  <c r="BE279" i="4" s="1"/>
  <c r="BD235" i="4"/>
  <c r="BD282" i="4" s="1"/>
  <c r="BC387" i="4"/>
  <c r="BC430" i="4" s="1"/>
  <c r="BE197" i="4"/>
  <c r="BD196" i="4"/>
  <c r="BD203" i="4" s="1"/>
  <c r="BH70" i="3"/>
  <c r="AG7" i="32" s="1"/>
  <c r="BE160" i="4"/>
  <c r="BC167" i="4"/>
  <c r="BC209" i="4" s="1"/>
  <c r="BC162" i="4"/>
  <c r="BC179" i="4"/>
  <c r="BC168" i="4"/>
  <c r="BI406" i="3"/>
  <c r="BC706" i="4"/>
  <c r="W492" i="4"/>
  <c r="BB727" i="4"/>
  <c r="BE699" i="4"/>
  <c r="BD698" i="4"/>
  <c r="BD709" i="4" s="1"/>
  <c r="BC701" i="4"/>
  <c r="BC700" i="4"/>
  <c r="BD673" i="4"/>
  <c r="BD717" i="4" s="1"/>
  <c r="BD675" i="4"/>
  <c r="BD718" i="4" s="1"/>
  <c r="BD671" i="4"/>
  <c r="BD715" i="4" s="1"/>
  <c r="BD676" i="4"/>
  <c r="BC118" i="4"/>
  <c r="BC126" i="4" s="1"/>
  <c r="BH173" i="3"/>
  <c r="BC46" i="4"/>
  <c r="BI537" i="3" s="1"/>
  <c r="BD95" i="4"/>
  <c r="BD134" i="4" s="1"/>
  <c r="BC87" i="4"/>
  <c r="BC131" i="4" s="1"/>
  <c r="BD89" i="4"/>
  <c r="BD132" i="4" s="1"/>
  <c r="BH224" i="3"/>
  <c r="BH113" i="3"/>
  <c r="BH247" i="3"/>
  <c r="BH115" i="3"/>
  <c r="BH171" i="3"/>
  <c r="BH403" i="3"/>
  <c r="BH114" i="3"/>
  <c r="BH137" i="3"/>
  <c r="R427" i="4"/>
  <c r="BA382" i="4"/>
  <c r="R460" i="4"/>
  <c r="S506" i="4" s="1"/>
  <c r="BA237" i="4"/>
  <c r="R388" i="4"/>
  <c r="S431" i="4" s="1"/>
  <c r="R284" i="4"/>
  <c r="BC230" i="4"/>
  <c r="BH42" i="3"/>
  <c r="BH502" i="3" s="1"/>
  <c r="BD315" i="4"/>
  <c r="BC17" i="4"/>
  <c r="BC55" i="4" s="1"/>
  <c r="BB328" i="4"/>
  <c r="BC386" i="4"/>
  <c r="BC429" i="4" s="1"/>
  <c r="BB429" i="4"/>
  <c r="U8" i="9"/>
  <c r="T10" i="9"/>
  <c r="W9" i="9"/>
  <c r="Z7" i="9"/>
  <c r="BG528" i="3" l="1"/>
  <c r="AG9" i="28"/>
  <c r="BG530" i="3"/>
  <c r="BG77" i="3"/>
  <c r="AF17" i="32" s="1"/>
  <c r="BG531" i="3"/>
  <c r="R535" i="3"/>
  <c r="R531" i="3"/>
  <c r="T535" i="3"/>
  <c r="S535" i="3"/>
  <c r="S534" i="3"/>
  <c r="D23" i="32" s="1"/>
  <c r="E137" i="28"/>
  <c r="E6" i="28" s="1"/>
  <c r="E8" i="28" s="1"/>
  <c r="S531" i="3"/>
  <c r="S527" i="3"/>
  <c r="S77" i="3"/>
  <c r="D17" i="32" s="1"/>
  <c r="Q397" i="4"/>
  <c r="Q442" i="4" s="1"/>
  <c r="BA62" i="4"/>
  <c r="R434" i="4"/>
  <c r="Q434" i="4"/>
  <c r="D8" i="28"/>
  <c r="D9" i="28"/>
  <c r="AJ78" i="28"/>
  <c r="AJ79" i="28"/>
  <c r="AI57" i="28"/>
  <c r="AI58" i="28"/>
  <c r="D101" i="28"/>
  <c r="D100" i="28"/>
  <c r="AI90" i="28"/>
  <c r="AI89" i="28"/>
  <c r="AG47" i="28"/>
  <c r="AG46" i="28"/>
  <c r="AK79" i="28"/>
  <c r="AK78" i="28"/>
  <c r="BD289" i="4"/>
  <c r="AJ152" i="28"/>
  <c r="AJ60" i="28" s="1"/>
  <c r="AG163" i="28"/>
  <c r="AG98" i="28" s="1"/>
  <c r="BD358" i="4"/>
  <c r="AJ159" i="28"/>
  <c r="AJ87" i="28" s="1"/>
  <c r="BC361" i="4"/>
  <c r="AI157" i="28"/>
  <c r="AI76" i="28" s="1"/>
  <c r="AY84" i="3"/>
  <c r="AX37" i="3"/>
  <c r="AX578" i="3" s="1"/>
  <c r="N81" i="3"/>
  <c r="N474" i="3" s="1"/>
  <c r="K476" i="3"/>
  <c r="K501" i="3" s="1"/>
  <c r="R81" i="3"/>
  <c r="C20" i="32" s="1"/>
  <c r="BG30" i="3"/>
  <c r="O535" i="3"/>
  <c r="O77" i="3"/>
  <c r="O534" i="3"/>
  <c r="O530" i="3"/>
  <c r="BA55" i="3"/>
  <c r="BA49" i="3"/>
  <c r="BA574" i="3" s="1"/>
  <c r="AZ55" i="3"/>
  <c r="O527" i="3"/>
  <c r="K81" i="3"/>
  <c r="K37" i="3" s="1"/>
  <c r="K578" i="3" s="1"/>
  <c r="K530" i="3"/>
  <c r="AZ49" i="3"/>
  <c r="AZ574" i="3" s="1"/>
  <c r="K531" i="3"/>
  <c r="K31" i="3"/>
  <c r="K534" i="3"/>
  <c r="K30" i="3"/>
  <c r="K527" i="3"/>
  <c r="BA368" i="4"/>
  <c r="AW520" i="4"/>
  <c r="AX341" i="3"/>
  <c r="Q530" i="3"/>
  <c r="AX524" i="3"/>
  <c r="AX58" i="3"/>
  <c r="AX84" i="3"/>
  <c r="BF73" i="3"/>
  <c r="BG535" i="3" s="1"/>
  <c r="AZ217" i="4"/>
  <c r="AX474" i="3"/>
  <c r="AX471" i="3" s="1"/>
  <c r="AX498" i="3" s="1"/>
  <c r="AX526" i="3"/>
  <c r="AX536" i="3"/>
  <c r="Q531" i="3"/>
  <c r="AX472" i="3"/>
  <c r="AX470" i="3" s="1"/>
  <c r="AX497" i="3" s="1"/>
  <c r="AX525" i="3"/>
  <c r="Q535" i="3"/>
  <c r="AZ219" i="4"/>
  <c r="Q534" i="3"/>
  <c r="Q527" i="3"/>
  <c r="AU520" i="4"/>
  <c r="AZ213" i="4"/>
  <c r="Q77" i="3"/>
  <c r="AU396" i="4"/>
  <c r="AV434" i="4" s="1"/>
  <c r="AV520" i="4"/>
  <c r="AX250" i="4"/>
  <c r="AU468" i="4"/>
  <c r="AV509" i="4" s="1"/>
  <c r="AZ468" i="4"/>
  <c r="AZ509" i="4" s="1"/>
  <c r="AZ96" i="4"/>
  <c r="AZ142" i="4" s="1"/>
  <c r="AX468" i="4"/>
  <c r="AX509" i="4" s="1"/>
  <c r="D468" i="4"/>
  <c r="AT468" i="4" s="1"/>
  <c r="AT509" i="4" s="1"/>
  <c r="AT249" i="4"/>
  <c r="AT291" i="4" s="1"/>
  <c r="AZ396" i="4"/>
  <c r="AZ434" i="4" s="1"/>
  <c r="AX396" i="4"/>
  <c r="BA370" i="4"/>
  <c r="BA330" i="4"/>
  <c r="BA332" i="4" s="1"/>
  <c r="BA305" i="4" s="1"/>
  <c r="BA32" i="4"/>
  <c r="AT88" i="4"/>
  <c r="BA65" i="4"/>
  <c r="AU60" i="4"/>
  <c r="C513" i="4"/>
  <c r="AZ32" i="3"/>
  <c r="D53" i="4"/>
  <c r="D222" i="4"/>
  <c r="G33" i="3"/>
  <c r="G356" i="3" s="1"/>
  <c r="C135" i="4"/>
  <c r="C445" i="4"/>
  <c r="D721" i="4"/>
  <c r="AY2" i="3"/>
  <c r="D513" i="4"/>
  <c r="D54" i="4"/>
  <c r="AY3" i="3"/>
  <c r="AZ356" i="3"/>
  <c r="AZ357" i="3" s="1"/>
  <c r="AZ481" i="3" s="1"/>
  <c r="AZ505" i="3" s="1"/>
  <c r="D665" i="4"/>
  <c r="C720" i="4"/>
  <c r="C157" i="4"/>
  <c r="C201" i="4" s="1"/>
  <c r="AT156" i="4"/>
  <c r="AT157" i="4" s="1"/>
  <c r="C665" i="4"/>
  <c r="C710" i="4" s="1"/>
  <c r="C731" i="4"/>
  <c r="C364" i="4"/>
  <c r="C11" i="4"/>
  <c r="C50" i="4" s="1"/>
  <c r="AT379" i="4"/>
  <c r="AT380" i="4" s="1"/>
  <c r="C295" i="4"/>
  <c r="C210" i="4"/>
  <c r="D583" i="4"/>
  <c r="AT596" i="4"/>
  <c r="AT597" i="4" s="1"/>
  <c r="AT638" i="4" s="1"/>
  <c r="D11" i="4"/>
  <c r="D435" i="4"/>
  <c r="D63" i="4"/>
  <c r="D580" i="4"/>
  <c r="D590" i="4"/>
  <c r="C222" i="4"/>
  <c r="AT451" i="4"/>
  <c r="AT452" i="4" s="1"/>
  <c r="C63" i="4"/>
  <c r="C719" i="4"/>
  <c r="C366" i="4"/>
  <c r="C145" i="4"/>
  <c r="AT308" i="4"/>
  <c r="AT309" i="4" s="1"/>
  <c r="D651" i="4"/>
  <c r="C583" i="4"/>
  <c r="D295" i="4"/>
  <c r="D61" i="4"/>
  <c r="D720" i="4"/>
  <c r="D215" i="4"/>
  <c r="D719" i="4"/>
  <c r="C59" i="4"/>
  <c r="C212" i="4"/>
  <c r="C724" i="4"/>
  <c r="C438" i="4"/>
  <c r="D212" i="4"/>
  <c r="D157" i="4"/>
  <c r="D135" i="4"/>
  <c r="D127" i="4"/>
  <c r="D128" i="4"/>
  <c r="D210" i="4"/>
  <c r="C215" i="4"/>
  <c r="C590" i="4"/>
  <c r="AT10" i="4"/>
  <c r="AT11" i="4" s="1"/>
  <c r="AT525" i="4"/>
  <c r="AT526" i="4" s="1"/>
  <c r="C510" i="4"/>
  <c r="C61" i="4"/>
  <c r="C435" i="4"/>
  <c r="C53" i="4"/>
  <c r="G73" i="3"/>
  <c r="H535" i="3" s="1"/>
  <c r="D510" i="4"/>
  <c r="D366" i="4"/>
  <c r="AT78" i="4"/>
  <c r="AT79" i="4" s="1"/>
  <c r="D364" i="4"/>
  <c r="D731" i="4"/>
  <c r="D649" i="4"/>
  <c r="C138" i="4"/>
  <c r="AT228" i="4"/>
  <c r="AT229" i="4" s="1"/>
  <c r="AT277" i="4" s="1"/>
  <c r="C127" i="4"/>
  <c r="D145" i="4"/>
  <c r="D138" i="4"/>
  <c r="D59" i="4"/>
  <c r="D724" i="4"/>
  <c r="D445" i="4"/>
  <c r="C580" i="4"/>
  <c r="C651" i="4"/>
  <c r="C721" i="4"/>
  <c r="C128" i="4"/>
  <c r="AT664" i="4"/>
  <c r="AT665" i="4" s="1"/>
  <c r="C649" i="4"/>
  <c r="C54" i="4"/>
  <c r="F3" i="4"/>
  <c r="F5" i="3"/>
  <c r="F564" i="3" s="1"/>
  <c r="F26" i="3" s="1"/>
  <c r="G5" i="3"/>
  <c r="AY524" i="3"/>
  <c r="F2" i="4"/>
  <c r="M531" i="3"/>
  <c r="M527" i="3"/>
  <c r="N535" i="3"/>
  <c r="M534" i="3"/>
  <c r="M77" i="3"/>
  <c r="AT178" i="4"/>
  <c r="AT180" i="4" s="1"/>
  <c r="AT153" i="4" s="1"/>
  <c r="AT217" i="4"/>
  <c r="BD73" i="3"/>
  <c r="BE535" i="3" s="1"/>
  <c r="AT214" i="4"/>
  <c r="N31" i="3"/>
  <c r="AT400" i="4"/>
  <c r="E514" i="4"/>
  <c r="D438" i="4"/>
  <c r="D514" i="4"/>
  <c r="AZ439" i="4"/>
  <c r="AX650" i="4"/>
  <c r="G1" i="4"/>
  <c r="I1" i="3"/>
  <c r="H2" i="3"/>
  <c r="H3" i="3"/>
  <c r="AL451" i="4"/>
  <c r="AM451" i="4" s="1"/>
  <c r="AU729" i="4"/>
  <c r="BF200" i="4"/>
  <c r="AY536" i="3"/>
  <c r="AY341" i="3"/>
  <c r="D531" i="3"/>
  <c r="AY37" i="3"/>
  <c r="AY578" i="3" s="1"/>
  <c r="AY525" i="3"/>
  <c r="D527" i="3"/>
  <c r="BE716" i="4"/>
  <c r="AY140" i="4"/>
  <c r="D439" i="4"/>
  <c r="D534" i="3"/>
  <c r="BE528" i="3"/>
  <c r="D530" i="3"/>
  <c r="D77" i="3"/>
  <c r="D81" i="3" s="1"/>
  <c r="D58" i="3" s="1"/>
  <c r="D528" i="3"/>
  <c r="AU57" i="4"/>
  <c r="AU507" i="4"/>
  <c r="D507" i="4"/>
  <c r="E507" i="4"/>
  <c r="AT219" i="4"/>
  <c r="E291" i="4"/>
  <c r="AZ438" i="4"/>
  <c r="I434" i="4"/>
  <c r="D291" i="4"/>
  <c r="D396" i="4"/>
  <c r="N30" i="3"/>
  <c r="AX655" i="4"/>
  <c r="AT390" i="4"/>
  <c r="AT432" i="4" s="1"/>
  <c r="AU20" i="4"/>
  <c r="D432" i="4"/>
  <c r="AV57" i="4"/>
  <c r="BE527" i="3"/>
  <c r="BE77" i="3"/>
  <c r="BE534" i="3"/>
  <c r="AY142" i="4"/>
  <c r="AY136" i="4"/>
  <c r="BE530" i="3"/>
  <c r="AV505" i="4"/>
  <c r="Q511" i="4"/>
  <c r="AX439" i="4"/>
  <c r="AU425" i="4"/>
  <c r="BB509" i="4"/>
  <c r="AV291" i="4"/>
  <c r="AX653" i="4"/>
  <c r="Q106" i="4"/>
  <c r="AY388" i="4"/>
  <c r="AY389" i="4" s="1"/>
  <c r="AY397" i="4" s="1"/>
  <c r="H434" i="4"/>
  <c r="M442" i="4"/>
  <c r="AZ585" i="4"/>
  <c r="AZ575" i="4"/>
  <c r="AW425" i="4"/>
  <c r="M436" i="4"/>
  <c r="AZ545" i="4"/>
  <c r="AZ547" i="4" s="1"/>
  <c r="AZ522" i="4" s="1"/>
  <c r="W505" i="4"/>
  <c r="W507" i="4"/>
  <c r="AY526" i="3"/>
  <c r="AY58" i="3"/>
  <c r="AY472" i="3"/>
  <c r="AY470" i="3" s="1"/>
  <c r="AY497" i="3" s="1"/>
  <c r="M440" i="4"/>
  <c r="BE360" i="4"/>
  <c r="AY432" i="4"/>
  <c r="AZ587" i="4"/>
  <c r="AY474" i="3"/>
  <c r="AY471" i="3" s="1"/>
  <c r="AY498" i="3" s="1"/>
  <c r="N431" i="4"/>
  <c r="Q515" i="4"/>
  <c r="Q473" i="4"/>
  <c r="Q477" i="4" s="1"/>
  <c r="Q448" i="4" s="1"/>
  <c r="Q184" i="4"/>
  <c r="Q621" i="4"/>
  <c r="AX427" i="4"/>
  <c r="E284" i="4"/>
  <c r="AY439" i="4"/>
  <c r="D388" i="4"/>
  <c r="E431" i="4" s="1"/>
  <c r="Q431" i="4"/>
  <c r="L431" i="4"/>
  <c r="AT237" i="4"/>
  <c r="AT284" i="4" s="1"/>
  <c r="AX388" i="4"/>
  <c r="AX389" i="4" s="1"/>
  <c r="M431" i="4"/>
  <c r="D460" i="4"/>
  <c r="E506" i="4" s="1"/>
  <c r="AZ514" i="4"/>
  <c r="F514" i="4"/>
  <c r="AV425" i="4"/>
  <c r="AU505" i="4"/>
  <c r="AW460" i="4"/>
  <c r="AX506" i="4" s="1"/>
  <c r="L500" i="4"/>
  <c r="K506" i="4"/>
  <c r="I461" i="4"/>
  <c r="I469" i="4" s="1"/>
  <c r="I515" i="4" s="1"/>
  <c r="N482" i="4"/>
  <c r="AU472" i="4"/>
  <c r="AU513" i="4" s="1"/>
  <c r="M500" i="4"/>
  <c r="AX500" i="4"/>
  <c r="L506" i="4"/>
  <c r="K461" i="4"/>
  <c r="K469" i="4" s="1"/>
  <c r="K473" i="4" s="1"/>
  <c r="K477" i="4" s="1"/>
  <c r="BE361" i="4"/>
  <c r="AY514" i="4"/>
  <c r="AW514" i="4"/>
  <c r="I509" i="4"/>
  <c r="AU382" i="4"/>
  <c r="AU427" i="4" s="1"/>
  <c r="H509" i="4"/>
  <c r="AX513" i="4"/>
  <c r="H225" i="4"/>
  <c r="H7" i="4"/>
  <c r="BD391" i="4"/>
  <c r="AX514" i="4"/>
  <c r="AU430" i="4"/>
  <c r="N448" i="4"/>
  <c r="BD384" i="4"/>
  <c r="AY75" i="4"/>
  <c r="Q509" i="4"/>
  <c r="AY507" i="4"/>
  <c r="J506" i="4"/>
  <c r="BC727" i="4"/>
  <c r="AY460" i="4"/>
  <c r="AY461" i="4" s="1"/>
  <c r="AY469" i="4" s="1"/>
  <c r="AZ427" i="4"/>
  <c r="E469" i="4"/>
  <c r="E260" i="4" s="1"/>
  <c r="AV653" i="4"/>
  <c r="F509" i="4"/>
  <c r="AV615" i="4"/>
  <c r="AV617" i="4" s="1"/>
  <c r="AV593" i="4" s="1"/>
  <c r="N506" i="4"/>
  <c r="N621" i="4"/>
  <c r="AV650" i="4"/>
  <c r="BA284" i="4"/>
  <c r="P469" i="4"/>
  <c r="P511" i="4" s="1"/>
  <c r="AY427" i="4"/>
  <c r="N106" i="4"/>
  <c r="AV382" i="4"/>
  <c r="AV427" i="4" s="1"/>
  <c r="D502" i="4"/>
  <c r="R31" i="3"/>
  <c r="AT491" i="4"/>
  <c r="AU500" i="4" s="1"/>
  <c r="BB562" i="3"/>
  <c r="BB564" i="3" s="1"/>
  <c r="BB26" i="3" s="1"/>
  <c r="I561" i="3"/>
  <c r="BB561" i="3" s="1"/>
  <c r="BB563" i="3" s="1"/>
  <c r="BB22" i="3" s="1"/>
  <c r="BC503" i="4"/>
  <c r="BC428" i="4"/>
  <c r="BD361" i="4"/>
  <c r="BC318" i="4"/>
  <c r="BC357" i="4"/>
  <c r="BF360" i="4"/>
  <c r="BD205" i="4"/>
  <c r="BE130" i="4"/>
  <c r="BE342" i="4"/>
  <c r="BE352" i="4" s="1"/>
  <c r="BM317" i="3"/>
  <c r="BM540" i="3"/>
  <c r="BM99" i="3"/>
  <c r="BG320" i="4"/>
  <c r="BA142" i="4"/>
  <c r="BA136" i="4"/>
  <c r="BA100" i="4"/>
  <c r="BA102" i="4" s="1"/>
  <c r="BA140" i="4"/>
  <c r="BH273" i="4"/>
  <c r="N184" i="4"/>
  <c r="N551" i="4"/>
  <c r="N260" i="4"/>
  <c r="N511" i="4"/>
  <c r="N336" i="4"/>
  <c r="N371" i="4" s="1"/>
  <c r="N692" i="4"/>
  <c r="N515" i="4"/>
  <c r="BG190" i="4"/>
  <c r="BG200" i="4" s="1"/>
  <c r="AZ574" i="4"/>
  <c r="AY541" i="4"/>
  <c r="AY585" i="4" s="1"/>
  <c r="AZ238" i="4"/>
  <c r="AZ250" i="4" s="1"/>
  <c r="AZ284" i="4"/>
  <c r="AT686" i="4"/>
  <c r="AT688" i="4" s="1"/>
  <c r="AT661" i="4" s="1"/>
  <c r="AY238" i="4"/>
  <c r="AY250" i="4" s="1"/>
  <c r="AY284" i="4"/>
  <c r="AX284" i="4"/>
  <c r="H31" i="3"/>
  <c r="BE363" i="4"/>
  <c r="AV31" i="3"/>
  <c r="AV30" i="3"/>
  <c r="AV476" i="3"/>
  <c r="AV501" i="3" s="1"/>
  <c r="AV81" i="3"/>
  <c r="R30" i="3"/>
  <c r="AY425" i="4"/>
  <c r="AY491" i="4"/>
  <c r="AZ502" i="4" s="1"/>
  <c r="O500" i="4"/>
  <c r="AU474" i="3"/>
  <c r="AU84" i="3"/>
  <c r="AU86" i="3" s="1"/>
  <c r="AU88" i="3" s="1"/>
  <c r="AU94" i="3" s="1"/>
  <c r="AU98" i="3" s="1"/>
  <c r="AU472" i="3"/>
  <c r="AU524" i="3"/>
  <c r="AU525" i="3"/>
  <c r="AU37" i="3"/>
  <c r="AU578" i="3" s="1"/>
  <c r="AU526" i="3"/>
  <c r="AU58" i="3"/>
  <c r="AU536" i="3"/>
  <c r="AZ3" i="3"/>
  <c r="AT3" i="4" s="1"/>
  <c r="AT1" i="4"/>
  <c r="AT2" i="4" s="1"/>
  <c r="AZ2" i="3"/>
  <c r="AV507" i="4"/>
  <c r="BE98" i="4"/>
  <c r="AY330" i="4"/>
  <c r="AY332" i="4" s="1"/>
  <c r="AY370" i="4"/>
  <c r="AY368" i="4"/>
  <c r="AY365" i="4"/>
  <c r="H476" i="3"/>
  <c r="H501" i="3" s="1"/>
  <c r="R476" i="3"/>
  <c r="R501" i="3" s="1"/>
  <c r="H30" i="3"/>
  <c r="N476" i="3"/>
  <c r="N501" i="3" s="1"/>
  <c r="BG81" i="3"/>
  <c r="AT723" i="4"/>
  <c r="AT722" i="4"/>
  <c r="AT728" i="4"/>
  <c r="BH325" i="3"/>
  <c r="BH231" i="3"/>
  <c r="BB68" i="3"/>
  <c r="BB73" i="3" s="1"/>
  <c r="BB527" i="3" s="1"/>
  <c r="AW136" i="4"/>
  <c r="AW142" i="4"/>
  <c r="AW100" i="4"/>
  <c r="AW102" i="4" s="1"/>
  <c r="AW75" i="4" s="1"/>
  <c r="AW140" i="4"/>
  <c r="F284" i="4"/>
  <c r="F460" i="4"/>
  <c r="G284" i="4"/>
  <c r="F388" i="4"/>
  <c r="F431" i="4" s="1"/>
  <c r="AX140" i="4"/>
  <c r="AX142" i="4"/>
  <c r="AX136" i="4"/>
  <c r="AX100" i="4"/>
  <c r="AX102" i="4" s="1"/>
  <c r="AX75" i="4" s="1"/>
  <c r="BI121" i="3"/>
  <c r="BI388" i="3"/>
  <c r="F434" i="4"/>
  <c r="G434" i="4"/>
  <c r="AU295" i="4"/>
  <c r="AU296" i="4"/>
  <c r="I439" i="4"/>
  <c r="H439" i="4"/>
  <c r="AV400" i="4"/>
  <c r="AZ368" i="4"/>
  <c r="AZ370" i="4"/>
  <c r="AZ365" i="4"/>
  <c r="AZ330" i="4"/>
  <c r="AZ332" i="4" s="1"/>
  <c r="AY501" i="4"/>
  <c r="AZ503" i="4"/>
  <c r="AY503" i="4"/>
  <c r="L534" i="3"/>
  <c r="L531" i="3"/>
  <c r="L527" i="3"/>
  <c r="L530" i="3"/>
  <c r="L77" i="3"/>
  <c r="L535" i="3"/>
  <c r="M535" i="3"/>
  <c r="AX62" i="4"/>
  <c r="AX32" i="4"/>
  <c r="AX65" i="4"/>
  <c r="AU503" i="4"/>
  <c r="AT501" i="4"/>
  <c r="AV289" i="4"/>
  <c r="AU289" i="4"/>
  <c r="AU88" i="4"/>
  <c r="AU96" i="4" s="1"/>
  <c r="AU131" i="4"/>
  <c r="AT330" i="4"/>
  <c r="AT332" i="4" s="1"/>
  <c r="AT305" i="4" s="1"/>
  <c r="AT368" i="4"/>
  <c r="AT370" i="4"/>
  <c r="AT365" i="4"/>
  <c r="AV219" i="4"/>
  <c r="AV213" i="4"/>
  <c r="AV178" i="4"/>
  <c r="AV180" i="4" s="1"/>
  <c r="AV153" i="4" s="1"/>
  <c r="AV384" i="4"/>
  <c r="N436" i="4"/>
  <c r="N440" i="4"/>
  <c r="N401" i="4"/>
  <c r="N403" i="4" s="1"/>
  <c r="N376" i="4" s="1"/>
  <c r="N442" i="4"/>
  <c r="AW501" i="4"/>
  <c r="AX501" i="4"/>
  <c r="AX503" i="4"/>
  <c r="F432" i="4"/>
  <c r="G432" i="4"/>
  <c r="M509" i="4"/>
  <c r="L509" i="4"/>
  <c r="AV330" i="4"/>
  <c r="AV332" i="4" s="1"/>
  <c r="AV305" i="4" s="1"/>
  <c r="AV368" i="4"/>
  <c r="AV370" i="4"/>
  <c r="AV365" i="4"/>
  <c r="AT650" i="4"/>
  <c r="AT655" i="4"/>
  <c r="AT653" i="4"/>
  <c r="AT615" i="4"/>
  <c r="AT617" i="4" s="1"/>
  <c r="AT593" i="4" s="1"/>
  <c r="AU217" i="4"/>
  <c r="AU219" i="4"/>
  <c r="AU213" i="4"/>
  <c r="AU178" i="4"/>
  <c r="AU214" i="4"/>
  <c r="AZ460" i="4"/>
  <c r="AZ461" i="4" s="1"/>
  <c r="O506" i="4"/>
  <c r="O461" i="4"/>
  <c r="O469" i="4" s="1"/>
  <c r="O431" i="4"/>
  <c r="O389" i="4"/>
  <c r="O397" i="4" s="1"/>
  <c r="AT534" i="4"/>
  <c r="AU574" i="4" s="1"/>
  <c r="AU390" i="4"/>
  <c r="AV88" i="4"/>
  <c r="AV96" i="4" s="1"/>
  <c r="AV131" i="4"/>
  <c r="G461" i="4"/>
  <c r="G469" i="4" s="1"/>
  <c r="P397" i="4"/>
  <c r="BE675" i="4"/>
  <c r="BE718" i="4" s="1"/>
  <c r="BE673" i="4"/>
  <c r="BE717" i="4" s="1"/>
  <c r="BC166" i="4"/>
  <c r="AI147" i="28" s="1"/>
  <c r="AI44" i="28" s="1"/>
  <c r="P506" i="4"/>
  <c r="L469" i="4"/>
  <c r="L515" i="4" s="1"/>
  <c r="BA507" i="4"/>
  <c r="AZ388" i="4"/>
  <c r="P431" i="4"/>
  <c r="AU237" i="4"/>
  <c r="AW57" i="4"/>
  <c r="Q336" i="4"/>
  <c r="Q371" i="4" s="1"/>
  <c r="Q692" i="4"/>
  <c r="Q551" i="4"/>
  <c r="Q260" i="4"/>
  <c r="C502" i="4"/>
  <c r="BA291" i="4"/>
  <c r="BA178" i="4"/>
  <c r="BA180" i="4" s="1"/>
  <c r="BA213" i="4"/>
  <c r="BA217" i="4"/>
  <c r="BA219" i="4"/>
  <c r="BC488" i="4"/>
  <c r="BC498" i="4" s="1"/>
  <c r="P535" i="3"/>
  <c r="P531" i="3"/>
  <c r="P530" i="3"/>
  <c r="P77" i="3"/>
  <c r="P527" i="3"/>
  <c r="P534" i="3"/>
  <c r="AU501" i="4"/>
  <c r="AV503" i="4"/>
  <c r="F439" i="4"/>
  <c r="AU400" i="4"/>
  <c r="AU438" i="4" s="1"/>
  <c r="G439" i="4"/>
  <c r="AW296" i="4"/>
  <c r="AV296" i="4"/>
  <c r="AV295" i="4"/>
  <c r="AZ501" i="4"/>
  <c r="AX291" i="4"/>
  <c r="AY291" i="4"/>
  <c r="K434" i="4"/>
  <c r="K397" i="4"/>
  <c r="G509" i="4"/>
  <c r="AV579" i="4"/>
  <c r="AU579" i="4"/>
  <c r="AU370" i="4"/>
  <c r="AU365" i="4"/>
  <c r="AU330" i="4"/>
  <c r="AU332" i="4" s="1"/>
  <c r="AU305" i="4" s="1"/>
  <c r="AU368" i="4"/>
  <c r="H460" i="4"/>
  <c r="H284" i="4"/>
  <c r="H388" i="4"/>
  <c r="I431" i="4" s="1"/>
  <c r="AV237" i="4"/>
  <c r="BD266" i="4"/>
  <c r="BD276" i="4" s="1"/>
  <c r="J500" i="4"/>
  <c r="I500" i="4"/>
  <c r="P434" i="4"/>
  <c r="AZ65" i="4"/>
  <c r="AZ62" i="4"/>
  <c r="AZ32" i="4"/>
  <c r="BH176" i="3"/>
  <c r="F507" i="4"/>
  <c r="G507" i="4"/>
  <c r="AW535" i="4"/>
  <c r="M434" i="4"/>
  <c r="L434" i="4"/>
  <c r="AU650" i="4"/>
  <c r="AU655" i="4"/>
  <c r="AU653" i="4"/>
  <c r="AU615" i="4"/>
  <c r="AU617" i="4" s="1"/>
  <c r="AU593" i="4" s="1"/>
  <c r="H575" i="4"/>
  <c r="AV534" i="4"/>
  <c r="AV574" i="4" s="1"/>
  <c r="I68" i="3"/>
  <c r="I73" i="3" s="1"/>
  <c r="D500" i="4"/>
  <c r="BA432" i="4"/>
  <c r="BB432" i="4"/>
  <c r="AV501" i="4"/>
  <c r="AW503" i="4"/>
  <c r="AW131" i="4"/>
  <c r="F575" i="4"/>
  <c r="G575" i="4"/>
  <c r="AU535" i="4"/>
  <c r="AV217" i="4"/>
  <c r="AV20" i="4"/>
  <c r="AV28" i="4" s="1"/>
  <c r="G442" i="4"/>
  <c r="G401" i="4"/>
  <c r="G403" i="4" s="1"/>
  <c r="G376" i="4" s="1"/>
  <c r="G436" i="4"/>
  <c r="G440" i="4"/>
  <c r="E575" i="4"/>
  <c r="L397" i="4"/>
  <c r="BL39" i="3"/>
  <c r="BF39" i="3"/>
  <c r="BL427" i="3"/>
  <c r="BL175" i="3"/>
  <c r="BL198" i="3"/>
  <c r="BL191" i="3"/>
  <c r="BL286" i="3"/>
  <c r="BL541" i="3"/>
  <c r="BL538" i="3"/>
  <c r="BL433" i="3"/>
  <c r="BL432" i="3"/>
  <c r="BL387" i="3"/>
  <c r="BL431" i="3"/>
  <c r="BL429" i="3"/>
  <c r="BL106" i="3"/>
  <c r="BL453" i="3"/>
  <c r="BL195" i="3"/>
  <c r="BL172" i="3"/>
  <c r="BL194" i="3"/>
  <c r="BL291" i="3"/>
  <c r="BL285" i="3"/>
  <c r="BL326" i="3"/>
  <c r="BM326" i="3"/>
  <c r="BL465" i="3"/>
  <c r="BL405" i="3"/>
  <c r="BF85" i="4"/>
  <c r="BF129" i="4" s="1"/>
  <c r="BF319" i="4"/>
  <c r="BF699" i="4"/>
  <c r="BD703" i="4"/>
  <c r="BF163" i="4"/>
  <c r="BF206" i="4" s="1"/>
  <c r="BF160" i="4"/>
  <c r="BI66" i="3"/>
  <c r="BC18" i="4"/>
  <c r="BC56" i="4" s="1"/>
  <c r="BF211" i="4"/>
  <c r="BF197" i="4"/>
  <c r="BF454" i="4"/>
  <c r="BG98" i="4"/>
  <c r="BE101" i="4"/>
  <c r="AX574" i="4"/>
  <c r="AY574" i="4"/>
  <c r="I401" i="4"/>
  <c r="I403" i="4" s="1"/>
  <c r="I376" i="4" s="1"/>
  <c r="I440" i="4"/>
  <c r="I436" i="4"/>
  <c r="I442" i="4"/>
  <c r="AW427" i="4"/>
  <c r="J401" i="4"/>
  <c r="J403" i="4" s="1"/>
  <c r="J376" i="4" s="1"/>
  <c r="J436" i="4"/>
  <c r="J442" i="4"/>
  <c r="J440" i="4"/>
  <c r="BC68" i="3"/>
  <c r="BC73" i="3" s="1"/>
  <c r="F527" i="3"/>
  <c r="F531" i="3"/>
  <c r="F530" i="3"/>
  <c r="F534" i="3"/>
  <c r="F77" i="3"/>
  <c r="AX535" i="4"/>
  <c r="E389" i="4"/>
  <c r="E397" i="4" s="1"/>
  <c r="AW388" i="4"/>
  <c r="AY32" i="4"/>
  <c r="AY65" i="4"/>
  <c r="AY62" i="4"/>
  <c r="J431" i="4"/>
  <c r="BB702" i="4"/>
  <c r="BB711" i="4" s="1"/>
  <c r="BB704" i="4"/>
  <c r="AT711" i="4"/>
  <c r="BH82" i="3"/>
  <c r="BE316" i="4"/>
  <c r="BD471" i="4"/>
  <c r="BD457" i="4"/>
  <c r="AZ68" i="3"/>
  <c r="AZ73" i="3" s="1"/>
  <c r="R308" i="4"/>
  <c r="Q309" i="4"/>
  <c r="Q353" i="4" s="1"/>
  <c r="Q379" i="4"/>
  <c r="Q380" i="4" s="1"/>
  <c r="Q424" i="4" s="1"/>
  <c r="Q79" i="4"/>
  <c r="Q124" i="4" s="1"/>
  <c r="R78" i="4"/>
  <c r="AW65" i="4"/>
  <c r="AW32" i="4"/>
  <c r="AW62" i="4"/>
  <c r="J527" i="3"/>
  <c r="J77" i="3"/>
  <c r="K535" i="3"/>
  <c r="J531" i="3"/>
  <c r="J534" i="3"/>
  <c r="J530" i="3"/>
  <c r="BA68" i="3"/>
  <c r="BA73" i="3" s="1"/>
  <c r="AW238" i="4"/>
  <c r="AW250" i="4" s="1"/>
  <c r="J515" i="4"/>
  <c r="J692" i="4"/>
  <c r="J551" i="4"/>
  <c r="J511" i="4"/>
  <c r="J482" i="4"/>
  <c r="J336" i="4"/>
  <c r="J371" i="4" s="1"/>
  <c r="J621" i="4"/>
  <c r="J260" i="4"/>
  <c r="J473" i="4"/>
  <c r="J477" i="4" s="1"/>
  <c r="J184" i="4"/>
  <c r="J106" i="4"/>
  <c r="C440" i="4"/>
  <c r="C442" i="4"/>
  <c r="C437" i="4"/>
  <c r="C436" i="4"/>
  <c r="C401" i="4"/>
  <c r="AT32" i="4"/>
  <c r="AT62" i="4"/>
  <c r="AT65" i="4"/>
  <c r="E531" i="3"/>
  <c r="E528" i="3"/>
  <c r="E534" i="3"/>
  <c r="E527" i="3"/>
  <c r="E530" i="3"/>
  <c r="E535" i="3"/>
  <c r="E77" i="3"/>
  <c r="F535" i="3"/>
  <c r="M260" i="4"/>
  <c r="M515" i="4"/>
  <c r="M473" i="4"/>
  <c r="M477" i="4" s="1"/>
  <c r="M511" i="4"/>
  <c r="M336" i="4"/>
  <c r="M371" i="4" s="1"/>
  <c r="M621" i="4"/>
  <c r="M184" i="4"/>
  <c r="M692" i="4"/>
  <c r="M482" i="4"/>
  <c r="M551" i="4"/>
  <c r="M106" i="4"/>
  <c r="BJ80" i="3"/>
  <c r="BE89" i="4"/>
  <c r="AX461" i="4"/>
  <c r="Q156" i="4"/>
  <c r="P10" i="4"/>
  <c r="Q60" i="3" s="1"/>
  <c r="BD164" i="4"/>
  <c r="BD207" i="4" s="1"/>
  <c r="BE313" i="4"/>
  <c r="C431" i="4"/>
  <c r="C461" i="4"/>
  <c r="C469" i="4" s="1"/>
  <c r="C506" i="4"/>
  <c r="AW434" i="4"/>
  <c r="BD331" i="4"/>
  <c r="BE476" i="4"/>
  <c r="BD35" i="4"/>
  <c r="BA503" i="4"/>
  <c r="BB501" i="4"/>
  <c r="BA501" i="4"/>
  <c r="BB503" i="4"/>
  <c r="BA500" i="4"/>
  <c r="BA502" i="4"/>
  <c r="AW509" i="4"/>
  <c r="BE402" i="3"/>
  <c r="G545" i="3"/>
  <c r="BA545" i="3" s="1"/>
  <c r="BA543" i="3"/>
  <c r="I542" i="3"/>
  <c r="H543" i="3"/>
  <c r="H545" i="3" s="1"/>
  <c r="AW84" i="3"/>
  <c r="AW37" i="3"/>
  <c r="AW578" i="3" s="1"/>
  <c r="AW525" i="3"/>
  <c r="AW526" i="3"/>
  <c r="AW536" i="3"/>
  <c r="AW58" i="3"/>
  <c r="AW524" i="3"/>
  <c r="AW341" i="3"/>
  <c r="AW474" i="3"/>
  <c r="AW472" i="3"/>
  <c r="K544" i="3"/>
  <c r="H474" i="3"/>
  <c r="H84" i="3"/>
  <c r="H58" i="3"/>
  <c r="H37" i="3"/>
  <c r="H578" i="3" s="1"/>
  <c r="H341" i="3"/>
  <c r="H472" i="3"/>
  <c r="BC390" i="4"/>
  <c r="BC432" i="4" s="1"/>
  <c r="BK539" i="3"/>
  <c r="BJ430" i="3"/>
  <c r="BK392" i="3"/>
  <c r="BJ190" i="3"/>
  <c r="BJ245" i="3"/>
  <c r="BJ196" i="3"/>
  <c r="BJ174" i="3"/>
  <c r="BJ452" i="3"/>
  <c r="BJ461" i="3"/>
  <c r="BI52" i="3"/>
  <c r="BJ117" i="3"/>
  <c r="BJ447" i="3"/>
  <c r="BJ157" i="3"/>
  <c r="BJ158" i="3"/>
  <c r="BJ448" i="3"/>
  <c r="BJ141" i="3"/>
  <c r="BK135" i="3"/>
  <c r="BK107" i="3"/>
  <c r="BE495" i="4"/>
  <c r="BD459" i="4"/>
  <c r="BD505" i="4" s="1"/>
  <c r="BD455" i="4"/>
  <c r="BE456" i="4"/>
  <c r="BE475" i="4"/>
  <c r="BD463" i="4"/>
  <c r="BD17" i="4"/>
  <c r="BD55" i="4" s="1"/>
  <c r="BD348" i="4"/>
  <c r="BD355" i="4" s="1"/>
  <c r="BC434" i="4"/>
  <c r="BD385" i="4"/>
  <c r="BE235" i="4"/>
  <c r="BE282" i="4" s="1"/>
  <c r="BE244" i="4"/>
  <c r="BE255" i="4"/>
  <c r="BD234" i="4"/>
  <c r="BD195" i="4"/>
  <c r="BD193" i="4"/>
  <c r="BD202" i="4" s="1"/>
  <c r="BD159" i="4"/>
  <c r="BI70" i="3"/>
  <c r="AH7" i="32" s="1"/>
  <c r="BC22" i="4"/>
  <c r="BC34" i="4"/>
  <c r="BC21" i="4"/>
  <c r="BI69" i="3"/>
  <c r="AH5" i="32" s="1"/>
  <c r="BD168" i="4"/>
  <c r="BD162" i="4"/>
  <c r="BD167" i="4"/>
  <c r="BD209" i="4" s="1"/>
  <c r="BI173" i="3"/>
  <c r="BD706" i="4"/>
  <c r="BD705" i="4"/>
  <c r="BD712" i="4" s="1"/>
  <c r="BH421" i="3"/>
  <c r="BI389" i="3"/>
  <c r="BE698" i="4"/>
  <c r="BE709" i="4" s="1"/>
  <c r="BE676" i="4"/>
  <c r="BE671" i="4"/>
  <c r="BE715" i="4" s="1"/>
  <c r="AC462" i="4"/>
  <c r="BE684" i="4"/>
  <c r="BH228" i="3"/>
  <c r="BH324" i="3"/>
  <c r="BD120" i="4"/>
  <c r="BC116" i="4"/>
  <c r="BC43" i="4"/>
  <c r="BC45" i="4"/>
  <c r="BC52" i="4" s="1"/>
  <c r="BH287" i="3"/>
  <c r="BC492" i="4"/>
  <c r="BI118" i="3"/>
  <c r="BD112" i="4"/>
  <c r="BD123" i="4" s="1"/>
  <c r="BE90" i="4"/>
  <c r="BE95" i="4"/>
  <c r="BE134" i="4" s="1"/>
  <c r="BI65" i="3"/>
  <c r="BF86" i="4"/>
  <c r="BF130" i="4" s="1"/>
  <c r="BD87" i="4"/>
  <c r="BD131" i="4" s="1"/>
  <c r="BH248" i="3"/>
  <c r="BH168" i="3"/>
  <c r="BH289" i="3"/>
  <c r="BH170" i="3"/>
  <c r="BH223" i="3"/>
  <c r="BH132" i="3"/>
  <c r="BH109" i="3" s="1"/>
  <c r="BH169" i="3"/>
  <c r="BH142" i="3"/>
  <c r="BH192" i="3"/>
  <c r="BH222" i="3"/>
  <c r="BH167" i="3"/>
  <c r="BH313" i="3"/>
  <c r="BH138" i="3"/>
  <c r="BB231" i="4"/>
  <c r="BB280" i="4" s="1"/>
  <c r="BA238" i="4"/>
  <c r="BB237" i="4"/>
  <c r="BB284" i="4" s="1"/>
  <c r="R431" i="4"/>
  <c r="BA388" i="4"/>
  <c r="R461" i="4"/>
  <c r="R469" i="4" s="1"/>
  <c r="R506" i="4"/>
  <c r="BA460" i="4"/>
  <c r="BA427" i="4"/>
  <c r="R389" i="4"/>
  <c r="R397" i="4" s="1"/>
  <c r="BB84" i="4"/>
  <c r="AH141" i="28" s="1"/>
  <c r="AH23" i="28" s="1"/>
  <c r="BB399" i="4"/>
  <c r="BD386" i="4"/>
  <c r="BD429" i="4" s="1"/>
  <c r="BE315" i="4"/>
  <c r="AK159" i="28" s="1"/>
  <c r="AK87" i="28" s="1"/>
  <c r="V8" i="9"/>
  <c r="U10" i="9"/>
  <c r="AA7" i="9"/>
  <c r="X9" i="9"/>
  <c r="BG476" i="3" l="1"/>
  <c r="BG501" i="3" s="1"/>
  <c r="BG31" i="3"/>
  <c r="R37" i="3"/>
  <c r="R578" i="3" s="1"/>
  <c r="C28" i="32" s="1"/>
  <c r="S81" i="3"/>
  <c r="D20" i="32" s="1"/>
  <c r="S30" i="3"/>
  <c r="S31" i="3"/>
  <c r="S476" i="3"/>
  <c r="S501" i="3" s="1"/>
  <c r="Q440" i="4"/>
  <c r="Q436" i="4"/>
  <c r="Q401" i="4"/>
  <c r="Q403" i="4" s="1"/>
  <c r="Q376" i="4" s="1"/>
  <c r="AG176" i="28"/>
  <c r="AG12" i="28" s="1"/>
  <c r="AG15" i="28" s="1"/>
  <c r="AF20" i="32"/>
  <c r="E9" i="28"/>
  <c r="BC58" i="4"/>
  <c r="R58" i="3"/>
  <c r="D176" i="28"/>
  <c r="D12" i="28" s="1"/>
  <c r="BA36" i="4"/>
  <c r="AJ90" i="28"/>
  <c r="AJ89" i="28"/>
  <c r="AK90" i="28"/>
  <c r="AK89" i="28"/>
  <c r="AG101" i="28"/>
  <c r="AG100" i="28"/>
  <c r="AI47" i="28"/>
  <c r="AI46" i="28"/>
  <c r="AJ62" i="28"/>
  <c r="AJ63" i="28"/>
  <c r="AH25" i="28"/>
  <c r="AH26" i="28"/>
  <c r="AI79" i="28"/>
  <c r="AI78" i="28"/>
  <c r="R341" i="3"/>
  <c r="R474" i="3"/>
  <c r="N84" i="3"/>
  <c r="N58" i="3"/>
  <c r="BA250" i="4"/>
  <c r="AG153" i="28"/>
  <c r="AG65" i="28" s="1"/>
  <c r="BF361" i="4"/>
  <c r="AL157" i="28"/>
  <c r="AL76" i="28" s="1"/>
  <c r="R84" i="3"/>
  <c r="N472" i="3"/>
  <c r="N470" i="3" s="1"/>
  <c r="N497" i="3" s="1"/>
  <c r="N341" i="3"/>
  <c r="N37" i="3"/>
  <c r="N578" i="3" s="1"/>
  <c r="R472" i="3"/>
  <c r="G2" i="4"/>
  <c r="M31" i="3"/>
  <c r="BE30" i="3"/>
  <c r="Q81" i="3"/>
  <c r="Q474" i="3" s="1"/>
  <c r="O81" i="3"/>
  <c r="O37" i="3" s="1"/>
  <c r="O578" i="3" s="1"/>
  <c r="BG58" i="3"/>
  <c r="K472" i="3"/>
  <c r="K580" i="3" s="1"/>
  <c r="O31" i="3"/>
  <c r="BF535" i="3"/>
  <c r="O476" i="3"/>
  <c r="O501" i="3" s="1"/>
  <c r="O30" i="3"/>
  <c r="BE132" i="4"/>
  <c r="BE358" i="4"/>
  <c r="BE359" i="4"/>
  <c r="K58" i="3"/>
  <c r="K84" i="3"/>
  <c r="K341" i="3"/>
  <c r="K474" i="3"/>
  <c r="K471" i="3" s="1"/>
  <c r="K498" i="3" s="1"/>
  <c r="AX397" i="4"/>
  <c r="AX580" i="3"/>
  <c r="AZ469" i="4"/>
  <c r="BF530" i="3"/>
  <c r="BF527" i="3"/>
  <c r="AX500" i="3"/>
  <c r="G534" i="3"/>
  <c r="AX499" i="3"/>
  <c r="BF531" i="3"/>
  <c r="BF534" i="3"/>
  <c r="BF528" i="3"/>
  <c r="BF77" i="3"/>
  <c r="BF30" i="3" s="1"/>
  <c r="AZ140" i="4"/>
  <c r="Q31" i="3"/>
  <c r="Q30" i="3"/>
  <c r="Q476" i="3"/>
  <c r="Q501" i="3" s="1"/>
  <c r="AZ136" i="4"/>
  <c r="E509" i="4"/>
  <c r="BA67" i="4"/>
  <c r="D509" i="4"/>
  <c r="D434" i="4"/>
  <c r="AT396" i="4"/>
  <c r="AU434" i="4" s="1"/>
  <c r="AZ100" i="4"/>
  <c r="AZ102" i="4" s="1"/>
  <c r="AZ75" i="4" s="1"/>
  <c r="AX469" i="4"/>
  <c r="AX473" i="4" s="1"/>
  <c r="AX477" i="4" s="1"/>
  <c r="AX448" i="4" s="1"/>
  <c r="AT96" i="4"/>
  <c r="G530" i="3"/>
  <c r="AY473" i="3"/>
  <c r="D50" i="4"/>
  <c r="AU28" i="4"/>
  <c r="AU62" i="4" s="1"/>
  <c r="F528" i="3"/>
  <c r="F532" i="3"/>
  <c r="D201" i="4"/>
  <c r="G357" i="3"/>
  <c r="G481" i="3" s="1"/>
  <c r="G505" i="3" s="1"/>
  <c r="BA356" i="3"/>
  <c r="BA357" i="3" s="1"/>
  <c r="BA481" i="3" s="1"/>
  <c r="BA505" i="3" s="1"/>
  <c r="H33" i="3"/>
  <c r="H356" i="3" s="1"/>
  <c r="H357" i="3" s="1"/>
  <c r="H481" i="3" s="1"/>
  <c r="H505" i="3" s="1"/>
  <c r="F61" i="3"/>
  <c r="AY33" i="3"/>
  <c r="AY356" i="3" s="1"/>
  <c r="AY357" i="3" s="1"/>
  <c r="AY481" i="3" s="1"/>
  <c r="AY505" i="3" s="1"/>
  <c r="G535" i="3"/>
  <c r="G531" i="3"/>
  <c r="G77" i="3"/>
  <c r="G81" i="3" s="1"/>
  <c r="G527" i="3"/>
  <c r="D710" i="4"/>
  <c r="BA29" i="3"/>
  <c r="BA479" i="3" s="1"/>
  <c r="BA503" i="3" s="1"/>
  <c r="F533" i="3"/>
  <c r="M30" i="3"/>
  <c r="E434" i="4"/>
  <c r="M81" i="3"/>
  <c r="M472" i="3" s="1"/>
  <c r="M499" i="3" s="1"/>
  <c r="G61" i="3"/>
  <c r="G532" i="3"/>
  <c r="F5" i="4"/>
  <c r="G533" i="3"/>
  <c r="G563" i="3"/>
  <c r="G22" i="3" s="1"/>
  <c r="G564" i="3"/>
  <c r="G26" i="3" s="1"/>
  <c r="G528" i="3"/>
  <c r="BA60" i="3"/>
  <c r="BA61" i="3" s="1"/>
  <c r="BA33" i="3"/>
  <c r="E5" i="4"/>
  <c r="F563" i="3"/>
  <c r="F22" i="3" s="1"/>
  <c r="BA56" i="3"/>
  <c r="AJ315" i="4"/>
  <c r="AC507" i="4"/>
  <c r="AD507" i="4"/>
  <c r="BD534" i="3"/>
  <c r="BD531" i="3"/>
  <c r="BD528" i="3"/>
  <c r="BD527" i="3"/>
  <c r="BD530" i="3"/>
  <c r="BD77" i="3"/>
  <c r="M476" i="3"/>
  <c r="M501" i="3" s="1"/>
  <c r="D474" i="3"/>
  <c r="D500" i="3" s="1"/>
  <c r="AT220" i="4"/>
  <c r="D341" i="3"/>
  <c r="D476" i="3"/>
  <c r="D501" i="3" s="1"/>
  <c r="D84" i="3"/>
  <c r="D472" i="3"/>
  <c r="D470" i="3" s="1"/>
  <c r="D497" i="3" s="1"/>
  <c r="AN451" i="4"/>
  <c r="AO451" i="4" s="1"/>
  <c r="AU291" i="4"/>
  <c r="I692" i="4"/>
  <c r="AW692" i="4" s="1"/>
  <c r="G3" i="4"/>
  <c r="I3" i="3"/>
  <c r="J1" i="3"/>
  <c r="H1" i="4"/>
  <c r="I2" i="3"/>
  <c r="AW461" i="4"/>
  <c r="I184" i="4"/>
  <c r="AW184" i="4" s="1"/>
  <c r="I473" i="4"/>
  <c r="I477" i="4" s="1"/>
  <c r="I448" i="4" s="1"/>
  <c r="AY475" i="3"/>
  <c r="AY500" i="3"/>
  <c r="AY580" i="3"/>
  <c r="AY499" i="3"/>
  <c r="BI273" i="4"/>
  <c r="BD204" i="4"/>
  <c r="D536" i="3"/>
  <c r="D30" i="3"/>
  <c r="D37" i="3"/>
  <c r="D578" i="3" s="1"/>
  <c r="D524" i="3"/>
  <c r="D526" i="3"/>
  <c r="D31" i="3"/>
  <c r="D525" i="3"/>
  <c r="BE476" i="3"/>
  <c r="BE501" i="3" s="1"/>
  <c r="BN99" i="3"/>
  <c r="BN317" i="3"/>
  <c r="BN540" i="3"/>
  <c r="BH190" i="4"/>
  <c r="BH200" i="4" s="1"/>
  <c r="D461" i="4"/>
  <c r="D469" i="4" s="1"/>
  <c r="D260" i="4" s="1"/>
  <c r="BE81" i="3"/>
  <c r="BE31" i="3"/>
  <c r="BD242" i="4"/>
  <c r="BD236" i="4"/>
  <c r="BD283" i="4" s="1"/>
  <c r="BD291" i="4"/>
  <c r="BJ251" i="3"/>
  <c r="AZ431" i="4"/>
  <c r="AY431" i="4"/>
  <c r="BA434" i="4"/>
  <c r="D506" i="4"/>
  <c r="AT460" i="4"/>
  <c r="AT461" i="4" s="1"/>
  <c r="AT469" i="4" s="1"/>
  <c r="AY482" i="4"/>
  <c r="BD462" i="4"/>
  <c r="BD507" i="4" s="1"/>
  <c r="I621" i="4"/>
  <c r="AW621" i="4" s="1"/>
  <c r="I260" i="4"/>
  <c r="AW260" i="4" s="1"/>
  <c r="I336" i="4"/>
  <c r="I482" i="4"/>
  <c r="AW482" i="4" s="1"/>
  <c r="I551" i="4"/>
  <c r="AW551" i="4" s="1"/>
  <c r="I511" i="4"/>
  <c r="I106" i="4"/>
  <c r="D389" i="4"/>
  <c r="D397" i="4" s="1"/>
  <c r="D442" i="4" s="1"/>
  <c r="D431" i="4"/>
  <c r="K551" i="4"/>
  <c r="AY506" i="4"/>
  <c r="AT388" i="4"/>
  <c r="AT389" i="4" s="1"/>
  <c r="K184" i="4"/>
  <c r="AX431" i="4"/>
  <c r="K106" i="4"/>
  <c r="AT238" i="4"/>
  <c r="AT250" i="4" s="1"/>
  <c r="K621" i="4"/>
  <c r="K515" i="4"/>
  <c r="K511" i="4"/>
  <c r="K336" i="4"/>
  <c r="K371" i="4" s="1"/>
  <c r="K260" i="4"/>
  <c r="K482" i="4"/>
  <c r="K692" i="4"/>
  <c r="AV514" i="4"/>
  <c r="P621" i="4"/>
  <c r="AU514" i="4"/>
  <c r="L511" i="4"/>
  <c r="L106" i="4"/>
  <c r="AZ254" i="4"/>
  <c r="AZ256" i="4" s="1"/>
  <c r="AZ225" i="4" s="1"/>
  <c r="AZ293" i="4"/>
  <c r="AZ297" i="4"/>
  <c r="AZ294" i="4"/>
  <c r="AZ299" i="4"/>
  <c r="AY621" i="4"/>
  <c r="AY260" i="4"/>
  <c r="M448" i="4"/>
  <c r="P482" i="4"/>
  <c r="J448" i="4"/>
  <c r="AY587" i="4"/>
  <c r="E511" i="4"/>
  <c r="Q481" i="4"/>
  <c r="K448" i="4"/>
  <c r="AT729" i="4"/>
  <c r="AZ305" i="4"/>
  <c r="BA75" i="4"/>
  <c r="BA153" i="4"/>
  <c r="AY305" i="4"/>
  <c r="AU502" i="4"/>
  <c r="BA509" i="4"/>
  <c r="BA431" i="4"/>
  <c r="AY184" i="4"/>
  <c r="AY545" i="4"/>
  <c r="AY547" i="4" s="1"/>
  <c r="AY522" i="4" s="1"/>
  <c r="AY692" i="4"/>
  <c r="P336" i="4"/>
  <c r="P371" i="4" s="1"/>
  <c r="P184" i="4"/>
  <c r="P515" i="4"/>
  <c r="E512" i="4"/>
  <c r="E336" i="4"/>
  <c r="E407" i="4" s="1"/>
  <c r="AY581" i="4"/>
  <c r="P260" i="4"/>
  <c r="P692" i="4"/>
  <c r="P473" i="4"/>
  <c r="P477" i="4" s="1"/>
  <c r="E621" i="4"/>
  <c r="E515" i="4"/>
  <c r="AY551" i="4"/>
  <c r="P106" i="4"/>
  <c r="P551" i="4"/>
  <c r="E473" i="4"/>
  <c r="E477" i="4" s="1"/>
  <c r="E448" i="4" s="1"/>
  <c r="N407" i="4"/>
  <c r="AY254" i="4"/>
  <c r="AY256" i="4" s="1"/>
  <c r="AY297" i="4"/>
  <c r="AY299" i="4"/>
  <c r="AY294" i="4"/>
  <c r="AY293" i="4"/>
  <c r="AZ389" i="4"/>
  <c r="N481" i="4"/>
  <c r="J535" i="3"/>
  <c r="L184" i="4"/>
  <c r="L621" i="4"/>
  <c r="BF342" i="4"/>
  <c r="BF352" i="4" s="1"/>
  <c r="AY442" i="4"/>
  <c r="L482" i="4"/>
  <c r="BM405" i="3"/>
  <c r="BM291" i="3"/>
  <c r="BM172" i="3"/>
  <c r="BM429" i="3"/>
  <c r="BM387" i="3"/>
  <c r="BM433" i="3"/>
  <c r="BM541" i="3"/>
  <c r="BM191" i="3"/>
  <c r="BM175" i="3"/>
  <c r="BM427" i="3"/>
  <c r="BM465" i="3"/>
  <c r="BM194" i="3"/>
  <c r="BM195" i="3"/>
  <c r="BM106" i="3"/>
  <c r="BM431" i="3"/>
  <c r="BM432" i="3"/>
  <c r="BM538" i="3"/>
  <c r="BM286" i="3"/>
  <c r="BA389" i="4"/>
  <c r="BG314" i="4"/>
  <c r="BG311" i="4"/>
  <c r="AZ500" i="4"/>
  <c r="BG163" i="4"/>
  <c r="BG206" i="4" s="1"/>
  <c r="BG160" i="4"/>
  <c r="BG317" i="4"/>
  <c r="BG360" i="4" s="1"/>
  <c r="BG161" i="4"/>
  <c r="BG687" i="4"/>
  <c r="BM453" i="3"/>
  <c r="BM198" i="3"/>
  <c r="BG197" i="4"/>
  <c r="BG86" i="4"/>
  <c r="BG130" i="4" s="1"/>
  <c r="AU238" i="4"/>
  <c r="AU284" i="4"/>
  <c r="BG315" i="4"/>
  <c r="AM159" i="28" s="1"/>
  <c r="AM87" i="28" s="1"/>
  <c r="AU439" i="4"/>
  <c r="AV238" i="4"/>
  <c r="AV250" i="4" s="1"/>
  <c r="AV284" i="4"/>
  <c r="AW284" i="4"/>
  <c r="BB528" i="3"/>
  <c r="BE243" i="4"/>
  <c r="AK152" i="28" s="1"/>
  <c r="AK60" i="28" s="1"/>
  <c r="AV524" i="3"/>
  <c r="AV84" i="3"/>
  <c r="AV58" i="3"/>
  <c r="AV37" i="3"/>
  <c r="AV578" i="3" s="1"/>
  <c r="AV472" i="3"/>
  <c r="AW473" i="3" s="1"/>
  <c r="AV525" i="3"/>
  <c r="AV526" i="3"/>
  <c r="AV474" i="3"/>
  <c r="AW475" i="3" s="1"/>
  <c r="AV536" i="3"/>
  <c r="AV341" i="3"/>
  <c r="BC176" i="4"/>
  <c r="BD119" i="4"/>
  <c r="BH96" i="3"/>
  <c r="AY502" i="4"/>
  <c r="AY500" i="4"/>
  <c r="AU580" i="3"/>
  <c r="AU473" i="3"/>
  <c r="AU499" i="3"/>
  <c r="AU470" i="3"/>
  <c r="AU497" i="3" s="1"/>
  <c r="AU500" i="3"/>
  <c r="AU475" i="3"/>
  <c r="AU471" i="3"/>
  <c r="AU498" i="3" s="1"/>
  <c r="BM39" i="3"/>
  <c r="BD494" i="4"/>
  <c r="BD501" i="4" s="1"/>
  <c r="AU1" i="4"/>
  <c r="AU2" i="4" s="1"/>
  <c r="BA2" i="3"/>
  <c r="BA3" i="3"/>
  <c r="AU3" i="4" s="1"/>
  <c r="AV93" i="3"/>
  <c r="AU101" i="3"/>
  <c r="AU521" i="3"/>
  <c r="AU91" i="3"/>
  <c r="AU520" i="3"/>
  <c r="BG474" i="3"/>
  <c r="BG524" i="3"/>
  <c r="BG472" i="3"/>
  <c r="BG536" i="3"/>
  <c r="BG84" i="3"/>
  <c r="AV535" i="4"/>
  <c r="AV541" i="4" s="1"/>
  <c r="Q407" i="4"/>
  <c r="BH54" i="3"/>
  <c r="AY509" i="4"/>
  <c r="AZ506" i="4"/>
  <c r="BB531" i="3"/>
  <c r="BB77" i="3"/>
  <c r="BB530" i="3"/>
  <c r="BB534" i="3"/>
  <c r="AV65" i="4"/>
  <c r="AV62" i="4"/>
  <c r="AV32" i="4"/>
  <c r="AW541" i="4"/>
  <c r="AU541" i="4"/>
  <c r="K440" i="4"/>
  <c r="K436" i="4"/>
  <c r="K442" i="4"/>
  <c r="K401" i="4"/>
  <c r="K403" i="4" s="1"/>
  <c r="K376" i="4" s="1"/>
  <c r="G260" i="4"/>
  <c r="G692" i="4"/>
  <c r="G184" i="4"/>
  <c r="G106" i="4"/>
  <c r="G551" i="4"/>
  <c r="G515" i="4"/>
  <c r="G336" i="4"/>
  <c r="G473" i="4"/>
  <c r="G477" i="4" s="1"/>
  <c r="G448" i="4" s="1"/>
  <c r="G621" i="4"/>
  <c r="G511" i="4"/>
  <c r="G482" i="4"/>
  <c r="AV432" i="4"/>
  <c r="AU432" i="4"/>
  <c r="AT574" i="4"/>
  <c r="AT535" i="4"/>
  <c r="AU220" i="4"/>
  <c r="AU180" i="4"/>
  <c r="AU153" i="4" s="1"/>
  <c r="F389" i="4"/>
  <c r="F397" i="4" s="1"/>
  <c r="G431" i="4"/>
  <c r="AU460" i="4"/>
  <c r="AU461" i="4" s="1"/>
  <c r="AU469" i="4" s="1"/>
  <c r="F461" i="4"/>
  <c r="F469" i="4" s="1"/>
  <c r="F506" i="4"/>
  <c r="G506" i="4"/>
  <c r="BF349" i="4"/>
  <c r="BF313" i="4"/>
  <c r="L551" i="4"/>
  <c r="L336" i="4"/>
  <c r="L371" i="4" s="1"/>
  <c r="L473" i="4"/>
  <c r="L477" i="4" s="1"/>
  <c r="L260" i="4"/>
  <c r="L692" i="4"/>
  <c r="AU509" i="4"/>
  <c r="L442" i="4"/>
  <c r="L401" i="4"/>
  <c r="L403" i="4" s="1"/>
  <c r="L376" i="4" s="1"/>
  <c r="L436" i="4"/>
  <c r="L440" i="4"/>
  <c r="I77" i="3"/>
  <c r="I527" i="3"/>
  <c r="I531" i="3"/>
  <c r="I534" i="3"/>
  <c r="I530" i="3"/>
  <c r="I535" i="3"/>
  <c r="AW574" i="4"/>
  <c r="AZ36" i="4"/>
  <c r="AZ67" i="4"/>
  <c r="AZ518" i="4" s="1"/>
  <c r="BD413" i="4"/>
  <c r="BD423" i="4" s="1"/>
  <c r="H431" i="4"/>
  <c r="AV388" i="4"/>
  <c r="AW431" i="4" s="1"/>
  <c r="H461" i="4"/>
  <c r="H469" i="4" s="1"/>
  <c r="H506" i="4"/>
  <c r="I506" i="4"/>
  <c r="AY434" i="4"/>
  <c r="AX434" i="4"/>
  <c r="P476" i="3"/>
  <c r="P501" i="3" s="1"/>
  <c r="P81" i="3"/>
  <c r="P30" i="3"/>
  <c r="P31" i="3"/>
  <c r="BC39" i="4"/>
  <c r="BC49" i="4" s="1"/>
  <c r="BI385" i="3"/>
  <c r="P401" i="4"/>
  <c r="P403" i="4" s="1"/>
  <c r="P376" i="4" s="1"/>
  <c r="P436" i="4"/>
  <c r="P442" i="4"/>
  <c r="P440" i="4"/>
  <c r="AV460" i="4"/>
  <c r="AV136" i="4"/>
  <c r="AV100" i="4"/>
  <c r="AV102" i="4" s="1"/>
  <c r="AV75" i="4" s="1"/>
  <c r="AV140" i="4"/>
  <c r="AV142" i="4"/>
  <c r="O440" i="4"/>
  <c r="O401" i="4"/>
  <c r="O403" i="4" s="1"/>
  <c r="O376" i="4" s="1"/>
  <c r="O436" i="4"/>
  <c r="O442" i="4"/>
  <c r="O106" i="4"/>
  <c r="O692" i="4"/>
  <c r="O515" i="4"/>
  <c r="O184" i="4"/>
  <c r="O511" i="4"/>
  <c r="O260" i="4"/>
  <c r="O336" i="4"/>
  <c r="O371" i="4" s="1"/>
  <c r="O473" i="4"/>
  <c r="O477" i="4" s="1"/>
  <c r="O621" i="4"/>
  <c r="O482" i="4"/>
  <c r="O551" i="4"/>
  <c r="H389" i="4"/>
  <c r="H397" i="4" s="1"/>
  <c r="AU136" i="4"/>
  <c r="AU140" i="4"/>
  <c r="AU137" i="4"/>
  <c r="AU100" i="4"/>
  <c r="AU142" i="4"/>
  <c r="AX36" i="4"/>
  <c r="AX7" i="4" s="1"/>
  <c r="AX67" i="4"/>
  <c r="AX518" i="4" s="1"/>
  <c r="L476" i="3"/>
  <c r="L501" i="3" s="1"/>
  <c r="L30" i="3"/>
  <c r="L81" i="3"/>
  <c r="L31" i="3"/>
  <c r="AW439" i="4"/>
  <c r="AV438" i="4"/>
  <c r="AV439" i="4"/>
  <c r="AU388" i="4"/>
  <c r="AU389" i="4" s="1"/>
  <c r="AU397" i="4" s="1"/>
  <c r="BL107" i="3"/>
  <c r="BL392" i="3"/>
  <c r="BL539" i="3"/>
  <c r="BF671" i="4"/>
  <c r="BF715" i="4" s="1"/>
  <c r="AC458" i="4"/>
  <c r="BF673" i="4"/>
  <c r="BF717" i="4" s="1"/>
  <c r="BF235" i="4"/>
  <c r="BF282" i="4" s="1"/>
  <c r="BF316" i="4"/>
  <c r="BF89" i="4"/>
  <c r="BF95" i="4"/>
  <c r="BF134" i="4" s="1"/>
  <c r="BF676" i="4"/>
  <c r="AC463" i="4"/>
  <c r="BF675" i="4"/>
  <c r="BF718" i="4" s="1"/>
  <c r="BF698" i="4"/>
  <c r="BF709" i="4" s="1"/>
  <c r="BF475" i="4"/>
  <c r="BF456" i="4"/>
  <c r="BF101" i="4"/>
  <c r="BF164" i="4"/>
  <c r="J407" i="4"/>
  <c r="J476" i="3"/>
  <c r="J501" i="3" s="1"/>
  <c r="J81" i="3"/>
  <c r="J31" i="3"/>
  <c r="J30" i="3"/>
  <c r="R309" i="4"/>
  <c r="R353" i="4" s="1"/>
  <c r="S308" i="4"/>
  <c r="T308" i="4" s="1"/>
  <c r="R379" i="4"/>
  <c r="R380" i="4" s="1"/>
  <c r="R424" i="4" s="1"/>
  <c r="AX575" i="4"/>
  <c r="AX541" i="4"/>
  <c r="AY575" i="4"/>
  <c r="BD535" i="3"/>
  <c r="BC530" i="3"/>
  <c r="BC535" i="3"/>
  <c r="BC528" i="3"/>
  <c r="BC531" i="3"/>
  <c r="BC527" i="3"/>
  <c r="BC77" i="3"/>
  <c r="BC534" i="3"/>
  <c r="J481" i="4"/>
  <c r="BA534" i="3"/>
  <c r="BA77" i="3"/>
  <c r="BA530" i="3"/>
  <c r="BA531" i="3"/>
  <c r="BB535" i="3"/>
  <c r="BA527" i="3"/>
  <c r="BA528" i="3"/>
  <c r="BA535" i="3"/>
  <c r="AW67" i="4"/>
  <c r="AW518" i="4" s="1"/>
  <c r="AW36" i="4"/>
  <c r="AW7" i="4" s="1"/>
  <c r="R79" i="4"/>
  <c r="R124" i="4" s="1"/>
  <c r="S78" i="4"/>
  <c r="T78" i="4" s="1"/>
  <c r="AZ534" i="3"/>
  <c r="AZ535" i="3"/>
  <c r="AZ530" i="3"/>
  <c r="AZ77" i="3"/>
  <c r="AZ528" i="3"/>
  <c r="AZ527" i="3"/>
  <c r="AZ531" i="3"/>
  <c r="AY36" i="4"/>
  <c r="AY7" i="4" s="1"/>
  <c r="AY67" i="4"/>
  <c r="AY518" i="4" s="1"/>
  <c r="E436" i="4"/>
  <c r="E440" i="4"/>
  <c r="E437" i="4"/>
  <c r="E442" i="4"/>
  <c r="E401" i="4"/>
  <c r="F31" i="3"/>
  <c r="F81" i="3"/>
  <c r="F476" i="3"/>
  <c r="F501" i="3" s="1"/>
  <c r="F30" i="3"/>
  <c r="BD312" i="4"/>
  <c r="AW389" i="4"/>
  <c r="AY473" i="4"/>
  <c r="AY477" i="4" s="1"/>
  <c r="AY511" i="4"/>
  <c r="AY515" i="4"/>
  <c r="AY440" i="4"/>
  <c r="AY436" i="4"/>
  <c r="AY401" i="4"/>
  <c r="AY403" i="4" s="1"/>
  <c r="AY376" i="4" s="1"/>
  <c r="BJ82" i="3"/>
  <c r="M481" i="4"/>
  <c r="AY106" i="4"/>
  <c r="AY336" i="4"/>
  <c r="M407" i="4"/>
  <c r="BE164" i="4"/>
  <c r="BE207" i="4" s="1"/>
  <c r="AT67" i="4"/>
  <c r="AT518" i="4" s="1"/>
  <c r="AT36" i="4"/>
  <c r="AT7" i="4" s="1"/>
  <c r="AX299" i="4"/>
  <c r="AX254" i="4"/>
  <c r="AX256" i="4" s="1"/>
  <c r="AX225" i="4" s="1"/>
  <c r="AX297" i="4"/>
  <c r="AX293" i="4"/>
  <c r="AX294" i="4"/>
  <c r="BE463" i="4"/>
  <c r="BD402" i="4"/>
  <c r="C260" i="4"/>
  <c r="C512" i="4"/>
  <c r="C473" i="4"/>
  <c r="C477" i="4" s="1"/>
  <c r="C448" i="4" s="1"/>
  <c r="C621" i="4"/>
  <c r="C336" i="4"/>
  <c r="C515" i="4"/>
  <c r="C511" i="4"/>
  <c r="R156" i="4"/>
  <c r="Q10" i="4"/>
  <c r="R60" i="3" s="1"/>
  <c r="E31" i="3"/>
  <c r="E30" i="3"/>
  <c r="E476" i="3"/>
  <c r="E501" i="3" s="1"/>
  <c r="E81" i="3"/>
  <c r="C403" i="4"/>
  <c r="C376" i="4" s="1"/>
  <c r="AW500" i="3"/>
  <c r="AW471" i="3"/>
  <c r="AW498" i="3" s="1"/>
  <c r="AX475" i="3"/>
  <c r="J542" i="3"/>
  <c r="BB542" i="3"/>
  <c r="I543" i="3"/>
  <c r="BE419" i="3"/>
  <c r="BE533" i="3"/>
  <c r="L544" i="3"/>
  <c r="BC544" i="3"/>
  <c r="AW499" i="3"/>
  <c r="AX473" i="3"/>
  <c r="AW470" i="3"/>
  <c r="AW497" i="3" s="1"/>
  <c r="AW580" i="3"/>
  <c r="H499" i="3"/>
  <c r="H580" i="3"/>
  <c r="H470" i="3"/>
  <c r="H497" i="3" s="1"/>
  <c r="H500" i="3"/>
  <c r="H471" i="3"/>
  <c r="H498" i="3" s="1"/>
  <c r="N500" i="3"/>
  <c r="N471" i="3"/>
  <c r="N498" i="3" s="1"/>
  <c r="BH193" i="3"/>
  <c r="BI79" i="3"/>
  <c r="AH19" i="32" s="1"/>
  <c r="BD252" i="4"/>
  <c r="BK430" i="3"/>
  <c r="BJ161" i="3"/>
  <c r="BJ460" i="3"/>
  <c r="BJ451" i="3"/>
  <c r="BJ100" i="3"/>
  <c r="BJ227" i="3"/>
  <c r="BJ323" i="3"/>
  <c r="BK229" i="3"/>
  <c r="BK119" i="3"/>
  <c r="BJ140" i="3"/>
  <c r="BJ250" i="3"/>
  <c r="BK136" i="3"/>
  <c r="BK246" i="3"/>
  <c r="BK249" i="3"/>
  <c r="BK139" i="3"/>
  <c r="BJ230" i="3"/>
  <c r="BJ120" i="3"/>
  <c r="BD270" i="4"/>
  <c r="BD271" i="4"/>
  <c r="BE471" i="4"/>
  <c r="BE458" i="4"/>
  <c r="BE504" i="4" s="1"/>
  <c r="BE457" i="4"/>
  <c r="BE459" i="4"/>
  <c r="BE505" i="4" s="1"/>
  <c r="BD419" i="4"/>
  <c r="BD426" i="4" s="1"/>
  <c r="BD346" i="4"/>
  <c r="BD417" i="4"/>
  <c r="BE420" i="4"/>
  <c r="BE273" i="4"/>
  <c r="BE269" i="4"/>
  <c r="BE278" i="4" s="1"/>
  <c r="BF272" i="4"/>
  <c r="BF279" i="4" s="1"/>
  <c r="BF233" i="4"/>
  <c r="BE391" i="4"/>
  <c r="BI287" i="3"/>
  <c r="BE196" i="4"/>
  <c r="BE194" i="4"/>
  <c r="BD179" i="4"/>
  <c r="BE162" i="4"/>
  <c r="BH187" i="3"/>
  <c r="BH46" i="3" s="1"/>
  <c r="BD700" i="4"/>
  <c r="BD118" i="4"/>
  <c r="BD126" i="4" s="1"/>
  <c r="BH290" i="3"/>
  <c r="BH408" i="3"/>
  <c r="BH404" i="3"/>
  <c r="BD46" i="4"/>
  <c r="BJ537" i="3" s="1"/>
  <c r="BH53" i="3"/>
  <c r="BE87" i="4"/>
  <c r="S40" i="4"/>
  <c r="S489" i="4" s="1"/>
  <c r="BH423" i="3"/>
  <c r="BH312" i="3"/>
  <c r="BH197" i="3"/>
  <c r="BH321" i="3"/>
  <c r="BH288" i="3"/>
  <c r="BH252" i="3"/>
  <c r="BH225" i="3"/>
  <c r="BH242" i="3" s="1"/>
  <c r="BH322" i="3"/>
  <c r="R401" i="4"/>
  <c r="R403" i="4" s="1"/>
  <c r="R376" i="4" s="1"/>
  <c r="R440" i="4"/>
  <c r="R436" i="4"/>
  <c r="R442" i="4"/>
  <c r="BB460" i="4"/>
  <c r="R515" i="4"/>
  <c r="R336" i="4"/>
  <c r="R371" i="4" s="1"/>
  <c r="R473" i="4"/>
  <c r="R477" i="4" s="1"/>
  <c r="R692" i="4"/>
  <c r="R106" i="4"/>
  <c r="R511" i="4"/>
  <c r="R482" i="4"/>
  <c r="BA482" i="4" s="1"/>
  <c r="R184" i="4"/>
  <c r="R260" i="4"/>
  <c r="BA260" i="4" s="1"/>
  <c r="BB238" i="4"/>
  <c r="AH153" i="28" s="1"/>
  <c r="AH65" i="28" s="1"/>
  <c r="BA461" i="4"/>
  <c r="BA469" i="4" s="1"/>
  <c r="BA506" i="4"/>
  <c r="BB382" i="4"/>
  <c r="BC231" i="4"/>
  <c r="BC280" i="4" s="1"/>
  <c r="BC509" i="4"/>
  <c r="BB16" i="4"/>
  <c r="BI42" i="3"/>
  <c r="BB30" i="4"/>
  <c r="BE386" i="4"/>
  <c r="BE429" i="4" s="1"/>
  <c r="BC399" i="4"/>
  <c r="BC328" i="4"/>
  <c r="BF315" i="4"/>
  <c r="AL159" i="28" s="1"/>
  <c r="AL87" i="28" s="1"/>
  <c r="BH75" i="3"/>
  <c r="AG13" i="32" s="1"/>
  <c r="Y9" i="9"/>
  <c r="W8" i="9"/>
  <c r="V10" i="9"/>
  <c r="S474" i="3" l="1"/>
  <c r="E176" i="28"/>
  <c r="E12" i="28" s="1"/>
  <c r="S84" i="3"/>
  <c r="S37" i="3"/>
  <c r="S578" i="3" s="1"/>
  <c r="D28" i="32" s="1"/>
  <c r="BG37" i="3"/>
  <c r="BG578" i="3" s="1"/>
  <c r="AF28" i="32" s="1"/>
  <c r="S58" i="3"/>
  <c r="S472" i="3"/>
  <c r="D25" i="32" s="1"/>
  <c r="S341" i="3"/>
  <c r="BG341" i="3" s="1"/>
  <c r="BG580" i="3"/>
  <c r="AF25" i="32"/>
  <c r="R471" i="3"/>
  <c r="R498" i="3" s="1"/>
  <c r="C26" i="32"/>
  <c r="R580" i="3"/>
  <c r="C25" i="32"/>
  <c r="BG500" i="3"/>
  <c r="AF26" i="32"/>
  <c r="BA7" i="4"/>
  <c r="BA518" i="4"/>
  <c r="AF24" i="32"/>
  <c r="S500" i="3"/>
  <c r="D26" i="32"/>
  <c r="AG14" i="28"/>
  <c r="D14" i="28"/>
  <c r="D15" i="28"/>
  <c r="E15" i="28"/>
  <c r="E14" i="28"/>
  <c r="Q37" i="3"/>
  <c r="Q578" i="3" s="1"/>
  <c r="R500" i="3"/>
  <c r="AL90" i="28"/>
  <c r="AL89" i="28"/>
  <c r="AL79" i="28"/>
  <c r="AL78" i="28"/>
  <c r="AH68" i="28"/>
  <c r="AH67" i="28"/>
  <c r="AK62" i="28"/>
  <c r="AK63" i="28"/>
  <c r="AM90" i="28"/>
  <c r="AM89" i="28"/>
  <c r="AG68" i="28"/>
  <c r="AG67" i="28"/>
  <c r="BD288" i="4"/>
  <c r="AJ151" i="28"/>
  <c r="AJ55" i="28" s="1"/>
  <c r="N580" i="3"/>
  <c r="O58" i="3"/>
  <c r="O472" i="3"/>
  <c r="O470" i="3" s="1"/>
  <c r="O497" i="3" s="1"/>
  <c r="N499" i="3"/>
  <c r="O341" i="3"/>
  <c r="BE341" i="3" s="1"/>
  <c r="AL315" i="4"/>
  <c r="W159" i="28"/>
  <c r="W87" i="28" s="1"/>
  <c r="R470" i="3"/>
  <c r="R497" i="3" s="1"/>
  <c r="R499" i="3"/>
  <c r="Q472" i="3"/>
  <c r="Q499" i="3" s="1"/>
  <c r="Q341" i="3"/>
  <c r="Q58" i="3"/>
  <c r="Q84" i="3"/>
  <c r="O474" i="3"/>
  <c r="BE37" i="3"/>
  <c r="BE578" i="3" s="1"/>
  <c r="BF476" i="3"/>
  <c r="BF501" i="3" s="1"/>
  <c r="BD81" i="3"/>
  <c r="BE58" i="3"/>
  <c r="O84" i="3"/>
  <c r="K470" i="3"/>
  <c r="K497" i="3" s="1"/>
  <c r="K499" i="3"/>
  <c r="K500" i="3"/>
  <c r="AZ7" i="4"/>
  <c r="BE131" i="4"/>
  <c r="BE289" i="4"/>
  <c r="BF132" i="4"/>
  <c r="BF359" i="4"/>
  <c r="BF358" i="4"/>
  <c r="BF31" i="3"/>
  <c r="W46" i="14"/>
  <c r="BF81" i="3"/>
  <c r="BA32" i="3"/>
  <c r="AT397" i="4"/>
  <c r="AT440" i="4" s="1"/>
  <c r="AT137" i="4"/>
  <c r="AT136" i="4"/>
  <c r="AT100" i="4"/>
  <c r="AT142" i="4"/>
  <c r="AT140" i="4"/>
  <c r="AZ397" i="4"/>
  <c r="AZ401" i="4" s="1"/>
  <c r="AZ403" i="4" s="1"/>
  <c r="AZ376" i="4" s="1"/>
  <c r="AW397" i="4"/>
  <c r="AW442" i="4" s="1"/>
  <c r="AU250" i="4"/>
  <c r="AU293" i="4" s="1"/>
  <c r="AW469" i="4"/>
  <c r="AW515" i="4" s="1"/>
  <c r="BA397" i="4"/>
  <c r="BA436" i="4" s="1"/>
  <c r="V39" i="14"/>
  <c r="AU32" i="4"/>
  <c r="AU65" i="4"/>
  <c r="BD31" i="3"/>
  <c r="G31" i="3"/>
  <c r="G476" i="3"/>
  <c r="G501" i="3" s="1"/>
  <c r="G30" i="3"/>
  <c r="I33" i="3"/>
  <c r="I356" i="3" s="1"/>
  <c r="BB356" i="3" s="1"/>
  <c r="BB357" i="3" s="1"/>
  <c r="BB481" i="3" s="1"/>
  <c r="BB505" i="3" s="1"/>
  <c r="M84" i="3"/>
  <c r="AT434" i="4"/>
  <c r="V290" i="14"/>
  <c r="N473" i="3"/>
  <c r="M37" i="3"/>
  <c r="M578" i="3" s="1"/>
  <c r="M580" i="3"/>
  <c r="M341" i="3"/>
  <c r="M474" i="3"/>
  <c r="N475" i="3" s="1"/>
  <c r="M58" i="3"/>
  <c r="M470" i="3"/>
  <c r="M497" i="3" s="1"/>
  <c r="V46" i="14"/>
  <c r="V303" i="14"/>
  <c r="E292" i="4"/>
  <c r="E720" i="4"/>
  <c r="E731" i="4"/>
  <c r="E366" i="4"/>
  <c r="E445" i="4"/>
  <c r="E53" i="4"/>
  <c r="E222" i="4"/>
  <c r="E513" i="4"/>
  <c r="AU379" i="4"/>
  <c r="AU380" i="4" s="1"/>
  <c r="AU424" i="4" s="1"/>
  <c r="E128" i="4"/>
  <c r="AU664" i="4"/>
  <c r="AU665" i="4" s="1"/>
  <c r="AU710" i="4" s="1"/>
  <c r="AU156" i="4"/>
  <c r="AU157" i="4" s="1"/>
  <c r="AU201" i="4" s="1"/>
  <c r="E651" i="4"/>
  <c r="E510" i="4"/>
  <c r="AU78" i="4"/>
  <c r="AU79" i="4" s="1"/>
  <c r="AU124" i="4" s="1"/>
  <c r="E11" i="4"/>
  <c r="E50" i="4" s="1"/>
  <c r="E364" i="4"/>
  <c r="E295" i="4"/>
  <c r="E502" i="4"/>
  <c r="E665" i="4"/>
  <c r="E710" i="4" s="1"/>
  <c r="E212" i="4"/>
  <c r="E138" i="4"/>
  <c r="E583" i="4"/>
  <c r="E135" i="4"/>
  <c r="E580" i="4"/>
  <c r="AU308" i="4"/>
  <c r="AU309" i="4" s="1"/>
  <c r="AU353" i="4" s="1"/>
  <c r="E435" i="4"/>
  <c r="E590" i="4"/>
  <c r="E215" i="4"/>
  <c r="E157" i="4"/>
  <c r="E201" i="4" s="1"/>
  <c r="AU10" i="4"/>
  <c r="AU11" i="4" s="1"/>
  <c r="AU50" i="4" s="1"/>
  <c r="AU525" i="4"/>
  <c r="AU526" i="4" s="1"/>
  <c r="E721" i="4"/>
  <c r="E127" i="4"/>
  <c r="E438" i="4"/>
  <c r="E59" i="4"/>
  <c r="E145" i="4"/>
  <c r="AU596" i="4"/>
  <c r="AU597" i="4" s="1"/>
  <c r="AU638" i="4" s="1"/>
  <c r="E649" i="4"/>
  <c r="E54" i="4"/>
  <c r="E63" i="4"/>
  <c r="E210" i="4"/>
  <c r="E719" i="4"/>
  <c r="E724" i="4"/>
  <c r="E61" i="4"/>
  <c r="AU228" i="4"/>
  <c r="AU229" i="4" s="1"/>
  <c r="AU277" i="4" s="1"/>
  <c r="AU451" i="4"/>
  <c r="AU452" i="4" s="1"/>
  <c r="AU499" i="4" s="1"/>
  <c r="W303" i="14"/>
  <c r="W289" i="14"/>
  <c r="V289" i="14"/>
  <c r="F721" i="4"/>
  <c r="F222" i="4"/>
  <c r="F502" i="4"/>
  <c r="F583" i="4"/>
  <c r="F63" i="4"/>
  <c r="F435" i="4"/>
  <c r="F54" i="4"/>
  <c r="F510" i="4"/>
  <c r="F295" i="4"/>
  <c r="F61" i="4"/>
  <c r="F128" i="4"/>
  <c r="F135" i="4"/>
  <c r="F215" i="4"/>
  <c r="F719" i="4"/>
  <c r="F138" i="4"/>
  <c r="F53" i="4"/>
  <c r="F210" i="4"/>
  <c r="F720" i="4"/>
  <c r="F364" i="4"/>
  <c r="F513" i="4"/>
  <c r="F649" i="4"/>
  <c r="F366" i="4"/>
  <c r="F127" i="4"/>
  <c r="F292" i="4"/>
  <c r="F580" i="4"/>
  <c r="F11" i="4"/>
  <c r="F438" i="4"/>
  <c r="F145" i="4"/>
  <c r="F59" i="4"/>
  <c r="F212" i="4"/>
  <c r="F590" i="4"/>
  <c r="F445" i="4"/>
  <c r="F651" i="4"/>
  <c r="F157" i="4"/>
  <c r="F724" i="4"/>
  <c r="F665" i="4"/>
  <c r="F731" i="4"/>
  <c r="W39" i="14"/>
  <c r="W290" i="14"/>
  <c r="AP451" i="4"/>
  <c r="D471" i="3"/>
  <c r="D498" i="3" s="1"/>
  <c r="D475" i="3"/>
  <c r="BE525" i="3"/>
  <c r="BD30" i="3"/>
  <c r="AC504" i="4"/>
  <c r="AD504" i="4"/>
  <c r="BD476" i="3"/>
  <c r="BD501" i="3" s="1"/>
  <c r="H2" i="4"/>
  <c r="D499" i="3"/>
  <c r="D473" i="3"/>
  <c r="D580" i="3"/>
  <c r="S471" i="3"/>
  <c r="S498" i="3" s="1"/>
  <c r="W118" i="14"/>
  <c r="V190" i="14"/>
  <c r="V317" i="14"/>
  <c r="W32" i="14"/>
  <c r="V35" i="14"/>
  <c r="W98" i="14"/>
  <c r="W45" i="14"/>
  <c r="W25" i="14"/>
  <c r="V299" i="14"/>
  <c r="J2" i="3"/>
  <c r="V314" i="14"/>
  <c r="W300" i="14"/>
  <c r="V23" i="14"/>
  <c r="W222" i="14"/>
  <c r="W291" i="14"/>
  <c r="W22" i="14"/>
  <c r="W304" i="14"/>
  <c r="V318" i="14"/>
  <c r="W318" i="14"/>
  <c r="W97" i="14"/>
  <c r="W243" i="14"/>
  <c r="V33" i="14"/>
  <c r="K1" i="3"/>
  <c r="V16" i="14"/>
  <c r="W74" i="14"/>
  <c r="V212" i="14"/>
  <c r="W23" i="14"/>
  <c r="V222" i="14"/>
  <c r="W317" i="14"/>
  <c r="V243" i="14"/>
  <c r="V28" i="14"/>
  <c r="V25" i="14"/>
  <c r="V283" i="14"/>
  <c r="V241" i="14"/>
  <c r="W241" i="14"/>
  <c r="V98" i="14"/>
  <c r="W314" i="14"/>
  <c r="W306" i="14"/>
  <c r="V282" i="14"/>
  <c r="W190" i="14"/>
  <c r="V306" i="14"/>
  <c r="V14" i="14"/>
  <c r="V316" i="14"/>
  <c r="V32" i="14"/>
  <c r="W28" i="14"/>
  <c r="V315" i="14"/>
  <c r="V213" i="14"/>
  <c r="V237" i="14" s="1"/>
  <c r="V249" i="14"/>
  <c r="V22" i="14"/>
  <c r="W14" i="14"/>
  <c r="V97" i="14"/>
  <c r="V45" i="14"/>
  <c r="V74" i="14"/>
  <c r="W35" i="14"/>
  <c r="W282" i="14"/>
  <c r="V168" i="14"/>
  <c r="J3" i="3"/>
  <c r="V304" i="14"/>
  <c r="W249" i="14"/>
  <c r="W33" i="14"/>
  <c r="W24" i="14"/>
  <c r="W212" i="14"/>
  <c r="W213" i="14"/>
  <c r="W237" i="14" s="1"/>
  <c r="W299" i="14"/>
  <c r="V72" i="14"/>
  <c r="W283" i="14"/>
  <c r="V302" i="14"/>
  <c r="W316" i="14"/>
  <c r="V118" i="14"/>
  <c r="W16" i="14"/>
  <c r="W315" i="14"/>
  <c r="V300" i="14"/>
  <c r="I1" i="4"/>
  <c r="W302" i="14"/>
  <c r="W72" i="14"/>
  <c r="W168" i="14"/>
  <c r="V24" i="14"/>
  <c r="V291" i="14"/>
  <c r="I5" i="3"/>
  <c r="H5" i="3"/>
  <c r="H3" i="4"/>
  <c r="BO317" i="3"/>
  <c r="AK317" i="3"/>
  <c r="BO195" i="3"/>
  <c r="AK195" i="3"/>
  <c r="BO540" i="3"/>
  <c r="AK540" i="3"/>
  <c r="BO99" i="3"/>
  <c r="AK99" i="3"/>
  <c r="BE84" i="3"/>
  <c r="BI190" i="4"/>
  <c r="BI200" i="4" s="1"/>
  <c r="AJ190" i="4"/>
  <c r="BE236" i="4"/>
  <c r="BE283" i="4" s="1"/>
  <c r="D621" i="4"/>
  <c r="AT621" i="4" s="1"/>
  <c r="P407" i="4"/>
  <c r="D511" i="4"/>
  <c r="D336" i="4"/>
  <c r="D407" i="4" s="1"/>
  <c r="D512" i="4"/>
  <c r="D515" i="4"/>
  <c r="D473" i="4"/>
  <c r="D477" i="4" s="1"/>
  <c r="D448" i="4" s="1"/>
  <c r="BN538" i="3"/>
  <c r="BN431" i="3"/>
  <c r="BN465" i="3"/>
  <c r="BN175" i="3"/>
  <c r="BN541" i="3"/>
  <c r="BN387" i="3"/>
  <c r="BN172" i="3"/>
  <c r="BN405" i="3"/>
  <c r="BN286" i="3"/>
  <c r="BN432" i="3"/>
  <c r="BN106" i="3"/>
  <c r="BN194" i="3"/>
  <c r="BN427" i="3"/>
  <c r="BN191" i="3"/>
  <c r="BN433" i="3"/>
  <c r="BN429" i="3"/>
  <c r="BN291" i="3"/>
  <c r="BE472" i="3"/>
  <c r="BE470" i="3" s="1"/>
  <c r="BE497" i="3" s="1"/>
  <c r="BN198" i="3"/>
  <c r="BH315" i="4"/>
  <c r="AN159" i="28" s="1"/>
  <c r="AN87" i="28" s="1"/>
  <c r="BH320" i="4"/>
  <c r="BE526" i="3"/>
  <c r="BE474" i="3"/>
  <c r="BE500" i="3" s="1"/>
  <c r="BE524" i="3"/>
  <c r="BE536" i="3"/>
  <c r="BG499" i="3"/>
  <c r="BG471" i="3"/>
  <c r="BG498" i="3" s="1"/>
  <c r="BJ96" i="3"/>
  <c r="I407" i="4"/>
  <c r="AW407" i="4" s="1"/>
  <c r="I481" i="4"/>
  <c r="AW481" i="4" s="1"/>
  <c r="D437" i="4"/>
  <c r="AW336" i="4"/>
  <c r="D440" i="4"/>
  <c r="D436" i="4"/>
  <c r="D401" i="4"/>
  <c r="D403" i="4" s="1"/>
  <c r="D376" i="4" s="1"/>
  <c r="AW106" i="4"/>
  <c r="AZ621" i="4"/>
  <c r="AX551" i="4"/>
  <c r="S475" i="3"/>
  <c r="T475" i="3"/>
  <c r="AX336" i="4"/>
  <c r="BJ66" i="3"/>
  <c r="AX106" i="4"/>
  <c r="K481" i="4"/>
  <c r="BD18" i="4"/>
  <c r="BD56" i="4" s="1"/>
  <c r="AZ260" i="4"/>
  <c r="AX184" i="4"/>
  <c r="AX511" i="4"/>
  <c r="AZ551" i="4"/>
  <c r="AX260" i="4"/>
  <c r="AX482" i="4"/>
  <c r="AX621" i="4"/>
  <c r="AX692" i="4"/>
  <c r="K407" i="4"/>
  <c r="AZ184" i="4"/>
  <c r="AX515" i="4"/>
  <c r="P481" i="4"/>
  <c r="AZ692" i="4"/>
  <c r="R448" i="4"/>
  <c r="O448" i="4"/>
  <c r="P448" i="4"/>
  <c r="AZ482" i="4"/>
  <c r="L448" i="4"/>
  <c r="AY448" i="4"/>
  <c r="AY225" i="4"/>
  <c r="AY481" i="4"/>
  <c r="AY407" i="4"/>
  <c r="BD387" i="4"/>
  <c r="BD430" i="4" s="1"/>
  <c r="L407" i="4"/>
  <c r="BF207" i="4"/>
  <c r="BD503" i="4"/>
  <c r="BG358" i="4"/>
  <c r="BD318" i="4"/>
  <c r="BD357" i="4"/>
  <c r="BE203" i="4"/>
  <c r="BE205" i="4"/>
  <c r="AZ511" i="4"/>
  <c r="AZ515" i="4"/>
  <c r="AZ473" i="4"/>
  <c r="AZ477" i="4" s="1"/>
  <c r="BG342" i="4"/>
  <c r="BG352" i="4" s="1"/>
  <c r="BM539" i="3"/>
  <c r="BN195" i="3"/>
  <c r="BM107" i="3"/>
  <c r="BM285" i="3"/>
  <c r="BM392" i="3"/>
  <c r="BG698" i="4"/>
  <c r="BG709" i="4" s="1"/>
  <c r="BH698" i="4"/>
  <c r="BG313" i="4"/>
  <c r="BG454" i="4"/>
  <c r="BG319" i="4"/>
  <c r="BG675" i="4"/>
  <c r="BG718" i="4" s="1"/>
  <c r="BH687" i="4"/>
  <c r="BG211" i="4"/>
  <c r="T309" i="4"/>
  <c r="T379" i="4"/>
  <c r="T380" i="4" s="1"/>
  <c r="BG272" i="4"/>
  <c r="BG279" i="4" s="1"/>
  <c r="T79" i="4"/>
  <c r="BG699" i="4"/>
  <c r="BH699" i="4"/>
  <c r="BG85" i="4"/>
  <c r="BG129" i="4" s="1"/>
  <c r="AV575" i="4"/>
  <c r="BJ65" i="3"/>
  <c r="BI113" i="3"/>
  <c r="AV86" i="3"/>
  <c r="AV580" i="3"/>
  <c r="AV470" i="3"/>
  <c r="AV497" i="3" s="1"/>
  <c r="AV473" i="3"/>
  <c r="AV499" i="3"/>
  <c r="AV471" i="3"/>
  <c r="AV498" i="3" s="1"/>
  <c r="AV500" i="3"/>
  <c r="AV475" i="3"/>
  <c r="AW575" i="4"/>
  <c r="AU459" i="3"/>
  <c r="AU454" i="3"/>
  <c r="AU444" i="3" s="1"/>
  <c r="AV1" i="4"/>
  <c r="AV2" i="4" s="1"/>
  <c r="BB3" i="3"/>
  <c r="AV3" i="4" s="1"/>
  <c r="BB2" i="3"/>
  <c r="BG470" i="3"/>
  <c r="BG497" i="3" s="1"/>
  <c r="G84" i="3"/>
  <c r="G524" i="3"/>
  <c r="G472" i="3"/>
  <c r="G525" i="3"/>
  <c r="G536" i="3"/>
  <c r="G474" i="3"/>
  <c r="G37" i="3"/>
  <c r="G578" i="3" s="1"/>
  <c r="G526" i="3"/>
  <c r="G341" i="3"/>
  <c r="G58" i="3"/>
  <c r="AX442" i="4"/>
  <c r="BB31" i="3"/>
  <c r="BB81" i="3"/>
  <c r="BB476" i="3"/>
  <c r="BB501" i="3" s="1"/>
  <c r="BB30" i="3"/>
  <c r="AU401" i="4"/>
  <c r="AU436" i="4"/>
  <c r="AU437" i="4"/>
  <c r="AU440" i="4"/>
  <c r="BI116" i="3"/>
  <c r="L58" i="3"/>
  <c r="L37" i="3"/>
  <c r="L578" i="3" s="1"/>
  <c r="L474" i="3"/>
  <c r="L472" i="3"/>
  <c r="L341" i="3"/>
  <c r="L84" i="3"/>
  <c r="BD37" i="3"/>
  <c r="BD578" i="3" s="1"/>
  <c r="AU102" i="4"/>
  <c r="AU75" i="4" s="1"/>
  <c r="AU143" i="4"/>
  <c r="H442" i="4"/>
  <c r="H440" i="4"/>
  <c r="H401" i="4"/>
  <c r="H403" i="4" s="1"/>
  <c r="H376" i="4" s="1"/>
  <c r="H436" i="4"/>
  <c r="AV461" i="4"/>
  <c r="AV469" i="4" s="1"/>
  <c r="AV506" i="4"/>
  <c r="AW506" i="4"/>
  <c r="P37" i="3"/>
  <c r="P578" i="3" s="1"/>
  <c r="P341" i="3"/>
  <c r="P474" i="3"/>
  <c r="P472" i="3"/>
  <c r="P58" i="3"/>
  <c r="P84" i="3"/>
  <c r="H515" i="4"/>
  <c r="H621" i="4"/>
  <c r="AV621" i="4" s="1"/>
  <c r="H336" i="4"/>
  <c r="AV336" i="4" s="1"/>
  <c r="H260" i="4"/>
  <c r="AV260" i="4" s="1"/>
  <c r="H184" i="4"/>
  <c r="AV184" i="4" s="1"/>
  <c r="H106" i="4"/>
  <c r="AV106" i="4" s="1"/>
  <c r="H692" i="4"/>
  <c r="AV692" i="4" s="1"/>
  <c r="H482" i="4"/>
  <c r="AV482" i="4" s="1"/>
  <c r="H551" i="4"/>
  <c r="AV551" i="4" s="1"/>
  <c r="H473" i="4"/>
  <c r="H477" i="4" s="1"/>
  <c r="H511" i="4"/>
  <c r="AU431" i="4"/>
  <c r="AU515" i="4"/>
  <c r="AU512" i="4"/>
  <c r="AU511" i="4"/>
  <c r="AU473" i="4"/>
  <c r="AU477" i="4" s="1"/>
  <c r="AU448" i="4" s="1"/>
  <c r="F442" i="4"/>
  <c r="AU442" i="4" s="1"/>
  <c r="F401" i="4"/>
  <c r="F403" i="4" s="1"/>
  <c r="F376" i="4" s="1"/>
  <c r="F437" i="4"/>
  <c r="F436" i="4"/>
  <c r="F440" i="4"/>
  <c r="AT541" i="4"/>
  <c r="AT575" i="4"/>
  <c r="G407" i="4"/>
  <c r="AV587" i="4"/>
  <c r="AV545" i="4"/>
  <c r="AV547" i="4" s="1"/>
  <c r="AV522" i="4" s="1"/>
  <c r="AV581" i="4"/>
  <c r="AV585" i="4"/>
  <c r="AU575" i="4"/>
  <c r="L481" i="4"/>
  <c r="AU506" i="4"/>
  <c r="AX401" i="4"/>
  <c r="AX403" i="4" s="1"/>
  <c r="AX376" i="4" s="1"/>
  <c r="AX440" i="4"/>
  <c r="AX436" i="4"/>
  <c r="O407" i="4"/>
  <c r="AZ336" i="4"/>
  <c r="AZ106" i="4"/>
  <c r="O481" i="4"/>
  <c r="AV431" i="4"/>
  <c r="BE266" i="4"/>
  <c r="BE276" i="4" s="1"/>
  <c r="BI176" i="3"/>
  <c r="I476" i="3"/>
  <c r="I501" i="3" s="1"/>
  <c r="I81" i="3"/>
  <c r="I30" i="3"/>
  <c r="I31" i="3"/>
  <c r="F473" i="4"/>
  <c r="F477" i="4" s="1"/>
  <c r="F448" i="4" s="1"/>
  <c r="F336" i="4"/>
  <c r="F515" i="4"/>
  <c r="F511" i="4"/>
  <c r="F260" i="4"/>
  <c r="F512" i="4"/>
  <c r="F621" i="4"/>
  <c r="AU621" i="4" s="1"/>
  <c r="AV389" i="4"/>
  <c r="AV397" i="4" s="1"/>
  <c r="G481" i="4"/>
  <c r="BD488" i="4"/>
  <c r="BD498" i="4" s="1"/>
  <c r="AU545" i="4"/>
  <c r="AU581" i="4"/>
  <c r="AU582" i="4"/>
  <c r="AU587" i="4"/>
  <c r="AU585" i="4"/>
  <c r="AW587" i="4"/>
  <c r="AW545" i="4"/>
  <c r="AW547" i="4" s="1"/>
  <c r="AW522" i="4" s="1"/>
  <c r="AW581" i="4"/>
  <c r="AW585" i="4"/>
  <c r="AV67" i="4"/>
  <c r="AV518" i="4" s="1"/>
  <c r="AV36" i="4"/>
  <c r="AV7" i="4" s="1"/>
  <c r="BF37" i="3"/>
  <c r="BF578" i="3" s="1"/>
  <c r="AV297" i="4"/>
  <c r="AV293" i="4"/>
  <c r="AV299" i="4"/>
  <c r="AV254" i="4"/>
  <c r="AV256" i="4" s="1"/>
  <c r="AV225" i="4" s="1"/>
  <c r="AV294" i="4"/>
  <c r="BL430" i="3"/>
  <c r="BF87" i="4"/>
  <c r="BF463" i="4"/>
  <c r="BF471" i="4"/>
  <c r="BF457" i="4"/>
  <c r="BF363" i="4"/>
  <c r="BF672" i="4"/>
  <c r="BF716" i="4" s="1"/>
  <c r="AC459" i="4"/>
  <c r="BF162" i="4"/>
  <c r="BF384" i="4"/>
  <c r="BF495" i="4"/>
  <c r="AW293" i="4"/>
  <c r="AW297" i="4"/>
  <c r="AW294" i="4"/>
  <c r="AW299" i="4"/>
  <c r="AW254" i="4"/>
  <c r="AW256" i="4" s="1"/>
  <c r="AW225" i="4" s="1"/>
  <c r="BE312" i="4"/>
  <c r="F474" i="3"/>
  <c r="F37" i="3"/>
  <c r="F578" i="3" s="1"/>
  <c r="F524" i="3"/>
  <c r="F525" i="3"/>
  <c r="F472" i="3"/>
  <c r="BA37" i="3"/>
  <c r="BA578" i="3" s="1"/>
  <c r="F58" i="3"/>
  <c r="F341" i="3"/>
  <c r="F536" i="3"/>
  <c r="F526" i="3"/>
  <c r="F84" i="3"/>
  <c r="E403" i="4"/>
  <c r="E376" i="4" s="1"/>
  <c r="E443" i="4"/>
  <c r="BC702" i="4"/>
  <c r="BC711" i="4" s="1"/>
  <c r="BC704" i="4"/>
  <c r="W491" i="4"/>
  <c r="AZ476" i="3"/>
  <c r="AZ501" i="3" s="1"/>
  <c r="AZ31" i="3"/>
  <c r="AZ81" i="3"/>
  <c r="AZ30" i="3"/>
  <c r="S79" i="4"/>
  <c r="BA81" i="3"/>
  <c r="BA30" i="3"/>
  <c r="BA476" i="3"/>
  <c r="BA501" i="3" s="1"/>
  <c r="BA31" i="3"/>
  <c r="BC476" i="3"/>
  <c r="BC501" i="3" s="1"/>
  <c r="BC31" i="3"/>
  <c r="BC81" i="3"/>
  <c r="BC30" i="3"/>
  <c r="AX581" i="4"/>
  <c r="AX587" i="4"/>
  <c r="AX545" i="4"/>
  <c r="AX547" i="4" s="1"/>
  <c r="AX522" i="4" s="1"/>
  <c r="AX585" i="4"/>
  <c r="S309" i="4"/>
  <c r="S379" i="4"/>
  <c r="S380" i="4" s="1"/>
  <c r="J472" i="3"/>
  <c r="J341" i="3"/>
  <c r="BC341" i="3" s="1"/>
  <c r="J58" i="3"/>
  <c r="J84" i="3"/>
  <c r="J37" i="3"/>
  <c r="J578" i="3" s="1"/>
  <c r="J474" i="3"/>
  <c r="BC37" i="3"/>
  <c r="BC578" i="3" s="1"/>
  <c r="E474" i="3"/>
  <c r="E37" i="3"/>
  <c r="E578" i="3" s="1"/>
  <c r="E536" i="3"/>
  <c r="E526" i="3"/>
  <c r="E58" i="3"/>
  <c r="E341" i="3"/>
  <c r="E84" i="3"/>
  <c r="AZ37" i="3"/>
  <c r="AZ578" i="3" s="1"/>
  <c r="E525" i="3"/>
  <c r="E472" i="3"/>
  <c r="E524" i="3"/>
  <c r="C407" i="4"/>
  <c r="C443" i="4" s="1"/>
  <c r="AT515" i="4"/>
  <c r="AT473" i="4"/>
  <c r="AT477" i="4" s="1"/>
  <c r="AT448" i="4" s="1"/>
  <c r="AT511" i="4"/>
  <c r="AT512" i="4"/>
  <c r="BE35" i="4"/>
  <c r="S156" i="4"/>
  <c r="T156" i="4" s="1"/>
  <c r="R10" i="4"/>
  <c r="S60" i="3" s="1"/>
  <c r="Q471" i="3"/>
  <c r="Q498" i="3" s="1"/>
  <c r="Q500" i="3"/>
  <c r="R475" i="3"/>
  <c r="BE331" i="4"/>
  <c r="AT299" i="4"/>
  <c r="AT254" i="4"/>
  <c r="AT256" i="4" s="1"/>
  <c r="AT225" i="4" s="1"/>
  <c r="AT297" i="4"/>
  <c r="AT294" i="4"/>
  <c r="AT293" i="4"/>
  <c r="BK80" i="3"/>
  <c r="T353" i="3"/>
  <c r="T355" i="3" s="1"/>
  <c r="BI290" i="3"/>
  <c r="BB543" i="3"/>
  <c r="I545" i="3"/>
  <c r="BB545" i="3" s="1"/>
  <c r="J543" i="3"/>
  <c r="K542" i="3"/>
  <c r="V220" i="14"/>
  <c r="W220" i="14"/>
  <c r="M544" i="3"/>
  <c r="BD390" i="4"/>
  <c r="BD432" i="4" s="1"/>
  <c r="BK190" i="3"/>
  <c r="BK245" i="3"/>
  <c r="BK196" i="3"/>
  <c r="BK174" i="3"/>
  <c r="BK461" i="3"/>
  <c r="BK452" i="3"/>
  <c r="BJ52" i="3"/>
  <c r="BK117" i="3"/>
  <c r="BK447" i="3"/>
  <c r="BK157" i="3"/>
  <c r="BL135" i="3"/>
  <c r="BK448" i="3"/>
  <c r="BK158" i="3"/>
  <c r="BK141" i="3"/>
  <c r="BB19" i="4"/>
  <c r="BB57" i="4" s="1"/>
  <c r="BE455" i="4"/>
  <c r="BE348" i="4"/>
  <c r="BE355" i="4" s="1"/>
  <c r="BD34" i="4"/>
  <c r="BD434" i="4"/>
  <c r="BD22" i="4"/>
  <c r="BJ79" i="3"/>
  <c r="AI19" i="32" s="1"/>
  <c r="BF255" i="4"/>
  <c r="BE195" i="4"/>
  <c r="BE193" i="4"/>
  <c r="BE202" i="4" s="1"/>
  <c r="BI228" i="3"/>
  <c r="BI324" i="3"/>
  <c r="BE168" i="4"/>
  <c r="BD21" i="4"/>
  <c r="BJ69" i="3"/>
  <c r="AI5" i="32" s="1"/>
  <c r="BE159" i="4"/>
  <c r="BJ70" i="3"/>
  <c r="AI7" i="32" s="1"/>
  <c r="BE179" i="4"/>
  <c r="BH51" i="3"/>
  <c r="BE703" i="4"/>
  <c r="BE706" i="4"/>
  <c r="BE705" i="4"/>
  <c r="BE712" i="4" s="1"/>
  <c r="BD701" i="4"/>
  <c r="BF684" i="4"/>
  <c r="BH302" i="3"/>
  <c r="BE120" i="4"/>
  <c r="BD116" i="4"/>
  <c r="BD43" i="4"/>
  <c r="BD45" i="4"/>
  <c r="BD52" i="4" s="1"/>
  <c r="BJ118" i="3"/>
  <c r="BD492" i="4"/>
  <c r="BE112" i="4"/>
  <c r="BE123" i="4" s="1"/>
  <c r="BF90" i="4"/>
  <c r="BH426" i="3"/>
  <c r="BH407" i="3"/>
  <c r="BH50" i="3"/>
  <c r="BH337" i="3"/>
  <c r="BH45" i="3"/>
  <c r="BH314" i="3"/>
  <c r="T40" i="4"/>
  <c r="BH386" i="3"/>
  <c r="BA297" i="4"/>
  <c r="BA294" i="4"/>
  <c r="BA299" i="4"/>
  <c r="BA254" i="4"/>
  <c r="BA256" i="4" s="1"/>
  <c r="BA293" i="4"/>
  <c r="AT431" i="4"/>
  <c r="BB388" i="4"/>
  <c r="BB431" i="4" s="1"/>
  <c r="BA511" i="4"/>
  <c r="BA515" i="4"/>
  <c r="BA473" i="4"/>
  <c r="BA477" i="4" s="1"/>
  <c r="R481" i="4"/>
  <c r="BA106" i="4"/>
  <c r="BB506" i="4"/>
  <c r="BB461" i="4"/>
  <c r="AT57" i="4"/>
  <c r="BA184" i="4"/>
  <c r="BA692" i="4"/>
  <c r="BA336" i="4"/>
  <c r="R407" i="4"/>
  <c r="BA407" i="4" s="1"/>
  <c r="AT506" i="4"/>
  <c r="BH64" i="3"/>
  <c r="BH95" i="3"/>
  <c r="BI502" i="3"/>
  <c r="BF386" i="4"/>
  <c r="BF429" i="4" s="1"/>
  <c r="BD328" i="4"/>
  <c r="X8" i="9"/>
  <c r="W10" i="9"/>
  <c r="Z9" i="9"/>
  <c r="S580" i="3" l="1"/>
  <c r="BF341" i="3"/>
  <c r="S470" i="3"/>
  <c r="S497" i="3" s="1"/>
  <c r="S499" i="3"/>
  <c r="T473" i="3"/>
  <c r="S473" i="3"/>
  <c r="R473" i="3"/>
  <c r="Q580" i="3"/>
  <c r="BD58" i="4"/>
  <c r="AN90" i="28"/>
  <c r="AN89" i="28"/>
  <c r="W90" i="28"/>
  <c r="W89" i="28"/>
  <c r="AJ58" i="28"/>
  <c r="AJ57" i="28"/>
  <c r="O580" i="3"/>
  <c r="O499" i="3"/>
  <c r="O473" i="3"/>
  <c r="BG361" i="4"/>
  <c r="AM157" i="28"/>
  <c r="AM76" i="28" s="1"/>
  <c r="Q470" i="3"/>
  <c r="Q497" i="3" s="1"/>
  <c r="AN315" i="4"/>
  <c r="Y159" i="28"/>
  <c r="Y87" i="28" s="1"/>
  <c r="Q473" i="3"/>
  <c r="BD524" i="3"/>
  <c r="BD474" i="3"/>
  <c r="BD471" i="3" s="1"/>
  <c r="BD498" i="3" s="1"/>
  <c r="BD58" i="3"/>
  <c r="BD525" i="3"/>
  <c r="BD84" i="3"/>
  <c r="BD472" i="3"/>
  <c r="BD580" i="3" s="1"/>
  <c r="BD536" i="3"/>
  <c r="BD526" i="3"/>
  <c r="BF58" i="3"/>
  <c r="O475" i="3"/>
  <c r="O471" i="3"/>
  <c r="O498" i="3" s="1"/>
  <c r="O500" i="3"/>
  <c r="BF472" i="3"/>
  <c r="BG473" i="3" s="1"/>
  <c r="BF474" i="3"/>
  <c r="BG475" i="3" s="1"/>
  <c r="BF524" i="3"/>
  <c r="BF536" i="3"/>
  <c r="BF84" i="3"/>
  <c r="BF131" i="4"/>
  <c r="BH358" i="4"/>
  <c r="W40" i="14"/>
  <c r="AZ436" i="4"/>
  <c r="AZ440" i="4"/>
  <c r="AW440" i="4"/>
  <c r="AW401" i="4"/>
  <c r="AW403" i="4" s="1"/>
  <c r="AW376" i="4" s="1"/>
  <c r="AU297" i="4"/>
  <c r="BA401" i="4"/>
  <c r="BA403" i="4" s="1"/>
  <c r="BA376" i="4" s="1"/>
  <c r="BA440" i="4"/>
  <c r="AW511" i="4"/>
  <c r="BA442" i="4"/>
  <c r="AW473" i="4"/>
  <c r="AW477" i="4" s="1"/>
  <c r="AW448" i="4" s="1"/>
  <c r="AZ442" i="4"/>
  <c r="AU299" i="4"/>
  <c r="AW436" i="4"/>
  <c r="AU254" i="4"/>
  <c r="AU256" i="4" s="1"/>
  <c r="AU225" i="4" s="1"/>
  <c r="AU294" i="4"/>
  <c r="AT143" i="4"/>
  <c r="AT102" i="4"/>
  <c r="AT75" i="4" s="1"/>
  <c r="AU67" i="4"/>
  <c r="AU518" i="4" s="1"/>
  <c r="AU36" i="4"/>
  <c r="AU7" i="4" s="1"/>
  <c r="F710" i="4"/>
  <c r="F50" i="4"/>
  <c r="J33" i="3"/>
  <c r="J356" i="3" s="1"/>
  <c r="J357" i="3" s="1"/>
  <c r="J481" i="3" s="1"/>
  <c r="J505" i="3" s="1"/>
  <c r="BD341" i="3"/>
  <c r="M500" i="3"/>
  <c r="AQ451" i="4"/>
  <c r="AR451" i="4" s="1"/>
  <c r="M471" i="3"/>
  <c r="M498" i="3" s="1"/>
  <c r="F201" i="4"/>
  <c r="V40" i="14"/>
  <c r="AT442" i="4"/>
  <c r="AT436" i="4"/>
  <c r="AT401" i="4"/>
  <c r="AT403" i="4" s="1"/>
  <c r="AT376" i="4" s="1"/>
  <c r="AT437" i="4"/>
  <c r="I2" i="4"/>
  <c r="AC505" i="4"/>
  <c r="AD505" i="4"/>
  <c r="W232" i="14"/>
  <c r="V232" i="14"/>
  <c r="I357" i="3"/>
  <c r="I481" i="3" s="1"/>
  <c r="I505" i="3" s="1"/>
  <c r="I3" i="4"/>
  <c r="V73" i="14"/>
  <c r="W73" i="14"/>
  <c r="H536" i="3"/>
  <c r="BB56" i="3"/>
  <c r="H563" i="3"/>
  <c r="H22" i="3" s="1"/>
  <c r="BB33" i="3"/>
  <c r="BB29" i="3"/>
  <c r="H564" i="3"/>
  <c r="H26" i="3" s="1"/>
  <c r="H525" i="3"/>
  <c r="H533" i="3"/>
  <c r="H526" i="3"/>
  <c r="H524" i="3"/>
  <c r="H528" i="3"/>
  <c r="H532" i="3"/>
  <c r="G5" i="4"/>
  <c r="H61" i="3"/>
  <c r="I532" i="3"/>
  <c r="I533" i="3"/>
  <c r="I563" i="3"/>
  <c r="I22" i="3" s="1"/>
  <c r="I564" i="3"/>
  <c r="I26" i="3" s="1"/>
  <c r="I528" i="3"/>
  <c r="H5" i="4"/>
  <c r="L1" i="3"/>
  <c r="K2" i="3"/>
  <c r="J1" i="4"/>
  <c r="K3" i="3"/>
  <c r="AZ407" i="4"/>
  <c r="W230" i="14"/>
  <c r="W229" i="14"/>
  <c r="V230" i="14"/>
  <c r="V229" i="14"/>
  <c r="BP99" i="3"/>
  <c r="AL99" i="3"/>
  <c r="AM99" i="3" s="1"/>
  <c r="BP195" i="3"/>
  <c r="AL195" i="3"/>
  <c r="AM195" i="3" s="1"/>
  <c r="BP317" i="3"/>
  <c r="AL317" i="3"/>
  <c r="AM317" i="3" s="1"/>
  <c r="BP540" i="3"/>
  <c r="AL540" i="3"/>
  <c r="AM540" i="3" s="1"/>
  <c r="BJ273" i="4"/>
  <c r="BD727" i="4"/>
  <c r="BO433" i="3"/>
  <c r="AK433" i="3"/>
  <c r="BO106" i="3"/>
  <c r="AK106" i="3"/>
  <c r="BO172" i="3"/>
  <c r="AK172" i="3"/>
  <c r="BO541" i="3"/>
  <c r="AK541" i="3"/>
  <c r="BO465" i="3"/>
  <c r="AK465" i="3"/>
  <c r="BO538" i="3"/>
  <c r="AK538" i="3"/>
  <c r="BO291" i="3"/>
  <c r="AK291" i="3"/>
  <c r="BO427" i="3"/>
  <c r="AK427" i="3"/>
  <c r="BO286" i="3"/>
  <c r="BO429" i="3"/>
  <c r="AK429" i="3"/>
  <c r="BO191" i="3"/>
  <c r="AK191" i="3"/>
  <c r="BO194" i="3"/>
  <c r="AK194" i="3"/>
  <c r="BO432" i="3"/>
  <c r="AK432" i="3"/>
  <c r="BO405" i="3"/>
  <c r="AK405" i="3"/>
  <c r="BO387" i="3"/>
  <c r="AK387" i="3"/>
  <c r="BO175" i="3"/>
  <c r="AK175" i="3"/>
  <c r="BO431" i="3"/>
  <c r="AK431" i="3"/>
  <c r="BE471" i="3"/>
  <c r="BE498" i="3" s="1"/>
  <c r="BI315" i="4"/>
  <c r="AO159" i="28" s="1"/>
  <c r="AO87" i="28" s="1"/>
  <c r="V159" i="28"/>
  <c r="V87" i="28" s="1"/>
  <c r="BO198" i="3"/>
  <c r="BK251" i="3"/>
  <c r="BH342" i="4"/>
  <c r="BH352" i="4" s="1"/>
  <c r="X500" i="4"/>
  <c r="AT336" i="4"/>
  <c r="BN285" i="3"/>
  <c r="BN539" i="3"/>
  <c r="BN392" i="3"/>
  <c r="BO392" i="3"/>
  <c r="BN107" i="3"/>
  <c r="BE580" i="3"/>
  <c r="BE499" i="3"/>
  <c r="BN453" i="3"/>
  <c r="BH311" i="4"/>
  <c r="BH163" i="4"/>
  <c r="BH206" i="4" s="1"/>
  <c r="BH161" i="4"/>
  <c r="BH314" i="4"/>
  <c r="BH197" i="4"/>
  <c r="BH160" i="4"/>
  <c r="BH317" i="4"/>
  <c r="BH360" i="4" s="1"/>
  <c r="BH86" i="4"/>
  <c r="BH130" i="4" s="1"/>
  <c r="AX407" i="4"/>
  <c r="BE291" i="4"/>
  <c r="D443" i="4"/>
  <c r="BF243" i="4"/>
  <c r="AL152" i="28" s="1"/>
  <c r="AL60" i="28" s="1"/>
  <c r="W379" i="4"/>
  <c r="BE462" i="4"/>
  <c r="BE507" i="4" s="1"/>
  <c r="W500" i="4"/>
  <c r="W78" i="4"/>
  <c r="T353" i="4"/>
  <c r="AX481" i="4"/>
  <c r="AZ481" i="4"/>
  <c r="T424" i="4"/>
  <c r="H448" i="4"/>
  <c r="AZ448" i="4"/>
  <c r="BA225" i="4"/>
  <c r="BA448" i="4"/>
  <c r="BA341" i="3"/>
  <c r="T489" i="4"/>
  <c r="V379" i="4"/>
  <c r="BE204" i="4"/>
  <c r="BE318" i="4"/>
  <c r="BE357" i="4"/>
  <c r="BH709" i="4"/>
  <c r="BM135" i="3"/>
  <c r="BG89" i="4"/>
  <c r="BG101" i="4"/>
  <c r="BG90" i="4"/>
  <c r="BG255" i="4"/>
  <c r="BG95" i="4"/>
  <c r="BG134" i="4" s="1"/>
  <c r="BG676" i="4"/>
  <c r="BG316" i="4"/>
  <c r="BG495" i="4"/>
  <c r="BG456" i="4"/>
  <c r="BG164" i="4"/>
  <c r="BG207" i="4" s="1"/>
  <c r="T124" i="4"/>
  <c r="BM430" i="3"/>
  <c r="BI226" i="3"/>
  <c r="BG671" i="4"/>
  <c r="BG715" i="4" s="1"/>
  <c r="U379" i="4"/>
  <c r="BG673" i="4"/>
  <c r="BG717" i="4" s="1"/>
  <c r="BG386" i="4"/>
  <c r="BG429" i="4" s="1"/>
  <c r="BG475" i="4"/>
  <c r="AV343" i="3"/>
  <c r="AV345" i="3" s="1"/>
  <c r="AV349" i="3" s="1"/>
  <c r="AV88" i="3"/>
  <c r="AV94" i="3" s="1"/>
  <c r="AV98" i="3" s="1"/>
  <c r="BE119" i="4"/>
  <c r="S424" i="4"/>
  <c r="BG420" i="4"/>
  <c r="BG349" i="4"/>
  <c r="BE494" i="4"/>
  <c r="BE501" i="4" s="1"/>
  <c r="BC2" i="3"/>
  <c r="AW1" i="4"/>
  <c r="AW2" i="4" s="1"/>
  <c r="BC3" i="3"/>
  <c r="AW3" i="4" s="1"/>
  <c r="AU466" i="3"/>
  <c r="AU482" i="3" s="1"/>
  <c r="AU506" i="3" s="1"/>
  <c r="AU463" i="3"/>
  <c r="H407" i="4"/>
  <c r="AV407" i="4" s="1"/>
  <c r="BG235" i="4"/>
  <c r="BG282" i="4" s="1"/>
  <c r="AU424" i="3"/>
  <c r="AU456" i="3"/>
  <c r="BI403" i="3"/>
  <c r="H475" i="3"/>
  <c r="G500" i="3"/>
  <c r="G471" i="3"/>
  <c r="G498" i="3" s="1"/>
  <c r="G499" i="3"/>
  <c r="H473" i="3"/>
  <c r="G470" i="3"/>
  <c r="G497" i="3" s="1"/>
  <c r="G580" i="3"/>
  <c r="BB525" i="3"/>
  <c r="BB524" i="3"/>
  <c r="BB84" i="3"/>
  <c r="BB472" i="3"/>
  <c r="BB536" i="3"/>
  <c r="BB474" i="3"/>
  <c r="BB526" i="3"/>
  <c r="BB58" i="3"/>
  <c r="BJ385" i="3"/>
  <c r="BD39" i="4"/>
  <c r="BD49" i="4" s="1"/>
  <c r="AV401" i="4"/>
  <c r="AV403" i="4" s="1"/>
  <c r="AV376" i="4" s="1"/>
  <c r="AV440" i="4"/>
  <c r="AV436" i="4"/>
  <c r="AU336" i="4"/>
  <c r="F407" i="4"/>
  <c r="F443" i="4" s="1"/>
  <c r="I37" i="3"/>
  <c r="I578" i="3" s="1"/>
  <c r="I472" i="3"/>
  <c r="I474" i="3"/>
  <c r="J475" i="3" s="1"/>
  <c r="I58" i="3"/>
  <c r="I84" i="3"/>
  <c r="I341" i="3"/>
  <c r="BB341" i="3" s="1"/>
  <c r="I526" i="3"/>
  <c r="I525" i="3"/>
  <c r="BB37" i="3"/>
  <c r="BB578" i="3" s="1"/>
  <c r="I524" i="3"/>
  <c r="I536" i="3"/>
  <c r="BI231" i="3"/>
  <c r="BI325" i="3"/>
  <c r="BI112" i="3"/>
  <c r="BI137" i="3"/>
  <c r="BI75" i="3"/>
  <c r="AH13" i="32" s="1"/>
  <c r="BC30" i="4"/>
  <c r="P500" i="3"/>
  <c r="P475" i="3"/>
  <c r="P471" i="3"/>
  <c r="P498" i="3" s="1"/>
  <c r="L475" i="3"/>
  <c r="L471" i="3"/>
  <c r="L498" i="3" s="1"/>
  <c r="L500" i="3"/>
  <c r="M475" i="3"/>
  <c r="Q475" i="3"/>
  <c r="BF391" i="4"/>
  <c r="AU588" i="4"/>
  <c r="AU547" i="4"/>
  <c r="AU522" i="4" s="1"/>
  <c r="BE413" i="4"/>
  <c r="BE423" i="4" s="1"/>
  <c r="BI115" i="3"/>
  <c r="BI114" i="3"/>
  <c r="AT545" i="4"/>
  <c r="AT587" i="4"/>
  <c r="AT581" i="4"/>
  <c r="AT582" i="4"/>
  <c r="AT585" i="4"/>
  <c r="H481" i="4"/>
  <c r="AV481" i="4" s="1"/>
  <c r="P499" i="3"/>
  <c r="P473" i="3"/>
  <c r="P580" i="3"/>
  <c r="P470" i="3"/>
  <c r="P497" i="3" s="1"/>
  <c r="AV473" i="4"/>
  <c r="AV477" i="4" s="1"/>
  <c r="AV448" i="4" s="1"/>
  <c r="AV511" i="4"/>
  <c r="AV515" i="4"/>
  <c r="AV442" i="4"/>
  <c r="L499" i="3"/>
  <c r="L470" i="3"/>
  <c r="L497" i="3" s="1"/>
  <c r="L580" i="3"/>
  <c r="L473" i="3"/>
  <c r="M473" i="3"/>
  <c r="BI171" i="3"/>
  <c r="AU443" i="4"/>
  <c r="AU68" i="4" s="1"/>
  <c r="AU403" i="4"/>
  <c r="AU376" i="4" s="1"/>
  <c r="BF706" i="4"/>
  <c r="V307" i="14"/>
  <c r="V309" i="14" s="1"/>
  <c r="W307" i="14"/>
  <c r="W309" i="14" s="1"/>
  <c r="V288" i="14"/>
  <c r="W288" i="14"/>
  <c r="V310" i="14"/>
  <c r="J470" i="3"/>
  <c r="J497" i="3" s="1"/>
  <c r="J499" i="3"/>
  <c r="W310" i="14"/>
  <c r="J580" i="3"/>
  <c r="K473" i="3"/>
  <c r="T10" i="4"/>
  <c r="U60" i="3" s="1"/>
  <c r="BB80" i="4"/>
  <c r="S124" i="4"/>
  <c r="W493" i="4"/>
  <c r="BF476" i="4"/>
  <c r="V313" i="14"/>
  <c r="W313" i="14"/>
  <c r="J471" i="3"/>
  <c r="J498" i="3" s="1"/>
  <c r="V285" i="14"/>
  <c r="W285" i="14"/>
  <c r="J500" i="3"/>
  <c r="K475" i="3"/>
  <c r="W298" i="14"/>
  <c r="V298" i="14"/>
  <c r="S353" i="4"/>
  <c r="BC474" i="3"/>
  <c r="BC526" i="3"/>
  <c r="BC84" i="3"/>
  <c r="BC525" i="3"/>
  <c r="BC58" i="3"/>
  <c r="BC536" i="3"/>
  <c r="BC472" i="3"/>
  <c r="BC524" i="3"/>
  <c r="BA474" i="3"/>
  <c r="BA525" i="3"/>
  <c r="BA472" i="3"/>
  <c r="BA536" i="3"/>
  <c r="BA524" i="3"/>
  <c r="BA84" i="3"/>
  <c r="BA58" i="3"/>
  <c r="BA526" i="3"/>
  <c r="AZ474" i="3"/>
  <c r="AZ524" i="3"/>
  <c r="AZ84" i="3"/>
  <c r="AZ58" i="3"/>
  <c r="AZ526" i="3"/>
  <c r="AZ536" i="3"/>
  <c r="AZ341" i="3"/>
  <c r="AZ525" i="3"/>
  <c r="AZ472" i="3"/>
  <c r="G473" i="3"/>
  <c r="F499" i="3"/>
  <c r="F470" i="3"/>
  <c r="F497" i="3" s="1"/>
  <c r="F580" i="3"/>
  <c r="F500" i="3"/>
  <c r="G475" i="3"/>
  <c r="F471" i="3"/>
  <c r="F498" i="3" s="1"/>
  <c r="BK82" i="3"/>
  <c r="BE402" i="4"/>
  <c r="S10" i="4"/>
  <c r="T60" i="3" s="1"/>
  <c r="E470" i="3"/>
  <c r="E497" i="3" s="1"/>
  <c r="E473" i="3"/>
  <c r="E499" i="3"/>
  <c r="E580" i="3"/>
  <c r="F473" i="3"/>
  <c r="E500" i="3"/>
  <c r="E475" i="3"/>
  <c r="E471" i="3"/>
  <c r="E498" i="3" s="1"/>
  <c r="F475" i="3"/>
  <c r="BC542" i="3"/>
  <c r="L542" i="3"/>
  <c r="K543" i="3"/>
  <c r="T480" i="3"/>
  <c r="BG391" i="3"/>
  <c r="BG462" i="3" s="1"/>
  <c r="BG384" i="3"/>
  <c r="N544" i="3"/>
  <c r="BD544" i="3"/>
  <c r="J545" i="3"/>
  <c r="W221" i="14"/>
  <c r="V221" i="14"/>
  <c r="BH67" i="3"/>
  <c r="BE242" i="4"/>
  <c r="AK151" i="28" s="1"/>
  <c r="AK55" i="28" s="1"/>
  <c r="BE252" i="4"/>
  <c r="BK161" i="3"/>
  <c r="BK460" i="3"/>
  <c r="BK100" i="3"/>
  <c r="BK451" i="3"/>
  <c r="BK227" i="3"/>
  <c r="BK323" i="3"/>
  <c r="BL249" i="3"/>
  <c r="BL139" i="3"/>
  <c r="BL136" i="3"/>
  <c r="BL246" i="3"/>
  <c r="BK120" i="3"/>
  <c r="BK230" i="3"/>
  <c r="BI53" i="3"/>
  <c r="BK140" i="3"/>
  <c r="BK250" i="3"/>
  <c r="BL119" i="3"/>
  <c r="BE17" i="4"/>
  <c r="BE55" i="4" s="1"/>
  <c r="BE270" i="4"/>
  <c r="BE271" i="4"/>
  <c r="BE419" i="4"/>
  <c r="BE426" i="4" s="1"/>
  <c r="BE346" i="4"/>
  <c r="BE417" i="4"/>
  <c r="BF273" i="4"/>
  <c r="BF420" i="4"/>
  <c r="BF269" i="4"/>
  <c r="BC237" i="4"/>
  <c r="BC284" i="4" s="1"/>
  <c r="BB389" i="4"/>
  <c r="BF244" i="4"/>
  <c r="BE18" i="4"/>
  <c r="BE56" i="4" s="1"/>
  <c r="BE387" i="4"/>
  <c r="BE430" i="4" s="1"/>
  <c r="BF196" i="4"/>
  <c r="BF194" i="4"/>
  <c r="BE167" i="4"/>
  <c r="BE209" i="4" s="1"/>
  <c r="BE700" i="4"/>
  <c r="BE701" i="4"/>
  <c r="BE118" i="4"/>
  <c r="BE126" i="4" s="1"/>
  <c r="BI390" i="3"/>
  <c r="BJ389" i="3"/>
  <c r="BE46" i="4"/>
  <c r="BK537" i="3" s="1"/>
  <c r="BJ173" i="3"/>
  <c r="BH422" i="3"/>
  <c r="BH316" i="3"/>
  <c r="BH318" i="3" s="1"/>
  <c r="BH347" i="3"/>
  <c r="BH346" i="3"/>
  <c r="BC460" i="4"/>
  <c r="BC506" i="4" s="1"/>
  <c r="BA481" i="4"/>
  <c r="BC382" i="4"/>
  <c r="BD509" i="4"/>
  <c r="BJ42" i="3"/>
  <c r="BD399" i="4"/>
  <c r="AA9" i="9"/>
  <c r="S7" i="4"/>
  <c r="Y8" i="9"/>
  <c r="X10" i="9"/>
  <c r="BE475" i="3" l="1"/>
  <c r="AL62" i="28"/>
  <c r="AL63" i="28"/>
  <c r="AM79" i="28"/>
  <c r="AM78" i="28"/>
  <c r="AK58" i="28"/>
  <c r="AK57" i="28"/>
  <c r="V90" i="28"/>
  <c r="V89" i="28"/>
  <c r="Y89" i="28"/>
  <c r="Y90" i="28"/>
  <c r="AO90" i="28"/>
  <c r="AO89" i="28"/>
  <c r="BD500" i="3"/>
  <c r="BF470" i="3"/>
  <c r="BF497" i="3" s="1"/>
  <c r="BF499" i="3"/>
  <c r="AP315" i="4"/>
  <c r="AA159" i="28"/>
  <c r="AA87" i="28" s="1"/>
  <c r="BD499" i="3"/>
  <c r="BE473" i="3"/>
  <c r="BD470" i="3"/>
  <c r="BD497" i="3" s="1"/>
  <c r="BF473" i="3"/>
  <c r="BF580" i="3"/>
  <c r="BF500" i="3"/>
  <c r="BF471" i="3"/>
  <c r="BF498" i="3" s="1"/>
  <c r="BF475" i="3"/>
  <c r="BE288" i="4"/>
  <c r="BF289" i="4"/>
  <c r="BG132" i="4"/>
  <c r="BI358" i="4"/>
  <c r="BG359" i="4"/>
  <c r="Y285" i="14"/>
  <c r="J2" i="4"/>
  <c r="X288" i="14"/>
  <c r="K33" i="3"/>
  <c r="K356" i="3" s="1"/>
  <c r="Y307" i="14"/>
  <c r="Y309" i="14" s="1"/>
  <c r="Y298" i="14"/>
  <c r="X285" i="14"/>
  <c r="X313" i="14"/>
  <c r="X307" i="14"/>
  <c r="X309" i="14" s="1"/>
  <c r="X310" i="14"/>
  <c r="Y288" i="14"/>
  <c r="Y313" i="14"/>
  <c r="Y310" i="14"/>
  <c r="AT443" i="4"/>
  <c r="AT69" i="4" s="1"/>
  <c r="BQ540" i="3"/>
  <c r="AN540" i="3"/>
  <c r="AO540" i="3" s="1"/>
  <c r="BQ99" i="3"/>
  <c r="AN99" i="3"/>
  <c r="AO99" i="3" s="1"/>
  <c r="BQ317" i="3"/>
  <c r="AN317" i="3"/>
  <c r="AO317" i="3" s="1"/>
  <c r="BQ195" i="3"/>
  <c r="AN195" i="3"/>
  <c r="AO195" i="3" s="1"/>
  <c r="BK273" i="4"/>
  <c r="G157" i="4"/>
  <c r="G201" i="4" s="1"/>
  <c r="G510" i="4"/>
  <c r="G292" i="4"/>
  <c r="G59" i="4"/>
  <c r="G435" i="4"/>
  <c r="G724" i="4"/>
  <c r="G719" i="4"/>
  <c r="G364" i="4"/>
  <c r="G63" i="4"/>
  <c r="G502" i="4"/>
  <c r="G665" i="4"/>
  <c r="G710" i="4" s="1"/>
  <c r="G135" i="4"/>
  <c r="G53" i="4"/>
  <c r="AV379" i="4"/>
  <c r="AV380" i="4" s="1"/>
  <c r="AV424" i="4" s="1"/>
  <c r="G138" i="4"/>
  <c r="AV596" i="4"/>
  <c r="AV597" i="4" s="1"/>
  <c r="AV638" i="4" s="1"/>
  <c r="G215" i="4"/>
  <c r="AV664" i="4"/>
  <c r="AV665" i="4" s="1"/>
  <c r="AV710" i="4" s="1"/>
  <c r="G212" i="4"/>
  <c r="G651" i="4"/>
  <c r="G127" i="4"/>
  <c r="G210" i="4"/>
  <c r="G295" i="4"/>
  <c r="G366" i="4"/>
  <c r="G438" i="4"/>
  <c r="AV451" i="4"/>
  <c r="AV452" i="4" s="1"/>
  <c r="AV499" i="4" s="1"/>
  <c r="AV525" i="4"/>
  <c r="AV526" i="4" s="1"/>
  <c r="AV78" i="4"/>
  <c r="AV79" i="4" s="1"/>
  <c r="AV124" i="4" s="1"/>
  <c r="G583" i="4"/>
  <c r="G721" i="4"/>
  <c r="AV228" i="4"/>
  <c r="AV229" i="4" s="1"/>
  <c r="AV277" i="4" s="1"/>
  <c r="G128" i="4"/>
  <c r="G513" i="4"/>
  <c r="G11" i="4"/>
  <c r="G50" i="4" s="1"/>
  <c r="G580" i="4"/>
  <c r="G649" i="4"/>
  <c r="G720" i="4"/>
  <c r="G61" i="4"/>
  <c r="AV308" i="4"/>
  <c r="AV309" i="4" s="1"/>
  <c r="AV353" i="4" s="1"/>
  <c r="G54" i="4"/>
  <c r="Y213" i="14"/>
  <c r="Y237" i="14" s="1"/>
  <c r="X28" i="14"/>
  <c r="Y72" i="14"/>
  <c r="X14" i="14"/>
  <c r="Y249" i="14"/>
  <c r="X300" i="14"/>
  <c r="Y241" i="14"/>
  <c r="Y315" i="14"/>
  <c r="X249" i="14"/>
  <c r="X24" i="14"/>
  <c r="Y304" i="14"/>
  <c r="K1" i="4"/>
  <c r="X290" i="14"/>
  <c r="X46" i="14"/>
  <c r="X222" i="14"/>
  <c r="X241" i="14"/>
  <c r="X314" i="14"/>
  <c r="Y24" i="14"/>
  <c r="X291" i="14"/>
  <c r="Y45" i="14"/>
  <c r="Y16" i="14"/>
  <c r="X32" i="14"/>
  <c r="Y22" i="14"/>
  <c r="X33" i="14"/>
  <c r="Y190" i="14"/>
  <c r="X316" i="14"/>
  <c r="X22" i="14"/>
  <c r="X317" i="14"/>
  <c r="X282" i="14"/>
  <c r="L2" i="3"/>
  <c r="Y46" i="14"/>
  <c r="X98" i="14"/>
  <c r="Y14" i="14"/>
  <c r="Y318" i="14"/>
  <c r="Y98" i="14"/>
  <c r="Y306" i="14"/>
  <c r="Y317" i="14"/>
  <c r="X74" i="14"/>
  <c r="Y300" i="14"/>
  <c r="Y118" i="14"/>
  <c r="X190" i="14"/>
  <c r="X25" i="14"/>
  <c r="Y97" i="14"/>
  <c r="Y39" i="14"/>
  <c r="X289" i="14"/>
  <c r="X212" i="14"/>
  <c r="Y243" i="14"/>
  <c r="X97" i="14"/>
  <c r="L3" i="3"/>
  <c r="Y289" i="14"/>
  <c r="Y314" i="14"/>
  <c r="Y28" i="14"/>
  <c r="Y32" i="14"/>
  <c r="X283" i="14"/>
  <c r="X213" i="14"/>
  <c r="X237" i="14" s="1"/>
  <c r="Y33" i="14"/>
  <c r="Y283" i="14"/>
  <c r="X243" i="14"/>
  <c r="X299" i="14"/>
  <c r="Y316" i="14"/>
  <c r="Y290" i="14"/>
  <c r="M1" i="3"/>
  <c r="Y35" i="14"/>
  <c r="X16" i="14"/>
  <c r="X304" i="14"/>
  <c r="Y291" i="14"/>
  <c r="Y303" i="14"/>
  <c r="X315" i="14"/>
  <c r="Y168" i="14"/>
  <c r="X318" i="14"/>
  <c r="X35" i="14"/>
  <c r="Y299" i="14"/>
  <c r="Y23" i="14"/>
  <c r="X306" i="14"/>
  <c r="X72" i="14"/>
  <c r="Y302" i="14"/>
  <c r="Y212" i="14"/>
  <c r="X118" i="14"/>
  <c r="Y25" i="14"/>
  <c r="Y74" i="14"/>
  <c r="X302" i="14"/>
  <c r="Y282" i="14"/>
  <c r="X45" i="14"/>
  <c r="X23" i="14"/>
  <c r="X168" i="14"/>
  <c r="X39" i="14"/>
  <c r="X303" i="14"/>
  <c r="Y222" i="14"/>
  <c r="BB32" i="3"/>
  <c r="BB479" i="3"/>
  <c r="BB503" i="3" s="1"/>
  <c r="X298" i="14"/>
  <c r="J3" i="4"/>
  <c r="K5" i="3"/>
  <c r="J5" i="3"/>
  <c r="H128" i="4"/>
  <c r="H651" i="4"/>
  <c r="H649" i="4"/>
  <c r="H438" i="4"/>
  <c r="H127" i="4"/>
  <c r="H59" i="4"/>
  <c r="H295" i="4"/>
  <c r="H63" i="4"/>
  <c r="H720" i="4"/>
  <c r="H724" i="4"/>
  <c r="H435" i="4"/>
  <c r="H364" i="4"/>
  <c r="H502" i="4"/>
  <c r="H53" i="4"/>
  <c r="H212" i="4"/>
  <c r="H61" i="4"/>
  <c r="H54" i="4"/>
  <c r="H292" i="4"/>
  <c r="H10" i="4"/>
  <c r="H215" i="4"/>
  <c r="H583" i="4"/>
  <c r="H366" i="4"/>
  <c r="H510" i="4"/>
  <c r="H138" i="4"/>
  <c r="H719" i="4"/>
  <c r="H665" i="4"/>
  <c r="H135" i="4"/>
  <c r="H721" i="4"/>
  <c r="H210" i="4"/>
  <c r="H580" i="4"/>
  <c r="H513" i="4"/>
  <c r="BP175" i="3"/>
  <c r="AL175" i="3"/>
  <c r="AM175" i="3" s="1"/>
  <c r="BP405" i="3"/>
  <c r="AL405" i="3"/>
  <c r="AM405" i="3" s="1"/>
  <c r="BP194" i="3"/>
  <c r="AL194" i="3"/>
  <c r="AM194" i="3" s="1"/>
  <c r="BP429" i="3"/>
  <c r="AL429" i="3"/>
  <c r="AM429" i="3" s="1"/>
  <c r="BP427" i="3"/>
  <c r="AL427" i="3"/>
  <c r="AM427" i="3" s="1"/>
  <c r="BP538" i="3"/>
  <c r="AL538" i="3"/>
  <c r="AM538" i="3" s="1"/>
  <c r="BP541" i="3"/>
  <c r="AL541" i="3"/>
  <c r="AM541" i="3" s="1"/>
  <c r="BP106" i="3"/>
  <c r="AL106" i="3"/>
  <c r="AM106" i="3" s="1"/>
  <c r="BP431" i="3"/>
  <c r="AL431" i="3"/>
  <c r="AM431" i="3" s="1"/>
  <c r="BP387" i="3"/>
  <c r="AL387" i="3"/>
  <c r="AM387" i="3" s="1"/>
  <c r="BP432" i="3"/>
  <c r="AL432" i="3"/>
  <c r="AM432" i="3" s="1"/>
  <c r="BP191" i="3"/>
  <c r="AL191" i="3"/>
  <c r="AM191" i="3" s="1"/>
  <c r="BP291" i="3"/>
  <c r="AL291" i="3"/>
  <c r="AM291" i="3" s="1"/>
  <c r="BP465" i="3"/>
  <c r="AL465" i="3"/>
  <c r="AM465" i="3" s="1"/>
  <c r="BP172" i="3"/>
  <c r="AL172" i="3"/>
  <c r="AM172" i="3" s="1"/>
  <c r="BP433" i="3"/>
  <c r="AL433" i="3"/>
  <c r="AM433" i="3" s="1"/>
  <c r="BJ315" i="4"/>
  <c r="AK315" i="4"/>
  <c r="X159" i="28" s="1"/>
  <c r="X87" i="28" s="1"/>
  <c r="BJ190" i="4"/>
  <c r="AK190" i="4"/>
  <c r="BO107" i="3"/>
  <c r="AK107" i="3"/>
  <c r="BO539" i="3"/>
  <c r="AK539" i="3"/>
  <c r="AK286" i="3"/>
  <c r="AL286" i="3" s="1"/>
  <c r="AM286" i="3" s="1"/>
  <c r="BO285" i="3"/>
  <c r="AK285" i="3"/>
  <c r="BI197" i="4"/>
  <c r="BK96" i="3"/>
  <c r="BK65" i="3"/>
  <c r="BK66" i="3"/>
  <c r="X78" i="4"/>
  <c r="Y78" i="4" s="1"/>
  <c r="Z78" i="4" s="1"/>
  <c r="W10" i="4"/>
  <c r="BN430" i="3"/>
  <c r="BH675" i="4"/>
  <c r="BH718" i="4" s="1"/>
  <c r="AJ349" i="4"/>
  <c r="AK349" i="4" s="1"/>
  <c r="AL349" i="4" s="1"/>
  <c r="AM349" i="4" s="1"/>
  <c r="AN349" i="4" s="1"/>
  <c r="AO349" i="4" s="1"/>
  <c r="AP349" i="4" s="1"/>
  <c r="AQ349" i="4" s="1"/>
  <c r="AR349" i="4" s="1"/>
  <c r="BH319" i="4"/>
  <c r="BH211" i="4"/>
  <c r="BH454" i="4"/>
  <c r="BH313" i="4"/>
  <c r="BI342" i="4"/>
  <c r="BI352" i="4" s="1"/>
  <c r="BI320" i="4"/>
  <c r="AI664" i="4"/>
  <c r="BI269" i="4"/>
  <c r="BH272" i="4"/>
  <c r="BH279" i="4" s="1"/>
  <c r="BH495" i="4"/>
  <c r="BH85" i="4"/>
  <c r="BH129" i="4" s="1"/>
  <c r="V10" i="4"/>
  <c r="BE503" i="4"/>
  <c r="BF203" i="4"/>
  <c r="BF205" i="4"/>
  <c r="BE727" i="4"/>
  <c r="BF278" i="4"/>
  <c r="BM119" i="3"/>
  <c r="BG402" i="3"/>
  <c r="BG419" i="3" s="1"/>
  <c r="BG196" i="4"/>
  <c r="BG457" i="4"/>
  <c r="BH349" i="4"/>
  <c r="BH420" i="4"/>
  <c r="BG706" i="4"/>
  <c r="BG162" i="4"/>
  <c r="BG87" i="4"/>
  <c r="BG384" i="4"/>
  <c r="BG269" i="4"/>
  <c r="BG672" i="4"/>
  <c r="BG716" i="4" s="1"/>
  <c r="BG463" i="4"/>
  <c r="BG471" i="4"/>
  <c r="BJ113" i="3"/>
  <c r="T462" i="3"/>
  <c r="T384" i="3"/>
  <c r="AV101" i="3"/>
  <c r="AV91" i="3"/>
  <c r="AV521" i="3"/>
  <c r="AW93" i="3"/>
  <c r="AW86" i="3" s="1"/>
  <c r="AW343" i="3" s="1"/>
  <c r="AW345" i="3" s="1"/>
  <c r="AW349" i="3" s="1"/>
  <c r="AV520" i="3"/>
  <c r="BG363" i="4"/>
  <c r="BC238" i="4"/>
  <c r="AI153" i="28" s="1"/>
  <c r="AI65" i="28" s="1"/>
  <c r="BF35" i="4"/>
  <c r="BM249" i="3"/>
  <c r="BM139" i="3"/>
  <c r="BM246" i="3"/>
  <c r="BM136" i="3"/>
  <c r="BG233" i="4"/>
  <c r="BD3" i="3"/>
  <c r="AX3" i="4" s="1"/>
  <c r="AX1" i="4"/>
  <c r="AX2" i="4" s="1"/>
  <c r="BD2" i="3"/>
  <c r="AU467" i="3"/>
  <c r="AU483" i="3" s="1"/>
  <c r="AU507" i="3" s="1"/>
  <c r="AU522" i="3"/>
  <c r="AU581" i="3" s="1"/>
  <c r="AU484" i="3"/>
  <c r="AU523" i="3"/>
  <c r="BJ171" i="3"/>
  <c r="BJ115" i="3"/>
  <c r="BB471" i="3"/>
  <c r="BB498" i="3" s="1"/>
  <c r="BB500" i="3"/>
  <c r="BB580" i="3"/>
  <c r="BB470" i="3"/>
  <c r="BB497" i="3" s="1"/>
  <c r="BB499" i="3"/>
  <c r="BI168" i="3"/>
  <c r="BI223" i="3"/>
  <c r="BI167" i="3"/>
  <c r="BI313" i="3"/>
  <c r="BI142" i="3"/>
  <c r="BI289" i="3"/>
  <c r="BF266" i="4"/>
  <c r="BF276" i="4" s="1"/>
  <c r="BI169" i="3"/>
  <c r="BI381" i="3"/>
  <c r="BI132" i="3"/>
  <c r="BI109" i="3" s="1"/>
  <c r="I499" i="3"/>
  <c r="I580" i="3"/>
  <c r="I470" i="3"/>
  <c r="I497" i="3" s="1"/>
  <c r="I473" i="3"/>
  <c r="AU69" i="4"/>
  <c r="J473" i="3"/>
  <c r="AT547" i="4"/>
  <c r="AT522" i="4" s="1"/>
  <c r="AT588" i="4"/>
  <c r="BI192" i="3"/>
  <c r="BI247" i="3"/>
  <c r="BI224" i="3"/>
  <c r="BE488" i="4"/>
  <c r="BE498" i="4" s="1"/>
  <c r="BJ116" i="3"/>
  <c r="BI138" i="3"/>
  <c r="BI170" i="3"/>
  <c r="BI54" i="3"/>
  <c r="I500" i="3"/>
  <c r="I471" i="3"/>
  <c r="I498" i="3" s="1"/>
  <c r="I475" i="3"/>
  <c r="BL229" i="3"/>
  <c r="BK52" i="3"/>
  <c r="BF385" i="4"/>
  <c r="BF458" i="4"/>
  <c r="BF504" i="4" s="1"/>
  <c r="BG684" i="4"/>
  <c r="AT124" i="4"/>
  <c r="AZ499" i="3"/>
  <c r="AZ580" i="3"/>
  <c r="AZ470" i="3"/>
  <c r="AZ497" i="3" s="1"/>
  <c r="AZ473" i="3"/>
  <c r="AZ475" i="3"/>
  <c r="AZ471" i="3"/>
  <c r="AZ498" i="3" s="1"/>
  <c r="AZ500" i="3"/>
  <c r="BA470" i="3"/>
  <c r="BA497" i="3" s="1"/>
  <c r="BA473" i="3"/>
  <c r="BB473" i="3"/>
  <c r="BA499" i="3"/>
  <c r="BA580" i="3"/>
  <c r="BB475" i="3"/>
  <c r="BA475" i="3"/>
  <c r="BA500" i="3"/>
  <c r="BA471" i="3"/>
  <c r="BA498" i="3" s="1"/>
  <c r="BD473" i="3"/>
  <c r="BC473" i="3"/>
  <c r="BC499" i="3"/>
  <c r="BC470" i="3"/>
  <c r="BC497" i="3" s="1"/>
  <c r="BC580" i="3"/>
  <c r="BD475" i="3"/>
  <c r="BC475" i="3"/>
  <c r="BC500" i="3"/>
  <c r="BC471" i="3"/>
  <c r="BC498" i="3" s="1"/>
  <c r="AT353" i="4"/>
  <c r="BD704" i="4"/>
  <c r="BD702" i="4"/>
  <c r="BD711" i="4" s="1"/>
  <c r="U10" i="4"/>
  <c r="V60" i="3" s="1"/>
  <c r="BF159" i="4"/>
  <c r="BL80" i="3"/>
  <c r="BE34" i="4"/>
  <c r="V223" i="14"/>
  <c r="W223" i="14"/>
  <c r="T504" i="3"/>
  <c r="T580" i="3"/>
  <c r="O544" i="3"/>
  <c r="L543" i="3"/>
  <c r="M542" i="3"/>
  <c r="X220" i="14"/>
  <c r="Y220" i="14"/>
  <c r="K545" i="3"/>
  <c r="BC543" i="3"/>
  <c r="BK79" i="3"/>
  <c r="AJ19" i="32" s="1"/>
  <c r="BE390" i="4"/>
  <c r="BE432" i="4" s="1"/>
  <c r="BL196" i="3"/>
  <c r="BL174" i="3"/>
  <c r="BL190" i="3"/>
  <c r="BL245" i="3"/>
  <c r="BL452" i="3"/>
  <c r="BL461" i="3"/>
  <c r="BL117" i="3"/>
  <c r="BL447" i="3"/>
  <c r="BL157" i="3"/>
  <c r="BL141" i="3"/>
  <c r="BL448" i="3"/>
  <c r="BL158" i="3"/>
  <c r="BF234" i="4"/>
  <c r="BF459" i="4"/>
  <c r="BF505" i="4" s="1"/>
  <c r="BF348" i="4"/>
  <c r="BF355" i="4" s="1"/>
  <c r="BB343" i="4"/>
  <c r="BB191" i="4"/>
  <c r="BE434" i="4"/>
  <c r="BF236" i="4"/>
  <c r="BF283" i="4" s="1"/>
  <c r="BF193" i="4"/>
  <c r="BF202" i="4" s="1"/>
  <c r="BF195" i="4"/>
  <c r="BF179" i="4"/>
  <c r="BK69" i="3"/>
  <c r="AJ5" i="32" s="1"/>
  <c r="BK70" i="3"/>
  <c r="AJ7" i="32" s="1"/>
  <c r="BE22" i="4"/>
  <c r="BE21" i="4"/>
  <c r="BF167" i="4"/>
  <c r="BF209" i="4" s="1"/>
  <c r="BF705" i="4"/>
  <c r="BF712" i="4" s="1"/>
  <c r="BF703" i="4"/>
  <c r="BF120" i="4"/>
  <c r="BE45" i="4"/>
  <c r="BE52" i="4" s="1"/>
  <c r="BJ228" i="3"/>
  <c r="BJ324" i="3"/>
  <c r="BE492" i="4"/>
  <c r="BJ287" i="3"/>
  <c r="BE43" i="4"/>
  <c r="BE116" i="4"/>
  <c r="BF112" i="4"/>
  <c r="BF123" i="4" s="1"/>
  <c r="S305" i="4"/>
  <c r="BB40" i="4"/>
  <c r="BH309" i="3"/>
  <c r="BH425" i="3"/>
  <c r="BB113" i="4"/>
  <c r="BC388" i="4"/>
  <c r="BC431" i="4" s="1"/>
  <c r="BC461" i="4"/>
  <c r="BH354" i="3"/>
  <c r="BH97" i="3"/>
  <c r="BJ502" i="3"/>
  <c r="BH103" i="3"/>
  <c r="BH464" i="3"/>
  <c r="BE328" i="4"/>
  <c r="Z8" i="9"/>
  <c r="Y10" i="9"/>
  <c r="BJ200" i="4" l="1"/>
  <c r="BE58" i="4"/>
  <c r="AA90" i="28"/>
  <c r="AA89" i="28"/>
  <c r="AI68" i="28"/>
  <c r="AI67" i="28"/>
  <c r="X90" i="28"/>
  <c r="X89" i="28"/>
  <c r="BH361" i="4"/>
  <c r="AN157" i="28"/>
  <c r="AN76" i="28" s="1"/>
  <c r="K2" i="4"/>
  <c r="BJ358" i="4"/>
  <c r="AP159" i="28"/>
  <c r="AP87" i="28" s="1"/>
  <c r="AC159" i="28"/>
  <c r="AC87" i="28" s="1"/>
  <c r="AR315" i="4"/>
  <c r="AE159" i="28" s="1"/>
  <c r="AE87" i="28" s="1"/>
  <c r="BG131" i="4"/>
  <c r="AT68" i="4"/>
  <c r="L33" i="3"/>
  <c r="L356" i="3" s="1"/>
  <c r="L357" i="3" s="1"/>
  <c r="L481" i="3" s="1"/>
  <c r="L505" i="3" s="1"/>
  <c r="BR99" i="3"/>
  <c r="AP99" i="3"/>
  <c r="AQ99" i="3" s="1"/>
  <c r="BR195" i="3"/>
  <c r="AP195" i="3"/>
  <c r="AQ195" i="3" s="1"/>
  <c r="BR540" i="3"/>
  <c r="AP540" i="3"/>
  <c r="AQ540" i="3" s="1"/>
  <c r="BR317" i="3"/>
  <c r="AP317" i="3"/>
  <c r="AQ317" i="3" s="1"/>
  <c r="AR317" i="3" s="1"/>
  <c r="AS317" i="3" s="1"/>
  <c r="BT317" i="3" s="1"/>
  <c r="BL273" i="4"/>
  <c r="AI308" i="4"/>
  <c r="BQ433" i="3"/>
  <c r="AN433" i="3"/>
  <c r="AO433" i="3" s="1"/>
  <c r="BQ291" i="3"/>
  <c r="AN291" i="3"/>
  <c r="AO291" i="3" s="1"/>
  <c r="BQ387" i="3"/>
  <c r="AN387" i="3"/>
  <c r="AO387" i="3" s="1"/>
  <c r="BQ541" i="3"/>
  <c r="AN541" i="3"/>
  <c r="AO541" i="3" s="1"/>
  <c r="BQ429" i="3"/>
  <c r="AN429" i="3"/>
  <c r="AO429" i="3" s="1"/>
  <c r="BQ175" i="3"/>
  <c r="AN175" i="3"/>
  <c r="AO175" i="3" s="1"/>
  <c r="BQ286" i="3"/>
  <c r="AN286" i="3"/>
  <c r="AO286" i="3" s="1"/>
  <c r="BQ172" i="3"/>
  <c r="AN172" i="3"/>
  <c r="AO172" i="3" s="1"/>
  <c r="BQ191" i="3"/>
  <c r="AN191" i="3"/>
  <c r="AO191" i="3" s="1"/>
  <c r="BQ431" i="3"/>
  <c r="AN431" i="3"/>
  <c r="BQ538" i="3"/>
  <c r="AN538" i="3"/>
  <c r="AO538" i="3" s="1"/>
  <c r="BQ194" i="3"/>
  <c r="AN194" i="3"/>
  <c r="AO194" i="3" s="1"/>
  <c r="BQ465" i="3"/>
  <c r="AN465" i="3"/>
  <c r="AO465" i="3" s="1"/>
  <c r="BQ432" i="3"/>
  <c r="AN432" i="3"/>
  <c r="AO432" i="3" s="1"/>
  <c r="BQ106" i="3"/>
  <c r="AN106" i="3"/>
  <c r="AO106" i="3" s="1"/>
  <c r="BQ427" i="3"/>
  <c r="AN427" i="3"/>
  <c r="AO427" i="3" s="1"/>
  <c r="BQ405" i="3"/>
  <c r="AN405" i="3"/>
  <c r="AO405" i="3" s="1"/>
  <c r="BK315" i="4"/>
  <c r="BO315" i="4" s="1"/>
  <c r="AM315" i="4"/>
  <c r="Z159" i="28" s="1"/>
  <c r="Z87" i="28" s="1"/>
  <c r="Y73" i="14"/>
  <c r="X232" i="14"/>
  <c r="Y229" i="14"/>
  <c r="Y230" i="14"/>
  <c r="J564" i="3"/>
  <c r="J26" i="3" s="1"/>
  <c r="I5" i="4"/>
  <c r="J536" i="3"/>
  <c r="J528" i="3"/>
  <c r="BC56" i="3"/>
  <c r="J563" i="3"/>
  <c r="J22" i="3" s="1"/>
  <c r="J532" i="3"/>
  <c r="J526" i="3"/>
  <c r="J61" i="3"/>
  <c r="BC33" i="3"/>
  <c r="J524" i="3"/>
  <c r="BC60" i="3"/>
  <c r="BC61" i="3" s="1"/>
  <c r="J533" i="3"/>
  <c r="J525" i="3"/>
  <c r="BC29" i="3"/>
  <c r="M2" i="3"/>
  <c r="L1" i="4"/>
  <c r="L2" i="4" s="1"/>
  <c r="N1" i="3"/>
  <c r="M3" i="3"/>
  <c r="K3" i="4"/>
  <c r="X73" i="14"/>
  <c r="X40" i="14"/>
  <c r="H710" i="4"/>
  <c r="K536" i="3"/>
  <c r="K525" i="3"/>
  <c r="K526" i="3"/>
  <c r="J5" i="4"/>
  <c r="K532" i="3"/>
  <c r="K61" i="3"/>
  <c r="K564" i="3"/>
  <c r="K26" i="3" s="1"/>
  <c r="K533" i="3"/>
  <c r="K528" i="3"/>
  <c r="K563" i="3"/>
  <c r="K22" i="3" s="1"/>
  <c r="K524" i="3"/>
  <c r="X230" i="14"/>
  <c r="X229" i="14"/>
  <c r="H156" i="4"/>
  <c r="I60" i="3"/>
  <c r="H11" i="4"/>
  <c r="H50" i="4" s="1"/>
  <c r="AV10" i="4"/>
  <c r="AV11" i="4" s="1"/>
  <c r="AV50" i="4" s="1"/>
  <c r="K357" i="3"/>
  <c r="K481" i="3" s="1"/>
  <c r="K505" i="3" s="1"/>
  <c r="BC356" i="3"/>
  <c r="BC357" i="3" s="1"/>
  <c r="BC481" i="3" s="1"/>
  <c r="BC505" i="3" s="1"/>
  <c r="Y232" i="14"/>
  <c r="Y40" i="14"/>
  <c r="BP107" i="3"/>
  <c r="AL107" i="3"/>
  <c r="AM107" i="3" s="1"/>
  <c r="BP285" i="3"/>
  <c r="AL285" i="3"/>
  <c r="AM285" i="3" s="1"/>
  <c r="BP539" i="3"/>
  <c r="AL539" i="3"/>
  <c r="AM539" i="3" s="1"/>
  <c r="AL190" i="4"/>
  <c r="BJ197" i="4"/>
  <c r="AA78" i="4"/>
  <c r="AB78" i="4" s="1"/>
  <c r="AC78" i="4" s="1"/>
  <c r="AD78" i="4" s="1"/>
  <c r="AE78" i="4" s="1"/>
  <c r="AF78" i="4" s="1"/>
  <c r="AG78" i="4" s="1"/>
  <c r="AH78" i="4" s="1"/>
  <c r="AI78" i="4" s="1"/>
  <c r="AK392" i="3"/>
  <c r="BP286" i="3"/>
  <c r="BI161" i="4"/>
  <c r="AJ314" i="4"/>
  <c r="BI163" i="4"/>
  <c r="BI206" i="4" s="1"/>
  <c r="AI420" i="4"/>
  <c r="AI495" i="4" s="1"/>
  <c r="AJ495" i="4" s="1"/>
  <c r="BI160" i="4"/>
  <c r="BI317" i="4"/>
  <c r="BI360" i="4" s="1"/>
  <c r="AJ342" i="4"/>
  <c r="AJ311" i="4"/>
  <c r="BJ320" i="4"/>
  <c r="BO320" i="4" s="1"/>
  <c r="BO453" i="3"/>
  <c r="BO430" i="3"/>
  <c r="BI86" i="4"/>
  <c r="BI130" i="4" s="1"/>
  <c r="AJ664" i="4"/>
  <c r="AK664" i="4" s="1"/>
  <c r="BN190" i="3"/>
  <c r="BH676" i="4"/>
  <c r="BH456" i="4"/>
  <c r="BH363" i="4"/>
  <c r="BH164" i="4"/>
  <c r="BH207" i="4" s="1"/>
  <c r="BH673" i="4"/>
  <c r="BH717" i="4" s="1"/>
  <c r="BI349" i="4"/>
  <c r="BH671" i="4"/>
  <c r="BH715" i="4" s="1"/>
  <c r="BH89" i="4"/>
  <c r="BH101" i="4"/>
  <c r="BI314" i="4"/>
  <c r="BH134" i="4"/>
  <c r="BH90" i="4"/>
  <c r="BH316" i="4"/>
  <c r="BH255" i="4"/>
  <c r="BI311" i="4"/>
  <c r="BF462" i="4"/>
  <c r="BF507" i="4" s="1"/>
  <c r="AW88" i="3"/>
  <c r="AW94" i="3" s="1"/>
  <c r="AW98" i="3" s="1"/>
  <c r="AW101" i="3" s="1"/>
  <c r="BG203" i="4"/>
  <c r="BG205" i="4"/>
  <c r="BF204" i="4"/>
  <c r="BG278" i="4"/>
  <c r="BN249" i="3"/>
  <c r="BN139" i="3"/>
  <c r="BN246" i="3"/>
  <c r="BN136" i="3"/>
  <c r="BN245" i="3"/>
  <c r="BN135" i="3"/>
  <c r="BH235" i="4"/>
  <c r="BH282" i="4" s="1"/>
  <c r="BG705" i="4"/>
  <c r="BG712" i="4" s="1"/>
  <c r="BG348" i="4"/>
  <c r="BG355" i="4" s="1"/>
  <c r="BG112" i="4"/>
  <c r="BG123" i="4" s="1"/>
  <c r="BG194" i="4"/>
  <c r="BG391" i="4"/>
  <c r="BH706" i="4"/>
  <c r="BH475" i="4"/>
  <c r="BG387" i="4"/>
  <c r="BH269" i="4"/>
  <c r="BH278" i="4" s="1"/>
  <c r="BG270" i="4"/>
  <c r="BG193" i="4"/>
  <c r="BG202" i="4" s="1"/>
  <c r="AV459" i="3"/>
  <c r="AV454" i="3"/>
  <c r="AV444" i="3" s="1"/>
  <c r="AV350" i="3"/>
  <c r="AV351" i="3" s="1"/>
  <c r="AV359" i="3" s="1"/>
  <c r="BG243" i="4"/>
  <c r="AM152" i="28" s="1"/>
  <c r="AM60" i="28" s="1"/>
  <c r="BL251" i="3"/>
  <c r="BF119" i="4"/>
  <c r="BI404" i="3"/>
  <c r="BJ142" i="3"/>
  <c r="BJ381" i="3"/>
  <c r="BJ403" i="3"/>
  <c r="BC19" i="4"/>
  <c r="BC57" i="4" s="1"/>
  <c r="BM245" i="3"/>
  <c r="BM190" i="3"/>
  <c r="BM141" i="3"/>
  <c r="BM196" i="3"/>
  <c r="BM174" i="3"/>
  <c r="BM448" i="3"/>
  <c r="BM158" i="3"/>
  <c r="BM447" i="3"/>
  <c r="BM157" i="3"/>
  <c r="BM461" i="3"/>
  <c r="BM452" i="3"/>
  <c r="BG476" i="4"/>
  <c r="BG120" i="4"/>
  <c r="BM229" i="3"/>
  <c r="BM117" i="3"/>
  <c r="BF494" i="4"/>
  <c r="BF501" i="4" s="1"/>
  <c r="BG244" i="4"/>
  <c r="BE2" i="3"/>
  <c r="BE3" i="3"/>
  <c r="AY3" i="4" s="1"/>
  <c r="AY1" i="4"/>
  <c r="AY2" i="4" s="1"/>
  <c r="BG236" i="4"/>
  <c r="BG283" i="4" s="1"/>
  <c r="BJ169" i="3"/>
  <c r="BJ289" i="3"/>
  <c r="BJ226" i="3"/>
  <c r="BF252" i="4"/>
  <c r="BI225" i="3"/>
  <c r="BI322" i="3"/>
  <c r="BI197" i="3"/>
  <c r="BI252" i="3"/>
  <c r="BI187" i="3"/>
  <c r="BI46" i="3" s="1"/>
  <c r="BI312" i="3"/>
  <c r="BI288" i="3"/>
  <c r="BI302" i="3" s="1"/>
  <c r="BI421" i="3"/>
  <c r="BK385" i="3"/>
  <c r="BE39" i="4"/>
  <c r="BE49" i="4" s="1"/>
  <c r="BI423" i="3"/>
  <c r="U40" i="4"/>
  <c r="BJ112" i="3"/>
  <c r="BJ247" i="3"/>
  <c r="BJ137" i="3"/>
  <c r="BF413" i="4"/>
  <c r="BF423" i="4" s="1"/>
  <c r="BJ114" i="3"/>
  <c r="BI222" i="3"/>
  <c r="BG703" i="4"/>
  <c r="BG271" i="4"/>
  <c r="BB310" i="4"/>
  <c r="BF312" i="4"/>
  <c r="BF331" i="4"/>
  <c r="BF402" i="4"/>
  <c r="BL82" i="3"/>
  <c r="BH391" i="3"/>
  <c r="BH462" i="3" s="1"/>
  <c r="N542" i="3"/>
  <c r="BD542" i="3"/>
  <c r="M543" i="3"/>
  <c r="BB192" i="4"/>
  <c r="BC545" i="3"/>
  <c r="L545" i="3"/>
  <c r="X221" i="14"/>
  <c r="Y221" i="14"/>
  <c r="P544" i="3"/>
  <c r="BE544" i="3"/>
  <c r="BF242" i="4"/>
  <c r="AL151" i="28" s="1"/>
  <c r="AL55" i="28" s="1"/>
  <c r="BL161" i="3"/>
  <c r="BL451" i="3"/>
  <c r="BL460" i="3"/>
  <c r="BL100" i="3"/>
  <c r="BL227" i="3"/>
  <c r="BL323" i="3"/>
  <c r="BB344" i="4"/>
  <c r="BL120" i="3"/>
  <c r="BL230" i="3"/>
  <c r="BL140" i="3"/>
  <c r="BL250" i="3"/>
  <c r="BL65" i="3"/>
  <c r="BF455" i="4"/>
  <c r="BF270" i="4"/>
  <c r="BF271" i="4"/>
  <c r="BF17" i="4"/>
  <c r="BF55" i="4" s="1"/>
  <c r="BF346" i="4"/>
  <c r="BF417" i="4"/>
  <c r="BF419" i="4"/>
  <c r="BF426" i="4" s="1"/>
  <c r="S260" i="4"/>
  <c r="S407" i="4" s="1"/>
  <c r="S692" i="4"/>
  <c r="S184" i="4"/>
  <c r="S106" i="4"/>
  <c r="BF291" i="4"/>
  <c r="BL66" i="3"/>
  <c r="BF18" i="4"/>
  <c r="BF56" i="4" s="1"/>
  <c r="BF387" i="4"/>
  <c r="BF430" i="4" s="1"/>
  <c r="BF168" i="4"/>
  <c r="BK389" i="3"/>
  <c r="BF700" i="4"/>
  <c r="BF118" i="4"/>
  <c r="BF126" i="4" s="1"/>
  <c r="BJ390" i="3"/>
  <c r="BF46" i="4"/>
  <c r="BL537" i="3" s="1"/>
  <c r="BJ290" i="3"/>
  <c r="BK118" i="3"/>
  <c r="BJ53" i="3"/>
  <c r="BH576" i="3"/>
  <c r="BB114" i="4"/>
  <c r="BB267" i="4"/>
  <c r="BB268" i="4"/>
  <c r="BI67" i="3"/>
  <c r="BC389" i="4"/>
  <c r="BE509" i="4"/>
  <c r="BH41" i="3"/>
  <c r="BH43" i="3" s="1"/>
  <c r="BH372" i="3"/>
  <c r="BK42" i="3"/>
  <c r="BH353" i="3"/>
  <c r="BH355" i="3" s="1"/>
  <c r="BH156" i="3"/>
  <c r="BE399" i="4"/>
  <c r="AA8" i="9"/>
  <c r="AA10" i="9" s="1"/>
  <c r="AB10" i="9" s="1"/>
  <c r="AB30" i="9" s="1"/>
  <c r="Z10" i="9"/>
  <c r="AM62" i="28" l="1"/>
  <c r="AM63" i="28"/>
  <c r="AP90" i="28"/>
  <c r="AP89" i="28"/>
  <c r="AL58" i="28"/>
  <c r="AL57" i="28"/>
  <c r="AN79" i="28"/>
  <c r="AN78" i="28"/>
  <c r="AC90" i="28"/>
  <c r="AC89" i="28"/>
  <c r="Z89" i="28"/>
  <c r="Z90" i="28"/>
  <c r="AE90" i="28"/>
  <c r="AE89" i="28"/>
  <c r="BK358" i="4"/>
  <c r="AQ159" i="28"/>
  <c r="AQ87" i="28" s="1"/>
  <c r="AG2" i="28"/>
  <c r="BF288" i="4"/>
  <c r="BG289" i="4"/>
  <c r="BH132" i="4"/>
  <c r="BH359" i="4"/>
  <c r="AH10" i="4"/>
  <c r="M33" i="3"/>
  <c r="M356" i="3" s="1"/>
  <c r="AG10" i="4"/>
  <c r="BS195" i="3"/>
  <c r="AR195" i="3"/>
  <c r="AS195" i="3" s="1"/>
  <c r="BT195" i="3" s="1"/>
  <c r="BS99" i="3"/>
  <c r="AR99" i="3"/>
  <c r="AS99" i="3" s="1"/>
  <c r="BT99" i="3" s="1"/>
  <c r="BS540" i="3"/>
  <c r="AR540" i="3"/>
  <c r="AS540" i="3" s="1"/>
  <c r="BT540" i="3" s="1"/>
  <c r="AO431" i="3"/>
  <c r="BR431" i="3" s="1"/>
  <c r="BS317" i="3"/>
  <c r="AW521" i="3"/>
  <c r="BR405" i="3"/>
  <c r="AP405" i="3"/>
  <c r="AQ405" i="3" s="1"/>
  <c r="BR432" i="3"/>
  <c r="AP432" i="3"/>
  <c r="AQ432" i="3" s="1"/>
  <c r="AR432" i="3" s="1"/>
  <c r="AS432" i="3" s="1"/>
  <c r="BT432" i="3" s="1"/>
  <c r="BR194" i="3"/>
  <c r="AP194" i="3"/>
  <c r="AQ194" i="3" s="1"/>
  <c r="BR191" i="3"/>
  <c r="AP191" i="3"/>
  <c r="AQ191" i="3" s="1"/>
  <c r="AR191" i="3" s="1"/>
  <c r="AS191" i="3" s="1"/>
  <c r="BT191" i="3" s="1"/>
  <c r="BR175" i="3"/>
  <c r="AP175" i="3"/>
  <c r="AQ175" i="3" s="1"/>
  <c r="BR387" i="3"/>
  <c r="AP387" i="3"/>
  <c r="AQ387" i="3" s="1"/>
  <c r="BR427" i="3"/>
  <c r="AP427" i="3"/>
  <c r="AQ427" i="3" s="1"/>
  <c r="BR465" i="3"/>
  <c r="AP465" i="3"/>
  <c r="AQ465" i="3" s="1"/>
  <c r="BR538" i="3"/>
  <c r="AP538" i="3"/>
  <c r="AQ538" i="3" s="1"/>
  <c r="BR172" i="3"/>
  <c r="AP172" i="3"/>
  <c r="AQ172" i="3" s="1"/>
  <c r="BR429" i="3"/>
  <c r="AP429" i="3"/>
  <c r="AQ429" i="3" s="1"/>
  <c r="AR429" i="3" s="1"/>
  <c r="AS429" i="3" s="1"/>
  <c r="BT429" i="3" s="1"/>
  <c r="BR291" i="3"/>
  <c r="AP291" i="3"/>
  <c r="AQ291" i="3" s="1"/>
  <c r="BR106" i="3"/>
  <c r="AP106" i="3"/>
  <c r="AQ106" i="3" s="1"/>
  <c r="BR286" i="3"/>
  <c r="AP286" i="3"/>
  <c r="AQ286" i="3" s="1"/>
  <c r="BR541" i="3"/>
  <c r="AP541" i="3"/>
  <c r="AQ541" i="3" s="1"/>
  <c r="BR433" i="3"/>
  <c r="AP433" i="3"/>
  <c r="AQ433" i="3" s="1"/>
  <c r="AR433" i="3" s="1"/>
  <c r="AS433" i="3" s="1"/>
  <c r="BT433" i="3" s="1"/>
  <c r="BL315" i="4"/>
  <c r="AO315" i="4"/>
  <c r="AB159" i="28" s="1"/>
  <c r="AB87" i="28" s="1"/>
  <c r="AD10" i="4"/>
  <c r="AX93" i="3"/>
  <c r="AX86" i="3" s="1"/>
  <c r="AW91" i="3"/>
  <c r="BQ539" i="3"/>
  <c r="AN539" i="3"/>
  <c r="AO539" i="3" s="1"/>
  <c r="BQ285" i="3"/>
  <c r="AN285" i="3"/>
  <c r="BQ107" i="3"/>
  <c r="AN107" i="3"/>
  <c r="AO107" i="3" s="1"/>
  <c r="BK190" i="4"/>
  <c r="AM190" i="4"/>
  <c r="AN190" i="4" s="1"/>
  <c r="I128" i="4"/>
  <c r="I212" i="4"/>
  <c r="I583" i="4"/>
  <c r="I215" i="4"/>
  <c r="AW78" i="4"/>
  <c r="AW79" i="4" s="1"/>
  <c r="AW124" i="4" s="1"/>
  <c r="I54" i="4"/>
  <c r="I210" i="4"/>
  <c r="I157" i="4"/>
  <c r="AW451" i="4"/>
  <c r="AW452" i="4" s="1"/>
  <c r="AW499" i="4" s="1"/>
  <c r="I135" i="4"/>
  <c r="I502" i="4"/>
  <c r="I580" i="4"/>
  <c r="AW10" i="4"/>
  <c r="AW11" i="4" s="1"/>
  <c r="AW50" i="4" s="1"/>
  <c r="I187" i="4"/>
  <c r="I721" i="4"/>
  <c r="I435" i="4"/>
  <c r="AW228" i="4"/>
  <c r="AW229" i="4" s="1"/>
  <c r="AW277" i="4" s="1"/>
  <c r="I53" i="4"/>
  <c r="I720" i="4"/>
  <c r="I366" i="4"/>
  <c r="AW379" i="4"/>
  <c r="AW380" i="4" s="1"/>
  <c r="AW424" i="4" s="1"/>
  <c r="I651" i="4"/>
  <c r="I695" i="4"/>
  <c r="I513" i="4"/>
  <c r="I109" i="4"/>
  <c r="I438" i="4"/>
  <c r="I649" i="4"/>
  <c r="I138" i="4"/>
  <c r="I719" i="4"/>
  <c r="I724" i="4"/>
  <c r="I127" i="4"/>
  <c r="AW596" i="4"/>
  <c r="AW597" i="4" s="1"/>
  <c r="AW638" i="4" s="1"/>
  <c r="I61" i="4"/>
  <c r="I292" i="4"/>
  <c r="I295" i="4"/>
  <c r="AW664" i="4"/>
  <c r="AW665" i="4" s="1"/>
  <c r="AW710" i="4" s="1"/>
  <c r="I665" i="4"/>
  <c r="I710" i="4" s="1"/>
  <c r="I63" i="4"/>
  <c r="I364" i="4"/>
  <c r="I510" i="4"/>
  <c r="AW308" i="4"/>
  <c r="AW309" i="4" s="1"/>
  <c r="AW353" i="4" s="1"/>
  <c r="AW156" i="4"/>
  <c r="AW157" i="4" s="1"/>
  <c r="I11" i="4"/>
  <c r="I50" i="4" s="1"/>
  <c r="I554" i="4"/>
  <c r="AW525" i="4"/>
  <c r="AW526" i="4" s="1"/>
  <c r="I59" i="4"/>
  <c r="I61" i="3"/>
  <c r="BB60" i="3"/>
  <c r="BB61" i="3" s="1"/>
  <c r="AA314" i="14"/>
  <c r="Z118" i="14"/>
  <c r="AA46" i="14"/>
  <c r="AA249" i="14"/>
  <c r="AA290" i="14"/>
  <c r="AA74" i="14"/>
  <c r="Z288" i="14"/>
  <c r="Z290" i="14"/>
  <c r="AA72" i="14"/>
  <c r="Z315" i="14"/>
  <c r="AA33" i="14"/>
  <c r="M1" i="4"/>
  <c r="M2" i="4" s="1"/>
  <c r="AA291" i="14"/>
  <c r="Z289" i="14"/>
  <c r="AA300" i="14"/>
  <c r="AA213" i="14"/>
  <c r="AA237" i="14" s="1"/>
  <c r="AA315" i="14"/>
  <c r="N3" i="3"/>
  <c r="AA168" i="14"/>
  <c r="Z72" i="14"/>
  <c r="AA283" i="14"/>
  <c r="AA32" i="14"/>
  <c r="Z25" i="14"/>
  <c r="AA98" i="14"/>
  <c r="Z45" i="14"/>
  <c r="Z318" i="14"/>
  <c r="Z300" i="14"/>
  <c r="AA316" i="14"/>
  <c r="Z313" i="14"/>
  <c r="Z33" i="14"/>
  <c r="Z97" i="14"/>
  <c r="AA24" i="14"/>
  <c r="Z285" i="14"/>
  <c r="Z302" i="14"/>
  <c r="Z317" i="14"/>
  <c r="Z168" i="14"/>
  <c r="AA285" i="14"/>
  <c r="AA288" i="14"/>
  <c r="Z14" i="14"/>
  <c r="AA306" i="14"/>
  <c r="AA282" i="14"/>
  <c r="AA14" i="14"/>
  <c r="Z310" i="14"/>
  <c r="AA118" i="14"/>
  <c r="AA190" i="14"/>
  <c r="AA23" i="14"/>
  <c r="Z212" i="14"/>
  <c r="Z22" i="14"/>
  <c r="AA212" i="14"/>
  <c r="AA317" i="14"/>
  <c r="Z24" i="14"/>
  <c r="Z303" i="14"/>
  <c r="Z282" i="14"/>
  <c r="Z291" i="14"/>
  <c r="Z190" i="14"/>
  <c r="Z222" i="14"/>
  <c r="Z314" i="14"/>
  <c r="AA222" i="14"/>
  <c r="Z243" i="14"/>
  <c r="Z213" i="14"/>
  <c r="Z237" i="14" s="1"/>
  <c r="AA25" i="14"/>
  <c r="AA35" i="14"/>
  <c r="AA22" i="14"/>
  <c r="AA97" i="14"/>
  <c r="AA313" i="14"/>
  <c r="Z74" i="14"/>
  <c r="Z32" i="14"/>
  <c r="Z39" i="14"/>
  <c r="Z35" i="14"/>
  <c r="Z98" i="14"/>
  <c r="Z23" i="14"/>
  <c r="Z28" i="14"/>
  <c r="Z306" i="14"/>
  <c r="Z241" i="14"/>
  <c r="AA307" i="14"/>
  <c r="AA309" i="14" s="1"/>
  <c r="AA298" i="14"/>
  <c r="AA243" i="14"/>
  <c r="AA28" i="14"/>
  <c r="Z249" i="14"/>
  <c r="Z46" i="14"/>
  <c r="Z299" i="14"/>
  <c r="Z298" i="14"/>
  <c r="AA289" i="14"/>
  <c r="Z304" i="14"/>
  <c r="AA241" i="14"/>
  <c r="Z283" i="14"/>
  <c r="O1" i="3"/>
  <c r="AA310" i="14"/>
  <c r="Z16" i="14"/>
  <c r="AA304" i="14"/>
  <c r="AA299" i="14"/>
  <c r="Z307" i="14"/>
  <c r="Z309" i="14" s="1"/>
  <c r="AA302" i="14"/>
  <c r="Z316" i="14"/>
  <c r="AA45" i="14"/>
  <c r="AA318" i="14"/>
  <c r="AA39" i="14"/>
  <c r="AA303" i="14"/>
  <c r="AA16" i="14"/>
  <c r="N2" i="3"/>
  <c r="AV156" i="4"/>
  <c r="AV157" i="4" s="1"/>
  <c r="AV201" i="4" s="1"/>
  <c r="H157" i="4"/>
  <c r="H201" i="4" s="1"/>
  <c r="J128" i="4"/>
  <c r="J157" i="4"/>
  <c r="J651" i="4"/>
  <c r="J215" i="4"/>
  <c r="J212" i="4"/>
  <c r="J138" i="4"/>
  <c r="J580" i="4"/>
  <c r="J53" i="4"/>
  <c r="J724" i="4"/>
  <c r="J438" i="4"/>
  <c r="J11" i="4"/>
  <c r="J127" i="4"/>
  <c r="J135" i="4"/>
  <c r="J61" i="4"/>
  <c r="J721" i="4"/>
  <c r="J366" i="4"/>
  <c r="J63" i="4"/>
  <c r="J719" i="4"/>
  <c r="J364" i="4"/>
  <c r="J295" i="4"/>
  <c r="J54" i="4"/>
  <c r="J513" i="4"/>
  <c r="J502" i="4"/>
  <c r="J665" i="4"/>
  <c r="J510" i="4"/>
  <c r="J210" i="4"/>
  <c r="J583" i="4"/>
  <c r="J435" i="4"/>
  <c r="J59" i="4"/>
  <c r="J292" i="4"/>
  <c r="J720" i="4"/>
  <c r="J649" i="4"/>
  <c r="L5" i="3"/>
  <c r="L3" i="4"/>
  <c r="M5" i="3"/>
  <c r="BC32" i="3"/>
  <c r="BC479" i="3"/>
  <c r="BC503" i="3" s="1"/>
  <c r="BP392" i="3"/>
  <c r="AL392" i="3"/>
  <c r="AM392" i="3" s="1"/>
  <c r="AJ308" i="4"/>
  <c r="AK342" i="4"/>
  <c r="BJ495" i="4"/>
  <c r="AK495" i="4"/>
  <c r="AL495" i="4" s="1"/>
  <c r="BJ314" i="4"/>
  <c r="AK314" i="4"/>
  <c r="AK420" i="4"/>
  <c r="BJ311" i="4"/>
  <c r="AK311" i="4"/>
  <c r="AL664" i="4"/>
  <c r="AM664" i="4" s="1"/>
  <c r="AK430" i="3"/>
  <c r="BL96" i="3"/>
  <c r="AK139" i="3"/>
  <c r="AL139" i="3" s="1"/>
  <c r="AK135" i="3"/>
  <c r="AL135" i="3" s="1"/>
  <c r="AK136" i="3"/>
  <c r="AL136" i="3" s="1"/>
  <c r="BO190" i="3"/>
  <c r="AK190" i="3"/>
  <c r="BI454" i="4"/>
  <c r="BI211" i="4"/>
  <c r="BI475" i="4"/>
  <c r="BI675" i="4"/>
  <c r="BI718" i="4" s="1"/>
  <c r="AI675" i="4"/>
  <c r="AI462" i="4" s="1"/>
  <c r="AJ462" i="4" s="1"/>
  <c r="AK462" i="4" s="1"/>
  <c r="AL462" i="4" s="1"/>
  <c r="AM462" i="4" s="1"/>
  <c r="BI313" i="4"/>
  <c r="AJ160" i="4"/>
  <c r="BJ349" i="4"/>
  <c r="AJ420" i="4"/>
  <c r="BJ420" i="4" s="1"/>
  <c r="AJ161" i="4"/>
  <c r="BI319" i="4"/>
  <c r="BJ342" i="4"/>
  <c r="BJ352" i="4" s="1"/>
  <c r="AJ163" i="4"/>
  <c r="AK453" i="3"/>
  <c r="BI85" i="4"/>
  <c r="BI129" i="4" s="1"/>
  <c r="AJ86" i="4"/>
  <c r="BI272" i="4"/>
  <c r="BI279" i="4" s="1"/>
  <c r="BH386" i="4"/>
  <c r="BH429" i="4" s="1"/>
  <c r="BG195" i="4"/>
  <c r="BI278" i="4"/>
  <c r="BO246" i="3"/>
  <c r="BO136" i="3"/>
  <c r="AW520" i="3"/>
  <c r="BO249" i="3"/>
  <c r="BO139" i="3"/>
  <c r="BO245" i="3"/>
  <c r="BO135" i="3"/>
  <c r="AK452" i="3"/>
  <c r="BH672" i="4"/>
  <c r="BH716" i="4" s="1"/>
  <c r="BH162" i="4"/>
  <c r="BH471" i="4"/>
  <c r="BI495" i="4"/>
  <c r="BH463" i="4"/>
  <c r="BH112" i="4"/>
  <c r="BH123" i="4" s="1"/>
  <c r="BH457" i="4"/>
  <c r="BH243" i="4"/>
  <c r="AN152" i="28" s="1"/>
  <c r="AN60" i="28" s="1"/>
  <c r="BI420" i="4"/>
  <c r="BI193" i="4"/>
  <c r="BH87" i="4"/>
  <c r="BB369" i="4"/>
  <c r="BF503" i="4"/>
  <c r="W60" i="3"/>
  <c r="BI316" i="3"/>
  <c r="BI318" i="3" s="1"/>
  <c r="BF318" i="4"/>
  <c r="BF357" i="4"/>
  <c r="BG430" i="4"/>
  <c r="BM451" i="3"/>
  <c r="BN196" i="3"/>
  <c r="BN174" i="3"/>
  <c r="BN119" i="3"/>
  <c r="BN229" i="3"/>
  <c r="BN452" i="3"/>
  <c r="BN461" i="3"/>
  <c r="BN447" i="3"/>
  <c r="BN157" i="3"/>
  <c r="BN448" i="3"/>
  <c r="BN158" i="3"/>
  <c r="BN117" i="3"/>
  <c r="BJ423" i="3"/>
  <c r="BG402" i="4"/>
  <c r="BG35" i="4"/>
  <c r="BH194" i="4"/>
  <c r="BG312" i="4"/>
  <c r="BH196" i="4"/>
  <c r="AT721" i="4"/>
  <c r="BH120" i="4"/>
  <c r="BG385" i="4"/>
  <c r="BG458" i="4"/>
  <c r="BG504" i="4" s="1"/>
  <c r="BH684" i="4"/>
  <c r="BI346" i="3"/>
  <c r="AV424" i="3"/>
  <c r="AV456" i="3"/>
  <c r="AV466" i="3"/>
  <c r="AV482" i="3" s="1"/>
  <c r="AV506" i="3" s="1"/>
  <c r="AV463" i="3"/>
  <c r="BG3" i="3"/>
  <c r="BG2" i="3"/>
  <c r="BA1" i="4"/>
  <c r="BA2" i="4" s="1"/>
  <c r="BL79" i="3"/>
  <c r="AK19" i="32" s="1"/>
  <c r="BJ421" i="3"/>
  <c r="BL70" i="3"/>
  <c r="AK7" i="32" s="1"/>
  <c r="BF434" i="4"/>
  <c r="BM250" i="3"/>
  <c r="BM140" i="3"/>
  <c r="BM230" i="3"/>
  <c r="BM120" i="3"/>
  <c r="BM323" i="3"/>
  <c r="BM227" i="3"/>
  <c r="BG234" i="4"/>
  <c r="BG419" i="4"/>
  <c r="BG426" i="4" s="1"/>
  <c r="BF21" i="4"/>
  <c r="BG417" i="4"/>
  <c r="BG346" i="4"/>
  <c r="BG413" i="4"/>
  <c r="BG423" i="4" s="1"/>
  <c r="BG266" i="4"/>
  <c r="BG276" i="4" s="1"/>
  <c r="AZ1" i="4"/>
  <c r="AZ2" i="4" s="1"/>
  <c r="BF3" i="3"/>
  <c r="AZ3" i="4" s="1"/>
  <c r="BF2" i="3"/>
  <c r="BG46" i="4"/>
  <c r="BM537" i="3" s="1"/>
  <c r="BG331" i="4"/>
  <c r="BM251" i="3"/>
  <c r="BG459" i="4"/>
  <c r="BG505" i="4" s="1"/>
  <c r="BM80" i="3"/>
  <c r="BJ224" i="3"/>
  <c r="BK137" i="3"/>
  <c r="BK290" i="3"/>
  <c r="BF34" i="4"/>
  <c r="BF22" i="4"/>
  <c r="BL69" i="3"/>
  <c r="AK5" i="32" s="1"/>
  <c r="BI426" i="3"/>
  <c r="BI382" i="3"/>
  <c r="BF488" i="4"/>
  <c r="BF498" i="4" s="1"/>
  <c r="BJ138" i="3"/>
  <c r="BI407" i="3"/>
  <c r="BK116" i="3"/>
  <c r="BI242" i="3"/>
  <c r="BF43" i="4"/>
  <c r="BJ223" i="3"/>
  <c r="BJ168" i="3"/>
  <c r="BI321" i="3"/>
  <c r="BI386" i="3"/>
  <c r="BJ192" i="3"/>
  <c r="BJ170" i="3"/>
  <c r="BI45" i="3"/>
  <c r="BI314" i="3"/>
  <c r="BJ167" i="3"/>
  <c r="BI383" i="3"/>
  <c r="BI408" i="3"/>
  <c r="BI51" i="3"/>
  <c r="BM460" i="3"/>
  <c r="BM161" i="3"/>
  <c r="BM100" i="3"/>
  <c r="BG17" i="4"/>
  <c r="BG55" i="4" s="1"/>
  <c r="BG21" i="4"/>
  <c r="BB381" i="4"/>
  <c r="BC381" i="4"/>
  <c r="BE702" i="4"/>
  <c r="BE711" i="4" s="1"/>
  <c r="BE704" i="4"/>
  <c r="BC310" i="4"/>
  <c r="S481" i="4"/>
  <c r="X223" i="14"/>
  <c r="Y223" i="14"/>
  <c r="AW459" i="3"/>
  <c r="AW454" i="3"/>
  <c r="AW444" i="3" s="1"/>
  <c r="AW350" i="3"/>
  <c r="AW351" i="3" s="1"/>
  <c r="AW359" i="3" s="1"/>
  <c r="Q544" i="3"/>
  <c r="BH402" i="3"/>
  <c r="M545" i="3"/>
  <c r="BD543" i="3"/>
  <c r="O542" i="3"/>
  <c r="N543" i="3"/>
  <c r="Z220" i="14"/>
  <c r="AA220" i="14"/>
  <c r="BI391" i="3"/>
  <c r="BI462" i="3" s="1"/>
  <c r="BF390" i="4"/>
  <c r="BF432" i="4" s="1"/>
  <c r="BL52" i="3"/>
  <c r="BF701" i="4"/>
  <c r="BF727" i="4" s="1"/>
  <c r="BK173" i="3"/>
  <c r="BF116" i="4"/>
  <c r="BK228" i="3"/>
  <c r="BK324" i="3"/>
  <c r="BF45" i="4"/>
  <c r="BF52" i="4" s="1"/>
  <c r="BB141" i="4"/>
  <c r="BB218" i="4"/>
  <c r="BB298" i="4"/>
  <c r="BB414" i="4"/>
  <c r="BH446" i="3"/>
  <c r="BK502" i="3"/>
  <c r="BF399" i="4"/>
  <c r="BF328" i="4"/>
  <c r="BK200" i="4" l="1"/>
  <c r="AF3" i="32"/>
  <c r="BF58" i="4"/>
  <c r="BJ462" i="4"/>
  <c r="AI507" i="4"/>
  <c r="AQ90" i="28"/>
  <c r="AQ89" i="28"/>
  <c r="AN63" i="28"/>
  <c r="AN62" i="28"/>
  <c r="AB90" i="28"/>
  <c r="AB89" i="28"/>
  <c r="J201" i="4"/>
  <c r="BL358" i="4"/>
  <c r="AR159" i="28"/>
  <c r="AR87" i="28" s="1"/>
  <c r="BI361" i="4"/>
  <c r="AO157" i="28"/>
  <c r="AO76" i="28" s="1"/>
  <c r="BA3" i="4"/>
  <c r="AG3" i="28"/>
  <c r="AH2" i="28"/>
  <c r="BH289" i="4"/>
  <c r="BH131" i="4"/>
  <c r="AP431" i="3"/>
  <c r="AQ431" i="3" s="1"/>
  <c r="AR431" i="3" s="1"/>
  <c r="AS431" i="3" s="1"/>
  <c r="BT431" i="3" s="1"/>
  <c r="J50" i="4"/>
  <c r="AI60" i="3"/>
  <c r="N33" i="3"/>
  <c r="N356" i="3" s="1"/>
  <c r="N357" i="3" s="1"/>
  <c r="N481" i="3" s="1"/>
  <c r="N505" i="3" s="1"/>
  <c r="AH60" i="3"/>
  <c r="BS286" i="3"/>
  <c r="AR286" i="3"/>
  <c r="AS286" i="3" s="1"/>
  <c r="BT286" i="3" s="1"/>
  <c r="BS172" i="3"/>
  <c r="AR172" i="3"/>
  <c r="AS172" i="3" s="1"/>
  <c r="BT172" i="3" s="1"/>
  <c r="BS291" i="3"/>
  <c r="AR291" i="3"/>
  <c r="AS291" i="3" s="1"/>
  <c r="BT291" i="3" s="1"/>
  <c r="BS538" i="3"/>
  <c r="AR538" i="3"/>
  <c r="AS538" i="3" s="1"/>
  <c r="BT538" i="3" s="1"/>
  <c r="BS387" i="3"/>
  <c r="AR387" i="3"/>
  <c r="AS387" i="3" s="1"/>
  <c r="BT387" i="3" s="1"/>
  <c r="BS194" i="3"/>
  <c r="AR194" i="3"/>
  <c r="AS194" i="3" s="1"/>
  <c r="BT194" i="3" s="1"/>
  <c r="BS106" i="3"/>
  <c r="AR106" i="3"/>
  <c r="AS106" i="3" s="1"/>
  <c r="BT106" i="3" s="1"/>
  <c r="BS427" i="3"/>
  <c r="AR427" i="3"/>
  <c r="AS427" i="3" s="1"/>
  <c r="BT427" i="3" s="1"/>
  <c r="BS405" i="3"/>
  <c r="AR405" i="3"/>
  <c r="AS405" i="3" s="1"/>
  <c r="BT405" i="3" s="1"/>
  <c r="BS541" i="3"/>
  <c r="AR541" i="3"/>
  <c r="AS541" i="3" s="1"/>
  <c r="BT541" i="3" s="1"/>
  <c r="BS465" i="3"/>
  <c r="AR465" i="3"/>
  <c r="AS465" i="3" s="1"/>
  <c r="BT465" i="3" s="1"/>
  <c r="BS175" i="3"/>
  <c r="AR175" i="3"/>
  <c r="AS175" i="3" s="1"/>
  <c r="BT175" i="3" s="1"/>
  <c r="BM273" i="4"/>
  <c r="BM315" i="4"/>
  <c r="AQ315" i="4"/>
  <c r="AD159" i="28" s="1"/>
  <c r="AD87" i="28" s="1"/>
  <c r="BS433" i="3"/>
  <c r="BS429" i="3"/>
  <c r="BS432" i="3"/>
  <c r="BS191" i="3"/>
  <c r="BR539" i="3"/>
  <c r="AP539" i="3"/>
  <c r="AQ539" i="3" s="1"/>
  <c r="BR107" i="3"/>
  <c r="AP107" i="3"/>
  <c r="AQ107" i="3" s="1"/>
  <c r="AR107" i="3" s="1"/>
  <c r="AS107" i="3" s="1"/>
  <c r="BT107" i="3" s="1"/>
  <c r="BL190" i="4"/>
  <c r="AO190" i="4"/>
  <c r="AP190" i="4" s="1"/>
  <c r="BL320" i="4"/>
  <c r="AE60" i="3"/>
  <c r="AO285" i="3"/>
  <c r="BQ392" i="3"/>
  <c r="AN392" i="3"/>
  <c r="AO392" i="3" s="1"/>
  <c r="BK197" i="4"/>
  <c r="BK495" i="4"/>
  <c r="AM495" i="4"/>
  <c r="AN495" i="4" s="1"/>
  <c r="AN664" i="4"/>
  <c r="Z232" i="14"/>
  <c r="J710" i="4"/>
  <c r="Z40" i="14"/>
  <c r="Z73" i="14"/>
  <c r="AK308" i="4"/>
  <c r="L533" i="3"/>
  <c r="L532" i="3"/>
  <c r="L525" i="3"/>
  <c r="L563" i="3"/>
  <c r="L22" i="3" s="1"/>
  <c r="L564" i="3"/>
  <c r="L26" i="3" s="1"/>
  <c r="L536" i="3"/>
  <c r="L526" i="3"/>
  <c r="L528" i="3"/>
  <c r="L524" i="3"/>
  <c r="BD60" i="3"/>
  <c r="BD61" i="3" s="1"/>
  <c r="BD29" i="3"/>
  <c r="BD33" i="3"/>
  <c r="L61" i="3"/>
  <c r="K5" i="4"/>
  <c r="BD56" i="3"/>
  <c r="Z229" i="14"/>
  <c r="Z230" i="14"/>
  <c r="AA40" i="14"/>
  <c r="AW201" i="4"/>
  <c r="AA232" i="14"/>
  <c r="I693" i="4"/>
  <c r="I731" i="4"/>
  <c r="J732" i="4"/>
  <c r="J695" i="4" s="1"/>
  <c r="M3" i="4"/>
  <c r="AA73" i="14"/>
  <c r="M533" i="3"/>
  <c r="M532" i="3"/>
  <c r="M564" i="3"/>
  <c r="M26" i="3" s="1"/>
  <c r="M61" i="3"/>
  <c r="M528" i="3"/>
  <c r="M563" i="3"/>
  <c r="M22" i="3" s="1"/>
  <c r="M536" i="3"/>
  <c r="M525" i="3"/>
  <c r="M526" i="3"/>
  <c r="M524" i="3"/>
  <c r="L5" i="4"/>
  <c r="N1" i="4"/>
  <c r="O3" i="3"/>
  <c r="O2" i="3"/>
  <c r="P1" i="3"/>
  <c r="AA229" i="14"/>
  <c r="AA230" i="14"/>
  <c r="M357" i="3"/>
  <c r="M481" i="3" s="1"/>
  <c r="M505" i="3" s="1"/>
  <c r="BD356" i="3"/>
  <c r="BD357" i="3" s="1"/>
  <c r="BD481" i="3" s="1"/>
  <c r="BD505" i="3" s="1"/>
  <c r="I552" i="4"/>
  <c r="I590" i="4"/>
  <c r="J591" i="4"/>
  <c r="J554" i="4" s="1"/>
  <c r="I222" i="4"/>
  <c r="I185" i="4"/>
  <c r="J223" i="4"/>
  <c r="I201" i="4"/>
  <c r="I107" i="4"/>
  <c r="I145" i="4"/>
  <c r="J146" i="4"/>
  <c r="J109" i="4" s="1"/>
  <c r="AL249" i="3"/>
  <c r="AM139" i="3"/>
  <c r="AN139" i="3" s="1"/>
  <c r="BP452" i="3"/>
  <c r="AL452" i="3"/>
  <c r="BP453" i="3"/>
  <c r="AL453" i="3"/>
  <c r="AM453" i="3" s="1"/>
  <c r="AM136" i="3"/>
  <c r="AN136" i="3" s="1"/>
  <c r="AL246" i="3"/>
  <c r="BP190" i="3"/>
  <c r="AL190" i="3"/>
  <c r="AM190" i="3" s="1"/>
  <c r="AM135" i="3"/>
  <c r="AN135" i="3" s="1"/>
  <c r="BP430" i="3"/>
  <c r="AL430" i="3"/>
  <c r="AM430" i="3" s="1"/>
  <c r="BJ163" i="4"/>
  <c r="BJ206" i="4" s="1"/>
  <c r="AK163" i="4"/>
  <c r="BJ161" i="4"/>
  <c r="AK161" i="4"/>
  <c r="BJ160" i="4"/>
  <c r="AK160" i="4"/>
  <c r="AL311" i="4"/>
  <c r="AM311" i="4" s="1"/>
  <c r="AL314" i="4"/>
  <c r="AL342" i="4"/>
  <c r="BK349" i="4"/>
  <c r="AL420" i="4"/>
  <c r="BK420" i="4" s="1"/>
  <c r="BJ86" i="4"/>
  <c r="BJ130" i="4" s="1"/>
  <c r="AK86" i="4"/>
  <c r="BI255" i="4"/>
  <c r="BI89" i="4"/>
  <c r="AK119" i="3"/>
  <c r="AL119" i="3" s="1"/>
  <c r="AK158" i="3"/>
  <c r="AL158" i="3" s="1"/>
  <c r="AK245" i="3"/>
  <c r="BP245" i="3" s="1"/>
  <c r="BP135" i="3"/>
  <c r="AK117" i="3"/>
  <c r="AL117" i="3" s="1"/>
  <c r="AK157" i="3"/>
  <c r="AL157" i="3" s="1"/>
  <c r="AK246" i="3"/>
  <c r="BP246" i="3" s="1"/>
  <c r="BP136" i="3"/>
  <c r="BI2" i="3"/>
  <c r="AK249" i="3"/>
  <c r="BP249" i="3" s="1"/>
  <c r="BP139" i="3"/>
  <c r="AK174" i="3"/>
  <c r="AL174" i="3" s="1"/>
  <c r="BI456" i="4"/>
  <c r="BI134" i="4"/>
  <c r="BI671" i="4"/>
  <c r="BI715" i="4" s="1"/>
  <c r="AI671" i="4"/>
  <c r="AI458" i="4" s="1"/>
  <c r="AJ675" i="4"/>
  <c r="BI164" i="4"/>
  <c r="BI207" i="4" s="1"/>
  <c r="BI676" i="4"/>
  <c r="AI676" i="4"/>
  <c r="AI463" i="4" s="1"/>
  <c r="AJ101" i="4"/>
  <c r="AK101" i="4" s="1"/>
  <c r="AJ255" i="4"/>
  <c r="BI112" i="4"/>
  <c r="BI123" i="4" s="1"/>
  <c r="BI363" i="4"/>
  <c r="AJ313" i="4"/>
  <c r="AK313" i="4" s="1"/>
  <c r="AJ454" i="4"/>
  <c r="BI673" i="4"/>
  <c r="BI717" i="4" s="1"/>
  <c r="AI673" i="4"/>
  <c r="AK461" i="3"/>
  <c r="BP461" i="3" s="1"/>
  <c r="BI235" i="4"/>
  <c r="BI282" i="4" s="1"/>
  <c r="AK316" i="4"/>
  <c r="AM316" i="4" s="1"/>
  <c r="AO316" i="4" s="1"/>
  <c r="AQ316" i="4" s="1"/>
  <c r="BO117" i="3"/>
  <c r="BO447" i="3"/>
  <c r="BO157" i="3"/>
  <c r="BO452" i="3"/>
  <c r="BO461" i="3"/>
  <c r="BO119" i="3"/>
  <c r="BO229" i="3"/>
  <c r="BO196" i="3"/>
  <c r="BO174" i="3"/>
  <c r="BO448" i="3"/>
  <c r="BO158" i="3"/>
  <c r="BI101" i="4"/>
  <c r="BI196" i="4"/>
  <c r="BI203" i="4" s="1"/>
  <c r="AI672" i="4"/>
  <c r="AI459" i="4" s="1"/>
  <c r="BH391" i="4"/>
  <c r="BI316" i="4"/>
  <c r="BI90" i="4"/>
  <c r="BI386" i="4"/>
  <c r="BI429" i="4" s="1"/>
  <c r="BI270" i="4"/>
  <c r="BG462" i="4"/>
  <c r="BG507" i="4" s="1"/>
  <c r="U141" i="4"/>
  <c r="U727" i="4"/>
  <c r="U414" i="4"/>
  <c r="U489" i="4" s="1"/>
  <c r="U369" i="4"/>
  <c r="U298" i="4"/>
  <c r="U218" i="4"/>
  <c r="BC1" i="4"/>
  <c r="BC2" i="4" s="1"/>
  <c r="BF492" i="4"/>
  <c r="BG318" i="4"/>
  <c r="BG357" i="4"/>
  <c r="BH203" i="4"/>
  <c r="BH205" i="4"/>
  <c r="V489" i="4"/>
  <c r="BH244" i="4"/>
  <c r="BN251" i="3"/>
  <c r="BN141" i="3"/>
  <c r="BN227" i="3"/>
  <c r="BN323" i="3"/>
  <c r="BN230" i="3"/>
  <c r="BN120" i="3"/>
  <c r="BN140" i="3"/>
  <c r="BN250" i="3"/>
  <c r="BG455" i="4"/>
  <c r="BH271" i="4"/>
  <c r="BH270" i="4"/>
  <c r="BH236" i="4"/>
  <c r="BH283" i="4" s="1"/>
  <c r="BG118" i="4"/>
  <c r="BG126" i="4" s="1"/>
  <c r="BH348" i="4"/>
  <c r="BH355" i="4" s="1"/>
  <c r="BH346" i="4"/>
  <c r="BH476" i="4"/>
  <c r="BH705" i="4"/>
  <c r="BH712" i="4" s="1"/>
  <c r="AT714" i="4"/>
  <c r="BH266" i="4"/>
  <c r="BH276" i="4" s="1"/>
  <c r="BG167" i="4"/>
  <c r="BG209" i="4" s="1"/>
  <c r="BH46" i="4"/>
  <c r="BN537" i="3" s="1"/>
  <c r="BH195" i="4"/>
  <c r="BH193" i="4"/>
  <c r="BH202" i="4" s="1"/>
  <c r="AT724" i="4"/>
  <c r="BG291" i="4"/>
  <c r="BH419" i="3"/>
  <c r="AV484" i="3"/>
  <c r="AV467" i="3"/>
  <c r="AV483" i="3" s="1"/>
  <c r="AV507" i="3" s="1"/>
  <c r="AV522" i="3"/>
  <c r="AV581" i="3" s="1"/>
  <c r="AV523" i="3"/>
  <c r="BB1" i="4"/>
  <c r="BB2" i="4" s="1"/>
  <c r="BH3" i="3"/>
  <c r="BH2" i="3"/>
  <c r="BG18" i="4"/>
  <c r="BG56" i="4" s="1"/>
  <c r="BK287" i="3"/>
  <c r="BG700" i="4"/>
  <c r="BM96" i="3"/>
  <c r="BM82" i="3"/>
  <c r="BG168" i="4"/>
  <c r="BM52" i="3"/>
  <c r="BG494" i="4"/>
  <c r="BG501" i="4" s="1"/>
  <c r="BL116" i="3"/>
  <c r="BG179" i="4"/>
  <c r="BK142" i="3"/>
  <c r="BK381" i="3"/>
  <c r="BK289" i="3"/>
  <c r="BK113" i="3"/>
  <c r="BK171" i="3"/>
  <c r="BJ322" i="3"/>
  <c r="BJ225" i="3"/>
  <c r="BK112" i="3"/>
  <c r="BI422" i="3"/>
  <c r="BI337" i="3"/>
  <c r="BI309" i="3" s="1"/>
  <c r="BI576" i="3" s="1"/>
  <c r="BI50" i="3"/>
  <c r="BJ252" i="3"/>
  <c r="BJ197" i="3"/>
  <c r="BJ222" i="3"/>
  <c r="BK114" i="3"/>
  <c r="BI347" i="3"/>
  <c r="BK223" i="3"/>
  <c r="BJ312" i="3"/>
  <c r="BK115" i="3"/>
  <c r="BJ288" i="3"/>
  <c r="BJ302" i="3" s="1"/>
  <c r="BF39" i="4"/>
  <c r="BF49" i="4" s="1"/>
  <c r="BL385" i="3"/>
  <c r="BG701" i="4"/>
  <c r="AT731" i="4"/>
  <c r="BG116" i="4"/>
  <c r="BG45" i="4"/>
  <c r="BG52" i="4" s="1"/>
  <c r="AT424" i="4"/>
  <c r="N545" i="3"/>
  <c r="AA221" i="14"/>
  <c r="Z221" i="14"/>
  <c r="BD545" i="3"/>
  <c r="AX88" i="3"/>
  <c r="AX94" i="3" s="1"/>
  <c r="AX98" i="3" s="1"/>
  <c r="AX343" i="3"/>
  <c r="AX345" i="3" s="1"/>
  <c r="AX349" i="3" s="1"/>
  <c r="AW463" i="3"/>
  <c r="AW466" i="3"/>
  <c r="AW482" i="3" s="1"/>
  <c r="AW506" i="3" s="1"/>
  <c r="P542" i="3"/>
  <c r="BE542" i="3"/>
  <c r="O543" i="3"/>
  <c r="BI384" i="3"/>
  <c r="BI380" i="3"/>
  <c r="BF544" i="3"/>
  <c r="R544" i="3"/>
  <c r="S544" i="3" s="1"/>
  <c r="AW456" i="3"/>
  <c r="AW424" i="3"/>
  <c r="BK53" i="3"/>
  <c r="BL118" i="3"/>
  <c r="BB415" i="4"/>
  <c r="BB489" i="4"/>
  <c r="BL42" i="3"/>
  <c r="BL200" i="4" l="1"/>
  <c r="AG3" i="32"/>
  <c r="AJ507" i="4"/>
  <c r="BS431" i="3"/>
  <c r="AR89" i="28"/>
  <c r="AR90" i="28"/>
  <c r="AO78" i="28"/>
  <c r="AO79" i="28"/>
  <c r="AD90" i="28"/>
  <c r="AD89" i="28"/>
  <c r="BI3" i="3"/>
  <c r="BM358" i="4"/>
  <c r="AS159" i="28"/>
  <c r="AS87" i="28" s="1"/>
  <c r="AI2" i="28"/>
  <c r="AJ2" i="28"/>
  <c r="BB3" i="4"/>
  <c r="AH3" i="28"/>
  <c r="BI132" i="4"/>
  <c r="BI359" i="4"/>
  <c r="N2" i="4"/>
  <c r="AM342" i="4"/>
  <c r="AN342" i="4" s="1"/>
  <c r="O33" i="3"/>
  <c r="O356" i="3" s="1"/>
  <c r="BN315" i="4"/>
  <c r="BS539" i="3"/>
  <c r="AR539" i="3"/>
  <c r="AS539" i="3" s="1"/>
  <c r="BT539" i="3" s="1"/>
  <c r="BM190" i="4"/>
  <c r="AQ190" i="4"/>
  <c r="BS107" i="3"/>
  <c r="BR392" i="3"/>
  <c r="AP392" i="3"/>
  <c r="AQ392" i="3" s="1"/>
  <c r="BR285" i="3"/>
  <c r="AP285" i="3"/>
  <c r="AO664" i="4"/>
  <c r="BL495" i="4"/>
  <c r="AO495" i="4"/>
  <c r="AP495" i="4" s="1"/>
  <c r="BL197" i="4"/>
  <c r="AB241" i="14"/>
  <c r="AO135" i="3"/>
  <c r="BQ190" i="3"/>
  <c r="AN190" i="3"/>
  <c r="AO190" i="3" s="1"/>
  <c r="AN249" i="3"/>
  <c r="AO139" i="3"/>
  <c r="AP139" i="3" s="1"/>
  <c r="BQ430" i="3"/>
  <c r="AN430" i="3"/>
  <c r="AO430" i="3" s="1"/>
  <c r="AN246" i="3"/>
  <c r="AO136" i="3"/>
  <c r="AP136" i="3" s="1"/>
  <c r="BQ453" i="3"/>
  <c r="AN453" i="3"/>
  <c r="AO453" i="3" s="1"/>
  <c r="AM420" i="4"/>
  <c r="BK314" i="4"/>
  <c r="AM314" i="4"/>
  <c r="AN311" i="4"/>
  <c r="BH35" i="4"/>
  <c r="J590" i="4"/>
  <c r="J552" i="4"/>
  <c r="J693" i="4"/>
  <c r="J731" i="4"/>
  <c r="BD479" i="3"/>
  <c r="BD503" i="3" s="1"/>
  <c r="BD32" i="3"/>
  <c r="K552" i="4"/>
  <c r="I553" i="4"/>
  <c r="I589" i="4"/>
  <c r="I582" i="4"/>
  <c r="I730" i="4"/>
  <c r="I694" i="4"/>
  <c r="I723" i="4"/>
  <c r="J107" i="4"/>
  <c r="J145" i="4"/>
  <c r="J187" i="4"/>
  <c r="K223" i="4"/>
  <c r="I214" i="4"/>
  <c r="I221" i="4"/>
  <c r="I186" i="4"/>
  <c r="L128" i="4"/>
  <c r="L212" i="4"/>
  <c r="L135" i="4"/>
  <c r="L695" i="4"/>
  <c r="L665" i="4"/>
  <c r="L724" i="4"/>
  <c r="L583" i="4"/>
  <c r="L435" i="4"/>
  <c r="L61" i="4"/>
  <c r="L63" i="4"/>
  <c r="L11" i="4"/>
  <c r="L720" i="4"/>
  <c r="L210" i="4"/>
  <c r="L649" i="4"/>
  <c r="L215" i="4"/>
  <c r="L53" i="4"/>
  <c r="L502" i="4"/>
  <c r="L651" i="4"/>
  <c r="L580" i="4"/>
  <c r="L366" i="4"/>
  <c r="L364" i="4"/>
  <c r="L438" i="4"/>
  <c r="L721" i="4"/>
  <c r="L54" i="4"/>
  <c r="L292" i="4"/>
  <c r="L127" i="4"/>
  <c r="L295" i="4"/>
  <c r="L719" i="4"/>
  <c r="L513" i="4"/>
  <c r="L59" i="4"/>
  <c r="L510" i="4"/>
  <c r="L157" i="4"/>
  <c r="L138" i="4"/>
  <c r="K128" i="4"/>
  <c r="K127" i="4"/>
  <c r="AX451" i="4"/>
  <c r="AX452" i="4" s="1"/>
  <c r="AX499" i="4" s="1"/>
  <c r="K651" i="4"/>
  <c r="K721" i="4"/>
  <c r="K157" i="4"/>
  <c r="K201" i="4" s="1"/>
  <c r="AX228" i="4"/>
  <c r="AX229" i="4" s="1"/>
  <c r="AX277" i="4" s="1"/>
  <c r="K63" i="4"/>
  <c r="AX308" i="4"/>
  <c r="AX309" i="4" s="1"/>
  <c r="AX353" i="4" s="1"/>
  <c r="K510" i="4"/>
  <c r="K210" i="4"/>
  <c r="K53" i="4"/>
  <c r="AX78" i="4"/>
  <c r="AX79" i="4" s="1"/>
  <c r="AX124" i="4" s="1"/>
  <c r="K502" i="4"/>
  <c r="AX525" i="4"/>
  <c r="AX526" i="4" s="1"/>
  <c r="K695" i="4"/>
  <c r="K212" i="4"/>
  <c r="K665" i="4"/>
  <c r="K710" i="4" s="1"/>
  <c r="K720" i="4"/>
  <c r="AX379" i="4"/>
  <c r="AX380" i="4" s="1"/>
  <c r="AX424" i="4" s="1"/>
  <c r="AX10" i="4"/>
  <c r="AX11" i="4" s="1"/>
  <c r="AX50" i="4" s="1"/>
  <c r="K364" i="4"/>
  <c r="K215" i="4"/>
  <c r="K583" i="4"/>
  <c r="K513" i="4"/>
  <c r="K54" i="4"/>
  <c r="K292" i="4"/>
  <c r="K138" i="4"/>
  <c r="K135" i="4"/>
  <c r="K59" i="4"/>
  <c r="K435" i="4"/>
  <c r="AX664" i="4"/>
  <c r="AX665" i="4" s="1"/>
  <c r="AX710" i="4" s="1"/>
  <c r="K295" i="4"/>
  <c r="K438" i="4"/>
  <c r="K61" i="4"/>
  <c r="K366" i="4"/>
  <c r="K580" i="4"/>
  <c r="K724" i="4"/>
  <c r="K649" i="4"/>
  <c r="K719" i="4"/>
  <c r="AX596" i="4"/>
  <c r="AX597" i="4" s="1"/>
  <c r="AX638" i="4" s="1"/>
  <c r="K11" i="4"/>
  <c r="K50" i="4" s="1"/>
  <c r="AX156" i="4"/>
  <c r="AX157" i="4" s="1"/>
  <c r="AX201" i="4" s="1"/>
  <c r="I137" i="4"/>
  <c r="I144" i="4"/>
  <c r="I108" i="4"/>
  <c r="AC298" i="14"/>
  <c r="AC289" i="14"/>
  <c r="AC314" i="14"/>
  <c r="AB190" i="14"/>
  <c r="AB307" i="14"/>
  <c r="AB309" i="14" s="1"/>
  <c r="AC282" i="14"/>
  <c r="AC317" i="14"/>
  <c r="AB304" i="14"/>
  <c r="AB212" i="14"/>
  <c r="AC168" i="14"/>
  <c r="AB213" i="14"/>
  <c r="AB237" i="14" s="1"/>
  <c r="AB118" i="14"/>
  <c r="AC98" i="14"/>
  <c r="AC33" i="14"/>
  <c r="P3" i="3"/>
  <c r="AC315" i="14"/>
  <c r="AC300" i="14"/>
  <c r="AC290" i="14"/>
  <c r="AC35" i="14"/>
  <c r="AB290" i="14"/>
  <c r="AC310" i="14"/>
  <c r="AC16" i="14"/>
  <c r="AB25" i="14"/>
  <c r="AC299" i="14"/>
  <c r="AC283" i="14"/>
  <c r="AB298" i="14"/>
  <c r="AC304" i="14"/>
  <c r="AB285" i="14"/>
  <c r="AB74" i="14"/>
  <c r="AB72" i="14"/>
  <c r="AB316" i="14"/>
  <c r="AC24" i="14"/>
  <c r="AB288" i="14"/>
  <c r="AC318" i="14"/>
  <c r="AB318" i="14"/>
  <c r="AC28" i="14"/>
  <c r="AB282" i="14"/>
  <c r="AB35" i="14"/>
  <c r="AC213" i="14"/>
  <c r="AC237" i="14" s="1"/>
  <c r="AB98" i="14"/>
  <c r="AB306" i="14"/>
  <c r="AC46" i="14"/>
  <c r="AB168" i="14"/>
  <c r="AC25" i="14"/>
  <c r="AB283" i="14"/>
  <c r="Q1" i="3"/>
  <c r="AB291" i="14"/>
  <c r="AC302" i="14"/>
  <c r="AC39" i="14"/>
  <c r="AB302" i="14"/>
  <c r="AB28" i="14"/>
  <c r="AB46" i="14"/>
  <c r="AC212" i="14"/>
  <c r="AC45" i="14"/>
  <c r="AC14" i="14"/>
  <c r="AC313" i="14"/>
  <c r="AB314" i="14"/>
  <c r="AB45" i="14"/>
  <c r="AB32" i="14"/>
  <c r="AB97" i="14"/>
  <c r="O1" i="4"/>
  <c r="O2" i="4" s="1"/>
  <c r="AC97" i="14"/>
  <c r="AB24" i="14"/>
  <c r="AC243" i="14"/>
  <c r="AB300" i="14"/>
  <c r="AC306" i="14"/>
  <c r="AC288" i="14"/>
  <c r="AC241" i="14"/>
  <c r="AC22" i="14"/>
  <c r="AC307" i="14"/>
  <c r="AC309" i="14" s="1"/>
  <c r="AC72" i="14"/>
  <c r="AB299" i="14"/>
  <c r="AC118" i="14"/>
  <c r="AB243" i="14"/>
  <c r="AB14" i="14"/>
  <c r="AB315" i="14"/>
  <c r="AB289" i="14"/>
  <c r="AC23" i="14"/>
  <c r="AB317" i="14"/>
  <c r="AB23" i="14"/>
  <c r="AC291" i="14"/>
  <c r="AB222" i="14"/>
  <c r="AC74" i="14"/>
  <c r="AB39" i="14"/>
  <c r="AB310" i="14"/>
  <c r="AC303" i="14"/>
  <c r="AC316" i="14"/>
  <c r="AB22" i="14"/>
  <c r="AC249" i="14"/>
  <c r="AB303" i="14"/>
  <c r="AB33" i="14"/>
  <c r="AC32" i="14"/>
  <c r="AC285" i="14"/>
  <c r="AB249" i="14"/>
  <c r="AB16" i="14"/>
  <c r="AB313" i="14"/>
  <c r="P2" i="3"/>
  <c r="AC190" i="14"/>
  <c r="AC222" i="14"/>
  <c r="N3" i="4"/>
  <c r="O5" i="3"/>
  <c r="N5" i="3"/>
  <c r="BK3" i="3"/>
  <c r="BK2" i="3"/>
  <c r="AL447" i="3"/>
  <c r="AM157" i="3"/>
  <c r="AN157" i="3" s="1"/>
  <c r="AM119" i="3"/>
  <c r="AN119" i="3" s="1"/>
  <c r="AL141" i="3"/>
  <c r="AL229" i="3"/>
  <c r="AM245" i="3"/>
  <c r="BQ245" i="3" s="1"/>
  <c r="BQ135" i="3"/>
  <c r="AM452" i="3"/>
  <c r="AN452" i="3" s="1"/>
  <c r="AL461" i="3"/>
  <c r="AL245" i="3"/>
  <c r="BQ136" i="3"/>
  <c r="AM246" i="3"/>
  <c r="BQ246" i="3" s="1"/>
  <c r="AL196" i="3"/>
  <c r="AM174" i="3"/>
  <c r="AN174" i="3" s="1"/>
  <c r="AM117" i="3"/>
  <c r="AN117" i="3" s="1"/>
  <c r="AL227" i="3"/>
  <c r="AL323" i="3" s="1"/>
  <c r="AM249" i="3"/>
  <c r="BQ249" i="3" s="1"/>
  <c r="BQ139" i="3"/>
  <c r="AL448" i="3"/>
  <c r="AM158" i="3"/>
  <c r="AN158" i="3" s="1"/>
  <c r="BK342" i="4"/>
  <c r="BK352" i="4" s="1"/>
  <c r="AL308" i="4"/>
  <c r="BJ255" i="4"/>
  <c r="AK255" i="4"/>
  <c r="BJ89" i="4"/>
  <c r="BJ132" i="4" s="1"/>
  <c r="AK89" i="4"/>
  <c r="BJ675" i="4"/>
  <c r="BJ718" i="4" s="1"/>
  <c r="AK675" i="4"/>
  <c r="AL161" i="4"/>
  <c r="BJ454" i="4"/>
  <c r="AK454" i="4"/>
  <c r="AL101" i="4"/>
  <c r="BJ90" i="4"/>
  <c r="BK311" i="4"/>
  <c r="AL313" i="4"/>
  <c r="AM313" i="4" s="1"/>
  <c r="AL160" i="4"/>
  <c r="AL163" i="4"/>
  <c r="AL86" i="4"/>
  <c r="BJ85" i="4"/>
  <c r="BJ129" i="4" s="1"/>
  <c r="AK85" i="4"/>
  <c r="BM65" i="3"/>
  <c r="BM66" i="3"/>
  <c r="AK448" i="3"/>
  <c r="BP448" i="3" s="1"/>
  <c r="BP158" i="3"/>
  <c r="AK120" i="3"/>
  <c r="AL120" i="3" s="1"/>
  <c r="AK140" i="3"/>
  <c r="AL140" i="3" s="1"/>
  <c r="BJ3" i="3"/>
  <c r="BJ2" i="3"/>
  <c r="AK447" i="3"/>
  <c r="BP447" i="3" s="1"/>
  <c r="BP157" i="3"/>
  <c r="BP119" i="3"/>
  <c r="AK229" i="3"/>
  <c r="BP229" i="3" s="1"/>
  <c r="AK141" i="3"/>
  <c r="AK196" i="3"/>
  <c r="BP196" i="3" s="1"/>
  <c r="BP174" i="3"/>
  <c r="AK227" i="3"/>
  <c r="BP117" i="3"/>
  <c r="BI457" i="4"/>
  <c r="AJ266" i="4"/>
  <c r="AK266" i="4" s="1"/>
  <c r="AI413" i="4"/>
  <c r="BI463" i="4"/>
  <c r="BI162" i="4"/>
  <c r="AJ673" i="4"/>
  <c r="AJ676" i="4"/>
  <c r="AJ671" i="4"/>
  <c r="AJ456" i="4"/>
  <c r="BI471" i="4"/>
  <c r="BI243" i="4"/>
  <c r="AO152" i="28" s="1"/>
  <c r="AO60" i="28" s="1"/>
  <c r="V152" i="28"/>
  <c r="V60" i="28" s="1"/>
  <c r="BJ313" i="4"/>
  <c r="AJ112" i="4"/>
  <c r="AK112" i="4" s="1"/>
  <c r="AJ164" i="4"/>
  <c r="AJ672" i="4"/>
  <c r="BJ101" i="4"/>
  <c r="AJ196" i="4"/>
  <c r="AK196" i="4" s="1"/>
  <c r="BI87" i="4"/>
  <c r="AJ235" i="4"/>
  <c r="AI386" i="4"/>
  <c r="AJ316" i="4"/>
  <c r="AL316" i="4" s="1"/>
  <c r="AN316" i="4" s="1"/>
  <c r="AP316" i="4" s="1"/>
  <c r="AR316" i="4" s="1"/>
  <c r="BK390" i="3"/>
  <c r="BH387" i="4"/>
  <c r="BH430" i="4" s="1"/>
  <c r="BI202" i="4"/>
  <c r="BI205" i="4"/>
  <c r="BO227" i="3"/>
  <c r="BO323" i="3"/>
  <c r="BO251" i="3"/>
  <c r="BO141" i="3"/>
  <c r="BO230" i="3"/>
  <c r="BO120" i="3"/>
  <c r="BO250" i="3"/>
  <c r="BO140" i="3"/>
  <c r="BJ391" i="3"/>
  <c r="BJ462" i="3" s="1"/>
  <c r="BH402" i="4"/>
  <c r="BI348" i="4"/>
  <c r="BI355" i="4" s="1"/>
  <c r="BH312" i="4"/>
  <c r="BH318" i="4" s="1"/>
  <c r="BH703" i="4"/>
  <c r="BI266" i="4"/>
  <c r="BI276" i="4" s="1"/>
  <c r="BI120" i="4"/>
  <c r="BI672" i="4"/>
  <c r="BI716" i="4" s="1"/>
  <c r="BI271" i="4"/>
  <c r="BH458" i="4"/>
  <c r="BH504" i="4" s="1"/>
  <c r="BH417" i="4"/>
  <c r="U441" i="4"/>
  <c r="BN52" i="3"/>
  <c r="BG503" i="4"/>
  <c r="BG34" i="4"/>
  <c r="BH331" i="4"/>
  <c r="BG22" i="4"/>
  <c r="BC40" i="4"/>
  <c r="BG727" i="4"/>
  <c r="BM79" i="3"/>
  <c r="BM70" i="3"/>
  <c r="AL7" i="32" s="1"/>
  <c r="BN460" i="3"/>
  <c r="BN451" i="3"/>
  <c r="BN161" i="3"/>
  <c r="BN100" i="3"/>
  <c r="BN80" i="3"/>
  <c r="BH413" i="4"/>
  <c r="BH423" i="4" s="1"/>
  <c r="BH419" i="4"/>
  <c r="BH426" i="4" s="1"/>
  <c r="BH459" i="4"/>
  <c r="BH505" i="4" s="1"/>
  <c r="BH701" i="4"/>
  <c r="BH700" i="4"/>
  <c r="BM42" i="3"/>
  <c r="BM502" i="3" s="1"/>
  <c r="BG328" i="4"/>
  <c r="BG119" i="4"/>
  <c r="BD165" i="4"/>
  <c r="BD208" i="4" s="1"/>
  <c r="BL137" i="3"/>
  <c r="BI402" i="3"/>
  <c r="BI419" i="3" s="1"/>
  <c r="BL113" i="3"/>
  <c r="BG488" i="4"/>
  <c r="BG498" i="4" s="1"/>
  <c r="BG434" i="4"/>
  <c r="BK421" i="3"/>
  <c r="BK423" i="3"/>
  <c r="BK170" i="3"/>
  <c r="BK225" i="3"/>
  <c r="BJ426" i="3"/>
  <c r="BK403" i="3"/>
  <c r="BI425" i="3"/>
  <c r="BJ321" i="3"/>
  <c r="BK167" i="3"/>
  <c r="BK224" i="3"/>
  <c r="BK169" i="3"/>
  <c r="BK226" i="3"/>
  <c r="BK138" i="3"/>
  <c r="BJ45" i="3"/>
  <c r="BK168" i="3"/>
  <c r="BK247" i="3"/>
  <c r="BK192" i="3"/>
  <c r="BJ51" i="3"/>
  <c r="BL389" i="3"/>
  <c r="BL173" i="3"/>
  <c r="BF509" i="4"/>
  <c r="BF704" i="4"/>
  <c r="BF702" i="4"/>
  <c r="BF711" i="4" s="1"/>
  <c r="T544" i="3"/>
  <c r="U544" i="3" s="1"/>
  <c r="V544" i="3" s="1"/>
  <c r="W544" i="3" s="1"/>
  <c r="X544" i="3" s="1"/>
  <c r="Y544" i="3" s="1"/>
  <c r="Z544" i="3" s="1"/>
  <c r="AA544" i="3" s="1"/>
  <c r="AB544" i="3" s="1"/>
  <c r="AC544" i="3" s="1"/>
  <c r="AD544" i="3" s="1"/>
  <c r="AE544" i="3" s="1"/>
  <c r="AF544" i="3" s="1"/>
  <c r="AG544" i="3" s="1"/>
  <c r="AH544" i="3" s="1"/>
  <c r="AI544" i="3" s="1"/>
  <c r="AJ544" i="3" s="1"/>
  <c r="BG544" i="3"/>
  <c r="AW484" i="3"/>
  <c r="AW467" i="3"/>
  <c r="AW483" i="3" s="1"/>
  <c r="AW507" i="3" s="1"/>
  <c r="AW522" i="3"/>
  <c r="AW581" i="3" s="1"/>
  <c r="AW523" i="3"/>
  <c r="AY93" i="3"/>
  <c r="AX91" i="3"/>
  <c r="AX101" i="3"/>
  <c r="AX520" i="3"/>
  <c r="AX521" i="3"/>
  <c r="O545" i="3"/>
  <c r="BE543" i="3"/>
  <c r="Q542" i="3"/>
  <c r="P543" i="3"/>
  <c r="AB220" i="14"/>
  <c r="AC220" i="14"/>
  <c r="AA223" i="14"/>
  <c r="Z223" i="14"/>
  <c r="BB472" i="4"/>
  <c r="BB514" i="4" s="1"/>
  <c r="AT514" i="4"/>
  <c r="BB441" i="4"/>
  <c r="BL502" i="3"/>
  <c r="BM200" i="4" l="1"/>
  <c r="AL19" i="32"/>
  <c r="AI3" i="32"/>
  <c r="BC3" i="4"/>
  <c r="AH3" i="32"/>
  <c r="AJ3" i="32"/>
  <c r="AI3" i="28"/>
  <c r="AK507" i="4"/>
  <c r="AS89" i="28"/>
  <c r="AS90" i="28"/>
  <c r="V62" i="28"/>
  <c r="V63" i="28"/>
  <c r="AO63" i="28"/>
  <c r="AO62" i="28"/>
  <c r="BN358" i="4"/>
  <c r="AT159" i="28"/>
  <c r="AT87" i="28" s="1"/>
  <c r="AJ3" i="28"/>
  <c r="AK3" i="28"/>
  <c r="AK2" i="28"/>
  <c r="AM308" i="4"/>
  <c r="AN308" i="4" s="1"/>
  <c r="BI131" i="4"/>
  <c r="BI289" i="4"/>
  <c r="P33" i="3"/>
  <c r="P356" i="3" s="1"/>
  <c r="P357" i="3" s="1"/>
  <c r="P481" i="3" s="1"/>
  <c r="P505" i="3" s="1"/>
  <c r="AR190" i="4"/>
  <c r="BN190" i="4" s="1"/>
  <c r="BN200" i="4" s="1"/>
  <c r="AT292" i="4"/>
  <c r="BN273" i="4"/>
  <c r="AP664" i="4"/>
  <c r="AQ664" i="4" s="1"/>
  <c r="AR664" i="4" s="1"/>
  <c r="BS392" i="3"/>
  <c r="AR392" i="3"/>
  <c r="AS392" i="3" s="1"/>
  <c r="BT392" i="3" s="1"/>
  <c r="BM320" i="4"/>
  <c r="BM495" i="4"/>
  <c r="AQ495" i="4"/>
  <c r="BM197" i="4"/>
  <c r="AQ136" i="3"/>
  <c r="AR136" i="3" s="1"/>
  <c r="AP246" i="3"/>
  <c r="BR190" i="3"/>
  <c r="AP190" i="3"/>
  <c r="AQ190" i="3" s="1"/>
  <c r="BR430" i="3"/>
  <c r="AP430" i="3"/>
  <c r="AQ430" i="3" s="1"/>
  <c r="BR135" i="3"/>
  <c r="AP135" i="3"/>
  <c r="AQ285" i="3"/>
  <c r="BR453" i="3"/>
  <c r="AP453" i="3"/>
  <c r="AQ453" i="3" s="1"/>
  <c r="AQ139" i="3"/>
  <c r="AR139" i="3" s="1"/>
  <c r="AP249" i="3"/>
  <c r="AO420" i="4"/>
  <c r="BL342" i="4"/>
  <c r="BL352" i="4" s="1"/>
  <c r="AO342" i="4"/>
  <c r="BL311" i="4"/>
  <c r="AO311" i="4"/>
  <c r="AO249" i="3"/>
  <c r="BR249" i="3" s="1"/>
  <c r="BR139" i="3"/>
  <c r="AO246" i="3"/>
  <c r="BR246" i="3" s="1"/>
  <c r="BR136" i="3"/>
  <c r="AO117" i="3"/>
  <c r="AP117" i="3" s="1"/>
  <c r="AN227" i="3"/>
  <c r="AN323" i="3" s="1"/>
  <c r="AN229" i="3"/>
  <c r="AO119" i="3"/>
  <c r="AN141" i="3"/>
  <c r="AN448" i="3"/>
  <c r="AO158" i="3"/>
  <c r="AP158" i="3" s="1"/>
  <c r="AO174" i="3"/>
  <c r="AP174" i="3" s="1"/>
  <c r="AN196" i="3"/>
  <c r="AO452" i="3"/>
  <c r="AP452" i="3" s="1"/>
  <c r="AN461" i="3"/>
  <c r="AO157" i="3"/>
  <c r="AP157" i="3" s="1"/>
  <c r="AN447" i="3"/>
  <c r="AN245" i="3"/>
  <c r="AO245" i="3"/>
  <c r="BR245" i="3" s="1"/>
  <c r="AN420" i="4"/>
  <c r="BL349" i="4"/>
  <c r="BK163" i="4"/>
  <c r="BK206" i="4" s="1"/>
  <c r="AM163" i="4"/>
  <c r="BK161" i="4"/>
  <c r="AM161" i="4"/>
  <c r="BK160" i="4"/>
  <c r="AM160" i="4"/>
  <c r="AN313" i="4"/>
  <c r="BK86" i="4"/>
  <c r="BK130" i="4" s="1"/>
  <c r="AM86" i="4"/>
  <c r="BK101" i="4"/>
  <c r="AM101" i="4"/>
  <c r="AN314" i="4"/>
  <c r="AB232" i="14"/>
  <c r="AB73" i="14"/>
  <c r="BE56" i="3"/>
  <c r="M5" i="4"/>
  <c r="N563" i="3"/>
  <c r="N22" i="3" s="1"/>
  <c r="BE29" i="3"/>
  <c r="N528" i="3"/>
  <c r="N61" i="3"/>
  <c r="N524" i="3"/>
  <c r="N564" i="3"/>
  <c r="N26" i="3" s="1"/>
  <c r="BE33" i="3"/>
  <c r="BE60" i="3"/>
  <c r="BE61" i="3" s="1"/>
  <c r="N525" i="3"/>
  <c r="N536" i="3"/>
  <c r="N533" i="3"/>
  <c r="N532" i="3"/>
  <c r="N526" i="3"/>
  <c r="O3" i="4"/>
  <c r="L731" i="4"/>
  <c r="L693" i="4"/>
  <c r="AW693" i="4"/>
  <c r="J694" i="4"/>
  <c r="AW694" i="4" s="1"/>
  <c r="J730" i="4"/>
  <c r="J723" i="4"/>
  <c r="L223" i="4"/>
  <c r="L187" i="4" s="1"/>
  <c r="K187" i="4"/>
  <c r="K589" i="4"/>
  <c r="K582" i="4"/>
  <c r="K553" i="4"/>
  <c r="K554" i="4" s="1"/>
  <c r="M552" i="4"/>
  <c r="O524" i="3"/>
  <c r="O525" i="3"/>
  <c r="O563" i="3"/>
  <c r="O22" i="3" s="1"/>
  <c r="N5" i="4"/>
  <c r="O536" i="3"/>
  <c r="O532" i="3"/>
  <c r="O564" i="3"/>
  <c r="O26" i="3" s="1"/>
  <c r="O533" i="3"/>
  <c r="O526" i="3"/>
  <c r="O61" i="3"/>
  <c r="O528" i="3"/>
  <c r="AC73" i="14"/>
  <c r="AB40" i="14"/>
  <c r="AC40" i="14"/>
  <c r="AB229" i="14"/>
  <c r="AB230" i="14"/>
  <c r="L201" i="4"/>
  <c r="J222" i="4"/>
  <c r="J185" i="4"/>
  <c r="Q3" i="3"/>
  <c r="Q2" i="3"/>
  <c r="R1" i="3"/>
  <c r="P1" i="4"/>
  <c r="P2" i="4" s="1"/>
  <c r="K731" i="4"/>
  <c r="K693" i="4"/>
  <c r="AW107" i="4"/>
  <c r="J137" i="4"/>
  <c r="J144" i="4"/>
  <c r="J108" i="4"/>
  <c r="AW108" i="4" s="1"/>
  <c r="J553" i="4"/>
  <c r="AW553" i="4" s="1"/>
  <c r="J589" i="4"/>
  <c r="L552" i="4"/>
  <c r="J582" i="4"/>
  <c r="AW552" i="4"/>
  <c r="O357" i="3"/>
  <c r="O481" i="3" s="1"/>
  <c r="O505" i="3" s="1"/>
  <c r="BE356" i="3"/>
  <c r="BE357" i="3" s="1"/>
  <c r="BE481" i="3" s="1"/>
  <c r="BE505" i="3" s="1"/>
  <c r="AC230" i="14"/>
  <c r="AC229" i="14"/>
  <c r="AC232" i="14"/>
  <c r="L50" i="4"/>
  <c r="L710" i="4"/>
  <c r="AM140" i="3"/>
  <c r="AN140" i="3" s="1"/>
  <c r="AL250" i="3"/>
  <c r="AM196" i="3"/>
  <c r="BQ196" i="3" s="1"/>
  <c r="BQ174" i="3"/>
  <c r="AM447" i="3"/>
  <c r="BQ447" i="3" s="1"/>
  <c r="BQ157" i="3"/>
  <c r="AL230" i="3"/>
  <c r="AM120" i="3"/>
  <c r="AN120" i="3" s="1"/>
  <c r="AM448" i="3"/>
  <c r="BQ448" i="3" s="1"/>
  <c r="BQ158" i="3"/>
  <c r="AM461" i="3"/>
  <c r="BQ461" i="3" s="1"/>
  <c r="BQ452" i="3"/>
  <c r="AL251" i="3"/>
  <c r="AM227" i="3"/>
  <c r="BQ117" i="3"/>
  <c r="BQ119" i="3"/>
  <c r="AM141" i="3"/>
  <c r="AM229" i="3"/>
  <c r="BQ229" i="3" s="1"/>
  <c r="BJ672" i="4"/>
  <c r="BJ716" i="4" s="1"/>
  <c r="AK672" i="4"/>
  <c r="AL112" i="4"/>
  <c r="AM112" i="4" s="1"/>
  <c r="BJ671" i="4"/>
  <c r="BJ715" i="4" s="1"/>
  <c r="AK671" i="4"/>
  <c r="AL454" i="4"/>
  <c r="BJ676" i="4"/>
  <c r="AK676" i="4"/>
  <c r="BK313" i="4"/>
  <c r="AL675" i="4"/>
  <c r="AL255" i="4"/>
  <c r="AL196" i="4"/>
  <c r="BJ673" i="4"/>
  <c r="BJ717" i="4" s="1"/>
  <c r="AK673" i="4"/>
  <c r="BJ164" i="4"/>
  <c r="BJ207" i="4" s="1"/>
  <c r="AK164" i="4"/>
  <c r="BJ456" i="4"/>
  <c r="AK456" i="4"/>
  <c r="AL266" i="4"/>
  <c r="AM266" i="4" s="1"/>
  <c r="AK413" i="4"/>
  <c r="AL89" i="4"/>
  <c r="AM89" i="4" s="1"/>
  <c r="BJ235" i="4"/>
  <c r="BJ282" i="4" s="1"/>
  <c r="AK235" i="4"/>
  <c r="BJ316" i="4"/>
  <c r="BJ359" i="4" s="1"/>
  <c r="AL85" i="4"/>
  <c r="BH357" i="4"/>
  <c r="AK230" i="3"/>
  <c r="BP230" i="3" s="1"/>
  <c r="BP120" i="3"/>
  <c r="AK451" i="3"/>
  <c r="AL451" i="3" s="1"/>
  <c r="AK250" i="3"/>
  <c r="BP250" i="3" s="1"/>
  <c r="BP140" i="3"/>
  <c r="BP227" i="3"/>
  <c r="AK323" i="3"/>
  <c r="BP323" i="3" s="1"/>
  <c r="AK251" i="3"/>
  <c r="BP251" i="3" s="1"/>
  <c r="BP141" i="3"/>
  <c r="BJ112" i="4"/>
  <c r="BJ123" i="4" s="1"/>
  <c r="W152" i="28"/>
  <c r="W60" i="28" s="1"/>
  <c r="AJ463" i="4"/>
  <c r="BJ266" i="4"/>
  <c r="BJ276" i="4" s="1"/>
  <c r="AJ413" i="4"/>
  <c r="AJ457" i="4"/>
  <c r="AK457" i="4" s="1"/>
  <c r="BI703" i="4"/>
  <c r="AI703" i="4"/>
  <c r="AJ703" i="4" s="1"/>
  <c r="BI391" i="4"/>
  <c r="BJ196" i="4"/>
  <c r="AJ194" i="4"/>
  <c r="AK194" i="4" s="1"/>
  <c r="AJ471" i="4"/>
  <c r="AJ162" i="4"/>
  <c r="BJ120" i="4"/>
  <c r="AJ46" i="4"/>
  <c r="AI423" i="4"/>
  <c r="AJ228" i="4"/>
  <c r="AK228" i="4" s="1"/>
  <c r="AI379" i="4"/>
  <c r="AJ328" i="4"/>
  <c r="BJ328" i="4" s="1"/>
  <c r="AJ386" i="4"/>
  <c r="BJ386" i="4" s="1"/>
  <c r="BJ429" i="4" s="1"/>
  <c r="AI429" i="4"/>
  <c r="BK391" i="3"/>
  <c r="BK462" i="3" s="1"/>
  <c r="BO52" i="3"/>
  <c r="BI236" i="4"/>
  <c r="BI283" i="4" s="1"/>
  <c r="BO451" i="3"/>
  <c r="BO161" i="3"/>
  <c r="BO460" i="3"/>
  <c r="BO100" i="3"/>
  <c r="BH167" i="4"/>
  <c r="BH209" i="4" s="1"/>
  <c r="BH455" i="4"/>
  <c r="BI413" i="4"/>
  <c r="BI423" i="4" s="1"/>
  <c r="BI244" i="4"/>
  <c r="BI194" i="4"/>
  <c r="BI195" i="4"/>
  <c r="BI46" i="4"/>
  <c r="BO537" i="3" s="1"/>
  <c r="BI419" i="4"/>
  <c r="BI426" i="4" s="1"/>
  <c r="BI476" i="4"/>
  <c r="BH18" i="4"/>
  <c r="BH56" i="4" s="1"/>
  <c r="BH488" i="4"/>
  <c r="BH498" i="4" s="1"/>
  <c r="BH462" i="4"/>
  <c r="BH507" i="4" s="1"/>
  <c r="BH727" i="4"/>
  <c r="BH179" i="4"/>
  <c r="BN96" i="3"/>
  <c r="BN82" i="3"/>
  <c r="BH291" i="4"/>
  <c r="BH168" i="4"/>
  <c r="BD176" i="4"/>
  <c r="BH17" i="4"/>
  <c r="BH55" i="4" s="1"/>
  <c r="BH494" i="4"/>
  <c r="BH501" i="4" s="1"/>
  <c r="BH118" i="4"/>
  <c r="BH126" i="4" s="1"/>
  <c r="BH116" i="4"/>
  <c r="BM118" i="3"/>
  <c r="BG39" i="4"/>
  <c r="BG49" i="4" s="1"/>
  <c r="BH45" i="4"/>
  <c r="BH52" i="4" s="1"/>
  <c r="BG702" i="4"/>
  <c r="BG711" i="4" s="1"/>
  <c r="BD166" i="4"/>
  <c r="AJ147" i="28" s="1"/>
  <c r="AJ44" i="28" s="1"/>
  <c r="BD30" i="4"/>
  <c r="BK322" i="3"/>
  <c r="BK51" i="3" s="1"/>
  <c r="BG43" i="4"/>
  <c r="BG492" i="4"/>
  <c r="BL289" i="3"/>
  <c r="BB513" i="4"/>
  <c r="BC192" i="4"/>
  <c r="BC191" i="4"/>
  <c r="BL112" i="3"/>
  <c r="BK197" i="3"/>
  <c r="BK252" i="3"/>
  <c r="BM385" i="3"/>
  <c r="BC267" i="4"/>
  <c r="BC268" i="4"/>
  <c r="BJ50" i="3"/>
  <c r="BK288" i="3"/>
  <c r="BK302" i="3" s="1"/>
  <c r="BL171" i="3"/>
  <c r="BL226" i="3"/>
  <c r="BC113" i="4"/>
  <c r="BC114" i="4"/>
  <c r="BL114" i="3"/>
  <c r="BK312" i="3"/>
  <c r="BL115" i="3"/>
  <c r="BK222" i="3"/>
  <c r="BC414" i="4"/>
  <c r="BC343" i="4"/>
  <c r="BL287" i="3"/>
  <c r="BL391" i="3"/>
  <c r="BG704" i="4"/>
  <c r="BH544" i="3"/>
  <c r="BF542" i="3"/>
  <c r="Q543" i="3"/>
  <c r="R542" i="3"/>
  <c r="AX162" i="3"/>
  <c r="AX454" i="3"/>
  <c r="AX444" i="3" s="1"/>
  <c r="AX459" i="3"/>
  <c r="AX350" i="3"/>
  <c r="AX351" i="3" s="1"/>
  <c r="AX359" i="3" s="1"/>
  <c r="AY86" i="3"/>
  <c r="P545" i="3"/>
  <c r="AB221" i="14"/>
  <c r="AC221" i="14"/>
  <c r="BE545" i="3"/>
  <c r="BL324" i="3"/>
  <c r="BL228" i="3"/>
  <c r="C2" i="32" l="1"/>
  <c r="BK462" i="4"/>
  <c r="BK507" i="4" s="1"/>
  <c r="AL507" i="4"/>
  <c r="AT90" i="28"/>
  <c r="AT89" i="28"/>
  <c r="W62" i="28"/>
  <c r="W63" i="28"/>
  <c r="AJ47" i="28"/>
  <c r="AJ46" i="28"/>
  <c r="D2" i="28"/>
  <c r="AL2" i="28"/>
  <c r="Q33" i="3"/>
  <c r="Q356" i="3" s="1"/>
  <c r="BN197" i="4"/>
  <c r="AR495" i="4"/>
  <c r="BN495" i="4" s="1"/>
  <c r="AT212" i="4"/>
  <c r="AR246" i="3"/>
  <c r="AS136" i="3"/>
  <c r="AR249" i="3"/>
  <c r="AS139" i="3"/>
  <c r="BS430" i="3"/>
  <c r="AR430" i="3"/>
  <c r="AS430" i="3" s="1"/>
  <c r="BT430" i="3" s="1"/>
  <c r="BS453" i="3"/>
  <c r="AR453" i="3"/>
  <c r="AS453" i="3" s="1"/>
  <c r="BT453" i="3" s="1"/>
  <c r="BS285" i="3"/>
  <c r="AR285" i="3"/>
  <c r="AS285" i="3" s="1"/>
  <c r="BT285" i="3" s="1"/>
  <c r="BS190" i="3"/>
  <c r="AR190" i="3"/>
  <c r="AS190" i="3" s="1"/>
  <c r="BT190" i="3" s="1"/>
  <c r="BN320" i="4"/>
  <c r="AQ249" i="3"/>
  <c r="BS249" i="3" s="1"/>
  <c r="BS139" i="3"/>
  <c r="AQ246" i="3"/>
  <c r="BS246" i="3" s="1"/>
  <c r="BS136" i="3"/>
  <c r="AQ174" i="3"/>
  <c r="AR174" i="3" s="1"/>
  <c r="AP196" i="3"/>
  <c r="AP448" i="3"/>
  <c r="AQ158" i="3"/>
  <c r="AR158" i="3" s="1"/>
  <c r="AQ117" i="3"/>
  <c r="AR117" i="3" s="1"/>
  <c r="AP227" i="3"/>
  <c r="AP323" i="3" s="1"/>
  <c r="AQ157" i="3"/>
  <c r="AR157" i="3" s="1"/>
  <c r="AP447" i="3"/>
  <c r="AQ452" i="3"/>
  <c r="AR452" i="3" s="1"/>
  <c r="AP461" i="3"/>
  <c r="BR119" i="3"/>
  <c r="AP119" i="3"/>
  <c r="AP245" i="3"/>
  <c r="AQ135" i="3"/>
  <c r="AR135" i="3" s="1"/>
  <c r="AP420" i="4"/>
  <c r="BM420" i="4" s="1"/>
  <c r="BM349" i="4"/>
  <c r="AP342" i="4"/>
  <c r="BL314" i="4"/>
  <c r="AO314" i="4"/>
  <c r="BL313" i="4"/>
  <c r="AO313" i="4"/>
  <c r="AO308" i="4"/>
  <c r="AP311" i="4"/>
  <c r="AN251" i="3"/>
  <c r="AO196" i="3"/>
  <c r="BR196" i="3" s="1"/>
  <c r="BR174" i="3"/>
  <c r="AO448" i="3"/>
  <c r="BR448" i="3" s="1"/>
  <c r="BR158" i="3"/>
  <c r="AO227" i="3"/>
  <c r="BR117" i="3"/>
  <c r="AO447" i="3"/>
  <c r="BR447" i="3" s="1"/>
  <c r="BR157" i="3"/>
  <c r="AO461" i="3"/>
  <c r="BR461" i="3" s="1"/>
  <c r="BR452" i="3"/>
  <c r="AO120" i="3"/>
  <c r="AP120" i="3" s="1"/>
  <c r="AN230" i="3"/>
  <c r="AO140" i="3"/>
  <c r="AP140" i="3" s="1"/>
  <c r="AN250" i="3"/>
  <c r="AO229" i="3"/>
  <c r="BR229" i="3" s="1"/>
  <c r="AO141" i="3"/>
  <c r="AN163" i="4"/>
  <c r="BL420" i="4"/>
  <c r="AN160" i="4"/>
  <c r="AN161" i="4"/>
  <c r="AN89" i="4"/>
  <c r="BK675" i="4"/>
  <c r="BK718" i="4" s="1"/>
  <c r="AM675" i="4"/>
  <c r="BK454" i="4"/>
  <c r="AM454" i="4"/>
  <c r="BK255" i="4"/>
  <c r="AM255" i="4"/>
  <c r="BK90" i="4"/>
  <c r="AN101" i="4"/>
  <c r="AN112" i="4"/>
  <c r="AN266" i="4"/>
  <c r="AO266" i="4" s="1"/>
  <c r="AP266" i="4" s="1"/>
  <c r="AM413" i="4"/>
  <c r="BK85" i="4"/>
  <c r="BK129" i="4" s="1"/>
  <c r="AM85" i="4"/>
  <c r="AM196" i="4"/>
  <c r="AN86" i="4"/>
  <c r="BN66" i="3"/>
  <c r="BN65" i="3"/>
  <c r="C8" i="33" s="1"/>
  <c r="AW588" i="4"/>
  <c r="AW582" i="4"/>
  <c r="AW554" i="4"/>
  <c r="AW589" i="4"/>
  <c r="AW185" i="4"/>
  <c r="J221" i="4"/>
  <c r="J186" i="4"/>
  <c r="AW186" i="4" s="1"/>
  <c r="J214" i="4"/>
  <c r="L222" i="4"/>
  <c r="L109" i="4"/>
  <c r="L185" i="4"/>
  <c r="K694" i="4"/>
  <c r="K730" i="4"/>
  <c r="AX693" i="4"/>
  <c r="K723" i="4"/>
  <c r="M589" i="4"/>
  <c r="O552" i="4"/>
  <c r="M553" i="4"/>
  <c r="M554" i="4" s="1"/>
  <c r="M582" i="4"/>
  <c r="L694" i="4"/>
  <c r="L723" i="4"/>
  <c r="L730" i="4"/>
  <c r="N552" i="4"/>
  <c r="AX552" i="4"/>
  <c r="L589" i="4"/>
  <c r="L553" i="4"/>
  <c r="L582" i="4"/>
  <c r="AW137" i="4"/>
  <c r="AW144" i="4"/>
  <c r="AD28" i="14"/>
  <c r="AD212" i="14"/>
  <c r="AE315" i="14"/>
  <c r="AE72" i="14"/>
  <c r="AE46" i="14"/>
  <c r="R2" i="3"/>
  <c r="AD24" i="14"/>
  <c r="Q1" i="4"/>
  <c r="Q2" i="4" s="1"/>
  <c r="AD288" i="14"/>
  <c r="AE298" i="14"/>
  <c r="AE28" i="14"/>
  <c r="AE14" i="14"/>
  <c r="AD303" i="14"/>
  <c r="AD190" i="14"/>
  <c r="AD314" i="14"/>
  <c r="AD243" i="14"/>
  <c r="AD241" i="14"/>
  <c r="AE300" i="14"/>
  <c r="AE304" i="14"/>
  <c r="AE25" i="14"/>
  <c r="AE307" i="14"/>
  <c r="AE309" i="14" s="1"/>
  <c r="AE291" i="14"/>
  <c r="AD298" i="14"/>
  <c r="AE118" i="14"/>
  <c r="AD98" i="14"/>
  <c r="AD25" i="14"/>
  <c r="AE22" i="14"/>
  <c r="AD74" i="14"/>
  <c r="AD118" i="14"/>
  <c r="AD306" i="14"/>
  <c r="AD249" i="14"/>
  <c r="AE241" i="14"/>
  <c r="AD72" i="14"/>
  <c r="AD310" i="14"/>
  <c r="AE310" i="14"/>
  <c r="AE288" i="14"/>
  <c r="AD302" i="14"/>
  <c r="AD317" i="14"/>
  <c r="AE23" i="14"/>
  <c r="AE45" i="14"/>
  <c r="AE190" i="14"/>
  <c r="AE74" i="14"/>
  <c r="AD35" i="14"/>
  <c r="AE213" i="14"/>
  <c r="AE237" i="14" s="1"/>
  <c r="AD290" i="14"/>
  <c r="AD14" i="14"/>
  <c r="AD289" i="14"/>
  <c r="AE306" i="14"/>
  <c r="AE303" i="14"/>
  <c r="AE290" i="14"/>
  <c r="AE33" i="14"/>
  <c r="AD304" i="14"/>
  <c r="AD300" i="14"/>
  <c r="AE285" i="14"/>
  <c r="AE313" i="14"/>
  <c r="AD46" i="14"/>
  <c r="AE318" i="14"/>
  <c r="AD168" i="14"/>
  <c r="AE249" i="14"/>
  <c r="AE299" i="14"/>
  <c r="AE168" i="14"/>
  <c r="AE289" i="14"/>
  <c r="AD291" i="14"/>
  <c r="AE243" i="14"/>
  <c r="AE39" i="14"/>
  <c r="AE317" i="14"/>
  <c r="AD282" i="14"/>
  <c r="AD16" i="14"/>
  <c r="AE314" i="14"/>
  <c r="AD39" i="14"/>
  <c r="AD45" i="14"/>
  <c r="AD285" i="14"/>
  <c r="AD313" i="14"/>
  <c r="AE16" i="14"/>
  <c r="AD315" i="14"/>
  <c r="AD33" i="14"/>
  <c r="AD22" i="14"/>
  <c r="AD213" i="14"/>
  <c r="AD237" i="14" s="1"/>
  <c r="AD318" i="14"/>
  <c r="AE282" i="14"/>
  <c r="AE212" i="14"/>
  <c r="AD283" i="14"/>
  <c r="R3" i="3"/>
  <c r="AD23" i="14"/>
  <c r="S1" i="3"/>
  <c r="AD307" i="14"/>
  <c r="AD309" i="14" s="1"/>
  <c r="AE32" i="14"/>
  <c r="AE302" i="14"/>
  <c r="AE35" i="14"/>
  <c r="AD97" i="14"/>
  <c r="AE97" i="14"/>
  <c r="AE316" i="14"/>
  <c r="K591" i="4"/>
  <c r="K590" i="4"/>
  <c r="BE479" i="3"/>
  <c r="BE503" i="3" s="1"/>
  <c r="BE32" i="3"/>
  <c r="N128" i="4"/>
  <c r="N138" i="4"/>
  <c r="N513" i="4"/>
  <c r="N364" i="4"/>
  <c r="N63" i="4"/>
  <c r="N665" i="4"/>
  <c r="N127" i="4"/>
  <c r="N583" i="4"/>
  <c r="N61" i="4"/>
  <c r="N719" i="4"/>
  <c r="N724" i="4"/>
  <c r="N435" i="4"/>
  <c r="N157" i="4"/>
  <c r="N215" i="4"/>
  <c r="N438" i="4"/>
  <c r="N695" i="4"/>
  <c r="N59" i="4"/>
  <c r="N295" i="4"/>
  <c r="N502" i="4"/>
  <c r="N651" i="4"/>
  <c r="N721" i="4"/>
  <c r="N54" i="4"/>
  <c r="N212" i="4"/>
  <c r="N135" i="4"/>
  <c r="N11" i="4"/>
  <c r="N292" i="4"/>
  <c r="N210" i="4"/>
  <c r="N510" i="4"/>
  <c r="N366" i="4"/>
  <c r="N53" i="4"/>
  <c r="N649" i="4"/>
  <c r="N580" i="4"/>
  <c r="N187" i="4"/>
  <c r="N720" i="4"/>
  <c r="AW729" i="4"/>
  <c r="M128" i="4"/>
  <c r="M510" i="4"/>
  <c r="AY379" i="4"/>
  <c r="AY380" i="4" s="1"/>
  <c r="AY424" i="4" s="1"/>
  <c r="M11" i="4"/>
  <c r="M50" i="4" s="1"/>
  <c r="M63" i="4"/>
  <c r="M127" i="4"/>
  <c r="M54" i="4"/>
  <c r="M212" i="4"/>
  <c r="AY451" i="4"/>
  <c r="AY452" i="4" s="1"/>
  <c r="AY499" i="4" s="1"/>
  <c r="M649" i="4"/>
  <c r="M583" i="4"/>
  <c r="M157" i="4"/>
  <c r="M201" i="4" s="1"/>
  <c r="M695" i="4"/>
  <c r="M721" i="4"/>
  <c r="M187" i="4"/>
  <c r="AY596" i="4"/>
  <c r="AY597" i="4" s="1"/>
  <c r="AY638" i="4" s="1"/>
  <c r="M61" i="4"/>
  <c r="M292" i="4"/>
  <c r="M210" i="4"/>
  <c r="M53" i="4"/>
  <c r="M651" i="4"/>
  <c r="M59" i="4"/>
  <c r="AY664" i="4"/>
  <c r="AY665" i="4" s="1"/>
  <c r="AY710" i="4" s="1"/>
  <c r="M435" i="4"/>
  <c r="M720" i="4"/>
  <c r="AY308" i="4"/>
  <c r="AY309" i="4" s="1"/>
  <c r="AY353" i="4" s="1"/>
  <c r="M665" i="4"/>
  <c r="M710" i="4" s="1"/>
  <c r="M135" i="4"/>
  <c r="AY10" i="4"/>
  <c r="AY11" i="4" s="1"/>
  <c r="AY50" i="4" s="1"/>
  <c r="M580" i="4"/>
  <c r="M215" i="4"/>
  <c r="M364" i="4"/>
  <c r="M366" i="4"/>
  <c r="AY525" i="4"/>
  <c r="AY526" i="4" s="1"/>
  <c r="AY228" i="4"/>
  <c r="AY229" i="4" s="1"/>
  <c r="AY277" i="4" s="1"/>
  <c r="M502" i="4"/>
  <c r="M719" i="4"/>
  <c r="M438" i="4"/>
  <c r="M724" i="4"/>
  <c r="AY156" i="4"/>
  <c r="AY157" i="4" s="1"/>
  <c r="AY201" i="4" s="1"/>
  <c r="M513" i="4"/>
  <c r="AY78" i="4"/>
  <c r="AY79" i="4" s="1"/>
  <c r="AY124" i="4" s="1"/>
  <c r="M138" i="4"/>
  <c r="M295" i="4"/>
  <c r="AW109" i="4"/>
  <c r="AW143" i="4"/>
  <c r="P3" i="4"/>
  <c r="P5" i="3"/>
  <c r="Q5" i="3"/>
  <c r="K222" i="4"/>
  <c r="K109" i="4"/>
  <c r="K185" i="4"/>
  <c r="AW723" i="4"/>
  <c r="AW730" i="4"/>
  <c r="AW695" i="4"/>
  <c r="BQ120" i="3"/>
  <c r="AM230" i="3"/>
  <c r="BQ230" i="3" s="1"/>
  <c r="BQ227" i="3"/>
  <c r="AM323" i="3"/>
  <c r="BQ323" i="3" s="1"/>
  <c r="AL460" i="3"/>
  <c r="AL161" i="3"/>
  <c r="AM451" i="3"/>
  <c r="AN451" i="3" s="1"/>
  <c r="AL100" i="3"/>
  <c r="BQ141" i="3"/>
  <c r="AM251" i="3"/>
  <c r="BQ251" i="3" s="1"/>
  <c r="BQ140" i="3"/>
  <c r="AM250" i="3"/>
  <c r="BQ250" i="3" s="1"/>
  <c r="BJ703" i="4"/>
  <c r="AK703" i="4"/>
  <c r="AL703" i="4" s="1"/>
  <c r="BJ457" i="4"/>
  <c r="BK266" i="4"/>
  <c r="BK276" i="4" s="1"/>
  <c r="AL413" i="4"/>
  <c r="AK46" i="4"/>
  <c r="AL537" i="3" s="1"/>
  <c r="BK112" i="4"/>
  <c r="BK123" i="4" s="1"/>
  <c r="BJ162" i="4"/>
  <c r="AK162" i="4"/>
  <c r="AL457" i="4"/>
  <c r="AL164" i="4"/>
  <c r="AL673" i="4"/>
  <c r="AL671" i="4"/>
  <c r="AL672" i="4"/>
  <c r="BJ471" i="4"/>
  <c r="AK471" i="4"/>
  <c r="BJ463" i="4"/>
  <c r="AK463" i="4"/>
  <c r="BK89" i="4"/>
  <c r="BK132" i="4" s="1"/>
  <c r="BK196" i="4"/>
  <c r="BK203" i="4" s="1"/>
  <c r="AL194" i="4"/>
  <c r="AL676" i="4"/>
  <c r="BJ243" i="4"/>
  <c r="AP152" i="28" s="1"/>
  <c r="AP60" i="28" s="1"/>
  <c r="AK243" i="4"/>
  <c r="X152" i="28" s="1"/>
  <c r="X60" i="28" s="1"/>
  <c r="AK423" i="4"/>
  <c r="AL456" i="4"/>
  <c r="AK328" i="4"/>
  <c r="AL235" i="4"/>
  <c r="AK386" i="4"/>
  <c r="AL228" i="4"/>
  <c r="AM228" i="4" s="1"/>
  <c r="AK379" i="4"/>
  <c r="BP52" i="3"/>
  <c r="BI35" i="4"/>
  <c r="BO80" i="3"/>
  <c r="AI702" i="4"/>
  <c r="AJ702" i="4" s="1"/>
  <c r="BI387" i="4"/>
  <c r="BI430" i="4" s="1"/>
  <c r="BJ203" i="4"/>
  <c r="BJ205" i="4"/>
  <c r="AK460" i="3"/>
  <c r="BP460" i="3" s="1"/>
  <c r="BP451" i="3"/>
  <c r="AK161" i="3"/>
  <c r="BP161" i="3" s="1"/>
  <c r="AK100" i="3"/>
  <c r="BP100" i="3" s="1"/>
  <c r="BI402" i="4"/>
  <c r="BJ413" i="4"/>
  <c r="BJ423" i="4" s="1"/>
  <c r="AJ423" i="4"/>
  <c r="AJ244" i="4"/>
  <c r="AI391" i="4"/>
  <c r="AJ236" i="4"/>
  <c r="AI387" i="4"/>
  <c r="BJ194" i="4"/>
  <c r="AJ312" i="4"/>
  <c r="AK312" i="4" s="1"/>
  <c r="BJ46" i="4"/>
  <c r="BP537" i="3" s="1"/>
  <c r="AK537" i="3"/>
  <c r="AJ379" i="4"/>
  <c r="BI458" i="4"/>
  <c r="BI504" i="4" s="1"/>
  <c r="AJ429" i="4"/>
  <c r="BN79" i="3"/>
  <c r="C18" i="33" s="1"/>
  <c r="BH434" i="4"/>
  <c r="BN70" i="3"/>
  <c r="BH34" i="4"/>
  <c r="BO96" i="3"/>
  <c r="BO82" i="3"/>
  <c r="BH22" i="4"/>
  <c r="BI459" i="4"/>
  <c r="BI505" i="4" s="1"/>
  <c r="BN42" i="3"/>
  <c r="BN502" i="3" s="1"/>
  <c r="BI346" i="4"/>
  <c r="BI417" i="4"/>
  <c r="BI331" i="4"/>
  <c r="BI312" i="4"/>
  <c r="BI357" i="4" s="1"/>
  <c r="BI462" i="4"/>
  <c r="BH119" i="4"/>
  <c r="BH503" i="4"/>
  <c r="BC298" i="4"/>
  <c r="BM113" i="3"/>
  <c r="BC218" i="4"/>
  <c r="BC141" i="4"/>
  <c r="BM391" i="3"/>
  <c r="BH39" i="4"/>
  <c r="BH49" i="4" s="1"/>
  <c r="BN385" i="3"/>
  <c r="C32" i="33" s="1"/>
  <c r="BH328" i="4"/>
  <c r="BM389" i="3"/>
  <c r="BM116" i="3"/>
  <c r="BH702" i="4"/>
  <c r="BH711" i="4" s="1"/>
  <c r="BG509" i="4"/>
  <c r="BJ75" i="3"/>
  <c r="AI13" i="32" s="1"/>
  <c r="BE165" i="4"/>
  <c r="BE208" i="4" s="1"/>
  <c r="BM173" i="3"/>
  <c r="BD1" i="4"/>
  <c r="BD2" i="4" s="1"/>
  <c r="BD3" i="4"/>
  <c r="BL421" i="3"/>
  <c r="BL423" i="3"/>
  <c r="BK426" i="3"/>
  <c r="BL403" i="3"/>
  <c r="BK321" i="3"/>
  <c r="BL138" i="3"/>
  <c r="BL223" i="3"/>
  <c r="BL168" i="3"/>
  <c r="BC489" i="4"/>
  <c r="BL167" i="3"/>
  <c r="BL170" i="3"/>
  <c r="BL192" i="3"/>
  <c r="BL247" i="3"/>
  <c r="BC344" i="4"/>
  <c r="BL169" i="3"/>
  <c r="BL224" i="3"/>
  <c r="BL142" i="3"/>
  <c r="BK45" i="3"/>
  <c r="BL381" i="3"/>
  <c r="BL290" i="3"/>
  <c r="AX463" i="3"/>
  <c r="AX466" i="3"/>
  <c r="AX482" i="3" s="1"/>
  <c r="AX506" i="3" s="1"/>
  <c r="AX272" i="3"/>
  <c r="AX160" i="3"/>
  <c r="AX450" i="3" s="1"/>
  <c r="AX154" i="3"/>
  <c r="R543" i="3"/>
  <c r="R545" i="3" s="1"/>
  <c r="S542" i="3"/>
  <c r="AC223" i="14"/>
  <c r="AB223" i="14"/>
  <c r="AD316" i="14"/>
  <c r="AE283" i="14"/>
  <c r="AD299" i="14"/>
  <c r="AD32" i="14"/>
  <c r="AE98" i="14"/>
  <c r="AE24" i="14"/>
  <c r="AY343" i="3"/>
  <c r="AY345" i="3" s="1"/>
  <c r="AY349" i="3" s="1"/>
  <c r="AY88" i="3"/>
  <c r="AY94" i="3" s="1"/>
  <c r="AY98" i="3" s="1"/>
  <c r="AX424" i="3"/>
  <c r="AX456" i="3"/>
  <c r="Q545" i="3"/>
  <c r="BF545" i="3" s="1"/>
  <c r="BF543" i="3"/>
  <c r="BI544" i="3"/>
  <c r="BL390" i="3"/>
  <c r="BL53" i="3"/>
  <c r="AM7" i="32" l="1"/>
  <c r="C11" i="33"/>
  <c r="AM19" i="32"/>
  <c r="C3" i="32"/>
  <c r="D2" i="32"/>
  <c r="AN462" i="4"/>
  <c r="BL462" i="4" s="1"/>
  <c r="AM507" i="4"/>
  <c r="X62" i="28"/>
  <c r="X63" i="28"/>
  <c r="AP63" i="28"/>
  <c r="AP62" i="28"/>
  <c r="D3" i="28"/>
  <c r="E2" i="28"/>
  <c r="AM2" i="28"/>
  <c r="BM3" i="3"/>
  <c r="BG1" i="4"/>
  <c r="BM2" i="3"/>
  <c r="BJ289" i="4"/>
  <c r="R33" i="3"/>
  <c r="R356" i="3" s="1"/>
  <c r="R357" i="3" s="1"/>
  <c r="R481" i="3" s="1"/>
  <c r="R505" i="3" s="1"/>
  <c r="AS246" i="3"/>
  <c r="BT246" i="3" s="1"/>
  <c r="BT136" i="3"/>
  <c r="AS249" i="3"/>
  <c r="BT249" i="3" s="1"/>
  <c r="BT139" i="3"/>
  <c r="AT510" i="4"/>
  <c r="AS117" i="3"/>
  <c r="AR227" i="3"/>
  <c r="AR323" i="3" s="1"/>
  <c r="AR448" i="3"/>
  <c r="AS158" i="3"/>
  <c r="AR461" i="3"/>
  <c r="AS452" i="3"/>
  <c r="AR245" i="3"/>
  <c r="AS135" i="3"/>
  <c r="AR447" i="3"/>
  <c r="AS157" i="3"/>
  <c r="AS174" i="3"/>
  <c r="AR196" i="3"/>
  <c r="BM311" i="4"/>
  <c r="AQ311" i="4"/>
  <c r="BM342" i="4"/>
  <c r="BM352" i="4" s="1"/>
  <c r="AQ342" i="4"/>
  <c r="BM266" i="4"/>
  <c r="AQ266" i="4"/>
  <c r="AT364" i="4"/>
  <c r="AQ420" i="4"/>
  <c r="BL675" i="4"/>
  <c r="BL718" i="4" s="1"/>
  <c r="AQ447" i="3"/>
  <c r="BS447" i="3" s="1"/>
  <c r="BS157" i="3"/>
  <c r="AQ196" i="3"/>
  <c r="BS196" i="3" s="1"/>
  <c r="BS174" i="3"/>
  <c r="AQ227" i="3"/>
  <c r="BS117" i="3"/>
  <c r="AQ448" i="3"/>
  <c r="BS448" i="3" s="1"/>
  <c r="BS158" i="3"/>
  <c r="AQ461" i="3"/>
  <c r="BS461" i="3" s="1"/>
  <c r="BS452" i="3"/>
  <c r="AQ245" i="3"/>
  <c r="BS245" i="3" s="1"/>
  <c r="BS135" i="3"/>
  <c r="AQ140" i="3"/>
  <c r="AR140" i="3" s="1"/>
  <c r="AP250" i="3"/>
  <c r="AQ119" i="3"/>
  <c r="AP141" i="3"/>
  <c r="AP251" i="3" s="1"/>
  <c r="AP229" i="3"/>
  <c r="AQ120" i="3"/>
  <c r="AR120" i="3" s="1"/>
  <c r="AP230" i="3"/>
  <c r="BL86" i="4"/>
  <c r="BL130" i="4" s="1"/>
  <c r="AO86" i="4"/>
  <c r="BL101" i="4"/>
  <c r="AO101" i="4"/>
  <c r="BL163" i="4"/>
  <c r="BL206" i="4" s="1"/>
  <c r="AO163" i="4"/>
  <c r="AP314" i="4"/>
  <c r="BL161" i="4"/>
  <c r="AO161" i="4"/>
  <c r="BL112" i="4"/>
  <c r="BL123" i="4" s="1"/>
  <c r="AO112" i="4"/>
  <c r="BL89" i="4"/>
  <c r="BL132" i="4" s="1"/>
  <c r="AO89" i="4"/>
  <c r="BL160" i="4"/>
  <c r="AO160" i="4"/>
  <c r="AP308" i="4"/>
  <c r="AP413" i="4"/>
  <c r="AP313" i="4"/>
  <c r="AO413" i="4"/>
  <c r="AO230" i="3"/>
  <c r="BR230" i="3" s="1"/>
  <c r="BR120" i="3"/>
  <c r="AO323" i="3"/>
  <c r="BR323" i="3" s="1"/>
  <c r="BR227" i="3"/>
  <c r="AO251" i="3"/>
  <c r="BR251" i="3" s="1"/>
  <c r="BR141" i="3"/>
  <c r="AO250" i="3"/>
  <c r="BR250" i="3" s="1"/>
  <c r="BR140" i="3"/>
  <c r="AO451" i="3"/>
  <c r="AN460" i="3"/>
  <c r="AN161" i="3"/>
  <c r="AN100" i="3"/>
  <c r="AN255" i="4"/>
  <c r="AN413" i="4"/>
  <c r="BL413" i="4" s="1"/>
  <c r="BL266" i="4"/>
  <c r="BL276" i="4" s="1"/>
  <c r="AN675" i="4"/>
  <c r="BK456" i="4"/>
  <c r="AM456" i="4"/>
  <c r="BK316" i="4"/>
  <c r="BK457" i="4"/>
  <c r="AM457" i="4"/>
  <c r="AN85" i="4"/>
  <c r="BK672" i="4"/>
  <c r="BK716" i="4" s="1"/>
  <c r="AM672" i="4"/>
  <c r="AM194" i="4"/>
  <c r="AN196" i="4"/>
  <c r="AO196" i="4" s="1"/>
  <c r="AM423" i="4"/>
  <c r="AN454" i="4"/>
  <c r="AN228" i="4"/>
  <c r="AO228" i="4" s="1"/>
  <c r="AM379" i="4"/>
  <c r="BK671" i="4"/>
  <c r="BK715" i="4" s="1"/>
  <c r="AM671" i="4"/>
  <c r="AM46" i="4"/>
  <c r="AN537" i="3" s="1"/>
  <c r="BK676" i="4"/>
  <c r="AM676" i="4"/>
  <c r="BK673" i="4"/>
  <c r="BK717" i="4" s="1"/>
  <c r="AM673" i="4"/>
  <c r="BK703" i="4"/>
  <c r="AM703" i="4"/>
  <c r="BK235" i="4"/>
  <c r="BK282" i="4" s="1"/>
  <c r="AM235" i="4"/>
  <c r="BK164" i="4"/>
  <c r="BK207" i="4" s="1"/>
  <c r="AM164" i="4"/>
  <c r="AW220" i="4"/>
  <c r="AX694" i="4"/>
  <c r="AX729" i="4" s="1"/>
  <c r="AD232" i="14"/>
  <c r="AE73" i="14"/>
  <c r="AD73" i="14"/>
  <c r="AE232" i="14"/>
  <c r="AD40" i="14"/>
  <c r="K186" i="4"/>
  <c r="K221" i="4"/>
  <c r="K214" i="4"/>
  <c r="AX185" i="4"/>
  <c r="AW146" i="4"/>
  <c r="AW145" i="4"/>
  <c r="N185" i="4"/>
  <c r="N186" i="4" s="1"/>
  <c r="N222" i="4"/>
  <c r="R1" i="4"/>
  <c r="R2" i="4" s="1"/>
  <c r="S3" i="3"/>
  <c r="T1" i="3"/>
  <c r="S2" i="3"/>
  <c r="AX582" i="4"/>
  <c r="AX589" i="4"/>
  <c r="M590" i="4"/>
  <c r="M591" i="4"/>
  <c r="K107" i="4"/>
  <c r="K146" i="4"/>
  <c r="K145" i="4"/>
  <c r="N109" i="4"/>
  <c r="M185" i="4"/>
  <c r="M222" i="4"/>
  <c r="AE40" i="14"/>
  <c r="N553" i="4"/>
  <c r="P552" i="4"/>
  <c r="N589" i="4"/>
  <c r="N582" i="4"/>
  <c r="O582" i="4"/>
  <c r="Q552" i="4"/>
  <c r="O553" i="4"/>
  <c r="O554" i="4" s="1"/>
  <c r="N50" i="4"/>
  <c r="N201" i="4"/>
  <c r="Q3" i="4"/>
  <c r="AE230" i="14"/>
  <c r="AE229" i="14"/>
  <c r="AD230" i="14"/>
  <c r="AD229" i="14"/>
  <c r="AY552" i="4"/>
  <c r="L214" i="4"/>
  <c r="L186" i="4"/>
  <c r="L221" i="4"/>
  <c r="AW214" i="4"/>
  <c r="AW187" i="4"/>
  <c r="AW221" i="4"/>
  <c r="AW731" i="4"/>
  <c r="AW732" i="4"/>
  <c r="Q524" i="3"/>
  <c r="Q525" i="3"/>
  <c r="Q61" i="3"/>
  <c r="Q536" i="3"/>
  <c r="Q532" i="3"/>
  <c r="Q564" i="3"/>
  <c r="Q26" i="3" s="1"/>
  <c r="Q528" i="3"/>
  <c r="Q533" i="3"/>
  <c r="Q563" i="3"/>
  <c r="Q22" i="3" s="1"/>
  <c r="P5" i="4"/>
  <c r="M109" i="4"/>
  <c r="M693" i="4"/>
  <c r="M731" i="4"/>
  <c r="N710" i="4"/>
  <c r="L145" i="4"/>
  <c r="L107" i="4"/>
  <c r="L146" i="4"/>
  <c r="Q357" i="3"/>
  <c r="Q481" i="3" s="1"/>
  <c r="Q505" i="3" s="1"/>
  <c r="BF356" i="3"/>
  <c r="BF357" i="3" s="1"/>
  <c r="BF481" i="3" s="1"/>
  <c r="BF505" i="3" s="1"/>
  <c r="AX553" i="4"/>
  <c r="L554" i="4"/>
  <c r="AW590" i="4"/>
  <c r="AW591" i="4"/>
  <c r="P525" i="3"/>
  <c r="P564" i="3"/>
  <c r="P26" i="3" s="1"/>
  <c r="O5" i="4"/>
  <c r="P536" i="3"/>
  <c r="P532" i="3"/>
  <c r="P563" i="3"/>
  <c r="P22" i="3" s="1"/>
  <c r="P61" i="3"/>
  <c r="BF33" i="3"/>
  <c r="P524" i="3"/>
  <c r="BF29" i="3"/>
  <c r="P533" i="3"/>
  <c r="BF56" i="3"/>
  <c r="P528" i="3"/>
  <c r="BF60" i="3"/>
  <c r="BF61" i="3" s="1"/>
  <c r="N693" i="4"/>
  <c r="N694" i="4" s="1"/>
  <c r="N731" i="4"/>
  <c r="AX730" i="4"/>
  <c r="AX723" i="4"/>
  <c r="BJ312" i="4"/>
  <c r="BQ52" i="3"/>
  <c r="AM460" i="3"/>
  <c r="BQ460" i="3" s="1"/>
  <c r="BQ451" i="3"/>
  <c r="AM161" i="3"/>
  <c r="BQ161" i="3" s="1"/>
  <c r="AM100" i="3"/>
  <c r="BQ100" i="3" s="1"/>
  <c r="AL162" i="4"/>
  <c r="BI507" i="4"/>
  <c r="BJ507" i="4"/>
  <c r="AJ391" i="4"/>
  <c r="BJ391" i="4" s="1"/>
  <c r="AK244" i="4"/>
  <c r="AL243" i="4"/>
  <c r="Y152" i="28" s="1"/>
  <c r="Y60" i="28" s="1"/>
  <c r="AL463" i="4"/>
  <c r="BK120" i="4"/>
  <c r="AL46" i="4"/>
  <c r="AL312" i="4"/>
  <c r="BK194" i="4"/>
  <c r="BK413" i="4"/>
  <c r="BK423" i="4" s="1"/>
  <c r="AL423" i="4"/>
  <c r="BJ236" i="4"/>
  <c r="BJ283" i="4" s="1"/>
  <c r="AK236" i="4"/>
  <c r="BK205" i="4"/>
  <c r="AL471" i="4"/>
  <c r="AL379" i="4"/>
  <c r="AL386" i="4"/>
  <c r="BK386" i="4" s="1"/>
  <c r="BK429" i="4" s="1"/>
  <c r="AL328" i="4"/>
  <c r="AK429" i="4"/>
  <c r="AI704" i="4"/>
  <c r="BJ244" i="4"/>
  <c r="BI455" i="4"/>
  <c r="AJ459" i="4"/>
  <c r="AI505" i="4"/>
  <c r="AJ387" i="4"/>
  <c r="AJ430" i="4" s="1"/>
  <c r="BI488" i="4"/>
  <c r="BI498" i="4" s="1"/>
  <c r="AJ167" i="4"/>
  <c r="AI179" i="4"/>
  <c r="AI430" i="4"/>
  <c r="AJ331" i="4"/>
  <c r="AI402" i="4"/>
  <c r="AJ704" i="4"/>
  <c r="BJ704" i="4" s="1"/>
  <c r="BJ702" i="4"/>
  <c r="BJ711" i="4" s="1"/>
  <c r="BI291" i="4"/>
  <c r="BO66" i="3"/>
  <c r="BI494" i="4"/>
  <c r="BI501" i="4" s="1"/>
  <c r="AI504" i="4"/>
  <c r="AJ458" i="4"/>
  <c r="BI328" i="4"/>
  <c r="BI179" i="4"/>
  <c r="BI168" i="4"/>
  <c r="BI18" i="4"/>
  <c r="BI56" i="4" s="1"/>
  <c r="BO65" i="3"/>
  <c r="D8" i="33" s="1"/>
  <c r="BN391" i="3"/>
  <c r="BN118" i="3"/>
  <c r="BI318" i="4"/>
  <c r="BI17" i="4"/>
  <c r="BI55" i="4" s="1"/>
  <c r="BI167" i="4"/>
  <c r="BI209" i="4" s="1"/>
  <c r="BI118" i="4"/>
  <c r="BI126" i="4" s="1"/>
  <c r="BI116" i="4"/>
  <c r="BI704" i="4"/>
  <c r="BI702" i="4"/>
  <c r="BI711" i="4" s="1"/>
  <c r="BH492" i="4"/>
  <c r="BI45" i="4"/>
  <c r="BI52" i="4" s="1"/>
  <c r="BC369" i="4"/>
  <c r="BH43" i="4"/>
  <c r="BL462" i="3"/>
  <c r="BM403" i="3"/>
  <c r="BM115" i="3"/>
  <c r="BM287" i="3"/>
  <c r="BM114" i="3"/>
  <c r="BM137" i="3"/>
  <c r="BM112" i="3"/>
  <c r="BH704" i="4"/>
  <c r="BE176" i="4"/>
  <c r="BE166" i="4"/>
  <c r="AK147" i="28" s="1"/>
  <c r="AK44" i="28" s="1"/>
  <c r="BE30" i="4"/>
  <c r="BM226" i="3"/>
  <c r="BM171" i="3"/>
  <c r="BE3" i="4"/>
  <c r="BE1" i="4"/>
  <c r="BE2" i="4" s="1"/>
  <c r="BM324" i="3"/>
  <c r="BM228" i="3"/>
  <c r="BL225" i="3"/>
  <c r="BL322" i="3"/>
  <c r="BC415" i="4"/>
  <c r="BL252" i="3"/>
  <c r="BL197" i="3"/>
  <c r="BL288" i="3"/>
  <c r="BL302" i="3" s="1"/>
  <c r="BL312" i="3"/>
  <c r="BK50" i="3"/>
  <c r="BL222" i="3"/>
  <c r="BJ544" i="3"/>
  <c r="AY101" i="3"/>
  <c r="AY91" i="3"/>
  <c r="C98" i="3"/>
  <c r="AZ93" i="3"/>
  <c r="AY521" i="3"/>
  <c r="AY520" i="3"/>
  <c r="T542" i="3"/>
  <c r="U542" i="3" s="1"/>
  <c r="BG542" i="3"/>
  <c r="S543" i="3"/>
  <c r="AX143" i="3"/>
  <c r="AX253" i="3" s="1"/>
  <c r="AX264" i="3" s="1"/>
  <c r="AX274" i="3" s="1"/>
  <c r="AX164" i="3"/>
  <c r="AX467" i="3"/>
  <c r="AX483" i="3" s="1"/>
  <c r="AX507" i="3" s="1"/>
  <c r="AX484" i="3"/>
  <c r="AX522" i="3"/>
  <c r="AX581" i="3" s="1"/>
  <c r="AX523" i="3"/>
  <c r="BK359" i="4" l="1"/>
  <c r="BO316" i="4"/>
  <c r="AI475" i="4"/>
  <c r="AJ475" i="4" s="1"/>
  <c r="AK475" i="4" s="1"/>
  <c r="BG2" i="4"/>
  <c r="D3" i="32"/>
  <c r="AL3" i="32"/>
  <c r="E2" i="32"/>
  <c r="BL507" i="4"/>
  <c r="AO462" i="4"/>
  <c r="AN507" i="4"/>
  <c r="AK46" i="28"/>
  <c r="AK47" i="28"/>
  <c r="Y63" i="28"/>
  <c r="Y62" i="28"/>
  <c r="E3" i="28"/>
  <c r="F2" i="28"/>
  <c r="BG3" i="4"/>
  <c r="AM3" i="28"/>
  <c r="AN2" i="28"/>
  <c r="BN3" i="3"/>
  <c r="BH1" i="4"/>
  <c r="BN2" i="3"/>
  <c r="S33" i="3"/>
  <c r="S356" i="3" s="1"/>
  <c r="AS196" i="3"/>
  <c r="BT196" i="3" s="1"/>
  <c r="BT174" i="3"/>
  <c r="AS461" i="3"/>
  <c r="BT461" i="3" s="1"/>
  <c r="BT452" i="3"/>
  <c r="AS447" i="3"/>
  <c r="BT447" i="3" s="1"/>
  <c r="BT157" i="3"/>
  <c r="AS448" i="3"/>
  <c r="BT448" i="3" s="1"/>
  <c r="BT158" i="3"/>
  <c r="AS227" i="3"/>
  <c r="BT117" i="3"/>
  <c r="AS245" i="3"/>
  <c r="BT245" i="3" s="1"/>
  <c r="BT135" i="3"/>
  <c r="BM675" i="4"/>
  <c r="BM718" i="4" s="1"/>
  <c r="AR266" i="4"/>
  <c r="BN266" i="4" s="1"/>
  <c r="BN276" i="4" s="1"/>
  <c r="AR420" i="4"/>
  <c r="BN420" i="4" s="1"/>
  <c r="BN349" i="4"/>
  <c r="AS140" i="3"/>
  <c r="AR250" i="3"/>
  <c r="AS120" i="3"/>
  <c r="AR230" i="3"/>
  <c r="BS119" i="3"/>
  <c r="AR119" i="3"/>
  <c r="AR342" i="4"/>
  <c r="AQ413" i="4"/>
  <c r="BM313" i="4"/>
  <c r="AQ313" i="4"/>
  <c r="AR311" i="4"/>
  <c r="BN311" i="4" s="1"/>
  <c r="BM314" i="4"/>
  <c r="AQ314" i="4"/>
  <c r="AQ308" i="4"/>
  <c r="BL672" i="4"/>
  <c r="BL716" i="4" s="1"/>
  <c r="BL673" i="4"/>
  <c r="BL717" i="4" s="1"/>
  <c r="BL671" i="4"/>
  <c r="BL715" i="4" s="1"/>
  <c r="BL676" i="4"/>
  <c r="BM276" i="4"/>
  <c r="AQ230" i="3"/>
  <c r="BS120" i="3"/>
  <c r="AQ323" i="3"/>
  <c r="BS227" i="3"/>
  <c r="AQ250" i="3"/>
  <c r="BS140" i="3"/>
  <c r="AQ141" i="3"/>
  <c r="AQ229" i="3"/>
  <c r="BS229" i="3" s="1"/>
  <c r="BR451" i="3"/>
  <c r="AP451" i="3"/>
  <c r="AP423" i="4"/>
  <c r="BM413" i="4"/>
  <c r="BM423" i="4" s="1"/>
  <c r="AP163" i="4"/>
  <c r="AP160" i="4"/>
  <c r="AP161" i="4"/>
  <c r="AO675" i="4"/>
  <c r="BL90" i="4"/>
  <c r="BL255" i="4"/>
  <c r="AO255" i="4"/>
  <c r="AP196" i="4"/>
  <c r="AP112" i="4"/>
  <c r="AP101" i="4"/>
  <c r="AP89" i="4"/>
  <c r="AP228" i="4"/>
  <c r="AO423" i="4"/>
  <c r="AO379" i="4"/>
  <c r="BL85" i="4"/>
  <c r="BL129" i="4" s="1"/>
  <c r="AO85" i="4"/>
  <c r="BL454" i="4"/>
  <c r="AO454" i="4"/>
  <c r="AP86" i="4"/>
  <c r="AN423" i="4"/>
  <c r="AN703" i="4"/>
  <c r="BL703" i="4"/>
  <c r="BL423" i="4"/>
  <c r="BR52" i="3"/>
  <c r="AO460" i="3"/>
  <c r="BR460" i="3" s="1"/>
  <c r="AO161" i="3"/>
  <c r="BR161" i="3" s="1"/>
  <c r="AO100" i="3"/>
  <c r="BR100" i="3" s="1"/>
  <c r="AN194" i="4"/>
  <c r="AO194" i="4" s="1"/>
  <c r="BL196" i="4"/>
  <c r="AN457" i="4"/>
  <c r="AN164" i="4"/>
  <c r="AN46" i="4"/>
  <c r="BL120" i="4"/>
  <c r="AN673" i="4"/>
  <c r="AN676" i="4"/>
  <c r="AN671" i="4"/>
  <c r="BK471" i="4"/>
  <c r="AM471" i="4"/>
  <c r="AN235" i="4"/>
  <c r="AM386" i="4"/>
  <c r="AN379" i="4"/>
  <c r="AM328" i="4"/>
  <c r="BK463" i="4"/>
  <c r="AM463" i="4"/>
  <c r="BK243" i="4"/>
  <c r="AM243" i="4"/>
  <c r="Z152" i="28" s="1"/>
  <c r="Z60" i="28" s="1"/>
  <c r="AX695" i="4"/>
  <c r="AX732" i="4" s="1"/>
  <c r="AN672" i="4"/>
  <c r="AN456" i="4"/>
  <c r="AM312" i="4"/>
  <c r="BK162" i="4"/>
  <c r="AM162" i="4"/>
  <c r="AX186" i="4"/>
  <c r="AX220" i="4" s="1"/>
  <c r="AX588" i="4"/>
  <c r="AX554" i="4"/>
  <c r="L108" i="4"/>
  <c r="L137" i="4"/>
  <c r="L144" i="4"/>
  <c r="Q582" i="4"/>
  <c r="Q553" i="4"/>
  <c r="Q554" i="4" s="1"/>
  <c r="AX214" i="4"/>
  <c r="AX221" i="4"/>
  <c r="P128" i="4"/>
  <c r="P187" i="4"/>
  <c r="P215" i="4"/>
  <c r="P513" i="4"/>
  <c r="P212" i="4"/>
  <c r="P11" i="4"/>
  <c r="P651" i="4"/>
  <c r="P649" i="4"/>
  <c r="P63" i="4"/>
  <c r="P510" i="4"/>
  <c r="P724" i="4"/>
  <c r="P135" i="4"/>
  <c r="P438" i="4"/>
  <c r="P61" i="4"/>
  <c r="P502" i="4"/>
  <c r="P583" i="4"/>
  <c r="P366" i="4"/>
  <c r="P157" i="4"/>
  <c r="P364" i="4"/>
  <c r="P127" i="4"/>
  <c r="P54" i="4"/>
  <c r="P720" i="4"/>
  <c r="P59" i="4"/>
  <c r="P721" i="4"/>
  <c r="P53" i="4"/>
  <c r="P138" i="4"/>
  <c r="P295" i="4"/>
  <c r="P665" i="4"/>
  <c r="P719" i="4"/>
  <c r="P580" i="4"/>
  <c r="P292" i="4"/>
  <c r="P435" i="4"/>
  <c r="P210" i="4"/>
  <c r="P695" i="4"/>
  <c r="T3" i="3"/>
  <c r="T2" i="3"/>
  <c r="U1" i="3"/>
  <c r="S1" i="4"/>
  <c r="S2" i="4" s="1"/>
  <c r="AF318" i="14"/>
  <c r="AF213" i="14"/>
  <c r="AF237" i="14" s="1"/>
  <c r="AF168" i="14"/>
  <c r="AF72" i="14"/>
  <c r="AF307" i="14"/>
  <c r="AF309" i="14" s="1"/>
  <c r="AF14" i="14"/>
  <c r="AF317" i="14"/>
  <c r="AF23" i="14"/>
  <c r="AF243" i="14"/>
  <c r="AF282" i="14"/>
  <c r="AF222" i="14"/>
  <c r="AF212" i="14"/>
  <c r="AF315" i="14"/>
  <c r="AF316" i="14"/>
  <c r="AF313" i="14"/>
  <c r="AF290" i="14"/>
  <c r="AF314" i="14"/>
  <c r="AF45" i="14"/>
  <c r="AF190" i="14"/>
  <c r="AF97" i="14"/>
  <c r="AF24" i="14"/>
  <c r="AF249" i="14"/>
  <c r="AF33" i="14"/>
  <c r="AF28" i="14"/>
  <c r="AF291" i="14"/>
  <c r="AF46" i="14"/>
  <c r="AF22" i="14"/>
  <c r="AF25" i="14"/>
  <c r="AF98" i="14"/>
  <c r="AF304" i="14"/>
  <c r="AF241" i="14"/>
  <c r="AF35" i="14"/>
  <c r="AF298" i="14"/>
  <c r="AF310" i="14"/>
  <c r="AF283" i="14"/>
  <c r="AF289" i="14"/>
  <c r="AF302" i="14"/>
  <c r="AF299" i="14"/>
  <c r="AF32" i="14"/>
  <c r="AF285" i="14"/>
  <c r="AF118" i="14"/>
  <c r="AF16" i="14"/>
  <c r="AF303" i="14"/>
  <c r="AF306" i="14"/>
  <c r="AF288" i="14"/>
  <c r="AF74" i="14"/>
  <c r="AF39" i="14"/>
  <c r="AF300" i="14"/>
  <c r="N221" i="4"/>
  <c r="N214" i="4"/>
  <c r="AY582" i="4"/>
  <c r="AY589" i="4"/>
  <c r="BF32" i="3"/>
  <c r="BF479" i="3"/>
  <c r="BF503" i="3" s="1"/>
  <c r="M730" i="4"/>
  <c r="M723" i="4"/>
  <c r="AY693" i="4"/>
  <c r="M694" i="4"/>
  <c r="AY694" i="4" s="1"/>
  <c r="AW223" i="4"/>
  <c r="AW222" i="4"/>
  <c r="P589" i="4"/>
  <c r="P582" i="4"/>
  <c r="P553" i="4"/>
  <c r="AZ552" i="4"/>
  <c r="M186" i="4"/>
  <c r="AY186" i="4" s="1"/>
  <c r="M221" i="4"/>
  <c r="M214" i="4"/>
  <c r="AY185" i="4"/>
  <c r="K108" i="4"/>
  <c r="K137" i="4"/>
  <c r="K144" i="4"/>
  <c r="AX107" i="4"/>
  <c r="R3" i="4"/>
  <c r="R5" i="3"/>
  <c r="S5" i="3"/>
  <c r="N730" i="4"/>
  <c r="N723" i="4"/>
  <c r="O128" i="4"/>
  <c r="O651" i="4"/>
  <c r="O127" i="4"/>
  <c r="O212" i="4"/>
  <c r="O583" i="4"/>
  <c r="O61" i="4"/>
  <c r="AZ379" i="4"/>
  <c r="AZ380" i="4" s="1"/>
  <c r="AZ424" i="4" s="1"/>
  <c r="AZ525" i="4"/>
  <c r="AZ526" i="4" s="1"/>
  <c r="O510" i="4"/>
  <c r="O695" i="4"/>
  <c r="O210" i="4"/>
  <c r="O295" i="4"/>
  <c r="AZ308" i="4"/>
  <c r="AZ309" i="4" s="1"/>
  <c r="AZ353" i="4" s="1"/>
  <c r="O292" i="4"/>
  <c r="O364" i="4"/>
  <c r="O665" i="4"/>
  <c r="O710" i="4" s="1"/>
  <c r="AZ596" i="4"/>
  <c r="AZ597" i="4" s="1"/>
  <c r="AZ638" i="4" s="1"/>
  <c r="O11" i="4"/>
  <c r="O50" i="4" s="1"/>
  <c r="AZ664" i="4"/>
  <c r="AZ665" i="4" s="1"/>
  <c r="AZ710" i="4" s="1"/>
  <c r="O438" i="4"/>
  <c r="AZ451" i="4"/>
  <c r="AZ452" i="4" s="1"/>
  <c r="AZ499" i="4" s="1"/>
  <c r="O435" i="4"/>
  <c r="O589" i="4"/>
  <c r="AZ228" i="4"/>
  <c r="AZ229" i="4" s="1"/>
  <c r="AZ277" i="4" s="1"/>
  <c r="AZ10" i="4"/>
  <c r="AZ11" i="4" s="1"/>
  <c r="AZ50" i="4" s="1"/>
  <c r="O53" i="4"/>
  <c r="O187" i="4"/>
  <c r="O215" i="4"/>
  <c r="O724" i="4"/>
  <c r="AZ78" i="4"/>
  <c r="AZ79" i="4" s="1"/>
  <c r="AZ124" i="4" s="1"/>
  <c r="O63" i="4"/>
  <c r="O135" i="4"/>
  <c r="O59" i="4"/>
  <c r="O720" i="4"/>
  <c r="O366" i="4"/>
  <c r="O502" i="4"/>
  <c r="O580" i="4"/>
  <c r="O513" i="4"/>
  <c r="O719" i="4"/>
  <c r="O721" i="4"/>
  <c r="O649" i="4"/>
  <c r="O138" i="4"/>
  <c r="AZ156" i="4"/>
  <c r="AZ157" i="4" s="1"/>
  <c r="AZ201" i="4" s="1"/>
  <c r="O157" i="4"/>
  <c r="O201" i="4" s="1"/>
  <c r="O54" i="4"/>
  <c r="L591" i="4"/>
  <c r="L590" i="4"/>
  <c r="M107" i="4"/>
  <c r="M145" i="4"/>
  <c r="M146" i="4"/>
  <c r="O591" i="4"/>
  <c r="O590" i="4"/>
  <c r="AY553" i="4"/>
  <c r="AY588" i="4" s="1"/>
  <c r="N554" i="4"/>
  <c r="N107" i="4"/>
  <c r="N108" i="4" s="1"/>
  <c r="N145" i="4"/>
  <c r="N146" i="4"/>
  <c r="BK46" i="4"/>
  <c r="BQ537" i="3" s="1"/>
  <c r="AM537" i="3"/>
  <c r="BJ167" i="4"/>
  <c r="BJ209" i="4" s="1"/>
  <c r="AK167" i="4"/>
  <c r="BI503" i="4"/>
  <c r="BK312" i="4"/>
  <c r="AL244" i="4"/>
  <c r="AK391" i="4"/>
  <c r="AJ505" i="4"/>
  <c r="AK459" i="4"/>
  <c r="AK18" i="4" s="1"/>
  <c r="AL66" i="3" s="1"/>
  <c r="AL236" i="4"/>
  <c r="AK387" i="4"/>
  <c r="AK430" i="4" s="1"/>
  <c r="AJ402" i="4"/>
  <c r="BJ402" i="4" s="1"/>
  <c r="AK331" i="4"/>
  <c r="BK328" i="4"/>
  <c r="AL429" i="4"/>
  <c r="BJ458" i="4"/>
  <c r="BJ504" i="4" s="1"/>
  <c r="AK458" i="4"/>
  <c r="BI34" i="4"/>
  <c r="BJ387" i="4"/>
  <c r="BJ430" i="4" s="1"/>
  <c r="BO70" i="3"/>
  <c r="BI22" i="4"/>
  <c r="BO391" i="3"/>
  <c r="AK391" i="3"/>
  <c r="BO79" i="3"/>
  <c r="D18" i="33" s="1"/>
  <c r="AJ179" i="4"/>
  <c r="AJ168" i="4"/>
  <c r="AJ455" i="4"/>
  <c r="BJ331" i="4"/>
  <c r="AI498" i="4"/>
  <c r="AJ488" i="4"/>
  <c r="AJ18" i="4"/>
  <c r="BJ459" i="4"/>
  <c r="BJ505" i="4" s="1"/>
  <c r="BO42" i="3"/>
  <c r="BO502" i="3" s="1"/>
  <c r="BO385" i="3"/>
  <c r="D32" i="33" s="1"/>
  <c r="D33" i="33" s="1"/>
  <c r="BI119" i="4"/>
  <c r="AJ504" i="4"/>
  <c r="AJ17" i="4"/>
  <c r="BI434" i="4"/>
  <c r="BN389" i="3"/>
  <c r="BN173" i="3"/>
  <c r="BI39" i="4"/>
  <c r="BI49" i="4" s="1"/>
  <c r="BM423" i="3"/>
  <c r="BM421" i="3"/>
  <c r="BC441" i="4"/>
  <c r="BN228" i="3"/>
  <c r="BN116" i="3"/>
  <c r="BH509" i="4"/>
  <c r="BM290" i="3"/>
  <c r="BM289" i="3"/>
  <c r="BM142" i="3"/>
  <c r="BM168" i="3"/>
  <c r="BM167" i="3"/>
  <c r="BM381" i="3"/>
  <c r="BM138" i="3"/>
  <c r="BK75" i="3"/>
  <c r="AJ13" i="32" s="1"/>
  <c r="BF165" i="4"/>
  <c r="BF208" i="4" s="1"/>
  <c r="U543" i="3"/>
  <c r="U545" i="3" s="1"/>
  <c r="V542" i="3"/>
  <c r="BM53" i="3"/>
  <c r="BM390" i="3"/>
  <c r="BM224" i="3"/>
  <c r="BM169" i="3"/>
  <c r="BM170" i="3"/>
  <c r="BM247" i="3"/>
  <c r="BM192" i="3"/>
  <c r="BL2" i="3"/>
  <c r="BF1" i="4"/>
  <c r="BF2" i="4" s="1"/>
  <c r="BL3" i="3"/>
  <c r="BL51" i="3"/>
  <c r="BL321" i="3"/>
  <c r="BM312" i="3"/>
  <c r="BM223" i="3"/>
  <c r="BL45" i="3"/>
  <c r="BM222" i="3"/>
  <c r="BB668" i="4"/>
  <c r="BB714" i="4" s="1"/>
  <c r="BK544" i="3"/>
  <c r="S545" i="3"/>
  <c r="BG543" i="3"/>
  <c r="T543" i="3"/>
  <c r="AF220" i="14"/>
  <c r="D93" i="3"/>
  <c r="D86" i="3" s="1"/>
  <c r="AY459" i="3"/>
  <c r="AY454" i="3"/>
  <c r="AY444" i="3" s="1"/>
  <c r="AY162" i="3"/>
  <c r="AY350" i="3"/>
  <c r="AY351" i="3" s="1"/>
  <c r="AY359" i="3" s="1"/>
  <c r="AN7" i="32" l="1"/>
  <c r="D11" i="33"/>
  <c r="AN19" i="32"/>
  <c r="BH2" i="4"/>
  <c r="AQ152" i="28"/>
  <c r="AQ60" i="28" s="1"/>
  <c r="AQ63" i="28" s="1"/>
  <c r="AM3" i="32"/>
  <c r="E3" i="32"/>
  <c r="AK3" i="32"/>
  <c r="BJ475" i="4"/>
  <c r="F2" i="32"/>
  <c r="AL475" i="4"/>
  <c r="AM475" i="4" s="1"/>
  <c r="AP462" i="4"/>
  <c r="BM462" i="4" s="1"/>
  <c r="BM507" i="4" s="1"/>
  <c r="AO507" i="4"/>
  <c r="AK488" i="4"/>
  <c r="AK39" i="4" s="1"/>
  <c r="AL385" i="3" s="1"/>
  <c r="AJ39" i="4"/>
  <c r="Z62" i="28"/>
  <c r="Z63" i="28"/>
  <c r="G2" i="28"/>
  <c r="AL3" i="28"/>
  <c r="F3" i="28"/>
  <c r="BH3" i="4"/>
  <c r="AN3" i="28"/>
  <c r="AO2" i="28"/>
  <c r="BO2" i="3"/>
  <c r="BO3" i="3"/>
  <c r="BI1" i="4"/>
  <c r="BK289" i="4"/>
  <c r="T33" i="3"/>
  <c r="T356" i="3" s="1"/>
  <c r="T357" i="3" s="1"/>
  <c r="T481" i="3" s="1"/>
  <c r="T505" i="3" s="1"/>
  <c r="AS323" i="3"/>
  <c r="BT323" i="3" s="1"/>
  <c r="BT227" i="3"/>
  <c r="AS250" i="3"/>
  <c r="BT250" i="3" s="1"/>
  <c r="BT140" i="3"/>
  <c r="AS230" i="3"/>
  <c r="BT230" i="3" s="1"/>
  <c r="BT120" i="3"/>
  <c r="BM673" i="4"/>
  <c r="BM717" i="4" s="1"/>
  <c r="BM671" i="4"/>
  <c r="BM715" i="4" s="1"/>
  <c r="BM676" i="4"/>
  <c r="BM672" i="4"/>
  <c r="BM716" i="4" s="1"/>
  <c r="AQ423" i="4"/>
  <c r="AR413" i="4"/>
  <c r="BN413" i="4" s="1"/>
  <c r="BN423" i="4" s="1"/>
  <c r="BN342" i="4"/>
  <c r="BN352" i="4" s="1"/>
  <c r="AP675" i="4"/>
  <c r="AQ675" i="4" s="1"/>
  <c r="AR675" i="4" s="1"/>
  <c r="AT435" i="4"/>
  <c r="AR229" i="3"/>
  <c r="AR141" i="3"/>
  <c r="AR251" i="3" s="1"/>
  <c r="AS119" i="3"/>
  <c r="BT119" i="3" s="1"/>
  <c r="BM101" i="4"/>
  <c r="AQ101" i="4"/>
  <c r="BM160" i="4"/>
  <c r="AQ160" i="4"/>
  <c r="BM112" i="4"/>
  <c r="BM123" i="4" s="1"/>
  <c r="AQ112" i="4"/>
  <c r="BM163" i="4"/>
  <c r="BM206" i="4" s="1"/>
  <c r="AQ163" i="4"/>
  <c r="AP379" i="4"/>
  <c r="AQ228" i="4"/>
  <c r="AQ379" i="4" s="1"/>
  <c r="BM196" i="4"/>
  <c r="AQ196" i="4"/>
  <c r="AT362" i="4"/>
  <c r="AR313" i="4"/>
  <c r="BN313" i="4" s="1"/>
  <c r="AR308" i="4"/>
  <c r="BM86" i="4"/>
  <c r="BM130" i="4" s="1"/>
  <c r="AQ86" i="4"/>
  <c r="AR314" i="4"/>
  <c r="BN314" i="4" s="1"/>
  <c r="BM89" i="4"/>
  <c r="BM132" i="4" s="1"/>
  <c r="AQ89" i="4"/>
  <c r="BM161" i="4"/>
  <c r="AQ161" i="4"/>
  <c r="BS230" i="3"/>
  <c r="BS250" i="3"/>
  <c r="BS323" i="3"/>
  <c r="BS52" i="3" s="1"/>
  <c r="AO703" i="4"/>
  <c r="BM703" i="4"/>
  <c r="AQ251" i="3"/>
  <c r="BS141" i="3"/>
  <c r="AQ451" i="3"/>
  <c r="AR451" i="3" s="1"/>
  <c r="AP460" i="3"/>
  <c r="AP100" i="3"/>
  <c r="AP161" i="3"/>
  <c r="AO672" i="4"/>
  <c r="AO671" i="4"/>
  <c r="AO673" i="4"/>
  <c r="AO676" i="4"/>
  <c r="AP255" i="4"/>
  <c r="BL456" i="4"/>
  <c r="AO456" i="4"/>
  <c r="AN386" i="4"/>
  <c r="BL386" i="4" s="1"/>
  <c r="BL429" i="4" s="1"/>
  <c r="AO235" i="4"/>
  <c r="BL164" i="4"/>
  <c r="BL207" i="4" s="1"/>
  <c r="AO164" i="4"/>
  <c r="BL457" i="4"/>
  <c r="AO457" i="4"/>
  <c r="AP194" i="4"/>
  <c r="BL316" i="4"/>
  <c r="BL359" i="4" s="1"/>
  <c r="AP454" i="4"/>
  <c r="AP85" i="4"/>
  <c r="AO46" i="4"/>
  <c r="AP537" i="3" s="1"/>
  <c r="BL46" i="4"/>
  <c r="BR537" i="3" s="1"/>
  <c r="AO537" i="3"/>
  <c r="BL203" i="4"/>
  <c r="BL205" i="4"/>
  <c r="AX731" i="4"/>
  <c r="AN471" i="4"/>
  <c r="AN162" i="4"/>
  <c r="AM429" i="4"/>
  <c r="BL235" i="4"/>
  <c r="BL282" i="4" s="1"/>
  <c r="BL194" i="4"/>
  <c r="AN463" i="4"/>
  <c r="AN243" i="4"/>
  <c r="AA152" i="28" s="1"/>
  <c r="AA60" i="28" s="1"/>
  <c r="BK236" i="4"/>
  <c r="BK283" i="4" s="1"/>
  <c r="AM236" i="4"/>
  <c r="AN312" i="4"/>
  <c r="AN328" i="4"/>
  <c r="BL328" i="4" s="1"/>
  <c r="AL391" i="4"/>
  <c r="BK391" i="4" s="1"/>
  <c r="AM244" i="4"/>
  <c r="AX187" i="4"/>
  <c r="AX222" i="4" s="1"/>
  <c r="AY220" i="4"/>
  <c r="AX108" i="4"/>
  <c r="AX109" i="4" s="1"/>
  <c r="AY729" i="4"/>
  <c r="AF73" i="14"/>
  <c r="N591" i="4"/>
  <c r="N590" i="4"/>
  <c r="AX144" i="4"/>
  <c r="AX137" i="4"/>
  <c r="P185" i="4"/>
  <c r="P222" i="4"/>
  <c r="T1" i="4"/>
  <c r="T2" i="4" s="1"/>
  <c r="U3" i="3"/>
  <c r="U2" i="3"/>
  <c r="V1" i="3"/>
  <c r="M137" i="4"/>
  <c r="M108" i="4"/>
  <c r="AY108" i="4" s="1"/>
  <c r="M144" i="4"/>
  <c r="AY107" i="4"/>
  <c r="R564" i="3"/>
  <c r="R26" i="3" s="1"/>
  <c r="R533" i="3"/>
  <c r="BG56" i="3"/>
  <c r="BG29" i="3"/>
  <c r="R563" i="3"/>
  <c r="R22" i="3" s="1"/>
  <c r="R532" i="3"/>
  <c r="R528" i="3"/>
  <c r="BG33" i="3"/>
  <c r="R536" i="3"/>
  <c r="R525" i="3"/>
  <c r="R61" i="3"/>
  <c r="R524" i="3"/>
  <c r="BG60" i="3"/>
  <c r="BG61" i="3" s="1"/>
  <c r="Q5" i="4"/>
  <c r="AZ589" i="4"/>
  <c r="AZ582" i="4"/>
  <c r="AF232" i="14"/>
  <c r="P201" i="4"/>
  <c r="P50" i="4"/>
  <c r="AZ553" i="4"/>
  <c r="AZ588" i="4" s="1"/>
  <c r="P554" i="4"/>
  <c r="AY730" i="4"/>
  <c r="AY695" i="4"/>
  <c r="AY723" i="4"/>
  <c r="AF230" i="14"/>
  <c r="AF229" i="14"/>
  <c r="S3" i="4"/>
  <c r="O731" i="4"/>
  <c r="O693" i="4"/>
  <c r="O109" i="4"/>
  <c r="S357" i="3"/>
  <c r="S481" i="3" s="1"/>
  <c r="S505" i="3" s="1"/>
  <c r="BG356" i="3"/>
  <c r="BG357" i="3" s="1"/>
  <c r="BG481" i="3" s="1"/>
  <c r="BG505" i="3" s="1"/>
  <c r="AY187" i="4"/>
  <c r="AY221" i="4"/>
  <c r="AY214" i="4"/>
  <c r="AY554" i="4"/>
  <c r="AF40" i="14"/>
  <c r="P109" i="4"/>
  <c r="P693" i="4"/>
  <c r="P731" i="4"/>
  <c r="P710" i="4"/>
  <c r="AX590" i="4"/>
  <c r="AX591" i="4"/>
  <c r="N144" i="4"/>
  <c r="N137" i="4"/>
  <c r="O222" i="4"/>
  <c r="O185" i="4"/>
  <c r="S536" i="3"/>
  <c r="S524" i="3"/>
  <c r="S532" i="3"/>
  <c r="S533" i="3"/>
  <c r="S528" i="3"/>
  <c r="S563" i="3"/>
  <c r="S22" i="3" s="1"/>
  <c r="S525" i="3"/>
  <c r="S61" i="3"/>
  <c r="S564" i="3"/>
  <c r="S26" i="3" s="1"/>
  <c r="R5" i="4"/>
  <c r="BK244" i="4"/>
  <c r="BP391" i="3"/>
  <c r="AL391" i="3"/>
  <c r="AM391" i="3" s="1"/>
  <c r="BJ455" i="4"/>
  <c r="AK455" i="4"/>
  <c r="AJ34" i="4"/>
  <c r="AK79" i="3" s="1"/>
  <c r="V19" i="32" s="1"/>
  <c r="AK179" i="4"/>
  <c r="AL331" i="4"/>
  <c r="AK402" i="4"/>
  <c r="AK505" i="4"/>
  <c r="AL459" i="4"/>
  <c r="AL387" i="4"/>
  <c r="AL430" i="4" s="1"/>
  <c r="AJ22" i="4"/>
  <c r="AK168" i="4"/>
  <c r="AL167" i="4"/>
  <c r="BJ18" i="4"/>
  <c r="BJ56" i="4" s="1"/>
  <c r="AK56" i="4"/>
  <c r="AK504" i="4"/>
  <c r="AL458" i="4"/>
  <c r="AK17" i="4"/>
  <c r="AL65" i="3" s="1"/>
  <c r="BJ168" i="4"/>
  <c r="AJ55" i="4"/>
  <c r="AK65" i="3"/>
  <c r="BP65" i="3" s="1"/>
  <c r="E8" i="33" s="1"/>
  <c r="AJ498" i="4"/>
  <c r="BJ488" i="4"/>
  <c r="BJ498" i="4" s="1"/>
  <c r="BJ17" i="4"/>
  <c r="BJ55" i="4" s="1"/>
  <c r="BJ179" i="4"/>
  <c r="AJ56" i="4"/>
  <c r="AK66" i="3"/>
  <c r="BP66" i="3" s="1"/>
  <c r="BO118" i="3"/>
  <c r="AK42" i="3"/>
  <c r="AK41" i="3" s="1"/>
  <c r="BO116" i="3"/>
  <c r="BM462" i="3"/>
  <c r="BN112" i="3"/>
  <c r="BN137" i="3"/>
  <c r="BN171" i="3"/>
  <c r="BN114" i="3"/>
  <c r="BN115" i="3"/>
  <c r="BN113" i="3"/>
  <c r="BI43" i="4"/>
  <c r="BI492" i="4"/>
  <c r="V543" i="3"/>
  <c r="V545" i="3" s="1"/>
  <c r="W542" i="3"/>
  <c r="BN324" i="3"/>
  <c r="BN53" i="3" s="1"/>
  <c r="BN287" i="3"/>
  <c r="BN226" i="3"/>
  <c r="BF176" i="4"/>
  <c r="BF166" i="4"/>
  <c r="AL147" i="28" s="1"/>
  <c r="AL44" i="28" s="1"/>
  <c r="BF30" i="4"/>
  <c r="BM288" i="3"/>
  <c r="BM302" i="3" s="1"/>
  <c r="BM322" i="3"/>
  <c r="BM225" i="3"/>
  <c r="BM45" i="3"/>
  <c r="BM252" i="3"/>
  <c r="BM197" i="3"/>
  <c r="BF3" i="4"/>
  <c r="BL426" i="3"/>
  <c r="BM426" i="3"/>
  <c r="BL50" i="3"/>
  <c r="AT296" i="4"/>
  <c r="BB329" i="4"/>
  <c r="BL544" i="3"/>
  <c r="BH480" i="3"/>
  <c r="BH504" i="3" s="1"/>
  <c r="E327" i="14"/>
  <c r="D343" i="3"/>
  <c r="D345" i="3" s="1"/>
  <c r="D349" i="3" s="1"/>
  <c r="D88" i="3"/>
  <c r="D94" i="3" s="1"/>
  <c r="D98" i="3" s="1"/>
  <c r="T545" i="3"/>
  <c r="AF221" i="14"/>
  <c r="AT367" i="4"/>
  <c r="AT725" i="4"/>
  <c r="BB685" i="4"/>
  <c r="BB667" i="4"/>
  <c r="AY456" i="3"/>
  <c r="AY424" i="3"/>
  <c r="AY154" i="3"/>
  <c r="AY272" i="3"/>
  <c r="AY160" i="3"/>
  <c r="AY450" i="3" s="1"/>
  <c r="AY463" i="3"/>
  <c r="AY466" i="3"/>
  <c r="AY482" i="3" s="1"/>
  <c r="AY506" i="3" s="1"/>
  <c r="BH542" i="3"/>
  <c r="BG545" i="3"/>
  <c r="BB720" i="4"/>
  <c r="BB453" i="4"/>
  <c r="AH163" i="28" s="1"/>
  <c r="AH98" i="28" s="1"/>
  <c r="AL488" i="4" l="1"/>
  <c r="BI2" i="4"/>
  <c r="AQ62" i="28"/>
  <c r="AK498" i="4"/>
  <c r="F3" i="32"/>
  <c r="AN3" i="32"/>
  <c r="G2" i="32"/>
  <c r="BK475" i="4"/>
  <c r="AN475" i="4"/>
  <c r="AO475" i="4" s="1"/>
  <c r="AP475" i="4" s="1"/>
  <c r="AQ475" i="4" s="1"/>
  <c r="AK43" i="3"/>
  <c r="AK70" i="3"/>
  <c r="AQ462" i="4"/>
  <c r="AP507" i="4"/>
  <c r="AH101" i="28"/>
  <c r="AH100" i="28"/>
  <c r="AL46" i="28"/>
  <c r="AL47" i="28"/>
  <c r="AA63" i="28"/>
  <c r="AA62" i="28"/>
  <c r="H2" i="28"/>
  <c r="G3" i="28"/>
  <c r="BI3" i="4"/>
  <c r="AO3" i="28"/>
  <c r="AP2" i="28"/>
  <c r="U33" i="3"/>
  <c r="BT52" i="3"/>
  <c r="AQ255" i="4"/>
  <c r="AR255" i="4" s="1"/>
  <c r="BN255" i="4" s="1"/>
  <c r="AP703" i="4"/>
  <c r="AQ703" i="4" s="1"/>
  <c r="AR703" i="4" s="1"/>
  <c r="AP676" i="4"/>
  <c r="AQ676" i="4" s="1"/>
  <c r="AR676" i="4" s="1"/>
  <c r="AP673" i="4"/>
  <c r="AQ673" i="4" s="1"/>
  <c r="AR673" i="4" s="1"/>
  <c r="BM205" i="4"/>
  <c r="AP671" i="4"/>
  <c r="AQ671" i="4" s="1"/>
  <c r="AR671" i="4" s="1"/>
  <c r="AR423" i="4"/>
  <c r="AT433" i="4"/>
  <c r="AP672" i="4"/>
  <c r="AQ672" i="4" s="1"/>
  <c r="AR672" i="4" s="1"/>
  <c r="BN675" i="4"/>
  <c r="BN718" i="4" s="1"/>
  <c r="AR161" i="4"/>
  <c r="BN161" i="4" s="1"/>
  <c r="AR163" i="4"/>
  <c r="BN163" i="4" s="1"/>
  <c r="BN206" i="4" s="1"/>
  <c r="AR160" i="4"/>
  <c r="BN160" i="4" s="1"/>
  <c r="BM203" i="4"/>
  <c r="AS451" i="3"/>
  <c r="BT451" i="3" s="1"/>
  <c r="AR100" i="3"/>
  <c r="AR161" i="3"/>
  <c r="AR460" i="3"/>
  <c r="AS141" i="3"/>
  <c r="AS229" i="3"/>
  <c r="BT229" i="3" s="1"/>
  <c r="BM120" i="4"/>
  <c r="AR89" i="4"/>
  <c r="BN89" i="4" s="1"/>
  <c r="BN132" i="4" s="1"/>
  <c r="AR196" i="4"/>
  <c r="BN196" i="4" s="1"/>
  <c r="BN203" i="4" s="1"/>
  <c r="AQ194" i="4"/>
  <c r="BM454" i="4"/>
  <c r="AQ454" i="4"/>
  <c r="AR112" i="4"/>
  <c r="BN112" i="4" s="1"/>
  <c r="BN123" i="4" s="1"/>
  <c r="AR101" i="4"/>
  <c r="BN101" i="4" s="1"/>
  <c r="BM85" i="4"/>
  <c r="BM129" i="4" s="1"/>
  <c r="AQ85" i="4"/>
  <c r="BM90" i="4"/>
  <c r="BM255" i="4"/>
  <c r="AR86" i="4"/>
  <c r="BN86" i="4" s="1"/>
  <c r="BN130" i="4" s="1"/>
  <c r="AR228" i="4"/>
  <c r="BS451" i="3"/>
  <c r="BS251" i="3"/>
  <c r="AN429" i="4"/>
  <c r="AQ460" i="3"/>
  <c r="BS460" i="3" s="1"/>
  <c r="AQ100" i="3"/>
  <c r="AQ161" i="3"/>
  <c r="BS161" i="3" s="1"/>
  <c r="BM194" i="4"/>
  <c r="AP457" i="4"/>
  <c r="AP164" i="4"/>
  <c r="AO328" i="4"/>
  <c r="AP456" i="4"/>
  <c r="AP46" i="4"/>
  <c r="AQ537" i="3" s="1"/>
  <c r="AO243" i="4"/>
  <c r="AB152" i="28" s="1"/>
  <c r="AB60" i="28" s="1"/>
  <c r="BL463" i="4"/>
  <c r="AO463" i="4"/>
  <c r="BL162" i="4"/>
  <c r="AO162" i="4"/>
  <c r="BL312" i="4"/>
  <c r="AO312" i="4"/>
  <c r="BL471" i="4"/>
  <c r="AO471" i="4"/>
  <c r="AP235" i="4"/>
  <c r="AO386" i="4"/>
  <c r="AX223" i="4"/>
  <c r="BQ391" i="3"/>
  <c r="AN391" i="3"/>
  <c r="AO391" i="3" s="1"/>
  <c r="AX143" i="4"/>
  <c r="BL243" i="4"/>
  <c r="AN236" i="4"/>
  <c r="AM387" i="4"/>
  <c r="BK458" i="4"/>
  <c r="BK504" i="4" s="1"/>
  <c r="AM458" i="4"/>
  <c r="AM488" i="4"/>
  <c r="AN244" i="4"/>
  <c r="AM391" i="4"/>
  <c r="AL402" i="4"/>
  <c r="BK402" i="4" s="1"/>
  <c r="AM331" i="4"/>
  <c r="AL505" i="4"/>
  <c r="AM459" i="4"/>
  <c r="BK167" i="4"/>
  <c r="BK209" i="4" s="1"/>
  <c r="AM167" i="4"/>
  <c r="U5" i="3"/>
  <c r="U564" i="3" s="1"/>
  <c r="U26" i="3" s="1"/>
  <c r="AX146" i="4"/>
  <c r="AX145" i="4"/>
  <c r="BK387" i="4"/>
  <c r="BK430" i="4" s="1"/>
  <c r="AY731" i="4"/>
  <c r="AY732" i="4"/>
  <c r="R128" i="4"/>
  <c r="R502" i="4"/>
  <c r="R724" i="4"/>
  <c r="R510" i="4"/>
  <c r="R719" i="4"/>
  <c r="R157" i="4"/>
  <c r="R292" i="4"/>
  <c r="R435" i="4"/>
  <c r="R61" i="4"/>
  <c r="R54" i="4"/>
  <c r="R127" i="4"/>
  <c r="R366" i="4"/>
  <c r="R665" i="4"/>
  <c r="R438" i="4"/>
  <c r="R364" i="4"/>
  <c r="R59" i="4"/>
  <c r="R210" i="4"/>
  <c r="R721" i="4"/>
  <c r="R215" i="4"/>
  <c r="R138" i="4"/>
  <c r="R695" i="4"/>
  <c r="R720" i="4"/>
  <c r="R63" i="4"/>
  <c r="R212" i="4"/>
  <c r="R187" i="4"/>
  <c r="R135" i="4"/>
  <c r="R53" i="4"/>
  <c r="R513" i="4"/>
  <c r="R295" i="4"/>
  <c r="R11" i="4"/>
  <c r="P694" i="4"/>
  <c r="P723" i="4"/>
  <c r="P730" i="4"/>
  <c r="AY223" i="4"/>
  <c r="AY222" i="4"/>
  <c r="Q128" i="4"/>
  <c r="Q53" i="4"/>
  <c r="Q435" i="4"/>
  <c r="Q187" i="4"/>
  <c r="Q719" i="4"/>
  <c r="Q649" i="4"/>
  <c r="Q215" i="4"/>
  <c r="BA664" i="4"/>
  <c r="BA665" i="4" s="1"/>
  <c r="BA710" i="4" s="1"/>
  <c r="Q366" i="4"/>
  <c r="Q438" i="4"/>
  <c r="Q720" i="4"/>
  <c r="Q590" i="4"/>
  <c r="BA379" i="4"/>
  <c r="BA380" i="4" s="1"/>
  <c r="BA424" i="4" s="1"/>
  <c r="BA156" i="4"/>
  <c r="BA157" i="4" s="1"/>
  <c r="BA201" i="4" s="1"/>
  <c r="BA308" i="4"/>
  <c r="BA309" i="4" s="1"/>
  <c r="BA353" i="4" s="1"/>
  <c r="Q364" i="4"/>
  <c r="Q591" i="4"/>
  <c r="Q61" i="4"/>
  <c r="Q510" i="4"/>
  <c r="Q210" i="4"/>
  <c r="BA10" i="4"/>
  <c r="BA11" i="4" s="1"/>
  <c r="BA50" i="4" s="1"/>
  <c r="Q651" i="4"/>
  <c r="Q665" i="4"/>
  <c r="Q710" i="4" s="1"/>
  <c r="BA78" i="4"/>
  <c r="BA79" i="4" s="1"/>
  <c r="BA124" i="4" s="1"/>
  <c r="Q54" i="4"/>
  <c r="Q695" i="4"/>
  <c r="Q583" i="4"/>
  <c r="BA228" i="4"/>
  <c r="BA229" i="4" s="1"/>
  <c r="BA277" i="4" s="1"/>
  <c r="BA451" i="4"/>
  <c r="BA452" i="4" s="1"/>
  <c r="BA499" i="4" s="1"/>
  <c r="Q138" i="4"/>
  <c r="Q724" i="4"/>
  <c r="Q292" i="4"/>
  <c r="Q295" i="4"/>
  <c r="Q513" i="4"/>
  <c r="Q580" i="4"/>
  <c r="Q502" i="4"/>
  <c r="Q589" i="4"/>
  <c r="Q63" i="4"/>
  <c r="Q135" i="4"/>
  <c r="Q59" i="4"/>
  <c r="Q212" i="4"/>
  <c r="Q127" i="4"/>
  <c r="Q11" i="4"/>
  <c r="Q50" i="4" s="1"/>
  <c r="Q157" i="4"/>
  <c r="Q201" i="4" s="1"/>
  <c r="Q721" i="4"/>
  <c r="AL18" i="4"/>
  <c r="BK18" i="4" s="1"/>
  <c r="BK56" i="4" s="1"/>
  <c r="P107" i="4"/>
  <c r="P146" i="4"/>
  <c r="P145" i="4"/>
  <c r="P590" i="4"/>
  <c r="P591" i="4"/>
  <c r="U1" i="4"/>
  <c r="V2" i="3"/>
  <c r="V3" i="3"/>
  <c r="W1" i="3"/>
  <c r="AY144" i="4"/>
  <c r="AY109" i="4"/>
  <c r="AY137" i="4"/>
  <c r="AY590" i="4"/>
  <c r="AY591" i="4"/>
  <c r="O107" i="4"/>
  <c r="O145" i="4"/>
  <c r="O146" i="4"/>
  <c r="T3" i="4"/>
  <c r="T5" i="3"/>
  <c r="P186" i="4"/>
  <c r="P214" i="4"/>
  <c r="P221" i="4"/>
  <c r="O221" i="4"/>
  <c r="O214" i="4"/>
  <c r="O186" i="4"/>
  <c r="AZ185" i="4"/>
  <c r="O730" i="4"/>
  <c r="O723" i="4"/>
  <c r="AZ693" i="4"/>
  <c r="O694" i="4"/>
  <c r="AZ554" i="4"/>
  <c r="BG32" i="3"/>
  <c r="BG479" i="3"/>
  <c r="BG503" i="3" s="1"/>
  <c r="AY143" i="4"/>
  <c r="BP79" i="3"/>
  <c r="BJ34" i="4"/>
  <c r="BJ22" i="4"/>
  <c r="BK1" i="4"/>
  <c r="BQ2" i="3"/>
  <c r="BQ3" i="3"/>
  <c r="BP42" i="3"/>
  <c r="BP502" i="3" s="1"/>
  <c r="AL42" i="3"/>
  <c r="BK331" i="4"/>
  <c r="BK488" i="4"/>
  <c r="BK498" i="4" s="1"/>
  <c r="AL498" i="4"/>
  <c r="AL39" i="4"/>
  <c r="AL179" i="4"/>
  <c r="AK34" i="4"/>
  <c r="AL168" i="4"/>
  <c r="AK22" i="4"/>
  <c r="BK459" i="4"/>
  <c r="BK505" i="4" s="1"/>
  <c r="AK55" i="4"/>
  <c r="AL455" i="4"/>
  <c r="AK49" i="4"/>
  <c r="AL504" i="4"/>
  <c r="AL17" i="4"/>
  <c r="BP3" i="3"/>
  <c r="BJ1" i="4"/>
  <c r="BP2" i="3"/>
  <c r="AJ49" i="4"/>
  <c r="AK385" i="3"/>
  <c r="BP385" i="3" s="1"/>
  <c r="E32" i="33" s="1"/>
  <c r="E33" i="33" s="1"/>
  <c r="BJ39" i="4"/>
  <c r="BJ49" i="4" s="1"/>
  <c r="BO121" i="3"/>
  <c r="AK116" i="3"/>
  <c r="BO389" i="3"/>
  <c r="BO173" i="3"/>
  <c r="AK502" i="3"/>
  <c r="BO388" i="3"/>
  <c r="BI509" i="4"/>
  <c r="BL75" i="3"/>
  <c r="AK13" i="32" s="1"/>
  <c r="BO324" i="3"/>
  <c r="BN192" i="3"/>
  <c r="BN168" i="3"/>
  <c r="BN167" i="3"/>
  <c r="BN169" i="3"/>
  <c r="BN138" i="3"/>
  <c r="BN289" i="3"/>
  <c r="BN403" i="3"/>
  <c r="BN322" i="3"/>
  <c r="BN290" i="3"/>
  <c r="W543" i="3"/>
  <c r="W545" i="3" s="1"/>
  <c r="X542" i="3"/>
  <c r="V721" i="4"/>
  <c r="V719" i="4"/>
  <c r="V731" i="4"/>
  <c r="V665" i="4"/>
  <c r="W710" i="4" s="1"/>
  <c r="BN224" i="3"/>
  <c r="BN247" i="3"/>
  <c r="BN223" i="3"/>
  <c r="BN381" i="3"/>
  <c r="BN170" i="3"/>
  <c r="BN390" i="3"/>
  <c r="BN142" i="3"/>
  <c r="BN312" i="3"/>
  <c r="BM544" i="3"/>
  <c r="BN222" i="3"/>
  <c r="BM51" i="3"/>
  <c r="BM321" i="3"/>
  <c r="BB400" i="4"/>
  <c r="BB253" i="4"/>
  <c r="BB296" i="4" s="1"/>
  <c r="E323" i="14"/>
  <c r="AT125" i="4"/>
  <c r="BB115" i="4"/>
  <c r="BB125" i="4" s="1"/>
  <c r="BB117" i="4"/>
  <c r="BH543" i="3"/>
  <c r="AY467" i="3"/>
  <c r="AY483" i="3" s="1"/>
  <c r="AY507" i="3" s="1"/>
  <c r="AY484" i="3"/>
  <c r="AY523" i="3"/>
  <c r="AY522" i="3"/>
  <c r="AY581" i="3" s="1"/>
  <c r="BB725" i="4"/>
  <c r="BB724" i="4"/>
  <c r="BB366" i="4"/>
  <c r="BB367" i="4"/>
  <c r="AF223" i="14"/>
  <c r="E93" i="3"/>
  <c r="C41" i="4"/>
  <c r="D101" i="3"/>
  <c r="D91" i="3"/>
  <c r="D521" i="3"/>
  <c r="D520" i="3"/>
  <c r="AT499" i="4"/>
  <c r="BB60" i="4"/>
  <c r="AT60" i="4"/>
  <c r="BH72" i="3"/>
  <c r="AG9" i="32" s="1"/>
  <c r="AY143" i="3"/>
  <c r="AY253" i="3" s="1"/>
  <c r="AY264" i="3" s="1"/>
  <c r="AY274" i="3" s="1"/>
  <c r="AY164" i="3"/>
  <c r="BB713" i="4"/>
  <c r="BB674" i="4"/>
  <c r="AO19" i="32" l="1"/>
  <c r="E18" i="33"/>
  <c r="AR152" i="28"/>
  <c r="AR60" i="28" s="1"/>
  <c r="AR62" i="28" s="1"/>
  <c r="BL475" i="4"/>
  <c r="H2" i="32"/>
  <c r="G3" i="32"/>
  <c r="AP3" i="32"/>
  <c r="BP70" i="3"/>
  <c r="V7" i="32"/>
  <c r="AO3" i="32"/>
  <c r="BM475" i="4"/>
  <c r="AL43" i="3"/>
  <c r="AL41" i="3"/>
  <c r="AL70" i="3"/>
  <c r="W7" i="32" s="1"/>
  <c r="AR462" i="4"/>
  <c r="AR507" i="4" s="1"/>
  <c r="AQ507" i="4"/>
  <c r="AJ168" i="3"/>
  <c r="AB63" i="28"/>
  <c r="AB62" i="28"/>
  <c r="H3" i="28"/>
  <c r="BK3" i="4"/>
  <c r="AQ3" i="28"/>
  <c r="AQ2" i="28"/>
  <c r="BJ3" i="4"/>
  <c r="AP3" i="28"/>
  <c r="I2" i="28"/>
  <c r="AK114" i="3"/>
  <c r="AK112" i="3"/>
  <c r="AK121" i="3"/>
  <c r="BJ2" i="4"/>
  <c r="BK2" i="4"/>
  <c r="U2" i="4"/>
  <c r="BL289" i="4"/>
  <c r="V33" i="3"/>
  <c r="AT205" i="4"/>
  <c r="BN676" i="4"/>
  <c r="BN703" i="4"/>
  <c r="AS251" i="3"/>
  <c r="BT251" i="3" s="1"/>
  <c r="BT141" i="3"/>
  <c r="BN671" i="4"/>
  <c r="BN715" i="4" s="1"/>
  <c r="BN673" i="4"/>
  <c r="BN717" i="4" s="1"/>
  <c r="BN672" i="4"/>
  <c r="BN716" i="4" s="1"/>
  <c r="AR475" i="4"/>
  <c r="BN475" i="4" s="1"/>
  <c r="BN205" i="4"/>
  <c r="AS460" i="3"/>
  <c r="BT460" i="3" s="1"/>
  <c r="AS161" i="3"/>
  <c r="BT161" i="3" s="1"/>
  <c r="AS100" i="3"/>
  <c r="BT100" i="3" s="1"/>
  <c r="AP386" i="4"/>
  <c r="AP429" i="4" s="1"/>
  <c r="AQ235" i="4"/>
  <c r="BM456" i="4"/>
  <c r="AQ456" i="4"/>
  <c r="BM457" i="4"/>
  <c r="AQ457" i="4"/>
  <c r="AR454" i="4"/>
  <c r="BN454" i="4" s="1"/>
  <c r="BM316" i="4"/>
  <c r="BM359" i="4" s="1"/>
  <c r="BM164" i="4"/>
  <c r="BM207" i="4" s="1"/>
  <c r="AQ164" i="4"/>
  <c r="AR379" i="4"/>
  <c r="BN120" i="4"/>
  <c r="AQ46" i="4"/>
  <c r="AR85" i="4"/>
  <c r="BN85" i="4" s="1"/>
  <c r="BN129" i="4" s="1"/>
  <c r="AR194" i="4"/>
  <c r="BS100" i="3"/>
  <c r="BR391" i="3"/>
  <c r="AP391" i="3"/>
  <c r="AQ391" i="3" s="1"/>
  <c r="BM235" i="4"/>
  <c r="BM282" i="4" s="1"/>
  <c r="AP463" i="4"/>
  <c r="AO429" i="4"/>
  <c r="BM46" i="4"/>
  <c r="BS537" i="3" s="1"/>
  <c r="AP162" i="4"/>
  <c r="AP471" i="4"/>
  <c r="AP243" i="4"/>
  <c r="AC152" i="28" s="1"/>
  <c r="AC60" i="28" s="1"/>
  <c r="AN391" i="4"/>
  <c r="BL391" i="4" s="1"/>
  <c r="AO244" i="4"/>
  <c r="BL236" i="4"/>
  <c r="BL283" i="4" s="1"/>
  <c r="AO236" i="4"/>
  <c r="AP328" i="4"/>
  <c r="AP312" i="4"/>
  <c r="U533" i="3"/>
  <c r="U536" i="3"/>
  <c r="U524" i="3"/>
  <c r="U563" i="3"/>
  <c r="U22" i="3" s="1"/>
  <c r="T5" i="4"/>
  <c r="T187" i="4" s="1"/>
  <c r="U532" i="3"/>
  <c r="U528" i="3"/>
  <c r="U526" i="3"/>
  <c r="U61" i="3"/>
  <c r="U525" i="3"/>
  <c r="AL56" i="4"/>
  <c r="BL244" i="4"/>
  <c r="AM430" i="4"/>
  <c r="AL22" i="4"/>
  <c r="AM168" i="4"/>
  <c r="AN459" i="4"/>
  <c r="AM505" i="4"/>
  <c r="AN458" i="4"/>
  <c r="AM504" i="4"/>
  <c r="AM17" i="4"/>
  <c r="AN65" i="3" s="1"/>
  <c r="AN331" i="4"/>
  <c r="AM402" i="4"/>
  <c r="AL34" i="4"/>
  <c r="AM79" i="3" s="1"/>
  <c r="X19" i="32" s="1"/>
  <c r="AM179" i="4"/>
  <c r="AM385" i="3"/>
  <c r="BQ385" i="3" s="1"/>
  <c r="F32" i="33" s="1"/>
  <c r="F33" i="33" s="1"/>
  <c r="AM18" i="4"/>
  <c r="AN66" i="3" s="1"/>
  <c r="BK455" i="4"/>
  <c r="AM455" i="4"/>
  <c r="AN167" i="4"/>
  <c r="AN488" i="4"/>
  <c r="AM498" i="4"/>
  <c r="AM39" i="4"/>
  <c r="AN385" i="3" s="1"/>
  <c r="AN387" i="4"/>
  <c r="AN430" i="4" s="1"/>
  <c r="AZ186" i="4"/>
  <c r="AZ220" i="4" s="1"/>
  <c r="AZ694" i="4"/>
  <c r="AZ729" i="4" s="1"/>
  <c r="AM66" i="3"/>
  <c r="BQ66" i="3" s="1"/>
  <c r="AZ590" i="4"/>
  <c r="AZ591" i="4"/>
  <c r="U356" i="3"/>
  <c r="BH33" i="3"/>
  <c r="O108" i="4"/>
  <c r="O144" i="4"/>
  <c r="O137" i="4"/>
  <c r="AZ107" i="4"/>
  <c r="S5" i="4"/>
  <c r="T61" i="3"/>
  <c r="T563" i="3"/>
  <c r="T22" i="3" s="1"/>
  <c r="BH29" i="3"/>
  <c r="BH479" i="3" s="1"/>
  <c r="BH503" i="3" s="1"/>
  <c r="T528" i="3"/>
  <c r="BH56" i="3"/>
  <c r="T532" i="3"/>
  <c r="T536" i="3"/>
  <c r="T525" i="3"/>
  <c r="BH60" i="3"/>
  <c r="T524" i="3"/>
  <c r="T526" i="3"/>
  <c r="T533" i="3"/>
  <c r="T564" i="3"/>
  <c r="T26" i="3" s="1"/>
  <c r="X1" i="3"/>
  <c r="V1" i="4"/>
  <c r="W3" i="3"/>
  <c r="W2" i="3"/>
  <c r="Q693" i="4"/>
  <c r="Q109" i="4"/>
  <c r="Q731" i="4"/>
  <c r="R693" i="4"/>
  <c r="R694" i="4" s="1"/>
  <c r="R109" i="4"/>
  <c r="R731" i="4"/>
  <c r="AZ221" i="4"/>
  <c r="AZ214" i="4"/>
  <c r="U3" i="4"/>
  <c r="R185" i="4"/>
  <c r="R186" i="4" s="1"/>
  <c r="R222" i="4"/>
  <c r="R710" i="4"/>
  <c r="AY145" i="4"/>
  <c r="AY146" i="4"/>
  <c r="R50" i="4"/>
  <c r="R201" i="4"/>
  <c r="AK388" i="3"/>
  <c r="BP388" i="3" s="1"/>
  <c r="AZ723" i="4"/>
  <c r="AZ730" i="4"/>
  <c r="P108" i="4"/>
  <c r="P144" i="4"/>
  <c r="P137" i="4"/>
  <c r="Q222" i="4"/>
  <c r="Q185" i="4"/>
  <c r="AK171" i="3"/>
  <c r="AK226" i="3" s="1"/>
  <c r="BP226" i="3" s="1"/>
  <c r="BK168" i="4"/>
  <c r="BK179" i="4"/>
  <c r="AL55" i="4"/>
  <c r="AM65" i="3"/>
  <c r="BQ65" i="3" s="1"/>
  <c r="F8" i="33" s="1"/>
  <c r="AL79" i="3"/>
  <c r="W19" i="32" s="1"/>
  <c r="BP116" i="3"/>
  <c r="AL116" i="3"/>
  <c r="AM42" i="3"/>
  <c r="AL502" i="3"/>
  <c r="BK39" i="4"/>
  <c r="BK49" i="4" s="1"/>
  <c r="AL49" i="4"/>
  <c r="BK17" i="4"/>
  <c r="BK55" i="4" s="1"/>
  <c r="BN462" i="3"/>
  <c r="AK115" i="3"/>
  <c r="BO287" i="3"/>
  <c r="BO114" i="3"/>
  <c r="X543" i="3"/>
  <c r="X545" i="3" s="1"/>
  <c r="Y542" i="3"/>
  <c r="BO112" i="3"/>
  <c r="BO137" i="3"/>
  <c r="BO113" i="3"/>
  <c r="AJ78" i="4"/>
  <c r="AK78" i="4" s="1"/>
  <c r="BO228" i="3"/>
  <c r="BO53" i="3" s="1"/>
  <c r="BO72" i="3"/>
  <c r="BO226" i="3"/>
  <c r="BO171" i="3"/>
  <c r="BN225" i="3"/>
  <c r="BN51" i="3" s="1"/>
  <c r="BO115" i="3"/>
  <c r="BN421" i="3"/>
  <c r="BN544" i="3"/>
  <c r="BN423" i="3"/>
  <c r="C36" i="33" s="1"/>
  <c r="BI27" i="4"/>
  <c r="C66" i="4"/>
  <c r="BN288" i="3"/>
  <c r="BN302" i="3" s="1"/>
  <c r="BN252" i="3"/>
  <c r="BN197" i="3"/>
  <c r="BN45" i="3"/>
  <c r="BB295" i="4"/>
  <c r="AT439" i="4"/>
  <c r="BM50" i="3"/>
  <c r="BB345" i="4"/>
  <c r="AT354" i="4"/>
  <c r="BB97" i="4"/>
  <c r="BB135" i="4" s="1"/>
  <c r="BB251" i="4"/>
  <c r="BB292" i="4" s="1"/>
  <c r="BB491" i="4"/>
  <c r="AT500" i="4"/>
  <c r="BB493" i="4"/>
  <c r="BB175" i="4"/>
  <c r="BB212" i="4" s="1"/>
  <c r="BB683" i="4"/>
  <c r="BB721" i="4" s="1"/>
  <c r="BB438" i="4"/>
  <c r="BB439" i="4"/>
  <c r="BI542" i="3"/>
  <c r="D162" i="3"/>
  <c r="D350" i="3"/>
  <c r="D351" i="3" s="1"/>
  <c r="D454" i="3"/>
  <c r="D444" i="3" s="1"/>
  <c r="D459" i="3"/>
  <c r="E86" i="3"/>
  <c r="BH545" i="3"/>
  <c r="AO7" i="32" l="1"/>
  <c r="E11" i="33"/>
  <c r="AR63" i="28"/>
  <c r="AN9" i="32"/>
  <c r="D13" i="33"/>
  <c r="H3" i="32"/>
  <c r="BN462" i="4"/>
  <c r="BN507" i="4" s="1"/>
  <c r="I2" i="32"/>
  <c r="AM43" i="3"/>
  <c r="AM41" i="3"/>
  <c r="AM70" i="3"/>
  <c r="AJ223" i="3"/>
  <c r="AJ242" i="3" s="1"/>
  <c r="AJ187" i="3"/>
  <c r="AJ209" i="3" s="1"/>
  <c r="AJ198" i="3" s="1"/>
  <c r="AK198" i="3" s="1"/>
  <c r="AC62" i="28"/>
  <c r="AC63" i="28"/>
  <c r="J2" i="28"/>
  <c r="I3" i="28"/>
  <c r="AR2" i="28"/>
  <c r="BR3" i="3"/>
  <c r="BL1" i="4"/>
  <c r="BR2" i="3"/>
  <c r="V2" i="4"/>
  <c r="AL114" i="3"/>
  <c r="AL112" i="3"/>
  <c r="AL121" i="3"/>
  <c r="AK167" i="3"/>
  <c r="AK169" i="3"/>
  <c r="BN90" i="4"/>
  <c r="W33" i="3"/>
  <c r="BM328" i="4"/>
  <c r="AR537" i="3"/>
  <c r="BM386" i="4"/>
  <c r="BM429" i="4" s="1"/>
  <c r="AR457" i="4"/>
  <c r="BN457" i="4" s="1"/>
  <c r="BN194" i="4"/>
  <c r="BS391" i="3"/>
  <c r="AR391" i="3"/>
  <c r="AS391" i="3" s="1"/>
  <c r="BT391" i="3" s="1"/>
  <c r="BM463" i="4"/>
  <c r="AQ463" i="4"/>
  <c r="AR46" i="4"/>
  <c r="BN46" i="4" s="1"/>
  <c r="BT537" i="3" s="1"/>
  <c r="AT135" i="4"/>
  <c r="BM312" i="4"/>
  <c r="AQ312" i="4"/>
  <c r="AQ243" i="4"/>
  <c r="AD152" i="28" s="1"/>
  <c r="AD60" i="28" s="1"/>
  <c r="BN316" i="4"/>
  <c r="BN359" i="4" s="1"/>
  <c r="AQ328" i="4"/>
  <c r="BM471" i="4"/>
  <c r="AQ471" i="4"/>
  <c r="AR235" i="4"/>
  <c r="AR386" i="4" s="1"/>
  <c r="AQ386" i="4"/>
  <c r="BM162" i="4"/>
  <c r="AQ162" i="4"/>
  <c r="AR164" i="4"/>
  <c r="BN164" i="4" s="1"/>
  <c r="BN207" i="4" s="1"/>
  <c r="AR456" i="4"/>
  <c r="BN456" i="4" s="1"/>
  <c r="T61" i="4"/>
  <c r="T513" i="4"/>
  <c r="T138" i="4"/>
  <c r="BM243" i="4"/>
  <c r="T63" i="4"/>
  <c r="T695" i="4"/>
  <c r="T109" i="4" s="1"/>
  <c r="AN505" i="4"/>
  <c r="AO459" i="4"/>
  <c r="AO18" i="4" s="1"/>
  <c r="AP66" i="3" s="1"/>
  <c r="AN402" i="4"/>
  <c r="BL402" i="4" s="1"/>
  <c r="AO331" i="4"/>
  <c r="AP244" i="4"/>
  <c r="AO391" i="4"/>
  <c r="BL488" i="4"/>
  <c r="BL498" i="4" s="1"/>
  <c r="AO488" i="4"/>
  <c r="AP236" i="4"/>
  <c r="AO387" i="4"/>
  <c r="AO167" i="4"/>
  <c r="BL458" i="4"/>
  <c r="BL504" i="4" s="1"/>
  <c r="AO458" i="4"/>
  <c r="T665" i="4"/>
  <c r="T54" i="4"/>
  <c r="T724" i="4"/>
  <c r="T364" i="4"/>
  <c r="T510" i="4"/>
  <c r="T721" i="4"/>
  <c r="T502" i="4"/>
  <c r="T128" i="4"/>
  <c r="T720" i="4"/>
  <c r="T295" i="4"/>
  <c r="T719" i="4"/>
  <c r="T127" i="4"/>
  <c r="T212" i="4"/>
  <c r="T438" i="4"/>
  <c r="T135" i="4"/>
  <c r="T435" i="4"/>
  <c r="T53" i="4"/>
  <c r="T59" i="4"/>
  <c r="T292" i="4"/>
  <c r="T11" i="4"/>
  <c r="T157" i="4"/>
  <c r="T366" i="4"/>
  <c r="T215" i="4"/>
  <c r="T210" i="4"/>
  <c r="AZ695" i="4"/>
  <c r="AZ732" i="4" s="1"/>
  <c r="BK22" i="4"/>
  <c r="BK34" i="4"/>
  <c r="AN18" i="4"/>
  <c r="AO66" i="3" s="1"/>
  <c r="BR66" i="3" s="1"/>
  <c r="AZ187" i="4"/>
  <c r="AZ222" i="4" s="1"/>
  <c r="BQ42" i="3"/>
  <c r="BQ502" i="3" s="1"/>
  <c r="AN42" i="3"/>
  <c r="BL459" i="4"/>
  <c r="BL505" i="4" s="1"/>
  <c r="AM55" i="4"/>
  <c r="AM56" i="4"/>
  <c r="BL331" i="4"/>
  <c r="BL387" i="4"/>
  <c r="BL430" i="4" s="1"/>
  <c r="BL167" i="4"/>
  <c r="BL209" i="4" s="1"/>
  <c r="AN455" i="4"/>
  <c r="AM49" i="4"/>
  <c r="AN179" i="4"/>
  <c r="AM34" i="4"/>
  <c r="AN79" i="3" s="1"/>
  <c r="Y19" i="32" s="1"/>
  <c r="AN168" i="4"/>
  <c r="AM22" i="4"/>
  <c r="AN498" i="4"/>
  <c r="AN39" i="4"/>
  <c r="AN504" i="4"/>
  <c r="AN17" i="4"/>
  <c r="W5" i="3"/>
  <c r="W61" i="3" s="1"/>
  <c r="AL388" i="3"/>
  <c r="AM388" i="3" s="1"/>
  <c r="Q107" i="4"/>
  <c r="Q108" i="4" s="1"/>
  <c r="Q145" i="4"/>
  <c r="Q146" i="4"/>
  <c r="Q694" i="4"/>
  <c r="BA694" i="4" s="1"/>
  <c r="Q730" i="4"/>
  <c r="Q723" i="4"/>
  <c r="BA693" i="4"/>
  <c r="AZ108" i="4"/>
  <c r="AZ143" i="4" s="1"/>
  <c r="R221" i="4"/>
  <c r="R214" i="4"/>
  <c r="R146" i="4"/>
  <c r="R145" i="4"/>
  <c r="R107" i="4"/>
  <c r="S128" i="4"/>
  <c r="S215" i="4"/>
  <c r="S212" i="4"/>
  <c r="BB10" i="4"/>
  <c r="S364" i="4"/>
  <c r="S435" i="4"/>
  <c r="S510" i="4"/>
  <c r="S513" i="4"/>
  <c r="BB451" i="4"/>
  <c r="BB452" i="4" s="1"/>
  <c r="BB499" i="4" s="1"/>
  <c r="BB308" i="4"/>
  <c r="BB309" i="4" s="1"/>
  <c r="BB353" i="4" s="1"/>
  <c r="S292" i="4"/>
  <c r="S54" i="4"/>
  <c r="BB664" i="4"/>
  <c r="S210" i="4"/>
  <c r="S295" i="4"/>
  <c r="S502" i="4"/>
  <c r="S187" i="4"/>
  <c r="S185" i="4" s="1"/>
  <c r="S186" i="4" s="1"/>
  <c r="S59" i="4"/>
  <c r="S127" i="4"/>
  <c r="S53" i="4"/>
  <c r="S721" i="4"/>
  <c r="BB156" i="4"/>
  <c r="S720" i="4"/>
  <c r="S695" i="4"/>
  <c r="S693" i="4" s="1"/>
  <c r="S694" i="4" s="1"/>
  <c r="BB379" i="4"/>
  <c r="BB380" i="4" s="1"/>
  <c r="BB424" i="4" s="1"/>
  <c r="S719" i="4"/>
  <c r="S438" i="4"/>
  <c r="S61" i="4"/>
  <c r="S11" i="4"/>
  <c r="S138" i="4"/>
  <c r="S724" i="4"/>
  <c r="BB228" i="4"/>
  <c r="BB229" i="4" s="1"/>
  <c r="BB277" i="4" s="1"/>
  <c r="S366" i="4"/>
  <c r="S665" i="4"/>
  <c r="S63" i="4"/>
  <c r="S157" i="4"/>
  <c r="S135" i="4"/>
  <c r="BB78" i="4"/>
  <c r="BB79" i="4" s="1"/>
  <c r="BB124" i="4" s="1"/>
  <c r="X2" i="3"/>
  <c r="Y1" i="3"/>
  <c r="W1" i="4"/>
  <c r="X3" i="3"/>
  <c r="U357" i="3"/>
  <c r="U481" i="3" s="1"/>
  <c r="U505" i="3" s="1"/>
  <c r="BH356" i="3"/>
  <c r="BH357" i="3" s="1"/>
  <c r="BH481" i="3" s="1"/>
  <c r="BH505" i="3" s="1"/>
  <c r="Q186" i="4"/>
  <c r="BA186" i="4" s="1"/>
  <c r="Q221" i="4"/>
  <c r="Q214" i="4"/>
  <c r="BA185" i="4"/>
  <c r="R730" i="4"/>
  <c r="R723" i="4"/>
  <c r="V3" i="4"/>
  <c r="V5" i="3"/>
  <c r="AZ144" i="4"/>
  <c r="AZ137" i="4"/>
  <c r="BP171" i="3"/>
  <c r="AL171" i="3"/>
  <c r="AL226" i="3" s="1"/>
  <c r="BQ79" i="3"/>
  <c r="BP115" i="3"/>
  <c r="AL115" i="3"/>
  <c r="AM502" i="3"/>
  <c r="BP121" i="3"/>
  <c r="AM116" i="3"/>
  <c r="AL78" i="4"/>
  <c r="AM78" i="4" s="1"/>
  <c r="BO132" i="3"/>
  <c r="BO109" i="3" s="1"/>
  <c r="BO544" i="3"/>
  <c r="AK544" i="3"/>
  <c r="BO289" i="3"/>
  <c r="AK289" i="3"/>
  <c r="BO142" i="3"/>
  <c r="BO390" i="3"/>
  <c r="AK137" i="3"/>
  <c r="Y543" i="3"/>
  <c r="Y545" i="3" s="1"/>
  <c r="Z542" i="3"/>
  <c r="BO138" i="3"/>
  <c r="BO381" i="3"/>
  <c r="BO403" i="3"/>
  <c r="BO167" i="3"/>
  <c r="BO223" i="3"/>
  <c r="BO169" i="3"/>
  <c r="BO170" i="3"/>
  <c r="BO290" i="3"/>
  <c r="AK113" i="3"/>
  <c r="BO322" i="3"/>
  <c r="BO312" i="3"/>
  <c r="BO168" i="3"/>
  <c r="BO224" i="3"/>
  <c r="BO247" i="3"/>
  <c r="BO192" i="3"/>
  <c r="BO222" i="3"/>
  <c r="BN321" i="3"/>
  <c r="BG176" i="4"/>
  <c r="U665" i="4"/>
  <c r="BC115" i="4"/>
  <c r="BC125" i="4" s="1"/>
  <c r="BC117" i="4"/>
  <c r="BB81" i="4"/>
  <c r="BC84" i="4"/>
  <c r="BB42" i="4"/>
  <c r="BB51" i="4" s="1"/>
  <c r="AT51" i="4"/>
  <c r="BB418" i="4"/>
  <c r="BB347" i="4"/>
  <c r="BB327" i="4"/>
  <c r="BB364" i="4" s="1"/>
  <c r="AT139" i="4"/>
  <c r="BB99" i="4"/>
  <c r="BB82" i="4"/>
  <c r="BB128" i="4" s="1"/>
  <c r="BB502" i="4"/>
  <c r="BB500" i="4"/>
  <c r="BB177" i="4"/>
  <c r="AT216" i="4"/>
  <c r="BC668" i="4"/>
  <c r="BC714" i="4" s="1"/>
  <c r="AT425" i="4"/>
  <c r="BB416" i="4"/>
  <c r="BB354" i="4"/>
  <c r="BB356" i="4"/>
  <c r="D466" i="3"/>
  <c r="D482" i="3" s="1"/>
  <c r="D506" i="3" s="1"/>
  <c r="D463" i="3"/>
  <c r="D359" i="3"/>
  <c r="D339" i="3"/>
  <c r="BI543" i="3"/>
  <c r="E88" i="3"/>
  <c r="E94" i="3" s="1"/>
  <c r="E343" i="3"/>
  <c r="E345" i="3" s="1"/>
  <c r="E349" i="3" s="1"/>
  <c r="AZ86" i="3"/>
  <c r="D456" i="3"/>
  <c r="D424" i="3"/>
  <c r="D154" i="3"/>
  <c r="D160" i="3"/>
  <c r="D450" i="3" s="1"/>
  <c r="D272" i="3"/>
  <c r="AP19" i="32" l="1"/>
  <c r="F18" i="33"/>
  <c r="BP34" i="4"/>
  <c r="BL2" i="4"/>
  <c r="AN43" i="3"/>
  <c r="I3" i="32"/>
  <c r="AQ3" i="32"/>
  <c r="J2" i="32"/>
  <c r="BQ70" i="3"/>
  <c r="X7" i="32"/>
  <c r="AN70" i="3"/>
  <c r="Y7" i="32" s="1"/>
  <c r="AL198" i="3"/>
  <c r="AM198" i="3" s="1"/>
  <c r="BP198" i="3"/>
  <c r="AD62" i="28"/>
  <c r="AD63" i="28"/>
  <c r="AH140" i="28"/>
  <c r="AH18" i="28" s="1"/>
  <c r="BM289" i="4"/>
  <c r="AS152" i="28"/>
  <c r="AS60" i="28" s="1"/>
  <c r="K2" i="28"/>
  <c r="J3" i="28"/>
  <c r="AM114" i="3"/>
  <c r="BL3" i="4"/>
  <c r="AR3" i="28"/>
  <c r="AS2" i="28"/>
  <c r="BS3" i="3"/>
  <c r="BS2" i="3"/>
  <c r="BM1" i="4"/>
  <c r="AL167" i="3"/>
  <c r="AM121" i="3"/>
  <c r="AL169" i="3"/>
  <c r="AM112" i="3"/>
  <c r="X33" i="3"/>
  <c r="BN235" i="4"/>
  <c r="BN282" i="4" s="1"/>
  <c r="AR162" i="4"/>
  <c r="BN162" i="4" s="1"/>
  <c r="AR471" i="4"/>
  <c r="BN471" i="4" s="1"/>
  <c r="AQ429" i="4"/>
  <c r="BN386" i="4"/>
  <c r="BN429" i="4" s="1"/>
  <c r="AR463" i="4"/>
  <c r="BN463" i="4" s="1"/>
  <c r="AR429" i="4"/>
  <c r="AR328" i="4"/>
  <c r="BN328" i="4" s="1"/>
  <c r="BM236" i="4"/>
  <c r="BM283" i="4" s="1"/>
  <c r="AQ236" i="4"/>
  <c r="AR243" i="4"/>
  <c r="AE152" i="28" s="1"/>
  <c r="AE60" i="28" s="1"/>
  <c r="AP391" i="4"/>
  <c r="AQ244" i="4"/>
  <c r="AR312" i="4"/>
  <c r="AS537" i="3"/>
  <c r="AT61" i="4"/>
  <c r="AZ731" i="4"/>
  <c r="BM244" i="4"/>
  <c r="AO430" i="4"/>
  <c r="AN22" i="4"/>
  <c r="AO168" i="4"/>
  <c r="AP167" i="4"/>
  <c r="AO56" i="4"/>
  <c r="AP488" i="4"/>
  <c r="AO498" i="4"/>
  <c r="AO39" i="4"/>
  <c r="AP385" i="3" s="1"/>
  <c r="AP331" i="4"/>
  <c r="AO402" i="4"/>
  <c r="AN34" i="4"/>
  <c r="AO79" i="3" s="1"/>
  <c r="Z19" i="32" s="1"/>
  <c r="AO179" i="4"/>
  <c r="BL455" i="4"/>
  <c r="AO455" i="4"/>
  <c r="AP387" i="4"/>
  <c r="AO385" i="3"/>
  <c r="BR385" i="3" s="1"/>
  <c r="G32" i="33" s="1"/>
  <c r="G33" i="33" s="1"/>
  <c r="AP459" i="4"/>
  <c r="AO505" i="4"/>
  <c r="AP458" i="4"/>
  <c r="AO504" i="4"/>
  <c r="AO17" i="4"/>
  <c r="AP65" i="3" s="1"/>
  <c r="W563" i="3"/>
  <c r="W22" i="3" s="1"/>
  <c r="AZ109" i="4"/>
  <c r="AZ146" i="4" s="1"/>
  <c r="W2" i="4"/>
  <c r="AZ223" i="4"/>
  <c r="W526" i="3"/>
  <c r="W564" i="3"/>
  <c r="W26" i="3" s="1"/>
  <c r="W536" i="3"/>
  <c r="W532" i="3"/>
  <c r="V5" i="4"/>
  <c r="V61" i="4" s="1"/>
  <c r="BL179" i="4"/>
  <c r="AN55" i="4"/>
  <c r="AO65" i="3"/>
  <c r="BR65" i="3" s="1"/>
  <c r="G8" i="33" s="1"/>
  <c r="BL18" i="4"/>
  <c r="BL56" i="4" s="1"/>
  <c r="AN56" i="4"/>
  <c r="W524" i="3"/>
  <c r="BA729" i="4"/>
  <c r="W533" i="3"/>
  <c r="W525" i="3"/>
  <c r="W528" i="3"/>
  <c r="BQ388" i="3"/>
  <c r="AN388" i="3"/>
  <c r="BQ116" i="3"/>
  <c r="AN116" i="3"/>
  <c r="AO42" i="3"/>
  <c r="AN502" i="3"/>
  <c r="BL17" i="4"/>
  <c r="BL55" i="4" s="1"/>
  <c r="AN49" i="4"/>
  <c r="BL39" i="4"/>
  <c r="BL49" i="4" s="1"/>
  <c r="BL168" i="4"/>
  <c r="AN78" i="4"/>
  <c r="AO78" i="4" s="1"/>
  <c r="BI33" i="3"/>
  <c r="BA220" i="4"/>
  <c r="W3" i="4"/>
  <c r="S201" i="4"/>
  <c r="T201" i="4"/>
  <c r="S50" i="4"/>
  <c r="T50" i="4"/>
  <c r="R108" i="4"/>
  <c r="BA108" i="4" s="1"/>
  <c r="R137" i="4"/>
  <c r="R144" i="4"/>
  <c r="X1" i="4"/>
  <c r="Z1" i="3"/>
  <c r="Y2" i="3"/>
  <c r="Y3" i="3"/>
  <c r="T710" i="4"/>
  <c r="S710" i="4"/>
  <c r="BA214" i="4"/>
  <c r="BA187" i="4"/>
  <c r="BA221" i="4"/>
  <c r="BA695" i="4"/>
  <c r="BA723" i="4"/>
  <c r="BA730" i="4"/>
  <c r="V536" i="3"/>
  <c r="BI29" i="3"/>
  <c r="BI479" i="3" s="1"/>
  <c r="BI503" i="3" s="1"/>
  <c r="V532" i="3"/>
  <c r="V525" i="3"/>
  <c r="BI60" i="3"/>
  <c r="V533" i="3"/>
  <c r="V524" i="3"/>
  <c r="V564" i="3"/>
  <c r="V26" i="3" s="1"/>
  <c r="V526" i="3"/>
  <c r="V563" i="3"/>
  <c r="V22" i="3" s="1"/>
  <c r="U5" i="4"/>
  <c r="V528" i="3"/>
  <c r="V61" i="3"/>
  <c r="BI56" i="3"/>
  <c r="Q144" i="4"/>
  <c r="Q137" i="4"/>
  <c r="BA107" i="4"/>
  <c r="AM171" i="3"/>
  <c r="BP113" i="3"/>
  <c r="AL113" i="3"/>
  <c r="BP112" i="3"/>
  <c r="Z543" i="3"/>
  <c r="Z545" i="3" s="1"/>
  <c r="AA542" i="3"/>
  <c r="BP289" i="3"/>
  <c r="AL289" i="3"/>
  <c r="BP169" i="3"/>
  <c r="BP137" i="3"/>
  <c r="AL137" i="3"/>
  <c r="BP544" i="3"/>
  <c r="AL544" i="3"/>
  <c r="AM544" i="3" s="1"/>
  <c r="AM115" i="3"/>
  <c r="BP114" i="3"/>
  <c r="BO462" i="3"/>
  <c r="AK224" i="3"/>
  <c r="BP224" i="3" s="1"/>
  <c r="AK381" i="3"/>
  <c r="BO252" i="3"/>
  <c r="AK170" i="3"/>
  <c r="AL170" i="3" s="1"/>
  <c r="AL225" i="3" s="1"/>
  <c r="AL322" i="3" s="1"/>
  <c r="AK168" i="3"/>
  <c r="BO288" i="3"/>
  <c r="BO302" i="3" s="1"/>
  <c r="BO423" i="3"/>
  <c r="D36" i="33" s="1"/>
  <c r="D37" i="33" s="1"/>
  <c r="BO421" i="3"/>
  <c r="AK142" i="3"/>
  <c r="AK403" i="3"/>
  <c r="AK138" i="3"/>
  <c r="AK192" i="3"/>
  <c r="AJ156" i="4"/>
  <c r="AK156" i="4" s="1"/>
  <c r="AI10" i="4"/>
  <c r="AJ60" i="3" s="1"/>
  <c r="BO197" i="3"/>
  <c r="BO225" i="3"/>
  <c r="BO51" i="3" s="1"/>
  <c r="BO45" i="3"/>
  <c r="BO321" i="3"/>
  <c r="U710" i="4"/>
  <c r="V710" i="4"/>
  <c r="BN50" i="3"/>
  <c r="BC99" i="4"/>
  <c r="BC329" i="4"/>
  <c r="BC16" i="4"/>
  <c r="BC83" i="4"/>
  <c r="AI141" i="28" s="1"/>
  <c r="AI23" i="28" s="1"/>
  <c r="BB425" i="4"/>
  <c r="BB427" i="4"/>
  <c r="BC253" i="4"/>
  <c r="BC685" i="4"/>
  <c r="BC493" i="4"/>
  <c r="BC491" i="4"/>
  <c r="BB14" i="4"/>
  <c r="BB54" i="4" s="1"/>
  <c r="BC175" i="4"/>
  <c r="BC97" i="4"/>
  <c r="BC135" i="4" s="1"/>
  <c r="BB127" i="4"/>
  <c r="BB88" i="4"/>
  <c r="BB13" i="4"/>
  <c r="BC667" i="4"/>
  <c r="BC713" i="4" s="1"/>
  <c r="BC720" i="4"/>
  <c r="BC251" i="4"/>
  <c r="BB215" i="4"/>
  <c r="BB216" i="4"/>
  <c r="BB31" i="4"/>
  <c r="AT64" i="4"/>
  <c r="BB139" i="4"/>
  <c r="BB138" i="4"/>
  <c r="BB398" i="4"/>
  <c r="BB435" i="4" s="1"/>
  <c r="BC683" i="4"/>
  <c r="BB44" i="4"/>
  <c r="BJ542" i="3"/>
  <c r="AZ88" i="3"/>
  <c r="AZ343" i="3"/>
  <c r="AZ345" i="3" s="1"/>
  <c r="AZ349" i="3" s="1"/>
  <c r="AZ94" i="3"/>
  <c r="AZ98" i="3" s="1"/>
  <c r="E98" i="3"/>
  <c r="D467" i="3"/>
  <c r="D483" i="3" s="1"/>
  <c r="D507" i="3" s="1"/>
  <c r="D523" i="3"/>
  <c r="D484" i="3"/>
  <c r="D522" i="3"/>
  <c r="D581" i="3" s="1"/>
  <c r="D164" i="3"/>
  <c r="D143" i="3"/>
  <c r="D253" i="3" s="1"/>
  <c r="D264" i="3" s="1"/>
  <c r="D274" i="3" s="1"/>
  <c r="BI545" i="3"/>
  <c r="AP7" i="32" l="1"/>
  <c r="F11" i="33"/>
  <c r="BM2" i="4"/>
  <c r="AR3" i="32"/>
  <c r="J3" i="32"/>
  <c r="K2" i="32"/>
  <c r="AK312" i="3"/>
  <c r="AK559" i="3" s="1"/>
  <c r="AO70" i="3"/>
  <c r="Z7" i="32" s="1"/>
  <c r="AN198" i="3"/>
  <c r="AO198" i="3" s="1"/>
  <c r="BQ198" i="3"/>
  <c r="AL168" i="3"/>
  <c r="AL223" i="3" s="1"/>
  <c r="AS63" i="28"/>
  <c r="AS62" i="28"/>
  <c r="AI25" i="28"/>
  <c r="AI26" i="28"/>
  <c r="AE62" i="28"/>
  <c r="AE63" i="28"/>
  <c r="AH20" i="28"/>
  <c r="AH21" i="28"/>
  <c r="K3" i="28"/>
  <c r="AN114" i="3"/>
  <c r="L2" i="28"/>
  <c r="BM3" i="4"/>
  <c r="AS3" i="28"/>
  <c r="AT2" i="28"/>
  <c r="BT2" i="3"/>
  <c r="BN1" i="4"/>
  <c r="BT3" i="3"/>
  <c r="BR79" i="3"/>
  <c r="AN112" i="3"/>
  <c r="AM169" i="3"/>
  <c r="AM167" i="3"/>
  <c r="AN121" i="3"/>
  <c r="V438" i="4"/>
  <c r="Y33" i="3"/>
  <c r="Y356" i="3" s="1"/>
  <c r="Y357" i="3" s="1"/>
  <c r="Y481" i="3" s="1"/>
  <c r="Y505" i="3" s="1"/>
  <c r="AP430" i="4"/>
  <c r="BM391" i="4"/>
  <c r="V11" i="4"/>
  <c r="BN312" i="4"/>
  <c r="V513" i="4"/>
  <c r="BN243" i="4"/>
  <c r="BM458" i="4"/>
  <c r="BM504" i="4" s="1"/>
  <c r="AQ458" i="4"/>
  <c r="AQ167" i="4"/>
  <c r="BM488" i="4"/>
  <c r="BM498" i="4" s="1"/>
  <c r="AQ488" i="4"/>
  <c r="AP505" i="4"/>
  <c r="AQ459" i="4"/>
  <c r="AQ18" i="4" s="1"/>
  <c r="AP402" i="4"/>
  <c r="AQ331" i="4"/>
  <c r="AR236" i="4"/>
  <c r="AQ387" i="4"/>
  <c r="AR244" i="4"/>
  <c r="AR391" i="4" s="1"/>
  <c r="AQ391" i="4"/>
  <c r="V212" i="4"/>
  <c r="BL22" i="4"/>
  <c r="V510" i="4"/>
  <c r="V435" i="4"/>
  <c r="V309" i="4"/>
  <c r="V53" i="4"/>
  <c r="V128" i="4"/>
  <c r="V290" i="4"/>
  <c r="AZ145" i="4"/>
  <c r="V720" i="4"/>
  <c r="V380" i="4"/>
  <c r="BR42" i="3"/>
  <c r="BR502" i="3" s="1"/>
  <c r="AP42" i="3"/>
  <c r="V63" i="4"/>
  <c r="V364" i="4"/>
  <c r="V502" i="4"/>
  <c r="AO388" i="3"/>
  <c r="V127" i="4"/>
  <c r="V133" i="4"/>
  <c r="V54" i="4"/>
  <c r="V724" i="4"/>
  <c r="V157" i="4"/>
  <c r="V79" i="4"/>
  <c r="BM387" i="4"/>
  <c r="BM430" i="4" s="1"/>
  <c r="AO55" i="4"/>
  <c r="V229" i="4"/>
  <c r="V59" i="4"/>
  <c r="V135" i="4"/>
  <c r="V138" i="4"/>
  <c r="V292" i="4"/>
  <c r="BL34" i="4"/>
  <c r="BM167" i="4"/>
  <c r="BM209" i="4" s="1"/>
  <c r="V366" i="4"/>
  <c r="V215" i="4"/>
  <c r="V295" i="4"/>
  <c r="V187" i="4"/>
  <c r="V222" i="4" s="1"/>
  <c r="V210" i="4"/>
  <c r="BM459" i="4"/>
  <c r="BM505" i="4" s="1"/>
  <c r="BM331" i="4"/>
  <c r="AP78" i="4"/>
  <c r="AP179" i="4"/>
  <c r="AO34" i="4"/>
  <c r="AP79" i="3" s="1"/>
  <c r="AA19" i="32" s="1"/>
  <c r="AP498" i="4"/>
  <c r="AP39" i="4"/>
  <c r="AQ385" i="3" s="1"/>
  <c r="AP504" i="4"/>
  <c r="AP17" i="4"/>
  <c r="AP18" i="4"/>
  <c r="AP168" i="4"/>
  <c r="AO22" i="4"/>
  <c r="AP455" i="4"/>
  <c r="AO49" i="4"/>
  <c r="X2" i="4"/>
  <c r="AO43" i="3"/>
  <c r="AO116" i="3"/>
  <c r="AO502" i="3"/>
  <c r="BQ115" i="3"/>
  <c r="AN115" i="3"/>
  <c r="BQ171" i="3"/>
  <c r="AN171" i="3"/>
  <c r="BQ544" i="3"/>
  <c r="AN544" i="3"/>
  <c r="AO544" i="3" s="1"/>
  <c r="BQ121" i="3"/>
  <c r="Y5" i="3"/>
  <c r="Y526" i="3" s="1"/>
  <c r="BA143" i="4"/>
  <c r="AL192" i="3"/>
  <c r="AL247" i="3" s="1"/>
  <c r="BA222" i="4"/>
  <c r="BA223" i="4"/>
  <c r="BA109" i="4"/>
  <c r="BA144" i="4"/>
  <c r="BA137" i="4"/>
  <c r="X3" i="4"/>
  <c r="X5" i="3"/>
  <c r="AA1" i="3"/>
  <c r="Y1" i="4"/>
  <c r="Z3" i="3"/>
  <c r="Z2" i="3"/>
  <c r="U309" i="4"/>
  <c r="U215" i="4"/>
  <c r="U59" i="4"/>
  <c r="U135" i="4"/>
  <c r="U157" i="4"/>
  <c r="U63" i="4"/>
  <c r="BC379" i="4"/>
  <c r="BC380" i="4" s="1"/>
  <c r="BC424" i="4" s="1"/>
  <c r="BC10" i="4"/>
  <c r="U210" i="4"/>
  <c r="U435" i="4"/>
  <c r="U54" i="4"/>
  <c r="U292" i="4"/>
  <c r="U731" i="4"/>
  <c r="BC78" i="4"/>
  <c r="U380" i="4"/>
  <c r="U127" i="4"/>
  <c r="U229" i="4"/>
  <c r="U513" i="4"/>
  <c r="BC308" i="4"/>
  <c r="BC309" i="4" s="1"/>
  <c r="BC353" i="4" s="1"/>
  <c r="U128" i="4"/>
  <c r="U724" i="4"/>
  <c r="U366" i="4"/>
  <c r="U187" i="4"/>
  <c r="U510" i="4"/>
  <c r="BC156" i="4"/>
  <c r="U295" i="4"/>
  <c r="U53" i="4"/>
  <c r="U290" i="4"/>
  <c r="U438" i="4"/>
  <c r="U719" i="4"/>
  <c r="U212" i="4"/>
  <c r="U720" i="4"/>
  <c r="U502" i="4"/>
  <c r="BC664" i="4"/>
  <c r="U133" i="4"/>
  <c r="U364" i="4"/>
  <c r="U138" i="4"/>
  <c r="U721" i="4"/>
  <c r="U61" i="4"/>
  <c r="U11" i="4"/>
  <c r="BC228" i="4"/>
  <c r="BC229" i="4" s="1"/>
  <c r="BC277" i="4" s="1"/>
  <c r="BC451" i="4"/>
  <c r="BA731" i="4"/>
  <c r="BA732" i="4"/>
  <c r="AM226" i="3"/>
  <c r="BQ226" i="3" s="1"/>
  <c r="AM289" i="3"/>
  <c r="AL222" i="3"/>
  <c r="BP381" i="3"/>
  <c r="AL381" i="3"/>
  <c r="AL224" i="3"/>
  <c r="BP142" i="3"/>
  <c r="AL142" i="3"/>
  <c r="AM170" i="3"/>
  <c r="AA543" i="3"/>
  <c r="AA545" i="3" s="1"/>
  <c r="AB542" i="3"/>
  <c r="AM113" i="3"/>
  <c r="AN113" i="3" s="1"/>
  <c r="BP403" i="3"/>
  <c r="AL403" i="3"/>
  <c r="BP138" i="3"/>
  <c r="AL138" i="3"/>
  <c r="AM137" i="3"/>
  <c r="AL156" i="4"/>
  <c r="AM156" i="4" s="1"/>
  <c r="AK10" i="4"/>
  <c r="AL60" i="3" s="1"/>
  <c r="AK421" i="3"/>
  <c r="BP168" i="3"/>
  <c r="AK197" i="3"/>
  <c r="AK247" i="3"/>
  <c r="BP247" i="3" s="1"/>
  <c r="BP192" i="3"/>
  <c r="AK222" i="3"/>
  <c r="BP222" i="3" s="1"/>
  <c r="BP167" i="3"/>
  <c r="AK225" i="3"/>
  <c r="BP170" i="3"/>
  <c r="AK288" i="3"/>
  <c r="AK223" i="3"/>
  <c r="BP223" i="3" s="1"/>
  <c r="AK423" i="3"/>
  <c r="AJ10" i="4"/>
  <c r="AK60" i="3" s="1"/>
  <c r="BO50" i="3"/>
  <c r="BC502" i="4"/>
  <c r="BC500" i="4"/>
  <c r="BC724" i="4"/>
  <c r="BC725" i="4"/>
  <c r="BC295" i="4"/>
  <c r="BC296" i="4"/>
  <c r="BC721" i="4"/>
  <c r="BC292" i="4"/>
  <c r="BC212" i="4"/>
  <c r="BC366" i="4"/>
  <c r="BC367" i="4"/>
  <c r="BC138" i="4"/>
  <c r="BC139" i="4"/>
  <c r="BH176" i="4"/>
  <c r="BC15" i="4"/>
  <c r="BC327" i="4"/>
  <c r="BC81" i="4"/>
  <c r="BC60" i="4"/>
  <c r="BI72" i="3"/>
  <c r="AH9" i="32" s="1"/>
  <c r="BC14" i="4"/>
  <c r="BC54" i="4" s="1"/>
  <c r="BD115" i="4"/>
  <c r="BD125" i="4" s="1"/>
  <c r="BD117" i="4"/>
  <c r="W231" i="4"/>
  <c r="BB64" i="4"/>
  <c r="BB63" i="4"/>
  <c r="BH76" i="3"/>
  <c r="BC400" i="4"/>
  <c r="BC674" i="4"/>
  <c r="BC177" i="4"/>
  <c r="BB53" i="4"/>
  <c r="BB20" i="4"/>
  <c r="BH63" i="3"/>
  <c r="BH68" i="3" s="1"/>
  <c r="AG6" i="32" s="1"/>
  <c r="BC82" i="4"/>
  <c r="BC128" i="4" s="1"/>
  <c r="BC453" i="4"/>
  <c r="AI163" i="28" s="1"/>
  <c r="AI98" i="28" s="1"/>
  <c r="D4" i="3"/>
  <c r="AZ91" i="3"/>
  <c r="AZ101" i="3"/>
  <c r="BA93" i="3"/>
  <c r="AZ520" i="3"/>
  <c r="AZ521" i="3"/>
  <c r="BJ543" i="3"/>
  <c r="BJ545" i="3"/>
  <c r="E101" i="3"/>
  <c r="E91" i="3"/>
  <c r="F93" i="3"/>
  <c r="F86" i="3" s="1"/>
  <c r="D41" i="4"/>
  <c r="E521" i="3"/>
  <c r="E520" i="3"/>
  <c r="AQ19" i="32" l="1"/>
  <c r="G18" i="33"/>
  <c r="AL312" i="3"/>
  <c r="L2" i="32"/>
  <c r="BR70" i="3"/>
  <c r="BH533" i="3"/>
  <c r="AG14" i="32"/>
  <c r="K3" i="32"/>
  <c r="AS3" i="32"/>
  <c r="AP70" i="3"/>
  <c r="AA7" i="32" s="1"/>
  <c r="AM168" i="3"/>
  <c r="AM312" i="3" s="1"/>
  <c r="BQ312" i="3" s="1"/>
  <c r="BP312" i="3"/>
  <c r="BP45" i="3" s="1"/>
  <c r="BR198" i="3"/>
  <c r="AP198" i="3"/>
  <c r="AQ198" i="3" s="1"/>
  <c r="AI101" i="28"/>
  <c r="AI100" i="28"/>
  <c r="AO114" i="3"/>
  <c r="BN2" i="4"/>
  <c r="BN289" i="4"/>
  <c r="AT152" i="28"/>
  <c r="AT60" i="28" s="1"/>
  <c r="BC127" i="4"/>
  <c r="AI140" i="28"/>
  <c r="AI18" i="28" s="1"/>
  <c r="L3" i="28"/>
  <c r="BN3" i="4"/>
  <c r="AT3" i="28"/>
  <c r="M2" i="28"/>
  <c r="G3" i="6"/>
  <c r="AN169" i="3"/>
  <c r="AO121" i="3"/>
  <c r="AO112" i="3"/>
  <c r="AN167" i="3"/>
  <c r="BN236" i="4"/>
  <c r="BN283" i="4" s="1"/>
  <c r="Z33" i="3"/>
  <c r="BN391" i="4"/>
  <c r="BN244" i="4"/>
  <c r="AQ78" i="4"/>
  <c r="AR78" i="4" s="1"/>
  <c r="AQ66" i="3"/>
  <c r="BS66" i="3" s="1"/>
  <c r="BM402" i="4"/>
  <c r="AQ430" i="4"/>
  <c r="AP43" i="3"/>
  <c r="AR331" i="4"/>
  <c r="AR402" i="4" s="1"/>
  <c r="AQ402" i="4"/>
  <c r="AP22" i="4"/>
  <c r="AQ168" i="4"/>
  <c r="AP34" i="4"/>
  <c r="AQ79" i="3" s="1"/>
  <c r="AQ179" i="4"/>
  <c r="AQ56" i="4"/>
  <c r="AR66" i="3"/>
  <c r="AR167" i="4"/>
  <c r="AR387" i="4"/>
  <c r="AR430" i="4" s="1"/>
  <c r="BS385" i="3"/>
  <c r="AR459" i="4"/>
  <c r="AR505" i="4" s="1"/>
  <c r="AQ505" i="4"/>
  <c r="AQ498" i="4"/>
  <c r="AR488" i="4"/>
  <c r="BN488" i="4" s="1"/>
  <c r="BN498" i="4" s="1"/>
  <c r="AQ39" i="4"/>
  <c r="AR458" i="4"/>
  <c r="BN458" i="4" s="1"/>
  <c r="BN504" i="4" s="1"/>
  <c r="AQ504" i="4"/>
  <c r="AQ17" i="4"/>
  <c r="BM455" i="4"/>
  <c r="AQ455" i="4"/>
  <c r="AP55" i="4"/>
  <c r="AQ65" i="3"/>
  <c r="BR116" i="3"/>
  <c r="AP116" i="3"/>
  <c r="BR388" i="3"/>
  <c r="AP388" i="3"/>
  <c r="AQ388" i="3" s="1"/>
  <c r="BS388" i="3" s="1"/>
  <c r="BR544" i="3"/>
  <c r="AP544" i="3"/>
  <c r="AQ544" i="3" s="1"/>
  <c r="AQ42" i="3"/>
  <c r="AP502" i="3"/>
  <c r="AP49" i="4"/>
  <c r="BM39" i="4"/>
  <c r="BM49" i="4" s="1"/>
  <c r="AP56" i="4"/>
  <c r="BM18" i="4"/>
  <c r="BM56" i="4" s="1"/>
  <c r="BM168" i="4"/>
  <c r="BM17" i="4"/>
  <c r="BM55" i="4" s="1"/>
  <c r="BM179" i="4"/>
  <c r="Y528" i="3"/>
  <c r="Y563" i="3"/>
  <c r="Y22" i="3" s="1"/>
  <c r="BC452" i="4"/>
  <c r="BC499" i="4" s="1"/>
  <c r="Y536" i="3"/>
  <c r="Y533" i="3"/>
  <c r="Y532" i="3"/>
  <c r="Y564" i="3"/>
  <c r="Y524" i="3"/>
  <c r="X5" i="4"/>
  <c r="X215" i="4" s="1"/>
  <c r="Y525" i="3"/>
  <c r="Y2" i="4"/>
  <c r="AN170" i="3"/>
  <c r="AN225" i="3" s="1"/>
  <c r="AO171" i="3"/>
  <c r="BQ289" i="3"/>
  <c r="AN289" i="3"/>
  <c r="AO115" i="3"/>
  <c r="AO113" i="3"/>
  <c r="BQ169" i="3"/>
  <c r="AN226" i="3"/>
  <c r="BQ137" i="3"/>
  <c r="AN137" i="3"/>
  <c r="BQ167" i="3"/>
  <c r="BQ112" i="3"/>
  <c r="AN156" i="4"/>
  <c r="AO156" i="4" s="1"/>
  <c r="AM10" i="4"/>
  <c r="AN60" i="3" s="1"/>
  <c r="V50" i="4"/>
  <c r="U50" i="4"/>
  <c r="Y3" i="4"/>
  <c r="U424" i="4"/>
  <c r="V424" i="4"/>
  <c r="AB1" i="3"/>
  <c r="AA2" i="3"/>
  <c r="AA3" i="3"/>
  <c r="Z1" i="4"/>
  <c r="BA146" i="4"/>
  <c r="BA145" i="4"/>
  <c r="U353" i="4"/>
  <c r="V353" i="4"/>
  <c r="U222" i="4"/>
  <c r="U109" i="4"/>
  <c r="V277" i="4"/>
  <c r="U277" i="4"/>
  <c r="V201" i="4"/>
  <c r="U201" i="4"/>
  <c r="W5" i="4"/>
  <c r="X533" i="3"/>
  <c r="X536" i="3"/>
  <c r="X532" i="3"/>
  <c r="X525" i="3"/>
  <c r="X563" i="3"/>
  <c r="X22" i="3" s="1"/>
  <c r="X528" i="3"/>
  <c r="X564" i="3"/>
  <c r="X26" i="3" s="1"/>
  <c r="X526" i="3"/>
  <c r="X524" i="3"/>
  <c r="BJ33" i="3"/>
  <c r="BJ56" i="3"/>
  <c r="BJ29" i="3"/>
  <c r="BJ479" i="3" s="1"/>
  <c r="BJ503" i="3" s="1"/>
  <c r="AB543" i="3"/>
  <c r="AB545" i="3" s="1"/>
  <c r="AC542" i="3"/>
  <c r="AM403" i="3"/>
  <c r="BQ113" i="3"/>
  <c r="AM225" i="3"/>
  <c r="BQ170" i="3"/>
  <c r="AM224" i="3"/>
  <c r="BQ224" i="3" s="1"/>
  <c r="BQ114" i="3"/>
  <c r="BP197" i="3"/>
  <c r="AL197" i="3"/>
  <c r="AL252" i="3" s="1"/>
  <c r="AM138" i="3"/>
  <c r="AM192" i="3"/>
  <c r="BP288" i="3"/>
  <c r="AL288" i="3"/>
  <c r="AM142" i="3"/>
  <c r="AM222" i="3"/>
  <c r="BQ222" i="3" s="1"/>
  <c r="BP423" i="3"/>
  <c r="E36" i="33" s="1"/>
  <c r="E37" i="33" s="1"/>
  <c r="AL423" i="3"/>
  <c r="AM381" i="3"/>
  <c r="BP421" i="3"/>
  <c r="AL421" i="3"/>
  <c r="AL321" i="3"/>
  <c r="AL10" i="4"/>
  <c r="AM60" i="3" s="1"/>
  <c r="AK252" i="3"/>
  <c r="BP252" i="3" s="1"/>
  <c r="AK321" i="3"/>
  <c r="BP321" i="3" s="1"/>
  <c r="BP50" i="3" s="1"/>
  <c r="AK322" i="3"/>
  <c r="BP322" i="3" s="1"/>
  <c r="BP225" i="3"/>
  <c r="BD175" i="4"/>
  <c r="BD212" i="4" s="1"/>
  <c r="BD310" i="4"/>
  <c r="W280" i="4"/>
  <c r="W382" i="4"/>
  <c r="BD668" i="4"/>
  <c r="BD714" i="4" s="1"/>
  <c r="W232" i="4"/>
  <c r="BC439" i="4"/>
  <c r="BC438" i="4"/>
  <c r="BC216" i="4"/>
  <c r="BC215" i="4"/>
  <c r="BC364" i="4"/>
  <c r="BI64" i="3"/>
  <c r="BC398" i="4"/>
  <c r="BD491" i="4"/>
  <c r="BD493" i="4"/>
  <c r="BD97" i="4"/>
  <c r="BD135" i="4" s="1"/>
  <c r="BD667" i="4"/>
  <c r="BD713" i="4" s="1"/>
  <c r="BD720" i="4"/>
  <c r="BC88" i="4"/>
  <c r="BC13" i="4"/>
  <c r="BD251" i="4"/>
  <c r="BD292" i="4" s="1"/>
  <c r="BD16" i="4"/>
  <c r="BD84" i="4"/>
  <c r="BD685" i="4"/>
  <c r="BD683" i="4"/>
  <c r="BD721" i="4" s="1"/>
  <c r="F88" i="3"/>
  <c r="F94" i="3" s="1"/>
  <c r="F98" i="3" s="1"/>
  <c r="F343" i="3"/>
  <c r="E454" i="3"/>
  <c r="E444" i="3" s="1"/>
  <c r="E162" i="3"/>
  <c r="E459" i="3"/>
  <c r="E350" i="3"/>
  <c r="E351" i="3" s="1"/>
  <c r="BK542" i="3"/>
  <c r="AT41" i="4"/>
  <c r="D66" i="4"/>
  <c r="AZ350" i="3"/>
  <c r="AZ351" i="3" s="1"/>
  <c r="AQ7" i="32" l="1"/>
  <c r="G11" i="33"/>
  <c r="AN168" i="3"/>
  <c r="AN223" i="3" s="1"/>
  <c r="AM223" i="3"/>
  <c r="BQ223" i="3" s="1"/>
  <c r="BQ168" i="3"/>
  <c r="BQ45" i="3" s="1"/>
  <c r="BS79" i="3"/>
  <c r="AR19" i="32" s="1"/>
  <c r="AB19" i="32"/>
  <c r="L3" i="32"/>
  <c r="M2" i="32"/>
  <c r="BM22" i="4"/>
  <c r="AR198" i="3"/>
  <c r="AS198" i="3" s="1"/>
  <c r="BT198" i="3" s="1"/>
  <c r="BS198" i="3"/>
  <c r="AP114" i="3"/>
  <c r="AT63" i="28"/>
  <c r="AT62" i="28"/>
  <c r="AI20" i="28"/>
  <c r="AI21" i="28"/>
  <c r="N2" i="28"/>
  <c r="M3" i="28"/>
  <c r="U4" i="9"/>
  <c r="B169" i="6"/>
  <c r="J7" i="8"/>
  <c r="BT367" i="3"/>
  <c r="BT363" i="3"/>
  <c r="AO167" i="3"/>
  <c r="AO169" i="3"/>
  <c r="AP112" i="3"/>
  <c r="AP121" i="3"/>
  <c r="X61" i="4"/>
  <c r="AA33" i="3"/>
  <c r="AA356" i="3" s="1"/>
  <c r="AA357" i="3" s="1"/>
  <c r="AA481" i="3" s="1"/>
  <c r="AA505" i="3" s="1"/>
  <c r="X366" i="4"/>
  <c r="X210" i="4"/>
  <c r="BN167" i="4"/>
  <c r="BN209" i="4" s="1"/>
  <c r="BN459" i="4"/>
  <c r="BN505" i="4" s="1"/>
  <c r="X157" i="4"/>
  <c r="X135" i="4"/>
  <c r="AQ70" i="3"/>
  <c r="BN387" i="4"/>
  <c r="BN430" i="4" s="1"/>
  <c r="BN402" i="4"/>
  <c r="BN331" i="4"/>
  <c r="BS65" i="3"/>
  <c r="X724" i="4"/>
  <c r="BS42" i="3"/>
  <c r="BS502" i="3" s="1"/>
  <c r="AR42" i="3"/>
  <c r="BS544" i="3"/>
  <c r="AR544" i="3"/>
  <c r="AS544" i="3" s="1"/>
  <c r="BT544" i="3" s="1"/>
  <c r="BM34" i="4"/>
  <c r="AQ55" i="4"/>
  <c r="AR65" i="3"/>
  <c r="AR179" i="4"/>
  <c r="AR34" i="4" s="1"/>
  <c r="AQ34" i="4"/>
  <c r="AR504" i="4"/>
  <c r="AR17" i="4"/>
  <c r="BN17" i="4" s="1"/>
  <c r="BN55" i="4" s="1"/>
  <c r="AR18" i="4"/>
  <c r="BN18" i="4" s="1"/>
  <c r="BN56" i="4" s="1"/>
  <c r="AR385" i="3"/>
  <c r="AQ49" i="4"/>
  <c r="AR168" i="4"/>
  <c r="AR22" i="4" s="1"/>
  <c r="AQ22" i="4"/>
  <c r="AR455" i="4"/>
  <c r="BN455" i="4" s="1"/>
  <c r="AR498" i="4"/>
  <c r="AR39" i="4"/>
  <c r="BN39" i="4" s="1"/>
  <c r="BN49" i="4" s="1"/>
  <c r="AT508" i="4"/>
  <c r="X730" i="4"/>
  <c r="X309" i="4"/>
  <c r="X510" i="4"/>
  <c r="X133" i="4"/>
  <c r="X53" i="4"/>
  <c r="X295" i="4"/>
  <c r="X292" i="4"/>
  <c r="X380" i="4"/>
  <c r="X187" i="4"/>
  <c r="X222" i="4" s="1"/>
  <c r="X59" i="4"/>
  <c r="X229" i="4"/>
  <c r="X138" i="4"/>
  <c r="X720" i="4"/>
  <c r="X54" i="4"/>
  <c r="AP113" i="3"/>
  <c r="AQ43" i="3"/>
  <c r="BR171" i="3"/>
  <c r="AP171" i="3"/>
  <c r="AP226" i="3" s="1"/>
  <c r="BR115" i="3"/>
  <c r="AP115" i="3"/>
  <c r="BR121" i="3"/>
  <c r="AQ502" i="3"/>
  <c r="AQ116" i="3"/>
  <c r="BR114" i="3"/>
  <c r="X364" i="4"/>
  <c r="X435" i="4"/>
  <c r="X212" i="4"/>
  <c r="X502" i="4"/>
  <c r="X127" i="4"/>
  <c r="X290" i="4"/>
  <c r="X438" i="4"/>
  <c r="X79" i="4"/>
  <c r="X128" i="4"/>
  <c r="AP156" i="4"/>
  <c r="AO10" i="4"/>
  <c r="AP60" i="3" s="1"/>
  <c r="Z2" i="4"/>
  <c r="AN192" i="3"/>
  <c r="AN247" i="3" s="1"/>
  <c r="AO289" i="3"/>
  <c r="BR113" i="3"/>
  <c r="AO226" i="3"/>
  <c r="BR226" i="3" s="1"/>
  <c r="BQ138" i="3"/>
  <c r="AN138" i="3"/>
  <c r="AO137" i="3"/>
  <c r="BQ403" i="3"/>
  <c r="AN403" i="3"/>
  <c r="AO403" i="3" s="1"/>
  <c r="AN222" i="3"/>
  <c r="BQ142" i="3"/>
  <c r="AN142" i="3"/>
  <c r="BQ381" i="3"/>
  <c r="AN381" i="3"/>
  <c r="AO381" i="3" s="1"/>
  <c r="AO170" i="3"/>
  <c r="AN322" i="3"/>
  <c r="AN224" i="3"/>
  <c r="AN10" i="4"/>
  <c r="AC543" i="3"/>
  <c r="AC545" i="3" s="1"/>
  <c r="AD542" i="3"/>
  <c r="AA5" i="3"/>
  <c r="Z3" i="4"/>
  <c r="Z5" i="3"/>
  <c r="AB2" i="3"/>
  <c r="AA1" i="4"/>
  <c r="AC1" i="3"/>
  <c r="AB3" i="3"/>
  <c r="W11" i="4"/>
  <c r="W438" i="4"/>
  <c r="W435" i="4"/>
  <c r="W138" i="4"/>
  <c r="W59" i="4"/>
  <c r="W135" i="4"/>
  <c r="W61" i="4"/>
  <c r="W215" i="4"/>
  <c r="W133" i="4"/>
  <c r="W366" i="4"/>
  <c r="W730" i="4"/>
  <c r="W380" i="4"/>
  <c r="W424" i="4" s="1"/>
  <c r="W292" i="4"/>
  <c r="W295" i="4"/>
  <c r="W720" i="4"/>
  <c r="W79" i="4"/>
  <c r="W124" i="4" s="1"/>
  <c r="W502" i="4"/>
  <c r="W212" i="4"/>
  <c r="W127" i="4"/>
  <c r="W510" i="4"/>
  <c r="W54" i="4"/>
  <c r="W724" i="4"/>
  <c r="W210" i="4"/>
  <c r="W53" i="4"/>
  <c r="W364" i="4"/>
  <c r="W229" i="4"/>
  <c r="W128" i="4"/>
  <c r="W290" i="4"/>
  <c r="W157" i="4"/>
  <c r="W201" i="4" s="1"/>
  <c r="W309" i="4"/>
  <c r="BD156" i="4"/>
  <c r="BD451" i="4"/>
  <c r="BD308" i="4"/>
  <c r="BD309" i="4" s="1"/>
  <c r="BD353" i="4" s="1"/>
  <c r="BD664" i="4"/>
  <c r="BD78" i="4"/>
  <c r="AM421" i="3"/>
  <c r="AM423" i="3"/>
  <c r="AM247" i="3"/>
  <c r="BQ247" i="3" s="1"/>
  <c r="BQ192" i="3"/>
  <c r="AM197" i="3"/>
  <c r="AM322" i="3"/>
  <c r="BQ322" i="3" s="1"/>
  <c r="BQ225" i="3"/>
  <c r="AM288" i="3"/>
  <c r="AM321" i="3"/>
  <c r="BQ321" i="3" s="1"/>
  <c r="BP51" i="3"/>
  <c r="BI176" i="4"/>
  <c r="BD231" i="4"/>
  <c r="W427" i="4"/>
  <c r="W281" i="4"/>
  <c r="W383" i="4"/>
  <c r="W428" i="4" s="1"/>
  <c r="W237" i="4"/>
  <c r="X284" i="4" s="1"/>
  <c r="BD724" i="4"/>
  <c r="BD725" i="4"/>
  <c r="BD500" i="4"/>
  <c r="BD502" i="4"/>
  <c r="BC435" i="4"/>
  <c r="BI63" i="3"/>
  <c r="BI68" i="3" s="1"/>
  <c r="AH6" i="32" s="1"/>
  <c r="BD83" i="4"/>
  <c r="AJ141" i="28" s="1"/>
  <c r="AJ23" i="28" s="1"/>
  <c r="BE668" i="4"/>
  <c r="BE714" i="4" s="1"/>
  <c r="BD27" i="4"/>
  <c r="BJ72" i="3"/>
  <c r="AI9" i="32" s="1"/>
  <c r="BD674" i="4"/>
  <c r="BD327" i="4"/>
  <c r="BD364" i="4" s="1"/>
  <c r="BD81" i="4"/>
  <c r="BC20" i="4"/>
  <c r="BE117" i="4"/>
  <c r="BE115" i="4"/>
  <c r="BE125" i="4" s="1"/>
  <c r="AT66" i="4"/>
  <c r="AZ359" i="3"/>
  <c r="AZ339" i="3"/>
  <c r="E463" i="3"/>
  <c r="E466" i="3"/>
  <c r="E482" i="3" s="1"/>
  <c r="E506" i="3" s="1"/>
  <c r="AZ459" i="3"/>
  <c r="E456" i="3"/>
  <c r="E424" i="3"/>
  <c r="AZ424" i="3" s="1"/>
  <c r="AZ444" i="3" s="1"/>
  <c r="F345" i="3"/>
  <c r="F349" i="3" s="1"/>
  <c r="BK543" i="3"/>
  <c r="E359" i="3"/>
  <c r="E339" i="3"/>
  <c r="E154" i="3"/>
  <c r="E272" i="3"/>
  <c r="AZ272" i="3" s="1"/>
  <c r="AZ264" i="3" s="1"/>
  <c r="AZ274" i="3" s="1"/>
  <c r="E160" i="3"/>
  <c r="E41" i="4"/>
  <c r="F91" i="3"/>
  <c r="F101" i="3"/>
  <c r="G93" i="3"/>
  <c r="F521" i="3"/>
  <c r="F520" i="3"/>
  <c r="AO168" i="3" l="1"/>
  <c r="AN312" i="3"/>
  <c r="N2" i="32"/>
  <c r="BS70" i="3"/>
  <c r="AR7" i="32" s="1"/>
  <c r="AB7" i="32"/>
  <c r="M3" i="32"/>
  <c r="BD60" i="4"/>
  <c r="AS70" i="3"/>
  <c r="AD7" i="32" s="1"/>
  <c r="AQ114" i="3"/>
  <c r="AJ25" i="28"/>
  <c r="AJ26" i="28"/>
  <c r="BD127" i="4"/>
  <c r="O2" i="28"/>
  <c r="N3" i="28"/>
  <c r="V4" i="9"/>
  <c r="W4" i="9" s="1"/>
  <c r="X4" i="9" s="1"/>
  <c r="Y4" i="9" s="1"/>
  <c r="Z4" i="9" s="1"/>
  <c r="AA4" i="9" s="1"/>
  <c r="T4" i="9"/>
  <c r="S4" i="9" s="1"/>
  <c r="R4" i="9" s="1"/>
  <c r="Q4" i="9" s="1"/>
  <c r="P4" i="9" s="1"/>
  <c r="O4" i="9" s="1"/>
  <c r="N4" i="9" s="1"/>
  <c r="AQ112" i="3"/>
  <c r="AQ121" i="3"/>
  <c r="AP167" i="3"/>
  <c r="AP169" i="3"/>
  <c r="AB33" i="3"/>
  <c r="AR43" i="3"/>
  <c r="AQ156" i="4"/>
  <c r="AR79" i="3"/>
  <c r="AC19" i="32" s="1"/>
  <c r="BN179" i="4"/>
  <c r="AR70" i="3"/>
  <c r="BN22" i="4"/>
  <c r="AS79" i="3"/>
  <c r="AD19" i="32" s="1"/>
  <c r="BN34" i="4"/>
  <c r="BN168" i="4"/>
  <c r="AR502" i="3"/>
  <c r="AS42" i="3"/>
  <c r="AS385" i="3"/>
  <c r="BT385" i="3" s="1"/>
  <c r="AR49" i="4"/>
  <c r="AR56" i="4"/>
  <c r="AS66" i="3"/>
  <c r="BT66" i="3" s="1"/>
  <c r="AS65" i="3"/>
  <c r="BT65" i="3" s="1"/>
  <c r="AR55" i="4"/>
  <c r="BS116" i="3"/>
  <c r="AR116" i="3"/>
  <c r="AR388" i="3"/>
  <c r="BR168" i="3"/>
  <c r="AP168" i="3"/>
  <c r="AQ171" i="3"/>
  <c r="BR167" i="3"/>
  <c r="BR381" i="3"/>
  <c r="AP381" i="3"/>
  <c r="BR169" i="3"/>
  <c r="BR137" i="3"/>
  <c r="AP137" i="3"/>
  <c r="BR403" i="3"/>
  <c r="AP403" i="3"/>
  <c r="AQ113" i="3"/>
  <c r="BR112" i="3"/>
  <c r="AQ115" i="3"/>
  <c r="AP170" i="3"/>
  <c r="BR289" i="3"/>
  <c r="AP289" i="3"/>
  <c r="AP10" i="4"/>
  <c r="AD1" i="3"/>
  <c r="AD543" i="3"/>
  <c r="AD545" i="3" s="1"/>
  <c r="AE542" i="3"/>
  <c r="AA2" i="4"/>
  <c r="AO223" i="3"/>
  <c r="BR223" i="3" s="1"/>
  <c r="AO60" i="3"/>
  <c r="AO192" i="3"/>
  <c r="AO224" i="3"/>
  <c r="BR224" i="3" s="1"/>
  <c r="AO225" i="3"/>
  <c r="BR170" i="3"/>
  <c r="AO312" i="3"/>
  <c r="BR312" i="3" s="1"/>
  <c r="BQ421" i="3"/>
  <c r="AN421" i="3"/>
  <c r="AO421" i="3" s="1"/>
  <c r="AO142" i="3"/>
  <c r="AN321" i="3"/>
  <c r="BQ288" i="3"/>
  <c r="AN288" i="3"/>
  <c r="BQ197" i="3"/>
  <c r="AN197" i="3"/>
  <c r="BQ423" i="3"/>
  <c r="F36" i="33" s="1"/>
  <c r="F37" i="33" s="1"/>
  <c r="AN423" i="3"/>
  <c r="AO138" i="3"/>
  <c r="X124" i="4"/>
  <c r="AO222" i="3"/>
  <c r="BR222" i="3" s="1"/>
  <c r="X424" i="4"/>
  <c r="X277" i="4"/>
  <c r="W277" i="4"/>
  <c r="X353" i="4"/>
  <c r="W353" i="4"/>
  <c r="Z563" i="3"/>
  <c r="Z22" i="3" s="1"/>
  <c r="Z564" i="3"/>
  <c r="Z26" i="3" s="1"/>
  <c r="Y5" i="4"/>
  <c r="Z532" i="3"/>
  <c r="Z533" i="3"/>
  <c r="BK56" i="3"/>
  <c r="BK29" i="3"/>
  <c r="BK479" i="3" s="1"/>
  <c r="BK503" i="3" s="1"/>
  <c r="BK33" i="3"/>
  <c r="X201" i="4"/>
  <c r="AA536" i="3"/>
  <c r="AA564" i="3"/>
  <c r="AA26" i="3" s="1"/>
  <c r="AA525" i="3"/>
  <c r="AA532" i="3"/>
  <c r="AA524" i="3"/>
  <c r="AA528" i="3"/>
  <c r="AA533" i="3"/>
  <c r="AA526" i="3"/>
  <c r="Z5" i="4"/>
  <c r="AA563" i="3"/>
  <c r="AA22" i="3" s="1"/>
  <c r="AB1" i="4"/>
  <c r="AC2" i="3"/>
  <c r="AC3" i="3"/>
  <c r="AA3" i="4"/>
  <c r="BQ50" i="3"/>
  <c r="AM252" i="3"/>
  <c r="BQ252" i="3" s="1"/>
  <c r="BQ51" i="3"/>
  <c r="BK545" i="3"/>
  <c r="BE310" i="4"/>
  <c r="BD382" i="4"/>
  <c r="W388" i="4"/>
  <c r="W284" i="4"/>
  <c r="W460" i="4"/>
  <c r="X506" i="4" s="1"/>
  <c r="BD280" i="4"/>
  <c r="BD232" i="4"/>
  <c r="BD281" i="4" s="1"/>
  <c r="BE84" i="4"/>
  <c r="BE720" i="4"/>
  <c r="BE667" i="4"/>
  <c r="BE713" i="4" s="1"/>
  <c r="BD15" i="4"/>
  <c r="BE683" i="4"/>
  <c r="BE721" i="4" s="1"/>
  <c r="BE175" i="4"/>
  <c r="BE212" i="4" s="1"/>
  <c r="BD13" i="4"/>
  <c r="BE251" i="4"/>
  <c r="BE292" i="4" s="1"/>
  <c r="BD398" i="4"/>
  <c r="BD435" i="4" s="1"/>
  <c r="BE493" i="4"/>
  <c r="BE491" i="4"/>
  <c r="BE97" i="4"/>
  <c r="BE135" i="4" s="1"/>
  <c r="BE685" i="4"/>
  <c r="AZ466" i="3"/>
  <c r="AZ463" i="3"/>
  <c r="E484" i="3"/>
  <c r="AZ484" i="3" s="1"/>
  <c r="E467" i="3"/>
  <c r="E483" i="3" s="1"/>
  <c r="E507" i="3" s="1"/>
  <c r="E523" i="3"/>
  <c r="E522" i="3"/>
  <c r="E581" i="3" s="1"/>
  <c r="F459" i="3"/>
  <c r="F350" i="3"/>
  <c r="F351" i="3" s="1"/>
  <c r="F454" i="3"/>
  <c r="F444" i="3" s="1"/>
  <c r="F162" i="3"/>
  <c r="E66" i="4"/>
  <c r="G86" i="3"/>
  <c r="AZ160" i="3"/>
  <c r="AZ162" i="3" s="1"/>
  <c r="AZ154" i="3" s="1"/>
  <c r="AZ164" i="3" s="1"/>
  <c r="E450" i="3"/>
  <c r="AZ450" i="3" s="1"/>
  <c r="AZ454" i="3" s="1"/>
  <c r="AZ456" i="3" s="1"/>
  <c r="E143" i="3"/>
  <c r="E164" i="3"/>
  <c r="BL542" i="3"/>
  <c r="AR114" i="3" l="1"/>
  <c r="BT70" i="3"/>
  <c r="AS7" i="32" s="1"/>
  <c r="AC7" i="32"/>
  <c r="N3" i="32"/>
  <c r="O2" i="32"/>
  <c r="O3" i="28"/>
  <c r="AD4" i="9"/>
  <c r="AD3" i="3"/>
  <c r="P2" i="28"/>
  <c r="AQ169" i="3"/>
  <c r="AQ167" i="3"/>
  <c r="AR121" i="3"/>
  <c r="AR112" i="3"/>
  <c r="AB2" i="4"/>
  <c r="AC33" i="3"/>
  <c r="AQ10" i="4"/>
  <c r="AR60" i="3" s="1"/>
  <c r="AR156" i="4"/>
  <c r="AS502" i="3"/>
  <c r="BT42" i="3"/>
  <c r="BT502" i="3" s="1"/>
  <c r="BT79" i="3"/>
  <c r="AS19" i="32" s="1"/>
  <c r="AQ60" i="3"/>
  <c r="AS43" i="3"/>
  <c r="AR115" i="3"/>
  <c r="AR171" i="3"/>
  <c r="AR113" i="3"/>
  <c r="AS388" i="3"/>
  <c r="BT388" i="3" s="1"/>
  <c r="BS121" i="3"/>
  <c r="AS116" i="3"/>
  <c r="BT116" i="3" s="1"/>
  <c r="BS113" i="3"/>
  <c r="BS114" i="3"/>
  <c r="BS115" i="3"/>
  <c r="AQ170" i="3"/>
  <c r="AQ381" i="3"/>
  <c r="AC1" i="4"/>
  <c r="AQ226" i="3"/>
  <c r="BS171" i="3"/>
  <c r="AD2" i="3"/>
  <c r="AP225" i="3"/>
  <c r="AP322" i="3" s="1"/>
  <c r="AP224" i="3"/>
  <c r="AQ137" i="3"/>
  <c r="AR137" i="3" s="1"/>
  <c r="BR138" i="3"/>
  <c r="AP138" i="3"/>
  <c r="BR142" i="3"/>
  <c r="AP142" i="3"/>
  <c r="AP222" i="3"/>
  <c r="AQ403" i="3"/>
  <c r="AQ168" i="3"/>
  <c r="AP312" i="3"/>
  <c r="AP223" i="3"/>
  <c r="BR421" i="3"/>
  <c r="AP421" i="3"/>
  <c r="BR192" i="3"/>
  <c r="AP192" i="3"/>
  <c r="AQ289" i="3"/>
  <c r="AE1" i="3"/>
  <c r="AE543" i="3"/>
  <c r="AE545" i="3" s="1"/>
  <c r="AF542" i="3"/>
  <c r="AO197" i="3"/>
  <c r="AO252" i="3" s="1"/>
  <c r="BR252" i="3" s="1"/>
  <c r="AO423" i="3"/>
  <c r="AO247" i="3"/>
  <c r="BR247" i="3" s="1"/>
  <c r="BR45" i="3"/>
  <c r="AO322" i="3"/>
  <c r="BR322" i="3" s="1"/>
  <c r="BR225" i="3"/>
  <c r="AN252" i="3"/>
  <c r="AO321" i="3"/>
  <c r="BR321" i="3" s="1"/>
  <c r="AO288" i="3"/>
  <c r="Y210" i="4"/>
  <c r="Y215" i="4"/>
  <c r="Y61" i="4"/>
  <c r="Y53" i="4"/>
  <c r="Y229" i="4"/>
  <c r="Y138" i="4"/>
  <c r="Y720" i="4"/>
  <c r="Y724" i="4"/>
  <c r="Y510" i="4"/>
  <c r="Y79" i="4"/>
  <c r="Y124" i="4" s="1"/>
  <c r="Y54" i="4"/>
  <c r="Y295" i="4"/>
  <c r="Y59" i="4"/>
  <c r="Y438" i="4"/>
  <c r="Y502" i="4"/>
  <c r="Y135" i="4"/>
  <c r="Y212" i="4"/>
  <c r="Y366" i="4"/>
  <c r="Y435" i="4"/>
  <c r="Y309" i="4"/>
  <c r="Y353" i="4" s="1"/>
  <c r="Y187" i="4"/>
  <c r="Y222" i="4" s="1"/>
  <c r="Y133" i="4"/>
  <c r="Y290" i="4"/>
  <c r="Y127" i="4"/>
  <c r="Y157" i="4"/>
  <c r="Y201" i="4" s="1"/>
  <c r="Y292" i="4"/>
  <c r="Y730" i="4"/>
  <c r="Y364" i="4"/>
  <c r="Y128" i="4"/>
  <c r="Y380" i="4"/>
  <c r="Y424" i="4" s="1"/>
  <c r="BE664" i="4"/>
  <c r="BE308" i="4"/>
  <c r="BE309" i="4" s="1"/>
  <c r="BE353" i="4" s="1"/>
  <c r="BE78" i="4"/>
  <c r="BE156" i="4"/>
  <c r="BE451" i="4"/>
  <c r="Z133" i="4"/>
  <c r="Z210" i="4"/>
  <c r="Z438" i="4"/>
  <c r="Z502" i="4"/>
  <c r="Z54" i="4"/>
  <c r="Z364" i="4"/>
  <c r="Z290" i="4"/>
  <c r="Z53" i="4"/>
  <c r="Z309" i="4"/>
  <c r="Z720" i="4"/>
  <c r="Z138" i="4"/>
  <c r="Z366" i="4"/>
  <c r="Z127" i="4"/>
  <c r="Z380" i="4"/>
  <c r="Z135" i="4"/>
  <c r="Z295" i="4"/>
  <c r="Z724" i="4"/>
  <c r="Z128" i="4"/>
  <c r="Z157" i="4"/>
  <c r="Z59" i="4"/>
  <c r="Z215" i="4"/>
  <c r="Z730" i="4"/>
  <c r="Z435" i="4"/>
  <c r="Z229" i="4"/>
  <c r="Z292" i="4"/>
  <c r="Z61" i="4"/>
  <c r="Z212" i="4"/>
  <c r="Z510" i="4"/>
  <c r="Z79" i="4"/>
  <c r="AC5" i="3"/>
  <c r="AB3" i="4"/>
  <c r="AB5" i="3"/>
  <c r="BE81" i="4"/>
  <c r="W389" i="4"/>
  <c r="W397" i="4" s="1"/>
  <c r="W436" i="4" s="1"/>
  <c r="X431" i="4"/>
  <c r="BD383" i="4"/>
  <c r="BD428" i="4" s="1"/>
  <c r="W506" i="4"/>
  <c r="W461" i="4"/>
  <c r="BE231" i="4"/>
  <c r="BE382" i="4"/>
  <c r="BD237" i="4"/>
  <c r="W431" i="4"/>
  <c r="BE725" i="4"/>
  <c r="BE724" i="4"/>
  <c r="BE500" i="4"/>
  <c r="BE502" i="4"/>
  <c r="BJ64" i="3"/>
  <c r="BM542" i="3"/>
  <c r="M4" i="9"/>
  <c r="BF115" i="4"/>
  <c r="BF125" i="4" s="1"/>
  <c r="BF117" i="4"/>
  <c r="BF668" i="4"/>
  <c r="BF714" i="4" s="1"/>
  <c r="BE674" i="4"/>
  <c r="BK72" i="3"/>
  <c r="AJ9" i="32" s="1"/>
  <c r="BE27" i="4"/>
  <c r="BE327" i="4"/>
  <c r="BE364" i="4" s="1"/>
  <c r="F339" i="3"/>
  <c r="F359" i="3"/>
  <c r="BL543" i="3"/>
  <c r="BL545" i="3"/>
  <c r="F456" i="3"/>
  <c r="F424" i="3"/>
  <c r="F463" i="3"/>
  <c r="F466" i="3"/>
  <c r="F482" i="3" s="1"/>
  <c r="F506" i="3" s="1"/>
  <c r="AZ467" i="3"/>
  <c r="AZ523" i="3"/>
  <c r="AZ522" i="3"/>
  <c r="AZ581" i="3" s="1"/>
  <c r="AZ143" i="3"/>
  <c r="E253" i="3"/>
  <c r="G88" i="3"/>
  <c r="G94" i="3" s="1"/>
  <c r="G343" i="3"/>
  <c r="BA86" i="3"/>
  <c r="BA88" i="3" s="1"/>
  <c r="F272" i="3"/>
  <c r="F154" i="3"/>
  <c r="F160" i="3"/>
  <c r="F450" i="3" s="1"/>
  <c r="AZ482" i="3"/>
  <c r="AZ506" i="3" s="1"/>
  <c r="P2" i="32" l="1"/>
  <c r="O3" i="32"/>
  <c r="BE60" i="4"/>
  <c r="AR169" i="3"/>
  <c r="AC3" i="4"/>
  <c r="P3" i="28"/>
  <c r="AD33" i="3"/>
  <c r="N20" i="9"/>
  <c r="Q2" i="28"/>
  <c r="AS112" i="3"/>
  <c r="AS121" i="3"/>
  <c r="BT121" i="3" s="1"/>
  <c r="AR167" i="3"/>
  <c r="AS114" i="3"/>
  <c r="BT114" i="3" s="1"/>
  <c r="BE127" i="4"/>
  <c r="AC2" i="4"/>
  <c r="Z353" i="4"/>
  <c r="AR10" i="4"/>
  <c r="AS60" i="3" s="1"/>
  <c r="AR170" i="3"/>
  <c r="AR225" i="3" s="1"/>
  <c r="AR226" i="3"/>
  <c r="AS115" i="3"/>
  <c r="BT115" i="3" s="1"/>
  <c r="AS113" i="3"/>
  <c r="BT113" i="3" s="1"/>
  <c r="BS289" i="3"/>
  <c r="AR289" i="3"/>
  <c r="BS112" i="3"/>
  <c r="AS137" i="3"/>
  <c r="BT137" i="3" s="1"/>
  <c r="BS381" i="3"/>
  <c r="AR381" i="3"/>
  <c r="AQ223" i="3"/>
  <c r="BS223" i="3" s="1"/>
  <c r="AR168" i="3"/>
  <c r="BS169" i="3"/>
  <c r="BS167" i="3"/>
  <c r="BS403" i="3"/>
  <c r="AR403" i="3"/>
  <c r="AS171" i="3"/>
  <c r="BS170" i="3"/>
  <c r="BS226" i="3"/>
  <c r="AF543" i="3"/>
  <c r="AF545" i="3" s="1"/>
  <c r="AG542" i="3"/>
  <c r="AH542" i="3" s="1"/>
  <c r="BS137" i="3"/>
  <c r="AQ224" i="3"/>
  <c r="AQ421" i="3"/>
  <c r="AQ225" i="3"/>
  <c r="AQ322" i="3" s="1"/>
  <c r="BS322" i="3" s="1"/>
  <c r="AQ312" i="3"/>
  <c r="BS168" i="3"/>
  <c r="AQ142" i="3"/>
  <c r="BR288" i="3"/>
  <c r="AP288" i="3"/>
  <c r="BR423" i="3"/>
  <c r="G36" i="33" s="1"/>
  <c r="G37" i="33" s="1"/>
  <c r="AP423" i="3"/>
  <c r="BR197" i="3"/>
  <c r="AP197" i="3"/>
  <c r="AQ138" i="3"/>
  <c r="AP321" i="3"/>
  <c r="AQ192" i="3"/>
  <c r="AR192" i="3" s="1"/>
  <c r="AQ222" i="3"/>
  <c r="AP247" i="3"/>
  <c r="AF1" i="3"/>
  <c r="AD1" i="4"/>
  <c r="AE3" i="3"/>
  <c r="AE2" i="3"/>
  <c r="BR51" i="3"/>
  <c r="BR50" i="3"/>
  <c r="Z201" i="4"/>
  <c r="Z424" i="4"/>
  <c r="AB524" i="3"/>
  <c r="AB536" i="3"/>
  <c r="AB528" i="3"/>
  <c r="AA5" i="4"/>
  <c r="AB525" i="3"/>
  <c r="AB533" i="3"/>
  <c r="AB526" i="3"/>
  <c r="BL56" i="3"/>
  <c r="BL33" i="3"/>
  <c r="AB532" i="3"/>
  <c r="AB563" i="3"/>
  <c r="AB22" i="3" s="1"/>
  <c r="BL29" i="3"/>
  <c r="BL479" i="3" s="1"/>
  <c r="BL503" i="3" s="1"/>
  <c r="AB564" i="3"/>
  <c r="AB26" i="3" s="1"/>
  <c r="AB5" i="4"/>
  <c r="AC525" i="3"/>
  <c r="AC528" i="3"/>
  <c r="AC524" i="3"/>
  <c r="AC533" i="3"/>
  <c r="AC564" i="3"/>
  <c r="AC563" i="3"/>
  <c r="AC22" i="3" s="1"/>
  <c r="AC536" i="3"/>
  <c r="AC526" i="3"/>
  <c r="AC532" i="3"/>
  <c r="Z124" i="4"/>
  <c r="Z277" i="4"/>
  <c r="Y277" i="4"/>
  <c r="W401" i="4"/>
  <c r="W403" i="4" s="1"/>
  <c r="W440" i="4"/>
  <c r="W442" i="4"/>
  <c r="BF310" i="4"/>
  <c r="BE232" i="4"/>
  <c r="BE281" i="4" s="1"/>
  <c r="BE280" i="4"/>
  <c r="BD284" i="4"/>
  <c r="BD238" i="4"/>
  <c r="AJ153" i="28" s="1"/>
  <c r="AJ65" i="28" s="1"/>
  <c r="BD460" i="4"/>
  <c r="BF231" i="4"/>
  <c r="BD388" i="4"/>
  <c r="L4" i="9"/>
  <c r="M20" i="9"/>
  <c r="BM543" i="3"/>
  <c r="BE13" i="4"/>
  <c r="BF251" i="4"/>
  <c r="BF292" i="4" s="1"/>
  <c r="BF493" i="4"/>
  <c r="BF491" i="4"/>
  <c r="BE398" i="4"/>
  <c r="BE435" i="4" s="1"/>
  <c r="BF667" i="4"/>
  <c r="BF713" i="4" s="1"/>
  <c r="BF685" i="4"/>
  <c r="BF720" i="4"/>
  <c r="BF84" i="4"/>
  <c r="BF16" i="4"/>
  <c r="BF81" i="4"/>
  <c r="BE83" i="4"/>
  <c r="AK141" i="28" s="1"/>
  <c r="AK23" i="28" s="1"/>
  <c r="G345" i="3"/>
  <c r="G349" i="3" s="1"/>
  <c r="BA343" i="3"/>
  <c r="BA345" i="3" s="1"/>
  <c r="BA349" i="3" s="1"/>
  <c r="AZ253" i="3"/>
  <c r="E264" i="3"/>
  <c r="E274" i="3" s="1"/>
  <c r="E4" i="3" s="1"/>
  <c r="AZ483" i="3"/>
  <c r="AZ507" i="3" s="1"/>
  <c r="F164" i="3"/>
  <c r="F143" i="3"/>
  <c r="F253" i="3" s="1"/>
  <c r="F264" i="3" s="1"/>
  <c r="F274" i="3" s="1"/>
  <c r="BA94" i="3"/>
  <c r="BA98" i="3" s="1"/>
  <c r="G98" i="3"/>
  <c r="F467" i="3"/>
  <c r="F483" i="3" s="1"/>
  <c r="F507" i="3" s="1"/>
  <c r="F484" i="3"/>
  <c r="F522" i="3"/>
  <c r="F581" i="3" s="1"/>
  <c r="F523" i="3"/>
  <c r="Q2" i="32" l="1"/>
  <c r="P3" i="32"/>
  <c r="AS169" i="3"/>
  <c r="AK25" i="28"/>
  <c r="AK26" i="28"/>
  <c r="AJ68" i="28"/>
  <c r="AJ67" i="28"/>
  <c r="Q3" i="28"/>
  <c r="AG1" i="3"/>
  <c r="O20" i="9" s="1"/>
  <c r="R2" i="28"/>
  <c r="BN542" i="3"/>
  <c r="AS167" i="3"/>
  <c r="BT167" i="3" s="1"/>
  <c r="AD2" i="4"/>
  <c r="BF127" i="4"/>
  <c r="AH543" i="3"/>
  <c r="AH545" i="3" s="1"/>
  <c r="AI542" i="3"/>
  <c r="AJ542" i="3" s="1"/>
  <c r="AJ543" i="3" s="1"/>
  <c r="AJ545" i="3" s="1"/>
  <c r="AE33" i="3"/>
  <c r="AS170" i="3"/>
  <c r="BT170" i="3" s="1"/>
  <c r="AS289" i="3"/>
  <c r="BT289" i="3" s="1"/>
  <c r="AR247" i="3"/>
  <c r="AR322" i="3"/>
  <c r="AR224" i="3"/>
  <c r="AS226" i="3"/>
  <c r="BT226" i="3" s="1"/>
  <c r="BT171" i="3"/>
  <c r="BS138" i="3"/>
  <c r="AR138" i="3"/>
  <c r="BS421" i="3"/>
  <c r="AR421" i="3"/>
  <c r="AR312" i="3"/>
  <c r="AS168" i="3"/>
  <c r="BT168" i="3" s="1"/>
  <c r="AR223" i="3"/>
  <c r="BT112" i="3"/>
  <c r="AR222" i="3"/>
  <c r="AS192" i="3"/>
  <c r="AS381" i="3"/>
  <c r="BT381" i="3" s="1"/>
  <c r="BS142" i="3"/>
  <c r="AR142" i="3"/>
  <c r="AS403" i="3"/>
  <c r="BT403" i="3" s="1"/>
  <c r="BS192" i="3"/>
  <c r="BS312" i="3"/>
  <c r="BS45" i="3" s="1"/>
  <c r="AG543" i="3"/>
  <c r="AG545" i="3" s="1"/>
  <c r="BN545" i="3" s="1"/>
  <c r="BS222" i="3"/>
  <c r="BS224" i="3"/>
  <c r="BS225" i="3"/>
  <c r="BS51" i="3" s="1"/>
  <c r="AQ197" i="3"/>
  <c r="AQ247" i="3"/>
  <c r="BS247" i="3" s="1"/>
  <c r="AQ288" i="3"/>
  <c r="AQ321" i="3"/>
  <c r="BS321" i="3" s="1"/>
  <c r="AQ423" i="3"/>
  <c r="AP252" i="3"/>
  <c r="AD3" i="4"/>
  <c r="AE5" i="3"/>
  <c r="AE1" i="4"/>
  <c r="AF3" i="3"/>
  <c r="AF2" i="3"/>
  <c r="AD502" i="4"/>
  <c r="AD5" i="3"/>
  <c r="AB135" i="4"/>
  <c r="AB59" i="4"/>
  <c r="AB366" i="4"/>
  <c r="AB435" i="4"/>
  <c r="AB364" i="4"/>
  <c r="AB290" i="4"/>
  <c r="AB128" i="4"/>
  <c r="AB127" i="4"/>
  <c r="AB212" i="4"/>
  <c r="AB54" i="4"/>
  <c r="AB157" i="4"/>
  <c r="AB187" i="4"/>
  <c r="AB222" i="4" s="1"/>
  <c r="AB138" i="4"/>
  <c r="AB61" i="4"/>
  <c r="AB210" i="4"/>
  <c r="AB53" i="4"/>
  <c r="AB292" i="4"/>
  <c r="AB724" i="4"/>
  <c r="AB438" i="4"/>
  <c r="AB295" i="4"/>
  <c r="AB510" i="4"/>
  <c r="AB720" i="4"/>
  <c r="AB730" i="4"/>
  <c r="AB380" i="4"/>
  <c r="AB79" i="4"/>
  <c r="AB502" i="4"/>
  <c r="AB309" i="4"/>
  <c r="AB229" i="4"/>
  <c r="AB215" i="4"/>
  <c r="AB133" i="4"/>
  <c r="AA127" i="4"/>
  <c r="AA435" i="4"/>
  <c r="AA212" i="4"/>
  <c r="AA128" i="4"/>
  <c r="AA730" i="4"/>
  <c r="BF156" i="4"/>
  <c r="BF664" i="4"/>
  <c r="AA138" i="4"/>
  <c r="AA135" i="4"/>
  <c r="AA61" i="4"/>
  <c r="AA720" i="4"/>
  <c r="AA380" i="4"/>
  <c r="AA424" i="4" s="1"/>
  <c r="AA215" i="4"/>
  <c r="AA309" i="4"/>
  <c r="AA353" i="4" s="1"/>
  <c r="AA295" i="4"/>
  <c r="BF308" i="4"/>
  <c r="BF309" i="4" s="1"/>
  <c r="BF353" i="4" s="1"/>
  <c r="AA133" i="4"/>
  <c r="AA54" i="4"/>
  <c r="AA290" i="4"/>
  <c r="AA292" i="4"/>
  <c r="AA724" i="4"/>
  <c r="AA229" i="4"/>
  <c r="AA79" i="4"/>
  <c r="AA124" i="4" s="1"/>
  <c r="AA59" i="4"/>
  <c r="AA210" i="4"/>
  <c r="AA366" i="4"/>
  <c r="AA157" i="4"/>
  <c r="AA201" i="4" s="1"/>
  <c r="AA187" i="4"/>
  <c r="AA53" i="4"/>
  <c r="AA364" i="4"/>
  <c r="AA502" i="4"/>
  <c r="AA510" i="4"/>
  <c r="BF78" i="4"/>
  <c r="AA438" i="4"/>
  <c r="BF451" i="4"/>
  <c r="BM545" i="3"/>
  <c r="BF280" i="4"/>
  <c r="BD19" i="4"/>
  <c r="BD57" i="4" s="1"/>
  <c r="BD431" i="4"/>
  <c r="BD389" i="4"/>
  <c r="BF232" i="4"/>
  <c r="BF281" i="4" s="1"/>
  <c r="BE383" i="4"/>
  <c r="BD506" i="4"/>
  <c r="BD461" i="4"/>
  <c r="BF725" i="4"/>
  <c r="BF724" i="4"/>
  <c r="BF500" i="4"/>
  <c r="BF502" i="4"/>
  <c r="BG720" i="4"/>
  <c r="L20" i="9"/>
  <c r="K4" i="9"/>
  <c r="BF175" i="4"/>
  <c r="BF212" i="4" s="1"/>
  <c r="BF97" i="4"/>
  <c r="BF135" i="4" s="1"/>
  <c r="BF398" i="4"/>
  <c r="BF435" i="4" s="1"/>
  <c r="BF683" i="4"/>
  <c r="BF721" i="4" s="1"/>
  <c r="BF13" i="4"/>
  <c r="BF674" i="4"/>
  <c r="BF327" i="4"/>
  <c r="BF364" i="4" s="1"/>
  <c r="BL72" i="3"/>
  <c r="AK9" i="32" s="1"/>
  <c r="BF27" i="4"/>
  <c r="F4" i="3"/>
  <c r="BB93" i="3"/>
  <c r="BA101" i="3"/>
  <c r="BA91" i="3"/>
  <c r="BA521" i="3"/>
  <c r="BA520" i="3"/>
  <c r="H93" i="3"/>
  <c r="H86" i="3" s="1"/>
  <c r="F41" i="4"/>
  <c r="G101" i="3"/>
  <c r="G91" i="3"/>
  <c r="G521" i="3"/>
  <c r="G520" i="3"/>
  <c r="Q3" i="32" l="1"/>
  <c r="R2" i="32"/>
  <c r="BF60" i="4"/>
  <c r="AF1" i="4"/>
  <c r="AI543" i="3"/>
  <c r="AI545" i="3" s="1"/>
  <c r="AG3" i="3"/>
  <c r="AG2" i="3"/>
  <c r="R3" i="28"/>
  <c r="AH1" i="3"/>
  <c r="S2" i="28"/>
  <c r="AE2" i="4"/>
  <c r="AS225" i="3"/>
  <c r="BT225" i="3" s="1"/>
  <c r="AF33" i="3"/>
  <c r="AS224" i="3"/>
  <c r="BT224" i="3" s="1"/>
  <c r="BT169" i="3"/>
  <c r="AS247" i="3"/>
  <c r="BT247" i="3" s="1"/>
  <c r="BT192" i="3"/>
  <c r="AS421" i="3"/>
  <c r="BT421" i="3" s="1"/>
  <c r="BS288" i="3"/>
  <c r="AR288" i="3"/>
  <c r="BS197" i="3"/>
  <c r="AR197" i="3"/>
  <c r="AS222" i="3"/>
  <c r="BT222" i="3" s="1"/>
  <c r="AS312" i="3"/>
  <c r="BT312" i="3" s="1"/>
  <c r="AS223" i="3"/>
  <c r="BT223" i="3" s="1"/>
  <c r="BS423" i="3"/>
  <c r="AR423" i="3"/>
  <c r="AS142" i="3"/>
  <c r="BT142" i="3" s="1"/>
  <c r="AS138" i="3"/>
  <c r="BT138" i="3" s="1"/>
  <c r="AR321" i="3"/>
  <c r="BN543" i="3"/>
  <c r="AQ252" i="3"/>
  <c r="BS252" i="3" s="1"/>
  <c r="BS50" i="3"/>
  <c r="AE532" i="3"/>
  <c r="AE564" i="3"/>
  <c r="AE26" i="3" s="1"/>
  <c r="AE533" i="3"/>
  <c r="AE563" i="3"/>
  <c r="AE22" i="3" s="1"/>
  <c r="AE528" i="3"/>
  <c r="AE526" i="3"/>
  <c r="AE525" i="3"/>
  <c r="AE61" i="3"/>
  <c r="AE536" i="3"/>
  <c r="AD5" i="4"/>
  <c r="AE524" i="3"/>
  <c r="AE3" i="4"/>
  <c r="AC5" i="4"/>
  <c r="AC110" i="4" s="1"/>
  <c r="AD532" i="3"/>
  <c r="AD533" i="3"/>
  <c r="AD528" i="3"/>
  <c r="AD536" i="3"/>
  <c r="AD525" i="3"/>
  <c r="AD524" i="3"/>
  <c r="AD526" i="3"/>
  <c r="AD564" i="3"/>
  <c r="AD563" i="3"/>
  <c r="AD22" i="3" s="1"/>
  <c r="AB424" i="4"/>
  <c r="AB201" i="4"/>
  <c r="BM56" i="3"/>
  <c r="BM33" i="3"/>
  <c r="AB353" i="4"/>
  <c r="AA222" i="4"/>
  <c r="AA109" i="4"/>
  <c r="AB277" i="4"/>
  <c r="AA277" i="4"/>
  <c r="AB124" i="4"/>
  <c r="BM29" i="3"/>
  <c r="BM479" i="3" s="1"/>
  <c r="BM503" i="3" s="1"/>
  <c r="BF382" i="4"/>
  <c r="BJ67" i="3"/>
  <c r="BE428" i="4"/>
  <c r="BG683" i="4"/>
  <c r="BG721" i="4" s="1"/>
  <c r="BG27" i="4"/>
  <c r="BG685" i="4"/>
  <c r="K20" i="9"/>
  <c r="J4" i="9"/>
  <c r="BF83" i="4"/>
  <c r="AL141" i="28" s="1"/>
  <c r="AL23" i="28" s="1"/>
  <c r="G459" i="3"/>
  <c r="G350" i="3"/>
  <c r="G454" i="3"/>
  <c r="G444" i="3" s="1"/>
  <c r="G162" i="3"/>
  <c r="H88" i="3"/>
  <c r="H94" i="3" s="1"/>
  <c r="H98" i="3" s="1"/>
  <c r="H343" i="3"/>
  <c r="F66" i="4"/>
  <c r="AU41" i="4"/>
  <c r="AD361" i="4" l="1"/>
  <c r="AD110" i="4"/>
  <c r="AF2" i="4"/>
  <c r="R3" i="32"/>
  <c r="S2" i="32"/>
  <c r="AF3" i="4"/>
  <c r="AG5" i="3"/>
  <c r="AG33" i="3"/>
  <c r="S3" i="28"/>
  <c r="AF5" i="3"/>
  <c r="AL26" i="28"/>
  <c r="AL25" i="28"/>
  <c r="AI1" i="3"/>
  <c r="AH1" i="4" s="1"/>
  <c r="T2" i="28"/>
  <c r="AG1" i="4"/>
  <c r="AH3" i="3"/>
  <c r="AH2" i="3"/>
  <c r="AC361" i="4"/>
  <c r="AC292" i="4"/>
  <c r="AS322" i="3"/>
  <c r="BT322" i="3" s="1"/>
  <c r="BT51" i="3" s="1"/>
  <c r="BT45" i="3"/>
  <c r="AR252" i="3"/>
  <c r="AS321" i="3"/>
  <c r="BT321" i="3" s="1"/>
  <c r="AS197" i="3"/>
  <c r="AS423" i="3"/>
  <c r="BT423" i="3" s="1"/>
  <c r="AS288" i="3"/>
  <c r="BT288" i="3" s="1"/>
  <c r="BO542" i="3"/>
  <c r="AD730" i="4"/>
  <c r="AD364" i="4"/>
  <c r="AD135" i="4"/>
  <c r="AD53" i="4"/>
  <c r="AD229" i="4"/>
  <c r="AD724" i="4"/>
  <c r="AD54" i="4"/>
  <c r="AD720" i="4"/>
  <c r="AD510" i="4"/>
  <c r="AD380" i="4"/>
  <c r="AD292" i="4"/>
  <c r="AD295" i="4"/>
  <c r="AD212" i="4"/>
  <c r="AD127" i="4"/>
  <c r="AD79" i="4"/>
  <c r="AD290" i="4"/>
  <c r="AD138" i="4"/>
  <c r="AD215" i="4"/>
  <c r="AD11" i="4"/>
  <c r="AD435" i="4"/>
  <c r="AD366" i="4"/>
  <c r="AD59" i="4"/>
  <c r="AD438" i="4"/>
  <c r="AD309" i="4"/>
  <c r="AD210" i="4"/>
  <c r="AD61" i="4"/>
  <c r="AD133" i="4"/>
  <c r="AD128" i="4"/>
  <c r="AD157" i="4"/>
  <c r="AC720" i="4"/>
  <c r="AC730" i="4"/>
  <c r="AC127" i="4"/>
  <c r="AC364" i="4"/>
  <c r="AC502" i="4"/>
  <c r="AC309" i="4"/>
  <c r="AC438" i="4"/>
  <c r="AC133" i="4"/>
  <c r="AC135" i="4"/>
  <c r="AC724" i="4"/>
  <c r="AC380" i="4"/>
  <c r="AC54" i="4"/>
  <c r="AC212" i="4"/>
  <c r="AC295" i="4"/>
  <c r="AC138" i="4"/>
  <c r="AC157" i="4"/>
  <c r="AC435" i="4"/>
  <c r="AC128" i="4"/>
  <c r="AC290" i="4"/>
  <c r="AC61" i="4"/>
  <c r="AC53" i="4"/>
  <c r="AC79" i="4"/>
  <c r="AC215" i="4"/>
  <c r="AC210" i="4"/>
  <c r="AC510" i="4"/>
  <c r="AC229" i="4"/>
  <c r="AC59" i="4"/>
  <c r="AC366" i="4"/>
  <c r="BG175" i="4"/>
  <c r="BG308" i="4"/>
  <c r="BG451" i="4"/>
  <c r="BG78" i="4"/>
  <c r="BG156" i="4"/>
  <c r="BG664" i="4"/>
  <c r="BG665" i="4" s="1"/>
  <c r="BF237" i="4"/>
  <c r="BF383" i="4"/>
  <c r="BF428" i="4" s="1"/>
  <c r="BM72" i="3"/>
  <c r="AL9" i="32" s="1"/>
  <c r="BH720" i="4"/>
  <c r="BH685" i="4"/>
  <c r="BH724" i="4" s="1"/>
  <c r="BG725" i="4"/>
  <c r="BG724" i="4"/>
  <c r="BG60" i="4"/>
  <c r="I4" i="9"/>
  <c r="J20" i="9"/>
  <c r="BF15" i="4"/>
  <c r="H345" i="3"/>
  <c r="H349" i="3" s="1"/>
  <c r="G154" i="3"/>
  <c r="G160" i="3"/>
  <c r="G272" i="3"/>
  <c r="BA272" i="3" s="1"/>
  <c r="BA264" i="3" s="1"/>
  <c r="BA274" i="3" s="1"/>
  <c r="BA350" i="3"/>
  <c r="BA351" i="3" s="1"/>
  <c r="G351" i="3"/>
  <c r="AU66" i="4"/>
  <c r="AU71" i="4"/>
  <c r="H91" i="3"/>
  <c r="I93" i="3"/>
  <c r="G41" i="4"/>
  <c r="H101" i="3"/>
  <c r="H520" i="3"/>
  <c r="H521" i="3"/>
  <c r="G456" i="3"/>
  <c r="G424" i="3"/>
  <c r="BA424" i="3" s="1"/>
  <c r="BA444" i="3" s="1"/>
  <c r="G463" i="3"/>
  <c r="G466" i="3"/>
  <c r="G482" i="3" s="1"/>
  <c r="G506" i="3" s="1"/>
  <c r="BA459" i="3"/>
  <c r="AG528" i="3" l="1"/>
  <c r="AE5" i="4"/>
  <c r="AE730" i="4" s="1"/>
  <c r="AF526" i="3"/>
  <c r="AG525" i="3"/>
  <c r="AG532" i="3"/>
  <c r="AG564" i="3"/>
  <c r="AG533" i="3"/>
  <c r="AG524" i="3"/>
  <c r="AF5" i="4"/>
  <c r="AF133" i="4" s="1"/>
  <c r="AF532" i="3"/>
  <c r="AG536" i="3"/>
  <c r="S3" i="32"/>
  <c r="AG563" i="3"/>
  <c r="AG22" i="3" s="1"/>
  <c r="T2" i="32"/>
  <c r="AJ1" i="3"/>
  <c r="AG526" i="3"/>
  <c r="AF533" i="3"/>
  <c r="AF528" i="3"/>
  <c r="AF524" i="3"/>
  <c r="AF564" i="3"/>
  <c r="AF26" i="3" s="1"/>
  <c r="AF525" i="3"/>
  <c r="AF563" i="3"/>
  <c r="AF22" i="3" s="1"/>
  <c r="AF536" i="3"/>
  <c r="AG2" i="4"/>
  <c r="T3" i="28"/>
  <c r="AG3" i="4"/>
  <c r="AH33" i="3"/>
  <c r="U2" i="28"/>
  <c r="AI2" i="3"/>
  <c r="AI3" i="3"/>
  <c r="AH2" i="4"/>
  <c r="BG212" i="4"/>
  <c r="BT50" i="3"/>
  <c r="AS252" i="3"/>
  <c r="BT252" i="3" s="1"/>
  <c r="BT197" i="3"/>
  <c r="AF724" i="4"/>
  <c r="BO545" i="3"/>
  <c r="BO543" i="3"/>
  <c r="AK542" i="3"/>
  <c r="AE724" i="4"/>
  <c r="AE720" i="4"/>
  <c r="AE366" i="4"/>
  <c r="AE290" i="4"/>
  <c r="AE210" i="4"/>
  <c r="AE138" i="4"/>
  <c r="AE135" i="4"/>
  <c r="AE295" i="4"/>
  <c r="AE61" i="4"/>
  <c r="AE54" i="4"/>
  <c r="AE133" i="4"/>
  <c r="AE59" i="4"/>
  <c r="AE292" i="4"/>
  <c r="AE212" i="4"/>
  <c r="AE215" i="4"/>
  <c r="AE438" i="4"/>
  <c r="AE435" i="4"/>
  <c r="AE53" i="4"/>
  <c r="AE128" i="4"/>
  <c r="AE127" i="4"/>
  <c r="AE510" i="4"/>
  <c r="AE309" i="4"/>
  <c r="AE157" i="4"/>
  <c r="AE229" i="4"/>
  <c r="AE380" i="4"/>
  <c r="AE79" i="4"/>
  <c r="AC424" i="4"/>
  <c r="AD424" i="4"/>
  <c r="AC124" i="4"/>
  <c r="AD124" i="4"/>
  <c r="AC201" i="4"/>
  <c r="AD201" i="4"/>
  <c r="AD277" i="4"/>
  <c r="AC353" i="4"/>
  <c r="AD353" i="4"/>
  <c r="BG327" i="4"/>
  <c r="BG97" i="4"/>
  <c r="AC277" i="4"/>
  <c r="BG668" i="4"/>
  <c r="BG714" i="4" s="1"/>
  <c r="AC232" i="4"/>
  <c r="BG251" i="4"/>
  <c r="BN33" i="3"/>
  <c r="BN56" i="3"/>
  <c r="BN29" i="3"/>
  <c r="BN479" i="3" s="1"/>
  <c r="BN503" i="3" s="1"/>
  <c r="BG84" i="4"/>
  <c r="BG110" i="4" s="1"/>
  <c r="BG16" i="4"/>
  <c r="BG667" i="4"/>
  <c r="BG310" i="4"/>
  <c r="BF238" i="4"/>
  <c r="AL153" i="28" s="1"/>
  <c r="AL65" i="28" s="1"/>
  <c r="BF388" i="4"/>
  <c r="BF460" i="4"/>
  <c r="BH725" i="4"/>
  <c r="BN72" i="3"/>
  <c r="BH27" i="4"/>
  <c r="BH683" i="4"/>
  <c r="BH721" i="4" s="1"/>
  <c r="H4" i="9"/>
  <c r="I20" i="9"/>
  <c r="BL64" i="3"/>
  <c r="H459" i="3"/>
  <c r="H162" i="3"/>
  <c r="H454" i="3"/>
  <c r="H444" i="3" s="1"/>
  <c r="H350" i="3"/>
  <c r="H351" i="3" s="1"/>
  <c r="I86" i="3"/>
  <c r="BA339" i="3"/>
  <c r="BA359" i="3"/>
  <c r="G450" i="3"/>
  <c r="BA450" i="3" s="1"/>
  <c r="BA454" i="3" s="1"/>
  <c r="BA456" i="3" s="1"/>
  <c r="BA160" i="3"/>
  <c r="BA162" i="3" s="1"/>
  <c r="BA154" i="3" s="1"/>
  <c r="BA164" i="3" s="1"/>
  <c r="BA466" i="3"/>
  <c r="BA463" i="3"/>
  <c r="G484" i="3"/>
  <c r="BA484" i="3" s="1"/>
  <c r="G467" i="3"/>
  <c r="G483" i="3" s="1"/>
  <c r="G507" i="3" s="1"/>
  <c r="G522" i="3"/>
  <c r="G581" i="3" s="1"/>
  <c r="G523" i="3"/>
  <c r="G490" i="4"/>
  <c r="G66" i="4"/>
  <c r="F114" i="4"/>
  <c r="F344" i="4"/>
  <c r="F559" i="4"/>
  <c r="G71" i="4"/>
  <c r="F629" i="4"/>
  <c r="F701" i="4"/>
  <c r="F192" i="4"/>
  <c r="G359" i="3"/>
  <c r="G339" i="3"/>
  <c r="G143" i="3"/>
  <c r="G164" i="3"/>
  <c r="AM9" i="32" l="1"/>
  <c r="C13" i="33"/>
  <c r="AE364" i="4"/>
  <c r="AF361" i="4"/>
  <c r="AF110" i="4"/>
  <c r="AE361" i="4"/>
  <c r="AE110" i="4"/>
  <c r="AF157" i="4"/>
  <c r="AF201" i="4" s="1"/>
  <c r="AF309" i="4"/>
  <c r="AF212" i="4"/>
  <c r="AF510" i="4"/>
  <c r="AF290" i="4"/>
  <c r="AF438" i="4"/>
  <c r="AF135" i="4"/>
  <c r="AF435" i="4"/>
  <c r="AF730" i="4"/>
  <c r="AF215" i="4"/>
  <c r="AF292" i="4"/>
  <c r="U2" i="32"/>
  <c r="AF79" i="4"/>
  <c r="AF124" i="4" s="1"/>
  <c r="AF127" i="4"/>
  <c r="AF61" i="4"/>
  <c r="AF364" i="4"/>
  <c r="AF720" i="4"/>
  <c r="T3" i="32"/>
  <c r="AJ3" i="3"/>
  <c r="AF380" i="4"/>
  <c r="AF424" i="4" s="1"/>
  <c r="AF128" i="4"/>
  <c r="AF295" i="4"/>
  <c r="AF366" i="4"/>
  <c r="AF210" i="4"/>
  <c r="AF229" i="4"/>
  <c r="AF277" i="4" s="1"/>
  <c r="AF53" i="4"/>
  <c r="AF59" i="4"/>
  <c r="AF54" i="4"/>
  <c r="AF138" i="4"/>
  <c r="AJ2" i="3"/>
  <c r="AK1" i="3"/>
  <c r="AL68" i="28"/>
  <c r="AL67" i="28"/>
  <c r="AI5" i="3"/>
  <c r="V2" i="28"/>
  <c r="U3" i="28"/>
  <c r="AI33" i="3"/>
  <c r="BG292" i="4"/>
  <c r="BG135" i="4"/>
  <c r="BG364" i="4"/>
  <c r="BG309" i="4"/>
  <c r="BG353" i="4" s="1"/>
  <c r="AH5" i="3"/>
  <c r="AH3" i="4"/>
  <c r="AL542" i="3"/>
  <c r="AK543" i="3"/>
  <c r="BP542" i="3"/>
  <c r="AE353" i="4"/>
  <c r="AF353" i="4"/>
  <c r="AE201" i="4"/>
  <c r="AE124" i="4"/>
  <c r="AE277" i="4"/>
  <c r="AE424" i="4"/>
  <c r="BH175" i="4"/>
  <c r="AC281" i="4"/>
  <c r="AC383" i="4"/>
  <c r="AC428" i="4" s="1"/>
  <c r="BH668" i="4"/>
  <c r="BH714" i="4" s="1"/>
  <c r="BH308" i="4"/>
  <c r="BH451" i="4"/>
  <c r="BH78" i="4"/>
  <c r="BH664" i="4"/>
  <c r="BH665" i="4" s="1"/>
  <c r="BH710" i="4" s="1"/>
  <c r="BH156" i="4"/>
  <c r="BH97" i="4"/>
  <c r="AI1" i="4"/>
  <c r="BG713" i="4"/>
  <c r="BG674" i="4"/>
  <c r="BH60" i="4"/>
  <c r="BI60" i="4"/>
  <c r="BF389" i="4"/>
  <c r="BF19" i="4"/>
  <c r="BF461" i="4"/>
  <c r="G4" i="9"/>
  <c r="H20" i="9"/>
  <c r="AU192" i="4"/>
  <c r="AU218" i="4" s="1"/>
  <c r="F218" i="4"/>
  <c r="E192" i="4"/>
  <c r="G187" i="4"/>
  <c r="F654" i="4"/>
  <c r="E629" i="4"/>
  <c r="AU629" i="4"/>
  <c r="AU654" i="4" s="1"/>
  <c r="E559" i="4"/>
  <c r="F268" i="4"/>
  <c r="G554" i="4"/>
  <c r="F586" i="4"/>
  <c r="AU559" i="4"/>
  <c r="AU586" i="4" s="1"/>
  <c r="E114" i="4"/>
  <c r="G109" i="4"/>
  <c r="F141" i="4"/>
  <c r="AU114" i="4"/>
  <c r="AU141" i="4" s="1"/>
  <c r="F490" i="4"/>
  <c r="BA467" i="3"/>
  <c r="BA522" i="3"/>
  <c r="BA581" i="3" s="1"/>
  <c r="BA523" i="3"/>
  <c r="H160" i="3"/>
  <c r="H450" i="3" s="1"/>
  <c r="H272" i="3"/>
  <c r="H154" i="3"/>
  <c r="H339" i="3"/>
  <c r="H359" i="3"/>
  <c r="G253" i="3"/>
  <c r="BA143" i="3"/>
  <c r="E701" i="4"/>
  <c r="G695" i="4"/>
  <c r="F727" i="4"/>
  <c r="AU701" i="4"/>
  <c r="AU727" i="4" s="1"/>
  <c r="F369" i="4"/>
  <c r="E344" i="4"/>
  <c r="AU344" i="4"/>
  <c r="AU369" i="4" s="1"/>
  <c r="G516" i="4"/>
  <c r="BA482" i="3"/>
  <c r="BA506" i="3" s="1"/>
  <c r="I343" i="3"/>
  <c r="I88" i="3"/>
  <c r="I94" i="3" s="1"/>
  <c r="BB86" i="3"/>
  <c r="BB88" i="3" s="1"/>
  <c r="H456" i="3"/>
  <c r="H424" i="3"/>
  <c r="H466" i="3"/>
  <c r="H482" i="3" s="1"/>
  <c r="H506" i="3" s="1"/>
  <c r="H463" i="3"/>
  <c r="AI564" i="3" l="1"/>
  <c r="AI26" i="3" s="1"/>
  <c r="AH5" i="4"/>
  <c r="AH292" i="4" s="1"/>
  <c r="AJ29" i="3"/>
  <c r="AJ479" i="3" s="1"/>
  <c r="AJ503" i="3" s="1"/>
  <c r="U3" i="32"/>
  <c r="AJ33" i="3"/>
  <c r="V2" i="32"/>
  <c r="AI526" i="3"/>
  <c r="AL1" i="3"/>
  <c r="AI532" i="3"/>
  <c r="AI524" i="3"/>
  <c r="AI61" i="3"/>
  <c r="AI563" i="3"/>
  <c r="AI22" i="3" s="1"/>
  <c r="AI525" i="3"/>
  <c r="AI536" i="3"/>
  <c r="AI533" i="3"/>
  <c r="AI528" i="3"/>
  <c r="V3" i="28"/>
  <c r="W2" i="28"/>
  <c r="AG5" i="4"/>
  <c r="AI2" i="4"/>
  <c r="BH212" i="4"/>
  <c r="BH135" i="4"/>
  <c r="AH720" i="4"/>
  <c r="AH435" i="4"/>
  <c r="AH128" i="4"/>
  <c r="AH380" i="4"/>
  <c r="BP543" i="3"/>
  <c r="AK545" i="3"/>
  <c r="BP545" i="3" s="1"/>
  <c r="AL543" i="3"/>
  <c r="AL545" i="3" s="1"/>
  <c r="AM542" i="3"/>
  <c r="BH251" i="4"/>
  <c r="BG398" i="4"/>
  <c r="BG435" i="4" s="1"/>
  <c r="BG232" i="4"/>
  <c r="BG281" i="4" s="1"/>
  <c r="BO29" i="3"/>
  <c r="BO479" i="3" s="1"/>
  <c r="BO503" i="3" s="1"/>
  <c r="BH667" i="4"/>
  <c r="BH310" i="4"/>
  <c r="AI3" i="4"/>
  <c r="BO33" i="3"/>
  <c r="BO56" i="3"/>
  <c r="BO60" i="3"/>
  <c r="AJ1" i="4"/>
  <c r="AK3" i="3"/>
  <c r="AK2" i="3"/>
  <c r="C9" i="6" s="1"/>
  <c r="B316" i="3" s="1"/>
  <c r="BH84" i="4"/>
  <c r="BH110" i="4" s="1"/>
  <c r="BG83" i="4"/>
  <c r="AM141" i="28" s="1"/>
  <c r="AM23" i="28" s="1"/>
  <c r="BH327" i="4"/>
  <c r="BL67" i="3"/>
  <c r="F415" i="4"/>
  <c r="F441" i="4" s="1"/>
  <c r="G20" i="9"/>
  <c r="F4" i="9"/>
  <c r="BB94" i="3"/>
  <c r="BB98" i="3" s="1"/>
  <c r="I98" i="3"/>
  <c r="E727" i="4"/>
  <c r="D701" i="4"/>
  <c r="F730" i="4"/>
  <c r="H143" i="3"/>
  <c r="H253" i="3" s="1"/>
  <c r="H264" i="3" s="1"/>
  <c r="H274" i="3" s="1"/>
  <c r="H164" i="3"/>
  <c r="AU490" i="4"/>
  <c r="G485" i="4"/>
  <c r="G410" i="4" s="1"/>
  <c r="G73" i="4" s="1"/>
  <c r="F516" i="4"/>
  <c r="E141" i="4"/>
  <c r="F144" i="4"/>
  <c r="D114" i="4"/>
  <c r="E490" i="4"/>
  <c r="E516" i="4" s="1"/>
  <c r="F298" i="4"/>
  <c r="AU268" i="4"/>
  <c r="AU298" i="4" s="1"/>
  <c r="D192" i="4"/>
  <c r="F221" i="4"/>
  <c r="E218" i="4"/>
  <c r="H467" i="3"/>
  <c r="H483" i="3" s="1"/>
  <c r="H507" i="3" s="1"/>
  <c r="H484" i="3"/>
  <c r="H522" i="3"/>
  <c r="H581" i="3" s="1"/>
  <c r="H523" i="3"/>
  <c r="I345" i="3"/>
  <c r="I349" i="3" s="1"/>
  <c r="BB343" i="3"/>
  <c r="BB345" i="3" s="1"/>
  <c r="BB349" i="3" s="1"/>
  <c r="D344" i="4"/>
  <c r="E369" i="4"/>
  <c r="H732" i="4"/>
  <c r="H695" i="4" s="1"/>
  <c r="G731" i="4"/>
  <c r="G693" i="4"/>
  <c r="G264" i="3"/>
  <c r="G274" i="3" s="1"/>
  <c r="G4" i="3" s="1"/>
  <c r="BA253" i="3"/>
  <c r="BA483" i="3"/>
  <c r="BA507" i="3" s="1"/>
  <c r="G145" i="4"/>
  <c r="G107" i="4"/>
  <c r="G108" i="4" s="1"/>
  <c r="H146" i="4"/>
  <c r="H109" i="4" s="1"/>
  <c r="G552" i="4"/>
  <c r="G553" i="4" s="1"/>
  <c r="H591" i="4"/>
  <c r="H554" i="4" s="1"/>
  <c r="G590" i="4"/>
  <c r="D559" i="4"/>
  <c r="F589" i="4"/>
  <c r="E268" i="4"/>
  <c r="E586" i="4"/>
  <c r="D629" i="4"/>
  <c r="E654" i="4"/>
  <c r="H223" i="4"/>
  <c r="H187" i="4" s="1"/>
  <c r="G185" i="4"/>
  <c r="G186" i="4" s="1"/>
  <c r="G222" i="4"/>
  <c r="AH361" i="4" l="1"/>
  <c r="AH110" i="4"/>
  <c r="AG361" i="4"/>
  <c r="AG110" i="4"/>
  <c r="AH724" i="4"/>
  <c r="AH79" i="4"/>
  <c r="AH366" i="4"/>
  <c r="AH229" i="4"/>
  <c r="AH53" i="4"/>
  <c r="AH138" i="4"/>
  <c r="AH61" i="4"/>
  <c r="AH157" i="4"/>
  <c r="AH127" i="4"/>
  <c r="AH212" i="4"/>
  <c r="AH364" i="4"/>
  <c r="AH309" i="4"/>
  <c r="AH438" i="4"/>
  <c r="AH210" i="4"/>
  <c r="AH290" i="4"/>
  <c r="AH11" i="4"/>
  <c r="AH510" i="4"/>
  <c r="AH215" i="4"/>
  <c r="AH135" i="4"/>
  <c r="AH730" i="4"/>
  <c r="AH133" i="4"/>
  <c r="AH59" i="4"/>
  <c r="AH295" i="4"/>
  <c r="AK295" i="4" s="1"/>
  <c r="AL295" i="4" s="1"/>
  <c r="AM295" i="4" s="1"/>
  <c r="AN295" i="4" s="1"/>
  <c r="AO295" i="4" s="1"/>
  <c r="AP295" i="4" s="1"/>
  <c r="AQ295" i="4" s="1"/>
  <c r="AR295" i="4" s="1"/>
  <c r="AH54" i="4"/>
  <c r="W2" i="32"/>
  <c r="V3" i="32"/>
  <c r="L14" i="6"/>
  <c r="L76" i="6" s="1"/>
  <c r="AJ5" i="3"/>
  <c r="AM1" i="3"/>
  <c r="AM25" i="28"/>
  <c r="AM26" i="28"/>
  <c r="AG210" i="4"/>
  <c r="W3" i="28"/>
  <c r="X2" i="28"/>
  <c r="AG61" i="4"/>
  <c r="AG229" i="4"/>
  <c r="AG277" i="4" s="1"/>
  <c r="AG435" i="4"/>
  <c r="AG135" i="4"/>
  <c r="AG157" i="4"/>
  <c r="AG364" i="4"/>
  <c r="AG133" i="4"/>
  <c r="AG438" i="4"/>
  <c r="AG54" i="4"/>
  <c r="AG11" i="4"/>
  <c r="AH50" i="4" s="1"/>
  <c r="AG510" i="4"/>
  <c r="AG215" i="4"/>
  <c r="AG366" i="4"/>
  <c r="AG59" i="4"/>
  <c r="AG292" i="4"/>
  <c r="AG79" i="4"/>
  <c r="AG124" i="4" s="1"/>
  <c r="AG128" i="4"/>
  <c r="AG730" i="4"/>
  <c r="AG290" i="4"/>
  <c r="AG295" i="4"/>
  <c r="AG127" i="4"/>
  <c r="AG720" i="4"/>
  <c r="AG309" i="4"/>
  <c r="AG380" i="4"/>
  <c r="AG424" i="4" s="1"/>
  <c r="AG53" i="4"/>
  <c r="AG724" i="4"/>
  <c r="AG212" i="4"/>
  <c r="AG138" i="4"/>
  <c r="AK13" i="3"/>
  <c r="AJ2" i="4"/>
  <c r="BH292" i="4"/>
  <c r="BH364" i="4"/>
  <c r="BH309" i="4"/>
  <c r="BH353" i="4" s="1"/>
  <c r="AK12" i="3"/>
  <c r="AK11" i="3"/>
  <c r="AK10" i="3"/>
  <c r="AK33" i="3"/>
  <c r="AK29" i="3"/>
  <c r="AK479" i="3" s="1"/>
  <c r="AK503" i="3" s="1"/>
  <c r="AK56" i="3"/>
  <c r="AN542" i="3"/>
  <c r="AM543" i="3"/>
  <c r="BQ542" i="3"/>
  <c r="BH234" i="4"/>
  <c r="BH233" i="4"/>
  <c r="BG383" i="4"/>
  <c r="BG428" i="4" s="1"/>
  <c r="BH398" i="4"/>
  <c r="BH435" i="4" s="1"/>
  <c r="BI228" i="4"/>
  <c r="BI10" i="4"/>
  <c r="BI327" i="4"/>
  <c r="BI156" i="4"/>
  <c r="BI668" i="4"/>
  <c r="BI714" i="4" s="1"/>
  <c r="BI664" i="4"/>
  <c r="BI665" i="4" s="1"/>
  <c r="BI710" i="4" s="1"/>
  <c r="BI451" i="4"/>
  <c r="BI379" i="4"/>
  <c r="BI175" i="4"/>
  <c r="BI308" i="4"/>
  <c r="BI78" i="4"/>
  <c r="BI97" i="4"/>
  <c r="BG15" i="4"/>
  <c r="AL2" i="3"/>
  <c r="AL3" i="3"/>
  <c r="AK1" i="4"/>
  <c r="BH713" i="4"/>
  <c r="BH674" i="4"/>
  <c r="AK5" i="3"/>
  <c r="AJ3" i="4"/>
  <c r="AU415" i="4"/>
  <c r="AU441" i="4" s="1"/>
  <c r="E298" i="4"/>
  <c r="E4" i="9"/>
  <c r="F20" i="9"/>
  <c r="H4" i="3"/>
  <c r="H185" i="4"/>
  <c r="AV185" i="4" s="1"/>
  <c r="H222" i="4"/>
  <c r="D654" i="4"/>
  <c r="AT629" i="4"/>
  <c r="AT654" i="4" s="1"/>
  <c r="C629" i="4"/>
  <c r="C654" i="4" s="1"/>
  <c r="AT559" i="4"/>
  <c r="D268" i="4"/>
  <c r="C559" i="4"/>
  <c r="E589" i="4"/>
  <c r="D586" i="4"/>
  <c r="G589" i="4"/>
  <c r="G582" i="4"/>
  <c r="G445" i="4"/>
  <c r="G446" i="4"/>
  <c r="G730" i="4"/>
  <c r="G723" i="4"/>
  <c r="H693" i="4"/>
  <c r="H731" i="4"/>
  <c r="E415" i="4"/>
  <c r="AT192" i="4"/>
  <c r="E221" i="4"/>
  <c r="C192" i="4"/>
  <c r="D218" i="4"/>
  <c r="C114" i="4"/>
  <c r="D141" i="4"/>
  <c r="D490" i="4"/>
  <c r="AT114" i="4"/>
  <c r="E144" i="4"/>
  <c r="G483" i="4"/>
  <c r="G484" i="4" s="1"/>
  <c r="C701" i="4"/>
  <c r="E730" i="4"/>
  <c r="AT701" i="4"/>
  <c r="D727" i="4"/>
  <c r="H41" i="4"/>
  <c r="I101" i="3"/>
  <c r="I91" i="3"/>
  <c r="J93" i="3"/>
  <c r="J86" i="3" s="1"/>
  <c r="I521" i="3"/>
  <c r="I520" i="3"/>
  <c r="G214" i="4"/>
  <c r="G221" i="4"/>
  <c r="H552" i="4"/>
  <c r="AV552" i="4" s="1"/>
  <c r="H590" i="4"/>
  <c r="H145" i="4"/>
  <c r="H107" i="4"/>
  <c r="G144" i="4"/>
  <c r="G137" i="4"/>
  <c r="G694" i="4"/>
  <c r="C344" i="4"/>
  <c r="AT344" i="4"/>
  <c r="AT369" i="4" s="1"/>
  <c r="D369" i="4"/>
  <c r="AU516" i="4"/>
  <c r="BB101" i="3"/>
  <c r="BB91" i="3"/>
  <c r="BC93" i="3"/>
  <c r="BB520" i="3"/>
  <c r="BB521" i="3"/>
  <c r="AH353" i="4" l="1"/>
  <c r="L41" i="6"/>
  <c r="AH201" i="4"/>
  <c r="L50" i="6"/>
  <c r="AH277" i="4"/>
  <c r="L57" i="6"/>
  <c r="L30" i="6"/>
  <c r="L127" i="6"/>
  <c r="W3" i="32"/>
  <c r="L37" i="6"/>
  <c r="L36" i="6"/>
  <c r="K14" i="6"/>
  <c r="K127" i="6" s="1"/>
  <c r="L22" i="6"/>
  <c r="L74" i="6"/>
  <c r="L62" i="6"/>
  <c r="L20" i="6"/>
  <c r="L96" i="6"/>
  <c r="X2" i="32"/>
  <c r="AN1" i="3"/>
  <c r="AJ61" i="3"/>
  <c r="AJ533" i="3"/>
  <c r="AJ532" i="3"/>
  <c r="AJ564" i="3"/>
  <c r="AJ26" i="3" s="1"/>
  <c r="AJ563" i="3"/>
  <c r="AG201" i="4"/>
  <c r="X3" i="28"/>
  <c r="Y2" i="28"/>
  <c r="AH424" i="4"/>
  <c r="AG353" i="4"/>
  <c r="AH124" i="4"/>
  <c r="AJ5" i="4"/>
  <c r="AK2" i="4"/>
  <c r="BI364" i="4"/>
  <c r="BI135" i="4"/>
  <c r="BI212" i="4"/>
  <c r="AL13" i="3"/>
  <c r="AL33" i="3"/>
  <c r="AL29" i="3"/>
  <c r="AL479" i="3" s="1"/>
  <c r="AL503" i="3" s="1"/>
  <c r="AL11" i="3"/>
  <c r="AL17" i="3" s="1"/>
  <c r="AL10" i="3"/>
  <c r="AL16" i="3" s="1"/>
  <c r="AL56" i="3"/>
  <c r="AL12" i="3"/>
  <c r="AL18" i="3" s="1"/>
  <c r="BI230" i="4"/>
  <c r="AM545" i="3"/>
  <c r="BQ545" i="3" s="1"/>
  <c r="BQ543" i="3"/>
  <c r="AN543" i="3"/>
  <c r="AN545" i="3" s="1"/>
  <c r="AO542" i="3"/>
  <c r="BI251" i="4"/>
  <c r="BH384" i="4"/>
  <c r="BH385" i="4"/>
  <c r="BH16" i="4"/>
  <c r="BG19" i="4"/>
  <c r="BG57" i="4" s="1"/>
  <c r="BP12" i="3"/>
  <c r="BP60" i="3"/>
  <c r="BP33" i="3"/>
  <c r="BP29" i="3"/>
  <c r="BP479" i="3" s="1"/>
  <c r="BP503" i="3" s="1"/>
  <c r="AI5" i="4"/>
  <c r="AI110" i="4" s="1"/>
  <c r="BM64" i="3"/>
  <c r="BP13" i="3"/>
  <c r="BI667" i="4"/>
  <c r="BP10" i="3"/>
  <c r="BH83" i="4"/>
  <c r="AN141" i="28" s="1"/>
  <c r="AN23" i="28" s="1"/>
  <c r="AL1" i="4"/>
  <c r="AM3" i="3"/>
  <c r="AM2" i="3"/>
  <c r="BI84" i="4"/>
  <c r="BI110" i="4" s="1"/>
  <c r="BP11" i="3"/>
  <c r="AK3" i="4"/>
  <c r="BM67" i="3"/>
  <c r="D415" i="4"/>
  <c r="D441" i="4" s="1"/>
  <c r="H186" i="4"/>
  <c r="AV186" i="4" s="1"/>
  <c r="AV187" i="4" s="1"/>
  <c r="D4" i="9"/>
  <c r="H553" i="4"/>
  <c r="AV553" i="4" s="1"/>
  <c r="AV588" i="4" s="1"/>
  <c r="G409" i="4"/>
  <c r="AV589" i="4"/>
  <c r="AV582" i="4"/>
  <c r="C369" i="4"/>
  <c r="H144" i="4"/>
  <c r="H137" i="4"/>
  <c r="H108" i="4"/>
  <c r="J88" i="3"/>
  <c r="J94" i="3" s="1"/>
  <c r="J98" i="3" s="1"/>
  <c r="J343" i="3"/>
  <c r="I454" i="3"/>
  <c r="I444" i="3" s="1"/>
  <c r="I162" i="3"/>
  <c r="I350" i="3"/>
  <c r="I459" i="3"/>
  <c r="D516" i="4"/>
  <c r="AT490" i="4"/>
  <c r="D144" i="4"/>
  <c r="C490" i="4"/>
  <c r="C516" i="4" s="1"/>
  <c r="C141" i="4"/>
  <c r="C144" i="4"/>
  <c r="C218" i="4"/>
  <c r="C221" i="4"/>
  <c r="D221" i="4"/>
  <c r="AU221" i="4"/>
  <c r="AT218" i="4"/>
  <c r="H723" i="4"/>
  <c r="H730" i="4"/>
  <c r="AV693" i="4"/>
  <c r="D298" i="4"/>
  <c r="AT268" i="4"/>
  <c r="AT298" i="4" s="1"/>
  <c r="AV107" i="4"/>
  <c r="H589" i="4"/>
  <c r="H582" i="4"/>
  <c r="AV214" i="4"/>
  <c r="AV221" i="4"/>
  <c r="H490" i="4"/>
  <c r="AV41" i="4"/>
  <c r="H66" i="4"/>
  <c r="H71" i="4"/>
  <c r="AT727" i="4"/>
  <c r="AT730" i="4"/>
  <c r="AU730" i="4"/>
  <c r="D730" i="4"/>
  <c r="C727" i="4"/>
  <c r="C730" i="4"/>
  <c r="G408" i="4"/>
  <c r="G512" i="4"/>
  <c r="AT141" i="4"/>
  <c r="AU144" i="4"/>
  <c r="E441" i="4"/>
  <c r="F444" i="4"/>
  <c r="H694" i="4"/>
  <c r="AV694" i="4" s="1"/>
  <c r="C268" i="4"/>
  <c r="D589" i="4"/>
  <c r="C586" i="4"/>
  <c r="C589" i="4"/>
  <c r="AU589" i="4"/>
  <c r="AT589" i="4"/>
  <c r="AT586" i="4"/>
  <c r="H214" i="4"/>
  <c r="H221" i="4"/>
  <c r="S731" i="4"/>
  <c r="S723" i="4"/>
  <c r="K36" i="6" l="1"/>
  <c r="K22" i="6"/>
  <c r="K20" i="6"/>
  <c r="K21" i="6" s="1"/>
  <c r="K50" i="6"/>
  <c r="K96" i="6"/>
  <c r="K41" i="6"/>
  <c r="X3" i="32"/>
  <c r="K37" i="6"/>
  <c r="J14" i="6"/>
  <c r="J51" i="6" s="1"/>
  <c r="K62" i="6"/>
  <c r="K57" i="6"/>
  <c r="K74" i="6"/>
  <c r="Y2" i="32"/>
  <c r="K76" i="6"/>
  <c r="K30" i="6"/>
  <c r="AI295" i="4"/>
  <c r="AI290" i="4"/>
  <c r="AI364" i="4"/>
  <c r="AJ364" i="4" s="1"/>
  <c r="AK364" i="4" s="1"/>
  <c r="AL364" i="4" s="1"/>
  <c r="AM364" i="4" s="1"/>
  <c r="AN364" i="4" s="1"/>
  <c r="AO364" i="4" s="1"/>
  <c r="AP364" i="4" s="1"/>
  <c r="AQ364" i="4" s="1"/>
  <c r="AR364" i="4" s="1"/>
  <c r="AI366" i="4"/>
  <c r="AJ366" i="4" s="1"/>
  <c r="AK366" i="4" s="1"/>
  <c r="AL366" i="4" s="1"/>
  <c r="AM366" i="4" s="1"/>
  <c r="AN366" i="4" s="1"/>
  <c r="AO366" i="4" s="1"/>
  <c r="AP366" i="4" s="1"/>
  <c r="AQ366" i="4" s="1"/>
  <c r="AR366" i="4" s="1"/>
  <c r="AI292" i="4"/>
  <c r="AJ292" i="4" s="1"/>
  <c r="AI212" i="4"/>
  <c r="AJ212" i="4" s="1"/>
  <c r="AK212" i="4" s="1"/>
  <c r="AL212" i="4" s="1"/>
  <c r="AI138" i="4"/>
  <c r="AI135" i="4"/>
  <c r="AI215" i="4"/>
  <c r="AJ215" i="4" s="1"/>
  <c r="AK215" i="4" s="1"/>
  <c r="AL215" i="4" s="1"/>
  <c r="AM215" i="4" s="1"/>
  <c r="AN215" i="4" s="1"/>
  <c r="AO215" i="4" s="1"/>
  <c r="AP215" i="4" s="1"/>
  <c r="AQ215" i="4" s="1"/>
  <c r="AR215" i="4" s="1"/>
  <c r="AI128" i="4"/>
  <c r="AI79" i="4"/>
  <c r="AI309" i="4"/>
  <c r="AI361" i="4"/>
  <c r="AJ361" i="4" s="1"/>
  <c r="AK361" i="4" s="1"/>
  <c r="AL361" i="4" s="1"/>
  <c r="AM361" i="4" s="1"/>
  <c r="AN361" i="4" s="1"/>
  <c r="AO361" i="4" s="1"/>
  <c r="AP361" i="4" s="1"/>
  <c r="AQ361" i="4" s="1"/>
  <c r="AR361" i="4" s="1"/>
  <c r="AO1" i="3"/>
  <c r="AK126" i="4"/>
  <c r="AI61" i="4"/>
  <c r="AI54" i="4"/>
  <c r="AI229" i="4"/>
  <c r="AI53" i="4"/>
  <c r="AI59" i="4"/>
  <c r="AI133" i="4"/>
  <c r="AI157" i="4"/>
  <c r="AI201" i="4" s="1"/>
  <c r="AN26" i="28"/>
  <c r="AN25" i="28"/>
  <c r="AJ667" i="4"/>
  <c r="Z2" i="28"/>
  <c r="Y3" i="28"/>
  <c r="AJ668" i="4"/>
  <c r="J50" i="6"/>
  <c r="BI229" i="4"/>
  <c r="BI292" i="4"/>
  <c r="AL19" i="3"/>
  <c r="AM33" i="3"/>
  <c r="AM29" i="3"/>
  <c r="AM479" i="3" s="1"/>
  <c r="AM503" i="3" s="1"/>
  <c r="AM11" i="3"/>
  <c r="AM56" i="3"/>
  <c r="AM12" i="3"/>
  <c r="BQ12" i="3" s="1"/>
  <c r="AM13" i="3"/>
  <c r="AM10" i="3"/>
  <c r="AP542" i="3"/>
  <c r="AO543" i="3"/>
  <c r="BR542" i="3"/>
  <c r="AM1" i="4"/>
  <c r="AN2" i="3"/>
  <c r="AN3" i="3"/>
  <c r="BI234" i="4"/>
  <c r="BI233" i="4"/>
  <c r="BI398" i="4"/>
  <c r="BI435" i="4" s="1"/>
  <c r="AH64" i="3"/>
  <c r="AL2" i="4"/>
  <c r="BI310" i="4"/>
  <c r="BH15" i="4"/>
  <c r="BI674" i="4"/>
  <c r="BI713" i="4"/>
  <c r="AI667" i="4"/>
  <c r="BJ10" i="4"/>
  <c r="BJ228" i="4"/>
  <c r="AI668" i="4"/>
  <c r="AI232" i="4" s="1"/>
  <c r="BJ379" i="4"/>
  <c r="BJ451" i="4"/>
  <c r="BJ664" i="4"/>
  <c r="BJ665" i="4" s="1"/>
  <c r="BJ710" i="4" s="1"/>
  <c r="BJ78" i="4"/>
  <c r="BJ308" i="4"/>
  <c r="BJ156" i="4"/>
  <c r="AL3" i="4"/>
  <c r="AM5" i="3"/>
  <c r="AL5" i="3"/>
  <c r="BH19" i="4"/>
  <c r="BH57" i="4" s="1"/>
  <c r="E444" i="4"/>
  <c r="AT415" i="4"/>
  <c r="AT441" i="4" s="1"/>
  <c r="AV220" i="4"/>
  <c r="C298" i="4"/>
  <c r="AV554" i="4"/>
  <c r="AV591" i="4" s="1"/>
  <c r="AC4" i="9"/>
  <c r="AV729" i="4"/>
  <c r="G444" i="4"/>
  <c r="G437" i="4"/>
  <c r="AV490" i="4"/>
  <c r="H516" i="4"/>
  <c r="H485" i="4"/>
  <c r="AV144" i="4"/>
  <c r="AV137" i="4"/>
  <c r="AT516" i="4"/>
  <c r="I463" i="3"/>
  <c r="I466" i="3"/>
  <c r="I482" i="3" s="1"/>
  <c r="I506" i="3" s="1"/>
  <c r="BB459" i="3"/>
  <c r="I272" i="3"/>
  <c r="BB272" i="3" s="1"/>
  <c r="BB264" i="3" s="1"/>
  <c r="BB274" i="3" s="1"/>
  <c r="I160" i="3"/>
  <c r="I154" i="3"/>
  <c r="W96" i="14"/>
  <c r="J91" i="3"/>
  <c r="I41" i="4"/>
  <c r="V96" i="14"/>
  <c r="J101" i="3"/>
  <c r="K93" i="3"/>
  <c r="J520" i="3"/>
  <c r="J521" i="3"/>
  <c r="AV108" i="4"/>
  <c r="AV143" i="4" s="1"/>
  <c r="AV66" i="4"/>
  <c r="AV71" i="4"/>
  <c r="AV223" i="4"/>
  <c r="AV222" i="4"/>
  <c r="AV723" i="4"/>
  <c r="AV730" i="4"/>
  <c r="AV695" i="4"/>
  <c r="BB350" i="3"/>
  <c r="BB351" i="3" s="1"/>
  <c r="I351" i="3"/>
  <c r="I456" i="3"/>
  <c r="I424" i="3"/>
  <c r="BB424" i="3" s="1"/>
  <c r="BB444" i="3" s="1"/>
  <c r="J345" i="3"/>
  <c r="J349" i="3" s="1"/>
  <c r="C415" i="4"/>
  <c r="G443" i="4"/>
  <c r="G68" i="4" s="1"/>
  <c r="G70" i="4" s="1"/>
  <c r="S730" i="4"/>
  <c r="J62" i="6" l="1"/>
  <c r="J83" i="6" s="1"/>
  <c r="AJ135" i="4"/>
  <c r="AK135" i="4" s="1"/>
  <c r="AL135" i="4" s="1"/>
  <c r="AM135" i="4" s="1"/>
  <c r="AN135" i="4" s="1"/>
  <c r="AO135" i="4" s="1"/>
  <c r="AP135" i="4" s="1"/>
  <c r="AQ135" i="4" s="1"/>
  <c r="AR135" i="4" s="1"/>
  <c r="J96" i="6"/>
  <c r="J76" i="6"/>
  <c r="J30" i="6"/>
  <c r="J37" i="6"/>
  <c r="L21" i="6"/>
  <c r="J36" i="6"/>
  <c r="J74" i="6"/>
  <c r="J57" i="6"/>
  <c r="J127" i="6"/>
  <c r="J41" i="6"/>
  <c r="I14" i="6"/>
  <c r="I114" i="6" s="1"/>
  <c r="J22" i="6"/>
  <c r="J20" i="6"/>
  <c r="J21" i="6" s="1"/>
  <c r="Z2" i="32"/>
  <c r="Y3" i="32"/>
  <c r="AJ327" i="4"/>
  <c r="BJ327" i="4" s="1"/>
  <c r="AK292" i="4"/>
  <c r="AL292" i="4" s="1"/>
  <c r="AM292" i="4" s="1"/>
  <c r="AN292" i="4" s="1"/>
  <c r="AO292" i="4" s="1"/>
  <c r="AP292" i="4" s="1"/>
  <c r="AQ292" i="4" s="1"/>
  <c r="AR292" i="4" s="1"/>
  <c r="AJ251" i="4"/>
  <c r="AJ175" i="4"/>
  <c r="AP1" i="3"/>
  <c r="AJ319" i="4"/>
  <c r="AJ229" i="4"/>
  <c r="AK229" i="4" s="1"/>
  <c r="AL229" i="4" s="1"/>
  <c r="AM229" i="4" s="1"/>
  <c r="AN229" i="4" s="1"/>
  <c r="AO229" i="4" s="1"/>
  <c r="AP229" i="4" s="1"/>
  <c r="AQ229" i="4" s="1"/>
  <c r="AR229" i="4" s="1"/>
  <c r="AI277" i="4"/>
  <c r="AL126" i="4"/>
  <c r="AJ674" i="4"/>
  <c r="BJ668" i="4"/>
  <c r="BJ714" i="4" s="1"/>
  <c r="Z3" i="28"/>
  <c r="AA2" i="28"/>
  <c r="V157" i="28"/>
  <c r="V76" i="28" s="1"/>
  <c r="AL5" i="4"/>
  <c r="AM2" i="4"/>
  <c r="I46" i="6"/>
  <c r="I51" i="6"/>
  <c r="BI309" i="4"/>
  <c r="BI353" i="4" s="1"/>
  <c r="AM3" i="4"/>
  <c r="AN29" i="3"/>
  <c r="AN479" i="3" s="1"/>
  <c r="AN503" i="3" s="1"/>
  <c r="AN56" i="3"/>
  <c r="AN33" i="3"/>
  <c r="AN13" i="3"/>
  <c r="AN12" i="3"/>
  <c r="AN18" i="3" s="1"/>
  <c r="AN11" i="3"/>
  <c r="AN17" i="3" s="1"/>
  <c r="AN10" i="3"/>
  <c r="AN16" i="3" s="1"/>
  <c r="AO3" i="3"/>
  <c r="AO2" i="3"/>
  <c r="AN1" i="4"/>
  <c r="AO545" i="3"/>
  <c r="BR545" i="3" s="1"/>
  <c r="BR543" i="3"/>
  <c r="AP543" i="3"/>
  <c r="AP545" i="3" s="1"/>
  <c r="AQ542" i="3"/>
  <c r="AR542" i="3" s="1"/>
  <c r="BI384" i="4"/>
  <c r="BI385" i="4"/>
  <c r="BI16" i="4"/>
  <c r="BN64" i="3"/>
  <c r="C7" i="33" s="1"/>
  <c r="AM212" i="4"/>
  <c r="BN67" i="3"/>
  <c r="C9" i="33" s="1"/>
  <c r="BQ13" i="3"/>
  <c r="AM19" i="3"/>
  <c r="BQ19" i="3" s="1"/>
  <c r="AK5" i="4"/>
  <c r="BQ60" i="3"/>
  <c r="BQ33" i="3"/>
  <c r="BQ29" i="3"/>
  <c r="BQ479" i="3" s="1"/>
  <c r="BQ503" i="3" s="1"/>
  <c r="AI398" i="4"/>
  <c r="BI381" i="4"/>
  <c r="BI83" i="4"/>
  <c r="AO141" i="28" s="1"/>
  <c r="AO23" i="28" s="1"/>
  <c r="AM18" i="3"/>
  <c r="BQ18" i="3" s="1"/>
  <c r="BJ667" i="4"/>
  <c r="AI674" i="4"/>
  <c r="BQ10" i="3"/>
  <c r="AM16" i="3"/>
  <c r="BQ16" i="3" s="1"/>
  <c r="AI381" i="4"/>
  <c r="AI380" i="4" s="1"/>
  <c r="BQ11" i="3"/>
  <c r="AM17" i="3"/>
  <c r="BQ17" i="3" s="1"/>
  <c r="AI83" i="4"/>
  <c r="V141" i="28" s="1"/>
  <c r="V23" i="28" s="1"/>
  <c r="BQ56" i="3"/>
  <c r="AU444" i="4"/>
  <c r="AV590" i="4"/>
  <c r="C444" i="4"/>
  <c r="C441" i="4"/>
  <c r="D444" i="4"/>
  <c r="BB359" i="3"/>
  <c r="BB339" i="3"/>
  <c r="K86" i="3"/>
  <c r="I66" i="4"/>
  <c r="I490" i="4"/>
  <c r="I71" i="4"/>
  <c r="BB160" i="3"/>
  <c r="BB162" i="3" s="1"/>
  <c r="BB154" i="3" s="1"/>
  <c r="BB164" i="3" s="1"/>
  <c r="I450" i="3"/>
  <c r="BB450" i="3" s="1"/>
  <c r="BB454" i="3" s="1"/>
  <c r="BB456" i="3" s="1"/>
  <c r="BB466" i="3"/>
  <c r="BB463" i="3"/>
  <c r="I484" i="3"/>
  <c r="BB484" i="3" s="1"/>
  <c r="I467" i="3"/>
  <c r="I483" i="3" s="1"/>
  <c r="I507" i="3" s="1"/>
  <c r="I523" i="3"/>
  <c r="I522" i="3"/>
  <c r="I581" i="3" s="1"/>
  <c r="AV109" i="4"/>
  <c r="AV516" i="4"/>
  <c r="I359" i="3"/>
  <c r="I339" i="3"/>
  <c r="AV732" i="4"/>
  <c r="AV731" i="4"/>
  <c r="W99" i="14"/>
  <c r="V292" i="14"/>
  <c r="J459" i="3"/>
  <c r="J454" i="3"/>
  <c r="J444" i="3" s="1"/>
  <c r="V101" i="14" s="1"/>
  <c r="V99" i="14"/>
  <c r="W292" i="14"/>
  <c r="J350" i="3"/>
  <c r="J162" i="3"/>
  <c r="I164" i="3"/>
  <c r="I143" i="3"/>
  <c r="H483" i="4"/>
  <c r="H484" i="4" s="1"/>
  <c r="H410" i="4"/>
  <c r="AJ97" i="4" l="1"/>
  <c r="AL175" i="4"/>
  <c r="I37" i="6"/>
  <c r="I50" i="6"/>
  <c r="I96" i="6"/>
  <c r="I20" i="6"/>
  <c r="I21" i="6" s="1"/>
  <c r="I24" i="6"/>
  <c r="I86" i="6"/>
  <c r="I76" i="6"/>
  <c r="I30" i="6"/>
  <c r="I40" i="6"/>
  <c r="H14" i="6"/>
  <c r="I54" i="6"/>
  <c r="I127" i="6"/>
  <c r="I118" i="6"/>
  <c r="I119" i="6"/>
  <c r="I85" i="6"/>
  <c r="I78" i="6"/>
  <c r="I115" i="6"/>
  <c r="I120" i="6"/>
  <c r="I41" i="6"/>
  <c r="I77" i="6"/>
  <c r="I22" i="6"/>
  <c r="I36" i="6"/>
  <c r="I124" i="6"/>
  <c r="I57" i="6"/>
  <c r="I89" i="6"/>
  <c r="I74" i="6"/>
  <c r="I117" i="6"/>
  <c r="I62" i="6"/>
  <c r="I66" i="6" s="1"/>
  <c r="AJ230" i="4"/>
  <c r="BJ230" i="4" s="1"/>
  <c r="BJ229" i="4" s="1"/>
  <c r="BJ277" i="4" s="1"/>
  <c r="BJ97" i="4"/>
  <c r="BJ135" i="4" s="1"/>
  <c r="BJ175" i="4"/>
  <c r="AJ398" i="4"/>
  <c r="AJ435" i="4" s="1"/>
  <c r="I88" i="6"/>
  <c r="I116" i="6"/>
  <c r="BJ251" i="4"/>
  <c r="AA2" i="32"/>
  <c r="Z3" i="32"/>
  <c r="AQ1" i="3"/>
  <c r="AK319" i="4"/>
  <c r="W157" i="28"/>
  <c r="W76" i="28" s="1"/>
  <c r="BJ319" i="4"/>
  <c r="AP157" i="28" s="1"/>
  <c r="AP76" i="28" s="1"/>
  <c r="AL327" i="4"/>
  <c r="AO26" i="28"/>
  <c r="AO25" i="28"/>
  <c r="V78" i="28"/>
  <c r="V79" i="28"/>
  <c r="V25" i="28"/>
  <c r="V26" i="28"/>
  <c r="AL251" i="4"/>
  <c r="AL668" i="4"/>
  <c r="AL230" i="4"/>
  <c r="AL97" i="4"/>
  <c r="AA3" i="28"/>
  <c r="AB2" i="28"/>
  <c r="AO5" i="3"/>
  <c r="BJ292" i="4"/>
  <c r="BJ364" i="4"/>
  <c r="AN2" i="4"/>
  <c r="AM126" i="4"/>
  <c r="BI380" i="4"/>
  <c r="AN5" i="3"/>
  <c r="AN19" i="3"/>
  <c r="AN3" i="4"/>
  <c r="AO56" i="3"/>
  <c r="AO13" i="3"/>
  <c r="AO12" i="3"/>
  <c r="AO18" i="3" s="1"/>
  <c r="AO11" i="3"/>
  <c r="AO17" i="3" s="1"/>
  <c r="AO10" i="3"/>
  <c r="BR10" i="3" s="1"/>
  <c r="AO33" i="3"/>
  <c r="AO29" i="3"/>
  <c r="AO479" i="3" s="1"/>
  <c r="AO503" i="3" s="1"/>
  <c r="AP2" i="3"/>
  <c r="AR543" i="3"/>
  <c r="AR545" i="3" s="1"/>
  <c r="AS542" i="3"/>
  <c r="AQ543" i="3"/>
  <c r="BS542" i="3"/>
  <c r="AP3" i="3"/>
  <c r="AO1" i="4"/>
  <c r="AN212" i="4"/>
  <c r="AI424" i="4"/>
  <c r="BK228" i="4"/>
  <c r="BK10" i="4"/>
  <c r="BK379" i="4"/>
  <c r="AK230" i="4"/>
  <c r="AK668" i="4"/>
  <c r="BK156" i="4"/>
  <c r="BK451" i="4"/>
  <c r="BK308" i="4"/>
  <c r="BK664" i="4"/>
  <c r="BK665" i="4" s="1"/>
  <c r="BK710" i="4" s="1"/>
  <c r="BK78" i="4"/>
  <c r="AK327" i="4"/>
  <c r="AK175" i="4"/>
  <c r="AK251" i="4"/>
  <c r="AK97" i="4"/>
  <c r="BJ713" i="4"/>
  <c r="BJ674" i="4"/>
  <c r="BI15" i="4"/>
  <c r="AI435" i="4"/>
  <c r="BI19" i="4"/>
  <c r="BI57" i="4" s="1"/>
  <c r="W101" i="14"/>
  <c r="AV484" i="4"/>
  <c r="H409" i="4"/>
  <c r="BB143" i="3"/>
  <c r="I253" i="3"/>
  <c r="W94" i="14"/>
  <c r="W95" i="14"/>
  <c r="J456" i="3"/>
  <c r="J424" i="3"/>
  <c r="V95" i="14"/>
  <c r="V94" i="14"/>
  <c r="BB467" i="3"/>
  <c r="BB523" i="3"/>
  <c r="BB522" i="3"/>
  <c r="BB581" i="3" s="1"/>
  <c r="I516" i="4"/>
  <c r="I485" i="4"/>
  <c r="J351" i="3"/>
  <c r="H446" i="4"/>
  <c r="H445" i="4"/>
  <c r="H73" i="4"/>
  <c r="H408" i="4"/>
  <c r="H512" i="4"/>
  <c r="AV483" i="4"/>
  <c r="AV512" i="4" s="1"/>
  <c r="J154" i="3"/>
  <c r="J160" i="3"/>
  <c r="J450" i="3" s="1"/>
  <c r="J272" i="3"/>
  <c r="J463" i="3"/>
  <c r="J466" i="3"/>
  <c r="AV145" i="4"/>
  <c r="AV146" i="4"/>
  <c r="BB482" i="3"/>
  <c r="BB506" i="3" s="1"/>
  <c r="K88" i="3"/>
  <c r="K94" i="3" s="1"/>
  <c r="K343" i="3"/>
  <c r="BC86" i="3"/>
  <c r="BC88" i="3" s="1"/>
  <c r="I67" i="6" l="1"/>
  <c r="I65" i="6"/>
  <c r="I64" i="6"/>
  <c r="I83" i="6"/>
  <c r="I82" i="6"/>
  <c r="I63" i="6"/>
  <c r="I87" i="6"/>
  <c r="BJ398" i="4"/>
  <c r="BJ435" i="4" s="1"/>
  <c r="BJ361" i="4"/>
  <c r="I90" i="6"/>
  <c r="BJ212" i="4"/>
  <c r="AB2" i="32"/>
  <c r="AA3" i="32"/>
  <c r="W78" i="28"/>
  <c r="W79" i="28"/>
  <c r="AL319" i="4"/>
  <c r="X157" i="28"/>
  <c r="X76" i="28" s="1"/>
  <c r="AR1" i="3"/>
  <c r="AL398" i="4"/>
  <c r="AL435" i="4" s="1"/>
  <c r="BK668" i="4"/>
  <c r="BK714" i="4" s="1"/>
  <c r="BK230" i="4"/>
  <c r="BK229" i="4" s="1"/>
  <c r="AP79" i="28"/>
  <c r="AP78" i="28"/>
  <c r="AB3" i="28"/>
  <c r="AC2" i="28"/>
  <c r="AM5" i="4"/>
  <c r="AN5" i="4"/>
  <c r="BK97" i="4"/>
  <c r="BK175" i="4"/>
  <c r="BK251" i="4"/>
  <c r="BR13" i="3"/>
  <c r="AN126" i="4"/>
  <c r="BR56" i="3"/>
  <c r="BR33" i="3"/>
  <c r="BR17" i="3"/>
  <c r="BR60" i="3"/>
  <c r="BR18" i="3"/>
  <c r="BR29" i="3"/>
  <c r="BR479" i="3" s="1"/>
  <c r="BR503" i="3" s="1"/>
  <c r="AO19" i="3"/>
  <c r="BR19" i="3" s="1"/>
  <c r="BR12" i="3"/>
  <c r="BR11" i="3"/>
  <c r="AO16" i="3"/>
  <c r="BR16" i="3" s="1"/>
  <c r="AO3" i="4"/>
  <c r="AP56" i="3"/>
  <c r="AP13" i="3"/>
  <c r="AP12" i="3"/>
  <c r="AP18" i="3" s="1"/>
  <c r="AP11" i="3"/>
  <c r="AP17" i="3" s="1"/>
  <c r="AP10" i="3"/>
  <c r="AP16" i="3" s="1"/>
  <c r="AP33" i="3"/>
  <c r="AP29" i="3"/>
  <c r="AP479" i="3" s="1"/>
  <c r="AP503" i="3" s="1"/>
  <c r="AS543" i="3"/>
  <c r="BT542" i="3"/>
  <c r="AQ2" i="3"/>
  <c r="AQ3" i="3"/>
  <c r="AP1" i="4"/>
  <c r="AQ545" i="3"/>
  <c r="BS545" i="3" s="1"/>
  <c r="BS543" i="3"/>
  <c r="BO64" i="3"/>
  <c r="D7" i="33" s="1"/>
  <c r="AO2" i="4"/>
  <c r="AO212" i="4"/>
  <c r="BO67" i="3"/>
  <c r="D9" i="33" s="1"/>
  <c r="BK327" i="4"/>
  <c r="AK398" i="4"/>
  <c r="BC94" i="3"/>
  <c r="BC98" i="3" s="1"/>
  <c r="K98" i="3"/>
  <c r="J484" i="3"/>
  <c r="J467" i="3"/>
  <c r="J523" i="3"/>
  <c r="J522" i="3"/>
  <c r="J581" i="3" s="1"/>
  <c r="H444" i="4"/>
  <c r="H437" i="4"/>
  <c r="AV408" i="4"/>
  <c r="J339" i="3"/>
  <c r="J359" i="3"/>
  <c r="BB483" i="3"/>
  <c r="BB507" i="3" s="1"/>
  <c r="I264" i="3"/>
  <c r="I274" i="3" s="1"/>
  <c r="I4" i="3" s="1"/>
  <c r="BB253" i="3"/>
  <c r="H443" i="4"/>
  <c r="H68" i="4" s="1"/>
  <c r="H70" i="4" s="1"/>
  <c r="AV409" i="4"/>
  <c r="K345" i="3"/>
  <c r="K349" i="3" s="1"/>
  <c r="BC343" i="3"/>
  <c r="BC345" i="3" s="1"/>
  <c r="BC349" i="3" s="1"/>
  <c r="V331" i="14"/>
  <c r="V281" i="14" s="1"/>
  <c r="W331" i="14"/>
  <c r="W281" i="14" s="1"/>
  <c r="J482" i="3"/>
  <c r="J506" i="3" s="1"/>
  <c r="J164" i="3"/>
  <c r="J143" i="3"/>
  <c r="J253" i="3" s="1"/>
  <c r="J264" i="3" s="1"/>
  <c r="J274" i="3" s="1"/>
  <c r="I410" i="4"/>
  <c r="I483" i="4"/>
  <c r="AV485" i="4"/>
  <c r="AV519" i="4" s="1"/>
  <c r="AN97" i="4" l="1"/>
  <c r="I91" i="6"/>
  <c r="AC2" i="32"/>
  <c r="AB3" i="32"/>
  <c r="AS1" i="3"/>
  <c r="X79" i="28"/>
  <c r="X78" i="28"/>
  <c r="BK319" i="4"/>
  <c r="BO319" i="4" s="1"/>
  <c r="AM319" i="4"/>
  <c r="Y157" i="28"/>
  <c r="Y76" i="28" s="1"/>
  <c r="AN327" i="4"/>
  <c r="AM251" i="4"/>
  <c r="AC3" i="28"/>
  <c r="AD2" i="28"/>
  <c r="AM175" i="4"/>
  <c r="BL664" i="4"/>
  <c r="BL665" i="4" s="1"/>
  <c r="BL710" i="4" s="1"/>
  <c r="AM97" i="4"/>
  <c r="AM668" i="4"/>
  <c r="BL668" i="4" s="1"/>
  <c r="BL714" i="4" s="1"/>
  <c r="BL156" i="4"/>
  <c r="AM230" i="4"/>
  <c r="AM327" i="4"/>
  <c r="BK292" i="4"/>
  <c r="AN668" i="4"/>
  <c r="AN230" i="4"/>
  <c r="BL78" i="4"/>
  <c r="BL379" i="4"/>
  <c r="BK364" i="4"/>
  <c r="BL451" i="4"/>
  <c r="BL228" i="4"/>
  <c r="BK212" i="4"/>
  <c r="AN251" i="4"/>
  <c r="BL10" i="4"/>
  <c r="BK135" i="4"/>
  <c r="BL308" i="4"/>
  <c r="AN175" i="4"/>
  <c r="BM664" i="4"/>
  <c r="BM665" i="4" s="1"/>
  <c r="BM710" i="4" s="1"/>
  <c r="AO126" i="4"/>
  <c r="AP19" i="3"/>
  <c r="AP3" i="4"/>
  <c r="AQ13" i="3"/>
  <c r="AQ12" i="3"/>
  <c r="BS12" i="3" s="1"/>
  <c r="AQ11" i="3"/>
  <c r="BS11" i="3" s="1"/>
  <c r="AQ10" i="3"/>
  <c r="BS10" i="3" s="1"/>
  <c r="AQ33" i="3"/>
  <c r="AQ29" i="3"/>
  <c r="AQ479" i="3" s="1"/>
  <c r="AQ503" i="3" s="1"/>
  <c r="AQ56" i="3"/>
  <c r="AP5" i="3"/>
  <c r="AQ5" i="3"/>
  <c r="AS545" i="3"/>
  <c r="BT545" i="3" s="1"/>
  <c r="BT543" i="3"/>
  <c r="AP2" i="4"/>
  <c r="AQ1" i="4"/>
  <c r="AR3" i="3"/>
  <c r="AR2" i="3"/>
  <c r="AP212" i="4"/>
  <c r="BK277" i="4"/>
  <c r="AK435" i="4"/>
  <c r="BK398" i="4"/>
  <c r="BK435" i="4" s="1"/>
  <c r="AV443" i="4"/>
  <c r="AV69" i="4" s="1"/>
  <c r="I512" i="4"/>
  <c r="I408" i="4"/>
  <c r="V332" i="14"/>
  <c r="V294" i="14" s="1"/>
  <c r="W332" i="14"/>
  <c r="W294" i="14" s="1"/>
  <c r="J483" i="3"/>
  <c r="J507" i="3" s="1"/>
  <c r="L93" i="3"/>
  <c r="L86" i="3" s="1"/>
  <c r="J41" i="4"/>
  <c r="K91" i="3"/>
  <c r="K101" i="3"/>
  <c r="K520" i="3"/>
  <c r="K521" i="3"/>
  <c r="I484" i="4"/>
  <c r="I446" i="4"/>
  <c r="I73" i="4"/>
  <c r="I445" i="4"/>
  <c r="J4" i="3"/>
  <c r="AV444" i="4"/>
  <c r="AV437" i="4"/>
  <c r="AV410" i="4"/>
  <c r="BC91" i="3"/>
  <c r="BD93" i="3"/>
  <c r="BC101" i="3"/>
  <c r="BC520" i="3"/>
  <c r="BC521" i="3"/>
  <c r="S153" i="4"/>
  <c r="BL97" i="4" l="1"/>
  <c r="AN398" i="4"/>
  <c r="AN435" i="4" s="1"/>
  <c r="BL327" i="4"/>
  <c r="AC3" i="32"/>
  <c r="AD2" i="32"/>
  <c r="BK361" i="4"/>
  <c r="AQ157" i="28"/>
  <c r="AQ76" i="28" s="1"/>
  <c r="Z157" i="28"/>
  <c r="Z76" i="28" s="1"/>
  <c r="AN319" i="4"/>
  <c r="Y78" i="28"/>
  <c r="Y79" i="28"/>
  <c r="BL175" i="4"/>
  <c r="AE2" i="28"/>
  <c r="AD3" i="28"/>
  <c r="AM398" i="4"/>
  <c r="AM435" i="4" s="1"/>
  <c r="BM668" i="4"/>
  <c r="BM714" i="4" s="1"/>
  <c r="BL230" i="4"/>
  <c r="BL229" i="4" s="1"/>
  <c r="BL277" i="4" s="1"/>
  <c r="BL251" i="4"/>
  <c r="AP5" i="4"/>
  <c r="AO5" i="4"/>
  <c r="BL135" i="4"/>
  <c r="AP126" i="4"/>
  <c r="BS13" i="3"/>
  <c r="M96" i="14"/>
  <c r="AQ18" i="3"/>
  <c r="BS18" i="3" s="1"/>
  <c r="AQ17" i="3"/>
  <c r="BS17" i="3" s="1"/>
  <c r="BS33" i="3"/>
  <c r="T53" i="9" s="1"/>
  <c r="AQ16" i="3"/>
  <c r="BS16" i="3" s="1"/>
  <c r="K25" i="14"/>
  <c r="AR33" i="3"/>
  <c r="AR29" i="3"/>
  <c r="AR479" i="3" s="1"/>
  <c r="AR503" i="3" s="1"/>
  <c r="AR13" i="3"/>
  <c r="AR11" i="3"/>
  <c r="AR10" i="3"/>
  <c r="AR16" i="3" s="1"/>
  <c r="AR56" i="3"/>
  <c r="AR12" i="3"/>
  <c r="AR18" i="3" s="1"/>
  <c r="F95" i="14"/>
  <c r="BS56" i="3"/>
  <c r="BS60" i="3"/>
  <c r="AQ19" i="3"/>
  <c r="BS19" i="3" s="1"/>
  <c r="N72" i="14"/>
  <c r="BS29" i="3"/>
  <c r="BS479" i="3" s="1"/>
  <c r="BS503" i="3" s="1"/>
  <c r="F101" i="14"/>
  <c r="G223" i="14"/>
  <c r="L24" i="14"/>
  <c r="D18" i="9"/>
  <c r="Q317" i="14"/>
  <c r="P306" i="14"/>
  <c r="I46" i="14"/>
  <c r="N25" i="14"/>
  <c r="AP668" i="4"/>
  <c r="AR1" i="4"/>
  <c r="AS3" i="3"/>
  <c r="AS2" i="3"/>
  <c r="N290" i="14"/>
  <c r="G25" i="8"/>
  <c r="H300" i="14"/>
  <c r="AG72" i="14"/>
  <c r="P300" i="14"/>
  <c r="J14" i="14"/>
  <c r="P303" i="14"/>
  <c r="O223" i="14"/>
  <c r="H298" i="14"/>
  <c r="M307" i="14"/>
  <c r="M309" i="14" s="1"/>
  <c r="AH222" i="14"/>
  <c r="I222" i="14"/>
  <c r="S300" i="14"/>
  <c r="P317" i="14"/>
  <c r="Q33" i="14"/>
  <c r="Q16" i="14"/>
  <c r="K306" i="14"/>
  <c r="I299" i="14"/>
  <c r="I291" i="14"/>
  <c r="P25" i="14"/>
  <c r="I243" i="14"/>
  <c r="F310" i="14"/>
  <c r="R222" i="14"/>
  <c r="K288" i="14"/>
  <c r="AH190" i="14"/>
  <c r="J289" i="14"/>
  <c r="O282" i="14"/>
  <c r="M12" i="8"/>
  <c r="AI118" i="14"/>
  <c r="F288" i="14"/>
  <c r="F27" i="8"/>
  <c r="J213" i="14"/>
  <c r="J237" i="14" s="1"/>
  <c r="Q313" i="14"/>
  <c r="F45" i="14"/>
  <c r="J96" i="14"/>
  <c r="I35" i="14"/>
  <c r="J316" i="14"/>
  <c r="R28" i="14"/>
  <c r="N45" i="14"/>
  <c r="AG318" i="14"/>
  <c r="N307" i="14"/>
  <c r="N309" i="14" s="1"/>
  <c r="K300" i="14"/>
  <c r="J241" i="14"/>
  <c r="M288" i="14"/>
  <c r="K94" i="14"/>
  <c r="I33" i="14"/>
  <c r="K316" i="14"/>
  <c r="AG299" i="14"/>
  <c r="N241" i="14"/>
  <c r="AG222" i="14"/>
  <c r="G213" i="14"/>
  <c r="G237" i="14" s="1"/>
  <c r="T98" i="14"/>
  <c r="O168" i="14"/>
  <c r="AH241" i="14"/>
  <c r="Q285" i="14"/>
  <c r="M39" i="8"/>
  <c r="S304" i="14"/>
  <c r="AI300" i="14"/>
  <c r="I307" i="14"/>
  <c r="I309" i="14" s="1"/>
  <c r="AI45" i="14"/>
  <c r="O290" i="14"/>
  <c r="I25" i="14"/>
  <c r="Q315" i="14"/>
  <c r="N316" i="14"/>
  <c r="F98" i="14"/>
  <c r="G298" i="14"/>
  <c r="L16" i="14"/>
  <c r="N299" i="14"/>
  <c r="O299" i="14"/>
  <c r="I303" i="14"/>
  <c r="S97" i="14"/>
  <c r="I316" i="14"/>
  <c r="H304" i="14"/>
  <c r="N46" i="14"/>
  <c r="R316" i="14"/>
  <c r="Q310" i="14"/>
  <c r="F97" i="14"/>
  <c r="M310" i="14"/>
  <c r="N220" i="14"/>
  <c r="F25" i="8"/>
  <c r="P98" i="14"/>
  <c r="AG283" i="14"/>
  <c r="I285" i="14"/>
  <c r="G300" i="14"/>
  <c r="Q318" i="14"/>
  <c r="P11" i="8"/>
  <c r="L249" i="14"/>
  <c r="K32" i="14"/>
  <c r="J221" i="14"/>
  <c r="O28" i="14"/>
  <c r="N291" i="14"/>
  <c r="G99" i="14"/>
  <c r="AG212" i="14"/>
  <c r="Q221" i="14"/>
  <c r="P14" i="14"/>
  <c r="H35" i="14"/>
  <c r="K292" i="14"/>
  <c r="P32" i="8"/>
  <c r="F331" i="14"/>
  <c r="F281" i="14" s="1"/>
  <c r="Q303" i="14"/>
  <c r="AG317" i="14"/>
  <c r="P291" i="14"/>
  <c r="T306" i="14"/>
  <c r="I315" i="14"/>
  <c r="H33" i="14"/>
  <c r="N25" i="8"/>
  <c r="L292" i="14"/>
  <c r="M298" i="14"/>
  <c r="F292" i="14"/>
  <c r="N12" i="8"/>
  <c r="AH220" i="14"/>
  <c r="M285" i="14"/>
  <c r="AG220" i="14"/>
  <c r="Q25" i="14"/>
  <c r="W59" i="9"/>
  <c r="M16" i="14"/>
  <c r="J95" i="14"/>
  <c r="H221" i="14"/>
  <c r="H22" i="14"/>
  <c r="Q16" i="8"/>
  <c r="O16" i="8"/>
  <c r="O213" i="14"/>
  <c r="O237" i="14" s="1"/>
  <c r="O24" i="14"/>
  <c r="S118" i="14"/>
  <c r="AG315" i="14"/>
  <c r="H24" i="14"/>
  <c r="AH304" i="14"/>
  <c r="Q304" i="14"/>
  <c r="Q97" i="14"/>
  <c r="M222" i="14"/>
  <c r="AG249" i="14"/>
  <c r="F318" i="14"/>
  <c r="K291" i="14"/>
  <c r="T45" i="14"/>
  <c r="R317" i="14"/>
  <c r="M302" i="14"/>
  <c r="J25" i="14"/>
  <c r="N11" i="8"/>
  <c r="I314" i="14"/>
  <c r="J98" i="14"/>
  <c r="O314" i="14"/>
  <c r="J33" i="14"/>
  <c r="H98" i="14"/>
  <c r="I74" i="14"/>
  <c r="H16" i="14"/>
  <c r="J331" i="14"/>
  <c r="J281" i="14" s="1"/>
  <c r="I332" i="14"/>
  <c r="I294" i="14" s="1"/>
  <c r="P25" i="8"/>
  <c r="J32" i="14"/>
  <c r="S221" i="14"/>
  <c r="S213" i="14"/>
  <c r="S237" i="14" s="1"/>
  <c r="N35" i="14"/>
  <c r="O72" i="14"/>
  <c r="L243" i="14"/>
  <c r="K220" i="14"/>
  <c r="P307" i="14"/>
  <c r="P309" i="14" s="1"/>
  <c r="J303" i="14"/>
  <c r="Q118" i="14"/>
  <c r="R118" i="14"/>
  <c r="AG300" i="14"/>
  <c r="Q35" i="14"/>
  <c r="K283" i="14"/>
  <c r="G307" i="14"/>
  <c r="G309" i="14" s="1"/>
  <c r="N289" i="14"/>
  <c r="M14" i="14"/>
  <c r="K241" i="14"/>
  <c r="Q298" i="14"/>
  <c r="M32" i="14"/>
  <c r="S222" i="14"/>
  <c r="O315" i="14"/>
  <c r="L316" i="14"/>
  <c r="L28" i="14"/>
  <c r="AG241" i="14"/>
  <c r="S249" i="14"/>
  <c r="M221" i="14"/>
  <c r="O307" i="14"/>
  <c r="O309" i="14" s="1"/>
  <c r="S299" i="14"/>
  <c r="O220" i="14"/>
  <c r="P24" i="14"/>
  <c r="O300" i="14"/>
  <c r="I300" i="14"/>
  <c r="J23" i="8"/>
  <c r="O291" i="14"/>
  <c r="AH168" i="14"/>
  <c r="P32" i="14"/>
  <c r="K99" i="14"/>
  <c r="N317" i="14"/>
  <c r="AH314" i="14"/>
  <c r="F23" i="14"/>
  <c r="K95" i="14"/>
  <c r="J310" i="14"/>
  <c r="I331" i="14"/>
  <c r="I281" i="14" s="1"/>
  <c r="K222" i="14"/>
  <c r="O16" i="14"/>
  <c r="K22" i="9"/>
  <c r="M25" i="14"/>
  <c r="H310" i="14"/>
  <c r="O222" i="14"/>
  <c r="F118" i="14"/>
  <c r="G220" i="14"/>
  <c r="AI249" i="14"/>
  <c r="N243" i="14"/>
  <c r="L95" i="14"/>
  <c r="S241" i="14"/>
  <c r="J300" i="14"/>
  <c r="J25" i="8"/>
  <c r="N300" i="14"/>
  <c r="AG316" i="14"/>
  <c r="I190" i="14"/>
  <c r="Q249" i="14"/>
  <c r="K28" i="14"/>
  <c r="AH300" i="14"/>
  <c r="H285" i="14"/>
  <c r="I282" i="14"/>
  <c r="AH318" i="14"/>
  <c r="M29" i="8"/>
  <c r="I95" i="14"/>
  <c r="Q45" i="14"/>
  <c r="K285" i="14"/>
  <c r="R72" i="14"/>
  <c r="T213" i="14"/>
  <c r="T237" i="14" s="1"/>
  <c r="F241" i="14"/>
  <c r="P222" i="14"/>
  <c r="E320" i="14"/>
  <c r="H291" i="14"/>
  <c r="F221" i="14"/>
  <c r="R306" i="14"/>
  <c r="M289" i="14"/>
  <c r="R221" i="14"/>
  <c r="L315" i="14"/>
  <c r="T168" i="14"/>
  <c r="H318" i="14"/>
  <c r="AH223" i="14"/>
  <c r="G332" i="14"/>
  <c r="G294" i="14" s="1"/>
  <c r="J290" i="14"/>
  <c r="AH72" i="14"/>
  <c r="M25" i="8"/>
  <c r="AI212" i="14"/>
  <c r="P212" i="14"/>
  <c r="H299" i="14"/>
  <c r="K16" i="14"/>
  <c r="G299" i="14"/>
  <c r="AG314" i="14"/>
  <c r="E11" i="14"/>
  <c r="AG45" i="14"/>
  <c r="M168" i="14"/>
  <c r="I94" i="14"/>
  <c r="P168" i="14"/>
  <c r="AH118" i="14"/>
  <c r="H94" i="14"/>
  <c r="G39" i="14"/>
  <c r="M190" i="14"/>
  <c r="O45" i="14"/>
  <c r="J307" i="14"/>
  <c r="J309" i="14" s="1"/>
  <c r="AG28" i="14"/>
  <c r="K33" i="14"/>
  <c r="L222" i="14"/>
  <c r="P35" i="14"/>
  <c r="H223" i="14"/>
  <c r="J243" i="14"/>
  <c r="N285" i="14"/>
  <c r="K101" i="14"/>
  <c r="P16" i="8"/>
  <c r="F285" i="14"/>
  <c r="Q212" i="14"/>
  <c r="T222" i="14"/>
  <c r="S72" i="14"/>
  <c r="P302" i="14"/>
  <c r="L288" i="14"/>
  <c r="H23" i="14"/>
  <c r="N39" i="14"/>
  <c r="N16" i="14"/>
  <c r="P313" i="14"/>
  <c r="L285" i="14"/>
  <c r="H282" i="14"/>
  <c r="F315" i="14"/>
  <c r="AH317" i="14"/>
  <c r="M39" i="14"/>
  <c r="R74" i="14"/>
  <c r="T241" i="14"/>
  <c r="AI98" i="14"/>
  <c r="F212" i="14"/>
  <c r="P290" i="14"/>
  <c r="P243" i="14"/>
  <c r="I72" i="14"/>
  <c r="P39" i="8"/>
  <c r="T304" i="14"/>
  <c r="AH221" i="14"/>
  <c r="P289" i="14"/>
  <c r="P249" i="14"/>
  <c r="G74" i="14"/>
  <c r="G24" i="14"/>
  <c r="L101" i="14"/>
  <c r="H212" i="14"/>
  <c r="K45" i="14"/>
  <c r="G291" i="14"/>
  <c r="L282" i="14"/>
  <c r="L32" i="14"/>
  <c r="P72" i="14"/>
  <c r="AG168" i="14"/>
  <c r="K299" i="14"/>
  <c r="K317" i="14"/>
  <c r="M33" i="14"/>
  <c r="AH74" i="14"/>
  <c r="K223" i="14"/>
  <c r="M243" i="14"/>
  <c r="F23" i="8"/>
  <c r="F37" i="8" s="1"/>
  <c r="L99" i="14"/>
  <c r="K118" i="14"/>
  <c r="I25" i="8"/>
  <c r="P315" i="14"/>
  <c r="T72" i="14"/>
  <c r="J212" i="14"/>
  <c r="Q220" i="14"/>
  <c r="K72" i="14"/>
  <c r="M32" i="8"/>
  <c r="M74" i="14"/>
  <c r="Q316" i="14"/>
  <c r="H313" i="14"/>
  <c r="K168" i="14"/>
  <c r="H32" i="14"/>
  <c r="S212" i="14"/>
  <c r="F190" i="14"/>
  <c r="P316" i="14"/>
  <c r="R299" i="14"/>
  <c r="N221" i="14"/>
  <c r="J306" i="14"/>
  <c r="O74" i="14"/>
  <c r="I310" i="14"/>
  <c r="G315" i="14"/>
  <c r="K249" i="14"/>
  <c r="H288" i="14"/>
  <c r="P223" i="14"/>
  <c r="F222" i="14"/>
  <c r="I22" i="9"/>
  <c r="J314" i="14"/>
  <c r="G331" i="14"/>
  <c r="G281" i="14" s="1"/>
  <c r="J313" i="14"/>
  <c r="N223" i="14"/>
  <c r="L212" i="14"/>
  <c r="Q243" i="14"/>
  <c r="AH213" i="14"/>
  <c r="AH237" i="14" s="1"/>
  <c r="Q25" i="8"/>
  <c r="O32" i="8"/>
  <c r="N288" i="14"/>
  <c r="I249" i="14"/>
  <c r="K310" i="14"/>
  <c r="Q11" i="8"/>
  <c r="I97" i="14"/>
  <c r="AI283" i="14"/>
  <c r="G314" i="14"/>
  <c r="H243" i="14"/>
  <c r="N212" i="14"/>
  <c r="F220" i="14"/>
  <c r="N314" i="14"/>
  <c r="T315" i="14"/>
  <c r="H28" i="14"/>
  <c r="T283" i="14"/>
  <c r="F316" i="14"/>
  <c r="L307" i="14"/>
  <c r="L309" i="14" s="1"/>
  <c r="F1" i="8"/>
  <c r="H316" i="14"/>
  <c r="F39" i="14"/>
  <c r="O306" i="14"/>
  <c r="L221" i="14"/>
  <c r="P310" i="14"/>
  <c r="J317" i="14"/>
  <c r="G243" i="14"/>
  <c r="P33" i="14"/>
  <c r="T249" i="14"/>
  <c r="P45" i="14"/>
  <c r="M220" i="14"/>
  <c r="G302" i="14"/>
  <c r="H101" i="14"/>
  <c r="AI241" i="14"/>
  <c r="N303" i="14"/>
  <c r="F168" i="14"/>
  <c r="H302" i="14"/>
  <c r="G97" i="14"/>
  <c r="M11" i="8"/>
  <c r="F332" i="14"/>
  <c r="F294" i="14" s="1"/>
  <c r="I45" i="14"/>
  <c r="F317" i="14"/>
  <c r="N28" i="14"/>
  <c r="G33" i="14"/>
  <c r="P283" i="14"/>
  <c r="F25" i="14"/>
  <c r="K307" i="14"/>
  <c r="K309" i="14" s="1"/>
  <c r="Q307" i="14"/>
  <c r="Q309" i="14" s="1"/>
  <c r="AI282" i="14"/>
  <c r="H74" i="14"/>
  <c r="Q291" i="14"/>
  <c r="F99" i="14"/>
  <c r="AI299" i="14"/>
  <c r="D59" i="9"/>
  <c r="D16" i="9"/>
  <c r="L213" i="14"/>
  <c r="L237" i="14" s="1"/>
  <c r="AI220" i="14"/>
  <c r="AG243" i="14"/>
  <c r="P282" i="14"/>
  <c r="G304" i="14"/>
  <c r="H331" i="14"/>
  <c r="H281" i="14" s="1"/>
  <c r="P318" i="14"/>
  <c r="T28" i="14"/>
  <c r="F18" i="9"/>
  <c r="F21" i="9" s="1"/>
  <c r="I99" i="14"/>
  <c r="N39" i="8"/>
  <c r="O118" i="14"/>
  <c r="F14" i="14"/>
  <c r="O190" i="14"/>
  <c r="O316" i="14"/>
  <c r="AA59" i="9"/>
  <c r="J39" i="14"/>
  <c r="N168" i="14"/>
  <c r="Q22" i="14"/>
  <c r="I28" i="14"/>
  <c r="H249" i="14"/>
  <c r="N213" i="14"/>
  <c r="N237" i="14" s="1"/>
  <c r="G35" i="14"/>
  <c r="M46" i="14"/>
  <c r="G316" i="14"/>
  <c r="AH212" i="14"/>
  <c r="P314" i="14"/>
  <c r="I23" i="14"/>
  <c r="J16" i="14"/>
  <c r="G222" i="14"/>
  <c r="AH316" i="14"/>
  <c r="R318" i="14"/>
  <c r="G303" i="14"/>
  <c r="Q282" i="14"/>
  <c r="K190" i="14"/>
  <c r="L313" i="14"/>
  <c r="Q288" i="14"/>
  <c r="H45" i="14"/>
  <c r="N74" i="14"/>
  <c r="I289" i="14"/>
  <c r="G318" i="14"/>
  <c r="L290" i="14"/>
  <c r="L299" i="14"/>
  <c r="K213" i="14"/>
  <c r="K237" i="14" s="1"/>
  <c r="AG213" i="14"/>
  <c r="AG237" i="14" s="1"/>
  <c r="K39" i="14"/>
  <c r="J46" i="14"/>
  <c r="N97" i="14"/>
  <c r="M304" i="14"/>
  <c r="G190" i="14"/>
  <c r="I23" i="8"/>
  <c r="I37" i="8" s="1"/>
  <c r="J291" i="14"/>
  <c r="J302" i="14"/>
  <c r="F299" i="14"/>
  <c r="L22" i="14"/>
  <c r="K22" i="14"/>
  <c r="M314" i="14"/>
  <c r="F303" i="14"/>
  <c r="AH315" i="14"/>
  <c r="N24" i="14"/>
  <c r="G14" i="14"/>
  <c r="O33" i="14"/>
  <c r="S168" i="14"/>
  <c r="H303" i="14"/>
  <c r="F298" i="14"/>
  <c r="D20" i="9"/>
  <c r="J223" i="14"/>
  <c r="O243" i="14"/>
  <c r="P288" i="14"/>
  <c r="O288" i="14"/>
  <c r="N32" i="14"/>
  <c r="D13" i="9"/>
  <c r="G98" i="14"/>
  <c r="L190" i="14"/>
  <c r="M283" i="14"/>
  <c r="P22" i="14"/>
  <c r="F33" i="14"/>
  <c r="I220" i="14"/>
  <c r="P213" i="14"/>
  <c r="P237" i="14" s="1"/>
  <c r="J45" i="14"/>
  <c r="H46" i="14"/>
  <c r="AI72" i="14"/>
  <c r="I313" i="14"/>
  <c r="AH283" i="14"/>
  <c r="M315" i="14"/>
  <c r="J292" i="14"/>
  <c r="L220" i="14"/>
  <c r="Q222" i="14"/>
  <c r="F94" i="14"/>
  <c r="G283" i="14"/>
  <c r="P299" i="14"/>
  <c r="S190" i="14"/>
  <c r="K23" i="14"/>
  <c r="O285" i="14"/>
  <c r="H190" i="14"/>
  <c r="AG221" i="14"/>
  <c r="I118" i="14"/>
  <c r="AG282" i="14"/>
  <c r="F289" i="14"/>
  <c r="Q306" i="14"/>
  <c r="K243" i="14"/>
  <c r="K35" i="14"/>
  <c r="T282" i="14"/>
  <c r="Q72" i="14"/>
  <c r="AG97" i="14"/>
  <c r="T300" i="14"/>
  <c r="AI221" i="14"/>
  <c r="I318" i="14"/>
  <c r="S53" i="9"/>
  <c r="K46" i="14"/>
  <c r="H23" i="8"/>
  <c r="Q314" i="14"/>
  <c r="L223" i="14"/>
  <c r="S306" i="14"/>
  <c r="M299" i="14"/>
  <c r="N190" i="14"/>
  <c r="J74" i="14"/>
  <c r="H96" i="14"/>
  <c r="L168" i="14"/>
  <c r="AI213" i="14"/>
  <c r="AI237" i="14" s="1"/>
  <c r="G25" i="14"/>
  <c r="L310" i="14"/>
  <c r="F304" i="14"/>
  <c r="AI190" i="14"/>
  <c r="AI74" i="14"/>
  <c r="K303" i="14"/>
  <c r="O249" i="14"/>
  <c r="F72" i="14"/>
  <c r="I302" i="14"/>
  <c r="I16" i="14"/>
  <c r="R314" i="14"/>
  <c r="O317" i="14"/>
  <c r="X59" i="9"/>
  <c r="M26" i="8"/>
  <c r="M303" i="14"/>
  <c r="F36" i="9"/>
  <c r="K96" i="14"/>
  <c r="N315" i="14"/>
  <c r="H118" i="14"/>
  <c r="M300" i="14"/>
  <c r="G221" i="14"/>
  <c r="I317" i="14"/>
  <c r="O11" i="8"/>
  <c r="M23" i="14"/>
  <c r="K298" i="14"/>
  <c r="H168" i="14"/>
  <c r="H306" i="14"/>
  <c r="G241" i="14"/>
  <c r="F306" i="14"/>
  <c r="J222" i="14"/>
  <c r="M313" i="14"/>
  <c r="G46" i="14"/>
  <c r="J304" i="14"/>
  <c r="O12" i="8"/>
  <c r="G32" i="14"/>
  <c r="T97" i="14"/>
  <c r="S74" i="14"/>
  <c r="L72" i="14"/>
  <c r="J97" i="14"/>
  <c r="O221" i="14"/>
  <c r="J283" i="14"/>
  <c r="J32" i="9"/>
  <c r="D36" i="9"/>
  <c r="R243" i="14"/>
  <c r="K97" i="14"/>
  <c r="G22" i="14"/>
  <c r="M22" i="14"/>
  <c r="H25" i="14"/>
  <c r="P23" i="14"/>
  <c r="S98" i="14"/>
  <c r="L317" i="14"/>
  <c r="N22" i="14"/>
  <c r="R190" i="14"/>
  <c r="K290" i="14"/>
  <c r="K24" i="14"/>
  <c r="J318" i="14"/>
  <c r="AH299" i="14"/>
  <c r="I292" i="14"/>
  <c r="O25" i="8"/>
  <c r="S243" i="14"/>
  <c r="N318" i="14"/>
  <c r="F314" i="14"/>
  <c r="I221" i="14"/>
  <c r="AH282" i="14"/>
  <c r="Q290" i="14"/>
  <c r="F22" i="14"/>
  <c r="G101" i="14"/>
  <c r="T220" i="14"/>
  <c r="I98" i="14"/>
  <c r="P46" i="14"/>
  <c r="Q14" i="14"/>
  <c r="J220" i="14"/>
  <c r="G285" i="14"/>
  <c r="J288" i="14"/>
  <c r="N283" i="14"/>
  <c r="N302" i="14"/>
  <c r="G23" i="14"/>
  <c r="M290" i="14"/>
  <c r="G45" i="14"/>
  <c r="H72" i="14"/>
  <c r="Q223" i="14"/>
  <c r="K98" i="14"/>
  <c r="S45" i="14"/>
  <c r="AG190" i="14"/>
  <c r="R168" i="14"/>
  <c r="P241" i="14"/>
  <c r="M24" i="14"/>
  <c r="J168" i="14"/>
  <c r="O318" i="14"/>
  <c r="AI28" i="14"/>
  <c r="L45" i="14"/>
  <c r="N313" i="14"/>
  <c r="L302" i="14"/>
  <c r="M72" i="14"/>
  <c r="P221" i="14"/>
  <c r="AH98" i="14"/>
  <c r="Q12" i="8"/>
  <c r="L283" i="14"/>
  <c r="K14" i="14"/>
  <c r="K332" i="14"/>
  <c r="K294" i="14" s="1"/>
  <c r="F35" i="14"/>
  <c r="I290" i="14"/>
  <c r="AI243" i="14"/>
  <c r="P118" i="14"/>
  <c r="R98" i="14"/>
  <c r="K313" i="14"/>
  <c r="I22" i="14"/>
  <c r="AI223" i="14"/>
  <c r="L241" i="14"/>
  <c r="I288" i="14"/>
  <c r="AH28" i="14"/>
  <c r="G290" i="14"/>
  <c r="N249" i="14"/>
  <c r="AH306" i="14"/>
  <c r="L46" i="14"/>
  <c r="O22" i="14"/>
  <c r="P298" i="14"/>
  <c r="M28" i="14"/>
  <c r="Q32" i="8"/>
  <c r="J249" i="14"/>
  <c r="P304" i="14"/>
  <c r="AH249" i="14"/>
  <c r="O98" i="14"/>
  <c r="M241" i="14"/>
  <c r="AI304" i="14"/>
  <c r="H32" i="9"/>
  <c r="R282" i="14"/>
  <c r="AH243" i="14"/>
  <c r="O313" i="14"/>
  <c r="N306" i="14"/>
  <c r="K302" i="14"/>
  <c r="M16" i="8"/>
  <c r="I32" i="14"/>
  <c r="F16" i="14"/>
  <c r="I168" i="14"/>
  <c r="L98" i="14"/>
  <c r="Q283" i="14"/>
  <c r="AI97" i="14"/>
  <c r="M291" i="14"/>
  <c r="Q300" i="14"/>
  <c r="O241" i="14"/>
  <c r="F249" i="14"/>
  <c r="J118" i="14"/>
  <c r="Q299" i="14"/>
  <c r="S28" i="14"/>
  <c r="N222" i="14"/>
  <c r="I101" i="14"/>
  <c r="O97" i="14"/>
  <c r="J299" i="14"/>
  <c r="L14" i="14"/>
  <c r="K318" i="14"/>
  <c r="F302" i="14"/>
  <c r="K282" i="14"/>
  <c r="T190" i="14"/>
  <c r="H289" i="14"/>
  <c r="L303" i="14"/>
  <c r="F313" i="14"/>
  <c r="L35" i="14"/>
  <c r="Z59" i="9"/>
  <c r="F31" i="8"/>
  <c r="J23" i="14"/>
  <c r="AH45" i="14"/>
  <c r="Q39" i="8"/>
  <c r="G282" i="14"/>
  <c r="R212" i="14"/>
  <c r="N304" i="14"/>
  <c r="L25" i="14"/>
  <c r="I96" i="14"/>
  <c r="J72" i="14"/>
  <c r="F223" i="14"/>
  <c r="T243" i="14"/>
  <c r="R45" i="14"/>
  <c r="O32" i="14"/>
  <c r="O14" i="14"/>
  <c r="H59" i="9"/>
  <c r="L33" i="14"/>
  <c r="R223" i="14"/>
  <c r="O39" i="14"/>
  <c r="L23" i="14"/>
  <c r="Q53" i="9"/>
  <c r="G59" i="9"/>
  <c r="G32" i="9"/>
  <c r="J28" i="14"/>
  <c r="F22" i="9"/>
  <c r="T221" i="14"/>
  <c r="AH97" i="14"/>
  <c r="J24" i="14"/>
  <c r="O310" i="14"/>
  <c r="I223" i="14"/>
  <c r="L289" i="14"/>
  <c r="K212" i="14"/>
  <c r="Q213" i="14"/>
  <c r="Q237" i="14" s="1"/>
  <c r="S283" i="14"/>
  <c r="R53" i="9"/>
  <c r="J94" i="14"/>
  <c r="M98" i="14"/>
  <c r="I306" i="14"/>
  <c r="N14" i="14"/>
  <c r="AG98" i="14"/>
  <c r="L314" i="14"/>
  <c r="N16" i="8"/>
  <c r="G168" i="14"/>
  <c r="R304" i="14"/>
  <c r="K304" i="14"/>
  <c r="E324" i="14"/>
  <c r="O212" i="14"/>
  <c r="G310" i="14"/>
  <c r="H307" i="14"/>
  <c r="H309" i="14" s="1"/>
  <c r="AG74" i="14"/>
  <c r="H95" i="14"/>
  <c r="J22" i="14"/>
  <c r="I212" i="14"/>
  <c r="F24" i="14"/>
  <c r="S220" i="14"/>
  <c r="G22" i="9"/>
  <c r="M316" i="14"/>
  <c r="Q241" i="14"/>
  <c r="K74" i="14"/>
  <c r="E16" i="9"/>
  <c r="F283" i="14"/>
  <c r="J22" i="9"/>
  <c r="AG304" i="14"/>
  <c r="L118" i="14"/>
  <c r="F300" i="14"/>
  <c r="I14" i="14"/>
  <c r="M317" i="14"/>
  <c r="L94" i="14"/>
  <c r="F28" i="14"/>
  <c r="L318" i="14"/>
  <c r="G292" i="14"/>
  <c r="M318" i="14"/>
  <c r="O302" i="14"/>
  <c r="H241" i="14"/>
  <c r="G118" i="14"/>
  <c r="H314" i="14"/>
  <c r="R241" i="14"/>
  <c r="M45" i="14"/>
  <c r="M249" i="14"/>
  <c r="O289" i="14"/>
  <c r="P28" i="14"/>
  <c r="Q190" i="14"/>
  <c r="P97" i="14"/>
  <c r="F46" i="14"/>
  <c r="H317" i="14"/>
  <c r="J35" i="14"/>
  <c r="N282" i="14"/>
  <c r="D32" i="9"/>
  <c r="J285" i="14"/>
  <c r="S315" i="14"/>
  <c r="R249" i="14"/>
  <c r="N23" i="14"/>
  <c r="H332" i="14"/>
  <c r="H294" i="14" s="1"/>
  <c r="T299" i="14"/>
  <c r="I304" i="14"/>
  <c r="P53" i="9"/>
  <c r="G18" i="9"/>
  <c r="E18" i="9"/>
  <c r="S282" i="14"/>
  <c r="H290" i="14"/>
  <c r="N310" i="14"/>
  <c r="N22" i="9"/>
  <c r="E36" i="9"/>
  <c r="L332" i="14"/>
  <c r="L294" i="14" s="1"/>
  <c r="T118" i="14"/>
  <c r="E20" i="9"/>
  <c r="P12" i="8"/>
  <c r="K315" i="14"/>
  <c r="S223" i="14"/>
  <c r="L39" i="14"/>
  <c r="O298" i="14"/>
  <c r="M213" i="14"/>
  <c r="M237" i="14" s="1"/>
  <c r="AG306" i="14"/>
  <c r="H39" i="14"/>
  <c r="F32" i="14"/>
  <c r="AI306" i="14"/>
  <c r="M306" i="14"/>
  <c r="Y59" i="9"/>
  <c r="N26" i="8"/>
  <c r="L291" i="14"/>
  <c r="G317" i="14"/>
  <c r="O25" i="14"/>
  <c r="Q46" i="14"/>
  <c r="P285" i="14"/>
  <c r="O39" i="8"/>
  <c r="G212" i="14"/>
  <c r="I241" i="14"/>
  <c r="G289" i="14"/>
  <c r="K289" i="14"/>
  <c r="N118" i="14"/>
  <c r="Q39" i="14"/>
  <c r="Q302" i="14"/>
  <c r="J190" i="14"/>
  <c r="O46" i="14"/>
  <c r="J282" i="14"/>
  <c r="I283" i="14"/>
  <c r="I213" i="14"/>
  <c r="I237" i="14" s="1"/>
  <c r="N98" i="14"/>
  <c r="F213" i="14"/>
  <c r="F237" i="14" s="1"/>
  <c r="F59" i="9"/>
  <c r="H315" i="14"/>
  <c r="E10" i="14"/>
  <c r="G28" i="14"/>
  <c r="L331" i="14"/>
  <c r="L281" i="14" s="1"/>
  <c r="R315" i="14"/>
  <c r="F74" i="14"/>
  <c r="H14" i="14"/>
  <c r="H97" i="14"/>
  <c r="F96" i="14"/>
  <c r="K221" i="14"/>
  <c r="E59" i="9"/>
  <c r="O22" i="9"/>
  <c r="I298" i="14"/>
  <c r="L304" i="14"/>
  <c r="O283" i="14"/>
  <c r="AG118" i="14"/>
  <c r="H25" i="8"/>
  <c r="Q74" i="14"/>
  <c r="G288" i="14"/>
  <c r="L300" i="14"/>
  <c r="J298" i="14"/>
  <c r="H220" i="14"/>
  <c r="O304" i="14"/>
  <c r="G72" i="14"/>
  <c r="L306" i="14"/>
  <c r="H222" i="14"/>
  <c r="R213" i="14"/>
  <c r="R237" i="14" s="1"/>
  <c r="F307" i="14"/>
  <c r="F309" i="14" s="1"/>
  <c r="M22" i="9"/>
  <c r="K331" i="14"/>
  <c r="K281" i="14" s="1"/>
  <c r="G96" i="14"/>
  <c r="M212" i="14"/>
  <c r="G94" i="14"/>
  <c r="G249" i="14"/>
  <c r="Q28" i="14"/>
  <c r="R283" i="14"/>
  <c r="F290" i="14"/>
  <c r="H213" i="14"/>
  <c r="H237" i="14" s="1"/>
  <c r="M282" i="14"/>
  <c r="H292" i="14"/>
  <c r="O23" i="14"/>
  <c r="F291" i="14"/>
  <c r="G306" i="14"/>
  <c r="Q168" i="14"/>
  <c r="AI222" i="14"/>
  <c r="O303" i="14"/>
  <c r="E13" i="9"/>
  <c r="H22" i="9"/>
  <c r="F243" i="14"/>
  <c r="J332" i="14"/>
  <c r="J294" i="14" s="1"/>
  <c r="I59" i="9"/>
  <c r="G313" i="14"/>
  <c r="AG223" i="14"/>
  <c r="H99" i="14"/>
  <c r="L298" i="14"/>
  <c r="AI315" i="14"/>
  <c r="R220" i="14"/>
  <c r="L96" i="14"/>
  <c r="I32" i="9"/>
  <c r="N32" i="8"/>
  <c r="T212" i="14"/>
  <c r="L22" i="9"/>
  <c r="N33" i="14"/>
  <c r="Q98" i="14"/>
  <c r="I39" i="14"/>
  <c r="I24" i="14"/>
  <c r="AI168" i="14"/>
  <c r="G36" i="9"/>
  <c r="O35" i="14"/>
  <c r="P190" i="14"/>
  <c r="P220" i="14"/>
  <c r="G23" i="8"/>
  <c r="L74" i="14"/>
  <c r="K314" i="14"/>
  <c r="N298" i="14"/>
  <c r="T223" i="14"/>
  <c r="M223" i="14"/>
  <c r="Q32" i="14"/>
  <c r="H36" i="9"/>
  <c r="Q23" i="14"/>
  <c r="G16" i="14"/>
  <c r="L97" i="14"/>
  <c r="P16" i="14"/>
  <c r="Q289" i="14"/>
  <c r="G95" i="14"/>
  <c r="H283" i="14"/>
  <c r="E32" i="9"/>
  <c r="F282" i="14"/>
  <c r="M118" i="14"/>
  <c r="M35" i="14"/>
  <c r="R97" i="14"/>
  <c r="AQ3" i="4"/>
  <c r="Q24" i="14"/>
  <c r="M97" i="14"/>
  <c r="R300" i="14"/>
  <c r="AQ2" i="4"/>
  <c r="J315" i="14"/>
  <c r="F32" i="9"/>
  <c r="P39" i="14"/>
  <c r="AQ212" i="4"/>
  <c r="AV68" i="4"/>
  <c r="M292" i="14"/>
  <c r="M99" i="14"/>
  <c r="K454" i="3"/>
  <c r="K444" i="3" s="1"/>
  <c r="K162" i="3"/>
  <c r="K459" i="3"/>
  <c r="K350" i="3"/>
  <c r="L343" i="3"/>
  <c r="L88" i="3"/>
  <c r="L94" i="3" s="1"/>
  <c r="L98" i="3" s="1"/>
  <c r="I444" i="4"/>
  <c r="I437" i="4"/>
  <c r="AV445" i="4"/>
  <c r="AV446" i="4"/>
  <c r="AV73" i="4"/>
  <c r="I409" i="4"/>
  <c r="I443" i="4" s="1"/>
  <c r="I68" i="4" s="1"/>
  <c r="I70" i="4" s="1"/>
  <c r="J66" i="4"/>
  <c r="J490" i="4"/>
  <c r="AW41" i="4"/>
  <c r="J71" i="4"/>
  <c r="AT201" i="4"/>
  <c r="AP230" i="4" l="1"/>
  <c r="BL364" i="4"/>
  <c r="BL292" i="4"/>
  <c r="BL212" i="4"/>
  <c r="AD3" i="32"/>
  <c r="AO319" i="4"/>
  <c r="AA157" i="28"/>
  <c r="AA76" i="28" s="1"/>
  <c r="Z78" i="28"/>
  <c r="Z79" i="28"/>
  <c r="AQ79" i="28"/>
  <c r="AQ78" i="28"/>
  <c r="BL319" i="4"/>
  <c r="O73" i="14"/>
  <c r="AP327" i="4"/>
  <c r="AP97" i="4"/>
  <c r="BM451" i="4"/>
  <c r="BL398" i="4"/>
  <c r="BL435" i="4" s="1"/>
  <c r="AE3" i="28"/>
  <c r="C10" i="6"/>
  <c r="BM379" i="4"/>
  <c r="BM78" i="4"/>
  <c r="AP251" i="4"/>
  <c r="BM228" i="4"/>
  <c r="BM10" i="4"/>
  <c r="AP175" i="4"/>
  <c r="BM156" i="4"/>
  <c r="BN664" i="4"/>
  <c r="BN665" i="4" s="1"/>
  <c r="BN710" i="4" s="1"/>
  <c r="BM308" i="4"/>
  <c r="AO230" i="4"/>
  <c r="AO327" i="4"/>
  <c r="AO97" i="4"/>
  <c r="AO175" i="4"/>
  <c r="AO251" i="4"/>
  <c r="AO668" i="4"/>
  <c r="BN668" i="4" s="1"/>
  <c r="BN714" i="4" s="1"/>
  <c r="AQ126" i="4"/>
  <c r="P40" i="14"/>
  <c r="AR19" i="3"/>
  <c r="R73" i="14"/>
  <c r="N46" i="8"/>
  <c r="AS5" i="3"/>
  <c r="AS33" i="3"/>
  <c r="AS29" i="3"/>
  <c r="AS479" i="3" s="1"/>
  <c r="AS503" i="3" s="1"/>
  <c r="AS11" i="3"/>
  <c r="AS56" i="3"/>
  <c r="AS12" i="3"/>
  <c r="AS13" i="3"/>
  <c r="AS10" i="3"/>
  <c r="N73" i="14"/>
  <c r="I40" i="14"/>
  <c r="O40" i="14"/>
  <c r="F40" i="14"/>
  <c r="AG73" i="14"/>
  <c r="J232" i="14"/>
  <c r="AG232" i="14"/>
  <c r="AI232" i="14"/>
  <c r="F73" i="14"/>
  <c r="Q232" i="14"/>
  <c r="Q73" i="14"/>
  <c r="D33" i="9"/>
  <c r="S73" i="14"/>
  <c r="K40" i="14"/>
  <c r="S232" i="14"/>
  <c r="J73" i="14"/>
  <c r="AH73" i="14"/>
  <c r="I73" i="14"/>
  <c r="H40" i="14"/>
  <c r="N40" i="14"/>
  <c r="K73" i="14"/>
  <c r="Q40" i="14"/>
  <c r="H232" i="14"/>
  <c r="L232" i="14"/>
  <c r="F232" i="14"/>
  <c r="L73" i="14"/>
  <c r="I232" i="14"/>
  <c r="G73" i="14"/>
  <c r="T232" i="14"/>
  <c r="G40" i="14"/>
  <c r="N232" i="14"/>
  <c r="P232" i="14"/>
  <c r="G37" i="8"/>
  <c r="G24" i="8"/>
  <c r="J230" i="14"/>
  <c r="J229" i="14"/>
  <c r="E22" i="9"/>
  <c r="E21" i="9"/>
  <c r="G232" i="14"/>
  <c r="T230" i="14"/>
  <c r="T229" i="14"/>
  <c r="AI73" i="14"/>
  <c r="N229" i="14"/>
  <c r="N230" i="14"/>
  <c r="D22" i="9"/>
  <c r="D21" i="9"/>
  <c r="K230" i="14"/>
  <c r="K229" i="14"/>
  <c r="M230" i="14"/>
  <c r="M229" i="14"/>
  <c r="J37" i="8"/>
  <c r="J24" i="8"/>
  <c r="AH229" i="14"/>
  <c r="AH230" i="14"/>
  <c r="E14" i="9"/>
  <c r="I230" i="14"/>
  <c r="I229" i="14"/>
  <c r="E33" i="9"/>
  <c r="L40" i="14"/>
  <c r="R232" i="14"/>
  <c r="AI230" i="14"/>
  <c r="AI229" i="14"/>
  <c r="S230" i="14"/>
  <c r="S229" i="14"/>
  <c r="F230" i="14"/>
  <c r="F229" i="14"/>
  <c r="O232" i="14"/>
  <c r="G230" i="14"/>
  <c r="G229" i="14"/>
  <c r="AR17" i="3"/>
  <c r="F19" i="9"/>
  <c r="E19" i="9"/>
  <c r="AG229" i="14"/>
  <c r="AG230" i="14"/>
  <c r="J40" i="14"/>
  <c r="M40" i="14"/>
  <c r="G1" i="8"/>
  <c r="F41" i="8"/>
  <c r="M5" i="8"/>
  <c r="M37" i="8" s="1"/>
  <c r="F69" i="8"/>
  <c r="F14" i="8"/>
  <c r="F33" i="8"/>
  <c r="Q229" i="14"/>
  <c r="Q230" i="14"/>
  <c r="R229" i="14"/>
  <c r="R230" i="14"/>
  <c r="I24" i="8"/>
  <c r="H37" i="8"/>
  <c r="H24" i="8"/>
  <c r="H73" i="14"/>
  <c r="M73" i="14"/>
  <c r="M232" i="14"/>
  <c r="AR3" i="4"/>
  <c r="AR5" i="3"/>
  <c r="P230" i="14"/>
  <c r="P229" i="14"/>
  <c r="G21" i="9"/>
  <c r="G19" i="9"/>
  <c r="H229" i="14"/>
  <c r="H230" i="14"/>
  <c r="L229" i="14"/>
  <c r="L230" i="14"/>
  <c r="O229" i="14"/>
  <c r="O230" i="14"/>
  <c r="K232" i="14"/>
  <c r="AH232" i="14"/>
  <c r="AR2" i="4"/>
  <c r="M46" i="8"/>
  <c r="AR212" i="4"/>
  <c r="AW490" i="4"/>
  <c r="J516" i="4"/>
  <c r="J485" i="4"/>
  <c r="L345" i="3"/>
  <c r="L349" i="3" s="1"/>
  <c r="BC350" i="3"/>
  <c r="BC351" i="3" s="1"/>
  <c r="K351" i="3"/>
  <c r="K456" i="3"/>
  <c r="K424" i="3"/>
  <c r="BC424" i="3" s="1"/>
  <c r="BC444" i="3" s="1"/>
  <c r="AW66" i="4"/>
  <c r="AW71" i="4"/>
  <c r="X96" i="14"/>
  <c r="L101" i="3"/>
  <c r="M93" i="3"/>
  <c r="Y96" i="14"/>
  <c r="L91" i="3"/>
  <c r="K41" i="4"/>
  <c r="L521" i="3"/>
  <c r="L520" i="3"/>
  <c r="BC459" i="3"/>
  <c r="K463" i="3"/>
  <c r="K466" i="3"/>
  <c r="K154" i="3"/>
  <c r="K160" i="3"/>
  <c r="K272" i="3"/>
  <c r="BC272" i="3" s="1"/>
  <c r="BC264" i="3" s="1"/>
  <c r="BC274" i="3" s="1"/>
  <c r="BB158" i="4"/>
  <c r="AH146" i="28" s="1"/>
  <c r="AH39" i="28" s="1"/>
  <c r="BM230" i="4" l="1"/>
  <c r="BM327" i="4"/>
  <c r="BM364" i="4" s="1"/>
  <c r="AP398" i="4"/>
  <c r="AA79" i="28"/>
  <c r="AA78" i="28"/>
  <c r="AR157" i="28"/>
  <c r="AR76" i="28" s="1"/>
  <c r="BL361" i="4"/>
  <c r="AP319" i="4"/>
  <c r="AB157" i="28"/>
  <c r="AB76" i="28" s="1"/>
  <c r="BM97" i="4"/>
  <c r="AH42" i="28"/>
  <c r="AH41" i="28"/>
  <c r="BM229" i="4"/>
  <c r="BM277" i="4" s="1"/>
  <c r="BM175" i="4"/>
  <c r="AO398" i="4"/>
  <c r="AO435" i="4" s="1"/>
  <c r="BM251" i="4"/>
  <c r="AR5" i="4"/>
  <c r="AQ5" i="4"/>
  <c r="AR126" i="4"/>
  <c r="BT33" i="3"/>
  <c r="U53" i="9" s="1"/>
  <c r="V53" i="9" s="1"/>
  <c r="W53" i="9" s="1"/>
  <c r="X53" i="9" s="1"/>
  <c r="Y53" i="9" s="1"/>
  <c r="Z53" i="9" s="1"/>
  <c r="AA53" i="9" s="1"/>
  <c r="AB53" i="9" s="1"/>
  <c r="BT56" i="3"/>
  <c r="BT60" i="3"/>
  <c r="AS17" i="3"/>
  <c r="BT17" i="3" s="1"/>
  <c r="BT11" i="3"/>
  <c r="BT29" i="3"/>
  <c r="BT479" i="3" s="1"/>
  <c r="BT503" i="3" s="1"/>
  <c r="AS18" i="3"/>
  <c r="BT18" i="3" s="1"/>
  <c r="BT12" i="3"/>
  <c r="AS16" i="3"/>
  <c r="BT16" i="3" s="1"/>
  <c r="BT10" i="3"/>
  <c r="AS19" i="3"/>
  <c r="BT19" i="3" s="1"/>
  <c r="BT13" i="3"/>
  <c r="AP435" i="4"/>
  <c r="G33" i="8"/>
  <c r="G41" i="8"/>
  <c r="H1" i="8"/>
  <c r="G69" i="8"/>
  <c r="G14" i="8"/>
  <c r="N5" i="8"/>
  <c r="N37" i="8" s="1"/>
  <c r="S2" i="9"/>
  <c r="G12" i="8"/>
  <c r="C135" i="6"/>
  <c r="E14" i="6"/>
  <c r="K164" i="3"/>
  <c r="K143" i="3"/>
  <c r="K484" i="3"/>
  <c r="BC484" i="3" s="1"/>
  <c r="K467" i="3"/>
  <c r="K522" i="3"/>
  <c r="K581" i="3" s="1"/>
  <c r="K523" i="3"/>
  <c r="K66" i="4"/>
  <c r="K490" i="4"/>
  <c r="K71" i="4"/>
  <c r="Y99" i="14"/>
  <c r="Y292" i="14"/>
  <c r="L454" i="3"/>
  <c r="L444" i="3" s="1"/>
  <c r="Y101" i="14" s="1"/>
  <c r="L350" i="3"/>
  <c r="L351" i="3" s="1"/>
  <c r="X292" i="14"/>
  <c r="X99" i="14"/>
  <c r="L162" i="3"/>
  <c r="L459" i="3"/>
  <c r="M95" i="14"/>
  <c r="M94" i="14"/>
  <c r="M101" i="14"/>
  <c r="K339" i="3"/>
  <c r="K359" i="3"/>
  <c r="J410" i="4"/>
  <c r="J483" i="4"/>
  <c r="J484" i="4" s="1"/>
  <c r="K450" i="3"/>
  <c r="BC450" i="3" s="1"/>
  <c r="BC454" i="3" s="1"/>
  <c r="BC456" i="3" s="1"/>
  <c r="BC160" i="3"/>
  <c r="BC162" i="3" s="1"/>
  <c r="BC154" i="3" s="1"/>
  <c r="BC164" i="3" s="1"/>
  <c r="K482" i="3"/>
  <c r="K506" i="3" s="1"/>
  <c r="BC463" i="3"/>
  <c r="BC466" i="3"/>
  <c r="M86" i="3"/>
  <c r="BC359" i="3"/>
  <c r="BC339" i="3"/>
  <c r="AW516" i="4"/>
  <c r="BB157" i="4"/>
  <c r="BB201" i="4" s="1"/>
  <c r="AQ668" i="4" l="1"/>
  <c r="BM212" i="4"/>
  <c r="BM135" i="4"/>
  <c r="BM292" i="4"/>
  <c r="AQ319" i="4"/>
  <c r="BM319" i="4"/>
  <c r="AC157" i="28"/>
  <c r="AC76" i="28" s="1"/>
  <c r="AR78" i="28"/>
  <c r="AR79" i="28"/>
  <c r="AB79" i="28"/>
  <c r="AB78" i="28"/>
  <c r="BM398" i="4"/>
  <c r="BM435" i="4" s="1"/>
  <c r="AQ97" i="4"/>
  <c r="AQ230" i="4"/>
  <c r="AQ327" i="4"/>
  <c r="AQ175" i="4"/>
  <c r="AQ251" i="4"/>
  <c r="BN10" i="4"/>
  <c r="AR175" i="4"/>
  <c r="BN379" i="4"/>
  <c r="AR327" i="4"/>
  <c r="BN451" i="4"/>
  <c r="BN156" i="4"/>
  <c r="BN228" i="4"/>
  <c r="AR230" i="4"/>
  <c r="BN308" i="4"/>
  <c r="AR251" i="4"/>
  <c r="AR668" i="4"/>
  <c r="AR97" i="4"/>
  <c r="BN78" i="4"/>
  <c r="B166" i="6"/>
  <c r="E62" i="6"/>
  <c r="E140" i="6"/>
  <c r="E96" i="6"/>
  <c r="E30" i="6"/>
  <c r="E74" i="6"/>
  <c r="E37" i="6"/>
  <c r="E57" i="6"/>
  <c r="E36" i="6"/>
  <c r="E50" i="6"/>
  <c r="E22" i="6"/>
  <c r="F14" i="6"/>
  <c r="E76" i="6"/>
  <c r="D14" i="6"/>
  <c r="C14" i="6" s="1"/>
  <c r="A14" i="6" s="1"/>
  <c r="E41" i="6"/>
  <c r="E20" i="6"/>
  <c r="E21" i="6" s="1"/>
  <c r="D135" i="6"/>
  <c r="C134" i="6"/>
  <c r="D134" i="6" s="1"/>
  <c r="B162" i="6"/>
  <c r="H14" i="8"/>
  <c r="H69" i="8"/>
  <c r="H33" i="8"/>
  <c r="H41" i="8"/>
  <c r="I1" i="8"/>
  <c r="O5" i="8"/>
  <c r="O37" i="8" s="1"/>
  <c r="U57" i="9"/>
  <c r="V6" i="9"/>
  <c r="U6" i="9"/>
  <c r="V57" i="9"/>
  <c r="W6" i="9"/>
  <c r="S6" i="9"/>
  <c r="X57" i="9"/>
  <c r="R6" i="9"/>
  <c r="T6" i="9"/>
  <c r="W57" i="9"/>
  <c r="X6" i="9"/>
  <c r="Y6" i="9"/>
  <c r="Q6" i="9"/>
  <c r="Y57" i="9"/>
  <c r="P57" i="9"/>
  <c r="Q57" i="9" s="1"/>
  <c r="R57" i="9" s="1"/>
  <c r="S57" i="9" s="1"/>
  <c r="Z6" i="9"/>
  <c r="Z57" i="9"/>
  <c r="P6" i="9"/>
  <c r="AA57" i="9"/>
  <c r="AA6" i="9"/>
  <c r="AB6" i="9" s="1"/>
  <c r="X101" i="14"/>
  <c r="M331" i="14"/>
  <c r="M281" i="14" s="1"/>
  <c r="BC482" i="3"/>
  <c r="BC506" i="3" s="1"/>
  <c r="J409" i="4"/>
  <c r="AW484" i="4"/>
  <c r="J73" i="4"/>
  <c r="J445" i="4"/>
  <c r="J446" i="4"/>
  <c r="L160" i="3"/>
  <c r="L450" i="3" s="1"/>
  <c r="L272" i="3"/>
  <c r="L154" i="3"/>
  <c r="K516" i="4"/>
  <c r="K519" i="4"/>
  <c r="K485" i="4" s="1"/>
  <c r="K483" i="3"/>
  <c r="K507" i="3" s="1"/>
  <c r="K253" i="3"/>
  <c r="BC143" i="3"/>
  <c r="L359" i="3"/>
  <c r="L339" i="3"/>
  <c r="M343" i="3"/>
  <c r="M88" i="3"/>
  <c r="M94" i="3" s="1"/>
  <c r="BD86" i="3"/>
  <c r="BD88" i="3" s="1"/>
  <c r="BC467" i="3"/>
  <c r="BC523" i="3"/>
  <c r="BC522" i="3"/>
  <c r="BC581" i="3" s="1"/>
  <c r="J408" i="4"/>
  <c r="J512" i="4"/>
  <c r="AW483" i="4"/>
  <c r="L466" i="3"/>
  <c r="L463" i="3"/>
  <c r="X94" i="14"/>
  <c r="Y95" i="14"/>
  <c r="L424" i="3"/>
  <c r="Y94" i="14"/>
  <c r="X95" i="14"/>
  <c r="L456" i="3"/>
  <c r="BB12" i="4"/>
  <c r="AT50" i="4"/>
  <c r="BB11" i="4" l="1"/>
  <c r="BB50" i="4" s="1"/>
  <c r="AC79" i="28"/>
  <c r="AC78" i="28"/>
  <c r="AS157" i="28"/>
  <c r="AS76" i="28" s="1"/>
  <c r="BM361" i="4"/>
  <c r="AD157" i="28"/>
  <c r="AD76" i="28" s="1"/>
  <c r="AR319" i="4"/>
  <c r="BN97" i="4"/>
  <c r="BN230" i="4"/>
  <c r="BN229" i="4" s="1"/>
  <c r="BN277" i="4" s="1"/>
  <c r="AQ398" i="4"/>
  <c r="AQ435" i="4" s="1"/>
  <c r="BN327" i="4"/>
  <c r="BN175" i="4"/>
  <c r="BN251" i="4"/>
  <c r="AR398" i="4"/>
  <c r="AR435" i="4" s="1"/>
  <c r="B163" i="6"/>
  <c r="B167" i="6"/>
  <c r="W58" i="9"/>
  <c r="AA58" i="9"/>
  <c r="X58" i="9"/>
  <c r="Z58" i="9"/>
  <c r="Y58" i="9"/>
  <c r="E156" i="6"/>
  <c r="P58" i="9"/>
  <c r="Q58" i="9" s="1"/>
  <c r="R58" i="9" s="1"/>
  <c r="S58" i="9" s="1"/>
  <c r="T57" i="9"/>
  <c r="V58" i="9" s="1"/>
  <c r="D140" i="6"/>
  <c r="D156" i="6" s="1"/>
  <c r="D30" i="6"/>
  <c r="D76" i="6"/>
  <c r="D51" i="6"/>
  <c r="D50" i="6"/>
  <c r="D20" i="6"/>
  <c r="D21" i="6" s="1"/>
  <c r="D74" i="6"/>
  <c r="D22" i="6"/>
  <c r="D41" i="6"/>
  <c r="D37" i="6"/>
  <c r="D57" i="6"/>
  <c r="D36" i="6"/>
  <c r="D96" i="6"/>
  <c r="D62" i="6"/>
  <c r="D83" i="6" s="1"/>
  <c r="F50" i="6"/>
  <c r="F20" i="6"/>
  <c r="F140" i="6"/>
  <c r="F156" i="6" s="1"/>
  <c r="F36" i="6"/>
  <c r="F22" i="6"/>
  <c r="G14" i="6"/>
  <c r="F57" i="6"/>
  <c r="F62" i="6"/>
  <c r="F96" i="6"/>
  <c r="F37" i="6"/>
  <c r="F30" i="6"/>
  <c r="F76" i="6"/>
  <c r="F74" i="6"/>
  <c r="F41" i="6"/>
  <c r="P5" i="8"/>
  <c r="P37" i="8" s="1"/>
  <c r="I69" i="8"/>
  <c r="I14" i="8"/>
  <c r="I41" i="8"/>
  <c r="J1" i="8"/>
  <c r="I33" i="8"/>
  <c r="BC158" i="4"/>
  <c r="AI146" i="28" s="1"/>
  <c r="AI39" i="28" s="1"/>
  <c r="L484" i="3"/>
  <c r="L467" i="3"/>
  <c r="L523" i="3"/>
  <c r="L522" i="3"/>
  <c r="L581" i="3" s="1"/>
  <c r="AW512" i="4"/>
  <c r="AW485" i="4"/>
  <c r="AW519" i="4" s="1"/>
  <c r="J444" i="4"/>
  <c r="J437" i="4"/>
  <c r="AW408" i="4"/>
  <c r="M345" i="3"/>
  <c r="M349" i="3" s="1"/>
  <c r="BD343" i="3"/>
  <c r="BD345" i="3" s="1"/>
  <c r="BD349" i="3" s="1"/>
  <c r="K264" i="3"/>
  <c r="K274" i="3" s="1"/>
  <c r="K4" i="3" s="1"/>
  <c r="BC253" i="3"/>
  <c r="AW409" i="4"/>
  <c r="J443" i="4"/>
  <c r="J68" i="4" s="1"/>
  <c r="J70" i="4" s="1"/>
  <c r="Y331" i="14"/>
  <c r="Y281" i="14" s="1"/>
  <c r="L482" i="3"/>
  <c r="L506" i="3" s="1"/>
  <c r="X331" i="14"/>
  <c r="X281" i="14" s="1"/>
  <c r="M332" i="14"/>
  <c r="M294" i="14" s="1"/>
  <c r="BC483" i="3"/>
  <c r="BC507" i="3" s="1"/>
  <c r="BD94" i="3"/>
  <c r="BD98" i="3" s="1"/>
  <c r="M98" i="3"/>
  <c r="K483" i="4"/>
  <c r="K484" i="4" s="1"/>
  <c r="K410" i="4"/>
  <c r="L164" i="3"/>
  <c r="L143" i="3"/>
  <c r="L253" i="3" s="1"/>
  <c r="L264" i="3" s="1"/>
  <c r="L274" i="3" s="1"/>
  <c r="AG14" i="14"/>
  <c r="AG16" i="14"/>
  <c r="BH62" i="3"/>
  <c r="AG4" i="32" s="1"/>
  <c r="F21" i="6" l="1"/>
  <c r="I3" i="6"/>
  <c r="BN135" i="4"/>
  <c r="BN292" i="4"/>
  <c r="BN212" i="4"/>
  <c r="BN364" i="4"/>
  <c r="AS79" i="28"/>
  <c r="AS78" i="28"/>
  <c r="BN319" i="4"/>
  <c r="AE157" i="28"/>
  <c r="AE76" i="28" s="1"/>
  <c r="AD79" i="28"/>
  <c r="AD78" i="28"/>
  <c r="AI42" i="28"/>
  <c r="AI41" i="28"/>
  <c r="BN398" i="4"/>
  <c r="BN435" i="4" s="1"/>
  <c r="BC157" i="4"/>
  <c r="BC201" i="4" s="1"/>
  <c r="D23" i="9"/>
  <c r="G76" i="6"/>
  <c r="G50" i="6"/>
  <c r="G20" i="6"/>
  <c r="G21" i="6" s="1"/>
  <c r="G36" i="6"/>
  <c r="G140" i="6"/>
  <c r="G156" i="6" s="1"/>
  <c r="G57" i="6"/>
  <c r="G41" i="6"/>
  <c r="G30" i="6"/>
  <c r="G96" i="6"/>
  <c r="G22" i="6"/>
  <c r="G37" i="6"/>
  <c r="G62" i="6"/>
  <c r="G74" i="6"/>
  <c r="C54" i="6"/>
  <c r="C74" i="6"/>
  <c r="C51" i="6"/>
  <c r="C57" i="6"/>
  <c r="C76" i="6"/>
  <c r="C36" i="6"/>
  <c r="C96" i="6"/>
  <c r="C62" i="6"/>
  <c r="C83" i="6" s="1"/>
  <c r="C22" i="6"/>
  <c r="C41" i="6"/>
  <c r="C140" i="6"/>
  <c r="C156" i="6" s="1"/>
  <c r="C24" i="6"/>
  <c r="C20" i="6"/>
  <c r="C21" i="6" s="1"/>
  <c r="C37" i="6"/>
  <c r="C50" i="6"/>
  <c r="C30" i="6"/>
  <c r="T58" i="9"/>
  <c r="Q5" i="8"/>
  <c r="Q37" i="8" s="1"/>
  <c r="J14" i="8"/>
  <c r="J33" i="8"/>
  <c r="J69" i="8"/>
  <c r="J41" i="8"/>
  <c r="U58" i="9"/>
  <c r="AW443" i="4"/>
  <c r="AW69" i="4" s="1"/>
  <c r="L4" i="3"/>
  <c r="K445" i="4"/>
  <c r="K446" i="4"/>
  <c r="K73" i="4"/>
  <c r="M101" i="3"/>
  <c r="M91" i="3"/>
  <c r="N93" i="3"/>
  <c r="N86" i="3" s="1"/>
  <c r="L41" i="4"/>
  <c r="M520" i="3"/>
  <c r="M521" i="3"/>
  <c r="X332" i="14"/>
  <c r="X294" i="14" s="1"/>
  <c r="L483" i="3"/>
  <c r="L507" i="3" s="1"/>
  <c r="Y332" i="14"/>
  <c r="Y294" i="14" s="1"/>
  <c r="BH61" i="3"/>
  <c r="K409" i="4"/>
  <c r="K512" i="4"/>
  <c r="K408" i="4"/>
  <c r="N96" i="14"/>
  <c r="BE93" i="3"/>
  <c r="BD91" i="3"/>
  <c r="BD101" i="3"/>
  <c r="BD520" i="3"/>
  <c r="BD521" i="3"/>
  <c r="AW410" i="4"/>
  <c r="AW437" i="4"/>
  <c r="AW444" i="4"/>
  <c r="R16" i="14"/>
  <c r="R14" i="14"/>
  <c r="AE79" i="28" l="1"/>
  <c r="AE78" i="28"/>
  <c r="AT157" i="28"/>
  <c r="AT76" i="28" s="1"/>
  <c r="BN361" i="4"/>
  <c r="D34" i="9"/>
  <c r="D37" i="9"/>
  <c r="D38" i="9" s="1"/>
  <c r="AW68" i="4"/>
  <c r="K443" i="4"/>
  <c r="K68" i="4" s="1"/>
  <c r="K70" i="4" s="1"/>
  <c r="N343" i="3"/>
  <c r="N88" i="3"/>
  <c r="N94" i="3" s="1"/>
  <c r="N98" i="3" s="1"/>
  <c r="M162" i="3"/>
  <c r="M454" i="3"/>
  <c r="M444" i="3" s="1"/>
  <c r="M350" i="3"/>
  <c r="M459" i="3"/>
  <c r="AW446" i="4"/>
  <c r="AW73" i="4"/>
  <c r="AW445" i="4"/>
  <c r="N292" i="14"/>
  <c r="N99" i="14"/>
  <c r="K437" i="4"/>
  <c r="K444" i="4"/>
  <c r="L490" i="4"/>
  <c r="L66" i="4"/>
  <c r="AX41" i="4"/>
  <c r="L71" i="4"/>
  <c r="AT79" i="28" l="1"/>
  <c r="AT78" i="28"/>
  <c r="M466" i="3"/>
  <c r="M463" i="3"/>
  <c r="BD459" i="3"/>
  <c r="M424" i="3"/>
  <c r="BD424" i="3" s="1"/>
  <c r="BD444" i="3" s="1"/>
  <c r="M456" i="3"/>
  <c r="Z96" i="14"/>
  <c r="N91" i="3"/>
  <c r="N101" i="3"/>
  <c r="AA96" i="14"/>
  <c r="O93" i="3"/>
  <c r="M41" i="4"/>
  <c r="N521" i="3"/>
  <c r="N520" i="3"/>
  <c r="AX66" i="4"/>
  <c r="AX71" i="4"/>
  <c r="L516" i="4"/>
  <c r="AX490" i="4"/>
  <c r="L519" i="4"/>
  <c r="L485" i="4" s="1"/>
  <c r="BD350" i="3"/>
  <c r="BD351" i="3" s="1"/>
  <c r="M351" i="3"/>
  <c r="M154" i="3"/>
  <c r="M160" i="3"/>
  <c r="M272" i="3"/>
  <c r="BD272" i="3" s="1"/>
  <c r="BD264" i="3" s="1"/>
  <c r="BD274" i="3" s="1"/>
  <c r="N345" i="3"/>
  <c r="N349" i="3" s="1"/>
  <c r="M450" i="3" l="1"/>
  <c r="BD450" i="3" s="1"/>
  <c r="BD454" i="3" s="1"/>
  <c r="BD456" i="3" s="1"/>
  <c r="BD160" i="3"/>
  <c r="BD162" i="3" s="1"/>
  <c r="BD154" i="3" s="1"/>
  <c r="BD164" i="3" s="1"/>
  <c r="M339" i="3"/>
  <c r="M359" i="3"/>
  <c r="L410" i="4"/>
  <c r="L483" i="4"/>
  <c r="L484" i="4" s="1"/>
  <c r="AX516" i="4"/>
  <c r="M490" i="4"/>
  <c r="M66" i="4"/>
  <c r="M71" i="4"/>
  <c r="Z99" i="14"/>
  <c r="AA292" i="14"/>
  <c r="N459" i="3"/>
  <c r="N162" i="3"/>
  <c r="AA99" i="14"/>
  <c r="Z292" i="14"/>
  <c r="N454" i="3"/>
  <c r="N444" i="3" s="1"/>
  <c r="AA101" i="14" s="1"/>
  <c r="N350" i="3"/>
  <c r="M467" i="3"/>
  <c r="M484" i="3"/>
  <c r="BD484" i="3" s="1"/>
  <c r="M522" i="3"/>
  <c r="M581" i="3" s="1"/>
  <c r="M523" i="3"/>
  <c r="M143" i="3"/>
  <c r="M164" i="3"/>
  <c r="BD359" i="3"/>
  <c r="BD339" i="3"/>
  <c r="O86" i="3"/>
  <c r="N95" i="14"/>
  <c r="N94" i="14"/>
  <c r="N101" i="14"/>
  <c r="BD466" i="3"/>
  <c r="BD463" i="3"/>
  <c r="M482" i="3"/>
  <c r="M506" i="3" s="1"/>
  <c r="Z101" i="14" l="1"/>
  <c r="BD482" i="3"/>
  <c r="BD506" i="3" s="1"/>
  <c r="N331" i="14"/>
  <c r="N281" i="14" s="1"/>
  <c r="O343" i="3"/>
  <c r="O88" i="3"/>
  <c r="O94" i="3" s="1"/>
  <c r="BE86" i="3"/>
  <c r="BE88" i="3" s="1"/>
  <c r="BD143" i="3"/>
  <c r="M253" i="3"/>
  <c r="M483" i="3"/>
  <c r="M507" i="3" s="1"/>
  <c r="AA94" i="14"/>
  <c r="Z95" i="14"/>
  <c r="N424" i="3"/>
  <c r="N456" i="3"/>
  <c r="AA95" i="14"/>
  <c r="Z94" i="14"/>
  <c r="N463" i="3"/>
  <c r="N466" i="3"/>
  <c r="L409" i="4"/>
  <c r="AX484" i="4"/>
  <c r="L446" i="4"/>
  <c r="L73" i="4"/>
  <c r="L445" i="4"/>
  <c r="BD467" i="3"/>
  <c r="BD523" i="3"/>
  <c r="BD522" i="3"/>
  <c r="BD581" i="3" s="1"/>
  <c r="N160" i="3"/>
  <c r="N450" i="3" s="1"/>
  <c r="N272" i="3"/>
  <c r="N154" i="3"/>
  <c r="M516" i="4"/>
  <c r="M519" i="4"/>
  <c r="M485" i="4" s="1"/>
  <c r="L408" i="4"/>
  <c r="L512" i="4"/>
  <c r="AX483" i="4"/>
  <c r="N351" i="3"/>
  <c r="AX485" i="4" l="1"/>
  <c r="AX519" i="4" s="1"/>
  <c r="AX512" i="4"/>
  <c r="L444" i="4"/>
  <c r="L437" i="4"/>
  <c r="AX408" i="4"/>
  <c r="N164" i="3"/>
  <c r="N143" i="3"/>
  <c r="N253" i="3" s="1"/>
  <c r="N264" i="3" s="1"/>
  <c r="N274" i="3" s="1"/>
  <c r="N332" i="14"/>
  <c r="N294" i="14" s="1"/>
  <c r="BD483" i="3"/>
  <c r="BD507" i="3" s="1"/>
  <c r="AA331" i="14"/>
  <c r="AA281" i="14" s="1"/>
  <c r="N482" i="3"/>
  <c r="N506" i="3" s="1"/>
  <c r="Z331" i="14"/>
  <c r="Z281" i="14" s="1"/>
  <c r="M264" i="3"/>
  <c r="M274" i="3" s="1"/>
  <c r="M4" i="3" s="1"/>
  <c r="BD253" i="3"/>
  <c r="O345" i="3"/>
  <c r="O349" i="3" s="1"/>
  <c r="BE343" i="3"/>
  <c r="BE345" i="3" s="1"/>
  <c r="BE349" i="3" s="1"/>
  <c r="N359" i="3"/>
  <c r="N339" i="3"/>
  <c r="M483" i="4"/>
  <c r="M484" i="4" s="1"/>
  <c r="M410" i="4"/>
  <c r="L443" i="4"/>
  <c r="L68" i="4" s="1"/>
  <c r="L70" i="4" s="1"/>
  <c r="AX409" i="4"/>
  <c r="N467" i="3"/>
  <c r="N484" i="3"/>
  <c r="N523" i="3"/>
  <c r="N522" i="3"/>
  <c r="N581" i="3" s="1"/>
  <c r="BE94" i="3"/>
  <c r="BE98" i="3" s="1"/>
  <c r="O98" i="3"/>
  <c r="E23" i="9" l="1"/>
  <c r="AX443" i="4"/>
  <c r="AX68" i="4" s="1"/>
  <c r="M409" i="4"/>
  <c r="O96" i="14"/>
  <c r="BE101" i="3"/>
  <c r="BE521" i="3"/>
  <c r="BF93" i="3"/>
  <c r="BE91" i="3"/>
  <c r="BE520" i="3"/>
  <c r="Z332" i="14"/>
  <c r="Z294" i="14" s="1"/>
  <c r="N483" i="3"/>
  <c r="N507" i="3" s="1"/>
  <c r="AA332" i="14"/>
  <c r="AA294" i="14" s="1"/>
  <c r="N4" i="3"/>
  <c r="O91" i="3"/>
  <c r="N41" i="4"/>
  <c r="P93" i="3"/>
  <c r="P86" i="3" s="1"/>
  <c r="O101" i="3"/>
  <c r="O520" i="3"/>
  <c r="O521" i="3"/>
  <c r="M445" i="4"/>
  <c r="M73" i="4"/>
  <c r="M446" i="4"/>
  <c r="M408" i="4"/>
  <c r="M512" i="4"/>
  <c r="AX444" i="4"/>
  <c r="AX437" i="4"/>
  <c r="AX410" i="4"/>
  <c r="E25" i="9" l="1"/>
  <c r="E26" i="9" s="1"/>
  <c r="E30" i="9"/>
  <c r="E34" i="9"/>
  <c r="E37" i="9"/>
  <c r="E38" i="9" s="1"/>
  <c r="AX69" i="4"/>
  <c r="AX445" i="4"/>
  <c r="AX73" i="4"/>
  <c r="AX446" i="4"/>
  <c r="M444" i="4"/>
  <c r="M437" i="4"/>
  <c r="O162" i="3"/>
  <c r="O350" i="3"/>
  <c r="O459" i="3"/>
  <c r="O454" i="3"/>
  <c r="O444" i="3" s="1"/>
  <c r="O99" i="14"/>
  <c r="O292" i="14"/>
  <c r="P343" i="3"/>
  <c r="P88" i="3"/>
  <c r="P94" i="3" s="1"/>
  <c r="P98" i="3" s="1"/>
  <c r="N490" i="4"/>
  <c r="N66" i="4"/>
  <c r="AY41" i="4"/>
  <c r="N71" i="4"/>
  <c r="M443" i="4"/>
  <c r="M68" i="4" s="1"/>
  <c r="M70" i="4" s="1"/>
  <c r="S214" i="4"/>
  <c r="S222" i="4"/>
  <c r="P345" i="3" l="1"/>
  <c r="P349" i="3" s="1"/>
  <c r="O424" i="3"/>
  <c r="O456" i="3"/>
  <c r="O272" i="3"/>
  <c r="BE272" i="3" s="1"/>
  <c r="BE264" i="3" s="1"/>
  <c r="BE274" i="3" s="1"/>
  <c r="O160" i="3"/>
  <c r="O154" i="3"/>
  <c r="AY66" i="4"/>
  <c r="AY71" i="4"/>
  <c r="N516" i="4"/>
  <c r="AY490" i="4"/>
  <c r="N519" i="4"/>
  <c r="N485" i="4" s="1"/>
  <c r="AC96" i="14"/>
  <c r="Q93" i="3"/>
  <c r="P101" i="3"/>
  <c r="AB96" i="14"/>
  <c r="O41" i="4"/>
  <c r="P91" i="3"/>
  <c r="P521" i="3"/>
  <c r="P520" i="3"/>
  <c r="BE459" i="3"/>
  <c r="O463" i="3"/>
  <c r="O466" i="3"/>
  <c r="BE350" i="3"/>
  <c r="BE351" i="3" s="1"/>
  <c r="O351" i="3"/>
  <c r="S221" i="4"/>
  <c r="S109" i="4"/>
  <c r="S107" i="4" s="1"/>
  <c r="BE359" i="3" l="1"/>
  <c r="BE339" i="3"/>
  <c r="O467" i="3"/>
  <c r="O484" i="3"/>
  <c r="BE484" i="3" s="1"/>
  <c r="O523" i="3"/>
  <c r="O522" i="3"/>
  <c r="O581" i="3" s="1"/>
  <c r="AC99" i="14"/>
  <c r="AC292" i="14"/>
  <c r="P459" i="3"/>
  <c r="P350" i="3"/>
  <c r="P351" i="3" s="1"/>
  <c r="AB99" i="14"/>
  <c r="AB292" i="14"/>
  <c r="P162" i="3"/>
  <c r="P454" i="3"/>
  <c r="P444" i="3" s="1"/>
  <c r="N483" i="4"/>
  <c r="N484" i="4" s="1"/>
  <c r="N410" i="4"/>
  <c r="BE160" i="3"/>
  <c r="BE162" i="3" s="1"/>
  <c r="BE154" i="3" s="1"/>
  <c r="BE164" i="3" s="1"/>
  <c r="O450" i="3"/>
  <c r="BE450" i="3" s="1"/>
  <c r="BE454" i="3" s="1"/>
  <c r="BE424" i="3"/>
  <c r="BE444" i="3" s="1"/>
  <c r="O339" i="3"/>
  <c r="O359" i="3"/>
  <c r="O482" i="3"/>
  <c r="O506" i="3" s="1"/>
  <c r="BE463" i="3"/>
  <c r="BE466" i="3"/>
  <c r="O66" i="4"/>
  <c r="O490" i="4"/>
  <c r="O71" i="4"/>
  <c r="Q86" i="3"/>
  <c r="AY516" i="4"/>
  <c r="O164" i="3"/>
  <c r="O143" i="3"/>
  <c r="S146" i="4"/>
  <c r="S145" i="4"/>
  <c r="S108" i="4"/>
  <c r="S144" i="4"/>
  <c r="S137" i="4"/>
  <c r="AC101" i="14" l="1"/>
  <c r="AB101" i="14"/>
  <c r="O253" i="3"/>
  <c r="BE143" i="3"/>
  <c r="O516" i="4"/>
  <c r="O519" i="4"/>
  <c r="O485" i="4" s="1"/>
  <c r="O331" i="14"/>
  <c r="O281" i="14" s="1"/>
  <c r="BE482" i="3"/>
  <c r="BE506" i="3" s="1"/>
  <c r="N409" i="4"/>
  <c r="AY484" i="4"/>
  <c r="N512" i="4"/>
  <c r="N408" i="4"/>
  <c r="AY483" i="4"/>
  <c r="AC94" i="14"/>
  <c r="AB95" i="14"/>
  <c r="P456" i="3"/>
  <c r="AB94" i="14"/>
  <c r="AC95" i="14"/>
  <c r="P424" i="3"/>
  <c r="P466" i="3"/>
  <c r="P339" i="3"/>
  <c r="P359" i="3"/>
  <c r="Q88" i="3"/>
  <c r="Q94" i="3" s="1"/>
  <c r="Q343" i="3"/>
  <c r="BF86" i="3"/>
  <c r="BF88" i="3" s="1"/>
  <c r="BE467" i="3"/>
  <c r="BE523" i="3"/>
  <c r="BE522" i="3"/>
  <c r="BE581" i="3" s="1"/>
  <c r="O95" i="14"/>
  <c r="O94" i="14"/>
  <c r="BE456" i="3"/>
  <c r="O101" i="14"/>
  <c r="N446" i="4"/>
  <c r="N445" i="4"/>
  <c r="N73" i="4"/>
  <c r="P272" i="3"/>
  <c r="P160" i="3"/>
  <c r="P450" i="3" s="1"/>
  <c r="P154" i="3"/>
  <c r="O483" i="3"/>
  <c r="O507" i="3" s="1"/>
  <c r="P143" i="3" l="1"/>
  <c r="P253" i="3" s="1"/>
  <c r="P264" i="3" s="1"/>
  <c r="P274" i="3" s="1"/>
  <c r="P164" i="3"/>
  <c r="BF94" i="3"/>
  <c r="BF98" i="3" s="1"/>
  <c r="Q98" i="3"/>
  <c r="N444" i="4"/>
  <c r="N437" i="4"/>
  <c r="AY408" i="4"/>
  <c r="O483" i="4"/>
  <c r="O484" i="4" s="1"/>
  <c r="O410" i="4"/>
  <c r="O332" i="14"/>
  <c r="O294" i="14" s="1"/>
  <c r="BE483" i="3"/>
  <c r="BE507" i="3" s="1"/>
  <c r="Q345" i="3"/>
  <c r="Q349" i="3" s="1"/>
  <c r="BF343" i="3"/>
  <c r="BF345" i="3" s="1"/>
  <c r="BF349" i="3" s="1"/>
  <c r="AB331" i="14"/>
  <c r="AB281" i="14" s="1"/>
  <c r="AC331" i="14"/>
  <c r="AC281" i="14" s="1"/>
  <c r="P482" i="3"/>
  <c r="P506" i="3" s="1"/>
  <c r="AY485" i="4"/>
  <c r="AY519" i="4" s="1"/>
  <c r="AY512" i="4"/>
  <c r="N443" i="4"/>
  <c r="N68" i="4" s="1"/>
  <c r="N70" i="4" s="1"/>
  <c r="AY409" i="4"/>
  <c r="O264" i="3"/>
  <c r="O274" i="3" s="1"/>
  <c r="O4" i="3" s="1"/>
  <c r="BE253" i="3"/>
  <c r="F23" i="9" l="1"/>
  <c r="AY443" i="4"/>
  <c r="AY68" i="4" s="1"/>
  <c r="O409" i="4"/>
  <c r="O512" i="4"/>
  <c r="O408" i="4"/>
  <c r="P41" i="4"/>
  <c r="Q101" i="3"/>
  <c r="Q91" i="3"/>
  <c r="R93" i="3"/>
  <c r="R86" i="3" s="1"/>
  <c r="Q521" i="3"/>
  <c r="Q520" i="3"/>
  <c r="P4" i="3"/>
  <c r="O445" i="4"/>
  <c r="O73" i="4"/>
  <c r="O446" i="4"/>
  <c r="AY444" i="4"/>
  <c r="AY437" i="4"/>
  <c r="AY410" i="4"/>
  <c r="BF91" i="3"/>
  <c r="BF101" i="3"/>
  <c r="BG93" i="3"/>
  <c r="BF521" i="3"/>
  <c r="P96" i="14"/>
  <c r="BF520" i="3"/>
  <c r="S448" i="4"/>
  <c r="F37" i="9" l="1"/>
  <c r="F38" i="9" s="1"/>
  <c r="F30" i="9"/>
  <c r="F25" i="9"/>
  <c r="F26" i="9" s="1"/>
  <c r="F27" i="9" s="1"/>
  <c r="AY69" i="4"/>
  <c r="P292" i="14"/>
  <c r="P99" i="14"/>
  <c r="AY446" i="4"/>
  <c r="AY445" i="4"/>
  <c r="AY73" i="4"/>
  <c r="AZ41" i="4"/>
  <c r="P490" i="4"/>
  <c r="P66" i="4"/>
  <c r="P71" i="4"/>
  <c r="O443" i="4"/>
  <c r="O68" i="4" s="1"/>
  <c r="O70" i="4" s="1"/>
  <c r="R88" i="3"/>
  <c r="R94" i="3" s="1"/>
  <c r="R98" i="3" s="1"/>
  <c r="R343" i="3"/>
  <c r="Q459" i="3"/>
  <c r="Q350" i="3"/>
  <c r="Q162" i="3"/>
  <c r="Q454" i="3"/>
  <c r="Q444" i="3" s="1"/>
  <c r="O437" i="4"/>
  <c r="O444" i="4"/>
  <c r="Q424" i="3" l="1"/>
  <c r="BF424" i="3" s="1"/>
  <c r="BF444" i="3" s="1"/>
  <c r="Q456" i="3"/>
  <c r="Q466" i="3"/>
  <c r="BF459" i="3"/>
  <c r="AE96" i="14"/>
  <c r="R91" i="3"/>
  <c r="Q41" i="4"/>
  <c r="AD96" i="14"/>
  <c r="R101" i="3"/>
  <c r="S93" i="3"/>
  <c r="R521" i="3"/>
  <c r="R520" i="3"/>
  <c r="C29" i="32" s="1"/>
  <c r="P516" i="4"/>
  <c r="AZ490" i="4"/>
  <c r="P519" i="4"/>
  <c r="P485" i="4" s="1"/>
  <c r="Q154" i="3"/>
  <c r="Q272" i="3"/>
  <c r="BF272" i="3" s="1"/>
  <c r="BF264" i="3" s="1"/>
  <c r="BF274" i="3" s="1"/>
  <c r="Q160" i="3"/>
  <c r="BF350" i="3"/>
  <c r="BF351" i="3" s="1"/>
  <c r="Q351" i="3"/>
  <c r="R345" i="3"/>
  <c r="R349" i="3" s="1"/>
  <c r="AZ71" i="4"/>
  <c r="AZ66" i="4"/>
  <c r="BF359" i="3" l="1"/>
  <c r="BF339" i="3"/>
  <c r="AZ516" i="4"/>
  <c r="S86" i="3"/>
  <c r="Q66" i="4"/>
  <c r="Q490" i="4"/>
  <c r="Q71" i="4"/>
  <c r="Q482" i="3"/>
  <c r="Q506" i="3" s="1"/>
  <c r="P95" i="14"/>
  <c r="P94" i="14"/>
  <c r="P101" i="14"/>
  <c r="Q339" i="3"/>
  <c r="Q359" i="3"/>
  <c r="Q450" i="3"/>
  <c r="BF450" i="3" s="1"/>
  <c r="BF454" i="3" s="1"/>
  <c r="BF160" i="3"/>
  <c r="BF162" i="3" s="1"/>
  <c r="BF154" i="3" s="1"/>
  <c r="BF164" i="3" s="1"/>
  <c r="Q143" i="3"/>
  <c r="Q164" i="3"/>
  <c r="P483" i="4"/>
  <c r="P484" i="4" s="1"/>
  <c r="P410" i="4"/>
  <c r="AD99" i="14"/>
  <c r="AE292" i="14"/>
  <c r="R454" i="3"/>
  <c r="R444" i="3" s="1"/>
  <c r="R162" i="3"/>
  <c r="AE99" i="14"/>
  <c r="AD292" i="14"/>
  <c r="R459" i="3"/>
  <c r="R350" i="3"/>
  <c r="BF466" i="3"/>
  <c r="AE101" i="14" l="1"/>
  <c r="AD101" i="14"/>
  <c r="P331" i="14"/>
  <c r="P281" i="14" s="1"/>
  <c r="BF482" i="3"/>
  <c r="BF506" i="3" s="1"/>
  <c r="R466" i="3"/>
  <c r="AD94" i="14"/>
  <c r="AE95" i="14"/>
  <c r="R424" i="3"/>
  <c r="AE94" i="14"/>
  <c r="AD95" i="14"/>
  <c r="R456" i="3"/>
  <c r="P446" i="4"/>
  <c r="P445" i="4"/>
  <c r="P73" i="4"/>
  <c r="S88" i="3"/>
  <c r="S94" i="3" s="1"/>
  <c r="S343" i="3"/>
  <c r="BG86" i="3"/>
  <c r="BG88" i="3" s="1"/>
  <c r="R160" i="3"/>
  <c r="R450" i="3" s="1"/>
  <c r="R272" i="3"/>
  <c r="R154" i="3"/>
  <c r="P409" i="4"/>
  <c r="AZ484" i="4"/>
  <c r="P512" i="4"/>
  <c r="P408" i="4"/>
  <c r="AZ483" i="4"/>
  <c r="BF143" i="3"/>
  <c r="Q253" i="3"/>
  <c r="Q516" i="4"/>
  <c r="Q519" i="4"/>
  <c r="Q485" i="4" s="1"/>
  <c r="R351" i="3"/>
  <c r="BH559" i="3"/>
  <c r="BH560" i="3"/>
  <c r="P444" i="4" l="1"/>
  <c r="P437" i="4"/>
  <c r="AZ408" i="4"/>
  <c r="R164" i="3"/>
  <c r="R143" i="3"/>
  <c r="R253" i="3" s="1"/>
  <c r="R264" i="3" s="1"/>
  <c r="R274" i="3" s="1"/>
  <c r="S345" i="3"/>
  <c r="S349" i="3" s="1"/>
  <c r="BG343" i="3"/>
  <c r="BG345" i="3" s="1"/>
  <c r="BG349" i="3" s="1"/>
  <c r="R339" i="3"/>
  <c r="R359" i="3"/>
  <c r="Q483" i="4"/>
  <c r="Q484" i="4" s="1"/>
  <c r="Q409" i="4" s="1"/>
  <c r="Q410" i="4"/>
  <c r="Q264" i="3"/>
  <c r="Q274" i="3" s="1"/>
  <c r="Q4" i="3" s="1"/>
  <c r="BF253" i="3"/>
  <c r="AZ512" i="4"/>
  <c r="AZ485" i="4"/>
  <c r="AZ519" i="4" s="1"/>
  <c r="P443" i="4"/>
  <c r="P68" i="4" s="1"/>
  <c r="P70" i="4" s="1"/>
  <c r="AZ409" i="4"/>
  <c r="BG94" i="3"/>
  <c r="BG98" i="3" s="1"/>
  <c r="S98" i="3"/>
  <c r="AD331" i="14"/>
  <c r="AD281" i="14" s="1"/>
  <c r="AE331" i="14"/>
  <c r="AE281" i="14" s="1"/>
  <c r="R482" i="3"/>
  <c r="R506" i="3" s="1"/>
  <c r="BH558" i="3"/>
  <c r="BH566" i="3"/>
  <c r="BH565" i="3"/>
  <c r="BH568" i="3"/>
  <c r="BH569" i="3"/>
  <c r="G23" i="9" l="1"/>
  <c r="AZ443" i="4"/>
  <c r="AZ68" i="4" s="1"/>
  <c r="T93" i="3"/>
  <c r="T86" i="3" s="1"/>
  <c r="R41" i="4"/>
  <c r="R490" i="4" s="1"/>
  <c r="S91" i="3"/>
  <c r="S101" i="3"/>
  <c r="S521" i="3"/>
  <c r="S520" i="3"/>
  <c r="D29" i="32" s="1"/>
  <c r="Q512" i="4"/>
  <c r="Q408" i="4"/>
  <c r="R4" i="3"/>
  <c r="Q96" i="14"/>
  <c r="BH93" i="3"/>
  <c r="BG520" i="3"/>
  <c r="AF29" i="32" s="1"/>
  <c r="BG91" i="3"/>
  <c r="BG101" i="3"/>
  <c r="BG521" i="3"/>
  <c r="Q446" i="4"/>
  <c r="Q73" i="4"/>
  <c r="Q445" i="4"/>
  <c r="AZ444" i="4"/>
  <c r="AZ410" i="4"/>
  <c r="AZ437" i="4"/>
  <c r="BI559" i="3"/>
  <c r="BI560" i="3"/>
  <c r="BH25" i="3"/>
  <c r="BH571" i="3"/>
  <c r="BH567" i="3"/>
  <c r="BH570" i="3"/>
  <c r="BH23" i="3"/>
  <c r="G37" i="9" l="1"/>
  <c r="G38" i="9" s="1"/>
  <c r="G25" i="9"/>
  <c r="G26" i="9" s="1"/>
  <c r="G27" i="9" s="1"/>
  <c r="G30" i="9"/>
  <c r="AZ69" i="4"/>
  <c r="AZ445" i="4"/>
  <c r="AZ446" i="4"/>
  <c r="AZ73" i="4"/>
  <c r="Q99" i="14"/>
  <c r="Q292" i="14"/>
  <c r="Q444" i="4"/>
  <c r="Q437" i="4"/>
  <c r="Q443" i="4"/>
  <c r="Q68" i="4" s="1"/>
  <c r="Q70" i="4" s="1"/>
  <c r="BA41" i="4"/>
  <c r="R66" i="4"/>
  <c r="R71" i="4"/>
  <c r="S350" i="3"/>
  <c r="S459" i="3"/>
  <c r="S454" i="3"/>
  <c r="S162" i="3"/>
  <c r="T343" i="3"/>
  <c r="T88" i="3"/>
  <c r="T94" i="3" s="1"/>
  <c r="T98" i="3" s="1"/>
  <c r="BH561" i="3"/>
  <c r="BH563" i="3" s="1"/>
  <c r="BH24" i="3"/>
  <c r="BI558" i="3"/>
  <c r="BI565" i="3"/>
  <c r="BI566" i="3"/>
  <c r="BI568" i="3"/>
  <c r="BI569" i="3"/>
  <c r="U93" i="3" l="1"/>
  <c r="U86" i="3" s="1"/>
  <c r="U88" i="3" s="1"/>
  <c r="U94" i="3" s="1"/>
  <c r="U98" i="3" s="1"/>
  <c r="S444" i="3"/>
  <c r="BG350" i="3"/>
  <c r="BG351" i="3" s="1"/>
  <c r="S351" i="3"/>
  <c r="BA71" i="4"/>
  <c r="BA66" i="4"/>
  <c r="S41" i="4"/>
  <c r="S490" i="4" s="1"/>
  <c r="T101" i="3"/>
  <c r="AF96" i="14"/>
  <c r="T91" i="3"/>
  <c r="T520" i="3"/>
  <c r="E29" i="32" s="1"/>
  <c r="T521" i="3"/>
  <c r="T345" i="3"/>
  <c r="S272" i="3"/>
  <c r="BG272" i="3" s="1"/>
  <c r="BG264" i="3" s="1"/>
  <c r="BG274" i="3" s="1"/>
  <c r="S154" i="3"/>
  <c r="S160" i="3"/>
  <c r="S463" i="3"/>
  <c r="BG459" i="3"/>
  <c r="S466" i="3"/>
  <c r="BA490" i="4"/>
  <c r="R516" i="4"/>
  <c r="R519" i="4"/>
  <c r="R485" i="4" s="1"/>
  <c r="BH22" i="3"/>
  <c r="BI25" i="3"/>
  <c r="BJ559" i="3"/>
  <c r="BI561" i="3"/>
  <c r="BI563" i="3" s="1"/>
  <c r="BI23" i="3"/>
  <c r="BI571" i="3"/>
  <c r="BI567" i="3"/>
  <c r="BI570" i="3"/>
  <c r="BJ560" i="3"/>
  <c r="U101" i="3" l="1"/>
  <c r="U162" i="3" s="1"/>
  <c r="V93" i="3"/>
  <c r="V86" i="3" s="1"/>
  <c r="V343" i="3" s="1"/>
  <c r="V345" i="3" s="1"/>
  <c r="V349" i="3" s="1"/>
  <c r="U521" i="3"/>
  <c r="U520" i="3"/>
  <c r="F29" i="32" s="1"/>
  <c r="U343" i="3"/>
  <c r="BH86" i="3"/>
  <c r="S482" i="3"/>
  <c r="S506" i="3" s="1"/>
  <c r="S467" i="3"/>
  <c r="S484" i="3"/>
  <c r="BG484" i="3" s="1"/>
  <c r="S143" i="3"/>
  <c r="S164" i="3"/>
  <c r="AF292" i="14"/>
  <c r="T162" i="3"/>
  <c r="T350" i="3"/>
  <c r="AF99" i="14"/>
  <c r="T459" i="3"/>
  <c r="T454" i="3"/>
  <c r="S66" i="4"/>
  <c r="S71" i="4"/>
  <c r="S359" i="3"/>
  <c r="S339" i="3"/>
  <c r="R483" i="4"/>
  <c r="R484" i="4" s="1"/>
  <c r="R410" i="4"/>
  <c r="BA516" i="4"/>
  <c r="BG466" i="3"/>
  <c r="BG463" i="3"/>
  <c r="S450" i="3"/>
  <c r="BG450" i="3" s="1"/>
  <c r="BG454" i="3" s="1"/>
  <c r="BG160" i="3"/>
  <c r="BG162" i="3" s="1"/>
  <c r="BG154" i="3" s="1"/>
  <c r="BG164" i="3" s="1"/>
  <c r="BG359" i="3"/>
  <c r="BG339" i="3"/>
  <c r="S424" i="3"/>
  <c r="BG424" i="3" s="1"/>
  <c r="BG444" i="3" s="1"/>
  <c r="S456" i="3"/>
  <c r="BI22" i="3"/>
  <c r="BJ558" i="3"/>
  <c r="BJ568" i="3"/>
  <c r="BH562" i="3"/>
  <c r="BH564" i="3" s="1"/>
  <c r="BJ566" i="3"/>
  <c r="BJ565" i="3"/>
  <c r="BI24" i="3"/>
  <c r="U350" i="3" l="1"/>
  <c r="U454" i="3"/>
  <c r="U444" i="3" s="1"/>
  <c r="U424" i="3" s="1"/>
  <c r="U459" i="3"/>
  <c r="U466" i="3" s="1"/>
  <c r="V88" i="3"/>
  <c r="V94" i="3" s="1"/>
  <c r="V98" i="3" s="1"/>
  <c r="U345" i="3"/>
  <c r="BH343" i="3"/>
  <c r="U154" i="3"/>
  <c r="U272" i="3"/>
  <c r="U160" i="3"/>
  <c r="U450" i="3" s="1"/>
  <c r="Q331" i="14"/>
  <c r="Q281" i="14" s="1"/>
  <c r="BG482" i="3"/>
  <c r="BG506" i="3" s="1"/>
  <c r="R446" i="4"/>
  <c r="R73" i="4"/>
  <c r="R445" i="4"/>
  <c r="T463" i="3"/>
  <c r="T466" i="3"/>
  <c r="T160" i="3"/>
  <c r="T450" i="3" s="1"/>
  <c r="T154" i="3"/>
  <c r="T272" i="3"/>
  <c r="BG456" i="3"/>
  <c r="Q95" i="14"/>
  <c r="Q94" i="14"/>
  <c r="Q101" i="14"/>
  <c r="BG467" i="3"/>
  <c r="R409" i="4"/>
  <c r="BA484" i="4"/>
  <c r="R512" i="4"/>
  <c r="R408" i="4"/>
  <c r="BA483" i="4"/>
  <c r="BA512" i="4" s="1"/>
  <c r="S516" i="4"/>
  <c r="S519" i="4"/>
  <c r="S485" i="4" s="1"/>
  <c r="T444" i="3"/>
  <c r="S253" i="3"/>
  <c r="BG143" i="3"/>
  <c r="S483" i="3"/>
  <c r="S507" i="3" s="1"/>
  <c r="BH26" i="3"/>
  <c r="BC23" i="4"/>
  <c r="BJ23" i="3"/>
  <c r="BJ25" i="3"/>
  <c r="BJ561" i="3"/>
  <c r="BJ563" i="3" s="1"/>
  <c r="BJ570" i="3"/>
  <c r="BJ567" i="3"/>
  <c r="BB23" i="4"/>
  <c r="BI562" i="3"/>
  <c r="BI564" i="3" s="1"/>
  <c r="AG8" i="32" l="1"/>
  <c r="AG10" i="32" s="1"/>
  <c r="AH8" i="32"/>
  <c r="BC59" i="4"/>
  <c r="BB28" i="4"/>
  <c r="U463" i="3"/>
  <c r="U523" i="3" s="1"/>
  <c r="W93" i="3"/>
  <c r="W86" i="3" s="1"/>
  <c r="U456" i="3"/>
  <c r="V101" i="3"/>
  <c r="V459" i="3" s="1"/>
  <c r="V520" i="3"/>
  <c r="G29" i="32" s="1"/>
  <c r="U482" i="3"/>
  <c r="U506" i="3" s="1"/>
  <c r="U143" i="3"/>
  <c r="U253" i="3" s="1"/>
  <c r="U264" i="3" s="1"/>
  <c r="U274" i="3" s="1"/>
  <c r="U164" i="3"/>
  <c r="BA485" i="4"/>
  <c r="BA519" i="4" s="1"/>
  <c r="S483" i="4"/>
  <c r="S410" i="4"/>
  <c r="BA409" i="4"/>
  <c r="R443" i="4"/>
  <c r="R68" i="4" s="1"/>
  <c r="R70" i="4" s="1"/>
  <c r="BG483" i="3"/>
  <c r="BG507" i="3" s="1"/>
  <c r="Q332" i="14"/>
  <c r="Q294" i="14" s="1"/>
  <c r="T143" i="3"/>
  <c r="T164" i="3"/>
  <c r="T482" i="3"/>
  <c r="T506" i="3" s="1"/>
  <c r="AF331" i="14"/>
  <c r="AF281" i="14" s="1"/>
  <c r="BG253" i="3"/>
  <c r="S264" i="3"/>
  <c r="S274" i="3" s="1"/>
  <c r="S4" i="3" s="1"/>
  <c r="T424" i="3"/>
  <c r="AF95" i="14"/>
  <c r="AF94" i="14"/>
  <c r="T456" i="3"/>
  <c r="AF101" i="14"/>
  <c r="R444" i="4"/>
  <c r="R437" i="4"/>
  <c r="BA408" i="4"/>
  <c r="T484" i="3"/>
  <c r="T467" i="3"/>
  <c r="T522" i="3"/>
  <c r="E30" i="32" s="1"/>
  <c r="T523" i="3"/>
  <c r="AG35" i="14"/>
  <c r="AG22" i="14"/>
  <c r="AH35" i="14"/>
  <c r="AH22" i="14"/>
  <c r="BJ22" i="3"/>
  <c r="BI26" i="3"/>
  <c r="BB321" i="4"/>
  <c r="BB245" i="4"/>
  <c r="BB59" i="4"/>
  <c r="BJ24" i="3"/>
  <c r="BH71" i="3"/>
  <c r="BB91" i="4"/>
  <c r="BB96" i="4" s="1"/>
  <c r="BB169" i="4"/>
  <c r="BB677" i="4"/>
  <c r="BJ562" i="3"/>
  <c r="BJ564" i="3" s="1"/>
  <c r="BB250" i="4" l="1"/>
  <c r="AH154" i="28"/>
  <c r="AH70" i="28" s="1"/>
  <c r="BB174" i="4"/>
  <c r="AH148" i="28"/>
  <c r="BB326" i="4"/>
  <c r="AH160" i="28"/>
  <c r="AH92" i="28" s="1"/>
  <c r="U484" i="3"/>
  <c r="U522" i="3"/>
  <c r="U467" i="3"/>
  <c r="U483" i="3" s="1"/>
  <c r="U507" i="3" s="1"/>
  <c r="S484" i="4"/>
  <c r="S409" i="4" s="1"/>
  <c r="W343" i="3"/>
  <c r="W88" i="3"/>
  <c r="W94" i="3" s="1"/>
  <c r="W98" i="3" s="1"/>
  <c r="BI86" i="3"/>
  <c r="V454" i="3"/>
  <c r="V463" i="3"/>
  <c r="V466" i="3"/>
  <c r="V162" i="3"/>
  <c r="V272" i="3" s="1"/>
  <c r="T581" i="3"/>
  <c r="T253" i="3"/>
  <c r="T264" i="3" s="1"/>
  <c r="T274" i="3" s="1"/>
  <c r="BA443" i="4"/>
  <c r="S446" i="4"/>
  <c r="S445" i="4"/>
  <c r="S73" i="4"/>
  <c r="T483" i="3"/>
  <c r="T507" i="3" s="1"/>
  <c r="AF332" i="14"/>
  <c r="AF294" i="14" s="1"/>
  <c r="BA444" i="4"/>
  <c r="BA437" i="4"/>
  <c r="BA410" i="4"/>
  <c r="BH424" i="3"/>
  <c r="S408" i="4"/>
  <c r="S512" i="4"/>
  <c r="AI35" i="14"/>
  <c r="AI22" i="14"/>
  <c r="R35" i="14"/>
  <c r="R22" i="14"/>
  <c r="AG291" i="14"/>
  <c r="AG24" i="14"/>
  <c r="AG23" i="14"/>
  <c r="BB464" i="4"/>
  <c r="BB469" i="4" s="1"/>
  <c r="BJ26" i="3"/>
  <c r="BB719" i="4"/>
  <c r="BI71" i="3"/>
  <c r="BB299" i="4"/>
  <c r="BB290" i="4"/>
  <c r="BC321" i="4"/>
  <c r="AI160" i="28" s="1"/>
  <c r="AI92" i="28" s="1"/>
  <c r="T305" i="4"/>
  <c r="BB133" i="4"/>
  <c r="BB142" i="4"/>
  <c r="Y26" i="3"/>
  <c r="BD23" i="4"/>
  <c r="BC677" i="4"/>
  <c r="BC719" i="4" s="1"/>
  <c r="BC169" i="4"/>
  <c r="AI148" i="28" s="1"/>
  <c r="BB210" i="4"/>
  <c r="BH73" i="3"/>
  <c r="AH137" i="28" s="1"/>
  <c r="AH6" i="28" s="1"/>
  <c r="BB392" i="4"/>
  <c r="BB397" i="4" s="1"/>
  <c r="BB362" i="4"/>
  <c r="U581" i="3" l="1"/>
  <c r="F30" i="32"/>
  <c r="AI8" i="32"/>
  <c r="BD59" i="4"/>
  <c r="AH9" i="28"/>
  <c r="AH8" i="28"/>
  <c r="AI95" i="28"/>
  <c r="AI94" i="28"/>
  <c r="AH95" i="28"/>
  <c r="AH94" i="28"/>
  <c r="AH73" i="28"/>
  <c r="AH72" i="28"/>
  <c r="BH528" i="3"/>
  <c r="BC210" i="4"/>
  <c r="BC174" i="4"/>
  <c r="BC362" i="4"/>
  <c r="BC326" i="4"/>
  <c r="V41" i="4"/>
  <c r="V66" i="4" s="1"/>
  <c r="X93" i="3"/>
  <c r="X86" i="3" s="1"/>
  <c r="X343" i="3" s="1"/>
  <c r="X345" i="3" s="1"/>
  <c r="W101" i="3"/>
  <c r="W520" i="3"/>
  <c r="H29" i="32" s="1"/>
  <c r="W521" i="3"/>
  <c r="V482" i="3"/>
  <c r="V506" i="3" s="1"/>
  <c r="V444" i="3"/>
  <c r="V456" i="3" s="1"/>
  <c r="W345" i="3"/>
  <c r="BI343" i="3"/>
  <c r="V154" i="3"/>
  <c r="V143" i="3" s="1"/>
  <c r="V253" i="3" s="1"/>
  <c r="V264" i="3" s="1"/>
  <c r="V274" i="3" s="1"/>
  <c r="V467" i="3"/>
  <c r="V522" i="3"/>
  <c r="G30" i="32" s="1"/>
  <c r="V160" i="3"/>
  <c r="V450" i="3" s="1"/>
  <c r="T260" i="4"/>
  <c r="BB260" i="4" s="1"/>
  <c r="T336" i="4"/>
  <c r="T371" i="4" s="1"/>
  <c r="T692" i="4"/>
  <c r="T184" i="4"/>
  <c r="T106" i="4"/>
  <c r="BB508" i="4"/>
  <c r="S444" i="4"/>
  <c r="S437" i="4"/>
  <c r="S443" i="4"/>
  <c r="S68" i="4" s="1"/>
  <c r="S70" i="4" s="1"/>
  <c r="BA445" i="4"/>
  <c r="BA446" i="4"/>
  <c r="BA73" i="4"/>
  <c r="BA68" i="4"/>
  <c r="BA69" i="4"/>
  <c r="BH253" i="3"/>
  <c r="BH143" i="3"/>
  <c r="S35" i="14"/>
  <c r="S22" i="14"/>
  <c r="R291" i="14"/>
  <c r="R24" i="14"/>
  <c r="R23" i="14"/>
  <c r="BB365" i="4"/>
  <c r="BB368" i="4"/>
  <c r="BB330" i="4"/>
  <c r="BB332" i="4" s="1"/>
  <c r="BB433" i="4"/>
  <c r="T257" i="4"/>
  <c r="T258" i="4" s="1"/>
  <c r="BB213" i="4"/>
  <c r="BB178" i="4"/>
  <c r="BB180" i="4" s="1"/>
  <c r="BB217" i="4"/>
  <c r="T333" i="4"/>
  <c r="T334" i="4" s="1"/>
  <c r="BB370" i="4"/>
  <c r="BC392" i="4"/>
  <c r="BB297" i="4"/>
  <c r="BB294" i="4"/>
  <c r="BB293" i="4"/>
  <c r="BB254" i="4"/>
  <c r="BB256" i="4" s="1"/>
  <c r="BC464" i="4"/>
  <c r="BB219" i="4"/>
  <c r="BH527" i="3"/>
  <c r="BB140" i="4"/>
  <c r="BB136" i="4"/>
  <c r="BB100" i="4"/>
  <c r="BB102" i="4" s="1"/>
  <c r="BC245" i="4"/>
  <c r="AI154" i="28" s="1"/>
  <c r="AI70" i="28" s="1"/>
  <c r="BC91" i="4"/>
  <c r="BC133" i="4" s="1"/>
  <c r="AI72" i="28" l="1"/>
  <c r="AI73" i="28"/>
  <c r="BC290" i="4"/>
  <c r="BC250" i="4"/>
  <c r="BC508" i="4"/>
  <c r="BC469" i="4"/>
  <c r="BC433" i="4"/>
  <c r="BC397" i="4"/>
  <c r="X88" i="3"/>
  <c r="X94" i="3" s="1"/>
  <c r="X98" i="3" s="1"/>
  <c r="V424" i="3"/>
  <c r="V483" i="3"/>
  <c r="V507" i="3" s="1"/>
  <c r="W459" i="3"/>
  <c r="W454" i="3"/>
  <c r="W162" i="3"/>
  <c r="V581" i="3"/>
  <c r="BC217" i="4"/>
  <c r="BC213" i="4"/>
  <c r="BC368" i="4"/>
  <c r="BC365" i="4"/>
  <c r="V164" i="3"/>
  <c r="U225" i="4"/>
  <c r="T693" i="4"/>
  <c r="T694" i="4" s="1"/>
  <c r="T407" i="4"/>
  <c r="BB407" i="4" s="1"/>
  <c r="T481" i="4"/>
  <c r="BB336" i="4"/>
  <c r="T185" i="4"/>
  <c r="T186" i="4" s="1"/>
  <c r="BB184" i="4"/>
  <c r="BB106" i="4"/>
  <c r="BB692" i="4"/>
  <c r="T181" i="4"/>
  <c r="T182" i="4" s="1"/>
  <c r="BC330" i="4"/>
  <c r="BC332" i="4" s="1"/>
  <c r="T103" i="4"/>
  <c r="T104" i="4" s="1"/>
  <c r="BB225" i="4"/>
  <c r="BC219" i="4"/>
  <c r="BB442" i="4"/>
  <c r="BC178" i="4"/>
  <c r="BC180" i="4" s="1"/>
  <c r="BB75" i="4"/>
  <c r="BC370" i="4"/>
  <c r="BB153" i="4"/>
  <c r="BB436" i="4"/>
  <c r="BB440" i="4"/>
  <c r="BB401" i="4"/>
  <c r="BB403" i="4" s="1"/>
  <c r="BB305" i="4"/>
  <c r="BJ71" i="3"/>
  <c r="Y93" i="3" l="1"/>
  <c r="Y86" i="3" s="1"/>
  <c r="X101" i="3"/>
  <c r="X520" i="3"/>
  <c r="I29" i="32" s="1"/>
  <c r="X521" i="3"/>
  <c r="W444" i="3"/>
  <c r="W424" i="3" s="1"/>
  <c r="W160" i="3"/>
  <c r="W450" i="3" s="1"/>
  <c r="W154" i="3"/>
  <c r="W272" i="3"/>
  <c r="W463" i="3"/>
  <c r="W466" i="3"/>
  <c r="V184" i="4"/>
  <c r="V185" i="4" s="1"/>
  <c r="V260" i="4"/>
  <c r="V407" i="4" s="1"/>
  <c r="V106" i="4"/>
  <c r="V692" i="4"/>
  <c r="BC440" i="4"/>
  <c r="BC436" i="4"/>
  <c r="BC299" i="4"/>
  <c r="BC297" i="4"/>
  <c r="BC294" i="4"/>
  <c r="BC293" i="4"/>
  <c r="U153" i="4"/>
  <c r="BB481" i="4"/>
  <c r="U336" i="4"/>
  <c r="U371" i="4" s="1"/>
  <c r="V257" i="4"/>
  <c r="T35" i="14"/>
  <c r="T22" i="14"/>
  <c r="BB376" i="4"/>
  <c r="BD245" i="4"/>
  <c r="BC153" i="4"/>
  <c r="BD392" i="4"/>
  <c r="BD433" i="4" s="1"/>
  <c r="BD321" i="4"/>
  <c r="AJ160" i="28" s="1"/>
  <c r="AJ92" i="28" s="1"/>
  <c r="BD464" i="4"/>
  <c r="BD677" i="4"/>
  <c r="BD719" i="4" s="1"/>
  <c r="V333" i="4"/>
  <c r="BD91" i="4"/>
  <c r="BD133" i="4" s="1"/>
  <c r="BD169" i="4"/>
  <c r="BC401" i="4"/>
  <c r="BC403" i="4" s="1"/>
  <c r="BC305" i="4"/>
  <c r="BC254" i="4"/>
  <c r="BC256" i="4" s="1"/>
  <c r="AJ95" i="28" l="1"/>
  <c r="AJ94" i="28"/>
  <c r="BD290" i="4"/>
  <c r="AJ154" i="28"/>
  <c r="AJ70" i="28" s="1"/>
  <c r="BD210" i="4"/>
  <c r="AJ148" i="28"/>
  <c r="BD508" i="4"/>
  <c r="BD362" i="4"/>
  <c r="BD326" i="4"/>
  <c r="Y88" i="3"/>
  <c r="Y94" i="3" s="1"/>
  <c r="Y98" i="3" s="1"/>
  <c r="Y343" i="3"/>
  <c r="BJ86" i="3"/>
  <c r="V334" i="4"/>
  <c r="V258" i="4"/>
  <c r="W456" i="3"/>
  <c r="X454" i="3"/>
  <c r="X162" i="3"/>
  <c r="X459" i="3"/>
  <c r="W482" i="3"/>
  <c r="W506" i="3" s="1"/>
  <c r="V481" i="4"/>
  <c r="W143" i="3"/>
  <c r="W164" i="3"/>
  <c r="W467" i="3"/>
  <c r="W484" i="3"/>
  <c r="W522" i="3"/>
  <c r="H30" i="32" s="1"/>
  <c r="W523" i="3"/>
  <c r="BI424" i="3"/>
  <c r="V186" i="4"/>
  <c r="V221" i="4"/>
  <c r="V214" i="4"/>
  <c r="V730" i="4"/>
  <c r="U106" i="4"/>
  <c r="U692" i="4"/>
  <c r="U260" i="4"/>
  <c r="U407" i="4" s="1"/>
  <c r="U184" i="4"/>
  <c r="BC225" i="4"/>
  <c r="BC442" i="4"/>
  <c r="V181" i="4"/>
  <c r="BC376" i="4"/>
  <c r="AJ73" i="28" l="1"/>
  <c r="AJ72" i="28"/>
  <c r="Z93" i="3"/>
  <c r="Y345" i="3"/>
  <c r="Y349" i="3" s="1"/>
  <c r="BJ343" i="3"/>
  <c r="Y101" i="3"/>
  <c r="Y521" i="3"/>
  <c r="Y520" i="3"/>
  <c r="J29" i="32" s="1"/>
  <c r="V182" i="4"/>
  <c r="X182" i="4"/>
  <c r="X444" i="3"/>
  <c r="X456" i="3" s="1"/>
  <c r="X160" i="3"/>
  <c r="X450" i="3" s="1"/>
  <c r="X154" i="3"/>
  <c r="X272" i="3"/>
  <c r="X466" i="3"/>
  <c r="X463" i="3"/>
  <c r="W483" i="3"/>
  <c r="W507" i="3" s="1"/>
  <c r="W581" i="3"/>
  <c r="W253" i="3"/>
  <c r="BI143" i="3"/>
  <c r="V694" i="4"/>
  <c r="BD365" i="4"/>
  <c r="U481" i="4"/>
  <c r="U185" i="4"/>
  <c r="U186" i="4" s="1"/>
  <c r="U694" i="4"/>
  <c r="U723" i="4"/>
  <c r="U730" i="4"/>
  <c r="BE677" i="4"/>
  <c r="BE719" i="4" s="1"/>
  <c r="BD370" i="4"/>
  <c r="X424" i="3" l="1"/>
  <c r="Y454" i="3"/>
  <c r="Y350" i="3"/>
  <c r="Y351" i="3" s="1"/>
  <c r="Y359" i="3" s="1"/>
  <c r="Y459" i="3"/>
  <c r="Y162" i="3"/>
  <c r="X482" i="3"/>
  <c r="X506" i="3" s="1"/>
  <c r="X467" i="3"/>
  <c r="X484" i="3"/>
  <c r="X523" i="3"/>
  <c r="X522" i="3"/>
  <c r="I30" i="32" s="1"/>
  <c r="X164" i="3"/>
  <c r="X143" i="3"/>
  <c r="X253" i="3" s="1"/>
  <c r="X264" i="3" s="1"/>
  <c r="X274" i="3" s="1"/>
  <c r="W264" i="3"/>
  <c r="W274" i="3" s="1"/>
  <c r="BI253" i="3"/>
  <c r="BC481" i="4"/>
  <c r="U214" i="4"/>
  <c r="U221" i="4"/>
  <c r="BB29" i="4"/>
  <c r="AH166" i="28" l="1"/>
  <c r="AH104" i="28" s="1"/>
  <c r="AH107" i="28" s="1"/>
  <c r="Y444" i="3"/>
  <c r="Y424" i="3" s="1"/>
  <c r="Y466" i="3"/>
  <c r="Y463" i="3"/>
  <c r="Y154" i="3"/>
  <c r="Y272" i="3"/>
  <c r="Y160" i="3"/>
  <c r="Y450" i="3" s="1"/>
  <c r="X483" i="3"/>
  <c r="X507" i="3" s="1"/>
  <c r="X581" i="3"/>
  <c r="AG25" i="14"/>
  <c r="BH74" i="3"/>
  <c r="AG12" i="32" s="1"/>
  <c r="AG15" i="32" s="1"/>
  <c r="BB65" i="4"/>
  <c r="BB61" i="4"/>
  <c r="BB62" i="4"/>
  <c r="BB32" i="4"/>
  <c r="BF677" i="4"/>
  <c r="BF719" i="4" s="1"/>
  <c r="AH106" i="28" l="1"/>
  <c r="Y456" i="3"/>
  <c r="Y482" i="3"/>
  <c r="Y506" i="3" s="1"/>
  <c r="Y467" i="3"/>
  <c r="Y484" i="3"/>
  <c r="Y522" i="3"/>
  <c r="J30" i="32" s="1"/>
  <c r="Y523" i="3"/>
  <c r="Y143" i="3"/>
  <c r="Y253" i="3" s="1"/>
  <c r="Y164" i="3"/>
  <c r="BC184" i="4"/>
  <c r="BC472" i="4"/>
  <c r="BC692" i="4"/>
  <c r="BC407" i="4"/>
  <c r="BC336" i="4"/>
  <c r="BC260" i="4"/>
  <c r="BC106" i="4"/>
  <c r="AG33" i="14"/>
  <c r="AG289" i="14"/>
  <c r="AG290" i="14"/>
  <c r="AG46" i="14"/>
  <c r="AG40" i="14" s="1"/>
  <c r="AG39" i="14"/>
  <c r="AG32" i="14"/>
  <c r="R25" i="14"/>
  <c r="BB33" i="4"/>
  <c r="BB67" i="4" s="1"/>
  <c r="BH546" i="3"/>
  <c r="BH529" i="3"/>
  <c r="BH530" i="3" s="1"/>
  <c r="BH550" i="3"/>
  <c r="BH531" i="3"/>
  <c r="BH532" i="3"/>
  <c r="BH534" i="3"/>
  <c r="AG23" i="32" s="1"/>
  <c r="BH535" i="3"/>
  <c r="BH77" i="3"/>
  <c r="BH549" i="3"/>
  <c r="BH547" i="3"/>
  <c r="BH548" i="3"/>
  <c r="BB518" i="4" l="1"/>
  <c r="AG24" i="32"/>
  <c r="AG17" i="32"/>
  <c r="BJ143" i="3"/>
  <c r="Y483" i="3"/>
  <c r="Y507" i="3" s="1"/>
  <c r="Y264" i="3"/>
  <c r="Y274" i="3" s="1"/>
  <c r="BJ253" i="3"/>
  <c r="BC514" i="4"/>
  <c r="BC513" i="4"/>
  <c r="BC31" i="4"/>
  <c r="BG677" i="4"/>
  <c r="BG719" i="4" s="1"/>
  <c r="R33" i="14"/>
  <c r="R290" i="14"/>
  <c r="R289" i="14"/>
  <c r="R46" i="14"/>
  <c r="R40" i="14" s="1"/>
  <c r="R39" i="14"/>
  <c r="R32" i="14"/>
  <c r="AG302" i="14"/>
  <c r="AG303" i="14"/>
  <c r="BB36" i="4"/>
  <c r="BH37" i="3"/>
  <c r="BH476" i="3"/>
  <c r="BH501" i="3" s="1"/>
  <c r="BH78" i="3"/>
  <c r="AG18" i="32" s="1"/>
  <c r="BB474" i="4"/>
  <c r="BB7" i="4" l="1"/>
  <c r="BC64" i="4"/>
  <c r="BC63" i="4"/>
  <c r="BH677" i="4"/>
  <c r="BH719" i="4" s="1"/>
  <c r="BI76" i="3"/>
  <c r="AH14" i="32" s="1"/>
  <c r="BH32" i="3"/>
  <c r="AG310" i="14"/>
  <c r="AG285" i="14"/>
  <c r="R303" i="14"/>
  <c r="R302" i="14"/>
  <c r="AG298" i="14"/>
  <c r="AG307" i="14"/>
  <c r="AG309" i="14" s="1"/>
  <c r="AG288" i="14"/>
  <c r="BH81" i="3"/>
  <c r="AG20" i="32" s="1"/>
  <c r="BH30" i="3"/>
  <c r="BH31" i="3"/>
  <c r="BH578" i="3"/>
  <c r="AG28" i="32" s="1"/>
  <c r="AH176" i="28" l="1"/>
  <c r="AH12" i="28" s="1"/>
  <c r="BI533" i="3"/>
  <c r="BH341" i="3"/>
  <c r="BH345" i="3" s="1"/>
  <c r="AG313" i="14"/>
  <c r="R49" i="14"/>
  <c r="R50" i="14"/>
  <c r="BH84" i="3"/>
  <c r="BH524" i="3"/>
  <c r="BH536" i="3"/>
  <c r="BH526" i="3"/>
  <c r="BH472" i="3"/>
  <c r="AG25" i="32" s="1"/>
  <c r="BH474" i="3"/>
  <c r="AG26" i="32" s="1"/>
  <c r="BH525" i="3"/>
  <c r="BH58" i="3"/>
  <c r="BH579" i="3"/>
  <c r="BH94" i="3"/>
  <c r="BH98" i="3" s="1"/>
  <c r="AH15" i="28" l="1"/>
  <c r="AH14" i="28"/>
  <c r="H18" i="9"/>
  <c r="H23" i="9"/>
  <c r="T41" i="4"/>
  <c r="T490" i="4" s="1"/>
  <c r="U91" i="3"/>
  <c r="R288" i="14"/>
  <c r="R307" i="14"/>
  <c r="R309" i="14" s="1"/>
  <c r="R313" i="14"/>
  <c r="R285" i="14"/>
  <c r="R298" i="14"/>
  <c r="AG96" i="14"/>
  <c r="R96" i="14"/>
  <c r="R310" i="14"/>
  <c r="BH160" i="3"/>
  <c r="BH470" i="3"/>
  <c r="BH497" i="3" s="1"/>
  <c r="BH473" i="3"/>
  <c r="BH499" i="3"/>
  <c r="BH580" i="3"/>
  <c r="BH88" i="3"/>
  <c r="BH91" i="3"/>
  <c r="BH101" i="3"/>
  <c r="BI93" i="3"/>
  <c r="BH520" i="3"/>
  <c r="AG29" i="32" s="1"/>
  <c r="BH500" i="3"/>
  <c r="BH475" i="3"/>
  <c r="BH471" i="3"/>
  <c r="H37" i="9" l="1"/>
  <c r="H38" i="9" s="1"/>
  <c r="H25" i="9"/>
  <c r="H26" i="9" s="1"/>
  <c r="H27" i="9" s="1"/>
  <c r="H21" i="9"/>
  <c r="H19" i="9"/>
  <c r="H30" i="9"/>
  <c r="T71" i="4"/>
  <c r="T66" i="4"/>
  <c r="R292" i="14"/>
  <c r="R99" i="14"/>
  <c r="AG99" i="14"/>
  <c r="AG292" i="14"/>
  <c r="BH450" i="3"/>
  <c r="BB41" i="4"/>
  <c r="BH498" i="3"/>
  <c r="T519" i="4" l="1"/>
  <c r="T485" i="4" s="1"/>
  <c r="T483" i="4" s="1"/>
  <c r="T516" i="4"/>
  <c r="BH459" i="3"/>
  <c r="BB66" i="4"/>
  <c r="BB71" i="4"/>
  <c r="BB490" i="4"/>
  <c r="T512" i="4" l="1"/>
  <c r="T484" i="4"/>
  <c r="AG94" i="14"/>
  <c r="AG95" i="14"/>
  <c r="AG101" i="14"/>
  <c r="AG331" i="14"/>
  <c r="AG281" i="14" s="1"/>
  <c r="BH217" i="3"/>
  <c r="BH209" i="3" s="1"/>
  <c r="BH219" i="3" s="1"/>
  <c r="BB516" i="4"/>
  <c r="BH466" i="3"/>
  <c r="BH463" i="3"/>
  <c r="BH428" i="3"/>
  <c r="BH444" i="3" s="1"/>
  <c r="BH159" i="3"/>
  <c r="BH162" i="3" s="1"/>
  <c r="BH154" i="3" s="1"/>
  <c r="BH164" i="3" s="1"/>
  <c r="R94" i="14" l="1"/>
  <c r="R95" i="14"/>
  <c r="R101" i="14"/>
  <c r="R331" i="14"/>
  <c r="R281" i="14" s="1"/>
  <c r="AG332" i="14"/>
  <c r="AG294" i="14" s="1"/>
  <c r="BH482" i="3"/>
  <c r="BH506" i="3" s="1"/>
  <c r="BH134" i="3"/>
  <c r="BH449" i="3"/>
  <c r="BH467" i="3"/>
  <c r="BH522" i="3"/>
  <c r="AG30" i="32" s="1"/>
  <c r="BH272" i="3"/>
  <c r="BH264" i="3" s="1"/>
  <c r="BH274" i="3" s="1"/>
  <c r="BH279" i="3"/>
  <c r="BH189" i="3"/>
  <c r="R332" i="14" l="1"/>
  <c r="R294" i="14" s="1"/>
  <c r="BH307" i="3"/>
  <c r="BH483" i="3"/>
  <c r="BH507" i="3" s="1"/>
  <c r="BH581" i="3"/>
  <c r="BH454" i="3"/>
  <c r="BH244" i="3" l="1"/>
  <c r="BH456" i="3"/>
  <c r="AD221" i="14" l="1"/>
  <c r="AD223" i="14"/>
  <c r="AE221" i="14"/>
  <c r="AD220" i="14"/>
  <c r="AE222" i="14"/>
  <c r="AE223" i="14"/>
  <c r="AE220" i="14"/>
  <c r="AD222" i="14"/>
  <c r="J99" i="14"/>
  <c r="J101" i="14"/>
  <c r="T281" i="3" l="1"/>
  <c r="U348" i="3" l="1"/>
  <c r="U349" i="3" s="1"/>
  <c r="U351" i="3" s="1"/>
  <c r="U359" i="3" s="1"/>
  <c r="U4" i="3" s="1"/>
  <c r="T348" i="3"/>
  <c r="T349" i="3" s="1"/>
  <c r="T351" i="3" s="1"/>
  <c r="T359" i="3" s="1"/>
  <c r="T4" i="3" s="1"/>
  <c r="U276" i="3"/>
  <c r="BH281" i="3"/>
  <c r="BH282" i="3" s="1"/>
  <c r="BH304" i="3" s="1"/>
  <c r="T276" i="3"/>
  <c r="U575" i="3" l="1"/>
  <c r="U577" i="3" s="1"/>
  <c r="T575" i="3"/>
  <c r="T577" i="3" s="1"/>
  <c r="S520" i="4"/>
  <c r="BH348" i="3"/>
  <c r="BH349" i="3" s="1"/>
  <c r="BH49" i="3"/>
  <c r="I36" i="9" s="1"/>
  <c r="BH276" i="3"/>
  <c r="BH55" i="3"/>
  <c r="T520" i="4"/>
  <c r="BB520" i="4" l="1"/>
  <c r="T339" i="3"/>
  <c r="BH484" i="3"/>
  <c r="BH521" i="3"/>
  <c r="BH523" i="3"/>
  <c r="BH575" i="3"/>
  <c r="BH577" i="3" s="1"/>
  <c r="BH574" i="3"/>
  <c r="BH350" i="3" l="1"/>
  <c r="BH351" i="3" s="1"/>
  <c r="U339" i="3"/>
  <c r="BH339" i="3" l="1"/>
  <c r="BH359" i="3"/>
  <c r="AT710" i="4" l="1"/>
  <c r="BB666" i="4" l="1"/>
  <c r="BB665" i="4" l="1"/>
  <c r="BB710" i="4" s="1"/>
  <c r="BB682" i="4"/>
  <c r="BB728" i="4" s="1"/>
  <c r="BB722" i="4" l="1"/>
  <c r="BB726" i="4"/>
  <c r="BB686" i="4"/>
  <c r="BB688" i="4" s="1"/>
  <c r="BC666" i="4"/>
  <c r="T661" i="4"/>
  <c r="AH14" i="14"/>
  <c r="AH16" i="14"/>
  <c r="W453" i="4"/>
  <c r="W469" i="4" l="1"/>
  <c r="J163" i="28"/>
  <c r="J98" i="28" s="1"/>
  <c r="W452" i="4"/>
  <c r="BD453" i="4"/>
  <c r="BC665" i="4"/>
  <c r="BC710" i="4" s="1"/>
  <c r="BC682" i="4"/>
  <c r="BC728" i="4" s="1"/>
  <c r="AH24" i="14"/>
  <c r="AH291" i="14"/>
  <c r="AH23" i="14"/>
  <c r="BB661" i="4"/>
  <c r="J101" i="28" l="1"/>
  <c r="J100" i="28"/>
  <c r="BD469" i="4"/>
  <c r="AJ163" i="28"/>
  <c r="AJ98" i="28" s="1"/>
  <c r="W499" i="4"/>
  <c r="X499" i="4"/>
  <c r="W692" i="4"/>
  <c r="W694" i="4" s="1"/>
  <c r="W473" i="4"/>
  <c r="W477" i="4" s="1"/>
  <c r="W515" i="4"/>
  <c r="W511" i="4"/>
  <c r="W336" i="4"/>
  <c r="W371" i="4" s="1"/>
  <c r="W260" i="4"/>
  <c r="W106" i="4"/>
  <c r="W184" i="4"/>
  <c r="BD452" i="4"/>
  <c r="BD499" i="4" s="1"/>
  <c r="BC726" i="4"/>
  <c r="BC722" i="4"/>
  <c r="BD666" i="4"/>
  <c r="BC686" i="4"/>
  <c r="BC688" i="4" s="1"/>
  <c r="AJ101" i="28" l="1"/>
  <c r="AJ100" i="28"/>
  <c r="X260" i="4"/>
  <c r="X336" i="4"/>
  <c r="X371" i="4" s="1"/>
  <c r="X106" i="4"/>
  <c r="X184" i="4"/>
  <c r="BE453" i="4"/>
  <c r="AK163" i="28" s="1"/>
  <c r="AK98" i="28" s="1"/>
  <c r="W407" i="4"/>
  <c r="BE666" i="4"/>
  <c r="V689" i="4"/>
  <c r="BC661" i="4"/>
  <c r="BD665" i="4"/>
  <c r="BD710" i="4" s="1"/>
  <c r="BD682" i="4"/>
  <c r="AK101" i="28" l="1"/>
  <c r="AK100" i="28"/>
  <c r="X407" i="4"/>
  <c r="X481" i="4"/>
  <c r="X185" i="4"/>
  <c r="X186" i="4" s="1"/>
  <c r="BE452" i="4"/>
  <c r="BE499" i="4" s="1"/>
  <c r="BD726" i="4"/>
  <c r="BD722" i="4"/>
  <c r="BE665" i="4"/>
  <c r="BE710" i="4" s="1"/>
  <c r="BE682" i="4"/>
  <c r="BD686" i="4"/>
  <c r="BD688" i="4" s="1"/>
  <c r="BD728" i="4"/>
  <c r="X214" i="4" l="1"/>
  <c r="X221" i="4"/>
  <c r="BF453" i="4"/>
  <c r="AL163" i="28" s="1"/>
  <c r="AL98" i="28" s="1"/>
  <c r="BE722" i="4"/>
  <c r="BE726" i="4"/>
  <c r="BF666" i="4"/>
  <c r="BD661" i="4"/>
  <c r="BE728" i="4"/>
  <c r="BE686" i="4"/>
  <c r="BE688" i="4" s="1"/>
  <c r="AL100" i="28" l="1"/>
  <c r="AL101" i="28"/>
  <c r="BF452" i="4"/>
  <c r="BE661" i="4"/>
  <c r="BF665" i="4"/>
  <c r="BF682" i="4"/>
  <c r="AC453" i="4"/>
  <c r="P163" i="28" s="1"/>
  <c r="P98" i="28" s="1"/>
  <c r="P101" i="28" l="1"/>
  <c r="P100" i="28"/>
  <c r="AC452" i="4"/>
  <c r="BG453" i="4"/>
  <c r="AM163" i="28" s="1"/>
  <c r="AM98" i="28" s="1"/>
  <c r="BF499" i="4"/>
  <c r="BF726" i="4"/>
  <c r="BF722" i="4"/>
  <c r="BF710" i="4"/>
  <c r="BG710" i="4"/>
  <c r="BF728" i="4"/>
  <c r="BF686" i="4"/>
  <c r="BF688" i="4" s="1"/>
  <c r="AM100" i="28" l="1"/>
  <c r="AM101" i="28"/>
  <c r="AC499" i="4"/>
  <c r="AD499" i="4"/>
  <c r="BI453" i="4"/>
  <c r="BG452" i="4"/>
  <c r="BG499" i="4" s="1"/>
  <c r="BG666" i="4"/>
  <c r="BG682" i="4" s="1"/>
  <c r="BF661" i="4"/>
  <c r="BI452" i="4" l="1"/>
  <c r="AO163" i="28"/>
  <c r="AO98" i="28" s="1"/>
  <c r="BG722" i="4"/>
  <c r="BG686" i="4"/>
  <c r="BG688" i="4" s="1"/>
  <c r="BG726" i="4"/>
  <c r="BH453" i="4"/>
  <c r="AN163" i="28" s="1"/>
  <c r="AN98" i="28" s="1"/>
  <c r="AN101" i="28" l="1"/>
  <c r="AN100" i="28"/>
  <c r="AO101" i="28"/>
  <c r="AO100" i="28"/>
  <c r="BH666" i="4"/>
  <c r="BH682" i="4" s="1"/>
  <c r="BH726" i="4" s="1"/>
  <c r="BG661" i="4"/>
  <c r="BH452" i="4"/>
  <c r="BH686" i="4" l="1"/>
  <c r="BH688" i="4" s="1"/>
  <c r="F71" i="8" s="1"/>
  <c r="BH722" i="4"/>
  <c r="AI665" i="4"/>
  <c r="BH499" i="4"/>
  <c r="BI499" i="4"/>
  <c r="C64" i="6" l="1"/>
  <c r="BH661" i="4"/>
  <c r="BI666" i="4"/>
  <c r="BI682" i="4" s="1"/>
  <c r="BI722" i="4" s="1"/>
  <c r="AJ665" i="4"/>
  <c r="AI666" i="4"/>
  <c r="AI453" i="4" s="1"/>
  <c r="AJ453" i="4" s="1"/>
  <c r="T723" i="4"/>
  <c r="BB693" i="4"/>
  <c r="BB723" i="4" s="1"/>
  <c r="T731" i="4"/>
  <c r="BB694" i="4"/>
  <c r="AK453" i="4" l="1"/>
  <c r="AL453" i="4" s="1"/>
  <c r="AM453" i="4" s="1"/>
  <c r="AN453" i="4" s="1"/>
  <c r="AO453" i="4" s="1"/>
  <c r="AP453" i="4" s="1"/>
  <c r="AQ453" i="4" s="1"/>
  <c r="AR453" i="4" s="1"/>
  <c r="V163" i="28"/>
  <c r="V98" i="28" s="1"/>
  <c r="AI452" i="4"/>
  <c r="AI499" i="4" s="1"/>
  <c r="AJ666" i="4"/>
  <c r="AJ682" i="4" s="1"/>
  <c r="AJ686" i="4" s="1"/>
  <c r="AJ688" i="4" s="1"/>
  <c r="AK665" i="4"/>
  <c r="BI686" i="4"/>
  <c r="BI688" i="4" s="1"/>
  <c r="BI723" i="4"/>
  <c r="BI726" i="4"/>
  <c r="AI682" i="4"/>
  <c r="AI722" i="4" s="1"/>
  <c r="BB729" i="4"/>
  <c r="BB730" i="4"/>
  <c r="BB695" i="4"/>
  <c r="BJ453" i="4" l="1"/>
  <c r="BJ452" i="4" s="1"/>
  <c r="BJ499" i="4" s="1"/>
  <c r="AP163" i="28"/>
  <c r="AP98" i="28" s="1"/>
  <c r="W163" i="28"/>
  <c r="W98" i="28" s="1"/>
  <c r="AJ452" i="4"/>
  <c r="AJ499" i="4" s="1"/>
  <c r="V101" i="28"/>
  <c r="V100" i="28"/>
  <c r="D64" i="6"/>
  <c r="G71" i="8"/>
  <c r="BI730" i="4"/>
  <c r="AJ722" i="4"/>
  <c r="AJ726" i="4"/>
  <c r="BJ666" i="4"/>
  <c r="BJ682" i="4" s="1"/>
  <c r="BJ726" i="4" s="1"/>
  <c r="AL665" i="4"/>
  <c r="AK666" i="4"/>
  <c r="AI726" i="4"/>
  <c r="AI686" i="4"/>
  <c r="AI688" i="4" s="1"/>
  <c r="BI661" i="4"/>
  <c r="BB732" i="4"/>
  <c r="BB731" i="4"/>
  <c r="T730" i="4"/>
  <c r="T222" i="4"/>
  <c r="BB186" i="4"/>
  <c r="T214" i="4"/>
  <c r="BB185" i="4"/>
  <c r="BB214" i="4" s="1"/>
  <c r="K64" i="6" l="1"/>
  <c r="J64" i="6"/>
  <c r="W101" i="28"/>
  <c r="W100" i="28"/>
  <c r="X163" i="28"/>
  <c r="X98" i="28" s="1"/>
  <c r="BK453" i="4"/>
  <c r="AK452" i="4"/>
  <c r="AK499" i="4" s="1"/>
  <c r="AP101" i="28"/>
  <c r="AP100" i="28"/>
  <c r="AJ689" i="4"/>
  <c r="AL666" i="4"/>
  <c r="BK666" i="4" s="1"/>
  <c r="AM665" i="4"/>
  <c r="BJ722" i="4"/>
  <c r="BJ686" i="4"/>
  <c r="BJ688" i="4" s="1"/>
  <c r="BJ723" i="4"/>
  <c r="BB220" i="4"/>
  <c r="BB187" i="4"/>
  <c r="BB221" i="4"/>
  <c r="X100" i="28" l="1"/>
  <c r="X101" i="28"/>
  <c r="AQ163" i="28"/>
  <c r="AQ98" i="28" s="1"/>
  <c r="BK452" i="4"/>
  <c r="Y163" i="28"/>
  <c r="Y98" i="28" s="1"/>
  <c r="AL452" i="4"/>
  <c r="E64" i="6"/>
  <c r="H71" i="8"/>
  <c r="AN665" i="4"/>
  <c r="AM666" i="4"/>
  <c r="BJ730" i="4"/>
  <c r="BJ661" i="4"/>
  <c r="BB222" i="4"/>
  <c r="BB223" i="4"/>
  <c r="T221" i="4"/>
  <c r="AQ101" i="28" l="1"/>
  <c r="AQ100" i="28"/>
  <c r="BL453" i="4"/>
  <c r="Z163" i="28"/>
  <c r="Z98" i="28" s="1"/>
  <c r="AM452" i="4"/>
  <c r="AM499" i="4" s="1"/>
  <c r="Y101" i="28"/>
  <c r="Y100" i="28"/>
  <c r="BK499" i="4"/>
  <c r="AL499" i="4"/>
  <c r="BL666" i="4"/>
  <c r="AN666" i="4"/>
  <c r="AO665" i="4"/>
  <c r="T146" i="4"/>
  <c r="T145" i="4"/>
  <c r="T107" i="4"/>
  <c r="T408" i="4" s="1"/>
  <c r="Z101" i="28" l="1"/>
  <c r="Z100" i="28"/>
  <c r="AA163" i="28"/>
  <c r="AA98" i="28" s="1"/>
  <c r="AN452" i="4"/>
  <c r="AR163" i="28"/>
  <c r="AR98" i="28" s="1"/>
  <c r="BL452" i="4"/>
  <c r="BM666" i="4"/>
  <c r="AP665" i="4"/>
  <c r="AO666" i="4"/>
  <c r="T437" i="4"/>
  <c r="T444" i="4"/>
  <c r="T144" i="4"/>
  <c r="BB107" i="4"/>
  <c r="T137" i="4"/>
  <c r="T108" i="4"/>
  <c r="BC185" i="4"/>
  <c r="BC186" i="4"/>
  <c r="AR101" i="28" l="1"/>
  <c r="AR100" i="28"/>
  <c r="AN499" i="4"/>
  <c r="AA101" i="28"/>
  <c r="AA100" i="28"/>
  <c r="BM453" i="4"/>
  <c r="AB163" i="28"/>
  <c r="AB98" i="28" s="1"/>
  <c r="AO452" i="4"/>
  <c r="AO499" i="4" s="1"/>
  <c r="BL499" i="4"/>
  <c r="AP666" i="4"/>
  <c r="AQ665" i="4"/>
  <c r="BC220" i="4"/>
  <c r="BC221" i="4"/>
  <c r="BC214" i="4"/>
  <c r="BB137" i="4"/>
  <c r="BB144" i="4"/>
  <c r="BC187" i="4"/>
  <c r="BB108" i="4"/>
  <c r="BB143" i="4" s="1"/>
  <c r="AB100" i="28" l="1"/>
  <c r="AB101" i="28"/>
  <c r="BM452" i="4"/>
  <c r="BM499" i="4" s="1"/>
  <c r="AS163" i="28"/>
  <c r="AS98" i="28" s="1"/>
  <c r="AC163" i="28"/>
  <c r="AC98" i="28" s="1"/>
  <c r="AP452" i="4"/>
  <c r="AP499" i="4" s="1"/>
  <c r="BN666" i="4"/>
  <c r="AR665" i="4"/>
  <c r="AR666" i="4" s="1"/>
  <c r="AQ666" i="4"/>
  <c r="BC223" i="4"/>
  <c r="BC222" i="4"/>
  <c r="BB109" i="4"/>
  <c r="AD163" i="28" l="1"/>
  <c r="AD98" i="28" s="1"/>
  <c r="BN453" i="4"/>
  <c r="AQ452" i="4"/>
  <c r="AQ499" i="4" s="1"/>
  <c r="AC100" i="28"/>
  <c r="AC101" i="28"/>
  <c r="AS101" i="28"/>
  <c r="AS100" i="28"/>
  <c r="BB145" i="4"/>
  <c r="BB146" i="4"/>
  <c r="AT163" i="28" l="1"/>
  <c r="AT98" i="28" s="1"/>
  <c r="BN452" i="4"/>
  <c r="BN499" i="4" s="1"/>
  <c r="AE163" i="28"/>
  <c r="AE98" i="28" s="1"/>
  <c r="AR452" i="4"/>
  <c r="AR499" i="4" s="1"/>
  <c r="AD100" i="28"/>
  <c r="AD101" i="28"/>
  <c r="BB408" i="4"/>
  <c r="BB437" i="4" s="1"/>
  <c r="AE101" i="28" l="1"/>
  <c r="AE100" i="28"/>
  <c r="AT101" i="28"/>
  <c r="AT100" i="28"/>
  <c r="BB444" i="4"/>
  <c r="BB482" i="4"/>
  <c r="BB470" i="4" l="1"/>
  <c r="BB510" i="4" l="1"/>
  <c r="BB511" i="4"/>
  <c r="BB515" i="4"/>
  <c r="BB473" i="4"/>
  <c r="BB477" i="4" s="1"/>
  <c r="BB448" i="4" l="1"/>
  <c r="T409" i="4"/>
  <c r="T443" i="4" s="1"/>
  <c r="BB483" i="4"/>
  <c r="BB512" i="4" s="1"/>
  <c r="T68" i="4" l="1"/>
  <c r="T70" i="4" s="1"/>
  <c r="BB409" i="4"/>
  <c r="BB484" i="4"/>
  <c r="BB485" i="4" s="1"/>
  <c r="BB519" i="4" s="1"/>
  <c r="BB410" i="4" l="1"/>
  <c r="BB443" i="4"/>
  <c r="BB69" i="4" l="1"/>
  <c r="BB68" i="4"/>
  <c r="BB445" i="4"/>
  <c r="BB73" i="4"/>
  <c r="BB446" i="4"/>
  <c r="T410" i="4"/>
  <c r="T445" i="4" l="1"/>
  <c r="T446" i="4"/>
  <c r="T73" i="4" l="1"/>
  <c r="AH25" i="14" l="1"/>
  <c r="AH32" i="14" l="1"/>
  <c r="U7" i="4"/>
  <c r="AH289" i="14"/>
  <c r="AH303" i="14"/>
  <c r="AH39" i="14"/>
  <c r="AH290" i="14"/>
  <c r="AH46" i="14"/>
  <c r="AH40" i="14" s="1"/>
  <c r="AH33" i="14"/>
  <c r="AH302" i="14" l="1"/>
  <c r="AH298" i="14" l="1"/>
  <c r="AH285" i="14" l="1"/>
  <c r="AH288" i="14"/>
  <c r="AH310" i="14"/>
  <c r="AH307" i="14"/>
  <c r="AH309" i="14" s="1"/>
  <c r="AH313" i="14"/>
  <c r="AH96" i="14" l="1"/>
  <c r="AH99" i="14" l="1"/>
  <c r="AH292" i="14"/>
  <c r="AH331" i="14" l="1"/>
  <c r="AH281" i="14" s="1"/>
  <c r="AH94" i="14"/>
  <c r="AH95" i="14"/>
  <c r="AH101" i="14"/>
  <c r="AH332" i="14" l="1"/>
  <c r="AH294" i="14" s="1"/>
  <c r="U79" i="4" l="1"/>
  <c r="U124" i="4" l="1"/>
  <c r="V124" i="4"/>
  <c r="U75" i="4" l="1"/>
  <c r="BD80" i="4" l="1"/>
  <c r="BC80" i="4"/>
  <c r="BC12" i="4"/>
  <c r="BC28" i="4" l="1"/>
  <c r="BC79" i="4"/>
  <c r="BC124" i="4" s="1"/>
  <c r="BC96" i="4"/>
  <c r="BC142" i="4" s="1"/>
  <c r="BD79" i="4"/>
  <c r="AI14" i="14"/>
  <c r="AI16" i="14"/>
  <c r="BI62" i="3"/>
  <c r="AH4" i="32" s="1"/>
  <c r="AH10" i="32" s="1"/>
  <c r="BC11" i="4"/>
  <c r="BC50" i="4" s="1"/>
  <c r="BD124" i="4" l="1"/>
  <c r="BC100" i="4"/>
  <c r="BC102" i="4" s="1"/>
  <c r="BC75" i="4" s="1"/>
  <c r="BC140" i="4"/>
  <c r="BC136" i="4"/>
  <c r="V75" i="4"/>
  <c r="V103" i="4"/>
  <c r="S14" i="14"/>
  <c r="S16" i="14"/>
  <c r="BI61" i="3"/>
  <c r="BI73" i="3"/>
  <c r="AI137" i="28" s="1"/>
  <c r="AI6" i="28" s="1"/>
  <c r="AI24" i="14"/>
  <c r="AI291" i="14"/>
  <c r="AI23" i="14"/>
  <c r="BE80" i="4"/>
  <c r="AI9" i="28" l="1"/>
  <c r="AI8" i="28"/>
  <c r="BI528" i="3"/>
  <c r="V104" i="4"/>
  <c r="BF80" i="4"/>
  <c r="S24" i="14"/>
  <c r="S291" i="14"/>
  <c r="BI527" i="3"/>
  <c r="S23" i="14"/>
  <c r="BE79" i="4"/>
  <c r="BE124" i="4" s="1"/>
  <c r="BF79" i="4" l="1"/>
  <c r="BF124" i="4" l="1"/>
  <c r="BG80" i="4" l="1"/>
  <c r="BG79" i="4" l="1"/>
  <c r="BG124" i="4" s="1"/>
  <c r="BH80" i="4"/>
  <c r="BH79" i="4" l="1"/>
  <c r="BH124" i="4" s="1"/>
  <c r="U145" i="4"/>
  <c r="U146" i="4"/>
  <c r="U107" i="4"/>
  <c r="BI80" i="4" l="1"/>
  <c r="U137" i="4"/>
  <c r="U144" i="4"/>
  <c r="U108" i="4"/>
  <c r="BI79" i="4" l="1"/>
  <c r="BI124" i="4" s="1"/>
  <c r="V353" i="3" l="1"/>
  <c r="V356" i="3" s="1"/>
  <c r="BI95" i="3"/>
  <c r="AI314" i="14"/>
  <c r="V91" i="3"/>
  <c r="V355" i="3" l="1"/>
  <c r="V480" i="3" s="1"/>
  <c r="V504" i="3" s="1"/>
  <c r="BI354" i="3"/>
  <c r="BI97" i="3"/>
  <c r="U41" i="4"/>
  <c r="U490" i="4" s="1"/>
  <c r="S314" i="14"/>
  <c r="V580" i="3" l="1"/>
  <c r="AI318" i="14"/>
  <c r="V357" i="3"/>
  <c r="V481" i="3" s="1"/>
  <c r="V505" i="3" s="1"/>
  <c r="BI464" i="3"/>
  <c r="BI103" i="3"/>
  <c r="W353" i="3"/>
  <c r="S316" i="14"/>
  <c r="BI156" i="3"/>
  <c r="BI446" i="3"/>
  <c r="U66" i="4"/>
  <c r="U71" i="4"/>
  <c r="W355" i="3" l="1"/>
  <c r="W480" i="3" s="1"/>
  <c r="W356" i="3"/>
  <c r="BI356" i="3" s="1"/>
  <c r="BI372" i="3"/>
  <c r="S318" i="14"/>
  <c r="AI316" i="14"/>
  <c r="BI41" i="3"/>
  <c r="BI43" i="3" s="1"/>
  <c r="BI353" i="3"/>
  <c r="BI355" i="3" s="1"/>
  <c r="BI480" i="3" s="1"/>
  <c r="U519" i="4"/>
  <c r="U485" i="4" s="1"/>
  <c r="U516" i="4"/>
  <c r="BC345" i="4"/>
  <c r="J59" i="9" l="1"/>
  <c r="W357" i="3"/>
  <c r="W481" i="3" s="1"/>
  <c r="W505" i="3" s="1"/>
  <c r="W504" i="3"/>
  <c r="W580" i="3"/>
  <c r="AI317" i="14"/>
  <c r="BC356" i="4"/>
  <c r="BC354" i="4"/>
  <c r="BI357" i="3"/>
  <c r="BI481" i="3" s="1"/>
  <c r="BI505" i="3" s="1"/>
  <c r="X353" i="3"/>
  <c r="BC416" i="4"/>
  <c r="U483" i="4"/>
  <c r="U410" i="4"/>
  <c r="BI504" i="3"/>
  <c r="V276" i="3"/>
  <c r="BC42" i="4"/>
  <c r="BC347" i="4"/>
  <c r="BC418" i="4"/>
  <c r="S317" i="14"/>
  <c r="X356" i="3" l="1"/>
  <c r="X355" i="3"/>
  <c r="V575" i="3"/>
  <c r="V577" i="3" s="1"/>
  <c r="BC427" i="4"/>
  <c r="BC425" i="4"/>
  <c r="BC51" i="4"/>
  <c r="BC53" i="4"/>
  <c r="BJ95" i="3"/>
  <c r="V55" i="3"/>
  <c r="W350" i="3" s="1"/>
  <c r="U445" i="4"/>
  <c r="U73" i="4"/>
  <c r="U446" i="4"/>
  <c r="U512" i="4"/>
  <c r="U408" i="4"/>
  <c r="BC44" i="4"/>
  <c r="U484" i="4"/>
  <c r="X480" i="3" l="1"/>
  <c r="X357" i="3"/>
  <c r="X481" i="3" s="1"/>
  <c r="X505" i="3" s="1"/>
  <c r="V574" i="3"/>
  <c r="V523" i="3"/>
  <c r="V521" i="3"/>
  <c r="V350" i="3"/>
  <c r="V351" i="3" s="1"/>
  <c r="V359" i="3" s="1"/>
  <c r="V484" i="3"/>
  <c r="T314" i="14"/>
  <c r="U520" i="4"/>
  <c r="U437" i="4"/>
  <c r="U444" i="4"/>
  <c r="U409" i="4"/>
  <c r="X504" i="3" l="1"/>
  <c r="X580" i="3"/>
  <c r="V339" i="3"/>
  <c r="U443" i="4"/>
  <c r="U68" i="4" s="1"/>
  <c r="U70" i="4" s="1"/>
  <c r="V4" i="3" l="1"/>
  <c r="BC29" i="4" l="1"/>
  <c r="AI166" i="28" l="1"/>
  <c r="AI104" i="28" s="1"/>
  <c r="AI107" i="28" s="1"/>
  <c r="BC62" i="4"/>
  <c r="BC65" i="4"/>
  <c r="BC61" i="4"/>
  <c r="BC32" i="4"/>
  <c r="AI25" i="14"/>
  <c r="BI74" i="3"/>
  <c r="AH12" i="32" s="1"/>
  <c r="AH15" i="32" s="1"/>
  <c r="AI106" i="28" l="1"/>
  <c r="BI549" i="3"/>
  <c r="BI532" i="3"/>
  <c r="BI531" i="3"/>
  <c r="S25" i="14"/>
  <c r="BI535" i="3"/>
  <c r="BI534" i="3"/>
  <c r="AH23" i="32" s="1"/>
  <c r="BI77" i="3"/>
  <c r="BI550" i="3"/>
  <c r="BI547" i="3"/>
  <c r="AI33" i="14"/>
  <c r="AI289" i="14"/>
  <c r="AI39" i="14"/>
  <c r="AI290" i="14"/>
  <c r="AI46" i="14"/>
  <c r="AI40" i="14" s="1"/>
  <c r="BI548" i="3"/>
  <c r="AI32" i="14"/>
  <c r="BI546" i="3"/>
  <c r="BI529" i="3"/>
  <c r="BI530" i="3" s="1"/>
  <c r="BC33" i="4"/>
  <c r="AH17" i="32" l="1"/>
  <c r="BC67" i="4"/>
  <c r="S289" i="14"/>
  <c r="S46" i="14"/>
  <c r="S40" i="14" s="1"/>
  <c r="S39" i="14"/>
  <c r="S290" i="14"/>
  <c r="BI476" i="3"/>
  <c r="BI501" i="3" s="1"/>
  <c r="AI302" i="14"/>
  <c r="BI78" i="3"/>
  <c r="AH18" i="32" s="1"/>
  <c r="S32" i="14"/>
  <c r="BC36" i="4"/>
  <c r="BC474" i="4"/>
  <c r="AI303" i="14"/>
  <c r="S33" i="14"/>
  <c r="BC518" i="4" l="1"/>
  <c r="AH24" i="32"/>
  <c r="BI32" i="3"/>
  <c r="S303" i="14"/>
  <c r="BI30" i="3"/>
  <c r="S302" i="14"/>
  <c r="BI31" i="3"/>
  <c r="BI81" i="3"/>
  <c r="AH20" i="32" s="1"/>
  <c r="BC7" i="4"/>
  <c r="BI37" i="3"/>
  <c r="AI176" i="28" l="1"/>
  <c r="AI12" i="28" s="1"/>
  <c r="AI285" i="14"/>
  <c r="AI313" i="14"/>
  <c r="BI525" i="3"/>
  <c r="BI536" i="3"/>
  <c r="BI84" i="3"/>
  <c r="BI58" i="3"/>
  <c r="BI524" i="3"/>
  <c r="BI526" i="3"/>
  <c r="BI474" i="3"/>
  <c r="AH26" i="32" s="1"/>
  <c r="BI472" i="3"/>
  <c r="AH25" i="32" s="1"/>
  <c r="BI579" i="3"/>
  <c r="BI578" i="3"/>
  <c r="AH28" i="32" s="1"/>
  <c r="AI298" i="14"/>
  <c r="AI307" i="14"/>
  <c r="AI309" i="14" s="1"/>
  <c r="AI288" i="14"/>
  <c r="BI341" i="3"/>
  <c r="BI345" i="3" s="1"/>
  <c r="AI310" i="14"/>
  <c r="AI14" i="28" l="1"/>
  <c r="AI15" i="28"/>
  <c r="I18" i="9"/>
  <c r="BI475" i="3"/>
  <c r="S285" i="14"/>
  <c r="S313" i="14"/>
  <c r="BI500" i="3"/>
  <c r="BI471" i="3"/>
  <c r="BI498" i="3" s="1"/>
  <c r="S298" i="14"/>
  <c r="BI88" i="3"/>
  <c r="BI94" i="3"/>
  <c r="BI98" i="3" s="1"/>
  <c r="W91" i="3"/>
  <c r="BI473" i="3"/>
  <c r="BI470" i="3"/>
  <c r="BI497" i="3" s="1"/>
  <c r="S310" i="14"/>
  <c r="BI499" i="3"/>
  <c r="BI580" i="3"/>
  <c r="S288" i="14"/>
  <c r="S307" i="14"/>
  <c r="S309" i="14" s="1"/>
  <c r="I23" i="9" l="1"/>
  <c r="I30" i="9" s="1"/>
  <c r="I21" i="9"/>
  <c r="I19" i="9"/>
  <c r="V490" i="4"/>
  <c r="BI91" i="3"/>
  <c r="S96" i="14"/>
  <c r="BI101" i="3"/>
  <c r="BJ93" i="3"/>
  <c r="BI520" i="3"/>
  <c r="AH29" i="32" s="1"/>
  <c r="AI96" i="14"/>
  <c r="BI160" i="3"/>
  <c r="BI450" i="3"/>
  <c r="I25" i="9" l="1"/>
  <c r="I26" i="9" s="1"/>
  <c r="I27" i="9" s="1"/>
  <c r="I37" i="9"/>
  <c r="I38" i="9" s="1"/>
  <c r="BC490" i="4"/>
  <c r="V71" i="4"/>
  <c r="V519" i="4"/>
  <c r="V485" i="4" s="1"/>
  <c r="V483" i="4" s="1"/>
  <c r="BC41" i="4"/>
  <c r="AI99" i="14"/>
  <c r="AI292" i="14"/>
  <c r="S99" i="14"/>
  <c r="S292" i="14"/>
  <c r="V516" i="4" l="1"/>
  <c r="V512" i="4"/>
  <c r="V484" i="4"/>
  <c r="BC66" i="4"/>
  <c r="BC71" i="4"/>
  <c r="BI459" i="3"/>
  <c r="BC516" i="4" l="1"/>
  <c r="AI331" i="14"/>
  <c r="AI281" i="14" s="1"/>
  <c r="BI217" i="3"/>
  <c r="BI209" i="3" s="1"/>
  <c r="BI219" i="3" s="1"/>
  <c r="BI466" i="3"/>
  <c r="BI463" i="3"/>
  <c r="BI159" i="3"/>
  <c r="BI162" i="3" s="1"/>
  <c r="BI154" i="3" s="1"/>
  <c r="BI164" i="3" s="1"/>
  <c r="BI449" i="3"/>
  <c r="BI454" i="3" s="1"/>
  <c r="BI428" i="3"/>
  <c r="BI444" i="3" s="1"/>
  <c r="AI95" i="14"/>
  <c r="AI94" i="14"/>
  <c r="AI101" i="14"/>
  <c r="BI248" i="3" l="1"/>
  <c r="BI193" i="3"/>
  <c r="BI272" i="3"/>
  <c r="BI264" i="3" s="1"/>
  <c r="BI274" i="3" s="1"/>
  <c r="BI279" i="3"/>
  <c r="BI134" i="3"/>
  <c r="BI482" i="3"/>
  <c r="BI506" i="3" s="1"/>
  <c r="S331" i="14"/>
  <c r="S281" i="14" s="1"/>
  <c r="BI189" i="3"/>
  <c r="BI456" i="3"/>
  <c r="S94" i="14"/>
  <c r="S95" i="14"/>
  <c r="S101" i="14"/>
  <c r="BI467" i="3"/>
  <c r="BI522" i="3"/>
  <c r="AH30" i="32" s="1"/>
  <c r="AI332" i="14"/>
  <c r="AI294" i="14" s="1"/>
  <c r="BI483" i="3" l="1"/>
  <c r="BI507" i="3" s="1"/>
  <c r="S332" i="14"/>
  <c r="S294" i="14" s="1"/>
  <c r="BI581" i="3"/>
  <c r="BI307" i="3"/>
  <c r="BJ248" i="3" l="1"/>
  <c r="BJ193" i="3"/>
  <c r="BI244" i="3"/>
  <c r="BK193" i="3" l="1"/>
  <c r="BK248" i="3"/>
  <c r="BL248" i="3" l="1"/>
  <c r="BL193" i="3"/>
  <c r="BM193" i="3" l="1"/>
  <c r="BM248" i="3"/>
  <c r="BN248" i="3" l="1"/>
  <c r="BN193" i="3"/>
  <c r="AK193" i="3" l="1"/>
  <c r="AL193" i="3" s="1"/>
  <c r="BO248" i="3"/>
  <c r="BO193" i="3"/>
  <c r="P384" i="3"/>
  <c r="P462" i="3"/>
  <c r="P526" i="3" s="1"/>
  <c r="AM193" i="3" l="1"/>
  <c r="AN193" i="3" s="1"/>
  <c r="AL248" i="3"/>
  <c r="AK248" i="3"/>
  <c r="BP248" i="3" s="1"/>
  <c r="BP193" i="3"/>
  <c r="P463" i="3"/>
  <c r="P484" i="3" s="1"/>
  <c r="AO193" i="3" l="1"/>
  <c r="AP193" i="3" s="1"/>
  <c r="AN248" i="3"/>
  <c r="AM248" i="3"/>
  <c r="BQ248" i="3" s="1"/>
  <c r="BQ193" i="3"/>
  <c r="P467" i="3"/>
  <c r="P483" i="3" s="1"/>
  <c r="P507" i="3" s="1"/>
  <c r="P522" i="3"/>
  <c r="P581" i="3" s="1"/>
  <c r="P523" i="3"/>
  <c r="Q384" i="3"/>
  <c r="BF384" i="3" s="1"/>
  <c r="Q462" i="3"/>
  <c r="BF391" i="3"/>
  <c r="AC332" i="14" l="1"/>
  <c r="AC294" i="14" s="1"/>
  <c r="AB332" i="14"/>
  <c r="AB294" i="14" s="1"/>
  <c r="AQ193" i="3"/>
  <c r="AR193" i="3" s="1"/>
  <c r="AP248" i="3"/>
  <c r="AO248" i="3"/>
  <c r="BR248" i="3" s="1"/>
  <c r="BR193" i="3"/>
  <c r="BF462" i="3"/>
  <c r="BF463" i="3" s="1"/>
  <c r="BF523" i="3" s="1"/>
  <c r="Q463" i="3"/>
  <c r="Q526" i="3"/>
  <c r="BF402" i="3"/>
  <c r="R462" i="3"/>
  <c r="R526" i="3" s="1"/>
  <c r="R384" i="3"/>
  <c r="F13" i="9" l="1"/>
  <c r="F33" i="9" s="1"/>
  <c r="G13" i="9"/>
  <c r="AS193" i="3"/>
  <c r="AR248" i="3"/>
  <c r="I13" i="9"/>
  <c r="I33" i="9" s="1"/>
  <c r="H13" i="9"/>
  <c r="AQ248" i="3"/>
  <c r="BS248" i="3" s="1"/>
  <c r="BS193" i="3"/>
  <c r="BF467" i="3"/>
  <c r="P332" i="14" s="1"/>
  <c r="P294" i="14" s="1"/>
  <c r="BG522" i="3"/>
  <c r="BG523" i="3"/>
  <c r="BF522" i="3"/>
  <c r="BF581" i="3" s="1"/>
  <c r="S526" i="3"/>
  <c r="R463" i="3"/>
  <c r="R523" i="3" s="1"/>
  <c r="Q467" i="3"/>
  <c r="Q483" i="3" s="1"/>
  <c r="Q507" i="3" s="1"/>
  <c r="Q484" i="3"/>
  <c r="BF484" i="3" s="1"/>
  <c r="Q523" i="3"/>
  <c r="Q522" i="3"/>
  <c r="Q581" i="3" s="1"/>
  <c r="BF533" i="3"/>
  <c r="BF525" i="3"/>
  <c r="BG533" i="3"/>
  <c r="BF456" i="3"/>
  <c r="BG526" i="3"/>
  <c r="BF526" i="3"/>
  <c r="BF419" i="3"/>
  <c r="BG525" i="3"/>
  <c r="P74" i="14"/>
  <c r="P73" i="14" s="1"/>
  <c r="BG581" i="3" l="1"/>
  <c r="AF30" i="32"/>
  <c r="F34" i="9"/>
  <c r="F14" i="9"/>
  <c r="G14" i="9"/>
  <c r="G33" i="9"/>
  <c r="G34" i="9"/>
  <c r="G16" i="9"/>
  <c r="AS248" i="3"/>
  <c r="BT248" i="3" s="1"/>
  <c r="BT193" i="3"/>
  <c r="H16" i="9"/>
  <c r="F16" i="9"/>
  <c r="I34" i="9"/>
  <c r="I14" i="9"/>
  <c r="H14" i="9"/>
  <c r="H33" i="9"/>
  <c r="H34" i="9"/>
  <c r="I16" i="9"/>
  <c r="BF483" i="3"/>
  <c r="BF507" i="3" s="1"/>
  <c r="R484" i="3"/>
  <c r="S522" i="3"/>
  <c r="R467" i="3"/>
  <c r="S523" i="3"/>
  <c r="R522" i="3"/>
  <c r="S581" i="3" l="1"/>
  <c r="D30" i="32"/>
  <c r="R581" i="3"/>
  <c r="C30" i="32"/>
  <c r="R483" i="3"/>
  <c r="R507" i="3" s="1"/>
  <c r="AE332" i="14"/>
  <c r="AE294" i="14" s="1"/>
  <c r="AD332" i="14"/>
  <c r="AD294" i="14" s="1"/>
  <c r="BC693" i="4" l="1"/>
  <c r="V723" i="4"/>
  <c r="V109" i="4" l="1"/>
  <c r="BC694" i="4"/>
  <c r="BC729" i="4" s="1"/>
  <c r="BC730" i="4"/>
  <c r="BC723" i="4"/>
  <c r="BD693" i="4"/>
  <c r="BD694" i="4"/>
  <c r="V107" i="4" l="1"/>
  <c r="V408" i="4" s="1"/>
  <c r="V410" i="4"/>
  <c r="BC695" i="4"/>
  <c r="BC732" i="4" s="1"/>
  <c r="BD730" i="4"/>
  <c r="BD723" i="4"/>
  <c r="BE693" i="4"/>
  <c r="V146" i="4"/>
  <c r="V145" i="4"/>
  <c r="V137" i="4" l="1"/>
  <c r="BC107" i="4"/>
  <c r="BC137" i="4" s="1"/>
  <c r="V144" i="4"/>
  <c r="V108" i="4"/>
  <c r="BC108" i="4" s="1"/>
  <c r="V445" i="4"/>
  <c r="V446" i="4"/>
  <c r="V444" i="4"/>
  <c r="V437" i="4"/>
  <c r="BC731" i="4"/>
  <c r="BE723" i="4"/>
  <c r="BE730" i="4"/>
  <c r="BF693" i="4"/>
  <c r="BF694" i="4"/>
  <c r="BC144" i="4" l="1"/>
  <c r="BC109" i="4"/>
  <c r="BC145" i="4" s="1"/>
  <c r="V409" i="4"/>
  <c r="V443" i="4" s="1"/>
  <c r="V68" i="4" s="1"/>
  <c r="BC143" i="4"/>
  <c r="BG693" i="4"/>
  <c r="BF730" i="4"/>
  <c r="BF723" i="4"/>
  <c r="BH693" i="4"/>
  <c r="V70" i="4" l="1"/>
  <c r="BC146" i="4"/>
  <c r="BH723" i="4"/>
  <c r="BH730" i="4"/>
  <c r="BG730" i="4"/>
  <c r="BG723" i="4"/>
  <c r="BC408" i="4" l="1"/>
  <c r="BC444" i="4" s="1"/>
  <c r="BC482" i="4"/>
  <c r="BC437" i="4" l="1"/>
  <c r="BC470" i="4"/>
  <c r="BC515" i="4" l="1"/>
  <c r="BC511" i="4"/>
  <c r="BC510" i="4"/>
  <c r="BC473" i="4"/>
  <c r="BC477" i="4" s="1"/>
  <c r="BC448" i="4" l="1"/>
  <c r="BC484" i="4"/>
  <c r="BC483" i="4"/>
  <c r="BC512" i="4" l="1"/>
  <c r="BC485" i="4"/>
  <c r="BC519" i="4" s="1"/>
  <c r="BC409" i="4"/>
  <c r="BC410" i="4" l="1"/>
  <c r="BC443" i="4"/>
  <c r="BC69" i="4" l="1"/>
  <c r="BC68" i="4"/>
  <c r="BC73" i="4"/>
  <c r="BC446" i="4"/>
  <c r="BC445" i="4"/>
  <c r="V73" i="4" l="1"/>
  <c r="W281" i="3" l="1"/>
  <c r="X348" i="3" s="1"/>
  <c r="X349" i="3" s="1"/>
  <c r="BI281" i="3" l="1"/>
  <c r="BI282" i="3" s="1"/>
  <c r="BI304" i="3" s="1"/>
  <c r="W348" i="3"/>
  <c r="W349" i="3" s="1"/>
  <c r="W351" i="3" s="1"/>
  <c r="BI484" i="3"/>
  <c r="BI350" i="3"/>
  <c r="V520" i="4"/>
  <c r="BC520" i="4" s="1"/>
  <c r="W276" i="3"/>
  <c r="BI49" i="3" l="1"/>
  <c r="BI574" i="3" s="1"/>
  <c r="BI55" i="3"/>
  <c r="BI521" i="3" s="1"/>
  <c r="W575" i="3"/>
  <c r="W577" i="3" s="1"/>
  <c r="BI276" i="3"/>
  <c r="W339" i="3"/>
  <c r="W359" i="3"/>
  <c r="BI348" i="3"/>
  <c r="BI349" i="3" s="1"/>
  <c r="BI351" i="3" s="1"/>
  <c r="BJ281" i="3"/>
  <c r="J36" i="9" l="1"/>
  <c r="BI523" i="3"/>
  <c r="BI575" i="3"/>
  <c r="BI577" i="3" s="1"/>
  <c r="BI339" i="3"/>
  <c r="BI359" i="3"/>
  <c r="BJ348" i="3"/>
  <c r="W4" i="3"/>
  <c r="BK281" i="3" l="1"/>
  <c r="BK348" i="3" l="1"/>
  <c r="BL281" i="3" l="1"/>
  <c r="BL348" i="3" l="1"/>
  <c r="BM281" i="3" l="1"/>
  <c r="BM348" i="3" l="1"/>
  <c r="BN348" i="3" l="1"/>
  <c r="BN281" i="3"/>
  <c r="BO348" i="3" l="1"/>
  <c r="BO281" i="3"/>
  <c r="BD82" i="4"/>
  <c r="AJ140" i="28" s="1"/>
  <c r="AJ18" i="28" s="1"/>
  <c r="AJ20" i="28" l="1"/>
  <c r="AJ21" i="28"/>
  <c r="BE82" i="4"/>
  <c r="BD14" i="4"/>
  <c r="BD128" i="4"/>
  <c r="BD88" i="4"/>
  <c r="BD96" i="4" s="1"/>
  <c r="BE128" i="4" l="1"/>
  <c r="AK140" i="28"/>
  <c r="AK18" i="28" s="1"/>
  <c r="BD142" i="4"/>
  <c r="BE88" i="4"/>
  <c r="BF82" i="4"/>
  <c r="BJ63" i="3"/>
  <c r="BE14" i="4"/>
  <c r="BD54" i="4"/>
  <c r="BD20" i="4"/>
  <c r="BF149" i="4" l="1"/>
  <c r="AL140" i="28"/>
  <c r="AL18" i="28" s="1"/>
  <c r="AK21" i="28"/>
  <c r="AK20" i="28"/>
  <c r="BD136" i="4"/>
  <c r="BK63" i="3"/>
  <c r="BJ68" i="3"/>
  <c r="AI6" i="32" s="1"/>
  <c r="BF128" i="4"/>
  <c r="BF88" i="4"/>
  <c r="BE54" i="4"/>
  <c r="BF14" i="4"/>
  <c r="AL21" i="28" l="1"/>
  <c r="AL20" i="28"/>
  <c r="BF54" i="4"/>
  <c r="BF20" i="4"/>
  <c r="BL63" i="3" l="1"/>
  <c r="BG14" i="4"/>
  <c r="BG82" i="4"/>
  <c r="BL68" i="3" l="1"/>
  <c r="AK6" i="32" s="1"/>
  <c r="BG54" i="4"/>
  <c r="BG128" i="4"/>
  <c r="BH82" i="4" l="1"/>
  <c r="BH128" i="4" l="1"/>
  <c r="BI82" i="4"/>
  <c r="BI128" i="4" l="1"/>
  <c r="AJ128" i="4"/>
  <c r="AK128" i="4" l="1"/>
  <c r="AL128" i="4" l="1"/>
  <c r="Y37" i="3"/>
  <c r="Y578" i="3" s="1"/>
  <c r="J28" i="32" s="1"/>
  <c r="BJ354" i="3"/>
  <c r="BJ97" i="3"/>
  <c r="BJ464" i="3"/>
  <c r="BJ103" i="3"/>
  <c r="AM128" i="4" l="1"/>
  <c r="Y581" i="3"/>
  <c r="BJ353" i="3"/>
  <c r="BJ355" i="3" s="1"/>
  <c r="BJ446" i="3"/>
  <c r="BJ156" i="3"/>
  <c r="T318" i="14"/>
  <c r="BJ372" i="3"/>
  <c r="BJ41" i="3"/>
  <c r="BJ43" i="3" s="1"/>
  <c r="K59" i="9" l="1"/>
  <c r="AN128" i="4"/>
  <c r="T316" i="14"/>
  <c r="BJ480" i="3"/>
  <c r="BJ356" i="3"/>
  <c r="BJ357" i="3" s="1"/>
  <c r="BJ481" i="3" s="1"/>
  <c r="BJ505" i="3" s="1"/>
  <c r="AO128" i="4" l="1"/>
  <c r="BD345" i="4"/>
  <c r="T317" i="14"/>
  <c r="BJ504" i="3"/>
  <c r="AP128" i="4" l="1"/>
  <c r="Z353" i="3"/>
  <c r="BD416" i="4"/>
  <c r="BD418" i="4"/>
  <c r="BD347" i="4"/>
  <c r="BD354" i="4"/>
  <c r="BD356" i="4"/>
  <c r="BK95" i="3"/>
  <c r="BD42" i="4"/>
  <c r="AQ128" i="4" l="1"/>
  <c r="Z355" i="3"/>
  <c r="Z480" i="3" s="1"/>
  <c r="Z356" i="3"/>
  <c r="BD425" i="4"/>
  <c r="BD427" i="4"/>
  <c r="BD53" i="4"/>
  <c r="BD51" i="4"/>
  <c r="BD44" i="4"/>
  <c r="AR128" i="4" l="1"/>
  <c r="Z357" i="3"/>
  <c r="Z481" i="3" s="1"/>
  <c r="Z505" i="3" s="1"/>
  <c r="AA37" i="3"/>
  <c r="AA578" i="3" s="1"/>
  <c r="L28" i="32" s="1"/>
  <c r="Z504" i="3"/>
  <c r="BK354" i="3"/>
  <c r="BK97" i="3"/>
  <c r="BK464" i="3"/>
  <c r="BK103" i="3"/>
  <c r="BK446" i="3" l="1"/>
  <c r="BK156" i="3"/>
  <c r="BK353" i="3"/>
  <c r="BK355" i="3" s="1"/>
  <c r="BK372" i="3"/>
  <c r="L59" i="9" s="1"/>
  <c r="BK41" i="3"/>
  <c r="BK43" i="3" s="1"/>
  <c r="BK356" i="3" l="1"/>
  <c r="BK357" i="3" s="1"/>
  <c r="BK481" i="3" s="1"/>
  <c r="BK505" i="3" s="1"/>
  <c r="BK480" i="3"/>
  <c r="BK504" i="3" l="1"/>
  <c r="BE345" i="4"/>
  <c r="BE42" i="4" l="1"/>
  <c r="BE347" i="4"/>
  <c r="BE418" i="4"/>
  <c r="BE416" i="4"/>
  <c r="BE354" i="4"/>
  <c r="BE356" i="4"/>
  <c r="BE44" i="4" l="1"/>
  <c r="BE425" i="4"/>
  <c r="BE427" i="4"/>
  <c r="BE51" i="4"/>
  <c r="BE53" i="4"/>
  <c r="W50" i="4" l="1"/>
  <c r="X60" i="3"/>
  <c r="BD230" i="4"/>
  <c r="BD250" i="4" s="1"/>
  <c r="BD228" i="4"/>
  <c r="BD379" i="4" l="1"/>
  <c r="X10" i="4"/>
  <c r="Y60" i="3" s="1"/>
  <c r="Y61" i="3" s="1"/>
  <c r="X61" i="3"/>
  <c r="BD229" i="4"/>
  <c r="BD277" i="4" s="1"/>
  <c r="Y10" i="4"/>
  <c r="BE228" i="4"/>
  <c r="BD381" i="4"/>
  <c r="BD397" i="4" s="1"/>
  <c r="Y11" i="4" l="1"/>
  <c r="Z60" i="3"/>
  <c r="Z61" i="3" s="1"/>
  <c r="BD10" i="4"/>
  <c r="BD299" i="4"/>
  <c r="BD380" i="4"/>
  <c r="BD424" i="4" s="1"/>
  <c r="BJ60" i="3"/>
  <c r="BD293" i="4"/>
  <c r="BD294" i="4"/>
  <c r="BE230" i="4"/>
  <c r="Z10" i="4" l="1"/>
  <c r="BE10" i="4" s="1"/>
  <c r="BE379" i="4"/>
  <c r="BE229" i="4"/>
  <c r="BE277" i="4" s="1"/>
  <c r="AA10" i="4"/>
  <c r="BF228" i="4"/>
  <c r="BD436" i="4"/>
  <c r="BE381" i="4"/>
  <c r="AA11" i="4" l="1"/>
  <c r="AB60" i="3"/>
  <c r="AB61" i="3" s="1"/>
  <c r="Z11" i="4"/>
  <c r="Z50" i="4" s="1"/>
  <c r="AA60" i="3"/>
  <c r="BK60" i="3" s="1"/>
  <c r="BD442" i="4"/>
  <c r="BE380" i="4"/>
  <c r="BE424" i="4" s="1"/>
  <c r="AB10" i="4" l="1"/>
  <c r="BF10" i="4" s="1"/>
  <c r="AA61" i="3"/>
  <c r="AA50" i="4"/>
  <c r="BF381" i="4"/>
  <c r="BF230" i="4"/>
  <c r="BF379" i="4"/>
  <c r="AC10" i="4"/>
  <c r="AC11" i="4" l="1"/>
  <c r="AD50" i="4" s="1"/>
  <c r="AD60" i="3"/>
  <c r="AD61" i="3" s="1"/>
  <c r="AB11" i="4"/>
  <c r="AB50" i="4" s="1"/>
  <c r="AC60" i="3"/>
  <c r="BG230" i="4"/>
  <c r="BF380" i="4"/>
  <c r="BF424" i="4" s="1"/>
  <c r="BG228" i="4"/>
  <c r="BF229" i="4"/>
  <c r="BF277" i="4" s="1"/>
  <c r="AC61" i="3" l="1"/>
  <c r="AC50" i="4"/>
  <c r="BL60" i="3"/>
  <c r="BG229" i="4"/>
  <c r="BG277" i="4" s="1"/>
  <c r="AE10" i="4"/>
  <c r="BH228" i="4"/>
  <c r="BG381" i="4"/>
  <c r="BG10" i="4"/>
  <c r="BG379" i="4"/>
  <c r="AE11" i="4" l="1"/>
  <c r="AE50" i="4" s="1"/>
  <c r="AF60" i="3"/>
  <c r="BM60" i="3"/>
  <c r="BG380" i="4"/>
  <c r="BG424" i="4" s="1"/>
  <c r="BH230" i="4"/>
  <c r="AF61" i="3" l="1"/>
  <c r="AF10" i="4"/>
  <c r="BH229" i="4"/>
  <c r="BH379" i="4"/>
  <c r="AF11" i="4" l="1"/>
  <c r="AG60" i="3"/>
  <c r="BH10" i="4"/>
  <c r="K31" i="6"/>
  <c r="J31" i="6"/>
  <c r="BN60" i="3"/>
  <c r="M6" i="8" s="1"/>
  <c r="L31" i="6"/>
  <c r="F31" i="6"/>
  <c r="G31" i="6"/>
  <c r="Q6" i="8"/>
  <c r="BH277" i="4"/>
  <c r="BI277" i="4"/>
  <c r="BH381" i="4"/>
  <c r="AG61" i="3" l="1"/>
  <c r="I31" i="6"/>
  <c r="AF50" i="4"/>
  <c r="AG50" i="4"/>
  <c r="N6" i="8"/>
  <c r="C31" i="6"/>
  <c r="O6" i="8"/>
  <c r="D31" i="6"/>
  <c r="P6" i="8"/>
  <c r="E31" i="6"/>
  <c r="BH380" i="4"/>
  <c r="BH424" i="4" l="1"/>
  <c r="BI424" i="4"/>
  <c r="BJ388" i="3"/>
  <c r="BJ121" i="3" l="1"/>
  <c r="BJ132" i="3" s="1"/>
  <c r="BJ176" i="3" l="1"/>
  <c r="BJ187" i="3" s="1"/>
  <c r="BJ109" i="3"/>
  <c r="BK388" i="3"/>
  <c r="W40" i="4" l="1"/>
  <c r="W489" i="4" s="1"/>
  <c r="W513" i="4" s="1"/>
  <c r="BJ384" i="3"/>
  <c r="BJ386" i="3"/>
  <c r="BJ382" i="3"/>
  <c r="BJ404" i="3"/>
  <c r="BJ407" i="3"/>
  <c r="BJ231" i="3"/>
  <c r="BJ242" i="3" s="1"/>
  <c r="BK121" i="3"/>
  <c r="BK132" i="3" s="1"/>
  <c r="W63" i="4" l="1"/>
  <c r="X40" i="4"/>
  <c r="X489" i="4" s="1"/>
  <c r="BJ406" i="3"/>
  <c r="BJ422" i="3"/>
  <c r="BJ325" i="3"/>
  <c r="BK176" i="3"/>
  <c r="BK187" i="3" s="1"/>
  <c r="BJ313" i="3"/>
  <c r="BK109" i="3"/>
  <c r="BJ383" i="3"/>
  <c r="BJ408" i="3"/>
  <c r="BL388" i="3"/>
  <c r="X513" i="4" l="1"/>
  <c r="X63" i="4"/>
  <c r="BJ424" i="3"/>
  <c r="BJ380" i="3"/>
  <c r="BJ402" i="3" s="1"/>
  <c r="BK384" i="3"/>
  <c r="BJ425" i="3"/>
  <c r="BK404" i="3"/>
  <c r="BK383" i="3"/>
  <c r="BK408" i="3"/>
  <c r="BK382" i="3"/>
  <c r="BK407" i="3"/>
  <c r="BK231" i="3"/>
  <c r="BK242" i="3" s="1"/>
  <c r="BJ46" i="3"/>
  <c r="BJ314" i="3"/>
  <c r="K32" i="9" s="1"/>
  <c r="BJ347" i="3"/>
  <c r="BL121" i="3"/>
  <c r="BL132" i="3" s="1"/>
  <c r="BJ54" i="3"/>
  <c r="BJ337" i="3"/>
  <c r="J13" i="9" l="1"/>
  <c r="Y40" i="4"/>
  <c r="Y489" i="4" s="1"/>
  <c r="BK422" i="3"/>
  <c r="BD329" i="4"/>
  <c r="BD40" i="4"/>
  <c r="BD253" i="4"/>
  <c r="T74" i="14"/>
  <c r="T73" i="14" s="1"/>
  <c r="BJ419" i="3"/>
  <c r="BK406" i="3"/>
  <c r="BD177" i="4"/>
  <c r="BL109" i="3"/>
  <c r="W225" i="4"/>
  <c r="BJ316" i="3"/>
  <c r="BJ318" i="3" s="1"/>
  <c r="BJ346" i="3"/>
  <c r="BL231" i="3"/>
  <c r="BL242" i="3" s="1"/>
  <c r="BK313" i="3"/>
  <c r="BK325" i="3"/>
  <c r="BK386" i="3"/>
  <c r="BJ571" i="3"/>
  <c r="BJ569" i="3"/>
  <c r="BM388" i="3"/>
  <c r="BL176" i="3"/>
  <c r="BL187" i="3" s="1"/>
  <c r="BD191" i="4"/>
  <c r="BD192" i="4"/>
  <c r="J33" i="9" l="1"/>
  <c r="J14" i="9"/>
  <c r="Z40" i="4"/>
  <c r="Z489" i="4" s="1"/>
  <c r="Y513" i="4"/>
  <c r="Y63" i="4"/>
  <c r="BD344" i="4"/>
  <c r="BD343" i="4"/>
  <c r="BD366" i="4" s="1"/>
  <c r="BD99" i="4"/>
  <c r="BD139" i="4" s="1"/>
  <c r="BD113" i="4"/>
  <c r="BD114" i="4"/>
  <c r="X109" i="4" s="1"/>
  <c r="BD267" i="4"/>
  <c r="BD295" i="4" s="1"/>
  <c r="BD268" i="4"/>
  <c r="X225" i="4"/>
  <c r="BD489" i="4"/>
  <c r="BK425" i="3"/>
  <c r="BK380" i="3"/>
  <c r="BK402" i="3" s="1"/>
  <c r="BL384" i="3"/>
  <c r="X305" i="4"/>
  <c r="BL386" i="3"/>
  <c r="BD400" i="4"/>
  <c r="BL408" i="3"/>
  <c r="BL407" i="3"/>
  <c r="BL383" i="3"/>
  <c r="BL404" i="3"/>
  <c r="BD216" i="4"/>
  <c r="BD215" i="4"/>
  <c r="BD218" i="4"/>
  <c r="BK347" i="3"/>
  <c r="BJ309" i="3"/>
  <c r="BM121" i="3"/>
  <c r="BM132" i="3" s="1"/>
  <c r="BL325" i="3"/>
  <c r="BK337" i="3"/>
  <c r="BK54" i="3"/>
  <c r="BK46" i="3"/>
  <c r="BK314" i="3"/>
  <c r="L32" i="9" s="1"/>
  <c r="BD367" i="4"/>
  <c r="BD368" i="4"/>
  <c r="BD330" i="4"/>
  <c r="BD332" i="4" s="1"/>
  <c r="BD296" i="4"/>
  <c r="BD297" i="4"/>
  <c r="BD254" i="4"/>
  <c r="BD256" i="4" s="1"/>
  <c r="K13" i="9" l="1"/>
  <c r="BE40" i="4"/>
  <c r="AA40" i="4"/>
  <c r="Z513" i="4"/>
  <c r="Z63" i="4"/>
  <c r="BD369" i="4"/>
  <c r="BD138" i="4"/>
  <c r="BD141" i="4"/>
  <c r="BD298" i="4"/>
  <c r="BD415" i="4"/>
  <c r="BD140" i="4"/>
  <c r="BD100" i="4"/>
  <c r="BD102" i="4" s="1"/>
  <c r="BD414" i="4"/>
  <c r="BD438" i="4" s="1"/>
  <c r="BK419" i="3"/>
  <c r="BL406" i="3"/>
  <c r="BE267" i="4"/>
  <c r="BD305" i="4"/>
  <c r="BM109" i="3"/>
  <c r="BL313" i="3"/>
  <c r="BJ576" i="3"/>
  <c r="BE113" i="4"/>
  <c r="BL382" i="3"/>
  <c r="BN388" i="3"/>
  <c r="BL54" i="3"/>
  <c r="BL337" i="3"/>
  <c r="BM231" i="3"/>
  <c r="BM242" i="3" s="1"/>
  <c r="W376" i="4"/>
  <c r="BM176" i="3"/>
  <c r="BM187" i="3" s="1"/>
  <c r="BK316" i="3"/>
  <c r="BK318" i="3" s="1"/>
  <c r="BK346" i="3"/>
  <c r="BD225" i="4"/>
  <c r="BL347" i="3"/>
  <c r="BD439" i="4"/>
  <c r="BD440" i="4"/>
  <c r="BD401" i="4"/>
  <c r="BD403" i="4" s="1"/>
  <c r="K14" i="9" l="1"/>
  <c r="K33" i="9"/>
  <c r="AB40" i="4"/>
  <c r="AB489" i="4" s="1"/>
  <c r="AA489" i="4"/>
  <c r="AA513" i="4" s="1"/>
  <c r="AA63" i="4"/>
  <c r="BE114" i="4"/>
  <c r="BE141" i="4" s="1"/>
  <c r="BL380" i="3"/>
  <c r="BL402" i="3" s="1"/>
  <c r="BE192" i="4"/>
  <c r="BE191" i="4"/>
  <c r="X146" i="4"/>
  <c r="BD441" i="4"/>
  <c r="BD75" i="4"/>
  <c r="BE268" i="4"/>
  <c r="BE298" i="4" s="1"/>
  <c r="BL425" i="3"/>
  <c r="BE177" i="4"/>
  <c r="BE99" i="4"/>
  <c r="BM404" i="3"/>
  <c r="BM407" i="3"/>
  <c r="BM386" i="3"/>
  <c r="BE343" i="4"/>
  <c r="BL46" i="3"/>
  <c r="BL314" i="3"/>
  <c r="BK309" i="3"/>
  <c r="BN121" i="3"/>
  <c r="BN132" i="3" s="1"/>
  <c r="BL422" i="3"/>
  <c r="BD376" i="4"/>
  <c r="BE329" i="4"/>
  <c r="BM325" i="3"/>
  <c r="C77" i="6" l="1"/>
  <c r="M40" i="8"/>
  <c r="M32" i="9"/>
  <c r="L13" i="9"/>
  <c r="D77" i="6"/>
  <c r="N40" i="8"/>
  <c r="J77" i="6"/>
  <c r="AC40" i="4"/>
  <c r="AC489" i="4" s="1"/>
  <c r="AB513" i="4"/>
  <c r="AB63" i="4"/>
  <c r="BE218" i="4"/>
  <c r="X145" i="4"/>
  <c r="X107" i="4"/>
  <c r="X144" i="4" s="1"/>
  <c r="BF40" i="4"/>
  <c r="BM422" i="3"/>
  <c r="BL419" i="3"/>
  <c r="BM406" i="3"/>
  <c r="BE139" i="4"/>
  <c r="BE138" i="4"/>
  <c r="BE216" i="4"/>
  <c r="BE215" i="4"/>
  <c r="BE253" i="4"/>
  <c r="BM408" i="3"/>
  <c r="BE367" i="4"/>
  <c r="BE366" i="4"/>
  <c r="BL316" i="3"/>
  <c r="BL318" i="3" s="1"/>
  <c r="BL346" i="3"/>
  <c r="BN109" i="3"/>
  <c r="BM382" i="3"/>
  <c r="BE344" i="4"/>
  <c r="BE369" i="4" s="1"/>
  <c r="BK576" i="3"/>
  <c r="BM347" i="3"/>
  <c r="BM383" i="3"/>
  <c r="BM384" i="3"/>
  <c r="BM337" i="3"/>
  <c r="BM54" i="3"/>
  <c r="BN176" i="3"/>
  <c r="BN187" i="3" s="1"/>
  <c r="BM313" i="3"/>
  <c r="BE414" i="4"/>
  <c r="L14" i="9" l="1"/>
  <c r="L33" i="9"/>
  <c r="AD40" i="4"/>
  <c r="BG40" i="4" s="1"/>
  <c r="AC513" i="4"/>
  <c r="AC63" i="4"/>
  <c r="BN231" i="3"/>
  <c r="BN242" i="3" s="1"/>
  <c r="BF177" i="4"/>
  <c r="BF216" i="4" s="1"/>
  <c r="BF191" i="4"/>
  <c r="BF192" i="4"/>
  <c r="X137" i="4"/>
  <c r="X108" i="4"/>
  <c r="BF114" i="4"/>
  <c r="BF113" i="4"/>
  <c r="BF267" i="4"/>
  <c r="BF253" i="4"/>
  <c r="BE400" i="4"/>
  <c r="BM380" i="3"/>
  <c r="BM425" i="3"/>
  <c r="BF99" i="4"/>
  <c r="BF329" i="4"/>
  <c r="BE415" i="4"/>
  <c r="BE295" i="4"/>
  <c r="BE296" i="4"/>
  <c r="BM314" i="3"/>
  <c r="BM46" i="3"/>
  <c r="BN325" i="3"/>
  <c r="BF343" i="4"/>
  <c r="BL309" i="3"/>
  <c r="BE489" i="4"/>
  <c r="BM402" i="3" l="1"/>
  <c r="BM419" i="3" s="1"/>
  <c r="M13" i="9"/>
  <c r="M14" i="9" s="1"/>
  <c r="N32" i="9"/>
  <c r="AE40" i="4"/>
  <c r="AE489" i="4" s="1"/>
  <c r="AD489" i="4"/>
  <c r="AD513" i="4" s="1"/>
  <c r="AD63" i="4"/>
  <c r="BF268" i="4"/>
  <c r="AA145" i="4"/>
  <c r="AA146" i="4"/>
  <c r="BF218" i="4"/>
  <c r="BF215" i="4"/>
  <c r="BO176" i="3"/>
  <c r="BO187" i="3" s="1"/>
  <c r="BN386" i="3"/>
  <c r="BN384" i="3"/>
  <c r="BN404" i="3"/>
  <c r="BN347" i="3"/>
  <c r="BN406" i="3"/>
  <c r="BN382" i="3"/>
  <c r="BN407" i="3"/>
  <c r="BN383" i="3"/>
  <c r="BN408" i="3"/>
  <c r="BO231" i="3"/>
  <c r="BO242" i="3" s="1"/>
  <c r="BF296" i="4"/>
  <c r="BF141" i="4"/>
  <c r="BF295" i="4"/>
  <c r="BF139" i="4"/>
  <c r="BF138" i="4"/>
  <c r="BE439" i="4"/>
  <c r="BE438" i="4"/>
  <c r="BG177" i="4"/>
  <c r="BF367" i="4"/>
  <c r="BF366" i="4"/>
  <c r="BF400" i="4"/>
  <c r="BF439" i="4" s="1"/>
  <c r="BE441" i="4"/>
  <c r="BL576" i="3"/>
  <c r="BG329" i="4"/>
  <c r="BM316" i="3"/>
  <c r="BM318" i="3" s="1"/>
  <c r="BM346" i="3"/>
  <c r="BF344" i="4"/>
  <c r="BN313" i="3"/>
  <c r="BN337" i="3"/>
  <c r="C45" i="33" s="1"/>
  <c r="BN54" i="3"/>
  <c r="BF414" i="4"/>
  <c r="M33" i="9" l="1"/>
  <c r="BG216" i="4"/>
  <c r="BF298" i="4"/>
  <c r="BF369" i="4"/>
  <c r="C89" i="6"/>
  <c r="M52" i="8"/>
  <c r="AF40" i="4"/>
  <c r="AG63" i="4" s="1"/>
  <c r="AE513" i="4"/>
  <c r="AE63" i="4"/>
  <c r="BG268" i="4"/>
  <c r="BG267" i="4"/>
  <c r="BO383" i="3"/>
  <c r="BO382" i="3"/>
  <c r="BO386" i="3"/>
  <c r="BO406" i="3"/>
  <c r="AK176" i="3"/>
  <c r="BO408" i="3"/>
  <c r="BO407" i="3"/>
  <c r="BO384" i="3"/>
  <c r="BN422" i="3"/>
  <c r="BM309" i="3"/>
  <c r="BG253" i="4"/>
  <c r="BG191" i="4"/>
  <c r="BG215" i="4" s="1"/>
  <c r="BG192" i="4"/>
  <c r="BG114" i="4"/>
  <c r="BG113" i="4"/>
  <c r="BF438" i="4"/>
  <c r="BN380" i="3"/>
  <c r="BF415" i="4"/>
  <c r="BN46" i="3"/>
  <c r="BN314" i="3"/>
  <c r="BG367" i="4"/>
  <c r="BF489" i="4"/>
  <c r="BG343" i="4"/>
  <c r="BG366" i="4" s="1"/>
  <c r="BN402" i="3" l="1"/>
  <c r="O32" i="9"/>
  <c r="N13" i="9"/>
  <c r="AF63" i="4"/>
  <c r="AF489" i="4"/>
  <c r="AG513" i="4" s="1"/>
  <c r="BG99" i="4"/>
  <c r="BP176" i="3"/>
  <c r="AL176" i="3"/>
  <c r="BG298" i="4"/>
  <c r="BO422" i="3"/>
  <c r="AK231" i="3"/>
  <c r="BP231" i="3" s="1"/>
  <c r="BO404" i="3"/>
  <c r="J89" i="6"/>
  <c r="BO325" i="3"/>
  <c r="BG400" i="4"/>
  <c r="BG439" i="4" s="1"/>
  <c r="BO313" i="3"/>
  <c r="BN425" i="3"/>
  <c r="BF441" i="4"/>
  <c r="BM576" i="3"/>
  <c r="BG296" i="4"/>
  <c r="BG295" i="4"/>
  <c r="BG141" i="4"/>
  <c r="BG218" i="4"/>
  <c r="BH40" i="4"/>
  <c r="BG414" i="4"/>
  <c r="BN316" i="3"/>
  <c r="BN318" i="3" s="1"/>
  <c r="C42" i="33" s="1"/>
  <c r="BN346" i="3"/>
  <c r="O13" i="9" l="1"/>
  <c r="O33" i="9" s="1"/>
  <c r="C34" i="33"/>
  <c r="C78" i="6"/>
  <c r="M41" i="8"/>
  <c r="BN419" i="3"/>
  <c r="BG139" i="4"/>
  <c r="C86" i="6"/>
  <c r="M49" i="8"/>
  <c r="J78" i="6"/>
  <c r="AH40" i="4"/>
  <c r="N14" i="9"/>
  <c r="N33" i="9"/>
  <c r="AF513" i="4"/>
  <c r="BG138" i="4"/>
  <c r="AM176" i="3"/>
  <c r="AL231" i="3"/>
  <c r="BO347" i="3"/>
  <c r="AK325" i="3"/>
  <c r="BN309" i="3"/>
  <c r="C124" i="6" s="1"/>
  <c r="BG438" i="4"/>
  <c r="BO380" i="3"/>
  <c r="BO316" i="3"/>
  <c r="BO318" i="3" s="1"/>
  <c r="D42" i="33" s="1"/>
  <c r="BO46" i="3"/>
  <c r="BO314" i="3"/>
  <c r="BO54" i="3"/>
  <c r="BO337" i="3"/>
  <c r="D45" i="33" s="1"/>
  <c r="BO346" i="3"/>
  <c r="BH114" i="4"/>
  <c r="BH99" i="4"/>
  <c r="BH113" i="4"/>
  <c r="BH177" i="4"/>
  <c r="BH191" i="4"/>
  <c r="BH192" i="4"/>
  <c r="BH268" i="4"/>
  <c r="BH267" i="4"/>
  <c r="BH343" i="4"/>
  <c r="BG489" i="4"/>
  <c r="O14" i="9" l="1"/>
  <c r="BI40" i="4"/>
  <c r="AI63" i="4"/>
  <c r="P32" i="9"/>
  <c r="D86" i="6"/>
  <c r="BO402" i="3"/>
  <c r="BH216" i="4"/>
  <c r="N49" i="8"/>
  <c r="D89" i="6"/>
  <c r="N52" i="8"/>
  <c r="AH63" i="4"/>
  <c r="AH489" i="4"/>
  <c r="J86" i="6"/>
  <c r="BQ176" i="3"/>
  <c r="AN176" i="3"/>
  <c r="AL325" i="3"/>
  <c r="AM231" i="3"/>
  <c r="BQ231" i="3" s="1"/>
  <c r="BP325" i="3"/>
  <c r="BO425" i="3"/>
  <c r="BN576" i="3"/>
  <c r="BO309" i="3"/>
  <c r="BO576" i="3" s="1"/>
  <c r="BH138" i="4"/>
  <c r="BH141" i="4"/>
  <c r="BH139" i="4"/>
  <c r="BH218" i="4"/>
  <c r="BH298" i="4"/>
  <c r="BH215" i="4"/>
  <c r="BH400" i="4"/>
  <c r="BH439" i="4" s="1"/>
  <c r="BH329" i="4"/>
  <c r="BH253" i="4"/>
  <c r="BH414" i="4"/>
  <c r="D78" i="6" l="1"/>
  <c r="D34" i="33"/>
  <c r="D35" i="33" s="1"/>
  <c r="BO419" i="3"/>
  <c r="N41" i="8"/>
  <c r="P13" i="9"/>
  <c r="AC13" i="9" s="1"/>
  <c r="BH366" i="4"/>
  <c r="AH513" i="4"/>
  <c r="D124" i="6"/>
  <c r="AO176" i="3"/>
  <c r="AN231" i="3"/>
  <c r="AM325" i="3"/>
  <c r="BP54" i="3"/>
  <c r="BI113" i="4"/>
  <c r="BI343" i="4"/>
  <c r="BI99" i="4"/>
  <c r="BI268" i="4"/>
  <c r="BI267" i="4"/>
  <c r="BI191" i="4"/>
  <c r="BI414" i="4"/>
  <c r="BI114" i="4"/>
  <c r="BI329" i="4"/>
  <c r="BH438" i="4"/>
  <c r="BH367" i="4"/>
  <c r="BH295" i="4"/>
  <c r="BH296" i="4"/>
  <c r="BH489" i="4"/>
  <c r="P33" i="9" l="1"/>
  <c r="P14" i="9"/>
  <c r="BR176" i="3"/>
  <c r="AP176" i="3"/>
  <c r="AN325" i="3"/>
  <c r="AO231" i="3"/>
  <c r="BR231" i="3" s="1"/>
  <c r="BQ325" i="3"/>
  <c r="BI489" i="4"/>
  <c r="BI141" i="4"/>
  <c r="BI298" i="4"/>
  <c r="BI367" i="4"/>
  <c r="BI366" i="4"/>
  <c r="BI139" i="4"/>
  <c r="BI138" i="4"/>
  <c r="BI192" i="4"/>
  <c r="BI177" i="4"/>
  <c r="BI253" i="4"/>
  <c r="BI400" i="4"/>
  <c r="W41" i="4"/>
  <c r="X91" i="3"/>
  <c r="AQ176" i="3" l="1"/>
  <c r="AP231" i="3"/>
  <c r="AO325" i="3"/>
  <c r="BI218" i="4"/>
  <c r="BQ54" i="3"/>
  <c r="BI296" i="4"/>
  <c r="BI295" i="4"/>
  <c r="BI216" i="4"/>
  <c r="BI215" i="4"/>
  <c r="BI439" i="4"/>
  <c r="BI438" i="4"/>
  <c r="W66" i="4"/>
  <c r="W490" i="4"/>
  <c r="W71" i="4"/>
  <c r="BS176" i="3" l="1"/>
  <c r="AR176" i="3"/>
  <c r="AP325" i="3"/>
  <c r="AQ231" i="3"/>
  <c r="BR325" i="3"/>
  <c r="W519" i="4"/>
  <c r="W485" i="4" s="1"/>
  <c r="W516" i="4"/>
  <c r="AS176" i="3" l="1"/>
  <c r="BT176" i="3" s="1"/>
  <c r="AR231" i="3"/>
  <c r="BS231" i="3"/>
  <c r="AQ325" i="3"/>
  <c r="BR54" i="3"/>
  <c r="AR325" i="3" l="1"/>
  <c r="AS231" i="3"/>
  <c r="BT231" i="3" s="1"/>
  <c r="BS325" i="3"/>
  <c r="X276" i="3"/>
  <c r="AS325" i="3" l="1"/>
  <c r="BS54" i="3"/>
  <c r="X575" i="3"/>
  <c r="X577" i="3" s="1"/>
  <c r="W520" i="4"/>
  <c r="X350" i="3"/>
  <c r="X351" i="3" s="1"/>
  <c r="BT325" i="3" l="1"/>
  <c r="X359" i="3"/>
  <c r="X4" i="3" s="1"/>
  <c r="X339" i="3"/>
  <c r="X11" i="4"/>
  <c r="BT54" i="3" l="1"/>
  <c r="X50" i="4"/>
  <c r="Y50" i="4"/>
  <c r="BD158" i="4"/>
  <c r="BD174" i="4" l="1"/>
  <c r="BD219" i="4" s="1"/>
  <c r="AJ146" i="28"/>
  <c r="AJ39" i="28" s="1"/>
  <c r="BD157" i="4"/>
  <c r="BD201" i="4" s="1"/>
  <c r="BD12" i="4"/>
  <c r="BJ62" i="3"/>
  <c r="AI4" i="32" s="1"/>
  <c r="AI10" i="32" s="1"/>
  <c r="BD213" i="4"/>
  <c r="BD217" i="4"/>
  <c r="BD178" i="4"/>
  <c r="BD180" i="4" s="1"/>
  <c r="AJ42" i="28" l="1"/>
  <c r="AJ41" i="28"/>
  <c r="BD11" i="4"/>
  <c r="BD50" i="4" s="1"/>
  <c r="BD28" i="4"/>
  <c r="T14" i="14"/>
  <c r="BJ61" i="3"/>
  <c r="BJ73" i="3"/>
  <c r="T16" i="14"/>
  <c r="BE158" i="4"/>
  <c r="AK146" i="28" s="1"/>
  <c r="AK39" i="28" s="1"/>
  <c r="BD153" i="4"/>
  <c r="W153" i="4"/>
  <c r="AJ137" i="28" l="1"/>
  <c r="AJ6" i="28" s="1"/>
  <c r="AK42" i="28"/>
  <c r="AK41" i="28"/>
  <c r="BJ528" i="3"/>
  <c r="T23" i="14"/>
  <c r="T291" i="14"/>
  <c r="T24" i="14"/>
  <c r="BJ527" i="3"/>
  <c r="BE12" i="4"/>
  <c r="BE157" i="4"/>
  <c r="BE201" i="4" s="1"/>
  <c r="AJ8" i="28" l="1"/>
  <c r="AJ9" i="28"/>
  <c r="BF12" i="4"/>
  <c r="BE11" i="4"/>
  <c r="BE50" i="4" s="1"/>
  <c r="BK62" i="3"/>
  <c r="AJ4" i="32" s="1"/>
  <c r="BK61" i="3" l="1"/>
  <c r="BF11" i="4"/>
  <c r="BF50" i="4" s="1"/>
  <c r="BL62" i="3" l="1"/>
  <c r="AK4" i="32" s="1"/>
  <c r="BL61" i="3" l="1"/>
  <c r="W187" i="4" l="1"/>
  <c r="W109" i="4" s="1"/>
  <c r="W410" i="4" s="1"/>
  <c r="W222" i="4" l="1"/>
  <c r="W185" i="4"/>
  <c r="W186" i="4" s="1"/>
  <c r="W221" i="4" l="1"/>
  <c r="W214" i="4"/>
  <c r="BD185" i="4" l="1"/>
  <c r="BD221" i="4" l="1"/>
  <c r="BD214" i="4"/>
  <c r="W448" i="4" l="1"/>
  <c r="W481" i="4"/>
  <c r="BD481" i="4" l="1"/>
  <c r="BD184" i="4" l="1"/>
  <c r="BD692" i="4"/>
  <c r="BD336" i="4"/>
  <c r="BD407" i="4"/>
  <c r="BD106" i="4"/>
  <c r="BD260" i="4"/>
  <c r="BD472" i="4"/>
  <c r="BD31" i="4" l="1"/>
  <c r="BD514" i="4"/>
  <c r="BD513" i="4"/>
  <c r="W107" i="4"/>
  <c r="W480" i="4"/>
  <c r="W482" i="4" s="1"/>
  <c r="W137" i="4" l="1"/>
  <c r="W144" i="4"/>
  <c r="BD480" i="4"/>
  <c r="W483" i="4"/>
  <c r="W145" i="4"/>
  <c r="W146" i="4"/>
  <c r="W73" i="4"/>
  <c r="W108" i="4"/>
  <c r="BD64" i="4"/>
  <c r="BD63" i="4"/>
  <c r="BJ76" i="3"/>
  <c r="AI14" i="32" s="1"/>
  <c r="W512" i="4" l="1"/>
  <c r="W484" i="4"/>
  <c r="W409" i="4" s="1"/>
  <c r="W445" i="4"/>
  <c r="W446" i="4"/>
  <c r="BJ533" i="3"/>
  <c r="W408" i="4"/>
  <c r="BD107" i="4" l="1"/>
  <c r="W443" i="4"/>
  <c r="BD691" i="4"/>
  <c r="BD108" i="4"/>
  <c r="BD105" i="4"/>
  <c r="W437" i="4"/>
  <c r="W444" i="4"/>
  <c r="BD183" i="4"/>
  <c r="BD186" i="4"/>
  <c r="BD335" i="4"/>
  <c r="BD406" i="4"/>
  <c r="BD259" i="4"/>
  <c r="BD143" i="4" l="1"/>
  <c r="BD220" i="4"/>
  <c r="BD144" i="4"/>
  <c r="BD137" i="4"/>
  <c r="W68" i="4"/>
  <c r="W70" i="4" s="1"/>
  <c r="BD729" i="4"/>
  <c r="BD695" i="4"/>
  <c r="BE105" i="4"/>
  <c r="BD109" i="4"/>
  <c r="BE480" i="4"/>
  <c r="BE183" i="4"/>
  <c r="BD187" i="4"/>
  <c r="BE259" i="4" l="1"/>
  <c r="BD223" i="4"/>
  <c r="BD222" i="4"/>
  <c r="BE406" i="4"/>
  <c r="BD731" i="4"/>
  <c r="BD732" i="4"/>
  <c r="BE691" i="4"/>
  <c r="BE335" i="4"/>
  <c r="BD145" i="4"/>
  <c r="BD146" i="4"/>
  <c r="BF259" i="4" l="1"/>
  <c r="BD29" i="4"/>
  <c r="BF335" i="4"/>
  <c r="BF105" i="4"/>
  <c r="AJ166" i="28" l="1"/>
  <c r="AJ104" i="28" s="1"/>
  <c r="AJ107" i="28" s="1"/>
  <c r="BJ74" i="3"/>
  <c r="AI12" i="32" s="1"/>
  <c r="AI15" i="32" s="1"/>
  <c r="X7" i="4"/>
  <c r="BF406" i="4"/>
  <c r="BD65" i="4"/>
  <c r="BD61" i="4"/>
  <c r="BD32" i="4"/>
  <c r="BD62" i="4"/>
  <c r="BF183" i="4"/>
  <c r="AJ106" i="28" l="1"/>
  <c r="BD33" i="4"/>
  <c r="BD67" i="4" s="1"/>
  <c r="BJ531" i="3"/>
  <c r="T25" i="14"/>
  <c r="BJ535" i="3"/>
  <c r="BJ534" i="3"/>
  <c r="AI23" i="32" s="1"/>
  <c r="BJ532" i="3"/>
  <c r="BJ77" i="3"/>
  <c r="BJ549" i="3"/>
  <c r="BJ548" i="3"/>
  <c r="BJ547" i="3"/>
  <c r="BJ529" i="3"/>
  <c r="BJ530" i="3" s="1"/>
  <c r="BJ546" i="3"/>
  <c r="BJ550" i="3"/>
  <c r="BD518" i="4" l="1"/>
  <c r="AI24" i="32"/>
  <c r="AI17" i="32"/>
  <c r="BD36" i="4"/>
  <c r="BJ78" i="3"/>
  <c r="AI18" i="32" s="1"/>
  <c r="T33" i="14"/>
  <c r="T39" i="14"/>
  <c r="T290" i="14"/>
  <c r="T289" i="14"/>
  <c r="T46" i="14"/>
  <c r="T40" i="14" s="1"/>
  <c r="BJ476" i="3"/>
  <c r="BJ501" i="3" s="1"/>
  <c r="T32" i="14"/>
  <c r="BD474" i="4"/>
  <c r="BD7" i="4" l="1"/>
  <c r="BJ32" i="3"/>
  <c r="T303" i="14"/>
  <c r="BJ341" i="3"/>
  <c r="BJ345" i="3" s="1"/>
  <c r="BJ349" i="3" s="1"/>
  <c r="BJ37" i="3"/>
  <c r="BJ81" i="3"/>
  <c r="AI20" i="32" s="1"/>
  <c r="BJ30" i="3"/>
  <c r="T302" i="14"/>
  <c r="BJ31" i="3"/>
  <c r="AJ176" i="28" l="1"/>
  <c r="AJ12" i="28" s="1"/>
  <c r="BJ84" i="3"/>
  <c r="BJ88" i="3" s="1"/>
  <c r="BJ474" i="3"/>
  <c r="AI26" i="32" s="1"/>
  <c r="BJ526" i="3"/>
  <c r="BJ578" i="3"/>
  <c r="AI28" i="32" s="1"/>
  <c r="BJ472" i="3"/>
  <c r="AI25" i="32" s="1"/>
  <c r="BJ524" i="3"/>
  <c r="BJ58" i="3"/>
  <c r="J18" i="9" s="1"/>
  <c r="BJ536" i="3"/>
  <c r="BJ525" i="3"/>
  <c r="BJ579" i="3"/>
  <c r="AJ14" i="28" l="1"/>
  <c r="AJ15" i="28"/>
  <c r="J16" i="9"/>
  <c r="J19" i="9"/>
  <c r="J21" i="9"/>
  <c r="X41" i="4"/>
  <c r="X71" i="4" s="1"/>
  <c r="Y91" i="3"/>
  <c r="T307" i="14"/>
  <c r="T309" i="14" s="1"/>
  <c r="T298" i="14"/>
  <c r="T285" i="14"/>
  <c r="T288" i="14"/>
  <c r="BJ475" i="3"/>
  <c r="T313" i="14"/>
  <c r="BJ500" i="3"/>
  <c r="BJ471" i="3"/>
  <c r="BJ498" i="3" s="1"/>
  <c r="T310" i="14"/>
  <c r="BJ470" i="3"/>
  <c r="BJ497" i="3" s="1"/>
  <c r="BJ473" i="3"/>
  <c r="BJ499" i="3"/>
  <c r="BJ580" i="3"/>
  <c r="BJ94" i="3"/>
  <c r="BJ98" i="3" s="1"/>
  <c r="J23" i="9" s="1"/>
  <c r="J30" i="9" s="1"/>
  <c r="BJ160" i="3"/>
  <c r="J37" i="9" l="1"/>
  <c r="J38" i="9" s="1"/>
  <c r="J25" i="9"/>
  <c r="J26" i="9" s="1"/>
  <c r="J27" i="9" s="1"/>
  <c r="J34" i="9"/>
  <c r="X66" i="4"/>
  <c r="X490" i="4"/>
  <c r="X519" i="4" s="1"/>
  <c r="BJ91" i="3"/>
  <c r="BJ450" i="3"/>
  <c r="BK93" i="3"/>
  <c r="BJ101" i="3"/>
  <c r="T99" i="14" s="1"/>
  <c r="T96" i="14"/>
  <c r="BJ520" i="3"/>
  <c r="AI29" i="32" s="1"/>
  <c r="BD41" i="4"/>
  <c r="X485" i="4" l="1"/>
  <c r="X483" i="4" s="1"/>
  <c r="X516" i="4"/>
  <c r="T292" i="14"/>
  <c r="BD490" i="4"/>
  <c r="BJ459" i="3"/>
  <c r="BD66" i="4"/>
  <c r="BD71" i="4"/>
  <c r="X484" i="4" l="1"/>
  <c r="X512" i="4"/>
  <c r="BD483" i="4"/>
  <c r="BJ428" i="3"/>
  <c r="BJ444" i="3" s="1"/>
  <c r="BJ272" i="3"/>
  <c r="BJ264" i="3" s="1"/>
  <c r="BJ274" i="3" s="1"/>
  <c r="BJ449" i="3"/>
  <c r="BJ454" i="3" s="1"/>
  <c r="BJ159" i="3"/>
  <c r="BJ162" i="3" s="1"/>
  <c r="BJ154" i="3" s="1"/>
  <c r="BJ164" i="3" s="1"/>
  <c r="BD516" i="4"/>
  <c r="BJ463" i="3"/>
  <c r="BJ466" i="3"/>
  <c r="BJ217" i="3"/>
  <c r="BJ209" i="3" s="1"/>
  <c r="BJ219" i="3" s="1"/>
  <c r="BJ482" i="3" l="1"/>
  <c r="BJ506" i="3" s="1"/>
  <c r="T331" i="14"/>
  <c r="T281" i="14" s="1"/>
  <c r="BJ189" i="3"/>
  <c r="BJ467" i="3"/>
  <c r="BJ522" i="3"/>
  <c r="AI30" i="32" s="1"/>
  <c r="BJ134" i="3"/>
  <c r="BJ279" i="3"/>
  <c r="BJ282" i="3" s="1"/>
  <c r="BJ304" i="3" s="1"/>
  <c r="BJ307" i="3"/>
  <c r="T95" i="14"/>
  <c r="T94" i="14"/>
  <c r="BJ456" i="3"/>
  <c r="T101" i="14"/>
  <c r="Y276" i="3" l="1"/>
  <c r="BJ581" i="3"/>
  <c r="T332" i="14"/>
  <c r="T294" i="14" s="1"/>
  <c r="BJ483" i="3"/>
  <c r="BJ507" i="3" s="1"/>
  <c r="X520" i="4"/>
  <c r="BD520" i="4" s="1"/>
  <c r="BJ55" i="3"/>
  <c r="BJ276" i="3"/>
  <c r="BJ49" i="3"/>
  <c r="K36" i="9" s="1"/>
  <c r="Y575" i="3" l="1"/>
  <c r="Y577" i="3" s="1"/>
  <c r="BJ244" i="3"/>
  <c r="BJ575" i="3"/>
  <c r="BJ577" i="3" s="1"/>
  <c r="BJ521" i="3"/>
  <c r="BJ523" i="3"/>
  <c r="BJ574" i="3"/>
  <c r="BJ484" i="3"/>
  <c r="BJ350" i="3" l="1"/>
  <c r="BJ351" i="3" s="1"/>
  <c r="Y339" i="3"/>
  <c r="BJ359" i="3" l="1"/>
  <c r="BJ339" i="3"/>
  <c r="Y4" i="3"/>
  <c r="X448" i="4" l="1"/>
  <c r="X410" i="4"/>
  <c r="X73" i="4" s="1"/>
  <c r="BD484" i="4"/>
  <c r="BD482" i="4"/>
  <c r="BD470" i="4"/>
  <c r="BD510" i="4" s="1"/>
  <c r="X409" i="4"/>
  <c r="X445" i="4" l="1"/>
  <c r="X446" i="4"/>
  <c r="BD409" i="4"/>
  <c r="BD511" i="4"/>
  <c r="BD512" i="4"/>
  <c r="BD515" i="4"/>
  <c r="BD473" i="4"/>
  <c r="BD477" i="4" s="1"/>
  <c r="BD485" i="4" l="1"/>
  <c r="BD519" i="4" s="1"/>
  <c r="BD448" i="4"/>
  <c r="X408" i="4"/>
  <c r="X444" i="4" l="1"/>
  <c r="X437" i="4"/>
  <c r="BD408" i="4"/>
  <c r="X443" i="4"/>
  <c r="X68" i="4" s="1"/>
  <c r="X70" i="4" s="1"/>
  <c r="BD444" i="4" l="1"/>
  <c r="BD410" i="4"/>
  <c r="BD437" i="4"/>
  <c r="BD443" i="4"/>
  <c r="BD445" i="4" l="1"/>
  <c r="BD73" i="4"/>
  <c r="BD446" i="4"/>
  <c r="BD68" i="4"/>
  <c r="BD69" i="4"/>
  <c r="AK24" i="3" l="1"/>
  <c r="AL24" i="3" s="1"/>
  <c r="AM24" i="3" s="1"/>
  <c r="AN24" i="3" s="1"/>
  <c r="AO24" i="3" s="1"/>
  <c r="AP24" i="3" s="1"/>
  <c r="AQ24" i="3" s="1"/>
  <c r="AR24" i="3" s="1"/>
  <c r="AS24" i="3" s="1"/>
  <c r="BL561" i="3" l="1"/>
  <c r="BL563" i="3" s="1"/>
  <c r="BK560" i="3"/>
  <c r="BK561" i="3"/>
  <c r="BK563" i="3" s="1"/>
  <c r="BK559" i="3"/>
  <c r="BL22" i="3" l="1"/>
  <c r="BK22" i="3"/>
  <c r="BK562" i="3"/>
  <c r="BK564" i="3" s="1"/>
  <c r="BK569" i="3"/>
  <c r="BK568" i="3"/>
  <c r="BK566" i="3"/>
  <c r="BK565" i="3"/>
  <c r="BK558" i="3"/>
  <c r="BK26" i="3" l="1"/>
  <c r="BK25" i="3"/>
  <c r="BK571" i="3"/>
  <c r="BK570" i="3"/>
  <c r="BK567" i="3"/>
  <c r="BK23" i="3"/>
  <c r="BL560" i="3"/>
  <c r="BE23" i="4"/>
  <c r="AJ8" i="32" l="1"/>
  <c r="BM561" i="3"/>
  <c r="BM563" i="3" s="1"/>
  <c r="BF23" i="4"/>
  <c r="BE59" i="4"/>
  <c r="BL558" i="3"/>
  <c r="BK71" i="3"/>
  <c r="BL566" i="3"/>
  <c r="BL565" i="3"/>
  <c r="BK24" i="3"/>
  <c r="BL559" i="3"/>
  <c r="AK8" i="32" l="1"/>
  <c r="AK10" i="32" s="1"/>
  <c r="BF28" i="4"/>
  <c r="BL562" i="3"/>
  <c r="BL564" i="3" s="1"/>
  <c r="AD26" i="3"/>
  <c r="AC26" i="3"/>
  <c r="BM22" i="3"/>
  <c r="BL23" i="3"/>
  <c r="BF169" i="4"/>
  <c r="AL148" i="28" s="1"/>
  <c r="BF245" i="4"/>
  <c r="AL154" i="28" s="1"/>
  <c r="AL70" i="28" s="1"/>
  <c r="BF59" i="4"/>
  <c r="BM560" i="3"/>
  <c r="BL570" i="3"/>
  <c r="BL567" i="3"/>
  <c r="BL571" i="3"/>
  <c r="BL569" i="3"/>
  <c r="BL568" i="3"/>
  <c r="BF321" i="4"/>
  <c r="AL160" i="28" s="1"/>
  <c r="AL92" i="28" s="1"/>
  <c r="BE91" i="4"/>
  <c r="AL95" i="28" l="1"/>
  <c r="AL94" i="28"/>
  <c r="AL73" i="28"/>
  <c r="AL72" i="28"/>
  <c r="BF250" i="4"/>
  <c r="BE96" i="4"/>
  <c r="BF326" i="4"/>
  <c r="BL26" i="3"/>
  <c r="BN561" i="3"/>
  <c r="BN563" i="3" s="1"/>
  <c r="F58" i="8" s="1"/>
  <c r="BF362" i="4"/>
  <c r="BL24" i="3"/>
  <c r="BM566" i="3"/>
  <c r="BM565" i="3"/>
  <c r="BM559" i="3"/>
  <c r="BF290" i="4"/>
  <c r="BE133" i="4"/>
  <c r="BE321" i="4"/>
  <c r="AK160" i="28" s="1"/>
  <c r="AK92" i="28" s="1"/>
  <c r="BL25" i="3"/>
  <c r="BF91" i="4"/>
  <c r="BF210" i="4"/>
  <c r="BF392" i="4"/>
  <c r="BF397" i="4" s="1"/>
  <c r="BL71" i="3"/>
  <c r="BM558" i="3"/>
  <c r="AK95" i="28" l="1"/>
  <c r="AK94" i="28"/>
  <c r="BF96" i="4"/>
  <c r="BE326" i="4"/>
  <c r="BF150" i="4"/>
  <c r="BF151" i="4" s="1"/>
  <c r="C112" i="6"/>
  <c r="BM562" i="3"/>
  <c r="BM564" i="3" s="1"/>
  <c r="BN22" i="3"/>
  <c r="BF370" i="4"/>
  <c r="BF299" i="4"/>
  <c r="BF433" i="4"/>
  <c r="BE362" i="4"/>
  <c r="BL73" i="3"/>
  <c r="BE140" i="4"/>
  <c r="BE100" i="4"/>
  <c r="BE102" i="4" s="1"/>
  <c r="BE136" i="4"/>
  <c r="BE142" i="4"/>
  <c r="BM567" i="3"/>
  <c r="BM570" i="3"/>
  <c r="BM571" i="3"/>
  <c r="BG245" i="4"/>
  <c r="AM154" i="28" s="1"/>
  <c r="AM70" i="28" s="1"/>
  <c r="BF464" i="4"/>
  <c r="BF469" i="4" s="1"/>
  <c r="BM23" i="3"/>
  <c r="BG321" i="4"/>
  <c r="AM160" i="28" s="1"/>
  <c r="AM92" i="28" s="1"/>
  <c r="BG23" i="4"/>
  <c r="BF297" i="4"/>
  <c r="BF294" i="4"/>
  <c r="BF254" i="4"/>
  <c r="BF256" i="4" s="1"/>
  <c r="BF293" i="4"/>
  <c r="BF368" i="4"/>
  <c r="BF365" i="4"/>
  <c r="BF330" i="4"/>
  <c r="BF332" i="4" s="1"/>
  <c r="AB225" i="4"/>
  <c r="BF133" i="4"/>
  <c r="BM568" i="3"/>
  <c r="BM569" i="3"/>
  <c r="BN560" i="3"/>
  <c r="AL8" i="32" l="1"/>
  <c r="AL137" i="28"/>
  <c r="AL6" i="28" s="1"/>
  <c r="AL54" i="28" s="1"/>
  <c r="AM73" i="28"/>
  <c r="AM72" i="28"/>
  <c r="AM95" i="28"/>
  <c r="AM94" i="28"/>
  <c r="BG326" i="4"/>
  <c r="BM26" i="3"/>
  <c r="AA260" i="4"/>
  <c r="AA336" i="4"/>
  <c r="AA371" i="4" s="1"/>
  <c r="AA106" i="4"/>
  <c r="BL528" i="3"/>
  <c r="Z75" i="4"/>
  <c r="J114" i="6"/>
  <c r="BE169" i="4"/>
  <c r="AK148" i="28" s="1"/>
  <c r="BE370" i="4"/>
  <c r="BF508" i="4"/>
  <c r="BG290" i="4"/>
  <c r="BN565" i="3"/>
  <c r="BN566" i="3"/>
  <c r="C115" i="6" s="1"/>
  <c r="BG362" i="4"/>
  <c r="BF305" i="4"/>
  <c r="BE368" i="4"/>
  <c r="BE365" i="4"/>
  <c r="BE330" i="4"/>
  <c r="BE332" i="4" s="1"/>
  <c r="BE75" i="4"/>
  <c r="BM25" i="3"/>
  <c r="BM71" i="3"/>
  <c r="BG91" i="4"/>
  <c r="BE464" i="4"/>
  <c r="BL527" i="3"/>
  <c r="BF225" i="4"/>
  <c r="BN558" i="3"/>
  <c r="BF100" i="4"/>
  <c r="BF102" i="4" s="1"/>
  <c r="BF140" i="4"/>
  <c r="BF136" i="4"/>
  <c r="BG59" i="4"/>
  <c r="BF142" i="4"/>
  <c r="BG169" i="4"/>
  <c r="AM148" i="28" s="1"/>
  <c r="BN559" i="3"/>
  <c r="BE245" i="4"/>
  <c r="AK154" i="28" s="1"/>
  <c r="AK70" i="28" s="1"/>
  <c r="AB336" i="4"/>
  <c r="AB371" i="4" s="1"/>
  <c r="BM24" i="3"/>
  <c r="BF436" i="4"/>
  <c r="BF440" i="4"/>
  <c r="BF401" i="4"/>
  <c r="BF403" i="4" s="1"/>
  <c r="AL8" i="28" l="1"/>
  <c r="AL9" i="28"/>
  <c r="AK73" i="28"/>
  <c r="AK72" i="28"/>
  <c r="BG150" i="4"/>
  <c r="BE210" i="4"/>
  <c r="BE174" i="4"/>
  <c r="C114" i="6"/>
  <c r="F60" i="8"/>
  <c r="AA407" i="4"/>
  <c r="AA107" i="4"/>
  <c r="AA137" i="4" s="1"/>
  <c r="AA481" i="4"/>
  <c r="AA185" i="4"/>
  <c r="AA186" i="4" s="1"/>
  <c r="BO558" i="3"/>
  <c r="J115" i="6"/>
  <c r="BO560" i="3"/>
  <c r="BO565" i="3" s="1"/>
  <c r="D114" i="6" s="1"/>
  <c r="J117" i="6"/>
  <c r="BN23" i="3"/>
  <c r="BG370" i="4"/>
  <c r="Y225" i="4"/>
  <c r="BG133" i="4"/>
  <c r="BE508" i="4"/>
  <c r="Z225" i="4"/>
  <c r="BN571" i="3"/>
  <c r="C120" i="6" s="1"/>
  <c r="BN567" i="3"/>
  <c r="F61" i="8" s="1"/>
  <c r="BN570" i="3"/>
  <c r="BN569" i="3"/>
  <c r="C118" i="6" s="1"/>
  <c r="BN568" i="3"/>
  <c r="F62" i="8" s="1"/>
  <c r="BF75" i="4"/>
  <c r="BF442" i="4"/>
  <c r="BG365" i="4"/>
  <c r="BG368" i="4"/>
  <c r="BG330" i="4"/>
  <c r="BG332" i="4" s="1"/>
  <c r="BF376" i="4"/>
  <c r="AG26" i="3"/>
  <c r="BN562" i="3"/>
  <c r="BN564" i="3" s="1"/>
  <c r="F59" i="8" s="1"/>
  <c r="BG464" i="4"/>
  <c r="BE290" i="4"/>
  <c r="BG210" i="4"/>
  <c r="BE392" i="4"/>
  <c r="BE305" i="4"/>
  <c r="BG392" i="4"/>
  <c r="BE213" i="4" l="1"/>
  <c r="G60" i="8"/>
  <c r="C119" i="6"/>
  <c r="F63" i="8"/>
  <c r="C117" i="6"/>
  <c r="C116" i="6"/>
  <c r="C113" i="6"/>
  <c r="BE178" i="4"/>
  <c r="BE180" i="4" s="1"/>
  <c r="BE153" i="4" s="1"/>
  <c r="BE217" i="4"/>
  <c r="BE219" i="4"/>
  <c r="AB75" i="4"/>
  <c r="AK560" i="3"/>
  <c r="BP560" i="3" s="1"/>
  <c r="BO566" i="3"/>
  <c r="D115" i="6" s="1"/>
  <c r="AA144" i="4"/>
  <c r="AA108" i="4"/>
  <c r="AA214" i="4"/>
  <c r="AA221" i="4"/>
  <c r="J120" i="6"/>
  <c r="J118" i="6"/>
  <c r="BO559" i="3"/>
  <c r="BO571" i="3" s="1"/>
  <c r="D120" i="6" s="1"/>
  <c r="J119" i="6"/>
  <c r="Z260" i="4"/>
  <c r="Z336" i="4"/>
  <c r="Z371" i="4" s="1"/>
  <c r="BN25" i="3"/>
  <c r="BN24" i="3"/>
  <c r="BN26" i="3"/>
  <c r="BH23" i="4"/>
  <c r="BO567" i="3"/>
  <c r="BO24" i="3" s="1"/>
  <c r="BE433" i="4"/>
  <c r="BG305" i="4"/>
  <c r="BG508" i="4"/>
  <c r="BH91" i="4"/>
  <c r="BG433" i="4"/>
  <c r="AM8" i="32" l="1"/>
  <c r="BH150" i="4"/>
  <c r="G61" i="8"/>
  <c r="K114" i="6"/>
  <c r="J116" i="6"/>
  <c r="D116" i="6"/>
  <c r="AK565" i="3"/>
  <c r="AK558" i="3"/>
  <c r="AK567" i="3" s="1"/>
  <c r="K116" i="6" s="1"/>
  <c r="AL560" i="3"/>
  <c r="AK566" i="3"/>
  <c r="AK568" i="3"/>
  <c r="BO570" i="3"/>
  <c r="BO23" i="3"/>
  <c r="BO569" i="3"/>
  <c r="BO568" i="3"/>
  <c r="G62" i="8" s="1"/>
  <c r="Z407" i="4"/>
  <c r="Z153" i="4"/>
  <c r="BP566" i="3"/>
  <c r="BP23" i="3" s="1"/>
  <c r="BP565" i="3"/>
  <c r="BH133" i="4"/>
  <c r="BN71" i="3"/>
  <c r="BH169" i="4"/>
  <c r="AN148" i="28" s="1"/>
  <c r="BH245" i="4"/>
  <c r="AN154" i="28" s="1"/>
  <c r="AN70" i="28" s="1"/>
  <c r="Y109" i="4"/>
  <c r="BH321" i="4"/>
  <c r="AN160" i="28" s="1"/>
  <c r="AN92" i="28" s="1"/>
  <c r="BH59" i="4"/>
  <c r="C12" i="33" l="1"/>
  <c r="K115" i="6"/>
  <c r="AN73" i="28"/>
  <c r="AN72" i="28"/>
  <c r="AN95" i="28"/>
  <c r="AN94" i="28"/>
  <c r="M17" i="8"/>
  <c r="BH326" i="4"/>
  <c r="E114" i="6"/>
  <c r="H60" i="8"/>
  <c r="D119" i="6"/>
  <c r="G63" i="8"/>
  <c r="K117" i="6"/>
  <c r="D117" i="6"/>
  <c r="C42" i="6"/>
  <c r="D118" i="6"/>
  <c r="E115" i="6"/>
  <c r="AM560" i="3"/>
  <c r="AM566" i="3" s="1"/>
  <c r="AN23" i="3"/>
  <c r="BP558" i="3"/>
  <c r="BP567" i="3" s="1"/>
  <c r="H61" i="8" s="1"/>
  <c r="BP559" i="3"/>
  <c r="BP568" i="3" s="1"/>
  <c r="BP25" i="3" s="1"/>
  <c r="AK570" i="3"/>
  <c r="AM25" i="3"/>
  <c r="AL559" i="3"/>
  <c r="AL566" i="3"/>
  <c r="L115" i="6" s="1"/>
  <c r="AL558" i="3"/>
  <c r="AL565" i="3"/>
  <c r="L114" i="6" s="1"/>
  <c r="BO25" i="3"/>
  <c r="Z106" i="4"/>
  <c r="Z184" i="4"/>
  <c r="BE472" i="4"/>
  <c r="Y146" i="4"/>
  <c r="Y145" i="4"/>
  <c r="BH290" i="4"/>
  <c r="BH210" i="4"/>
  <c r="BH464" i="4"/>
  <c r="BH362" i="4"/>
  <c r="BH392" i="4"/>
  <c r="BH370" i="4" l="1"/>
  <c r="K119" i="6"/>
  <c r="H62" i="8"/>
  <c r="E117" i="6"/>
  <c r="E116" i="6"/>
  <c r="BQ560" i="3"/>
  <c r="BQ565" i="3" s="1"/>
  <c r="AM565" i="3"/>
  <c r="AM558" i="3"/>
  <c r="AM567" i="3" s="1"/>
  <c r="AM559" i="3"/>
  <c r="AN25" i="3"/>
  <c r="AN560" i="3"/>
  <c r="AO23" i="3"/>
  <c r="BP24" i="3"/>
  <c r="BP570" i="3"/>
  <c r="AL567" i="3"/>
  <c r="L116" i="6" s="1"/>
  <c r="AL570" i="3"/>
  <c r="L119" i="6" s="1"/>
  <c r="AL568" i="3"/>
  <c r="L117" i="6" s="1"/>
  <c r="Z481" i="4"/>
  <c r="BE513" i="4"/>
  <c r="BE514" i="4"/>
  <c r="BE31" i="4"/>
  <c r="BH433" i="4"/>
  <c r="BH365" i="4"/>
  <c r="BH330" i="4"/>
  <c r="BH332" i="4" s="1"/>
  <c r="C27" i="33" s="1"/>
  <c r="BH368" i="4"/>
  <c r="BH508" i="4"/>
  <c r="F74" i="8" l="1"/>
  <c r="F114" i="6"/>
  <c r="I60" i="8"/>
  <c r="E119" i="6"/>
  <c r="H63" i="8"/>
  <c r="C67" i="6"/>
  <c r="BQ566" i="3"/>
  <c r="AO560" i="3"/>
  <c r="BR560" i="3" s="1"/>
  <c r="BR565" i="3" s="1"/>
  <c r="G114" i="6" s="1"/>
  <c r="AP23" i="3"/>
  <c r="BQ558" i="3"/>
  <c r="BQ567" i="3" s="1"/>
  <c r="I61" i="8" s="1"/>
  <c r="AM570" i="3"/>
  <c r="AM568" i="3"/>
  <c r="BQ559" i="3"/>
  <c r="AN559" i="3"/>
  <c r="AO25" i="3"/>
  <c r="AN566" i="3"/>
  <c r="AN565" i="3"/>
  <c r="AN558" i="3"/>
  <c r="BH305" i="4"/>
  <c r="BK76" i="3"/>
  <c r="AJ14" i="32" s="1"/>
  <c r="BE64" i="4"/>
  <c r="BE63" i="4"/>
  <c r="J60" i="8" l="1"/>
  <c r="F116" i="6"/>
  <c r="BQ23" i="3"/>
  <c r="F115" i="6"/>
  <c r="AO565" i="3"/>
  <c r="AO566" i="3"/>
  <c r="BR566" i="3"/>
  <c r="BR23" i="3" s="1"/>
  <c r="AO558" i="3"/>
  <c r="BR558" i="3" s="1"/>
  <c r="BR567" i="3" s="1"/>
  <c r="BR24" i="3" s="1"/>
  <c r="AO559" i="3"/>
  <c r="BR559" i="3" s="1"/>
  <c r="AP25" i="3"/>
  <c r="AP560" i="3"/>
  <c r="AQ23" i="3"/>
  <c r="AR23" i="3" s="1"/>
  <c r="BQ24" i="3"/>
  <c r="BQ570" i="3"/>
  <c r="BQ568" i="3"/>
  <c r="I62" i="8" s="1"/>
  <c r="AN568" i="3"/>
  <c r="AN567" i="3"/>
  <c r="AN570" i="3"/>
  <c r="BK533" i="3"/>
  <c r="F119" i="6" l="1"/>
  <c r="I63" i="8"/>
  <c r="J61" i="8"/>
  <c r="G116" i="6"/>
  <c r="AO567" i="3"/>
  <c r="AS23" i="3"/>
  <c r="AS560" i="3" s="1"/>
  <c r="BT560" i="3" s="1"/>
  <c r="AR560" i="3"/>
  <c r="G115" i="6"/>
  <c r="AQ560" i="3"/>
  <c r="BS560" i="3" s="1"/>
  <c r="BS565" i="3" s="1"/>
  <c r="F117" i="6"/>
  <c r="BR570" i="3"/>
  <c r="G119" i="6" s="1"/>
  <c r="AO568" i="3"/>
  <c r="AO570" i="3"/>
  <c r="BR568" i="3"/>
  <c r="BR25" i="3" s="1"/>
  <c r="AP559" i="3"/>
  <c r="AQ25" i="3"/>
  <c r="AP566" i="3"/>
  <c r="AP565" i="3"/>
  <c r="AP558" i="3"/>
  <c r="BQ25" i="3"/>
  <c r="BF336" i="4"/>
  <c r="J62" i="8" l="1"/>
  <c r="J63" i="8"/>
  <c r="BS566" i="3"/>
  <c r="BS23" i="3" s="1"/>
  <c r="G117" i="6"/>
  <c r="AQ558" i="3"/>
  <c r="AQ567" i="3" s="1"/>
  <c r="BT565" i="3"/>
  <c r="BT566" i="3"/>
  <c r="BT23" i="3" s="1"/>
  <c r="AQ559" i="3"/>
  <c r="BS559" i="3" s="1"/>
  <c r="AR25" i="3"/>
  <c r="AQ565" i="3"/>
  <c r="AQ566" i="3"/>
  <c r="AR566" i="3"/>
  <c r="AR565" i="3"/>
  <c r="AR558" i="3"/>
  <c r="AS558" i="3"/>
  <c r="BT558" i="3" s="1"/>
  <c r="AS565" i="3"/>
  <c r="AS566" i="3"/>
  <c r="AP568" i="3"/>
  <c r="AP567" i="3"/>
  <c r="AP570" i="3"/>
  <c r="AB260" i="4"/>
  <c r="AB106" i="4"/>
  <c r="BF472" i="4"/>
  <c r="BS568" i="3" l="1"/>
  <c r="BS25" i="3" s="1"/>
  <c r="AQ570" i="3"/>
  <c r="AQ568" i="3"/>
  <c r="BS558" i="3"/>
  <c r="BS567" i="3" s="1"/>
  <c r="BS24" i="3" s="1"/>
  <c r="BT567" i="3"/>
  <c r="BT24" i="3" s="1"/>
  <c r="AS567" i="3"/>
  <c r="AS25" i="3"/>
  <c r="AS559" i="3" s="1"/>
  <c r="BT559" i="3" s="1"/>
  <c r="AR559" i="3"/>
  <c r="AR567" i="3"/>
  <c r="BF106" i="4"/>
  <c r="AB481" i="4"/>
  <c r="BF260" i="4"/>
  <c r="AB407" i="4"/>
  <c r="BF407" i="4" s="1"/>
  <c r="AB185" i="4"/>
  <c r="BF184" i="4"/>
  <c r="BF513" i="4"/>
  <c r="BF514" i="4"/>
  <c r="BF31" i="4"/>
  <c r="BS570" i="3" l="1"/>
  <c r="BT568" i="3"/>
  <c r="BT25" i="3" s="1"/>
  <c r="BT570" i="3"/>
  <c r="AR568" i="3"/>
  <c r="AS568" i="3"/>
  <c r="AR570" i="3"/>
  <c r="AS570" i="3"/>
  <c r="AB186" i="4"/>
  <c r="AB221" i="4"/>
  <c r="AB214" i="4"/>
  <c r="BF63" i="4"/>
  <c r="BF64" i="4"/>
  <c r="BL76" i="3"/>
  <c r="AK14" i="32" s="1"/>
  <c r="BL533" i="3" l="1"/>
  <c r="Y520" i="4" l="1"/>
  <c r="BE29" i="4" l="1"/>
  <c r="AK166" i="28" l="1"/>
  <c r="AK104" i="28" s="1"/>
  <c r="AK107" i="28" s="1"/>
  <c r="BE61" i="4"/>
  <c r="AK106" i="28" l="1"/>
  <c r="BK74" i="3"/>
  <c r="AJ12" i="32" s="1"/>
  <c r="AJ15" i="32" s="1"/>
  <c r="BK550" i="3"/>
  <c r="BK548" i="3"/>
  <c r="BK549" i="3"/>
  <c r="BE33" i="4"/>
  <c r="BK532" i="3" l="1"/>
  <c r="BK546" i="3"/>
  <c r="BK547" i="3"/>
  <c r="BK529" i="3"/>
  <c r="BE474" i="4"/>
  <c r="BK78" i="3"/>
  <c r="AJ18" i="32" s="1"/>
  <c r="BK32" i="3" l="1"/>
  <c r="BK579" i="3" l="1"/>
  <c r="BK428" i="3" l="1"/>
  <c r="BK449" i="3"/>
  <c r="BK159" i="3"/>
  <c r="BK217" i="3"/>
  <c r="BK209" i="3" s="1"/>
  <c r="BK219" i="3" s="1"/>
  <c r="BK189" i="3" l="1"/>
  <c r="AA276" i="3"/>
  <c r="BK279" i="3"/>
  <c r="BK282" i="3" s="1"/>
  <c r="BK304" i="3" s="1"/>
  <c r="BK307" i="3"/>
  <c r="BK134" i="3"/>
  <c r="AA575" i="3" l="1"/>
  <c r="AA577" i="3" s="1"/>
  <c r="AA49" i="3"/>
  <c r="AA574" i="3" s="1"/>
  <c r="BK55" i="3"/>
  <c r="BK276" i="3"/>
  <c r="BK49" i="3"/>
  <c r="L36" i="9" s="1"/>
  <c r="Z520" i="4" l="1"/>
  <c r="BE520" i="4" s="1"/>
  <c r="BK244" i="3"/>
  <c r="BK574" i="3"/>
  <c r="BK575" i="3"/>
  <c r="BK577" i="3" s="1"/>
  <c r="Z187" i="4" l="1"/>
  <c r="Z109" i="4" s="1"/>
  <c r="Z107" i="4" s="1"/>
  <c r="Z137" i="4" l="1"/>
  <c r="Z144" i="4"/>
  <c r="Z222" i="4"/>
  <c r="Z185" i="4"/>
  <c r="Z145" i="4"/>
  <c r="Z108" i="4"/>
  <c r="Z146" i="4"/>
  <c r="Z214" i="4" l="1"/>
  <c r="Z221" i="4"/>
  <c r="Z186" i="4"/>
  <c r="BE470" i="4" l="1"/>
  <c r="BE510" i="4" l="1"/>
  <c r="AA43" i="3" l="1"/>
  <c r="AB37" i="3" l="1"/>
  <c r="AB353" i="3" l="1"/>
  <c r="AB578" i="3"/>
  <c r="M28" i="32" s="1"/>
  <c r="BL95" i="3"/>
  <c r="AB355" i="3" l="1"/>
  <c r="AB480" i="3" s="1"/>
  <c r="AB356" i="3"/>
  <c r="BL354" i="3"/>
  <c r="BL464" i="3"/>
  <c r="BL103" i="3"/>
  <c r="AC353" i="3" l="1"/>
  <c r="BL353" i="3" s="1"/>
  <c r="BL355" i="3" s="1"/>
  <c r="AB357" i="3"/>
  <c r="AB481" i="3" s="1"/>
  <c r="AB505" i="3" s="1"/>
  <c r="AB504" i="3"/>
  <c r="AB580" i="3"/>
  <c r="BL97" i="3"/>
  <c r="BL446" i="3"/>
  <c r="BL41" i="3"/>
  <c r="BL372" i="3"/>
  <c r="M59" i="9" l="1"/>
  <c r="AC356" i="3"/>
  <c r="BL356" i="3" s="1"/>
  <c r="BL357" i="3" s="1"/>
  <c r="BL481" i="3" s="1"/>
  <c r="BL505" i="3" s="1"/>
  <c r="AC355" i="3"/>
  <c r="BL43" i="3"/>
  <c r="BL156" i="3"/>
  <c r="BL480" i="3"/>
  <c r="AC480" i="3" l="1"/>
  <c r="AC357" i="3"/>
  <c r="AC481" i="3" s="1"/>
  <c r="AC505" i="3" s="1"/>
  <c r="BL504" i="3"/>
  <c r="BF345" i="4"/>
  <c r="AC504" i="3" l="1"/>
  <c r="AC580" i="3"/>
  <c r="BF418" i="4"/>
  <c r="BF347" i="4"/>
  <c r="BF356" i="4"/>
  <c r="BF354" i="4"/>
  <c r="BF416" i="4"/>
  <c r="BF42" i="4"/>
  <c r="BF425" i="4" l="1"/>
  <c r="BF427" i="4"/>
  <c r="BF44" i="4"/>
  <c r="BF53" i="4"/>
  <c r="BF51" i="4"/>
  <c r="BE15" i="4" l="1"/>
  <c r="Y233" i="4"/>
  <c r="BE233" i="4" s="1"/>
  <c r="Y384" i="4" l="1"/>
  <c r="BE384" i="4" l="1"/>
  <c r="Z64" i="3"/>
  <c r="I35" i="6" l="1"/>
  <c r="BK64" i="3"/>
  <c r="BE16" i="4"/>
  <c r="Y234" i="4"/>
  <c r="Y19" i="4"/>
  <c r="C35" i="6" l="1"/>
  <c r="M10" i="8"/>
  <c r="BE234" i="4"/>
  <c r="Y385" i="4"/>
  <c r="Y237" i="4"/>
  <c r="Y460" i="4" s="1"/>
  <c r="N10" i="8"/>
  <c r="D35" i="6"/>
  <c r="Y57" i="4"/>
  <c r="BE19" i="4"/>
  <c r="BE20" i="4" s="1"/>
  <c r="Z57" i="4"/>
  <c r="Z67" i="3"/>
  <c r="BE28" i="4" l="1"/>
  <c r="BE62" i="4" s="1"/>
  <c r="Z506" i="4"/>
  <c r="Y506" i="4"/>
  <c r="BE460" i="4"/>
  <c r="Y461" i="4"/>
  <c r="Y469" i="4" s="1"/>
  <c r="BK67" i="3"/>
  <c r="Z68" i="3"/>
  <c r="Y284" i="4"/>
  <c r="BE237" i="4"/>
  <c r="BE238" i="4" s="1"/>
  <c r="AK153" i="28" s="1"/>
  <c r="AK65" i="28" s="1"/>
  <c r="Z284" i="4"/>
  <c r="Y388" i="4"/>
  <c r="BE385" i="4"/>
  <c r="BE32" i="4"/>
  <c r="BF57" i="4"/>
  <c r="BE57" i="4"/>
  <c r="BE65" i="4" l="1"/>
  <c r="Z73" i="3"/>
  <c r="K6" i="32"/>
  <c r="K10" i="32" s="1"/>
  <c r="AK68" i="28"/>
  <c r="AK67" i="28"/>
  <c r="BE250" i="4"/>
  <c r="BE299" i="4" s="1"/>
  <c r="BE36" i="4"/>
  <c r="BE67" i="4"/>
  <c r="Y515" i="4"/>
  <c r="Y473" i="4"/>
  <c r="Y477" i="4" s="1"/>
  <c r="Y260" i="4"/>
  <c r="BE260" i="4" s="1"/>
  <c r="Y511" i="4"/>
  <c r="Y336" i="4"/>
  <c r="Y371" i="4" s="1"/>
  <c r="Y482" i="4"/>
  <c r="Y184" i="4"/>
  <c r="Y692" i="4"/>
  <c r="Y106" i="4"/>
  <c r="BE388" i="4"/>
  <c r="BE389" i="4" s="1"/>
  <c r="BE397" i="4" s="1"/>
  <c r="Z431" i="4"/>
  <c r="Y431" i="4"/>
  <c r="BF506" i="4"/>
  <c r="BE461" i="4"/>
  <c r="BE469" i="4" s="1"/>
  <c r="BE506" i="4"/>
  <c r="Y389" i="4"/>
  <c r="Y397" i="4" s="1"/>
  <c r="BE284" i="4"/>
  <c r="BF284" i="4"/>
  <c r="BK68" i="3"/>
  <c r="AJ6" i="32" s="1"/>
  <c r="AJ10" i="32" s="1"/>
  <c r="L137" i="28" l="1"/>
  <c r="L6" i="28" s="1"/>
  <c r="L8" i="28" s="1"/>
  <c r="BE518" i="4"/>
  <c r="AJ24" i="32"/>
  <c r="BE254" i="4"/>
  <c r="BE256" i="4" s="1"/>
  <c r="BE293" i="4"/>
  <c r="BE297" i="4"/>
  <c r="BE294" i="4"/>
  <c r="BE401" i="4"/>
  <c r="BE403" i="4" s="1"/>
  <c r="BE436" i="4"/>
  <c r="BE440" i="4"/>
  <c r="BE106" i="4"/>
  <c r="Y481" i="4"/>
  <c r="BE481" i="4" s="1"/>
  <c r="Y107" i="4"/>
  <c r="BE336" i="4"/>
  <c r="Y407" i="4"/>
  <c r="BE407" i="4" s="1"/>
  <c r="BE511" i="4"/>
  <c r="BE473" i="4"/>
  <c r="BE477" i="4" s="1"/>
  <c r="BE515" i="4"/>
  <c r="BE692" i="4"/>
  <c r="Y694" i="4"/>
  <c r="BE694" i="4" s="1"/>
  <c r="BK73" i="3"/>
  <c r="Y440" i="4"/>
  <c r="Y436" i="4"/>
  <c r="Y442" i="4"/>
  <c r="Y401" i="4"/>
  <c r="Y403" i="4" s="1"/>
  <c r="Y376" i="4" s="1"/>
  <c r="Y185" i="4"/>
  <c r="Y186" i="4" s="1"/>
  <c r="BE186" i="4" s="1"/>
  <c r="BE184" i="4"/>
  <c r="BE225" i="4"/>
  <c r="Z534" i="3"/>
  <c r="K23" i="32" s="1"/>
  <c r="Z528" i="3"/>
  <c r="Z531" i="3"/>
  <c r="Z527" i="3"/>
  <c r="Z530" i="3"/>
  <c r="Z535" i="3"/>
  <c r="AA535" i="3"/>
  <c r="Z77" i="3"/>
  <c r="BF431" i="4"/>
  <c r="BE431" i="4"/>
  <c r="BE482" i="4"/>
  <c r="Y448" i="4"/>
  <c r="BE7" i="4"/>
  <c r="L9" i="28" l="1"/>
  <c r="K17" i="32"/>
  <c r="AK137" i="28"/>
  <c r="AK6" i="28" s="1"/>
  <c r="AK54" i="28" s="1"/>
  <c r="BE729" i="4"/>
  <c r="BE442" i="4"/>
  <c r="Z31" i="3"/>
  <c r="Z476" i="3"/>
  <c r="Z501" i="3" s="1"/>
  <c r="Z30" i="3"/>
  <c r="Z81" i="3"/>
  <c r="BE448" i="4"/>
  <c r="Y137" i="4"/>
  <c r="Y144" i="4"/>
  <c r="BE107" i="4"/>
  <c r="Y221" i="4"/>
  <c r="Y214" i="4"/>
  <c r="BE185" i="4"/>
  <c r="BK531" i="3"/>
  <c r="BK528" i="3"/>
  <c r="BK530" i="3"/>
  <c r="BK535" i="3"/>
  <c r="BK534" i="3"/>
  <c r="AJ23" i="32" s="1"/>
  <c r="BK77" i="3"/>
  <c r="BK527" i="3"/>
  <c r="BE695" i="4"/>
  <c r="Y108" i="4"/>
  <c r="BE376" i="4"/>
  <c r="AJ17" i="32" l="1"/>
  <c r="L176" i="28"/>
  <c r="L12" i="28" s="1"/>
  <c r="L14" i="28" s="1"/>
  <c r="K20" i="32"/>
  <c r="AK8" i="28"/>
  <c r="AK9" i="28"/>
  <c r="BE732" i="4"/>
  <c r="BE731" i="4"/>
  <c r="BE144" i="4"/>
  <c r="BE137" i="4"/>
  <c r="Z525" i="3"/>
  <c r="Z536" i="3"/>
  <c r="Z58" i="3"/>
  <c r="BK37" i="3"/>
  <c r="Z474" i="3"/>
  <c r="K26" i="32" s="1"/>
  <c r="Z526" i="3"/>
  <c r="Z524" i="3"/>
  <c r="Z37" i="3"/>
  <c r="Z578" i="3" s="1"/>
  <c r="K28" i="32" s="1"/>
  <c r="Z472" i="3"/>
  <c r="K25" i="32" s="1"/>
  <c r="Z341" i="3"/>
  <c r="Z84" i="3"/>
  <c r="BK30" i="3"/>
  <c r="BK31" i="3"/>
  <c r="BK476" i="3"/>
  <c r="BK501" i="3" s="1"/>
  <c r="BK81" i="3"/>
  <c r="AJ20" i="32" s="1"/>
  <c r="BE221" i="4"/>
  <c r="BE214" i="4"/>
  <c r="BE108" i="4"/>
  <c r="BE143" i="4" s="1"/>
  <c r="BE220" i="4"/>
  <c r="BE187" i="4"/>
  <c r="L15" i="28" l="1"/>
  <c r="AK176" i="28"/>
  <c r="AK12" i="28" s="1"/>
  <c r="Z473" i="3"/>
  <c r="Z580" i="3"/>
  <c r="Z499" i="3"/>
  <c r="AA473" i="3"/>
  <c r="Z470" i="3"/>
  <c r="Z497" i="3" s="1"/>
  <c r="BK578" i="3"/>
  <c r="AJ28" i="32" s="1"/>
  <c r="BE223" i="4"/>
  <c r="BE222" i="4"/>
  <c r="Z86" i="3"/>
  <c r="Z88" i="3" s="1"/>
  <c r="Z94" i="3" s="1"/>
  <c r="Z98" i="3" s="1"/>
  <c r="BE109" i="4"/>
  <c r="BK526" i="3"/>
  <c r="BK524" i="3"/>
  <c r="BK536" i="3"/>
  <c r="BK474" i="3"/>
  <c r="AJ26" i="32" s="1"/>
  <c r="BK58" i="3"/>
  <c r="K18" i="9" s="1"/>
  <c r="BK472" i="3"/>
  <c r="AJ25" i="32" s="1"/>
  <c r="BK84" i="3"/>
  <c r="BK525" i="3"/>
  <c r="BK341" i="3"/>
  <c r="Z500" i="3"/>
  <c r="Z471" i="3"/>
  <c r="Z498" i="3" s="1"/>
  <c r="AA475" i="3"/>
  <c r="Z475" i="3"/>
  <c r="AK14" i="28" l="1"/>
  <c r="AK15" i="28"/>
  <c r="K16" i="9"/>
  <c r="K21" i="9"/>
  <c r="K19" i="9"/>
  <c r="Z91" i="3"/>
  <c r="Z101" i="3"/>
  <c r="AA93" i="3"/>
  <c r="Y41" i="4"/>
  <c r="Z521" i="3"/>
  <c r="Z520" i="3"/>
  <c r="K29" i="32" s="1"/>
  <c r="BK580" i="3"/>
  <c r="BK499" i="3"/>
  <c r="BK470" i="3"/>
  <c r="BK497" i="3" s="1"/>
  <c r="BK473" i="3"/>
  <c r="BE145" i="4"/>
  <c r="BE146" i="4"/>
  <c r="Z343" i="3"/>
  <c r="BK500" i="3"/>
  <c r="BK475" i="3"/>
  <c r="BK471" i="3"/>
  <c r="BK498" i="3" s="1"/>
  <c r="Z345" i="3" l="1"/>
  <c r="Z349" i="3" s="1"/>
  <c r="Y71" i="4"/>
  <c r="Y66" i="4"/>
  <c r="Y490" i="4"/>
  <c r="Z454" i="3"/>
  <c r="Z459" i="3"/>
  <c r="Z162" i="3"/>
  <c r="Z350" i="3"/>
  <c r="AA86" i="3"/>
  <c r="Y516" i="4" l="1"/>
  <c r="Y519" i="4"/>
  <c r="Y485" i="4" s="1"/>
  <c r="AA343" i="3"/>
  <c r="AA88" i="3"/>
  <c r="AA94" i="3" s="1"/>
  <c r="BK86" i="3"/>
  <c r="BK88" i="3" s="1"/>
  <c r="Z154" i="3"/>
  <c r="Z272" i="3"/>
  <c r="Z160" i="3"/>
  <c r="Z450" i="3" s="1"/>
  <c r="Z444" i="3"/>
  <c r="Z466" i="3"/>
  <c r="Z463" i="3"/>
  <c r="Z351" i="3"/>
  <c r="Y410" i="4" l="1"/>
  <c r="Y483" i="4"/>
  <c r="Z456" i="3"/>
  <c r="Z424" i="3"/>
  <c r="Z359" i="3"/>
  <c r="Z339" i="3"/>
  <c r="Z467" i="3"/>
  <c r="Z484" i="3"/>
  <c r="Z522" i="3"/>
  <c r="K30" i="32" s="1"/>
  <c r="Z523" i="3"/>
  <c r="BK94" i="3"/>
  <c r="BK98" i="3" s="1"/>
  <c r="AA98" i="3"/>
  <c r="Z482" i="3"/>
  <c r="Z506" i="3" s="1"/>
  <c r="AA345" i="3"/>
  <c r="AA349" i="3" s="1"/>
  <c r="BK343" i="3"/>
  <c r="BK345" i="3" s="1"/>
  <c r="BK349" i="3" s="1"/>
  <c r="Z164" i="3"/>
  <c r="Z143" i="3"/>
  <c r="Z253" i="3" s="1"/>
  <c r="Z264" i="3" s="1"/>
  <c r="Z274" i="3" s="1"/>
  <c r="K23" i="9" l="1"/>
  <c r="AB93" i="3"/>
  <c r="AB86" i="3" s="1"/>
  <c r="Z581" i="3"/>
  <c r="Z483" i="3"/>
  <c r="Z507" i="3" s="1"/>
  <c r="Y512" i="4"/>
  <c r="Y408" i="4"/>
  <c r="Y484" i="4"/>
  <c r="AA91" i="3"/>
  <c r="Z41" i="4"/>
  <c r="AA101" i="3"/>
  <c r="AA521" i="3"/>
  <c r="AA520" i="3"/>
  <c r="L29" i="32" s="1"/>
  <c r="Z4" i="3"/>
  <c r="BK101" i="3"/>
  <c r="BK91" i="3"/>
  <c r="BL93" i="3"/>
  <c r="BK520" i="3"/>
  <c r="AJ29" i="32" s="1"/>
  <c r="BK521" i="3"/>
  <c r="Y446" i="4"/>
  <c r="Y445" i="4"/>
  <c r="Y73" i="4"/>
  <c r="K37" i="9" l="1"/>
  <c r="K38" i="9" s="1"/>
  <c r="K25" i="9"/>
  <c r="K26" i="9" s="1"/>
  <c r="K27" i="9" s="1"/>
  <c r="K34" i="9"/>
  <c r="K30" i="9"/>
  <c r="AB343" i="3"/>
  <c r="AB88" i="3"/>
  <c r="AB94" i="3" s="1"/>
  <c r="AB98" i="3" s="1"/>
  <c r="AA350" i="3"/>
  <c r="AA459" i="3"/>
  <c r="AA454" i="3"/>
  <c r="AA162" i="3"/>
  <c r="Y444" i="4"/>
  <c r="Y437" i="4"/>
  <c r="Z66" i="4"/>
  <c r="BE41" i="4"/>
  <c r="Z490" i="4"/>
  <c r="Z71" i="4"/>
  <c r="Y409" i="4"/>
  <c r="AA41" i="4" l="1"/>
  <c r="AA66" i="4" s="1"/>
  <c r="AC93" i="3"/>
  <c r="AC86" i="3" s="1"/>
  <c r="AB101" i="3"/>
  <c r="AB521" i="3"/>
  <c r="AB520" i="3"/>
  <c r="M29" i="32" s="1"/>
  <c r="AB91" i="3"/>
  <c r="AB345" i="3"/>
  <c r="AB349" i="3" s="1"/>
  <c r="AA272" i="3"/>
  <c r="BK272" i="3" s="1"/>
  <c r="BK264" i="3" s="1"/>
  <c r="BK274" i="3" s="1"/>
  <c r="AA154" i="3"/>
  <c r="AA160" i="3"/>
  <c r="Y443" i="4"/>
  <c r="Y68" i="4" s="1"/>
  <c r="Y70" i="4" s="1"/>
  <c r="BE490" i="4"/>
  <c r="BE516" i="4" s="1"/>
  <c r="Z516" i="4"/>
  <c r="Z519" i="4"/>
  <c r="Z485" i="4" s="1"/>
  <c r="AA444" i="3"/>
  <c r="BE66" i="4"/>
  <c r="BE71" i="4"/>
  <c r="AA466" i="3"/>
  <c r="BK459" i="3"/>
  <c r="AA463" i="3"/>
  <c r="BK350" i="3"/>
  <c r="BK351" i="3" s="1"/>
  <c r="AA351" i="3"/>
  <c r="AA490" i="4" l="1"/>
  <c r="AA519" i="4" s="1"/>
  <c r="AA485" i="4" s="1"/>
  <c r="AA483" i="4" s="1"/>
  <c r="AA512" i="4" s="1"/>
  <c r="AA71" i="4"/>
  <c r="AC343" i="3"/>
  <c r="AC88" i="3"/>
  <c r="AC94" i="3" s="1"/>
  <c r="AC98" i="3" s="1"/>
  <c r="BL86" i="3"/>
  <c r="AB459" i="3"/>
  <c r="AB454" i="3"/>
  <c r="AB162" i="3"/>
  <c r="Z410" i="4"/>
  <c r="Z483" i="4"/>
  <c r="Z484" i="4" s="1"/>
  <c r="AA450" i="3"/>
  <c r="BK450" i="3" s="1"/>
  <c r="BK454" i="3" s="1"/>
  <c r="BK160" i="3"/>
  <c r="BK162" i="3" s="1"/>
  <c r="BK154" i="3" s="1"/>
  <c r="BK164" i="3" s="1"/>
  <c r="AA164" i="3"/>
  <c r="AA143" i="3"/>
  <c r="AA484" i="3"/>
  <c r="BK484" i="3" s="1"/>
  <c r="AA467" i="3"/>
  <c r="AA523" i="3"/>
  <c r="AA522" i="3"/>
  <c r="L30" i="32" s="1"/>
  <c r="BK466" i="3"/>
  <c r="BK463" i="3"/>
  <c r="AA456" i="3"/>
  <c r="AA424" i="3"/>
  <c r="AA339" i="3"/>
  <c r="AA359" i="3"/>
  <c r="AA482" i="3"/>
  <c r="AA506" i="3" s="1"/>
  <c r="BK359" i="3"/>
  <c r="BK339" i="3"/>
  <c r="AA516" i="4" l="1"/>
  <c r="AD93" i="3"/>
  <c r="AD86" i="3" s="1"/>
  <c r="AD343" i="3" s="1"/>
  <c r="AD345" i="3" s="1"/>
  <c r="AD349" i="3" s="1"/>
  <c r="AC101" i="3"/>
  <c r="AC520" i="3"/>
  <c r="N29" i="32" s="1"/>
  <c r="AC345" i="3"/>
  <c r="AC349" i="3" s="1"/>
  <c r="BL343" i="3"/>
  <c r="AB444" i="3"/>
  <c r="AB466" i="3"/>
  <c r="AB463" i="3"/>
  <c r="AB160" i="3"/>
  <c r="AB450" i="3" s="1"/>
  <c r="AB272" i="3"/>
  <c r="AB154" i="3"/>
  <c r="AA484" i="4"/>
  <c r="BK482" i="3"/>
  <c r="BK506" i="3" s="1"/>
  <c r="BK143" i="3"/>
  <c r="AA253" i="3"/>
  <c r="Z408" i="4"/>
  <c r="Z512" i="4"/>
  <c r="BE483" i="4"/>
  <c r="AA483" i="3"/>
  <c r="AA507" i="3" s="1"/>
  <c r="Z409" i="4"/>
  <c r="BE484" i="4"/>
  <c r="BK424" i="3"/>
  <c r="BK444" i="3" s="1"/>
  <c r="BK467" i="3"/>
  <c r="BK522" i="3"/>
  <c r="AJ30" i="32" s="1"/>
  <c r="BK523" i="3"/>
  <c r="AA581" i="3"/>
  <c r="Z445" i="4"/>
  <c r="Z446" i="4"/>
  <c r="Z73" i="4"/>
  <c r="AD88" i="3" l="1"/>
  <c r="AD94" i="3" s="1"/>
  <c r="AD98" i="3" s="1"/>
  <c r="AC162" i="3"/>
  <c r="AC454" i="3"/>
  <c r="AC459" i="3"/>
  <c r="AB484" i="3"/>
  <c r="AB467" i="3"/>
  <c r="AB523" i="3"/>
  <c r="AB522" i="3"/>
  <c r="M30" i="32" s="1"/>
  <c r="AB143" i="3"/>
  <c r="AB253" i="3" s="1"/>
  <c r="AB264" i="3" s="1"/>
  <c r="AB274" i="3" s="1"/>
  <c r="AB164" i="3"/>
  <c r="AB482" i="3"/>
  <c r="AB506" i="3" s="1"/>
  <c r="AB424" i="3"/>
  <c r="AB456" i="3"/>
  <c r="AB276" i="3"/>
  <c r="Z443" i="4"/>
  <c r="Z68" i="4" s="1"/>
  <c r="Z70" i="4" s="1"/>
  <c r="BE409" i="4"/>
  <c r="BK581" i="3"/>
  <c r="AA264" i="3"/>
  <c r="AA274" i="3" s="1"/>
  <c r="AA4" i="3" s="1"/>
  <c r="BK253" i="3"/>
  <c r="BK483" i="3"/>
  <c r="BK507" i="3" s="1"/>
  <c r="Z444" i="4"/>
  <c r="Z437" i="4"/>
  <c r="BE408" i="4"/>
  <c r="BK456" i="3"/>
  <c r="BE512" i="4"/>
  <c r="BE485" i="4"/>
  <c r="BE519" i="4" s="1"/>
  <c r="AD101" i="3" l="1"/>
  <c r="AE93" i="3"/>
  <c r="AD520" i="3"/>
  <c r="O29" i="32" s="1"/>
  <c r="AD521" i="3"/>
  <c r="AC444" i="3"/>
  <c r="AC424" i="3" s="1"/>
  <c r="BL424" i="3" s="1"/>
  <c r="AC272" i="3"/>
  <c r="AC160" i="3"/>
  <c r="AC450" i="3" s="1"/>
  <c r="AC154" i="3"/>
  <c r="AB575" i="3"/>
  <c r="AB577" i="3" s="1"/>
  <c r="AC463" i="3"/>
  <c r="AC466" i="3"/>
  <c r="AB581" i="3"/>
  <c r="AB483" i="3"/>
  <c r="AB507" i="3" s="1"/>
  <c r="AA520" i="4"/>
  <c r="AB350" i="3"/>
  <c r="AB351" i="3" s="1"/>
  <c r="BE444" i="4"/>
  <c r="BE437" i="4"/>
  <c r="BE410" i="4"/>
  <c r="BE443" i="4"/>
  <c r="AD459" i="3" l="1"/>
  <c r="AD466" i="3" s="1"/>
  <c r="AD482" i="3" s="1"/>
  <c r="AD506" i="3" s="1"/>
  <c r="AD454" i="3"/>
  <c r="AD444" i="3" s="1"/>
  <c r="AD456" i="3" s="1"/>
  <c r="AD162" i="3"/>
  <c r="AD160" i="3" s="1"/>
  <c r="AD450" i="3" s="1"/>
  <c r="AE86" i="3"/>
  <c r="AC456" i="3"/>
  <c r="AC482" i="3"/>
  <c r="AC506" i="3" s="1"/>
  <c r="AC143" i="3"/>
  <c r="AC164" i="3"/>
  <c r="AC467" i="3"/>
  <c r="AC522" i="3"/>
  <c r="N30" i="32" s="1"/>
  <c r="AB339" i="3"/>
  <c r="AB359" i="3"/>
  <c r="BE69" i="4"/>
  <c r="BE68" i="4"/>
  <c r="BE445" i="4"/>
  <c r="BE446" i="4"/>
  <c r="BE73" i="4"/>
  <c r="AD463" i="3" l="1"/>
  <c r="AD523" i="3" s="1"/>
  <c r="AD424" i="3"/>
  <c r="AD272" i="3"/>
  <c r="AD154" i="3"/>
  <c r="AD164" i="3" s="1"/>
  <c r="AE88" i="3"/>
  <c r="AE94" i="3" s="1"/>
  <c r="AE98" i="3" s="1"/>
  <c r="AE343" i="3"/>
  <c r="BM86" i="3"/>
  <c r="AC483" i="3"/>
  <c r="AC507" i="3" s="1"/>
  <c r="AC581" i="3"/>
  <c r="AC253" i="3"/>
  <c r="BL143" i="3"/>
  <c r="AB4" i="3"/>
  <c r="AD522" i="3" l="1"/>
  <c r="O30" i="32" s="1"/>
  <c r="AD484" i="3"/>
  <c r="AD467" i="3"/>
  <c r="AD483" i="3" s="1"/>
  <c r="AD507" i="3" s="1"/>
  <c r="AD143" i="3"/>
  <c r="AD253" i="3" s="1"/>
  <c r="AD264" i="3" s="1"/>
  <c r="AD274" i="3" s="1"/>
  <c r="AF93" i="3"/>
  <c r="AF86" i="3" s="1"/>
  <c r="AE345" i="3"/>
  <c r="AE349" i="3" s="1"/>
  <c r="BM343" i="3"/>
  <c r="AE101" i="3"/>
  <c r="AE91" i="3"/>
  <c r="AE521" i="3"/>
  <c r="AE520" i="3"/>
  <c r="P29" i="32" s="1"/>
  <c r="AC264" i="3"/>
  <c r="AC274" i="3" s="1"/>
  <c r="BL253" i="3"/>
  <c r="AF88" i="3" l="1"/>
  <c r="AF94" i="3" s="1"/>
  <c r="AF98" i="3" s="1"/>
  <c r="AF343" i="3"/>
  <c r="AE162" i="3"/>
  <c r="AE454" i="3"/>
  <c r="AE459" i="3"/>
  <c r="AG93" i="3" l="1"/>
  <c r="AG86" i="3" s="1"/>
  <c r="AF345" i="3"/>
  <c r="AF349" i="3" s="1"/>
  <c r="AF101" i="3"/>
  <c r="AF520" i="3"/>
  <c r="Q29" i="32" s="1"/>
  <c r="AE444" i="3"/>
  <c r="AE424" i="3" s="1"/>
  <c r="AE463" i="3"/>
  <c r="AE466" i="3"/>
  <c r="AE272" i="3"/>
  <c r="AE160" i="3"/>
  <c r="AE450" i="3" s="1"/>
  <c r="AE154" i="3"/>
  <c r="AG88" i="3" l="1"/>
  <c r="AG94" i="3" s="1"/>
  <c r="AG98" i="3" s="1"/>
  <c r="AG343" i="3"/>
  <c r="BN86" i="3"/>
  <c r="AE456" i="3"/>
  <c r="AF459" i="3"/>
  <c r="AF162" i="3"/>
  <c r="AF454" i="3"/>
  <c r="AE482" i="3"/>
  <c r="AE506" i="3" s="1"/>
  <c r="BM424" i="3"/>
  <c r="AE143" i="3"/>
  <c r="AE164" i="3"/>
  <c r="AE484" i="3"/>
  <c r="AE467" i="3"/>
  <c r="AE522" i="3"/>
  <c r="P30" i="32" s="1"/>
  <c r="AE523" i="3"/>
  <c r="AH93" i="3" l="1"/>
  <c r="AG345" i="3"/>
  <c r="AG349" i="3" s="1"/>
  <c r="BN343" i="3"/>
  <c r="AG101" i="3"/>
  <c r="AG520" i="3"/>
  <c r="R29" i="32" s="1"/>
  <c r="AF444" i="3"/>
  <c r="AF456" i="3" s="1"/>
  <c r="AF272" i="3"/>
  <c r="AF160" i="3"/>
  <c r="AF450" i="3" s="1"/>
  <c r="AF154" i="3"/>
  <c r="AF463" i="3"/>
  <c r="AF466" i="3"/>
  <c r="AE483" i="3"/>
  <c r="AE507" i="3" s="1"/>
  <c r="AE253" i="3"/>
  <c r="BM143" i="3"/>
  <c r="AG459" i="3" l="1"/>
  <c r="AG454" i="3"/>
  <c r="AG162" i="3"/>
  <c r="AF424" i="3"/>
  <c r="AF482" i="3"/>
  <c r="AF506" i="3" s="1"/>
  <c r="AF467" i="3"/>
  <c r="AF522" i="3"/>
  <c r="Q30" i="32" s="1"/>
  <c r="AF143" i="3"/>
  <c r="AF253" i="3" s="1"/>
  <c r="AF264" i="3" s="1"/>
  <c r="AF274" i="3" s="1"/>
  <c r="AF164" i="3"/>
  <c r="AE264" i="3"/>
  <c r="AE274" i="3" s="1"/>
  <c r="BM253" i="3"/>
  <c r="AA448" i="4"/>
  <c r="AA410" i="4"/>
  <c r="AA73" i="4" s="1"/>
  <c r="AG444" i="3" l="1"/>
  <c r="AG456" i="3" s="1"/>
  <c r="AG272" i="3"/>
  <c r="AG154" i="3"/>
  <c r="AG160" i="3"/>
  <c r="AG450" i="3" s="1"/>
  <c r="AG466" i="3"/>
  <c r="AG463" i="3"/>
  <c r="AF483" i="3"/>
  <c r="AF507" i="3" s="1"/>
  <c r="AF581" i="3"/>
  <c r="AA446" i="4"/>
  <c r="AA445" i="4"/>
  <c r="AA409" i="4"/>
  <c r="AG424" i="3" l="1"/>
  <c r="BN424" i="3" s="1"/>
  <c r="AG482" i="3"/>
  <c r="AG506" i="3" s="1"/>
  <c r="AG143" i="3"/>
  <c r="AG164" i="3"/>
  <c r="AG467" i="3"/>
  <c r="AG522" i="3"/>
  <c r="R30" i="32" s="1"/>
  <c r="AA408" i="4"/>
  <c r="AG483" i="3" l="1"/>
  <c r="AG507" i="3" s="1"/>
  <c r="AG581" i="3"/>
  <c r="AG253" i="3"/>
  <c r="BN143" i="3"/>
  <c r="AA437" i="4"/>
  <c r="AA444" i="4"/>
  <c r="AA443" i="4"/>
  <c r="AA68" i="4" s="1"/>
  <c r="AA70" i="4" s="1"/>
  <c r="AG264" i="3" l="1"/>
  <c r="AG274" i="3" s="1"/>
  <c r="BN253" i="3"/>
  <c r="BF29" i="4"/>
  <c r="AL166" i="28" l="1"/>
  <c r="AL104" i="28" s="1"/>
  <c r="AL107" i="28" s="1"/>
  <c r="BL74" i="3"/>
  <c r="AK12" i="32" s="1"/>
  <c r="AK15" i="32" s="1"/>
  <c r="BF61" i="4"/>
  <c r="BF65" i="4"/>
  <c r="BF62" i="4"/>
  <c r="BF32" i="4"/>
  <c r="AL106" i="28" l="1"/>
  <c r="BL532" i="3"/>
  <c r="BL534" i="3"/>
  <c r="AK23" i="32" s="1"/>
  <c r="BL531" i="3"/>
  <c r="BL535" i="3"/>
  <c r="BL77" i="3"/>
  <c r="BL549" i="3"/>
  <c r="BF33" i="4"/>
  <c r="BF67" i="4" s="1"/>
  <c r="AK24" i="32" s="1"/>
  <c r="BL548" i="3"/>
  <c r="BL546" i="3"/>
  <c r="BL547" i="3"/>
  <c r="BL529" i="3"/>
  <c r="BL530" i="3" s="1"/>
  <c r="BL550" i="3"/>
  <c r="AK17" i="32" l="1"/>
  <c r="BF518" i="4"/>
  <c r="BF36" i="4"/>
  <c r="BL78" i="3"/>
  <c r="AK18" i="32" s="1"/>
  <c r="BL476" i="3"/>
  <c r="BL501" i="3" s="1"/>
  <c r="BF474" i="4"/>
  <c r="BL32" i="3" l="1"/>
  <c r="BL37" i="3"/>
  <c r="BL31" i="3"/>
  <c r="BL30" i="3"/>
  <c r="BL81" i="3"/>
  <c r="AK20" i="32" s="1"/>
  <c r="BF7" i="4"/>
  <c r="AL176" i="28" l="1"/>
  <c r="AL12" i="28" s="1"/>
  <c r="BL341" i="3"/>
  <c r="BL345" i="3" s="1"/>
  <c r="BL349" i="3" s="1"/>
  <c r="BL578" i="3"/>
  <c r="AK28" i="32" s="1"/>
  <c r="BL94" i="3"/>
  <c r="BL98" i="3" s="1"/>
  <c r="BL579" i="3"/>
  <c r="BL536" i="3"/>
  <c r="BL84" i="3"/>
  <c r="BL526" i="3"/>
  <c r="BL524" i="3"/>
  <c r="BL472" i="3"/>
  <c r="AK25" i="32" s="1"/>
  <c r="BL474" i="3"/>
  <c r="AK26" i="32" s="1"/>
  <c r="BL525" i="3"/>
  <c r="BL58" i="3"/>
  <c r="AL15" i="28" l="1"/>
  <c r="AL14" i="28"/>
  <c r="L18" i="9"/>
  <c r="L16" i="9"/>
  <c r="L23" i="9"/>
  <c r="AC91" i="3"/>
  <c r="AB41" i="4"/>
  <c r="AB490" i="4" s="1"/>
  <c r="BL520" i="3"/>
  <c r="AK29" i="32" s="1"/>
  <c r="BL88" i="3"/>
  <c r="BL160" i="3"/>
  <c r="BL450" i="3"/>
  <c r="BL500" i="3"/>
  <c r="BL471" i="3"/>
  <c r="BL498" i="3" s="1"/>
  <c r="BL475" i="3"/>
  <c r="BL580" i="3"/>
  <c r="BL473" i="3"/>
  <c r="BL499" i="3"/>
  <c r="BL470" i="3"/>
  <c r="BL497" i="3" s="1"/>
  <c r="BL91" i="3"/>
  <c r="BL101" i="3"/>
  <c r="BM93" i="3"/>
  <c r="L37" i="9" l="1"/>
  <c r="L38" i="9" s="1"/>
  <c r="L25" i="9"/>
  <c r="L26" i="9" s="1"/>
  <c r="L27" i="9" s="1"/>
  <c r="L34" i="9"/>
  <c r="L21" i="9"/>
  <c r="L19" i="9"/>
  <c r="L30" i="9"/>
  <c r="AB71" i="4"/>
  <c r="AB66" i="4"/>
  <c r="AB519" i="4"/>
  <c r="AB485" i="4" s="1"/>
  <c r="AB516" i="4"/>
  <c r="BF41" i="4"/>
  <c r="AJ518" i="4" l="1"/>
  <c r="X24" i="32"/>
  <c r="BF66" i="4"/>
  <c r="BF71" i="4"/>
  <c r="BF490" i="4"/>
  <c r="BL459" i="3"/>
  <c r="AL518" i="4" l="1"/>
  <c r="AN67" i="4"/>
  <c r="Z24" i="32" s="1"/>
  <c r="BL449" i="3"/>
  <c r="BL454" i="3" s="1"/>
  <c r="BL159" i="3"/>
  <c r="BL162" i="3" s="1"/>
  <c r="BL154" i="3" s="1"/>
  <c r="BL164" i="3" s="1"/>
  <c r="BL217" i="3"/>
  <c r="BL209" i="3" s="1"/>
  <c r="BL219" i="3" s="1"/>
  <c r="BL428" i="3"/>
  <c r="BL444" i="3" s="1"/>
  <c r="BL466" i="3"/>
  <c r="BL463" i="3"/>
  <c r="BL272" i="3"/>
  <c r="BL264" i="3" s="1"/>
  <c r="BL274" i="3" s="1"/>
  <c r="BF516" i="4"/>
  <c r="AN518" i="4" l="1"/>
  <c r="AP67" i="4"/>
  <c r="AB24" i="32" s="1"/>
  <c r="BL189" i="3"/>
  <c r="BL482" i="3"/>
  <c r="BL506" i="3" s="1"/>
  <c r="BL134" i="3"/>
  <c r="BL307" i="3"/>
  <c r="BL279" i="3"/>
  <c r="BL282" i="3" s="1"/>
  <c r="BL304" i="3" s="1"/>
  <c r="AC276" i="3"/>
  <c r="BL467" i="3"/>
  <c r="BL522" i="3"/>
  <c r="AK30" i="32" s="1"/>
  <c r="BL456" i="3"/>
  <c r="AP518" i="4" l="1"/>
  <c r="AR67" i="4"/>
  <c r="AD24" i="32" s="1"/>
  <c r="AC575" i="3"/>
  <c r="AC577" i="3" s="1"/>
  <c r="AC55" i="3"/>
  <c r="AB520" i="4" s="1"/>
  <c r="AC49" i="3"/>
  <c r="BL244" i="3"/>
  <c r="BL581" i="3"/>
  <c r="BL483" i="3"/>
  <c r="BL507" i="3" s="1"/>
  <c r="BL276" i="3"/>
  <c r="BL49" i="3"/>
  <c r="M36" i="9" s="1"/>
  <c r="BL55" i="3"/>
  <c r="AR518" i="4" l="1"/>
  <c r="AC574" i="3"/>
  <c r="AC350" i="3"/>
  <c r="AC351" i="3" s="1"/>
  <c r="AC339" i="3" s="1"/>
  <c r="AC521" i="3"/>
  <c r="AC523" i="3"/>
  <c r="AC484" i="3"/>
  <c r="BL484" i="3" s="1"/>
  <c r="BL575" i="3"/>
  <c r="BL577" i="3" s="1"/>
  <c r="BF520" i="4"/>
  <c r="BL521" i="3"/>
  <c r="BL523" i="3"/>
  <c r="BL574" i="3"/>
  <c r="I122" i="6" l="1"/>
  <c r="AC359" i="3"/>
  <c r="BL350" i="3"/>
  <c r="BL351" i="3" s="1"/>
  <c r="AC4" i="3" l="1"/>
  <c r="BL359" i="3"/>
  <c r="BL339" i="3"/>
  <c r="BF158" i="4" l="1"/>
  <c r="AL146" i="28" s="1"/>
  <c r="AL39" i="28" s="1"/>
  <c r="AL41" i="28" l="1"/>
  <c r="AL42" i="28"/>
  <c r="BF174" i="4"/>
  <c r="BF157" i="4"/>
  <c r="BF201" i="4" s="1"/>
  <c r="BG158" i="4"/>
  <c r="AM146" i="28" s="1"/>
  <c r="AM39" i="28" s="1"/>
  <c r="AM41" i="28" l="1"/>
  <c r="AM42" i="28"/>
  <c r="BF219" i="4"/>
  <c r="BG157" i="4"/>
  <c r="BG201" i="4" s="1"/>
  <c r="BH158" i="4"/>
  <c r="AN146" i="28" s="1"/>
  <c r="AN39" i="28" s="1"/>
  <c r="BF213" i="4"/>
  <c r="BF217" i="4"/>
  <c r="BF178" i="4"/>
  <c r="BF180" i="4" s="1"/>
  <c r="BG12" i="4"/>
  <c r="AN41" i="28" l="1"/>
  <c r="AN42" i="28"/>
  <c r="BM62" i="3"/>
  <c r="AL4" i="32" s="1"/>
  <c r="BG11" i="4"/>
  <c r="BG50" i="4" s="1"/>
  <c r="BH157" i="4"/>
  <c r="BH201" i="4" s="1"/>
  <c r="BF153" i="4"/>
  <c r="BF185" i="4"/>
  <c r="BH12" i="4"/>
  <c r="BM61" i="3" l="1"/>
  <c r="BH11" i="4"/>
  <c r="BH50" i="4" s="1"/>
  <c r="BF221" i="4"/>
  <c r="BF214" i="4"/>
  <c r="BF186" i="4"/>
  <c r="BF220" i="4" s="1"/>
  <c r="BI158" i="4"/>
  <c r="AO146" i="28" s="1"/>
  <c r="AO39" i="28" s="1"/>
  <c r="AH62" i="3"/>
  <c r="S4" i="32" s="1"/>
  <c r="AO42" i="28" l="1"/>
  <c r="AO41" i="28"/>
  <c r="I33" i="6"/>
  <c r="AH61" i="3"/>
  <c r="I32" i="6" s="1"/>
  <c r="BN62" i="3"/>
  <c r="AJ157" i="4"/>
  <c r="BI157" i="4"/>
  <c r="BI201" i="4" s="1"/>
  <c r="BI12" i="4"/>
  <c r="BF187" i="4"/>
  <c r="AM4" i="32" l="1"/>
  <c r="V146" i="28"/>
  <c r="V39" i="28" s="1"/>
  <c r="M8" i="8"/>
  <c r="C33" i="6"/>
  <c r="BN61" i="3"/>
  <c r="BI11" i="4"/>
  <c r="BI50" i="4" s="1"/>
  <c r="AJ158" i="4"/>
  <c r="AK157" i="4"/>
  <c r="BF222" i="4"/>
  <c r="BF223" i="4"/>
  <c r="V42" i="28" l="1"/>
  <c r="V41" i="28"/>
  <c r="BJ158" i="4"/>
  <c r="W146" i="28"/>
  <c r="W39" i="28" s="1"/>
  <c r="C32" i="6"/>
  <c r="M7" i="8"/>
  <c r="F43" i="8"/>
  <c r="J33" i="6"/>
  <c r="BO62" i="3"/>
  <c r="AK158" i="4"/>
  <c r="AL157" i="4"/>
  <c r="AI11" i="4"/>
  <c r="AI50" i="4" s="1"/>
  <c r="AN4" i="32" l="1"/>
  <c r="BJ157" i="4"/>
  <c r="BJ201" i="4" s="1"/>
  <c r="X146" i="28"/>
  <c r="X39" i="28" s="1"/>
  <c r="X41" i="28" s="1"/>
  <c r="W42" i="28"/>
  <c r="W41" i="28"/>
  <c r="AP146" i="28"/>
  <c r="AP39" i="28" s="1"/>
  <c r="N8" i="8"/>
  <c r="J32" i="6"/>
  <c r="D33" i="6"/>
  <c r="BO61" i="3"/>
  <c r="AL158" i="4"/>
  <c r="Y146" i="28" s="1"/>
  <c r="Y39" i="28" s="1"/>
  <c r="AM157" i="4"/>
  <c r="X42" i="28" l="1"/>
  <c r="Y42" i="28"/>
  <c r="Y41" i="28"/>
  <c r="AP42" i="28"/>
  <c r="AP41" i="28"/>
  <c r="G43" i="8"/>
  <c r="N7" i="8"/>
  <c r="D32" i="6"/>
  <c r="BK158" i="4"/>
  <c r="AN157" i="4"/>
  <c r="AM158" i="4"/>
  <c r="BP158" i="4" l="1"/>
  <c r="Z146" i="28"/>
  <c r="Z39" i="28" s="1"/>
  <c r="Z42" i="28" s="1"/>
  <c r="AQ146" i="28"/>
  <c r="AQ39" i="28" s="1"/>
  <c r="BK157" i="4"/>
  <c r="BK201" i="4" s="1"/>
  <c r="AN158" i="4"/>
  <c r="AO157" i="4"/>
  <c r="Z41" i="28" l="1"/>
  <c r="AQ41" i="28"/>
  <c r="AQ42" i="28"/>
  <c r="BL158" i="4"/>
  <c r="AA146" i="28"/>
  <c r="AA39" i="28" s="1"/>
  <c r="AP157" i="4"/>
  <c r="AO158" i="4"/>
  <c r="AB146" i="28" s="1"/>
  <c r="AB39" i="28" s="1"/>
  <c r="BL157" i="4" l="1"/>
  <c r="BL201" i="4" s="1"/>
  <c r="AB42" i="28"/>
  <c r="AB41" i="28"/>
  <c r="AA41" i="28"/>
  <c r="AA42" i="28"/>
  <c r="AR146" i="28"/>
  <c r="AR39" i="28" s="1"/>
  <c r="AP158" i="4"/>
  <c r="AQ157" i="4"/>
  <c r="AB448" i="4"/>
  <c r="BF470" i="4"/>
  <c r="AR42" i="28" l="1"/>
  <c r="AR41" i="28"/>
  <c r="AC146" i="28"/>
  <c r="AC39" i="28" s="1"/>
  <c r="BM158" i="4"/>
  <c r="AR157" i="4"/>
  <c r="AR158" i="4" s="1"/>
  <c r="AE146" i="28" s="1"/>
  <c r="AE39" i="28" s="1"/>
  <c r="AQ158" i="4"/>
  <c r="AD146" i="28" s="1"/>
  <c r="AD39" i="28" s="1"/>
  <c r="BF510" i="4"/>
  <c r="BF511" i="4"/>
  <c r="BF515" i="4"/>
  <c r="BF473" i="4"/>
  <c r="BF477" i="4" s="1"/>
  <c r="AE41" i="28" l="1"/>
  <c r="AE42" i="28"/>
  <c r="AD41" i="28"/>
  <c r="AD42" i="28"/>
  <c r="AC42" i="28"/>
  <c r="AC41" i="28"/>
  <c r="AS146" i="28"/>
  <c r="AS39" i="28" s="1"/>
  <c r="BM157" i="4"/>
  <c r="BM201" i="4" s="1"/>
  <c r="BN158" i="4"/>
  <c r="AT146" i="28" s="1"/>
  <c r="AT39" i="28" s="1"/>
  <c r="BF448" i="4"/>
  <c r="BF692" i="4"/>
  <c r="BF691" i="4"/>
  <c r="BF481" i="4"/>
  <c r="AB109" i="4"/>
  <c r="AB410" i="4" s="1"/>
  <c r="AS42" i="28" l="1"/>
  <c r="AS41" i="28"/>
  <c r="AT41" i="28"/>
  <c r="AT42" i="28"/>
  <c r="BN157" i="4"/>
  <c r="BN201" i="4" s="1"/>
  <c r="BF729" i="4"/>
  <c r="BF695" i="4"/>
  <c r="BF732" i="4" s="1"/>
  <c r="AB146" i="4"/>
  <c r="AB107" i="4"/>
  <c r="AB108" i="4" s="1"/>
  <c r="AB145" i="4"/>
  <c r="BF731" i="4" l="1"/>
  <c r="BF108" i="4"/>
  <c r="AB445" i="4"/>
  <c r="AB446" i="4"/>
  <c r="AB144" i="4"/>
  <c r="BF107" i="4"/>
  <c r="AB137" i="4"/>
  <c r="AB73" i="4"/>
  <c r="BF143" i="4" l="1"/>
  <c r="BF137" i="4"/>
  <c r="BF109" i="4"/>
  <c r="BF144" i="4"/>
  <c r="AB480" i="4"/>
  <c r="AB482" i="4" l="1"/>
  <c r="BF482" i="4" s="1"/>
  <c r="BF480" i="4"/>
  <c r="BF145" i="4"/>
  <c r="BF146" i="4"/>
  <c r="AB483" i="4" l="1"/>
  <c r="AB512" i="4" s="1"/>
  <c r="BF483" i="4" l="1"/>
  <c r="BF512" i="4" s="1"/>
  <c r="AB484" i="4"/>
  <c r="AB408" i="4"/>
  <c r="AB437" i="4" l="1"/>
  <c r="AB444" i="4"/>
  <c r="BF408" i="4"/>
  <c r="AB409" i="4"/>
  <c r="BF484" i="4"/>
  <c r="BF485" i="4" s="1"/>
  <c r="BF519" i="4" s="1"/>
  <c r="BF437" i="4" l="1"/>
  <c r="BF444" i="4"/>
  <c r="AB443" i="4"/>
  <c r="AB68" i="4" s="1"/>
  <c r="AB70" i="4" s="1"/>
  <c r="BF409" i="4"/>
  <c r="BF443" i="4" s="1"/>
  <c r="BF410" i="4" l="1"/>
  <c r="BF446" i="4" s="1"/>
  <c r="BF68" i="4"/>
  <c r="BF69" i="4"/>
  <c r="BF445" i="4" l="1"/>
  <c r="BF73" i="4"/>
  <c r="AC41" i="4" l="1"/>
  <c r="AC490" i="4" s="1"/>
  <c r="AD91" i="3"/>
  <c r="AC516" i="4" l="1"/>
  <c r="AC66" i="4"/>
  <c r="AC71" i="4"/>
  <c r="AC519" i="4"/>
  <c r="AD276" i="3" l="1"/>
  <c r="AD575" i="3" l="1"/>
  <c r="AD577" i="3" s="1"/>
  <c r="AC520" i="4"/>
  <c r="BG117" i="4" l="1"/>
  <c r="BG115" i="4" l="1"/>
  <c r="BG125" i="4" s="1"/>
  <c r="BG81" i="4" l="1"/>
  <c r="AM140" i="28" s="1"/>
  <c r="AM18" i="28" s="1"/>
  <c r="BG491" i="4"/>
  <c r="AM21" i="28" l="1"/>
  <c r="AM20" i="28"/>
  <c r="BG149" i="4"/>
  <c r="BG151" i="4" s="1"/>
  <c r="BH13" i="4"/>
  <c r="BH81" i="4"/>
  <c r="AN140" i="28" s="1"/>
  <c r="AN18" i="28" s="1"/>
  <c r="BH115" i="4"/>
  <c r="BH125" i="4" s="1"/>
  <c r="BH117" i="4"/>
  <c r="BG127" i="4"/>
  <c r="BG88" i="4"/>
  <c r="BG96" i="4" s="1"/>
  <c r="BG493" i="4"/>
  <c r="BG500" i="4"/>
  <c r="BG502" i="4"/>
  <c r="BG13" i="4"/>
  <c r="AN20" i="28" l="1"/>
  <c r="AN21" i="28"/>
  <c r="BH149" i="4"/>
  <c r="BH151" i="4" s="1"/>
  <c r="BH88" i="4"/>
  <c r="BH96" i="4" s="1"/>
  <c r="BH127" i="4"/>
  <c r="BH491" i="4"/>
  <c r="BM63" i="3"/>
  <c r="BG20" i="4"/>
  <c r="BG140" i="4"/>
  <c r="BG100" i="4"/>
  <c r="BG102" i="4" s="1"/>
  <c r="BG136" i="4"/>
  <c r="BG28" i="4" l="1"/>
  <c r="BH98" i="4"/>
  <c r="BI98" i="4"/>
  <c r="BH136" i="4"/>
  <c r="BI117" i="4"/>
  <c r="BI115" i="4"/>
  <c r="BI125" i="4" s="1"/>
  <c r="BM68" i="3"/>
  <c r="AL6" i="32" s="1"/>
  <c r="BG75" i="4"/>
  <c r="BH493" i="4"/>
  <c r="BH500" i="4"/>
  <c r="BH502" i="4"/>
  <c r="BH100" i="4" l="1"/>
  <c r="BH102" i="4" s="1"/>
  <c r="C24" i="33" s="1"/>
  <c r="AJ98" i="4"/>
  <c r="BH140" i="4"/>
  <c r="AK98" i="4"/>
  <c r="BI81" i="4"/>
  <c r="AO140" i="28" s="1"/>
  <c r="AO18" i="28" s="1"/>
  <c r="BI491" i="4"/>
  <c r="V140" i="28" l="1"/>
  <c r="V18" i="28" s="1"/>
  <c r="AO20" i="28"/>
  <c r="AO21" i="28"/>
  <c r="BI149" i="4"/>
  <c r="F70" i="8"/>
  <c r="C63" i="6"/>
  <c r="BH75" i="4"/>
  <c r="AM98" i="4"/>
  <c r="BI127" i="4"/>
  <c r="BI88" i="4"/>
  <c r="BI13" i="4"/>
  <c r="BI500" i="4"/>
  <c r="BI502" i="4"/>
  <c r="BI493" i="4"/>
  <c r="V20" i="28" l="1"/>
  <c r="V21" i="28"/>
  <c r="AO98" i="4"/>
  <c r="AQ98" i="4" l="1"/>
  <c r="BG106" i="4" l="1"/>
  <c r="BG184" i="4" l="1"/>
  <c r="BG472" i="4"/>
  <c r="BG514" i="4" l="1"/>
  <c r="BG513" i="4"/>
  <c r="BG31" i="4"/>
  <c r="BG64" i="4" l="1"/>
  <c r="BG63" i="4"/>
  <c r="BM76" i="3"/>
  <c r="AL14" i="32" s="1"/>
  <c r="AC480" i="4" l="1"/>
  <c r="BH184" i="4" l="1"/>
  <c r="BH472" i="4"/>
  <c r="BH106" i="4" l="1"/>
  <c r="BH31" i="4"/>
  <c r="BH514" i="4"/>
  <c r="BH513" i="4"/>
  <c r="BG480" i="4"/>
  <c r="BH63" i="4" l="1"/>
  <c r="BH64" i="4"/>
  <c r="BN76" i="3"/>
  <c r="AM14" i="32" s="1"/>
  <c r="BG183" i="4"/>
  <c r="BG691" i="4"/>
  <c r="BG259" i="4"/>
  <c r="BG335" i="4"/>
  <c r="BG105" i="4"/>
  <c r="BG406" i="4" l="1"/>
  <c r="C47" i="6"/>
  <c r="BH480" i="4"/>
  <c r="BH183" i="4"/>
  <c r="BH105" i="4"/>
  <c r="BI106" i="4" l="1"/>
  <c r="AH76" i="3"/>
  <c r="S14" i="32" s="1"/>
  <c r="BI184" i="4"/>
  <c r="BI480" i="4"/>
  <c r="BH259" i="4"/>
  <c r="BH335" i="4"/>
  <c r="BH691" i="4"/>
  <c r="BH406" i="4" l="1"/>
  <c r="I47" i="6"/>
  <c r="AH533" i="3"/>
  <c r="I107" i="6" s="1"/>
  <c r="BI472" i="4"/>
  <c r="BI259" i="4"/>
  <c r="BI105" i="4"/>
  <c r="BI691" i="4"/>
  <c r="BI335" i="4"/>
  <c r="BI406" i="4" l="1"/>
  <c r="BI513" i="4"/>
  <c r="BI514" i="4"/>
  <c r="BI31" i="4"/>
  <c r="BI183" i="4"/>
  <c r="BG29" i="4"/>
  <c r="J47" i="6" l="1"/>
  <c r="BO76" i="3"/>
  <c r="AN14" i="32" s="1"/>
  <c r="BI64" i="4"/>
  <c r="BI63" i="4"/>
  <c r="BG61" i="4"/>
  <c r="AI406" i="4"/>
  <c r="BM74" i="3"/>
  <c r="AL12" i="32" l="1"/>
  <c r="D47" i="6"/>
  <c r="BM529" i="3"/>
  <c r="BM532" i="3"/>
  <c r="AD37" i="3" l="1"/>
  <c r="AD578" i="3" s="1"/>
  <c r="O28" i="32" s="1"/>
  <c r="AD581" i="3" l="1"/>
  <c r="AD353" i="3"/>
  <c r="AD350" i="3"/>
  <c r="AD351" i="3" s="1"/>
  <c r="BM95" i="3"/>
  <c r="AD339" i="3" l="1"/>
  <c r="AD355" i="3"/>
  <c r="AD480" i="3" s="1"/>
  <c r="AD356" i="3"/>
  <c r="AD357" i="3" l="1"/>
  <c r="AD481" i="3" s="1"/>
  <c r="AD505" i="3" s="1"/>
  <c r="AE37" i="3"/>
  <c r="AE578" i="3" s="1"/>
  <c r="P28" i="32" s="1"/>
  <c r="AD504" i="3"/>
  <c r="AD580" i="3"/>
  <c r="AD359" i="3"/>
  <c r="AD4" i="3" s="1"/>
  <c r="AE353" i="3"/>
  <c r="BM464" i="3"/>
  <c r="BM103" i="3"/>
  <c r="BM97" i="3"/>
  <c r="BM354" i="3"/>
  <c r="AE581" i="3" l="1"/>
  <c r="AE355" i="3"/>
  <c r="AE356" i="3"/>
  <c r="BM446" i="3"/>
  <c r="BM156" i="3"/>
  <c r="BM41" i="3"/>
  <c r="BM43" i="3" s="1"/>
  <c r="BM372" i="3"/>
  <c r="N59" i="9" s="1"/>
  <c r="BM353" i="3"/>
  <c r="BM355" i="3" s="1"/>
  <c r="AE357" i="3" l="1"/>
  <c r="AE480" i="3"/>
  <c r="BM480" i="3"/>
  <c r="BM356" i="3"/>
  <c r="AE481" i="3" l="1"/>
  <c r="AE580" i="3"/>
  <c r="AE504" i="3"/>
  <c r="BM504" i="3"/>
  <c r="BG345" i="4"/>
  <c r="BM357" i="3"/>
  <c r="BM481" i="3" s="1"/>
  <c r="BM505" i="3" s="1"/>
  <c r="AE505" i="3" l="1"/>
  <c r="AF353" i="3"/>
  <c r="BG42" i="4"/>
  <c r="BG347" i="4"/>
  <c r="BG418" i="4"/>
  <c r="BN95" i="3"/>
  <c r="BG354" i="4"/>
  <c r="BG356" i="4"/>
  <c r="BG416" i="4"/>
  <c r="AF356" i="3" l="1"/>
  <c r="AF355" i="3"/>
  <c r="BG425" i="4"/>
  <c r="BG44" i="4"/>
  <c r="BG51" i="4"/>
  <c r="BG53" i="4"/>
  <c r="AF357" i="3" l="1"/>
  <c r="AF480" i="3"/>
  <c r="BN97" i="3"/>
  <c r="BN354" i="3"/>
  <c r="BN464" i="3"/>
  <c r="BN103" i="3"/>
  <c r="K42" i="33" s="1"/>
  <c r="F30" i="8" l="1"/>
  <c r="AG353" i="3"/>
  <c r="BN353" i="3" s="1"/>
  <c r="BN355" i="3" s="1"/>
  <c r="AF481" i="3"/>
  <c r="AF580" i="3"/>
  <c r="AF504" i="3"/>
  <c r="BN41" i="3"/>
  <c r="BN43" i="3" s="1"/>
  <c r="BN372" i="3"/>
  <c r="BN446" i="3"/>
  <c r="BN156" i="3"/>
  <c r="C141" i="6" l="1"/>
  <c r="O59" i="9"/>
  <c r="AG356" i="3"/>
  <c r="BN356" i="3" s="1"/>
  <c r="BN357" i="3" s="1"/>
  <c r="BN481" i="3" s="1"/>
  <c r="BN505" i="3" s="1"/>
  <c r="AG355" i="3"/>
  <c r="AF505" i="3"/>
  <c r="BN480" i="3"/>
  <c r="AG357" i="3" l="1"/>
  <c r="AG481" i="3" s="1"/>
  <c r="AG505" i="3" s="1"/>
  <c r="AG480" i="3"/>
  <c r="N29" i="8"/>
  <c r="G31" i="8"/>
  <c r="BH345" i="4"/>
  <c r="BN504" i="3"/>
  <c r="AH353" i="3" l="1"/>
  <c r="AG504" i="3"/>
  <c r="AG580" i="3"/>
  <c r="BH42" i="4"/>
  <c r="BH347" i="4"/>
  <c r="BH418" i="4"/>
  <c r="BO95" i="3"/>
  <c r="BH416" i="4"/>
  <c r="BH354" i="4"/>
  <c r="BH356" i="4"/>
  <c r="AH355" i="3" l="1"/>
  <c r="AH356" i="3"/>
  <c r="BH44" i="4"/>
  <c r="P20" i="9"/>
  <c r="P22" i="9" s="1"/>
  <c r="P52" i="9" s="1"/>
  <c r="P54" i="9" s="1"/>
  <c r="BH425" i="4"/>
  <c r="BH51" i="4"/>
  <c r="BH53" i="4"/>
  <c r="C82" i="6" l="1"/>
  <c r="M45" i="8"/>
  <c r="AH357" i="3"/>
  <c r="BO464" i="3"/>
  <c r="BO103" i="3"/>
  <c r="L42" i="33" s="1"/>
  <c r="K7" i="33" s="1"/>
  <c r="K8" i="33" s="1"/>
  <c r="BO354" i="3"/>
  <c r="BO97" i="3"/>
  <c r="G30" i="8" l="1"/>
  <c r="AI353" i="3"/>
  <c r="BO353" i="3" s="1"/>
  <c r="BO355" i="3" s="1"/>
  <c r="BO446" i="3"/>
  <c r="BO156" i="3"/>
  <c r="BO41" i="3"/>
  <c r="BO43" i="3" s="1"/>
  <c r="BO372" i="3"/>
  <c r="P59" i="9" s="1"/>
  <c r="AI355" i="3" l="1"/>
  <c r="AI356" i="3"/>
  <c r="BO356" i="3" s="1"/>
  <c r="BO357" i="3" s="1"/>
  <c r="D141" i="6"/>
  <c r="AI357" i="3" l="1"/>
  <c r="AI481" i="3" s="1"/>
  <c r="AI505" i="3" s="1"/>
  <c r="AI480" i="3"/>
  <c r="AK95" i="3"/>
  <c r="AJ353" i="3" s="1"/>
  <c r="BI345" i="4"/>
  <c r="AJ355" i="3" l="1"/>
  <c r="AJ480" i="3" s="1"/>
  <c r="AJ504" i="3" s="1"/>
  <c r="AJ356" i="3"/>
  <c r="AI580" i="3"/>
  <c r="AI504" i="3"/>
  <c r="BI418" i="4"/>
  <c r="BI347" i="4"/>
  <c r="BI42" i="4"/>
  <c r="BP95" i="3"/>
  <c r="BI416" i="4"/>
  <c r="BI354" i="4"/>
  <c r="BI356" i="4"/>
  <c r="AJ357" i="3" l="1"/>
  <c r="AJ481" i="3" s="1"/>
  <c r="AJ505" i="3" s="1"/>
  <c r="J82" i="6"/>
  <c r="BI44" i="4"/>
  <c r="BI425" i="4"/>
  <c r="AK97" i="3"/>
  <c r="AK103" i="3"/>
  <c r="Q20" i="9" s="1"/>
  <c r="Q22" i="9" s="1"/>
  <c r="Q52" i="9" s="1"/>
  <c r="Q54" i="9" s="1"/>
  <c r="BI51" i="4"/>
  <c r="BI53" i="4"/>
  <c r="D82" i="6" l="1"/>
  <c r="N45" i="8"/>
  <c r="BP97" i="3"/>
  <c r="AK354" i="3"/>
  <c r="BP354" i="3" s="1"/>
  <c r="AK156" i="3"/>
  <c r="AK464" i="3"/>
  <c r="BP464" i="3" s="1"/>
  <c r="AK353" i="3"/>
  <c r="AL95" i="3"/>
  <c r="BP103" i="3"/>
  <c r="M42" i="33" s="1"/>
  <c r="H30" i="8" l="1"/>
  <c r="BP372" i="3"/>
  <c r="Q59" i="9" s="1"/>
  <c r="BP41" i="3"/>
  <c r="BP43" i="3" s="1"/>
  <c r="AK356" i="3"/>
  <c r="AK355" i="3"/>
  <c r="BP353" i="3"/>
  <c r="BP355" i="3" s="1"/>
  <c r="AK446" i="3"/>
  <c r="BP446" i="3" s="1"/>
  <c r="BP156" i="3"/>
  <c r="E141" i="6" l="1"/>
  <c r="AL97" i="3"/>
  <c r="AL103" i="3"/>
  <c r="AK357" i="3"/>
  <c r="BP356" i="3"/>
  <c r="BP357" i="3" s="1"/>
  <c r="AM95" i="3" l="1"/>
  <c r="AL464" i="3"/>
  <c r="AL353" i="3"/>
  <c r="AL354" i="3"/>
  <c r="AL156" i="3"/>
  <c r="AL446" i="3" l="1"/>
  <c r="AL355" i="3"/>
  <c r="AL356" i="3"/>
  <c r="BQ95" i="3"/>
  <c r="AL357" i="3" l="1"/>
  <c r="AM97" i="3"/>
  <c r="AM103" i="3"/>
  <c r="R20" i="9" l="1"/>
  <c r="R22" i="9" s="1"/>
  <c r="R52" i="9" s="1"/>
  <c r="R54" i="9" s="1"/>
  <c r="AN95" i="3"/>
  <c r="BQ103" i="3"/>
  <c r="N42" i="33" s="1"/>
  <c r="AM353" i="3"/>
  <c r="AM464" i="3"/>
  <c r="BQ464" i="3" s="1"/>
  <c r="AM354" i="3"/>
  <c r="BQ354" i="3" s="1"/>
  <c r="BQ97" i="3"/>
  <c r="AM156" i="3"/>
  <c r="AN41" i="3" l="1"/>
  <c r="AN97" i="3" s="1"/>
  <c r="AN354" i="3" s="1"/>
  <c r="I30" i="8"/>
  <c r="BQ156" i="3"/>
  <c r="AM446" i="3"/>
  <c r="BQ446" i="3" s="1"/>
  <c r="AM356" i="3"/>
  <c r="AM355" i="3"/>
  <c r="BQ353" i="3"/>
  <c r="BQ355" i="3" s="1"/>
  <c r="BQ372" i="3"/>
  <c r="BQ41" i="3"/>
  <c r="BQ43" i="3" s="1"/>
  <c r="AN156" i="3" l="1"/>
  <c r="AN446" i="3" s="1"/>
  <c r="AN103" i="3"/>
  <c r="F141" i="6"/>
  <c r="R59" i="9"/>
  <c r="BQ356" i="3"/>
  <c r="BQ357" i="3" s="1"/>
  <c r="AM357" i="3"/>
  <c r="AN464" i="3" l="1"/>
  <c r="AN353" i="3"/>
  <c r="AN355" i="3" s="1"/>
  <c r="AO95" i="3"/>
  <c r="AO41" i="3" s="1"/>
  <c r="BR95" i="3" l="1"/>
  <c r="AN356" i="3"/>
  <c r="AN357" i="3" s="1"/>
  <c r="AO97" i="3"/>
  <c r="AO103" i="3"/>
  <c r="S20" i="9" l="1"/>
  <c r="S22" i="9" s="1"/>
  <c r="S52" i="9" s="1"/>
  <c r="S54" i="9" s="1"/>
  <c r="AP95" i="3"/>
  <c r="BR103" i="3"/>
  <c r="AO353" i="3"/>
  <c r="AO464" i="3"/>
  <c r="BR464" i="3" s="1"/>
  <c r="AO354" i="3"/>
  <c r="BR354" i="3" s="1"/>
  <c r="BR97" i="3"/>
  <c r="AO156" i="3"/>
  <c r="BG242" i="4"/>
  <c r="AM151" i="28" s="1"/>
  <c r="AM55" i="28" s="1"/>
  <c r="O42" i="33" l="1"/>
  <c r="AM57" i="28"/>
  <c r="AM58" i="28"/>
  <c r="AP41" i="3"/>
  <c r="AP97" i="3" s="1"/>
  <c r="AP354" i="3" s="1"/>
  <c r="BR41" i="3"/>
  <c r="BR43" i="3" s="1"/>
  <c r="J30" i="8"/>
  <c r="BM69" i="3"/>
  <c r="AL5" i="32" s="1"/>
  <c r="AL10" i="32" s="1"/>
  <c r="BR353" i="3"/>
  <c r="BR355" i="3" s="1"/>
  <c r="AO356" i="3"/>
  <c r="BR356" i="3" s="1"/>
  <c r="AO355" i="3"/>
  <c r="AO446" i="3"/>
  <c r="BR446" i="3" s="1"/>
  <c r="BR156" i="3"/>
  <c r="BR372" i="3"/>
  <c r="BG390" i="4"/>
  <c r="BG58" i="4"/>
  <c r="BG288" i="4"/>
  <c r="BG252" i="4"/>
  <c r="AP103" i="3" l="1"/>
  <c r="AP464" i="3" s="1"/>
  <c r="AP156" i="3"/>
  <c r="AP446" i="3" s="1"/>
  <c r="S59" i="9"/>
  <c r="C175" i="6"/>
  <c r="AQ95" i="3"/>
  <c r="AQ41" i="3" s="1"/>
  <c r="AQ97" i="3" s="1"/>
  <c r="G141" i="6"/>
  <c r="Q75" i="8" s="1"/>
  <c r="AP353" i="3"/>
  <c r="AP356" i="3" s="1"/>
  <c r="BM73" i="3"/>
  <c r="V59" i="9"/>
  <c r="AO357" i="3"/>
  <c r="BR357" i="3"/>
  <c r="BH242" i="4"/>
  <c r="AN151" i="28" s="1"/>
  <c r="AN55" i="28" s="1"/>
  <c r="BG432" i="4"/>
  <c r="AD7" i="4"/>
  <c r="BH390" i="4"/>
  <c r="BH252" i="4"/>
  <c r="BG62" i="4"/>
  <c r="BG399" i="4"/>
  <c r="BG30" i="4"/>
  <c r="AM137" i="28" l="1"/>
  <c r="AM6" i="28" s="1"/>
  <c r="AM54" i="28" s="1"/>
  <c r="D175" i="6"/>
  <c r="AQ156" i="3"/>
  <c r="AQ446" i="3" s="1"/>
  <c r="AM9" i="28"/>
  <c r="AM8" i="28"/>
  <c r="AN58" i="28"/>
  <c r="AN57" i="28"/>
  <c r="BG65" i="4"/>
  <c r="AM166" i="28"/>
  <c r="AM104" i="28" s="1"/>
  <c r="BM530" i="3"/>
  <c r="BS95" i="3"/>
  <c r="AP355" i="3"/>
  <c r="BM531" i="3"/>
  <c r="BM528" i="3"/>
  <c r="BM527" i="3"/>
  <c r="AQ103" i="3"/>
  <c r="T20" i="9" s="1"/>
  <c r="T22" i="9" s="1"/>
  <c r="T52" i="9" s="1"/>
  <c r="T54" i="9" s="1"/>
  <c r="AQ354" i="3"/>
  <c r="BS354" i="3" s="1"/>
  <c r="BS97" i="3"/>
  <c r="BH288" i="4"/>
  <c r="BG32" i="4"/>
  <c r="BH21" i="4"/>
  <c r="BH30" i="4"/>
  <c r="BI242" i="4"/>
  <c r="AO151" i="28" s="1"/>
  <c r="AO55" i="28" s="1"/>
  <c r="BM75" i="3"/>
  <c r="BH432" i="4"/>
  <c r="BG33" i="4"/>
  <c r="BH399" i="4"/>
  <c r="BN75" i="3"/>
  <c r="AM13" i="32" s="1"/>
  <c r="AL13" i="32" l="1"/>
  <c r="AL15" i="32" s="1"/>
  <c r="E175" i="6"/>
  <c r="BS156" i="3"/>
  <c r="BH58" i="4"/>
  <c r="AO58" i="28"/>
  <c r="AO57" i="28"/>
  <c r="AM107" i="28"/>
  <c r="AM106" i="28"/>
  <c r="AQ353" i="3"/>
  <c r="BS353" i="3" s="1"/>
  <c r="BS355" i="3" s="1"/>
  <c r="AP357" i="3"/>
  <c r="AR95" i="3"/>
  <c r="AQ464" i="3"/>
  <c r="BS464" i="3" s="1"/>
  <c r="BS103" i="3"/>
  <c r="BS446" i="3"/>
  <c r="C46" i="6"/>
  <c r="M21" i="8"/>
  <c r="BG67" i="4"/>
  <c r="BN69" i="3"/>
  <c r="BI288" i="4"/>
  <c r="BM78" i="3"/>
  <c r="BM548" i="3"/>
  <c r="BG474" i="4"/>
  <c r="BM549" i="3"/>
  <c r="BM550" i="3"/>
  <c r="BM546" i="3"/>
  <c r="BM534" i="3"/>
  <c r="AL23" i="32" s="1"/>
  <c r="BM533" i="3"/>
  <c r="BM77" i="3"/>
  <c r="BM535" i="3"/>
  <c r="BG36" i="4"/>
  <c r="BN533" i="3"/>
  <c r="BM547" i="3"/>
  <c r="AM5" i="32" l="1"/>
  <c r="C5" i="33"/>
  <c r="AL18" i="32"/>
  <c r="F175" i="6"/>
  <c r="BG518" i="4"/>
  <c r="AL24" i="32"/>
  <c r="AL17" i="32"/>
  <c r="BS41" i="3"/>
  <c r="BS43" i="3" s="1"/>
  <c r="AR41" i="3"/>
  <c r="AR97" i="3" s="1"/>
  <c r="AR354" i="3" s="1"/>
  <c r="M15" i="8"/>
  <c r="BG7" i="4"/>
  <c r="AQ355" i="3"/>
  <c r="AQ356" i="3"/>
  <c r="BS356" i="3" s="1"/>
  <c r="BS357" i="3" s="1"/>
  <c r="BS372" i="3"/>
  <c r="C40" i="6"/>
  <c r="C107" i="6"/>
  <c r="BM32" i="3"/>
  <c r="BM37" i="3"/>
  <c r="BI390" i="4"/>
  <c r="BI21" i="4"/>
  <c r="BI252" i="4"/>
  <c r="BM81" i="3"/>
  <c r="AL20" i="32" s="1"/>
  <c r="BM476" i="3"/>
  <c r="BM501" i="3" s="1"/>
  <c r="BM31" i="3"/>
  <c r="BM30" i="3"/>
  <c r="G175" i="6" l="1"/>
  <c r="AM176" i="28"/>
  <c r="AM12" i="28" s="1"/>
  <c r="AR156" i="3"/>
  <c r="AR446" i="3" s="1"/>
  <c r="AR103" i="3"/>
  <c r="AR464" i="3" s="1"/>
  <c r="AQ357" i="3"/>
  <c r="J40" i="6"/>
  <c r="T59" i="9"/>
  <c r="BM341" i="3"/>
  <c r="BM345" i="3" s="1"/>
  <c r="BM349" i="3" s="1"/>
  <c r="BM578" i="3"/>
  <c r="AL28" i="32" s="1"/>
  <c r="BI432" i="4"/>
  <c r="BI30" i="4"/>
  <c r="BO69" i="3"/>
  <c r="BI58" i="4"/>
  <c r="BI399" i="4"/>
  <c r="BM58" i="3"/>
  <c r="BM525" i="3"/>
  <c r="BM472" i="3"/>
  <c r="AL25" i="32" s="1"/>
  <c r="BM526" i="3"/>
  <c r="BM84" i="3"/>
  <c r="BM524" i="3"/>
  <c r="BM474" i="3"/>
  <c r="AL26" i="32" s="1"/>
  <c r="BM536" i="3"/>
  <c r="AN5" i="32" l="1"/>
  <c r="D5" i="33"/>
  <c r="AM15" i="28"/>
  <c r="AM14" i="28"/>
  <c r="AR353" i="3"/>
  <c r="AR356" i="3" s="1"/>
  <c r="AS95" i="3"/>
  <c r="AS41" i="3" s="1"/>
  <c r="AS97" i="3" s="1"/>
  <c r="D40" i="6"/>
  <c r="N15" i="8"/>
  <c r="G47" i="8" s="1"/>
  <c r="M16" i="9"/>
  <c r="J46" i="6"/>
  <c r="M18" i="9"/>
  <c r="BM94" i="3"/>
  <c r="BM98" i="3" s="1"/>
  <c r="AD41" i="4"/>
  <c r="J107" i="6"/>
  <c r="BO75" i="3"/>
  <c r="AN13" i="32" s="1"/>
  <c r="BM88" i="3"/>
  <c r="BM473" i="3"/>
  <c r="BM470" i="3"/>
  <c r="BM497" i="3" s="1"/>
  <c r="BM580" i="3"/>
  <c r="BM499" i="3"/>
  <c r="BM450" i="3"/>
  <c r="BM160" i="3"/>
  <c r="BM475" i="3"/>
  <c r="BM500" i="3"/>
  <c r="BM471" i="3"/>
  <c r="BM498" i="3" s="1"/>
  <c r="AR355" i="3" l="1"/>
  <c r="AR357" i="3" s="1"/>
  <c r="AS103" i="3"/>
  <c r="BT103" i="3" s="1"/>
  <c r="BT95" i="3"/>
  <c r="M23" i="9"/>
  <c r="M34" i="9" s="1"/>
  <c r="D46" i="6"/>
  <c r="N21" i="8"/>
  <c r="AS354" i="3"/>
  <c r="BT354" i="3" s="1"/>
  <c r="BT97" i="3"/>
  <c r="AS156" i="3"/>
  <c r="M19" i="9"/>
  <c r="M21" i="9"/>
  <c r="BN93" i="3"/>
  <c r="BM91" i="3"/>
  <c r="BM101" i="3"/>
  <c r="AD490" i="4"/>
  <c r="AD71" i="4"/>
  <c r="AD66" i="4"/>
  <c r="BM520" i="3"/>
  <c r="AL29" i="32" s="1"/>
  <c r="BO533" i="3"/>
  <c r="BG41" i="4"/>
  <c r="AS464" i="3" l="1"/>
  <c r="BT464" i="3" s="1"/>
  <c r="AS353" i="3"/>
  <c r="BT353" i="3" s="1"/>
  <c r="BT355" i="3" s="1"/>
  <c r="U20" i="9"/>
  <c r="U22" i="9" s="1"/>
  <c r="U52" i="9" s="1"/>
  <c r="U54" i="9" s="1"/>
  <c r="M30" i="9"/>
  <c r="M37" i="9"/>
  <c r="M38" i="9" s="1"/>
  <c r="M25" i="9"/>
  <c r="M26" i="9" s="1"/>
  <c r="M27" i="9" s="1"/>
  <c r="BT41" i="3"/>
  <c r="BT43" i="3" s="1"/>
  <c r="BT372" i="3"/>
  <c r="U59" i="9" s="1"/>
  <c r="AB50" i="9" s="1"/>
  <c r="AS446" i="3"/>
  <c r="BT446" i="3" s="1"/>
  <c r="BT156" i="3"/>
  <c r="D107" i="6"/>
  <c r="AD516" i="4"/>
  <c r="AE449" i="3"/>
  <c r="BG66" i="4"/>
  <c r="BG71" i="4"/>
  <c r="BM459" i="3"/>
  <c r="AS356" i="3" l="1"/>
  <c r="BT356" i="3" s="1"/>
  <c r="AS355" i="3"/>
  <c r="BK367" i="3"/>
  <c r="AY367" i="3"/>
  <c r="AZ367" i="3"/>
  <c r="BF367" i="3"/>
  <c r="AU367" i="3"/>
  <c r="BH367" i="3"/>
  <c r="BM367" i="3"/>
  <c r="BN367" i="3"/>
  <c r="BR367" i="3"/>
  <c r="BB367" i="3"/>
  <c r="BO367" i="3"/>
  <c r="BL367" i="3"/>
  <c r="BC367" i="3"/>
  <c r="BE367" i="3"/>
  <c r="BQ367" i="3"/>
  <c r="F148" i="6" s="1"/>
  <c r="BD367" i="3"/>
  <c r="BG367" i="3"/>
  <c r="BP367" i="3"/>
  <c r="BI367" i="3"/>
  <c r="BA367" i="3"/>
  <c r="AX367" i="3"/>
  <c r="AW367" i="3"/>
  <c r="AV367" i="3"/>
  <c r="BJ367" i="3"/>
  <c r="BK368" i="3"/>
  <c r="AW368" i="3"/>
  <c r="AU368" i="3"/>
  <c r="BM368" i="3"/>
  <c r="AX368" i="3"/>
  <c r="BR368" i="3"/>
  <c r="G149" i="6" s="1"/>
  <c r="AY368" i="3"/>
  <c r="BA368" i="3"/>
  <c r="BJ368" i="3"/>
  <c r="BN368" i="3"/>
  <c r="C149" i="6" s="1"/>
  <c r="BL368" i="3"/>
  <c r="BS368" i="3"/>
  <c r="BQ368" i="3"/>
  <c r="AZ368" i="3"/>
  <c r="BS367" i="3"/>
  <c r="BH368" i="3"/>
  <c r="BB368" i="3"/>
  <c r="BF368" i="3"/>
  <c r="BC368" i="3"/>
  <c r="BI368" i="3"/>
  <c r="BT368" i="3"/>
  <c r="BT369" i="3" s="1"/>
  <c r="BD368" i="3"/>
  <c r="BG368" i="3"/>
  <c r="AV368" i="3"/>
  <c r="BO368" i="3"/>
  <c r="D149" i="6" s="1"/>
  <c r="BP368" i="3"/>
  <c r="E149" i="6" s="1"/>
  <c r="BE368" i="3"/>
  <c r="BT357" i="3"/>
  <c r="BM217" i="3"/>
  <c r="BM209" i="3" s="1"/>
  <c r="BM219" i="3" s="1"/>
  <c r="BM428" i="3"/>
  <c r="BM159" i="3"/>
  <c r="BM162" i="3" s="1"/>
  <c r="BM154" i="3" s="1"/>
  <c r="BM164" i="3" s="1"/>
  <c r="BM449" i="3"/>
  <c r="BM463" i="3"/>
  <c r="BM466" i="3"/>
  <c r="AS357" i="3" l="1"/>
  <c r="BM444" i="3"/>
  <c r="BM454" i="3"/>
  <c r="BA369" i="3"/>
  <c r="BB369" i="3"/>
  <c r="BC369" i="3"/>
  <c r="BI369" i="3"/>
  <c r="AX369" i="3"/>
  <c r="BK369" i="3"/>
  <c r="BM369" i="3"/>
  <c r="AV369" i="3"/>
  <c r="BG369" i="3"/>
  <c r="AZ369" i="3"/>
  <c r="BD369" i="3"/>
  <c r="BE369" i="3"/>
  <c r="BF369" i="3"/>
  <c r="AY369" i="3"/>
  <c r="E148" i="6"/>
  <c r="E150" i="6" s="1"/>
  <c r="E151" i="6" s="1"/>
  <c r="BP369" i="3"/>
  <c r="BS369" i="3"/>
  <c r="BJ369" i="3"/>
  <c r="AU369" i="3"/>
  <c r="G148" i="6"/>
  <c r="G150" i="6" s="1"/>
  <c r="G151" i="6" s="1"/>
  <c r="BR369" i="3"/>
  <c r="D148" i="6"/>
  <c r="D150" i="6" s="1"/>
  <c r="D151" i="6" s="1"/>
  <c r="BO369" i="3"/>
  <c r="AW369" i="3"/>
  <c r="C148" i="6"/>
  <c r="C150" i="6" s="1"/>
  <c r="BN369" i="3"/>
  <c r="BL369" i="3"/>
  <c r="BH369" i="3"/>
  <c r="BQ369" i="3"/>
  <c r="F149" i="6"/>
  <c r="F150" i="6" s="1"/>
  <c r="F151" i="6" s="1"/>
  <c r="BM134" i="3"/>
  <c r="BM467" i="3"/>
  <c r="BM522" i="3"/>
  <c r="AL30" i="32" s="1"/>
  <c r="BM272" i="3"/>
  <c r="BM264" i="3" s="1"/>
  <c r="BM274" i="3" s="1"/>
  <c r="BM189" i="3"/>
  <c r="BM482" i="3"/>
  <c r="BM506" i="3" s="1"/>
  <c r="BM279" i="3"/>
  <c r="BM456" i="3" l="1"/>
  <c r="BM282" i="3"/>
  <c r="BM304" i="3" s="1"/>
  <c r="BM49" i="3" s="1"/>
  <c r="N36" i="9" s="1"/>
  <c r="Q73" i="8"/>
  <c r="C151" i="6"/>
  <c r="H137" i="6" s="1"/>
  <c r="AE276" i="3"/>
  <c r="BM581" i="3"/>
  <c r="BM483" i="3"/>
  <c r="BM507" i="3" s="1"/>
  <c r="BM307" i="3"/>
  <c r="AE575" i="3" l="1"/>
  <c r="AE577" i="3" s="1"/>
  <c r="AD520" i="4"/>
  <c r="BG520" i="4" s="1"/>
  <c r="AE350" i="3"/>
  <c r="AE351" i="3" s="1"/>
  <c r="BM55" i="3"/>
  <c r="BM521" i="3" s="1"/>
  <c r="BM244" i="3"/>
  <c r="BM484" i="3"/>
  <c r="BM276" i="3"/>
  <c r="BM574" i="3"/>
  <c r="AE359" i="3" l="1"/>
  <c r="AE339" i="3"/>
  <c r="BM523" i="3"/>
  <c r="BM350" i="3"/>
  <c r="BM351" i="3" s="1"/>
  <c r="BM575" i="3"/>
  <c r="BM577" i="3" s="1"/>
  <c r="AE4" i="3" l="1"/>
  <c r="BM339" i="3"/>
  <c r="BM359" i="3"/>
  <c r="AM221" i="4" l="1"/>
  <c r="AN221" i="4" l="1"/>
  <c r="AO221" i="4" l="1"/>
  <c r="AP221" i="4" l="1"/>
  <c r="AQ221" i="4" s="1"/>
  <c r="AR221" i="4" s="1"/>
  <c r="AM144" i="4" l="1"/>
  <c r="BG490" i="4"/>
  <c r="BG415" i="4"/>
  <c r="AD519" i="4" s="1"/>
  <c r="AD369" i="4"/>
  <c r="BG344" i="4"/>
  <c r="BG516" i="4" l="1"/>
  <c r="BG369" i="4"/>
  <c r="AN144" i="4"/>
  <c r="BG441" i="4"/>
  <c r="AO144" i="4" l="1"/>
  <c r="AP144" i="4" l="1"/>
  <c r="AQ144" i="4" s="1"/>
  <c r="AR144" i="4" s="1"/>
  <c r="BH344" i="4"/>
  <c r="BH369" i="4" l="1"/>
  <c r="BH415" i="4"/>
  <c r="BH441" i="4" l="1"/>
  <c r="BI344" i="4"/>
  <c r="BI369" i="4" l="1"/>
  <c r="BI415" i="4"/>
  <c r="BI441" i="4" l="1"/>
  <c r="BG470" i="4" l="1"/>
  <c r="BG510" i="4" l="1"/>
  <c r="BM579" i="3" l="1"/>
  <c r="BP32" i="3" l="1"/>
  <c r="BQ32" i="3" s="1"/>
  <c r="BR32" i="3" s="1"/>
  <c r="BS32" i="3" s="1"/>
  <c r="BT32" i="3" s="1"/>
  <c r="BH232" i="4"/>
  <c r="BH281" i="4" l="1"/>
  <c r="BI232" i="4"/>
  <c r="BI281" i="4" s="1"/>
  <c r="BI383" i="4" l="1"/>
  <c r="BI428" i="4" l="1"/>
  <c r="AH63" i="3" l="1"/>
  <c r="AH68" i="3" l="1"/>
  <c r="S6" i="32" s="1"/>
  <c r="S10" i="32" s="1"/>
  <c r="I34" i="6"/>
  <c r="BO63" i="3"/>
  <c r="D6" i="33" s="1"/>
  <c r="D10" i="33" s="1"/>
  <c r="BI14" i="4"/>
  <c r="AF225" i="4"/>
  <c r="BH383" i="4"/>
  <c r="BO68" i="3" l="1"/>
  <c r="AN6" i="32" s="1"/>
  <c r="I39" i="6"/>
  <c r="I38" i="6" s="1"/>
  <c r="BH14" i="4"/>
  <c r="J34" i="6"/>
  <c r="BH428" i="4"/>
  <c r="BI54" i="4"/>
  <c r="BI20" i="4"/>
  <c r="AE225" i="4" l="1"/>
  <c r="AE7" i="4"/>
  <c r="BH20" i="4"/>
  <c r="BH54" i="4"/>
  <c r="BN63" i="3"/>
  <c r="C6" i="33" s="1"/>
  <c r="C10" i="33" s="1"/>
  <c r="C14" i="33" s="1"/>
  <c r="BH28" i="4" l="1"/>
  <c r="M9" i="8"/>
  <c r="C34" i="6"/>
  <c r="D34" i="6"/>
  <c r="N9" i="8"/>
  <c r="BN68" i="3"/>
  <c r="AM6" i="32" s="1"/>
  <c r="AM10" i="32" s="1"/>
  <c r="C39" i="6" l="1"/>
  <c r="C38" i="6" s="1"/>
  <c r="M14" i="8"/>
  <c r="M13" i="8" s="1"/>
  <c r="D39" i="6"/>
  <c r="D38" i="6" s="1"/>
  <c r="N14" i="8"/>
  <c r="N13" i="8" s="1"/>
  <c r="BN73" i="3"/>
  <c r="AN137" i="28" l="1"/>
  <c r="AN6" i="28" s="1"/>
  <c r="AN54" i="28" s="1"/>
  <c r="AN9" i="28"/>
  <c r="AN8" i="28"/>
  <c r="M19" i="8"/>
  <c r="F44" i="8" s="1"/>
  <c r="C44" i="6"/>
  <c r="C43" i="6" s="1"/>
  <c r="BN528" i="3"/>
  <c r="C104" i="6" s="1"/>
  <c r="BN527" i="3"/>
  <c r="C103" i="6" s="1"/>
  <c r="M18" i="8" l="1"/>
  <c r="AE41" i="4" l="1"/>
  <c r="AE71" i="4" s="1"/>
  <c r="AF91" i="3"/>
  <c r="AE66" i="4" l="1"/>
  <c r="AE490" i="4"/>
  <c r="AE516" i="4" l="1"/>
  <c r="AE519" i="4"/>
  <c r="AF276" i="3" l="1"/>
  <c r="AF575" i="3" l="1"/>
  <c r="AF577" i="3" s="1"/>
  <c r="AF55" i="3"/>
  <c r="AF521" i="3" l="1"/>
  <c r="AF523" i="3"/>
  <c r="AF484" i="3"/>
  <c r="AE520" i="4"/>
  <c r="AF350" i="3"/>
  <c r="AF351" i="3" s="1"/>
  <c r="AF359" i="3" l="1"/>
  <c r="AF339" i="3"/>
  <c r="AF4" i="3" l="1"/>
  <c r="BH29" i="4" l="1"/>
  <c r="AN166" i="28" l="1"/>
  <c r="AN104" i="28" s="1"/>
  <c r="AN106" i="28" s="1"/>
  <c r="BN74" i="3"/>
  <c r="C15" i="33" s="1"/>
  <c r="C16" i="33" s="1"/>
  <c r="AF7" i="4"/>
  <c r="BH65" i="4"/>
  <c r="BH32" i="4"/>
  <c r="BH61" i="4"/>
  <c r="BH62" i="4"/>
  <c r="AN107" i="28" l="1"/>
  <c r="AM12" i="32"/>
  <c r="AM15" i="32" s="1"/>
  <c r="M20" i="8"/>
  <c r="C45" i="6"/>
  <c r="BN547" i="3"/>
  <c r="BN529" i="3"/>
  <c r="BN530" i="3" s="1"/>
  <c r="BN546" i="3"/>
  <c r="BN531" i="3"/>
  <c r="BN77" i="3"/>
  <c r="BN534" i="3"/>
  <c r="BN535" i="3"/>
  <c r="C109" i="6" s="1"/>
  <c r="BN532" i="3"/>
  <c r="C106" i="6" s="1"/>
  <c r="BH33" i="4"/>
  <c r="BH67" i="4" s="1"/>
  <c r="BN549" i="3"/>
  <c r="BN548" i="3"/>
  <c r="BN550" i="3"/>
  <c r="AM23" i="32" l="1"/>
  <c r="K50" i="33"/>
  <c r="BH518" i="4"/>
  <c r="AM24" i="32"/>
  <c r="AM17" i="32"/>
  <c r="C48" i="6"/>
  <c r="M23" i="8"/>
  <c r="C105" i="6"/>
  <c r="F45" i="8"/>
  <c r="C108" i="6"/>
  <c r="BH36" i="4"/>
  <c r="BN78" i="3"/>
  <c r="C17" i="33" s="1"/>
  <c r="BH474" i="4"/>
  <c r="BN476" i="3"/>
  <c r="BN501" i="3" s="1"/>
  <c r="K51" i="33" l="1"/>
  <c r="C19" i="33"/>
  <c r="C21" i="33" s="1"/>
  <c r="AM18" i="32"/>
  <c r="BH7" i="4"/>
  <c r="M24" i="8"/>
  <c r="M27" i="8" s="1"/>
  <c r="M22" i="8"/>
  <c r="F46" i="8" s="1"/>
  <c r="C49" i="6"/>
  <c r="C52" i="6" s="1"/>
  <c r="BN32" i="3"/>
  <c r="BN81" i="3"/>
  <c r="BN37" i="3"/>
  <c r="F26" i="8" s="1"/>
  <c r="BN31" i="3"/>
  <c r="F48" i="8" s="1"/>
  <c r="BN30" i="3"/>
  <c r="AN176" i="28" l="1"/>
  <c r="AN12" i="28" s="1"/>
  <c r="AN15" i="28" s="1"/>
  <c r="AM20" i="32"/>
  <c r="C15" i="6"/>
  <c r="F21" i="8"/>
  <c r="F15" i="8"/>
  <c r="BN84" i="3"/>
  <c r="BN526" i="3"/>
  <c r="F56" i="8" s="1"/>
  <c r="BN472" i="3"/>
  <c r="BN524" i="3"/>
  <c r="F54" i="8" s="1"/>
  <c r="BN58" i="3"/>
  <c r="O18" i="9" s="1"/>
  <c r="O21" i="9" s="1"/>
  <c r="BN525" i="3"/>
  <c r="K48" i="33" s="1"/>
  <c r="BN536" i="3"/>
  <c r="K52" i="33" s="1"/>
  <c r="BN474" i="3"/>
  <c r="BN579" i="3"/>
  <c r="BN578" i="3"/>
  <c r="BN341" i="3"/>
  <c r="BN345" i="3" s="1"/>
  <c r="BN349" i="3" s="1"/>
  <c r="AM25" i="32" l="1"/>
  <c r="K32" i="33"/>
  <c r="AM26" i="32"/>
  <c r="K34" i="33"/>
  <c r="AN14" i="28"/>
  <c r="F66" i="8"/>
  <c r="AM28" i="32"/>
  <c r="F55" i="8"/>
  <c r="F17" i="8"/>
  <c r="M30" i="8"/>
  <c r="M28" i="8" s="1"/>
  <c r="F19" i="8"/>
  <c r="F34" i="8" s="1"/>
  <c r="C127" i="6"/>
  <c r="F67" i="8"/>
  <c r="O16" i="9"/>
  <c r="C126" i="6"/>
  <c r="N18" i="9"/>
  <c r="C101" i="6"/>
  <c r="N16" i="9"/>
  <c r="C55" i="6"/>
  <c r="C53" i="6" s="1"/>
  <c r="C16" i="6"/>
  <c r="C102" i="6"/>
  <c r="C110" i="6"/>
  <c r="C100" i="6"/>
  <c r="BN470" i="3"/>
  <c r="BN497" i="3" s="1"/>
  <c r="BN88" i="3"/>
  <c r="BN500" i="3"/>
  <c r="BN473" i="3"/>
  <c r="BN499" i="3"/>
  <c r="BN580" i="3"/>
  <c r="C128" i="6" s="1"/>
  <c r="BN471" i="3"/>
  <c r="BN498" i="3" s="1"/>
  <c r="BN475" i="3"/>
  <c r="BN94" i="3"/>
  <c r="BN98" i="3" s="1"/>
  <c r="K21" i="33" l="1"/>
  <c r="K38" i="33"/>
  <c r="O23" i="9"/>
  <c r="O37" i="9" s="1"/>
  <c r="N21" i="9"/>
  <c r="N19" i="9"/>
  <c r="O19" i="9"/>
  <c r="N23" i="9"/>
  <c r="N30" i="9" s="1"/>
  <c r="C18" i="6"/>
  <c r="C56" i="6"/>
  <c r="C17" i="6"/>
  <c r="C19" i="6"/>
  <c r="AF41" i="4"/>
  <c r="AF490" i="4" s="1"/>
  <c r="AG91" i="3"/>
  <c r="BN160" i="3"/>
  <c r="BN450" i="3"/>
  <c r="BO93" i="3"/>
  <c r="BN520" i="3"/>
  <c r="BN91" i="3"/>
  <c r="BN101" i="3"/>
  <c r="C38" i="33" s="1"/>
  <c r="AM29" i="32" l="1"/>
  <c r="K46" i="33"/>
  <c r="O34" i="9"/>
  <c r="F51" i="8"/>
  <c r="F53" i="8" s="1"/>
  <c r="F38" i="8"/>
  <c r="C98" i="6"/>
  <c r="AF516" i="4"/>
  <c r="N25" i="9"/>
  <c r="N26" i="9" s="1"/>
  <c r="N27" i="9" s="1"/>
  <c r="N34" i="9"/>
  <c r="N37" i="9"/>
  <c r="N38" i="9" s="1"/>
  <c r="O30" i="9"/>
  <c r="O25" i="9"/>
  <c r="O26" i="9" s="1"/>
  <c r="AF66" i="4"/>
  <c r="AF71" i="4"/>
  <c r="AF519" i="4"/>
  <c r="BH41" i="4"/>
  <c r="O27" i="9" l="1"/>
  <c r="BH71" i="4"/>
  <c r="BH66" i="4"/>
  <c r="BH490" i="4"/>
  <c r="BN459" i="3"/>
  <c r="BN272" i="3" l="1"/>
  <c r="BN264" i="3" s="1"/>
  <c r="BN274" i="3" s="1"/>
  <c r="BH516" i="4"/>
  <c r="BN159" i="3"/>
  <c r="BN162" i="3" s="1"/>
  <c r="BN154" i="3" s="1"/>
  <c r="BN164" i="3" s="1"/>
  <c r="BN449" i="3"/>
  <c r="BN466" i="3"/>
  <c r="K40" i="33" s="1"/>
  <c r="K22" i="33" s="1"/>
  <c r="BN463" i="3"/>
  <c r="BN217" i="3"/>
  <c r="BN209" i="3" s="1"/>
  <c r="BN219" i="3" s="1"/>
  <c r="BN428" i="3"/>
  <c r="BN454" i="3" l="1"/>
  <c r="BN444" i="3"/>
  <c r="F29" i="8"/>
  <c r="F36" i="8" s="1"/>
  <c r="M43" i="8"/>
  <c r="C79" i="6"/>
  <c r="M42" i="8"/>
  <c r="C80" i="6"/>
  <c r="C23" i="6"/>
  <c r="BN189" i="3"/>
  <c r="BN522" i="3"/>
  <c r="BN467" i="3"/>
  <c r="K41" i="33" s="1"/>
  <c r="K23" i="33" s="1"/>
  <c r="BN134" i="3"/>
  <c r="BN307" i="3"/>
  <c r="C44" i="33" s="1"/>
  <c r="C46" i="33" s="1"/>
  <c r="BN279" i="3"/>
  <c r="BN482" i="3"/>
  <c r="BN506" i="3" s="1"/>
  <c r="AM30" i="32" l="1"/>
  <c r="K47" i="33"/>
  <c r="BN456" i="3"/>
  <c r="BN282" i="3"/>
  <c r="BN304" i="3" s="1"/>
  <c r="C88" i="6"/>
  <c r="C90" i="6" s="1"/>
  <c r="M51" i="8"/>
  <c r="M53" i="8" s="1"/>
  <c r="C81" i="6"/>
  <c r="F28" i="8"/>
  <c r="F35" i="8" s="1"/>
  <c r="M44" i="8"/>
  <c r="F52" i="8"/>
  <c r="F39" i="8"/>
  <c r="C99" i="6"/>
  <c r="AG276" i="3"/>
  <c r="AG55" i="3"/>
  <c r="BN244" i="3"/>
  <c r="BN483" i="3"/>
  <c r="BN507" i="3" s="1"/>
  <c r="BN581" i="3"/>
  <c r="C129" i="6" s="1"/>
  <c r="BN49" i="3" l="1"/>
  <c r="O36" i="9" s="1"/>
  <c r="O38" i="9" s="1"/>
  <c r="C41" i="33"/>
  <c r="C43" i="33" s="1"/>
  <c r="C47" i="33" s="1"/>
  <c r="C85" i="6"/>
  <c r="C87" i="6" s="1"/>
  <c r="C91" i="6" s="1"/>
  <c r="M48" i="8"/>
  <c r="M50" i="8" s="1"/>
  <c r="M54" i="8" s="1"/>
  <c r="BN55" i="3"/>
  <c r="BN521" i="3" s="1"/>
  <c r="BN276" i="3"/>
  <c r="C123" i="6" s="1"/>
  <c r="AG575" i="3"/>
  <c r="AG577" i="3" s="1"/>
  <c r="I125" i="6" s="1"/>
  <c r="I123" i="6"/>
  <c r="AF520" i="4"/>
  <c r="BH520" i="4" s="1"/>
  <c r="AG520" i="4"/>
  <c r="AG350" i="3"/>
  <c r="AG351" i="3" s="1"/>
  <c r="AG339" i="3" s="1"/>
  <c r="AG521" i="3"/>
  <c r="AG484" i="3"/>
  <c r="BN484" i="3" s="1"/>
  <c r="AG523" i="3"/>
  <c r="BN574" i="3"/>
  <c r="K54" i="33" s="1"/>
  <c r="BN523" i="3" l="1"/>
  <c r="F65" i="8"/>
  <c r="F49" i="8"/>
  <c r="BN575" i="3"/>
  <c r="BN577" i="3" s="1"/>
  <c r="C125" i="6" s="1"/>
  <c r="C122" i="6"/>
  <c r="AG359" i="3"/>
  <c r="BN350" i="3"/>
  <c r="BN351" i="3" s="1"/>
  <c r="BN339" i="3" l="1"/>
  <c r="BN359" i="3"/>
  <c r="AG4" i="3"/>
  <c r="BH470" i="4" l="1"/>
  <c r="BH510" i="4" l="1"/>
  <c r="AL561" i="3" l="1"/>
  <c r="AL562" i="3" l="1"/>
  <c r="AN561" i="3"/>
  <c r="AL563" i="3"/>
  <c r="AM561" i="3"/>
  <c r="BQ561" i="3" s="1"/>
  <c r="BQ563" i="3" s="1"/>
  <c r="BQ22" i="3" l="1"/>
  <c r="AL564" i="3"/>
  <c r="AL26" i="3" s="1"/>
  <c r="AK23" i="4"/>
  <c r="AN562" i="3"/>
  <c r="AN563" i="3"/>
  <c r="AM562" i="3"/>
  <c r="AM563" i="3"/>
  <c r="AO561" i="3"/>
  <c r="BR561" i="3" s="1"/>
  <c r="BR563" i="3" s="1"/>
  <c r="BR22" i="3" s="1"/>
  <c r="W8" i="32" l="1"/>
  <c r="J58" i="8"/>
  <c r="G112" i="6"/>
  <c r="AL71" i="3"/>
  <c r="AK59" i="4"/>
  <c r="AP561" i="3"/>
  <c r="F112" i="6"/>
  <c r="AM23" i="4"/>
  <c r="AN564" i="3"/>
  <c r="AN26" i="3" s="1"/>
  <c r="AO563" i="3"/>
  <c r="AO562" i="3"/>
  <c r="AM564" i="3"/>
  <c r="AM26" i="3" s="1"/>
  <c r="AL23" i="4"/>
  <c r="BQ562" i="3"/>
  <c r="BQ564" i="3" s="1"/>
  <c r="Y8" i="32" l="1"/>
  <c r="X8" i="32"/>
  <c r="AQ561" i="3"/>
  <c r="AQ563" i="3" s="1"/>
  <c r="AM71" i="3"/>
  <c r="AL59" i="4"/>
  <c r="AN71" i="3"/>
  <c r="AM59" i="4"/>
  <c r="BK23" i="4"/>
  <c r="BQ26" i="3"/>
  <c r="AN23" i="4"/>
  <c r="AO564" i="3"/>
  <c r="AO26" i="3" s="1"/>
  <c r="AP563" i="3"/>
  <c r="AP562" i="3"/>
  <c r="F113" i="6"/>
  <c r="BR562" i="3"/>
  <c r="BR564" i="3" s="1"/>
  <c r="BR26" i="3" s="1"/>
  <c r="AP8" i="32" l="1"/>
  <c r="Z8" i="32"/>
  <c r="AQ562" i="3"/>
  <c r="BS562" i="3" s="1"/>
  <c r="BS564" i="3" s="1"/>
  <c r="BS26" i="3" s="1"/>
  <c r="BS561" i="3"/>
  <c r="BS563" i="3" s="1"/>
  <c r="BS22" i="3" s="1"/>
  <c r="J59" i="8"/>
  <c r="AS561" i="3"/>
  <c r="AR561" i="3"/>
  <c r="BQ71" i="3"/>
  <c r="G113" i="6"/>
  <c r="AO71" i="3"/>
  <c r="AN59" i="4"/>
  <c r="BK59" i="4"/>
  <c r="AO23" i="4"/>
  <c r="AP564" i="3"/>
  <c r="AP26" i="3" s="1"/>
  <c r="BL23" i="4"/>
  <c r="F12" i="33" l="1"/>
  <c r="AQ8" i="32"/>
  <c r="AA8" i="32"/>
  <c r="AP23" i="4"/>
  <c r="AQ564" i="3"/>
  <c r="AQ26" i="3" s="1"/>
  <c r="BT561" i="3"/>
  <c r="BT563" i="3" s="1"/>
  <c r="BT22" i="3" s="1"/>
  <c r="AR563" i="3"/>
  <c r="AR562" i="3"/>
  <c r="AS563" i="3"/>
  <c r="AS562" i="3"/>
  <c r="F42" i="6"/>
  <c r="AP71" i="3"/>
  <c r="AO59" i="4"/>
  <c r="BR71" i="3"/>
  <c r="BL59" i="4"/>
  <c r="G12" i="33" l="1"/>
  <c r="AB8" i="32"/>
  <c r="Q17" i="8"/>
  <c r="BM23" i="4"/>
  <c r="AQ71" i="3"/>
  <c r="AP59" i="4"/>
  <c r="BT562" i="3"/>
  <c r="AR23" i="4"/>
  <c r="AS564" i="3"/>
  <c r="AS26" i="3" s="1"/>
  <c r="AR564" i="3"/>
  <c r="AR26" i="3" s="1"/>
  <c r="AQ23" i="4"/>
  <c r="G42" i="6"/>
  <c r="AD8" i="32" l="1"/>
  <c r="AC8" i="32"/>
  <c r="AR8" i="32"/>
  <c r="BM59" i="4"/>
  <c r="BS71" i="3"/>
  <c r="BT564" i="3"/>
  <c r="BT26" i="3" s="1"/>
  <c r="BN23" i="4"/>
  <c r="AR71" i="3"/>
  <c r="AQ59" i="4"/>
  <c r="AR59" i="4"/>
  <c r="AS71" i="3"/>
  <c r="AS8" i="32" l="1"/>
  <c r="BN59" i="4"/>
  <c r="BT71" i="3"/>
  <c r="BT579" i="3" l="1"/>
  <c r="BI321" i="4" l="1"/>
  <c r="AO160" i="28" s="1"/>
  <c r="AO92" i="28" s="1"/>
  <c r="AH74" i="3"/>
  <c r="S12" i="32" l="1"/>
  <c r="S15" i="32" s="1"/>
  <c r="AO95" i="28"/>
  <c r="AO94" i="28"/>
  <c r="BI362" i="4"/>
  <c r="BI326" i="4"/>
  <c r="I45" i="6"/>
  <c r="AH532" i="3"/>
  <c r="AH78" i="3"/>
  <c r="S18" i="32" l="1"/>
  <c r="BI370" i="4"/>
  <c r="BI365" i="4"/>
  <c r="BI368" i="4"/>
  <c r="BI330" i="4"/>
  <c r="BI332" i="4" s="1"/>
  <c r="D27" i="33" s="1"/>
  <c r="I49" i="6"/>
  <c r="I106" i="6"/>
  <c r="AH71" i="3"/>
  <c r="AH73" i="3" l="1"/>
  <c r="G74" i="8"/>
  <c r="D67" i="6"/>
  <c r="BI305" i="4"/>
  <c r="I42" i="6"/>
  <c r="AH562" i="3"/>
  <c r="T137" i="28" l="1"/>
  <c r="T6" i="28" s="1"/>
  <c r="T9" i="28" s="1"/>
  <c r="AI535" i="3"/>
  <c r="I44" i="6"/>
  <c r="I43" i="6" s="1"/>
  <c r="AH564" i="3"/>
  <c r="I113" i="6" s="1"/>
  <c r="AH561" i="3"/>
  <c r="AH527" i="3"/>
  <c r="I103" i="6" s="1"/>
  <c r="AH535" i="3"/>
  <c r="AH528" i="3"/>
  <c r="AH531" i="3"/>
  <c r="AH530" i="3"/>
  <c r="I105" i="6" s="1"/>
  <c r="AH534" i="3"/>
  <c r="S23" i="32" s="1"/>
  <c r="AH77" i="3"/>
  <c r="S17" i="32" s="1"/>
  <c r="T8" i="28" l="1"/>
  <c r="I109" i="6"/>
  <c r="I48" i="6"/>
  <c r="I52" i="6" s="1"/>
  <c r="I108" i="6"/>
  <c r="I104" i="6"/>
  <c r="AH563" i="3"/>
  <c r="I112" i="6" s="1"/>
  <c r="AH26" i="3"/>
  <c r="AH30" i="3"/>
  <c r="AH31" i="3"/>
  <c r="AH81" i="3"/>
  <c r="T176" i="28" l="1"/>
  <c r="T12" i="28" s="1"/>
  <c r="T15" i="28" s="1"/>
  <c r="S20" i="32"/>
  <c r="I15" i="6"/>
  <c r="AH22" i="3"/>
  <c r="AH58" i="3"/>
  <c r="AH536" i="3"/>
  <c r="AH525" i="3"/>
  <c r="AH37" i="3"/>
  <c r="AH578" i="3" s="1"/>
  <c r="AH524" i="3"/>
  <c r="AH526" i="3"/>
  <c r="AH341" i="3"/>
  <c r="AH84" i="3"/>
  <c r="S28" i="32" l="1"/>
  <c r="T14" i="28"/>
  <c r="AH86" i="3"/>
  <c r="I126" i="6"/>
  <c r="I101" i="6"/>
  <c r="I110" i="6"/>
  <c r="I100" i="6"/>
  <c r="I102" i="6"/>
  <c r="AH474" i="3" l="1"/>
  <c r="AH481" i="3"/>
  <c r="AH505" i="3" s="1"/>
  <c r="AH480" i="3"/>
  <c r="AH476" i="3"/>
  <c r="AH501" i="3" s="1"/>
  <c r="AH472" i="3"/>
  <c r="AH343" i="3"/>
  <c r="AK561" i="3"/>
  <c r="BO561" i="3"/>
  <c r="BO563" i="3" s="1"/>
  <c r="G58" i="8" s="1"/>
  <c r="AH88" i="3"/>
  <c r="AH94" i="3" s="1"/>
  <c r="AH98" i="3" s="1"/>
  <c r="S26" i="32" l="1"/>
  <c r="AH520" i="3"/>
  <c r="AI473" i="3"/>
  <c r="S25" i="32"/>
  <c r="AI475" i="3"/>
  <c r="AI93" i="3"/>
  <c r="AI86" i="3" s="1"/>
  <c r="I16" i="6"/>
  <c r="I55" i="6"/>
  <c r="I53" i="6" s="1"/>
  <c r="J112" i="6"/>
  <c r="AG41" i="4"/>
  <c r="AH91" i="3"/>
  <c r="AH101" i="3"/>
  <c r="AH521" i="3"/>
  <c r="AH345" i="3"/>
  <c r="AH349" i="3" s="1"/>
  <c r="D112" i="6"/>
  <c r="BO22" i="3"/>
  <c r="AH475" i="3"/>
  <c r="AH471" i="3"/>
  <c r="AH498" i="3" s="1"/>
  <c r="AH500" i="3"/>
  <c r="BP561" i="3"/>
  <c r="BP563" i="3" s="1"/>
  <c r="H58" i="8" s="1"/>
  <c r="AH504" i="3"/>
  <c r="AH580" i="3"/>
  <c r="I128" i="6" s="1"/>
  <c r="J113" i="6"/>
  <c r="BO562" i="3"/>
  <c r="BO564" i="3" s="1"/>
  <c r="G59" i="8" s="1"/>
  <c r="AH473" i="3"/>
  <c r="AH470" i="3"/>
  <c r="AH497" i="3" s="1"/>
  <c r="AH499" i="3"/>
  <c r="AK563" i="3"/>
  <c r="AK562" i="3"/>
  <c r="AK564" i="3" s="1"/>
  <c r="S29" i="32" l="1"/>
  <c r="AI343" i="3"/>
  <c r="AI88" i="3"/>
  <c r="AI94" i="3" s="1"/>
  <c r="AI98" i="3" s="1"/>
  <c r="BO86" i="3"/>
  <c r="I18" i="6"/>
  <c r="I56" i="6"/>
  <c r="L112" i="6"/>
  <c r="I17" i="6"/>
  <c r="I19" i="6"/>
  <c r="J54" i="6"/>
  <c r="J24" i="6"/>
  <c r="K112" i="6"/>
  <c r="E112" i="6"/>
  <c r="I58" i="8"/>
  <c r="BP22" i="3"/>
  <c r="AH459" i="3"/>
  <c r="AH162" i="3"/>
  <c r="AH454" i="3"/>
  <c r="AH350" i="3"/>
  <c r="AH351" i="3" s="1"/>
  <c r="AK104" i="3"/>
  <c r="BP104" i="3" s="1"/>
  <c r="BO481" i="3"/>
  <c r="BO505" i="3" s="1"/>
  <c r="BO480" i="3"/>
  <c r="AK26" i="3"/>
  <c r="AJ23" i="4"/>
  <c r="BI23" i="4"/>
  <c r="BO26" i="3"/>
  <c r="D113" i="6"/>
  <c r="BP562" i="3"/>
  <c r="BP564" i="3" s="1"/>
  <c r="H59" i="8" s="1"/>
  <c r="K113" i="6"/>
  <c r="AG66" i="4"/>
  <c r="AG490" i="4"/>
  <c r="AG71" i="4"/>
  <c r="AJ93" i="3" l="1"/>
  <c r="AN8" i="32"/>
  <c r="AN10" i="32" s="1"/>
  <c r="V8" i="32"/>
  <c r="BI28" i="4"/>
  <c r="AG519" i="4"/>
  <c r="AI101" i="3"/>
  <c r="AI91" i="3"/>
  <c r="AI520" i="3"/>
  <c r="AI521" i="3"/>
  <c r="AI345" i="3"/>
  <c r="AI349" i="3" s="1"/>
  <c r="BO343" i="3"/>
  <c r="J42" i="6"/>
  <c r="D54" i="6"/>
  <c r="D24" i="6"/>
  <c r="BI91" i="4"/>
  <c r="BI59" i="4"/>
  <c r="BP481" i="3"/>
  <c r="BP505" i="3" s="1"/>
  <c r="BP480" i="3"/>
  <c r="E113" i="6"/>
  <c r="BP26" i="3"/>
  <c r="I59" i="8"/>
  <c r="AH466" i="3"/>
  <c r="AH463" i="3"/>
  <c r="AG516" i="4"/>
  <c r="AJ59" i="4"/>
  <c r="AK71" i="3"/>
  <c r="AK105" i="3"/>
  <c r="BP105" i="3" s="1"/>
  <c r="AK480" i="3"/>
  <c r="AK481" i="3"/>
  <c r="AK505" i="3" s="1"/>
  <c r="AL104" i="3"/>
  <c r="AH359" i="3"/>
  <c r="AH339" i="3"/>
  <c r="BI245" i="4"/>
  <c r="AO154" i="28" s="1"/>
  <c r="AO70" i="28" s="1"/>
  <c r="V154" i="28"/>
  <c r="V70" i="28" s="1"/>
  <c r="BJ23" i="4"/>
  <c r="AH444" i="3"/>
  <c r="BO71" i="3"/>
  <c r="L113" i="6"/>
  <c r="BI169" i="4"/>
  <c r="AO148" i="28" s="1"/>
  <c r="BO504" i="3"/>
  <c r="AH272" i="3"/>
  <c r="AH154" i="3"/>
  <c r="AH160" i="3"/>
  <c r="D12" i="33" l="1"/>
  <c r="D14" i="33" s="1"/>
  <c r="AO8" i="32"/>
  <c r="I98" i="6"/>
  <c r="T29" i="32"/>
  <c r="K24" i="6"/>
  <c r="K54" i="6"/>
  <c r="AO73" i="28"/>
  <c r="AO72" i="28"/>
  <c r="V73" i="28"/>
  <c r="V72" i="28"/>
  <c r="O29" i="8"/>
  <c r="K42" i="6"/>
  <c r="N17" i="8"/>
  <c r="BI96" i="4"/>
  <c r="BI150" i="4"/>
  <c r="BI151" i="4" s="1"/>
  <c r="H31" i="8"/>
  <c r="AI454" i="3"/>
  <c r="AI162" i="3"/>
  <c r="AI459" i="3"/>
  <c r="AI350" i="3"/>
  <c r="AI351" i="3" s="1"/>
  <c r="AH456" i="3"/>
  <c r="AH424" i="3"/>
  <c r="AI362" i="4"/>
  <c r="AI392" i="4"/>
  <c r="AH482" i="3"/>
  <c r="AH506" i="3" s="1"/>
  <c r="AH484" i="3"/>
  <c r="AH467" i="3"/>
  <c r="AH522" i="3"/>
  <c r="S30" i="32" s="1"/>
  <c r="AH523" i="3"/>
  <c r="BJ59" i="4"/>
  <c r="BI290" i="4"/>
  <c r="AL480" i="3"/>
  <c r="AL105" i="3"/>
  <c r="L24" i="6" s="1"/>
  <c r="AL481" i="3"/>
  <c r="AL505" i="3" s="1"/>
  <c r="AM104" i="3"/>
  <c r="BQ104" i="3" s="1"/>
  <c r="E24" i="6"/>
  <c r="E54" i="6"/>
  <c r="L42" i="6"/>
  <c r="BP71" i="3"/>
  <c r="W154" i="28"/>
  <c r="W70" i="28" s="1"/>
  <c r="D42" i="6"/>
  <c r="BO73" i="3"/>
  <c r="AH450" i="3"/>
  <c r="AK504" i="3"/>
  <c r="BP504" i="3"/>
  <c r="AI210" i="4"/>
  <c r="W148" i="28"/>
  <c r="BI392" i="4"/>
  <c r="BI210" i="4"/>
  <c r="AH164" i="3"/>
  <c r="AH143" i="3"/>
  <c r="BI464" i="4"/>
  <c r="BI133" i="4"/>
  <c r="E12" i="33" l="1"/>
  <c r="AO137" i="28"/>
  <c r="AO6" i="28" s="1"/>
  <c r="AO54" i="28" s="1"/>
  <c r="AI444" i="3"/>
  <c r="AI456" i="3" s="1"/>
  <c r="I79" i="6"/>
  <c r="L54" i="6"/>
  <c r="W73" i="28"/>
  <c r="W72" i="28"/>
  <c r="O17" i="8"/>
  <c r="AI508" i="4"/>
  <c r="N19" i="8"/>
  <c r="N18" i="8" s="1"/>
  <c r="BJ91" i="4"/>
  <c r="AI339" i="3"/>
  <c r="AI359" i="3"/>
  <c r="AI463" i="3"/>
  <c r="AI466" i="3"/>
  <c r="AI272" i="3"/>
  <c r="AI154" i="3"/>
  <c r="AI160" i="3"/>
  <c r="AJ290" i="4"/>
  <c r="AK245" i="4"/>
  <c r="X154" i="28" s="1"/>
  <c r="X70" i="28" s="1"/>
  <c r="AL504" i="3"/>
  <c r="BQ481" i="3"/>
  <c r="BQ505" i="3" s="1"/>
  <c r="BQ480" i="3"/>
  <c r="AH581" i="3"/>
  <c r="AH253" i="3"/>
  <c r="AH264" i="3" s="1"/>
  <c r="AH274" i="3" s="1"/>
  <c r="AH4" i="3" s="1"/>
  <c r="D44" i="6"/>
  <c r="D43" i="6" s="1"/>
  <c r="BO527" i="3"/>
  <c r="D103" i="6" s="1"/>
  <c r="BO528" i="3"/>
  <c r="D104" i="6" s="1"/>
  <c r="AH483" i="3"/>
  <c r="AH507" i="3" s="1"/>
  <c r="AJ362" i="4"/>
  <c r="AJ392" i="4"/>
  <c r="P17" i="8"/>
  <c r="E42" i="6"/>
  <c r="AJ210" i="4"/>
  <c r="AK169" i="4"/>
  <c r="X148" i="28" s="1"/>
  <c r="BJ245" i="4"/>
  <c r="AP154" i="28" s="1"/>
  <c r="AP70" i="28" s="1"/>
  <c r="AM105" i="3"/>
  <c r="BQ105" i="3" s="1"/>
  <c r="AM480" i="3"/>
  <c r="AM481" i="3"/>
  <c r="AM505" i="3" s="1"/>
  <c r="AN104" i="3"/>
  <c r="AI433" i="4"/>
  <c r="BI433" i="4"/>
  <c r="BI508" i="4"/>
  <c r="BI136" i="4"/>
  <c r="BI140" i="4"/>
  <c r="BI100" i="4"/>
  <c r="BI102" i="4" s="1"/>
  <c r="D24" i="33" s="1"/>
  <c r="BJ169" i="4"/>
  <c r="AP148" i="28" s="1"/>
  <c r="AJ133" i="4"/>
  <c r="AK91" i="4"/>
  <c r="AJ464" i="4"/>
  <c r="BJ321" i="4"/>
  <c r="AO9" i="28" l="1"/>
  <c r="AI424" i="3"/>
  <c r="BO424" i="3" s="1"/>
  <c r="AO8" i="28"/>
  <c r="AI482" i="3"/>
  <c r="AI506" i="3" s="1"/>
  <c r="I80" i="6"/>
  <c r="I23" i="6"/>
  <c r="AI450" i="3"/>
  <c r="X73" i="28"/>
  <c r="X72" i="28"/>
  <c r="AP73" i="28"/>
  <c r="AP72" i="28"/>
  <c r="AP160" i="28"/>
  <c r="AP92" i="28" s="1"/>
  <c r="G70" i="8"/>
  <c r="BJ133" i="4"/>
  <c r="G44" i="8"/>
  <c r="BJ392" i="4"/>
  <c r="BJ433" i="4" s="1"/>
  <c r="I31" i="8"/>
  <c r="P29" i="8"/>
  <c r="AI143" i="3"/>
  <c r="AI164" i="3"/>
  <c r="AI467" i="3"/>
  <c r="AI484" i="3"/>
  <c r="AI522" i="3"/>
  <c r="T30" i="32" s="1"/>
  <c r="AI523" i="3"/>
  <c r="J63" i="6"/>
  <c r="F54" i="6"/>
  <c r="F24" i="6"/>
  <c r="AM504" i="3"/>
  <c r="AK362" i="4"/>
  <c r="AK392" i="4"/>
  <c r="AL321" i="4"/>
  <c r="Y160" i="28" s="1"/>
  <c r="Y92" i="28" s="1"/>
  <c r="BQ504" i="3"/>
  <c r="BJ362" i="4"/>
  <c r="AN480" i="3"/>
  <c r="AN105" i="3"/>
  <c r="AN481" i="3"/>
  <c r="AN505" i="3" s="1"/>
  <c r="AO104" i="3"/>
  <c r="BR104" i="3" s="1"/>
  <c r="BJ210" i="4"/>
  <c r="BI75" i="4"/>
  <c r="D63" i="6"/>
  <c r="AK210" i="4"/>
  <c r="AL169" i="4"/>
  <c r="Y148" i="28" s="1"/>
  <c r="AJ508" i="4"/>
  <c r="BJ464" i="4"/>
  <c r="BJ290" i="4"/>
  <c r="AJ433" i="4"/>
  <c r="AK133" i="4"/>
  <c r="AK464" i="4"/>
  <c r="AL91" i="4"/>
  <c r="AK290" i="4"/>
  <c r="AL245" i="4"/>
  <c r="Y154" i="28" s="1"/>
  <c r="Y70" i="28" s="1"/>
  <c r="AI483" i="3" l="1"/>
  <c r="AI507" i="3" s="1"/>
  <c r="I81" i="6"/>
  <c r="AI581" i="3"/>
  <c r="I129" i="6" s="1"/>
  <c r="I99" i="6"/>
  <c r="AI253" i="3"/>
  <c r="AI264" i="3" s="1"/>
  <c r="AI274" i="3" s="1"/>
  <c r="Y73" i="28"/>
  <c r="Y72" i="28"/>
  <c r="AP95" i="28"/>
  <c r="AP94" i="28"/>
  <c r="Y95" i="28"/>
  <c r="Y94" i="28"/>
  <c r="BK321" i="4"/>
  <c r="AQ160" i="28" s="1"/>
  <c r="AQ92" i="28" s="1"/>
  <c r="BK169" i="4"/>
  <c r="AQ148" i="28" s="1"/>
  <c r="BK245" i="4"/>
  <c r="BO143" i="3"/>
  <c r="AL210" i="4"/>
  <c r="AM169" i="4"/>
  <c r="Z148" i="28" s="1"/>
  <c r="AL133" i="4"/>
  <c r="AL464" i="4"/>
  <c r="AM91" i="4"/>
  <c r="AO105" i="3"/>
  <c r="BR105" i="3" s="1"/>
  <c r="AO481" i="3"/>
  <c r="AO505" i="3" s="1"/>
  <c r="AP104" i="3"/>
  <c r="AO480" i="3"/>
  <c r="AN504" i="3"/>
  <c r="AL392" i="4"/>
  <c r="AL362" i="4"/>
  <c r="AM321" i="4"/>
  <c r="AL290" i="4"/>
  <c r="AM245" i="4"/>
  <c r="Z154" i="28" s="1"/>
  <c r="Z70" i="28" s="1"/>
  <c r="BJ508" i="4"/>
  <c r="AK508" i="4"/>
  <c r="AK433" i="4"/>
  <c r="BK91" i="4"/>
  <c r="BR480" i="3"/>
  <c r="BR481" i="3"/>
  <c r="BR505" i="3" s="1"/>
  <c r="BO253" i="3" l="1"/>
  <c r="AQ95" i="28"/>
  <c r="AQ94" i="28"/>
  <c r="Z73" i="28"/>
  <c r="Z72" i="28"/>
  <c r="Z160" i="28"/>
  <c r="Z92" i="28" s="1"/>
  <c r="BK290" i="4"/>
  <c r="AQ154" i="28"/>
  <c r="AQ70" i="28" s="1"/>
  <c r="BK362" i="4"/>
  <c r="BK210" i="4"/>
  <c r="BK464" i="4"/>
  <c r="BK392" i="4"/>
  <c r="Q29" i="8"/>
  <c r="J31" i="8"/>
  <c r="G54" i="6"/>
  <c r="G24" i="6"/>
  <c r="AM362" i="4"/>
  <c r="AM392" i="4"/>
  <c r="AN321" i="4"/>
  <c r="AA160" i="28" s="1"/>
  <c r="AA92" i="28" s="1"/>
  <c r="AO504" i="3"/>
  <c r="AM133" i="4"/>
  <c r="AN91" i="4"/>
  <c r="AM464" i="4"/>
  <c r="AM210" i="4"/>
  <c r="AN169" i="4"/>
  <c r="AA148" i="28" s="1"/>
  <c r="BI470" i="4"/>
  <c r="AM290" i="4"/>
  <c r="AN245" i="4"/>
  <c r="AA154" i="28" s="1"/>
  <c r="AA70" i="28" s="1"/>
  <c r="AP105" i="3"/>
  <c r="AP481" i="3"/>
  <c r="AP505" i="3" s="1"/>
  <c r="AP480" i="3"/>
  <c r="AQ104" i="3"/>
  <c r="BS104" i="3" s="1"/>
  <c r="AL508" i="4"/>
  <c r="BR504" i="3"/>
  <c r="AL433" i="4"/>
  <c r="BK133" i="4"/>
  <c r="AA73" i="28" l="1"/>
  <c r="AA72" i="28"/>
  <c r="AQ73" i="28"/>
  <c r="AQ72" i="28"/>
  <c r="Z95" i="28"/>
  <c r="Z94" i="28"/>
  <c r="AA95" i="28"/>
  <c r="AA94" i="28"/>
  <c r="BK508" i="4"/>
  <c r="BK433" i="4"/>
  <c r="BL321" i="4"/>
  <c r="AR160" i="28" s="1"/>
  <c r="AR92" i="28" s="1"/>
  <c r="BS481" i="3"/>
  <c r="BS505" i="3" s="1"/>
  <c r="BS480" i="3"/>
  <c r="AN133" i="4"/>
  <c r="AN464" i="4"/>
  <c r="AO91" i="4"/>
  <c r="AQ481" i="3"/>
  <c r="AQ505" i="3" s="1"/>
  <c r="AR104" i="3"/>
  <c r="AQ480" i="3"/>
  <c r="AQ105" i="3"/>
  <c r="BS105" i="3" s="1"/>
  <c r="AN210" i="4"/>
  <c r="AO169" i="4"/>
  <c r="AB148" i="28" s="1"/>
  <c r="AM433" i="4"/>
  <c r="AP504" i="3"/>
  <c r="AN290" i="4"/>
  <c r="AO245" i="4"/>
  <c r="AB154" i="28" s="1"/>
  <c r="AB70" i="28" s="1"/>
  <c r="BI510" i="4"/>
  <c r="BL169" i="4"/>
  <c r="AR148" i="28" s="1"/>
  <c r="BL91" i="4"/>
  <c r="AN362" i="4"/>
  <c r="AN392" i="4"/>
  <c r="AO321" i="4"/>
  <c r="BL245" i="4"/>
  <c r="AR154" i="28" s="1"/>
  <c r="AR70" i="28" s="1"/>
  <c r="BI29" i="4"/>
  <c r="AM508" i="4"/>
  <c r="AO166" i="28" l="1"/>
  <c r="AO104" i="28" s="1"/>
  <c r="AO106" i="28" s="1"/>
  <c r="AR95" i="28"/>
  <c r="AR94" i="28"/>
  <c r="AR73" i="28"/>
  <c r="AR72" i="28"/>
  <c r="AB72" i="28"/>
  <c r="AB73" i="28"/>
  <c r="AB160" i="28"/>
  <c r="AB92" i="28" s="1"/>
  <c r="BL362" i="4"/>
  <c r="BL464" i="4"/>
  <c r="J45" i="6"/>
  <c r="AN433" i="4"/>
  <c r="AO133" i="4"/>
  <c r="AO464" i="4"/>
  <c r="AP91" i="4"/>
  <c r="BS504" i="3"/>
  <c r="AN508" i="4"/>
  <c r="BO74" i="3"/>
  <c r="D15" i="33" s="1"/>
  <c r="D16" i="33" s="1"/>
  <c r="BL133" i="4"/>
  <c r="AQ504" i="3"/>
  <c r="AO210" i="4"/>
  <c r="AP169" i="4"/>
  <c r="AC148" i="28" s="1"/>
  <c r="BI65" i="4"/>
  <c r="BI61" i="4"/>
  <c r="BI62" i="4"/>
  <c r="BI32" i="4"/>
  <c r="BL290" i="4"/>
  <c r="AO362" i="4"/>
  <c r="AO392" i="4"/>
  <c r="AP321" i="4"/>
  <c r="AC160" i="28" s="1"/>
  <c r="AC92" i="28" s="1"/>
  <c r="BL210" i="4"/>
  <c r="AO290" i="4"/>
  <c r="AP245" i="4"/>
  <c r="AC154" i="28" s="1"/>
  <c r="AC70" i="28" s="1"/>
  <c r="BL392" i="4"/>
  <c r="AR481" i="3"/>
  <c r="AR505" i="3" s="1"/>
  <c r="AS104" i="3"/>
  <c r="BT104" i="3" s="1"/>
  <c r="AR105" i="3"/>
  <c r="AR480" i="3"/>
  <c r="AO107" i="28" l="1"/>
  <c r="AN12" i="32"/>
  <c r="AN15" i="32" s="1"/>
  <c r="AC72" i="28"/>
  <c r="AC73" i="28"/>
  <c r="AC95" i="28"/>
  <c r="AC94" i="28"/>
  <c r="AB95" i="28"/>
  <c r="AB94" i="28"/>
  <c r="BL508" i="4"/>
  <c r="N20" i="8"/>
  <c r="BM321" i="4"/>
  <c r="BM169" i="4"/>
  <c r="AS148" i="28" s="1"/>
  <c r="BM91" i="4"/>
  <c r="J106" i="6"/>
  <c r="BL433" i="4"/>
  <c r="AP290" i="4"/>
  <c r="AQ245" i="4"/>
  <c r="AD154" i="28" s="1"/>
  <c r="AD70" i="28" s="1"/>
  <c r="BO547" i="3"/>
  <c r="AP133" i="4"/>
  <c r="AP464" i="4"/>
  <c r="AQ91" i="4"/>
  <c r="AR504" i="3"/>
  <c r="AP362" i="4"/>
  <c r="AP392" i="4"/>
  <c r="AQ321" i="4"/>
  <c r="BO549" i="3"/>
  <c r="AO508" i="4"/>
  <c r="BO546" i="3"/>
  <c r="AP210" i="4"/>
  <c r="AQ169" i="4"/>
  <c r="AD148" i="28" s="1"/>
  <c r="AS105" i="3"/>
  <c r="BT105" i="3" s="1"/>
  <c r="AS480" i="3"/>
  <c r="AS481" i="3"/>
  <c r="AS505" i="3" s="1"/>
  <c r="BM245" i="4"/>
  <c r="AS154" i="28" s="1"/>
  <c r="AS70" i="28" s="1"/>
  <c r="AO433" i="4"/>
  <c r="BO529" i="3"/>
  <c r="BO530" i="3" s="1"/>
  <c r="G45" i="8" s="1"/>
  <c r="D45" i="6"/>
  <c r="BO532" i="3"/>
  <c r="D106" i="6" s="1"/>
  <c r="BO531" i="3"/>
  <c r="BO534" i="3"/>
  <c r="BO535" i="3"/>
  <c r="D109" i="6" s="1"/>
  <c r="BO77" i="3"/>
  <c r="AN17" i="32" s="1"/>
  <c r="BT480" i="3"/>
  <c r="BT481" i="3"/>
  <c r="BT505" i="3" s="1"/>
  <c r="BO550" i="3"/>
  <c r="BI33" i="4"/>
  <c r="BI67" i="4" s="1"/>
  <c r="BO548" i="3"/>
  <c r="AN23" i="32" l="1"/>
  <c r="L50" i="33"/>
  <c r="BI518" i="4"/>
  <c r="AN24" i="32"/>
  <c r="AS73" i="28"/>
  <c r="AS72" i="28"/>
  <c r="AD73" i="28"/>
  <c r="AD72" i="28"/>
  <c r="AS160" i="28"/>
  <c r="AS92" i="28" s="1"/>
  <c r="AD160" i="28"/>
  <c r="AD92" i="28" s="1"/>
  <c r="N23" i="8"/>
  <c r="N22" i="8" s="1"/>
  <c r="G46" i="8" s="1"/>
  <c r="D108" i="6"/>
  <c r="BM210" i="4"/>
  <c r="BM362" i="4"/>
  <c r="BM133" i="4"/>
  <c r="BM464" i="4"/>
  <c r="BM392" i="4"/>
  <c r="BM433" i="4" s="1"/>
  <c r="J49" i="6"/>
  <c r="D105" i="6"/>
  <c r="BI474" i="4"/>
  <c r="BT504" i="3"/>
  <c r="BI36" i="4"/>
  <c r="AS504" i="3"/>
  <c r="AQ362" i="4"/>
  <c r="AR321" i="4"/>
  <c r="AE160" i="28" s="1"/>
  <c r="AE92" i="28" s="1"/>
  <c r="AQ392" i="4"/>
  <c r="BO78" i="3"/>
  <c r="D17" i="33" s="1"/>
  <c r="AP433" i="4"/>
  <c r="AQ210" i="4"/>
  <c r="AR169" i="4"/>
  <c r="AE148" i="28" s="1"/>
  <c r="AQ290" i="4"/>
  <c r="AR245" i="4"/>
  <c r="AE154" i="28" s="1"/>
  <c r="AE70" i="28" s="1"/>
  <c r="AQ133" i="4"/>
  <c r="AR91" i="4"/>
  <c r="AQ464" i="4"/>
  <c r="BO476" i="3"/>
  <c r="BO501" i="3" s="1"/>
  <c r="D48" i="6"/>
  <c r="BM290" i="4"/>
  <c r="AP508" i="4"/>
  <c r="L51" i="33" l="1"/>
  <c r="D19" i="33"/>
  <c r="D21" i="33" s="1"/>
  <c r="AN18" i="32"/>
  <c r="AS95" i="28"/>
  <c r="AS94" i="28"/>
  <c r="AE94" i="28"/>
  <c r="AE95" i="28"/>
  <c r="AD95" i="28"/>
  <c r="AD94" i="28"/>
  <c r="AE73" i="28"/>
  <c r="AE72" i="28"/>
  <c r="BM508" i="4"/>
  <c r="BN169" i="4"/>
  <c r="AT148" i="28" s="1"/>
  <c r="BN321" i="4"/>
  <c r="AT160" i="28" s="1"/>
  <c r="AT92" i="28" s="1"/>
  <c r="BN245" i="4"/>
  <c r="BO81" i="3"/>
  <c r="N24" i="8"/>
  <c r="N27" i="8" s="1"/>
  <c r="BO37" i="3"/>
  <c r="G26" i="8" s="1"/>
  <c r="BO31" i="3"/>
  <c r="G48" i="8" s="1"/>
  <c r="D49" i="6"/>
  <c r="D52" i="6" s="1"/>
  <c r="BO30" i="3"/>
  <c r="G27" i="8"/>
  <c r="AR133" i="4"/>
  <c r="AR464" i="4"/>
  <c r="AR290" i="4"/>
  <c r="AQ433" i="4"/>
  <c r="BI7" i="4"/>
  <c r="AQ508" i="4"/>
  <c r="BN91" i="4"/>
  <c r="AR210" i="4"/>
  <c r="AR392" i="4"/>
  <c r="AR362" i="4"/>
  <c r="AO176" i="28" l="1"/>
  <c r="AO12" i="28" s="1"/>
  <c r="AO14" i="28" s="1"/>
  <c r="AN20" i="32"/>
  <c r="AT95" i="28"/>
  <c r="AT94" i="28"/>
  <c r="BN290" i="4"/>
  <c r="AT154" i="28"/>
  <c r="AT70" i="28" s="1"/>
  <c r="BO472" i="3"/>
  <c r="L32" i="33" s="1"/>
  <c r="BN362" i="4"/>
  <c r="BN210" i="4"/>
  <c r="BN464" i="4"/>
  <c r="BN508" i="4" s="1"/>
  <c r="BO524" i="3"/>
  <c r="G54" i="8" s="1"/>
  <c r="BN392" i="4"/>
  <c r="BN433" i="4" s="1"/>
  <c r="D15" i="6"/>
  <c r="BO84" i="3"/>
  <c r="BO526" i="3"/>
  <c r="G56" i="8" s="1"/>
  <c r="BO58" i="3"/>
  <c r="P18" i="9" s="1"/>
  <c r="P19" i="9" s="1"/>
  <c r="BO474" i="3"/>
  <c r="L34" i="33" s="1"/>
  <c r="L35" i="33" s="1"/>
  <c r="BO536" i="3"/>
  <c r="L52" i="33" s="1"/>
  <c r="BO525" i="3"/>
  <c r="L48" i="33" s="1"/>
  <c r="G15" i="8"/>
  <c r="G16" i="8" s="1"/>
  <c r="G21" i="8"/>
  <c r="G22" i="8" s="1"/>
  <c r="BO579" i="3"/>
  <c r="G67" i="8" s="1"/>
  <c r="AR508" i="4"/>
  <c r="BN133" i="4"/>
  <c r="BO341" i="3"/>
  <c r="BO345" i="3" s="1"/>
  <c r="BO349" i="3" s="1"/>
  <c r="AR433" i="4"/>
  <c r="BO578" i="3"/>
  <c r="L33" i="33" l="1"/>
  <c r="L21" i="33"/>
  <c r="L38" i="33"/>
  <c r="AO15" i="28"/>
  <c r="BO470" i="3"/>
  <c r="BO497" i="3" s="1"/>
  <c r="AN25" i="32"/>
  <c r="AN26" i="32"/>
  <c r="G66" i="8"/>
  <c r="AN28" i="32"/>
  <c r="BO580" i="3"/>
  <c r="D128" i="6" s="1"/>
  <c r="AT73" i="28"/>
  <c r="AT72" i="28"/>
  <c r="BO499" i="3"/>
  <c r="BO473" i="3"/>
  <c r="G17" i="8"/>
  <c r="G18" i="8" s="1"/>
  <c r="P16" i="9"/>
  <c r="AC16" i="9" s="1" a="1"/>
  <c r="AC16" i="9" s="1"/>
  <c r="G49" i="8"/>
  <c r="N30" i="8"/>
  <c r="N31" i="8" s="1"/>
  <c r="D102" i="6"/>
  <c r="D100" i="6"/>
  <c r="BO88" i="3"/>
  <c r="D16" i="6"/>
  <c r="D19" i="6" s="1"/>
  <c r="G19" i="8"/>
  <c r="G20" i="8" s="1"/>
  <c r="BO471" i="3"/>
  <c r="BO498" i="3" s="1"/>
  <c r="BO500" i="3"/>
  <c r="BO475" i="3"/>
  <c r="D56" i="6" s="1"/>
  <c r="D55" i="6"/>
  <c r="D53" i="6" s="1"/>
  <c r="D110" i="6"/>
  <c r="P21" i="9"/>
  <c r="AC21" i="9" s="1" a="1"/>
  <c r="AC21" i="9" s="1"/>
  <c r="D101" i="6"/>
  <c r="AC18" i="9"/>
  <c r="G55" i="8"/>
  <c r="D126" i="6"/>
  <c r="BO94" i="3"/>
  <c r="BO98" i="3" s="1"/>
  <c r="AH41" i="4"/>
  <c r="D127" i="6"/>
  <c r="N28" i="8" l="1"/>
  <c r="D18" i="6"/>
  <c r="D17" i="6"/>
  <c r="P23" i="9"/>
  <c r="P30" i="9" s="1"/>
  <c r="AC30" i="9" s="1"/>
  <c r="BO520" i="3"/>
  <c r="G34" i="8"/>
  <c r="AH490" i="4"/>
  <c r="AH71" i="4"/>
  <c r="AH66" i="4"/>
  <c r="BO450" i="3"/>
  <c r="BO160" i="3"/>
  <c r="BO91" i="3"/>
  <c r="BO101" i="3"/>
  <c r="D38" i="33" s="1"/>
  <c r="D39" i="33" s="1"/>
  <c r="BP93" i="3"/>
  <c r="AN29" i="32" l="1"/>
  <c r="L46" i="33"/>
  <c r="P37" i="9"/>
  <c r="P34" i="9"/>
  <c r="AC34" i="9" s="1"/>
  <c r="P25" i="9"/>
  <c r="P26" i="9" s="1"/>
  <c r="P28" i="9" s="1"/>
  <c r="G38" i="8"/>
  <c r="G51" i="8"/>
  <c r="G53" i="8" s="1"/>
  <c r="AH519" i="4"/>
  <c r="AH516" i="4"/>
  <c r="BI41" i="4"/>
  <c r="D98" i="6"/>
  <c r="P27" i="9" l="1"/>
  <c r="BI66" i="4"/>
  <c r="BI71" i="4"/>
  <c r="BO459" i="3"/>
  <c r="BI490" i="4"/>
  <c r="BO466" i="3" l="1"/>
  <c r="L40" i="33" s="1"/>
  <c r="L22" i="33" s="1"/>
  <c r="BO463" i="3"/>
  <c r="BO217" i="3"/>
  <c r="BO209" i="3" s="1"/>
  <c r="BO219" i="3" s="1"/>
  <c r="BO428" i="3"/>
  <c r="BI516" i="4"/>
  <c r="BO449" i="3"/>
  <c r="BO159" i="3"/>
  <c r="BO162" i="3" s="1"/>
  <c r="BO154" i="3" s="1"/>
  <c r="BO164" i="3" s="1"/>
  <c r="BO454" i="3" l="1"/>
  <c r="N42" i="8" s="1"/>
  <c r="BO444" i="3"/>
  <c r="N43" i="8"/>
  <c r="G29" i="8"/>
  <c r="G36" i="8" s="1"/>
  <c r="BO189" i="3"/>
  <c r="BO134" i="3"/>
  <c r="BO482" i="3"/>
  <c r="BO506" i="3" s="1"/>
  <c r="D23" i="6"/>
  <c r="D80" i="6"/>
  <c r="J85" i="6"/>
  <c r="J87" i="6" s="1"/>
  <c r="BO279" i="3"/>
  <c r="BO272" i="3"/>
  <c r="BO264" i="3" s="1"/>
  <c r="BO274" i="3" s="1"/>
  <c r="J88" i="6"/>
  <c r="J90" i="6" s="1"/>
  <c r="BO467" i="3"/>
  <c r="L41" i="33" s="1"/>
  <c r="L23" i="33" s="1"/>
  <c r="BO522" i="3"/>
  <c r="AN30" i="32" l="1"/>
  <c r="L47" i="33"/>
  <c r="D79" i="6"/>
  <c r="BO456" i="3"/>
  <c r="BO282" i="3"/>
  <c r="BO304" i="3" s="1"/>
  <c r="G52" i="8"/>
  <c r="G39" i="8"/>
  <c r="G28" i="8"/>
  <c r="G35" i="8" s="1"/>
  <c r="N44" i="8"/>
  <c r="J91" i="6"/>
  <c r="D99" i="6"/>
  <c r="BO581" i="3"/>
  <c r="D129" i="6" s="1"/>
  <c r="BO483" i="3"/>
  <c r="BO507" i="3" s="1"/>
  <c r="D81" i="6"/>
  <c r="AH520" i="4"/>
  <c r="BO307" i="3"/>
  <c r="D44" i="33" s="1"/>
  <c r="D46" i="33" s="1"/>
  <c r="D85" i="6"/>
  <c r="D87" i="6" s="1"/>
  <c r="BO49" i="3" l="1"/>
  <c r="D41" i="33"/>
  <c r="D43" i="33" s="1"/>
  <c r="D47" i="33" s="1"/>
  <c r="N48" i="8"/>
  <c r="N50" i="8" s="1"/>
  <c r="BO55" i="3"/>
  <c r="BO521" i="3" s="1"/>
  <c r="N51" i="8"/>
  <c r="N53" i="8" s="1"/>
  <c r="BO244" i="3"/>
  <c r="BO574" i="3"/>
  <c r="L54" i="33" s="1"/>
  <c r="P36" i="9"/>
  <c r="P38" i="9" s="1"/>
  <c r="D88" i="6"/>
  <c r="D90" i="6" s="1"/>
  <c r="D91" i="6" s="1"/>
  <c r="BO276" i="3"/>
  <c r="BI520" i="4"/>
  <c r="BO484" i="3"/>
  <c r="N54" i="8" l="1"/>
  <c r="BO523" i="3"/>
  <c r="D122" i="6"/>
  <c r="G65" i="8"/>
  <c r="D123" i="6"/>
  <c r="BO575" i="3"/>
  <c r="BO577" i="3" s="1"/>
  <c r="D125" i="6" s="1"/>
  <c r="BO350" i="3"/>
  <c r="BO351" i="3" s="1"/>
  <c r="AI4" i="3" l="1"/>
  <c r="BO359" i="3"/>
  <c r="BO339" i="3"/>
  <c r="AL98" i="4" l="1"/>
  <c r="BJ98" i="4"/>
  <c r="AN98" i="4" l="1"/>
  <c r="BK98" i="4"/>
  <c r="BL98" i="4" l="1"/>
  <c r="AP98" i="4"/>
  <c r="AR98" i="4" l="1"/>
  <c r="BM98" i="4"/>
  <c r="BN98" i="4" l="1"/>
  <c r="AH280" i="4" l="1"/>
  <c r="AH237" i="4"/>
  <c r="AH382" i="4"/>
  <c r="AH427" i="4" s="1"/>
  <c r="AH159" i="4"/>
  <c r="AH165" i="4" s="1"/>
  <c r="AH204" i="4" l="1"/>
  <c r="AH460" i="4"/>
  <c r="AH388" i="4"/>
  <c r="AH389" i="4" l="1"/>
  <c r="AH397" i="4" s="1"/>
  <c r="AH461" i="4"/>
  <c r="AH469" i="4" s="1"/>
  <c r="AH473" i="4" l="1"/>
  <c r="AH515" i="4"/>
  <c r="AH511" i="4"/>
  <c r="AH692" i="4"/>
  <c r="AI692" i="4" s="1"/>
  <c r="AH442" i="4"/>
  <c r="AH436" i="4"/>
  <c r="AH440" i="4"/>
  <c r="AH401" i="4"/>
  <c r="AH403" i="4" s="1"/>
  <c r="AH376" i="4" s="1"/>
  <c r="AI395" i="4"/>
  <c r="AJ692" i="4" l="1"/>
  <c r="AK692" i="4" s="1"/>
  <c r="AL692" i="4" s="1"/>
  <c r="AM692" i="4" s="1"/>
  <c r="AN692" i="4" s="1"/>
  <c r="AO692" i="4" s="1"/>
  <c r="AP692" i="4" s="1"/>
  <c r="AQ692" i="4" s="1"/>
  <c r="AR692" i="4" s="1"/>
  <c r="AI481" i="4"/>
  <c r="AJ395" i="4"/>
  <c r="BJ395" i="4" s="1"/>
  <c r="AH481" i="4"/>
  <c r="AH694" i="4"/>
  <c r="AH477" i="4"/>
  <c r="C54" i="33" s="1"/>
  <c r="C55" i="33" s="1"/>
  <c r="AH448" i="4" l="1"/>
  <c r="AI694" i="4"/>
  <c r="AK395" i="4"/>
  <c r="AL395" i="4" l="1"/>
  <c r="BK395" i="4" s="1"/>
  <c r="AJ481" i="4"/>
  <c r="BJ481" i="4" s="1"/>
  <c r="AJ694" i="4"/>
  <c r="AK694" i="4" s="1"/>
  <c r="BJ694" i="4" l="1"/>
  <c r="AK481" i="4"/>
  <c r="BJ106" i="4"/>
  <c r="AL694" i="4"/>
  <c r="BK694" i="4" s="1"/>
  <c r="AM395" i="4"/>
  <c r="BJ692" i="4"/>
  <c r="AN395" i="4" l="1"/>
  <c r="BL395" i="4" s="1"/>
  <c r="BJ336" i="4"/>
  <c r="AM694" i="4"/>
  <c r="BL694" i="4" s="1"/>
  <c r="AL481" i="4"/>
  <c r="BJ184" i="4"/>
  <c r="BJ260" i="4"/>
  <c r="BJ407" i="4" l="1"/>
  <c r="BK260" i="4"/>
  <c r="AO395" i="4"/>
  <c r="AN694" i="4"/>
  <c r="AO694" i="4" s="1"/>
  <c r="AM481" i="4"/>
  <c r="BK692" i="4"/>
  <c r="BK481" i="4"/>
  <c r="BK336" i="4"/>
  <c r="BK184" i="4"/>
  <c r="BK407" i="4" l="1"/>
  <c r="AN481" i="4"/>
  <c r="AP694" i="4"/>
  <c r="AQ694" i="4" s="1"/>
  <c r="AR694" i="4" s="1"/>
  <c r="BM694" i="4"/>
  <c r="BL692" i="4"/>
  <c r="BK106" i="4"/>
  <c r="AP395" i="4"/>
  <c r="BM395" i="4" s="1"/>
  <c r="BN694" i="4" l="1"/>
  <c r="BL336" i="4"/>
  <c r="BL260" i="4"/>
  <c r="AQ395" i="4"/>
  <c r="AO481" i="4"/>
  <c r="BM692" i="4"/>
  <c r="BL481" i="4"/>
  <c r="BL407" i="4" l="1"/>
  <c r="AP481" i="4"/>
  <c r="BM481" i="4" s="1"/>
  <c r="AR395" i="4"/>
  <c r="BN395" i="4" s="1"/>
  <c r="BL106" i="4"/>
  <c r="BL184" i="4"/>
  <c r="BM260" i="4" l="1"/>
  <c r="BN692" i="4"/>
  <c r="BM184" i="4"/>
  <c r="AQ481" i="4"/>
  <c r="BM106" i="4"/>
  <c r="AR481" i="4" l="1"/>
  <c r="BM336" i="4"/>
  <c r="BM407" i="4" s="1"/>
  <c r="BN184" i="4" l="1"/>
  <c r="BN106" i="4"/>
  <c r="BN260" i="4"/>
  <c r="BN481" i="4"/>
  <c r="BN336" i="4" l="1"/>
  <c r="BN407" i="4" s="1"/>
  <c r="BI231" i="4" l="1"/>
  <c r="AG382" i="4"/>
  <c r="BI382" i="4" s="1"/>
  <c r="AG237" i="4"/>
  <c r="AG388" i="4" s="1"/>
  <c r="AG159" i="4"/>
  <c r="BI159" i="4" s="1"/>
  <c r="BI204" i="4" s="1"/>
  <c r="AG280" i="4"/>
  <c r="AG427" i="4" l="1"/>
  <c r="AH284" i="4"/>
  <c r="AG389" i="4"/>
  <c r="BI388" i="4"/>
  <c r="AH431" i="4"/>
  <c r="AG165" i="4"/>
  <c r="AG204" i="4"/>
  <c r="BI237" i="4"/>
  <c r="BI238" i="4" s="1"/>
  <c r="AO153" i="28" s="1"/>
  <c r="AO65" i="28" s="1"/>
  <c r="BI280" i="4"/>
  <c r="BI427" i="4"/>
  <c r="AO68" i="28" l="1"/>
  <c r="AO67" i="28"/>
  <c r="BI250" i="4"/>
  <c r="AG397" i="4"/>
  <c r="AG401" i="4" s="1"/>
  <c r="AG403" i="4" s="1"/>
  <c r="AG376" i="4" s="1"/>
  <c r="BI165" i="4"/>
  <c r="AG460" i="4"/>
  <c r="AH208" i="4"/>
  <c r="BI389" i="4"/>
  <c r="BI397" i="4" s="1"/>
  <c r="BI254" i="4" l="1"/>
  <c r="BI256" i="4" s="1"/>
  <c r="D26" i="33" s="1"/>
  <c r="BI293" i="4"/>
  <c r="BI299" i="4"/>
  <c r="BI297" i="4"/>
  <c r="AG442" i="4"/>
  <c r="AG436" i="4"/>
  <c r="AG440" i="4"/>
  <c r="BI166" i="4"/>
  <c r="BI440" i="4"/>
  <c r="BI401" i="4"/>
  <c r="BI403" i="4" s="1"/>
  <c r="BI436" i="4"/>
  <c r="AH506" i="4"/>
  <c r="BI460" i="4"/>
  <c r="AG461" i="4"/>
  <c r="AG469" i="4" s="1"/>
  <c r="G73" i="8"/>
  <c r="BI225" i="4" l="1"/>
  <c r="D66" i="6"/>
  <c r="BI174" i="4"/>
  <c r="AO147" i="28"/>
  <c r="AO44" i="28" s="1"/>
  <c r="BI260" i="4"/>
  <c r="AG692" i="4"/>
  <c r="AG511" i="4"/>
  <c r="AG473" i="4"/>
  <c r="AG515" i="4"/>
  <c r="BI376" i="4"/>
  <c r="BI461" i="4"/>
  <c r="BI469" i="4" s="1"/>
  <c r="BI213" i="4" l="1"/>
  <c r="AO47" i="28"/>
  <c r="AO46" i="28"/>
  <c r="BI178" i="4"/>
  <c r="BI180" i="4" s="1"/>
  <c r="D25" i="33" s="1"/>
  <c r="BI217" i="4"/>
  <c r="BI692" i="4"/>
  <c r="AG481" i="4"/>
  <c r="BI481" i="4" s="1"/>
  <c r="AG694" i="4"/>
  <c r="BI407" i="4"/>
  <c r="BI473" i="4"/>
  <c r="BI515" i="4"/>
  <c r="BI511" i="4"/>
  <c r="AG477" i="4"/>
  <c r="D65" i="6" l="1"/>
  <c r="BI153" i="4"/>
  <c r="G72" i="8"/>
  <c r="BI477" i="4"/>
  <c r="D28" i="33" s="1"/>
  <c r="D29" i="33" s="1"/>
  <c r="BI694" i="4"/>
  <c r="BI695" i="4" s="1"/>
  <c r="I68" i="6"/>
  <c r="I69" i="6" s="1"/>
  <c r="AG448" i="4"/>
  <c r="D68" i="6" l="1"/>
  <c r="D69" i="6" s="1"/>
  <c r="BI448" i="4"/>
  <c r="G75" i="8"/>
  <c r="G76" i="8" s="1"/>
  <c r="G77" i="8" s="1"/>
  <c r="BI732" i="4"/>
  <c r="BI731" i="4"/>
  <c r="BI483" i="4" l="1"/>
  <c r="AJ483" i="4" l="1"/>
  <c r="AK483" i="4" s="1"/>
  <c r="BJ483" i="4" l="1"/>
  <c r="AL483" i="4"/>
  <c r="AM483" i="4" s="1"/>
  <c r="BK483" i="4" l="1"/>
  <c r="AN483" i="4"/>
  <c r="AO483" i="4" s="1"/>
  <c r="AI518" i="4"/>
  <c r="BL483" i="4" l="1"/>
  <c r="AP483" i="4"/>
  <c r="AQ483" i="4" s="1"/>
  <c r="AR483" i="4" s="1"/>
  <c r="BN483" i="4" s="1"/>
  <c r="AK518" i="4"/>
  <c r="AM67" i="4"/>
  <c r="Y24" i="32" s="1"/>
  <c r="BM483" i="4" l="1"/>
  <c r="AM518" i="4"/>
  <c r="AO67" i="4"/>
  <c r="AA24" i="32" s="1"/>
  <c r="AO518" i="4" l="1"/>
  <c r="AQ67" i="4"/>
  <c r="AC24" i="32" s="1"/>
  <c r="AQ518" i="4" l="1"/>
  <c r="AF280" i="4" l="1"/>
  <c r="AF237" i="4"/>
  <c r="AF388" i="4" s="1"/>
  <c r="AF382" i="4"/>
  <c r="AF159" i="4"/>
  <c r="AF165" i="4" s="1"/>
  <c r="AF460" i="4" l="1"/>
  <c r="AG506" i="4" s="1"/>
  <c r="AF204" i="4"/>
  <c r="AG284" i="4"/>
  <c r="AG431" i="4"/>
  <c r="AG208" i="4"/>
  <c r="AF427" i="4"/>
  <c r="AF389" i="4"/>
  <c r="AF397" i="4" s="1"/>
  <c r="AF461" i="4" l="1"/>
  <c r="AF469" i="4" s="1"/>
  <c r="AF401" i="4"/>
  <c r="AF403" i="4" s="1"/>
  <c r="AF376" i="4" s="1"/>
  <c r="AF442" i="4"/>
  <c r="AF440" i="4"/>
  <c r="AF436" i="4"/>
  <c r="AF511" i="4" l="1"/>
  <c r="AF692" i="4"/>
  <c r="AF694" i="4" s="1"/>
  <c r="AF515" i="4"/>
  <c r="AF473" i="4"/>
  <c r="AF477" i="4" s="1"/>
  <c r="BI442" i="4"/>
  <c r="AF481" i="4" l="1"/>
  <c r="AF448" i="4"/>
  <c r="AE280" i="4"/>
  <c r="AE382" i="4"/>
  <c r="BH231" i="4"/>
  <c r="BH280" i="4" s="1"/>
  <c r="AE159" i="4"/>
  <c r="AE237" i="4"/>
  <c r="AE388" i="4" s="1"/>
  <c r="BH388" i="4" l="1"/>
  <c r="AF431" i="4"/>
  <c r="AE204" i="4"/>
  <c r="AE165" i="4"/>
  <c r="BH159" i="4"/>
  <c r="AE389" i="4"/>
  <c r="AE397" i="4" s="1"/>
  <c r="AE427" i="4"/>
  <c r="BH382" i="4"/>
  <c r="BH237" i="4"/>
  <c r="AF284" i="4"/>
  <c r="BH165" i="4" l="1"/>
  <c r="BH166" i="4" s="1"/>
  <c r="AE460" i="4"/>
  <c r="AF208" i="4"/>
  <c r="BH389" i="4"/>
  <c r="BH397" i="4" s="1"/>
  <c r="BH427" i="4"/>
  <c r="BH204" i="4"/>
  <c r="BI284" i="4"/>
  <c r="BH238" i="4"/>
  <c r="AN153" i="28" s="1"/>
  <c r="AN65" i="28" s="1"/>
  <c r="AE401" i="4"/>
  <c r="AE403" i="4" s="1"/>
  <c r="AE376" i="4" s="1"/>
  <c r="AE442" i="4"/>
  <c r="AE440" i="4"/>
  <c r="AE436" i="4"/>
  <c r="BI431" i="4"/>
  <c r="AN68" i="28" l="1"/>
  <c r="AN67" i="28"/>
  <c r="BH174" i="4"/>
  <c r="AN147" i="28"/>
  <c r="AN44" i="28" s="1"/>
  <c r="BH250" i="4"/>
  <c r="BH401" i="4"/>
  <c r="BH403" i="4" s="1"/>
  <c r="BH436" i="4"/>
  <c r="BH440" i="4"/>
  <c r="AF506" i="4"/>
  <c r="BH460" i="4"/>
  <c r="AE461" i="4"/>
  <c r="AE469" i="4" s="1"/>
  <c r="BH442" i="4"/>
  <c r="BI208" i="4"/>
  <c r="BH297" i="4" l="1"/>
  <c r="BH178" i="4"/>
  <c r="BH180" i="4" s="1"/>
  <c r="C25" i="33" s="1"/>
  <c r="BH254" i="4"/>
  <c r="BH256" i="4" s="1"/>
  <c r="C26" i="33" s="1"/>
  <c r="BH213" i="4"/>
  <c r="BH217" i="4"/>
  <c r="BH299" i="4"/>
  <c r="AN47" i="28"/>
  <c r="AN46" i="28"/>
  <c r="BH293" i="4"/>
  <c r="BI506" i="4"/>
  <c r="BH461" i="4"/>
  <c r="BH469" i="4" s="1"/>
  <c r="F72" i="8"/>
  <c r="AE692" i="4"/>
  <c r="BH260" i="4"/>
  <c r="AE515" i="4"/>
  <c r="AE511" i="4"/>
  <c r="AE473" i="4"/>
  <c r="BH376" i="4"/>
  <c r="C66" i="6" l="1"/>
  <c r="C65" i="6"/>
  <c r="BH153" i="4"/>
  <c r="F73" i="8"/>
  <c r="BH225" i="4"/>
  <c r="BH473" i="4"/>
  <c r="BH477" i="4" s="1"/>
  <c r="C28" i="33" s="1"/>
  <c r="C29" i="33" s="1"/>
  <c r="BH515" i="4"/>
  <c r="BH511" i="4"/>
  <c r="AE477" i="4"/>
  <c r="BH407" i="4"/>
  <c r="AE481" i="4"/>
  <c r="BH481" i="4" s="1"/>
  <c r="AE694" i="4"/>
  <c r="BH692" i="4"/>
  <c r="AE448" i="4" l="1"/>
  <c r="BH694" i="4"/>
  <c r="BH695" i="4" s="1"/>
  <c r="BH448" i="4"/>
  <c r="F75" i="8"/>
  <c r="C68" i="6"/>
  <c r="C69" i="6" s="1"/>
  <c r="BH731" i="4" l="1"/>
  <c r="BH732" i="4"/>
  <c r="AD280" i="4" l="1"/>
  <c r="AD237" i="4"/>
  <c r="AE284" i="4" s="1"/>
  <c r="AD159" i="4"/>
  <c r="AD204" i="4" s="1"/>
  <c r="AD382" i="4"/>
  <c r="AD427" i="4" s="1"/>
  <c r="AD165" i="4" l="1"/>
  <c r="AD388" i="4"/>
  <c r="AE208" i="4" l="1"/>
  <c r="AD460" i="4"/>
  <c r="AE431" i="4"/>
  <c r="AD389" i="4"/>
  <c r="AD397" i="4" s="1"/>
  <c r="AD461" i="4" l="1"/>
  <c r="AD469" i="4" s="1"/>
  <c r="AE506" i="4"/>
  <c r="AD436" i="4"/>
  <c r="AD401" i="4"/>
  <c r="AD403" i="4" s="1"/>
  <c r="AD376" i="4" s="1"/>
  <c r="AD440" i="4"/>
  <c r="AD442" i="4"/>
  <c r="AC280" i="4"/>
  <c r="AC382" i="4"/>
  <c r="BG231" i="4"/>
  <c r="AC159" i="4"/>
  <c r="AC204" i="4" s="1"/>
  <c r="AC237" i="4"/>
  <c r="AC388" i="4" s="1"/>
  <c r="BG237" i="4" l="1"/>
  <c r="BH284" i="4" s="1"/>
  <c r="AC389" i="4"/>
  <c r="BG159" i="4"/>
  <c r="BG204" i="4" s="1"/>
  <c r="BG280" i="4"/>
  <c r="AD515" i="4"/>
  <c r="AD692" i="4"/>
  <c r="AD511" i="4"/>
  <c r="AD473" i="4"/>
  <c r="AD477" i="4" s="1"/>
  <c r="AD431" i="4"/>
  <c r="AC431" i="4"/>
  <c r="BG388" i="4"/>
  <c r="BG382" i="4"/>
  <c r="AC284" i="4"/>
  <c r="AD284" i="4"/>
  <c r="AC427" i="4"/>
  <c r="AC165" i="4"/>
  <c r="BG238" i="4" l="1"/>
  <c r="AM153" i="28" s="1"/>
  <c r="AM65" i="28" s="1"/>
  <c r="BG284" i="4"/>
  <c r="AC397" i="4"/>
  <c r="AC436" i="4" s="1"/>
  <c r="AD481" i="4"/>
  <c r="AD694" i="4"/>
  <c r="AD448" i="4"/>
  <c r="BG427" i="4"/>
  <c r="BG389" i="4"/>
  <c r="BG397" i="4" s="1"/>
  <c r="AC460" i="4"/>
  <c r="AD208" i="4"/>
  <c r="AC208" i="4"/>
  <c r="BG165" i="4"/>
  <c r="BG431" i="4"/>
  <c r="BH431" i="4"/>
  <c r="AM68" i="28" l="1"/>
  <c r="AM67" i="28"/>
  <c r="BG250" i="4"/>
  <c r="AC440" i="4"/>
  <c r="AC401" i="4"/>
  <c r="AC403" i="4" s="1"/>
  <c r="AC376" i="4" s="1"/>
  <c r="AC442" i="4"/>
  <c r="BG442" i="4" s="1"/>
  <c r="BG208" i="4"/>
  <c r="BH208" i="4"/>
  <c r="BG166" i="4"/>
  <c r="BG460" i="4"/>
  <c r="AC461" i="4"/>
  <c r="AC469" i="4" s="1"/>
  <c r="AD506" i="4"/>
  <c r="AC506" i="4"/>
  <c r="BG401" i="4"/>
  <c r="BG403" i="4" s="1"/>
  <c r="BG436" i="4"/>
  <c r="BG440" i="4"/>
  <c r="BG293" i="4" l="1"/>
  <c r="BG174" i="4"/>
  <c r="AM147" i="28"/>
  <c r="AM44" i="28" s="1"/>
  <c r="BG297" i="4"/>
  <c r="BG299" i="4"/>
  <c r="BG254" i="4"/>
  <c r="BG256" i="4" s="1"/>
  <c r="AC511" i="4"/>
  <c r="BG260" i="4"/>
  <c r="AC692" i="4"/>
  <c r="AC515" i="4"/>
  <c r="AC473" i="4"/>
  <c r="BG376" i="4"/>
  <c r="BG461" i="4"/>
  <c r="BG469" i="4" s="1"/>
  <c r="BG506" i="4"/>
  <c r="BH506" i="4"/>
  <c r="BG178" i="4" l="1"/>
  <c r="BG180" i="4" s="1"/>
  <c r="BG217" i="4"/>
  <c r="BG213" i="4"/>
  <c r="AM46" i="28"/>
  <c r="AM47" i="28"/>
  <c r="BG225" i="4"/>
  <c r="BG511" i="4"/>
  <c r="BG515" i="4"/>
  <c r="BG473" i="4"/>
  <c r="BG477" i="4" s="1"/>
  <c r="AC477" i="4"/>
  <c r="BG336" i="4"/>
  <c r="BG407" i="4" s="1"/>
  <c r="AC694" i="4"/>
  <c r="AC481" i="4"/>
  <c r="BG481" i="4" s="1"/>
  <c r="BG692" i="4"/>
  <c r="BG153" i="4" l="1"/>
  <c r="BG448" i="4"/>
  <c r="BG694" i="4"/>
  <c r="AC448" i="4"/>
  <c r="BG695" i="4" l="1"/>
  <c r="BG732" i="4" s="1"/>
  <c r="BG731" i="4" l="1"/>
  <c r="BG483" i="4" l="1"/>
  <c r="AI510" i="4" l="1"/>
  <c r="BH483" i="4" l="1"/>
  <c r="BJ470" i="4"/>
  <c r="AJ510" i="4"/>
  <c r="AJ29" i="4"/>
  <c r="BJ510" i="4" l="1"/>
  <c r="BJ29" i="4"/>
  <c r="AJ61" i="4"/>
  <c r="AK74" i="3"/>
  <c r="K45" i="6" l="1"/>
  <c r="V12" i="32"/>
  <c r="BJ61" i="4"/>
  <c r="BP74" i="3"/>
  <c r="AO12" i="32" s="1"/>
  <c r="AK532" i="3"/>
  <c r="AK529" i="3"/>
  <c r="K106" i="6" l="1"/>
  <c r="E45" i="6"/>
  <c r="BP532" i="3"/>
  <c r="E106" i="6" s="1"/>
  <c r="O20" i="8"/>
  <c r="BP529" i="3"/>
  <c r="AI87" i="4" l="1"/>
  <c r="BJ87" i="4" l="1"/>
  <c r="BJ131" i="4" s="1"/>
  <c r="AI131" i="4"/>
  <c r="AK87" i="4"/>
  <c r="AM87" i="4" s="1"/>
  <c r="BK87" i="4" l="1"/>
  <c r="BK131" i="4" s="1"/>
  <c r="AO87" i="4"/>
  <c r="BL87" i="4"/>
  <c r="BL131" i="4" l="1"/>
  <c r="BM87" i="4"/>
  <c r="AQ87" i="4"/>
  <c r="BN87" i="4" l="1"/>
  <c r="BM131" i="4"/>
  <c r="BN131" i="4" l="1"/>
  <c r="AJ93" i="4" l="1"/>
  <c r="W143" i="28" l="1"/>
  <c r="W33" i="28" s="1"/>
  <c r="AK93" i="4"/>
  <c r="V143" i="28"/>
  <c r="V33" i="28" s="1"/>
  <c r="BJ93" i="4"/>
  <c r="V35" i="28" l="1"/>
  <c r="V36" i="28"/>
  <c r="X143" i="28"/>
  <c r="X33" i="28" s="1"/>
  <c r="AL93" i="4"/>
  <c r="BK93" i="4" s="1"/>
  <c r="AP143" i="28"/>
  <c r="AP33" i="28" s="1"/>
  <c r="W36" i="28"/>
  <c r="W35" i="28"/>
  <c r="AP36" i="28" l="1"/>
  <c r="AP35" i="28"/>
  <c r="X35" i="28"/>
  <c r="X36" i="28"/>
  <c r="Y143" i="28"/>
  <c r="Y33" i="28" s="1"/>
  <c r="AM93" i="4"/>
  <c r="AQ143" i="28"/>
  <c r="AQ33" i="28" s="1"/>
  <c r="Z143" i="28" l="1"/>
  <c r="Z33" i="28" s="1"/>
  <c r="AN93" i="4"/>
  <c r="BL93" i="4" s="1"/>
  <c r="Y36" i="28"/>
  <c r="Y35" i="28"/>
  <c r="AQ35" i="28"/>
  <c r="AQ36" i="28"/>
  <c r="AA143" i="28" l="1"/>
  <c r="AA33" i="28" s="1"/>
  <c r="AO93" i="4"/>
  <c r="AR143" i="28"/>
  <c r="AR33" i="28" s="1"/>
  <c r="Z35" i="28"/>
  <c r="Z36" i="28"/>
  <c r="AB143" i="28" l="1"/>
  <c r="AB33" i="28" s="1"/>
  <c r="AP93" i="4"/>
  <c r="AR36" i="28"/>
  <c r="AR35" i="28"/>
  <c r="AA36" i="28"/>
  <c r="AA35" i="28"/>
  <c r="BM93" i="4" l="1"/>
  <c r="AC143" i="28"/>
  <c r="AC33" i="28" s="1"/>
  <c r="AQ93" i="4"/>
  <c r="AB35" i="28"/>
  <c r="AB36" i="28"/>
  <c r="AD143" i="28" l="1"/>
  <c r="AD33" i="28" s="1"/>
  <c r="AR93" i="4"/>
  <c r="AS143" i="28"/>
  <c r="AS33" i="28" s="1"/>
  <c r="AC36" i="28"/>
  <c r="AC35" i="28"/>
  <c r="AS36" i="28" l="1"/>
  <c r="AS35" i="28"/>
  <c r="AE143" i="28"/>
  <c r="AE33" i="28" s="1"/>
  <c r="BN93" i="4"/>
  <c r="AD35" i="28"/>
  <c r="AD36" i="28"/>
  <c r="AT143" i="28" l="1"/>
  <c r="AT33" i="28" s="1"/>
  <c r="AE36" i="28"/>
  <c r="AE35" i="28"/>
  <c r="AT36" i="28" l="1"/>
  <c r="AT35" i="28"/>
  <c r="AI94" i="4"/>
  <c r="AI467" i="4" s="1"/>
  <c r="BJ467" i="4" s="1"/>
  <c r="AJ26" i="4" l="1"/>
  <c r="AK94" i="4"/>
  <c r="BJ94" i="4"/>
  <c r="AK26" i="4" l="1"/>
  <c r="AL94" i="4"/>
  <c r="BK94" i="4" s="1"/>
  <c r="BJ26" i="4"/>
  <c r="AM94" i="4" l="1"/>
  <c r="AL26" i="4"/>
  <c r="BK26" i="4" l="1"/>
  <c r="AN94" i="4"/>
  <c r="BL94" i="4" s="1"/>
  <c r="AM26" i="4"/>
  <c r="AO94" i="4" l="1"/>
  <c r="AN26" i="4"/>
  <c r="BL26" i="4" l="1"/>
  <c r="AO26" i="4"/>
  <c r="AP94" i="4"/>
  <c r="BM94" i="4" s="1"/>
  <c r="AQ94" i="4" l="1"/>
  <c r="AP26" i="4"/>
  <c r="BM26" i="4" l="1"/>
  <c r="AQ26" i="4"/>
  <c r="AR94" i="4"/>
  <c r="BN94" i="4" s="1"/>
  <c r="AR26" i="4" l="1"/>
  <c r="AI95" i="4"/>
  <c r="BN26" i="4" l="1"/>
  <c r="AJ95" i="4"/>
  <c r="BJ95" i="4" s="1"/>
  <c r="AI134" i="4"/>
  <c r="AI75" i="4"/>
  <c r="AK95" i="4" l="1"/>
  <c r="AL95" i="4" s="1"/>
  <c r="BK95" i="4" s="1"/>
  <c r="BJ134" i="4"/>
  <c r="BK134" i="4" l="1"/>
  <c r="AM95" i="4"/>
  <c r="AN95" i="4" l="1"/>
  <c r="AO95" i="4" l="1"/>
  <c r="BL95" i="4"/>
  <c r="AP95" i="4" l="1"/>
  <c r="BL134" i="4"/>
  <c r="AQ95" i="4" l="1"/>
  <c r="BM95" i="4"/>
  <c r="BM134" i="4" l="1"/>
  <c r="AR95" i="4"/>
  <c r="BN95" i="4" s="1"/>
  <c r="BN134" i="4" l="1"/>
  <c r="AI116" i="4" l="1"/>
  <c r="AI115" i="4" s="1"/>
  <c r="AI127" i="4" l="1"/>
  <c r="AJ127" i="4" s="1"/>
  <c r="AK127" i="4" s="1"/>
  <c r="AL127" i="4" l="1"/>
  <c r="AM127" i="4" s="1"/>
  <c r="AN127" i="4" s="1"/>
  <c r="AO127" i="4" s="1"/>
  <c r="AP127" i="4" s="1"/>
  <c r="AQ127" i="4" s="1"/>
  <c r="AR127" i="4" s="1"/>
  <c r="AJ109" i="3" l="1"/>
  <c r="AI414" i="4" l="1"/>
  <c r="AI489" i="4" s="1"/>
  <c r="AI415" i="4" l="1"/>
  <c r="AI441" i="4" s="1"/>
  <c r="AI400" i="4"/>
  <c r="AI296" i="4"/>
  <c r="AI216" i="4"/>
  <c r="AI439" i="4" l="1"/>
  <c r="AI438" i="4"/>
  <c r="V166" i="28" l="1"/>
  <c r="V104" i="28" s="1"/>
  <c r="V106" i="28" l="1"/>
  <c r="V107" i="28"/>
  <c r="AI27" i="4" l="1"/>
  <c r="AJ72" i="3" l="1"/>
  <c r="U9" i="32" s="1"/>
  <c r="AI60" i="4"/>
  <c r="V147" i="28" l="1"/>
  <c r="V44" i="28" s="1"/>
  <c r="V46" i="28" l="1"/>
  <c r="V47" i="28"/>
  <c r="AI178" i="4" l="1"/>
  <c r="AI180" i="4" s="1"/>
  <c r="D51" i="33" s="1"/>
  <c r="AI213" i="4"/>
  <c r="AI173" i="4"/>
  <c r="AJ173" i="4" s="1"/>
  <c r="AI217" i="4"/>
  <c r="J65" i="6" l="1"/>
  <c r="AK173" i="4"/>
  <c r="AI153" i="4"/>
  <c r="BJ173" i="4"/>
  <c r="BJ211" i="4" l="1"/>
  <c r="AL173" i="4"/>
  <c r="AM173" i="4" l="1"/>
  <c r="BK173" i="4"/>
  <c r="AN173" i="4" l="1"/>
  <c r="BL173" i="4" s="1"/>
  <c r="BK211" i="4"/>
  <c r="BL211" i="4" l="1"/>
  <c r="AO173" i="4"/>
  <c r="AP173" i="4" l="1"/>
  <c r="AQ173" i="4" l="1"/>
  <c r="BM173" i="4"/>
  <c r="BM211" i="4" l="1"/>
  <c r="AR173" i="4"/>
  <c r="BN173" i="4" s="1"/>
  <c r="BN211" i="4" l="1"/>
  <c r="V153" i="28" l="1"/>
  <c r="V65" i="28" s="1"/>
  <c r="V67" i="28" l="1"/>
  <c r="V68" i="28"/>
  <c r="AI382" i="4"/>
  <c r="AI159" i="4" l="1"/>
  <c r="AJ159" i="4" l="1"/>
  <c r="AK159" i="4" s="1"/>
  <c r="AL159" i="4" s="1"/>
  <c r="AI165" i="4"/>
  <c r="AI208" i="4" s="1"/>
  <c r="BJ159" i="4" l="1"/>
  <c r="AM159" i="4"/>
  <c r="BK159" i="4"/>
  <c r="AJ165" i="4"/>
  <c r="BJ165" i="4" s="1"/>
  <c r="BJ208" i="4" l="1"/>
  <c r="BJ166" i="4"/>
  <c r="AK165" i="4"/>
  <c r="AJ166" i="4"/>
  <c r="AN159" i="4"/>
  <c r="AP147" i="28" l="1"/>
  <c r="AP44" i="28" s="1"/>
  <c r="AP47" i="28" s="1"/>
  <c r="BJ174" i="4"/>
  <c r="AO159" i="4"/>
  <c r="W147" i="28"/>
  <c r="W44" i="28" s="1"/>
  <c r="AJ176" i="4"/>
  <c r="AJ174" i="4"/>
  <c r="AL165" i="4"/>
  <c r="BK165" i="4" s="1"/>
  <c r="AK166" i="4"/>
  <c r="BL159" i="4"/>
  <c r="AP46" i="28" l="1"/>
  <c r="BJ213" i="4"/>
  <c r="BK208" i="4"/>
  <c r="BK166" i="4"/>
  <c r="AK174" i="4"/>
  <c r="X147" i="28"/>
  <c r="X44" i="28" s="1"/>
  <c r="AK176" i="4"/>
  <c r="W46" i="28"/>
  <c r="W47" i="28"/>
  <c r="AM165" i="4"/>
  <c r="AL166" i="4"/>
  <c r="AP159" i="4"/>
  <c r="BM159" i="4" s="1"/>
  <c r="AJ213" i="4"/>
  <c r="BJ176" i="4"/>
  <c r="Y147" i="28" l="1"/>
  <c r="Y44" i="28" s="1"/>
  <c r="AL176" i="4"/>
  <c r="AL174" i="4"/>
  <c r="X47" i="28"/>
  <c r="X46" i="28"/>
  <c r="AQ159" i="4"/>
  <c r="AK213" i="4"/>
  <c r="AN165" i="4"/>
  <c r="AM166" i="4"/>
  <c r="AQ147" i="28"/>
  <c r="AQ44" i="28" s="1"/>
  <c r="BK174" i="4"/>
  <c r="BK176" i="4" l="1"/>
  <c r="AO165" i="4"/>
  <c r="AN166" i="4"/>
  <c r="BL165" i="4"/>
  <c r="BK213" i="4"/>
  <c r="Y47" i="28"/>
  <c r="Y46" i="28"/>
  <c r="AL213" i="4"/>
  <c r="AR159" i="4"/>
  <c r="BN159" i="4" s="1"/>
  <c r="AQ46" i="28"/>
  <c r="AQ47" i="28"/>
  <c r="Z147" i="28"/>
  <c r="Z44" i="28" s="1"/>
  <c r="AM174" i="4"/>
  <c r="AM176" i="4"/>
  <c r="Z46" i="28" l="1"/>
  <c r="Z47" i="28"/>
  <c r="AA147" i="28"/>
  <c r="AA44" i="28" s="1"/>
  <c r="AN174" i="4"/>
  <c r="AN176" i="4"/>
  <c r="AM213" i="4"/>
  <c r="BL208" i="4"/>
  <c r="BL166" i="4"/>
  <c r="AP165" i="4"/>
  <c r="BM165" i="4" s="1"/>
  <c r="AO166" i="4"/>
  <c r="BL176" i="4" l="1"/>
  <c r="AB147" i="28"/>
  <c r="AB44" i="28" s="1"/>
  <c r="AO174" i="4"/>
  <c r="AO176" i="4"/>
  <c r="AN213" i="4"/>
  <c r="BM208" i="4"/>
  <c r="BM166" i="4"/>
  <c r="AQ165" i="4"/>
  <c r="AP166" i="4"/>
  <c r="AA47" i="28"/>
  <c r="AA46" i="28"/>
  <c r="AR147" i="28"/>
  <c r="AR44" i="28" s="1"/>
  <c r="BL174" i="4"/>
  <c r="AC147" i="28" l="1"/>
  <c r="AC44" i="28" s="1"/>
  <c r="AP176" i="4"/>
  <c r="AP174" i="4"/>
  <c r="AS147" i="28"/>
  <c r="AS44" i="28" s="1"/>
  <c r="BM174" i="4"/>
  <c r="AO213" i="4"/>
  <c r="AB46" i="28"/>
  <c r="AB47" i="28"/>
  <c r="AR165" i="4"/>
  <c r="AQ166" i="4"/>
  <c r="BL213" i="4"/>
  <c r="AR46" i="28"/>
  <c r="AR47" i="28"/>
  <c r="BM176" i="4" l="1"/>
  <c r="AR166" i="4"/>
  <c r="AD147" i="28"/>
  <c r="AD44" i="28" s="1"/>
  <c r="AQ174" i="4"/>
  <c r="AQ176" i="4"/>
  <c r="AC47" i="28"/>
  <c r="AC46" i="28"/>
  <c r="BM213" i="4"/>
  <c r="AP213" i="4"/>
  <c r="BN165" i="4"/>
  <c r="AS46" i="28"/>
  <c r="AS47" i="28"/>
  <c r="AQ213" i="4" l="1"/>
  <c r="AD46" i="28"/>
  <c r="AD47" i="28"/>
  <c r="BN208" i="4"/>
  <c r="BN166" i="4"/>
  <c r="AE147" i="28"/>
  <c r="AE44" i="28" s="1"/>
  <c r="AR174" i="4"/>
  <c r="AR176" i="4"/>
  <c r="BN176" i="4" l="1"/>
  <c r="AR213" i="4"/>
  <c r="AT147" i="28"/>
  <c r="AT44" i="28" s="1"/>
  <c r="BN174" i="4"/>
  <c r="AE46" i="28"/>
  <c r="AE47" i="28"/>
  <c r="BN213" i="4" l="1"/>
  <c r="AT47" i="28"/>
  <c r="AT46" i="28"/>
  <c r="AI383" i="4" l="1"/>
  <c r="AI393" i="4" l="1"/>
  <c r="AI394" i="4" l="1"/>
  <c r="AI390" i="4" l="1"/>
  <c r="AI432" i="4" s="1"/>
  <c r="AI399" i="4"/>
  <c r="V151" i="28"/>
  <c r="V55" i="28" s="1"/>
  <c r="AI241" i="4"/>
  <c r="AI287" i="4" s="1"/>
  <c r="AJ241" i="4" l="1"/>
  <c r="AK241" i="4" s="1"/>
  <c r="AL241" i="4" s="1"/>
  <c r="BK241" i="4" s="1"/>
  <c r="V58" i="28"/>
  <c r="V57" i="28"/>
  <c r="AI513" i="4"/>
  <c r="AJ242" i="4" l="1"/>
  <c r="AJ252" i="4" s="1"/>
  <c r="AK242" i="4"/>
  <c r="BJ241" i="4"/>
  <c r="AI514" i="4"/>
  <c r="AJ288" i="4"/>
  <c r="AJ21" i="4"/>
  <c r="AJ390" i="4"/>
  <c r="W151" i="28"/>
  <c r="W55" i="28" s="1"/>
  <c r="AM241" i="4"/>
  <c r="AL242" i="4"/>
  <c r="AK21" i="4" l="1"/>
  <c r="BK242" i="4"/>
  <c r="AK390" i="4"/>
  <c r="AK432" i="4" s="1"/>
  <c r="AK252" i="4"/>
  <c r="AK30" i="4" s="1"/>
  <c r="AK288" i="4"/>
  <c r="X151" i="28"/>
  <c r="X55" i="28" s="1"/>
  <c r="X58" i="28" s="1"/>
  <c r="BJ242" i="4"/>
  <c r="BQ242" i="4" s="1"/>
  <c r="AL288" i="4"/>
  <c r="Y151" i="28"/>
  <c r="Y55" i="28" s="1"/>
  <c r="AL21" i="4"/>
  <c r="AL390" i="4"/>
  <c r="AJ30" i="4"/>
  <c r="AL252" i="4"/>
  <c r="AJ399" i="4"/>
  <c r="BJ252" i="4"/>
  <c r="AJ432" i="4"/>
  <c r="BJ390" i="4"/>
  <c r="AN241" i="4"/>
  <c r="BL241" i="4" s="1"/>
  <c r="AM242" i="4"/>
  <c r="W57" i="28"/>
  <c r="W58" i="28"/>
  <c r="AJ58" i="4"/>
  <c r="AK69" i="3"/>
  <c r="BJ21" i="4"/>
  <c r="AK58" i="4"/>
  <c r="AL69" i="3"/>
  <c r="W5" i="32" s="1"/>
  <c r="BK390" i="4" l="1"/>
  <c r="BK432" i="4" s="1"/>
  <c r="X57" i="28"/>
  <c r="AK399" i="4"/>
  <c r="AP151" i="28"/>
  <c r="AP55" i="28" s="1"/>
  <c r="AP58" i="28" s="1"/>
  <c r="BJ288" i="4"/>
  <c r="BK252" i="4"/>
  <c r="K40" i="6"/>
  <c r="V5" i="32"/>
  <c r="BK21" i="4"/>
  <c r="BK288" i="4"/>
  <c r="AQ151" i="28"/>
  <c r="AQ55" i="28" s="1"/>
  <c r="AK75" i="3"/>
  <c r="BJ30" i="4"/>
  <c r="BJ58" i="4"/>
  <c r="AL432" i="4"/>
  <c r="AM288" i="4"/>
  <c r="AM390" i="4"/>
  <c r="Z151" i="28"/>
  <c r="Z55" i="28" s="1"/>
  <c r="AM21" i="4"/>
  <c r="AM252" i="4"/>
  <c r="BJ399" i="4"/>
  <c r="AL58" i="4"/>
  <c r="AM69" i="3"/>
  <c r="X5" i="32" s="1"/>
  <c r="AN242" i="4"/>
  <c r="AN252" i="4" s="1"/>
  <c r="AO241" i="4"/>
  <c r="AL75" i="3"/>
  <c r="W13" i="32" s="1"/>
  <c r="BP69" i="3"/>
  <c r="AO5" i="32" s="1"/>
  <c r="L40" i="6"/>
  <c r="BJ432" i="4"/>
  <c r="AL30" i="4"/>
  <c r="AM75" i="3" s="1"/>
  <c r="X13" i="32" s="1"/>
  <c r="AL399" i="4"/>
  <c r="Y58" i="28"/>
  <c r="Y57" i="28"/>
  <c r="AP57" i="28" l="1"/>
  <c r="BK399" i="4"/>
  <c r="BK58" i="4"/>
  <c r="K46" i="6"/>
  <c r="V13" i="32"/>
  <c r="BK30" i="4"/>
  <c r="BQ69" i="3"/>
  <c r="AM432" i="4"/>
  <c r="AO242" i="4"/>
  <c r="AO252" i="4" s="1"/>
  <c r="AP241" i="4"/>
  <c r="BM241" i="4" s="1"/>
  <c r="O15" i="8"/>
  <c r="H47" i="8" s="1"/>
  <c r="E40" i="6"/>
  <c r="AN390" i="4"/>
  <c r="AN288" i="4"/>
  <c r="AA151" i="28"/>
  <c r="AA55" i="28" s="1"/>
  <c r="AN21" i="4"/>
  <c r="AM58" i="4"/>
  <c r="AN69" i="3"/>
  <c r="Y5" i="32" s="1"/>
  <c r="BP75" i="3"/>
  <c r="AO13" i="32" s="1"/>
  <c r="L46" i="6"/>
  <c r="BQ75" i="3"/>
  <c r="AP13" i="32" s="1"/>
  <c r="AN30" i="4"/>
  <c r="AO75" i="3" s="1"/>
  <c r="Z13" i="32" s="1"/>
  <c r="AN399" i="4"/>
  <c r="BL252" i="4"/>
  <c r="AM30" i="4"/>
  <c r="AM399" i="4"/>
  <c r="BL242" i="4"/>
  <c r="Z58" i="28"/>
  <c r="Z57" i="28"/>
  <c r="AQ58" i="28"/>
  <c r="AQ57" i="28"/>
  <c r="P15" i="8" l="1"/>
  <c r="I47" i="8" s="1"/>
  <c r="AP5" i="32"/>
  <c r="BL21" i="4"/>
  <c r="F40" i="6"/>
  <c r="AR151" i="28"/>
  <c r="AR55" i="28" s="1"/>
  <c r="BL288" i="4"/>
  <c r="BL30" i="4"/>
  <c r="AN75" i="3"/>
  <c r="Y13" i="32" s="1"/>
  <c r="P21" i="8"/>
  <c r="F46" i="6"/>
  <c r="AO390" i="4"/>
  <c r="AO21" i="4"/>
  <c r="AB151" i="28"/>
  <c r="AB55" i="28" s="1"/>
  <c r="AO288" i="4"/>
  <c r="O21" i="8"/>
  <c r="E46" i="6"/>
  <c r="AN432" i="4"/>
  <c r="BL399" i="4"/>
  <c r="AO69" i="3"/>
  <c r="AN58" i="4"/>
  <c r="BL390" i="4"/>
  <c r="AO30" i="4"/>
  <c r="AO399" i="4"/>
  <c r="AA58" i="28"/>
  <c r="AA57" i="28"/>
  <c r="AQ241" i="4"/>
  <c r="AP242" i="4"/>
  <c r="BL58" i="4" l="1"/>
  <c r="BR69" i="3"/>
  <c r="AQ5" i="32" s="1"/>
  <c r="Z5" i="32"/>
  <c r="AP69" i="3"/>
  <c r="AA5" i="32" s="1"/>
  <c r="AO58" i="4"/>
  <c r="AP390" i="4"/>
  <c r="BM390" i="4" s="1"/>
  <c r="AP288" i="4"/>
  <c r="AP21" i="4"/>
  <c r="AC151" i="28"/>
  <c r="AC55" i="28" s="1"/>
  <c r="AP252" i="4"/>
  <c r="BM242" i="4"/>
  <c r="AR57" i="28"/>
  <c r="AR58" i="28"/>
  <c r="AR241" i="4"/>
  <c r="AR242" i="4" s="1"/>
  <c r="AQ242" i="4"/>
  <c r="AB57" i="28"/>
  <c r="AB58" i="28"/>
  <c r="AO432" i="4"/>
  <c r="BR75" i="3"/>
  <c r="AQ13" i="32" s="1"/>
  <c r="AP75" i="3"/>
  <c r="AA13" i="32" s="1"/>
  <c r="BL432" i="4"/>
  <c r="Q15" i="8" l="1"/>
  <c r="J47" i="8" s="1"/>
  <c r="G40" i="6"/>
  <c r="BN241" i="4"/>
  <c r="G46" i="6"/>
  <c r="Q21" i="8"/>
  <c r="AP30" i="4"/>
  <c r="AP399" i="4"/>
  <c r="AR252" i="4"/>
  <c r="BM252" i="4"/>
  <c r="AC58" i="28"/>
  <c r="AC57" i="28"/>
  <c r="BM432" i="4"/>
  <c r="AR390" i="4"/>
  <c r="AE151" i="28"/>
  <c r="AE55" i="28" s="1"/>
  <c r="AR288" i="4"/>
  <c r="AR21" i="4"/>
  <c r="AQ69" i="3"/>
  <c r="AB5" i="32" s="1"/>
  <c r="AP58" i="4"/>
  <c r="BM21" i="4"/>
  <c r="AQ21" i="4"/>
  <c r="BN242" i="4"/>
  <c r="AQ288" i="4"/>
  <c r="AQ390" i="4"/>
  <c r="AD151" i="28"/>
  <c r="AD55" i="28" s="1"/>
  <c r="AQ252" i="4"/>
  <c r="AP432" i="4"/>
  <c r="AS151" i="28"/>
  <c r="AS55" i="28" s="1"/>
  <c r="BM288" i="4"/>
  <c r="BS69" i="3" l="1"/>
  <c r="AR5" i="32" s="1"/>
  <c r="AR30" i="4"/>
  <c r="AS75" i="3" s="1"/>
  <c r="AD13" i="32" s="1"/>
  <c r="AR399" i="4"/>
  <c r="BN390" i="4"/>
  <c r="AQ432" i="4"/>
  <c r="BN288" i="4"/>
  <c r="AT151" i="28"/>
  <c r="AT55" i="28" s="1"/>
  <c r="AS69" i="3"/>
  <c r="AD5" i="32" s="1"/>
  <c r="AR58" i="4"/>
  <c r="BM399" i="4"/>
  <c r="AS58" i="28"/>
  <c r="AS57" i="28"/>
  <c r="BN21" i="4"/>
  <c r="AR69" i="3"/>
  <c r="AC5" i="32" s="1"/>
  <c r="AQ58" i="4"/>
  <c r="BM58" i="4"/>
  <c r="AQ75" i="3"/>
  <c r="AB13" i="32" s="1"/>
  <c r="BM30" i="4"/>
  <c r="BN252" i="4"/>
  <c r="AQ399" i="4"/>
  <c r="AQ30" i="4"/>
  <c r="AE57" i="28"/>
  <c r="AE58" i="28"/>
  <c r="AD58" i="28"/>
  <c r="AD57" i="28"/>
  <c r="AR432" i="4"/>
  <c r="BN432" i="4" l="1"/>
  <c r="BS75" i="3"/>
  <c r="AR13" i="32" s="1"/>
  <c r="AT58" i="28"/>
  <c r="AT57" i="28"/>
  <c r="BT69" i="3"/>
  <c r="AS5" i="32" s="1"/>
  <c r="AR75" i="3"/>
  <c r="AC13" i="32" s="1"/>
  <c r="BN30" i="4"/>
  <c r="BN399" i="4"/>
  <c r="BN58" i="4"/>
  <c r="BT75" i="3" l="1"/>
  <c r="AS13" i="32" s="1"/>
  <c r="AI254" i="4" l="1"/>
  <c r="AI256" i="4" s="1"/>
  <c r="D52" i="33" s="1"/>
  <c r="AI297" i="4"/>
  <c r="AI249" i="4"/>
  <c r="AI293" i="4"/>
  <c r="J66" i="6" l="1"/>
  <c r="AI291" i="4"/>
  <c r="AI225" i="4"/>
  <c r="AJ249" i="4"/>
  <c r="AK249" i="4" l="1"/>
  <c r="BJ249" i="4"/>
  <c r="BJ291" i="4" l="1"/>
  <c r="AL249" i="4"/>
  <c r="BK249" i="4" s="1"/>
  <c r="BK291" i="4" l="1"/>
  <c r="AM249" i="4"/>
  <c r="AN249" i="4" l="1"/>
  <c r="BL249" i="4" s="1"/>
  <c r="BL291" i="4" l="1"/>
  <c r="AO249" i="4"/>
  <c r="AP249" i="4" l="1"/>
  <c r="BM249" i="4" s="1"/>
  <c r="BM291" i="4" l="1"/>
  <c r="AQ249" i="4"/>
  <c r="AR249" i="4" l="1"/>
  <c r="BN249" i="4" l="1"/>
  <c r="BN291" i="4" l="1"/>
  <c r="AI330" i="4" l="1"/>
  <c r="AI332" i="4" s="1"/>
  <c r="D53" i="33" s="1"/>
  <c r="AI325" i="4"/>
  <c r="J67" i="6" l="1"/>
  <c r="AI363" i="4"/>
  <c r="AI468" i="4"/>
  <c r="AI396" i="4"/>
  <c r="AI434" i="4" s="1"/>
  <c r="BJ325" i="4"/>
  <c r="AK325" i="4"/>
  <c r="AJ396" i="4"/>
  <c r="AI305" i="4"/>
  <c r="AI509" i="4" l="1"/>
  <c r="AJ468" i="4"/>
  <c r="BJ468" i="4" s="1"/>
  <c r="BJ509" i="4" s="1"/>
  <c r="AJ434" i="4"/>
  <c r="BJ396" i="4"/>
  <c r="AL325" i="4"/>
  <c r="BK325" i="4" s="1"/>
  <c r="AK396" i="4"/>
  <c r="BJ363" i="4"/>
  <c r="AJ509" i="4" l="1"/>
  <c r="AK468" i="4"/>
  <c r="AJ27" i="4"/>
  <c r="AK434" i="4"/>
  <c r="BK363" i="4"/>
  <c r="AM325" i="4"/>
  <c r="AL396" i="4"/>
  <c r="BK396" i="4" s="1"/>
  <c r="BJ434" i="4"/>
  <c r="AJ60" i="4" l="1"/>
  <c r="BJ27" i="4"/>
  <c r="AK509" i="4"/>
  <c r="AL468" i="4"/>
  <c r="BK468" i="4" s="1"/>
  <c r="BK509" i="4" s="1"/>
  <c r="AK27" i="4"/>
  <c r="BK434" i="4"/>
  <c r="AM396" i="4"/>
  <c r="AN325" i="4"/>
  <c r="AL434" i="4"/>
  <c r="AM468" i="4" l="1"/>
  <c r="AL509" i="4"/>
  <c r="AL27" i="4"/>
  <c r="BJ60" i="4"/>
  <c r="AK60" i="4"/>
  <c r="AN396" i="4"/>
  <c r="BL396" i="4" s="1"/>
  <c r="AO325" i="4"/>
  <c r="BL325" i="4"/>
  <c r="AM434" i="4"/>
  <c r="BK27" i="4" l="1"/>
  <c r="AL60" i="4"/>
  <c r="AM509" i="4"/>
  <c r="AN468" i="4"/>
  <c r="BL468" i="4" s="1"/>
  <c r="BL509" i="4" s="1"/>
  <c r="AM27" i="4"/>
  <c r="AO396" i="4"/>
  <c r="AP325" i="4"/>
  <c r="BM325" i="4" s="1"/>
  <c r="BL434" i="4"/>
  <c r="AN434" i="4"/>
  <c r="BL363" i="4"/>
  <c r="BK60" i="4" l="1"/>
  <c r="AO468" i="4"/>
  <c r="AN509" i="4"/>
  <c r="AN27" i="4"/>
  <c r="AM60" i="4"/>
  <c r="BM363" i="4"/>
  <c r="AO434" i="4"/>
  <c r="AP396" i="4"/>
  <c r="AQ325" i="4"/>
  <c r="AO509" i="4" l="1"/>
  <c r="AP468" i="4"/>
  <c r="BM468" i="4" s="1"/>
  <c r="BM509" i="4" s="1"/>
  <c r="AO27" i="4"/>
  <c r="BL27" i="4"/>
  <c r="AN60" i="4"/>
  <c r="AQ396" i="4"/>
  <c r="AR325" i="4"/>
  <c r="AP434" i="4"/>
  <c r="BM396" i="4"/>
  <c r="AP509" i="4" l="1"/>
  <c r="AQ468" i="4"/>
  <c r="AP27" i="4"/>
  <c r="AO60" i="4"/>
  <c r="BL60" i="4"/>
  <c r="AQ434" i="4"/>
  <c r="BM434" i="4"/>
  <c r="AR396" i="4"/>
  <c r="BN396" i="4" s="1"/>
  <c r="BN325" i="4"/>
  <c r="BM27" i="4" l="1"/>
  <c r="AP60" i="4"/>
  <c r="AQ509" i="4"/>
  <c r="AR468" i="4"/>
  <c r="BN468" i="4" s="1"/>
  <c r="BN509" i="4" s="1"/>
  <c r="AQ27" i="4"/>
  <c r="BN434" i="4"/>
  <c r="BN363" i="4"/>
  <c r="AR434" i="4"/>
  <c r="AR509" i="4" l="1"/>
  <c r="AR27" i="4"/>
  <c r="AQ60" i="4"/>
  <c r="BM60" i="4"/>
  <c r="AI7" i="4"/>
  <c r="AI476" i="4"/>
  <c r="AJ476" i="4" s="1"/>
  <c r="AJ35" i="4" s="1"/>
  <c r="AK80" i="3" s="1"/>
  <c r="AK702" i="4" s="1"/>
  <c r="BN27" i="4" l="1"/>
  <c r="AR60" i="4"/>
  <c r="AK82" i="3"/>
  <c r="AK96" i="3" s="1"/>
  <c r="BJ35" i="4"/>
  <c r="AK704" i="4"/>
  <c r="AK476" i="4"/>
  <c r="K51" i="6"/>
  <c r="BP80" i="3"/>
  <c r="BJ476" i="4"/>
  <c r="AK667" i="4"/>
  <c r="AL702" i="4"/>
  <c r="AL667" i="4" s="1"/>
  <c r="BN60" i="4" l="1"/>
  <c r="AL674" i="4"/>
  <c r="AL682" i="4" s="1"/>
  <c r="AK674" i="4"/>
  <c r="AK682" i="4" s="1"/>
  <c r="BK667" i="4"/>
  <c r="AJ96" i="3"/>
  <c r="BP82" i="3"/>
  <c r="AL704" i="4"/>
  <c r="BK702" i="4"/>
  <c r="BK711" i="4" s="1"/>
  <c r="E51" i="6"/>
  <c r="O26" i="8"/>
  <c r="AL476" i="4"/>
  <c r="BK476" i="4" s="1"/>
  <c r="AK35" i="4"/>
  <c r="BP96" i="3" l="1"/>
  <c r="BK704" i="4"/>
  <c r="BK713" i="4"/>
  <c r="BK674" i="4"/>
  <c r="BK682" i="4" s="1"/>
  <c r="AL80" i="3"/>
  <c r="L51" i="6" s="1"/>
  <c r="AK686" i="4"/>
  <c r="AK688" i="4" s="1"/>
  <c r="L64" i="6" s="1"/>
  <c r="AK722" i="4"/>
  <c r="AK726" i="4"/>
  <c r="AL35" i="4"/>
  <c r="AM80" i="3" s="1"/>
  <c r="AM476" i="4"/>
  <c r="AL722" i="4"/>
  <c r="AL686" i="4"/>
  <c r="AL688" i="4" s="1"/>
  <c r="AL726" i="4"/>
  <c r="BK35" i="4" l="1"/>
  <c r="AM35" i="4"/>
  <c r="AN476" i="4"/>
  <c r="BK726" i="4"/>
  <c r="BK723" i="4"/>
  <c r="BK722" i="4"/>
  <c r="BK686" i="4"/>
  <c r="AL689" i="4"/>
  <c r="AM82" i="3"/>
  <c r="AM96" i="3" s="1"/>
  <c r="AM702" i="4"/>
  <c r="AL82" i="3"/>
  <c r="BQ80" i="3"/>
  <c r="AO476" i="4" l="1"/>
  <c r="AN35" i="4"/>
  <c r="AO80" i="3" s="1"/>
  <c r="AO82" i="3" s="1"/>
  <c r="AO96" i="3" s="1"/>
  <c r="P26" i="8"/>
  <c r="F51" i="6"/>
  <c r="AM704" i="4"/>
  <c r="BL702" i="4"/>
  <c r="BL711" i="4" s="1"/>
  <c r="AN702" i="4"/>
  <c r="AN667" i="4" s="1"/>
  <c r="AM667" i="4"/>
  <c r="BQ82" i="3"/>
  <c r="AL96" i="3"/>
  <c r="BQ96" i="3" s="1"/>
  <c r="BK730" i="4"/>
  <c r="BK688" i="4"/>
  <c r="AN80" i="3"/>
  <c r="BL35" i="4"/>
  <c r="BL476" i="4"/>
  <c r="AN674" i="4" l="1"/>
  <c r="AN682" i="4" s="1"/>
  <c r="AN82" i="3"/>
  <c r="BR80" i="3"/>
  <c r="BM667" i="4"/>
  <c r="AM674" i="4"/>
  <c r="AM682" i="4" s="1"/>
  <c r="BL667" i="4"/>
  <c r="BL704" i="4"/>
  <c r="AO35" i="4"/>
  <c r="AP476" i="4"/>
  <c r="BM476" i="4" s="1"/>
  <c r="I71" i="8"/>
  <c r="F64" i="6"/>
  <c r="BK661" i="4"/>
  <c r="AN704" i="4"/>
  <c r="BM702" i="4"/>
  <c r="BM711" i="4" s="1"/>
  <c r="AO702" i="4"/>
  <c r="AO667" i="4" s="1"/>
  <c r="BM704" i="4" l="1"/>
  <c r="AO674" i="4"/>
  <c r="AO682" i="4" s="1"/>
  <c r="AO704" i="4"/>
  <c r="AP702" i="4"/>
  <c r="AP35" i="4"/>
  <c r="AQ80" i="3" s="1"/>
  <c r="AQ82" i="3" s="1"/>
  <c r="AQ96" i="3" s="1"/>
  <c r="AQ476" i="4"/>
  <c r="AM726" i="4"/>
  <c r="AM722" i="4"/>
  <c r="AM686" i="4"/>
  <c r="AM688" i="4" s="1"/>
  <c r="AP80" i="3"/>
  <c r="BM674" i="4"/>
  <c r="BM682" i="4" s="1"/>
  <c r="BM713" i="4"/>
  <c r="BR82" i="3"/>
  <c r="AN96" i="3"/>
  <c r="BR96" i="3" s="1"/>
  <c r="BL713" i="4"/>
  <c r="BL674" i="4"/>
  <c r="BL682" i="4" s="1"/>
  <c r="Q26" i="8"/>
  <c r="G51" i="6"/>
  <c r="AN686" i="4"/>
  <c r="AN688" i="4" s="1"/>
  <c r="AN726" i="4"/>
  <c r="AN722" i="4"/>
  <c r="BM35" i="4" l="1"/>
  <c r="BM722" i="4"/>
  <c r="BM723" i="4"/>
  <c r="BM686" i="4"/>
  <c r="BM726" i="4"/>
  <c r="BS80" i="3"/>
  <c r="AP82" i="3"/>
  <c r="AO726" i="4"/>
  <c r="AO686" i="4"/>
  <c r="AO688" i="4" s="1"/>
  <c r="AO722" i="4"/>
  <c r="AN689" i="4"/>
  <c r="AP704" i="4"/>
  <c r="BN702" i="4"/>
  <c r="BN711" i="4" s="1"/>
  <c r="AQ702" i="4"/>
  <c r="AQ667" i="4" s="1"/>
  <c r="BL726" i="4"/>
  <c r="BL722" i="4"/>
  <c r="BL723" i="4"/>
  <c r="BL686" i="4"/>
  <c r="AP667" i="4"/>
  <c r="BN476" i="4"/>
  <c r="AQ35" i="4"/>
  <c r="AR476" i="4"/>
  <c r="AR35" i="4" s="1"/>
  <c r="AS80" i="3" s="1"/>
  <c r="AS82" i="3" s="1"/>
  <c r="AS96" i="3" s="1"/>
  <c r="AP96" i="3" l="1"/>
  <c r="BS96" i="3" s="1"/>
  <c r="BS82" i="3"/>
  <c r="BM730" i="4"/>
  <c r="BM688" i="4"/>
  <c r="BN704" i="4"/>
  <c r="AP674" i="4"/>
  <c r="AP682" i="4" s="1"/>
  <c r="BN667" i="4"/>
  <c r="AQ674" i="4"/>
  <c r="AQ682" i="4" s="1"/>
  <c r="BN35" i="4"/>
  <c r="AR80" i="3"/>
  <c r="BL730" i="4"/>
  <c r="BL688" i="4"/>
  <c r="AR702" i="4"/>
  <c r="AR667" i="4" s="1"/>
  <c r="AQ704" i="4"/>
  <c r="AR674" i="4" l="1"/>
  <c r="AR682" i="4" s="1"/>
  <c r="AQ722" i="4"/>
  <c r="AQ726" i="4"/>
  <c r="AQ686" i="4"/>
  <c r="AQ688" i="4" s="1"/>
  <c r="G64" i="6"/>
  <c r="BL661" i="4"/>
  <c r="J71" i="8"/>
  <c r="BN674" i="4"/>
  <c r="BN682" i="4" s="1"/>
  <c r="BN713" i="4"/>
  <c r="BT80" i="3"/>
  <c r="AR82" i="3"/>
  <c r="AR704" i="4"/>
  <c r="AT713" i="4"/>
  <c r="AP722" i="4"/>
  <c r="AP726" i="4"/>
  <c r="AP686" i="4"/>
  <c r="AP688" i="4" s="1"/>
  <c r="BM661" i="4"/>
  <c r="AR96" i="3" l="1"/>
  <c r="BT96" i="3" s="1"/>
  <c r="BT82" i="3"/>
  <c r="AR722" i="4"/>
  <c r="AR726" i="4"/>
  <c r="AR686" i="4"/>
  <c r="AR688" i="4" s="1"/>
  <c r="AR689" i="4" s="1"/>
  <c r="BN723" i="4"/>
  <c r="BN726" i="4"/>
  <c r="BN722" i="4"/>
  <c r="BN686" i="4"/>
  <c r="AP689" i="4"/>
  <c r="BN688" i="4" l="1"/>
  <c r="BN730" i="4"/>
  <c r="BN661" i="4" l="1"/>
  <c r="AI695" i="4" l="1"/>
  <c r="AI732" i="4" s="1"/>
  <c r="AI480" i="4"/>
  <c r="AJ480" i="4" s="1"/>
  <c r="AI731" i="4" l="1"/>
  <c r="AK480" i="4"/>
  <c r="AL480" i="4" s="1"/>
  <c r="AM480" i="4" s="1"/>
  <c r="AN480" i="4" s="1"/>
  <c r="AO480" i="4" s="1"/>
  <c r="AP480" i="4" s="1"/>
  <c r="AQ480" i="4" s="1"/>
  <c r="AJ691" i="4"/>
  <c r="AJ695" i="4" s="1"/>
  <c r="AJ335" i="4"/>
  <c r="AJ259" i="4"/>
  <c r="BJ480" i="4"/>
  <c r="AJ105" i="4"/>
  <c r="AJ183" i="4"/>
  <c r="BL480" i="4" l="1"/>
  <c r="AK691" i="4"/>
  <c r="AK695" i="4" s="1"/>
  <c r="BJ691" i="4"/>
  <c r="BJ695" i="4" s="1"/>
  <c r="BJ731" i="4" s="1"/>
  <c r="BK480" i="4"/>
  <c r="AK335" i="4"/>
  <c r="BJ335" i="4"/>
  <c r="AJ406" i="4"/>
  <c r="AJ732" i="4"/>
  <c r="AJ731" i="4"/>
  <c r="BJ183" i="4"/>
  <c r="AK183" i="4"/>
  <c r="AL691" i="4"/>
  <c r="BK691" i="4" s="1"/>
  <c r="BK695" i="4" s="1"/>
  <c r="AK105" i="4"/>
  <c r="BJ105" i="4"/>
  <c r="AR480" i="4"/>
  <c r="BN480" i="4" s="1"/>
  <c r="AK259" i="4"/>
  <c r="BJ259" i="4"/>
  <c r="BM480" i="4"/>
  <c r="BJ732" i="4" l="1"/>
  <c r="BK732" i="4"/>
  <c r="BK731" i="4"/>
  <c r="AL183" i="4"/>
  <c r="BK183" i="4" s="1"/>
  <c r="AK731" i="4"/>
  <c r="AK732" i="4"/>
  <c r="AM691" i="4"/>
  <c r="BL691" i="4" s="1"/>
  <c r="BL695" i="4" s="1"/>
  <c r="AL695" i="4"/>
  <c r="AL259" i="4"/>
  <c r="AM259" i="4" s="1"/>
  <c r="AL105" i="4"/>
  <c r="BK105" i="4" s="1"/>
  <c r="BJ406" i="4"/>
  <c r="AL335" i="4"/>
  <c r="AK406" i="4"/>
  <c r="BK259" i="4" l="1"/>
  <c r="BL732" i="4"/>
  <c r="BL731" i="4"/>
  <c r="AM335" i="4"/>
  <c r="AL406" i="4"/>
  <c r="AM105" i="4"/>
  <c r="AN259" i="4"/>
  <c r="AO259" i="4" s="1"/>
  <c r="AM695" i="4"/>
  <c r="AN691" i="4"/>
  <c r="BM691" i="4" s="1"/>
  <c r="BM695" i="4" s="1"/>
  <c r="AM183" i="4"/>
  <c r="BK335" i="4"/>
  <c r="BK406" i="4" s="1"/>
  <c r="AL732" i="4"/>
  <c r="AL731" i="4"/>
  <c r="BL259" i="4" l="1"/>
  <c r="AM732" i="4"/>
  <c r="AM731" i="4"/>
  <c r="AN335" i="4"/>
  <c r="BL335" i="4" s="1"/>
  <c r="AM406" i="4"/>
  <c r="BM731" i="4"/>
  <c r="BM732" i="4"/>
  <c r="AN105" i="4"/>
  <c r="BL105" i="4" s="1"/>
  <c r="AN183" i="4"/>
  <c r="BL183" i="4" s="1"/>
  <c r="AO691" i="4"/>
  <c r="AN695" i="4"/>
  <c r="AP259" i="4"/>
  <c r="AQ259" i="4" s="1"/>
  <c r="BL406" i="4" l="1"/>
  <c r="BM259" i="4"/>
  <c r="AN732" i="4"/>
  <c r="AN731" i="4"/>
  <c r="AO105" i="4"/>
  <c r="AO335" i="4"/>
  <c r="AN406" i="4"/>
  <c r="AP691" i="4"/>
  <c r="AO695" i="4"/>
  <c r="AR259" i="4"/>
  <c r="BN259" i="4" s="1"/>
  <c r="AO183" i="4"/>
  <c r="AO732" i="4" l="1"/>
  <c r="AO731" i="4"/>
  <c r="AP695" i="4"/>
  <c r="AQ691" i="4"/>
  <c r="AP183" i="4"/>
  <c r="BM183" i="4" s="1"/>
  <c r="AP335" i="4"/>
  <c r="BM335" i="4" s="1"/>
  <c r="BM406" i="4" s="1"/>
  <c r="AO406" i="4"/>
  <c r="BN691" i="4"/>
  <c r="BN695" i="4" s="1"/>
  <c r="AP105" i="4"/>
  <c r="BM105" i="4" s="1"/>
  <c r="AP732" i="4" l="1"/>
  <c r="AP731" i="4"/>
  <c r="BN731" i="4"/>
  <c r="BN732" i="4"/>
  <c r="AP406" i="4"/>
  <c r="AQ335" i="4"/>
  <c r="AQ183" i="4"/>
  <c r="AQ105" i="4"/>
  <c r="AR691" i="4"/>
  <c r="AR695" i="4" s="1"/>
  <c r="AQ695" i="4"/>
  <c r="AQ731" i="4" l="1"/>
  <c r="AQ732" i="4"/>
  <c r="AR732" i="4"/>
  <c r="AR731" i="4"/>
  <c r="AR105" i="4"/>
  <c r="AR183" i="4"/>
  <c r="BN183" i="4" s="1"/>
  <c r="AQ406" i="4"/>
  <c r="AR335" i="4"/>
  <c r="AR406" i="4" s="1"/>
  <c r="BN105" i="4" l="1"/>
  <c r="BN335" i="4"/>
  <c r="BN406" i="4" s="1"/>
  <c r="AI193" i="4" l="1"/>
  <c r="AJ193" i="4" l="1"/>
  <c r="AK193" i="4" s="1"/>
  <c r="AI202" i="4"/>
  <c r="AI204" i="4"/>
  <c r="AJ204" i="4" s="1"/>
  <c r="AK204" i="4" s="1"/>
  <c r="AL204" i="4" s="1"/>
  <c r="AM204" i="4" s="1"/>
  <c r="AN204" i="4" s="1"/>
  <c r="AO204" i="4" s="1"/>
  <c r="AP204" i="4" s="1"/>
  <c r="AQ204" i="4" s="1"/>
  <c r="AR204" i="4" s="1"/>
  <c r="AJ195" i="4" l="1"/>
  <c r="BJ195" i="4" s="1"/>
  <c r="BJ193" i="4"/>
  <c r="BJ202" i="4" s="1"/>
  <c r="AK195" i="4"/>
  <c r="AL193" i="4"/>
  <c r="BJ204" i="4" l="1"/>
  <c r="AL195" i="4"/>
  <c r="BK193" i="4"/>
  <c r="AM193" i="4"/>
  <c r="BK204" i="4" l="1"/>
  <c r="BK202" i="4"/>
  <c r="AN193" i="4"/>
  <c r="AM195" i="4"/>
  <c r="BK195" i="4"/>
  <c r="AO193" i="4" l="1"/>
  <c r="AN195" i="4"/>
  <c r="BL193" i="4"/>
  <c r="BL202" i="4" l="1"/>
  <c r="BL204" i="4"/>
  <c r="BL195" i="4"/>
  <c r="AP193" i="4"/>
  <c r="AO195" i="4"/>
  <c r="AQ193" i="4" l="1"/>
  <c r="AP195" i="4"/>
  <c r="BM193" i="4"/>
  <c r="AR193" i="4" l="1"/>
  <c r="AQ195" i="4"/>
  <c r="BM202" i="4"/>
  <c r="BM204" i="4"/>
  <c r="BM195" i="4"/>
  <c r="BN193" i="4" l="1"/>
  <c r="AR195" i="4"/>
  <c r="AT204" i="4"/>
  <c r="BN195" i="4" l="1"/>
  <c r="BN204" i="4"/>
  <c r="BN202" i="4"/>
  <c r="AI16" i="4" l="1"/>
  <c r="AI234" i="4" s="1"/>
  <c r="AI385" i="4" s="1"/>
  <c r="AI233" i="4"/>
  <c r="AI384" i="4" s="1"/>
  <c r="AI19" i="4" l="1"/>
  <c r="AJ64" i="3"/>
  <c r="J35" i="6" s="1"/>
  <c r="AI237" i="4"/>
  <c r="AI284" i="4" s="1"/>
  <c r="AJ67" i="3" l="1"/>
  <c r="AJ68" i="3" s="1"/>
  <c r="AI57" i="4"/>
  <c r="AJ237" i="4"/>
  <c r="AJ73" i="3" l="1"/>
  <c r="U6" i="32"/>
  <c r="U10" i="32" s="1"/>
  <c r="J39" i="6"/>
  <c r="J38" i="6" s="1"/>
  <c r="AJ535" i="3"/>
  <c r="J109" i="6" s="1"/>
  <c r="AJ77" i="3"/>
  <c r="AJ528" i="3"/>
  <c r="J104" i="6" s="1"/>
  <c r="AJ232" i="4"/>
  <c r="AJ234" i="4"/>
  <c r="AJ246" i="4"/>
  <c r="AK237" i="4"/>
  <c r="AJ231" i="4"/>
  <c r="AJ247" i="4"/>
  <c r="AJ233" i="4"/>
  <c r="BJ237" i="4"/>
  <c r="BJ284" i="4" s="1"/>
  <c r="AJ530" i="3" l="1"/>
  <c r="J105" i="6" s="1"/>
  <c r="J44" i="6"/>
  <c r="J43" i="6" s="1"/>
  <c r="AJ527" i="3"/>
  <c r="J103" i="6" s="1"/>
  <c r="AJ531" i="3"/>
  <c r="AJ534" i="3"/>
  <c r="U17" i="32"/>
  <c r="J48" i="6"/>
  <c r="J52" i="6" s="1"/>
  <c r="AJ81" i="3"/>
  <c r="AJ476" i="3"/>
  <c r="AJ501" i="3" s="1"/>
  <c r="AJ384" i="4"/>
  <c r="BJ384" i="4" s="1"/>
  <c r="BJ233" i="4"/>
  <c r="AJ385" i="4"/>
  <c r="BJ385" i="4" s="1"/>
  <c r="BJ234" i="4"/>
  <c r="BJ231" i="4"/>
  <c r="AJ238" i="4"/>
  <c r="AJ382" i="4"/>
  <c r="BJ232" i="4"/>
  <c r="AJ383" i="4"/>
  <c r="BJ247" i="4"/>
  <c r="AJ25" i="4"/>
  <c r="AJ394" i="4"/>
  <c r="BJ394" i="4" s="1"/>
  <c r="V137" i="28"/>
  <c r="V6" i="28" s="1"/>
  <c r="AK233" i="4"/>
  <c r="AK246" i="4"/>
  <c r="AL237" i="4"/>
  <c r="AK234" i="4"/>
  <c r="AK247" i="4"/>
  <c r="AK231" i="4"/>
  <c r="AK232" i="4"/>
  <c r="AJ24" i="4"/>
  <c r="AJ393" i="4"/>
  <c r="BJ393" i="4" s="1"/>
  <c r="BJ246" i="4"/>
  <c r="U23" i="32" l="1"/>
  <c r="J108" i="6"/>
  <c r="BJ25" i="4"/>
  <c r="U20" i="32"/>
  <c r="J15" i="6"/>
  <c r="V176" i="28"/>
  <c r="V12" i="28" s="1"/>
  <c r="AJ84" i="3"/>
  <c r="AJ341" i="3"/>
  <c r="AJ525" i="3"/>
  <c r="J101" i="6" s="1"/>
  <c r="AJ474" i="3"/>
  <c r="AJ524" i="3"/>
  <c r="J100" i="6" s="1"/>
  <c r="AJ472" i="3"/>
  <c r="U25" i="32" s="1"/>
  <c r="AJ536" i="3"/>
  <c r="J110" i="6" s="1"/>
  <c r="AJ526" i="3"/>
  <c r="J102" i="6" s="1"/>
  <c r="AK24" i="4"/>
  <c r="AK393" i="4"/>
  <c r="BJ382" i="4"/>
  <c r="AK72" i="3"/>
  <c r="BJ24" i="4"/>
  <c r="AL234" i="4"/>
  <c r="BK234" i="4" s="1"/>
  <c r="AL246" i="4"/>
  <c r="AL233" i="4"/>
  <c r="BK233" i="4" s="1"/>
  <c r="AM237" i="4"/>
  <c r="AL232" i="4"/>
  <c r="BK232" i="4" s="1"/>
  <c r="AL247" i="4"/>
  <c r="BK247" i="4" s="1"/>
  <c r="AL231" i="4"/>
  <c r="BK231" i="4" s="1"/>
  <c r="AJ31" i="3"/>
  <c r="AJ30" i="3"/>
  <c r="AJ250" i="4"/>
  <c r="W153" i="28"/>
  <c r="W65" i="28" s="1"/>
  <c r="AK385" i="4"/>
  <c r="V9" i="28"/>
  <c r="V8" i="28"/>
  <c r="BJ383" i="4"/>
  <c r="AK383" i="4"/>
  <c r="AK384" i="4"/>
  <c r="AK238" i="4"/>
  <c r="AK382" i="4"/>
  <c r="BK237" i="4"/>
  <c r="BK284" i="4" s="1"/>
  <c r="AK394" i="4"/>
  <c r="AK25" i="4"/>
  <c r="BJ238" i="4"/>
  <c r="AJ86" i="3" l="1"/>
  <c r="BP86" i="3" s="1"/>
  <c r="U26" i="32"/>
  <c r="J55" i="6"/>
  <c r="J53" i="6" s="1"/>
  <c r="J16" i="6"/>
  <c r="BP72" i="3"/>
  <c r="V9" i="32"/>
  <c r="AJ473" i="3"/>
  <c r="AJ499" i="3"/>
  <c r="AJ470" i="3"/>
  <c r="AJ497" i="3" s="1"/>
  <c r="V14" i="28"/>
  <c r="V15" i="28"/>
  <c r="AJ471" i="3"/>
  <c r="AJ498" i="3" s="1"/>
  <c r="AJ500" i="3"/>
  <c r="AJ475" i="3"/>
  <c r="AJ58" i="3"/>
  <c r="AJ37" i="3"/>
  <c r="AJ578" i="3" s="1"/>
  <c r="AL238" i="4"/>
  <c r="AL382" i="4"/>
  <c r="BK382" i="4" s="1"/>
  <c r="AL24" i="4"/>
  <c r="AL393" i="4"/>
  <c r="BK393" i="4" s="1"/>
  <c r="AL394" i="4"/>
  <c r="BK394" i="4" s="1"/>
  <c r="AL25" i="4"/>
  <c r="AL385" i="4"/>
  <c r="BK385" i="4" s="1"/>
  <c r="BK246" i="4"/>
  <c r="X153" i="28"/>
  <c r="X65" i="28" s="1"/>
  <c r="AK250" i="4"/>
  <c r="W67" i="28"/>
  <c r="W68" i="28"/>
  <c r="AL383" i="4"/>
  <c r="AL384" i="4"/>
  <c r="BK384" i="4" s="1"/>
  <c r="BJ250" i="4"/>
  <c r="AP153" i="28"/>
  <c r="AP65" i="28" s="1"/>
  <c r="BK238" i="4"/>
  <c r="AJ293" i="4"/>
  <c r="AM234" i="4"/>
  <c r="AM246" i="4"/>
  <c r="AM233" i="4"/>
  <c r="AM247" i="4"/>
  <c r="AM231" i="4"/>
  <c r="AM232" i="4"/>
  <c r="AN237" i="4"/>
  <c r="BL237" i="4" s="1"/>
  <c r="BL284" i="4" s="1"/>
  <c r="AL72" i="3"/>
  <c r="W9" i="32" s="1"/>
  <c r="AO9" i="32" l="1"/>
  <c r="E13" i="33"/>
  <c r="AJ343" i="3"/>
  <c r="BP343" i="3" s="1"/>
  <c r="J19" i="6"/>
  <c r="J17" i="6"/>
  <c r="BK25" i="4"/>
  <c r="U28" i="32"/>
  <c r="J126" i="6"/>
  <c r="J18" i="6"/>
  <c r="J56" i="6"/>
  <c r="BK24" i="4"/>
  <c r="AJ345" i="3"/>
  <c r="AJ349" i="3" s="1"/>
  <c r="BK250" i="4"/>
  <c r="AQ153" i="28"/>
  <c r="AQ65" i="28" s="1"/>
  <c r="AJ88" i="3"/>
  <c r="AJ94" i="3" s="1"/>
  <c r="AP67" i="28"/>
  <c r="AP68" i="28"/>
  <c r="BJ293" i="4"/>
  <c r="BJ299" i="4"/>
  <c r="AM385" i="4"/>
  <c r="BK383" i="4"/>
  <c r="AM72" i="3"/>
  <c r="AM394" i="4"/>
  <c r="AM25" i="4"/>
  <c r="AK293" i="4"/>
  <c r="AM383" i="4"/>
  <c r="AL250" i="4"/>
  <c r="Y153" i="28"/>
  <c r="Y65" i="28" s="1"/>
  <c r="AM393" i="4"/>
  <c r="AM24" i="4"/>
  <c r="AM382" i="4"/>
  <c r="AM238" i="4"/>
  <c r="AN246" i="4"/>
  <c r="AN231" i="4"/>
  <c r="AN233" i="4"/>
  <c r="BL233" i="4" s="1"/>
  <c r="AN232" i="4"/>
  <c r="BL232" i="4" s="1"/>
  <c r="AN234" i="4"/>
  <c r="AO237" i="4"/>
  <c r="AN247" i="4"/>
  <c r="AM384" i="4"/>
  <c r="X68" i="28"/>
  <c r="X67" i="28"/>
  <c r="AJ580" i="3"/>
  <c r="J128" i="6" s="1"/>
  <c r="BQ72" i="3" l="1"/>
  <c r="X9" i="32"/>
  <c r="AN382" i="4"/>
  <c r="BL382" i="4" s="1"/>
  <c r="AN238" i="4"/>
  <c r="AO233" i="4"/>
  <c r="AO232" i="4"/>
  <c r="AO247" i="4"/>
  <c r="AO246" i="4"/>
  <c r="AP237" i="4"/>
  <c r="AO231" i="4"/>
  <c r="AO234" i="4"/>
  <c r="AN393" i="4"/>
  <c r="BL393" i="4" s="1"/>
  <c r="AN24" i="4"/>
  <c r="BL231" i="4"/>
  <c r="BL246" i="4"/>
  <c r="AL293" i="4"/>
  <c r="BK293" i="4"/>
  <c r="BK299" i="4"/>
  <c r="Y68" i="28"/>
  <c r="Y67" i="28"/>
  <c r="AQ68" i="28"/>
  <c r="AQ67" i="28"/>
  <c r="AN385" i="4"/>
  <c r="BL385" i="4" s="1"/>
  <c r="AN72" i="3"/>
  <c r="Y9" i="32" s="1"/>
  <c r="AN25" i="4"/>
  <c r="AN394" i="4"/>
  <c r="BL394" i="4" s="1"/>
  <c r="AN383" i="4"/>
  <c r="BL383" i="4" s="1"/>
  <c r="BL247" i="4"/>
  <c r="BL234" i="4"/>
  <c r="AM250" i="4"/>
  <c r="Z153" i="28"/>
  <c r="Z65" i="28" s="1"/>
  <c r="AN384" i="4"/>
  <c r="BL384" i="4" s="1"/>
  <c r="AJ98" i="3"/>
  <c r="AP9" i="32" l="1"/>
  <c r="F13" i="33"/>
  <c r="BL25" i="4"/>
  <c r="BL24" i="4"/>
  <c r="AJ101" i="3"/>
  <c r="AJ520" i="3"/>
  <c r="AO382" i="4"/>
  <c r="AO238" i="4"/>
  <c r="AO72" i="3"/>
  <c r="AO393" i="4"/>
  <c r="AO24" i="4"/>
  <c r="AO383" i="4"/>
  <c r="AO384" i="4"/>
  <c r="Z67" i="28"/>
  <c r="Z68" i="28"/>
  <c r="AA153" i="28"/>
  <c r="AA65" i="28" s="1"/>
  <c r="AN250" i="4"/>
  <c r="AP233" i="4"/>
  <c r="BM233" i="4" s="1"/>
  <c r="AP231" i="4"/>
  <c r="AP246" i="4"/>
  <c r="BM246" i="4" s="1"/>
  <c r="AP247" i="4"/>
  <c r="AQ237" i="4"/>
  <c r="AP234" i="4"/>
  <c r="BM234" i="4" s="1"/>
  <c r="AP232" i="4"/>
  <c r="AM293" i="4"/>
  <c r="AO385" i="4"/>
  <c r="AO25" i="4"/>
  <c r="AO394" i="4"/>
  <c r="AK93" i="3"/>
  <c r="AJ91" i="3"/>
  <c r="AI41" i="4"/>
  <c r="BL238" i="4"/>
  <c r="BM237" i="4"/>
  <c r="BM284" i="4" s="1"/>
  <c r="J98" i="6" l="1"/>
  <c r="U29" i="32"/>
  <c r="BR72" i="3"/>
  <c r="Z9" i="32"/>
  <c r="AJ162" i="3"/>
  <c r="AJ459" i="3"/>
  <c r="AJ454" i="3"/>
  <c r="AQ246" i="4"/>
  <c r="AQ231" i="4"/>
  <c r="AR237" i="4"/>
  <c r="BN237" i="4" s="1"/>
  <c r="BN284" i="4" s="1"/>
  <c r="AQ233" i="4"/>
  <c r="AQ247" i="4"/>
  <c r="AQ234" i="4"/>
  <c r="AQ232" i="4"/>
  <c r="AP25" i="4"/>
  <c r="AP394" i="4"/>
  <c r="AP383" i="4"/>
  <c r="AP393" i="4"/>
  <c r="BM393" i="4" s="1"/>
  <c r="AP24" i="4"/>
  <c r="AO250" i="4"/>
  <c r="AB153" i="28"/>
  <c r="AB65" i="28" s="1"/>
  <c r="BM394" i="4"/>
  <c r="AP382" i="4"/>
  <c r="BM382" i="4" s="1"/>
  <c r="AP238" i="4"/>
  <c r="AN293" i="4"/>
  <c r="BM231" i="4"/>
  <c r="AP385" i="4"/>
  <c r="BM385" i="4" s="1"/>
  <c r="AP384" i="4"/>
  <c r="BM384" i="4" s="1"/>
  <c r="AA67" i="28"/>
  <c r="AA68" i="28"/>
  <c r="BM232" i="4"/>
  <c r="AP72" i="3"/>
  <c r="AA9" i="32" s="1"/>
  <c r="BL250" i="4"/>
  <c r="AR153" i="28"/>
  <c r="AR65" i="28" s="1"/>
  <c r="AI71" i="4"/>
  <c r="AI66" i="4"/>
  <c r="AI490" i="4"/>
  <c r="BM247" i="4"/>
  <c r="AQ9" i="32" l="1"/>
  <c r="G13" i="33"/>
  <c r="BM25" i="4"/>
  <c r="AJ444" i="3"/>
  <c r="AJ424" i="3" s="1"/>
  <c r="J79" i="6"/>
  <c r="AJ466" i="3"/>
  <c r="AJ463" i="3"/>
  <c r="AJ154" i="3"/>
  <c r="AJ143" i="3" s="1"/>
  <c r="AJ160" i="3"/>
  <c r="AJ450" i="3" s="1"/>
  <c r="AJ272" i="3"/>
  <c r="AQ72" i="3"/>
  <c r="BM383" i="4"/>
  <c r="AQ383" i="4"/>
  <c r="AQ25" i="4"/>
  <c r="AQ394" i="4"/>
  <c r="AQ24" i="4"/>
  <c r="AQ393" i="4"/>
  <c r="AO293" i="4"/>
  <c r="AC153" i="28"/>
  <c r="AC65" i="28" s="1"/>
  <c r="AP250" i="4"/>
  <c r="AR247" i="4"/>
  <c r="BN247" i="4" s="1"/>
  <c r="AR234" i="4"/>
  <c r="BN234" i="4" s="1"/>
  <c r="AR246" i="4"/>
  <c r="BN246" i="4" s="1"/>
  <c r="AR232" i="4"/>
  <c r="AR233" i="4"/>
  <c r="BN233" i="4" s="1"/>
  <c r="AR231" i="4"/>
  <c r="AQ385" i="4"/>
  <c r="AQ382" i="4"/>
  <c r="AQ238" i="4"/>
  <c r="AI516" i="4"/>
  <c r="BM24" i="4"/>
  <c r="AR68" i="28"/>
  <c r="AR67" i="28"/>
  <c r="BM238" i="4"/>
  <c r="BL293" i="4"/>
  <c r="BL299" i="4"/>
  <c r="AB68" i="28"/>
  <c r="AB67" i="28"/>
  <c r="AQ384" i="4"/>
  <c r="BS72" i="3" l="1"/>
  <c r="AR9" i="32" s="1"/>
  <c r="AB9" i="32"/>
  <c r="AJ482" i="3"/>
  <c r="AJ506" i="3" s="1"/>
  <c r="J80" i="6"/>
  <c r="J23" i="6"/>
  <c r="AK143" i="3"/>
  <c r="AJ253" i="3"/>
  <c r="AJ264" i="3" s="1"/>
  <c r="AJ467" i="3"/>
  <c r="AJ522" i="3"/>
  <c r="AR384" i="4"/>
  <c r="BN384" i="4" s="1"/>
  <c r="AR394" i="4"/>
  <c r="BN394" i="4" s="1"/>
  <c r="AR25" i="4"/>
  <c r="AP293" i="4"/>
  <c r="AR238" i="4"/>
  <c r="AR382" i="4"/>
  <c r="BN382" i="4" s="1"/>
  <c r="AR383" i="4"/>
  <c r="AJ456" i="3"/>
  <c r="AC68" i="28"/>
  <c r="AC67" i="28"/>
  <c r="BM250" i="4"/>
  <c r="AS153" i="28"/>
  <c r="AS65" i="28" s="1"/>
  <c r="BN231" i="4"/>
  <c r="AR393" i="4"/>
  <c r="BN393" i="4" s="1"/>
  <c r="AR24" i="4"/>
  <c r="BN232" i="4"/>
  <c r="AJ164" i="3"/>
  <c r="AD153" i="28"/>
  <c r="AD65" i="28" s="1"/>
  <c r="AQ250" i="4"/>
  <c r="AR385" i="4"/>
  <c r="BN385" i="4" s="1"/>
  <c r="AR72" i="3"/>
  <c r="AC9" i="32" s="1"/>
  <c r="BN25" i="4" l="1"/>
  <c r="J99" i="6"/>
  <c r="U30" i="32"/>
  <c r="AJ483" i="3"/>
  <c r="AJ507" i="3" s="1"/>
  <c r="J81" i="6"/>
  <c r="AS72" i="3"/>
  <c r="BP143" i="3"/>
  <c r="AL143" i="3"/>
  <c r="AK253" i="3"/>
  <c r="BP253" i="3" s="1"/>
  <c r="BN383" i="4"/>
  <c r="BN24" i="4"/>
  <c r="AQ293" i="4"/>
  <c r="BM293" i="4"/>
  <c r="BM299" i="4"/>
  <c r="AD67" i="28"/>
  <c r="AD68" i="28"/>
  <c r="AR250" i="4"/>
  <c r="AE153" i="28"/>
  <c r="AE65" i="28" s="1"/>
  <c r="AJ581" i="3"/>
  <c r="BN238" i="4"/>
  <c r="AS67" i="28"/>
  <c r="AS68" i="28"/>
  <c r="AJ219" i="3"/>
  <c r="AJ274" i="3"/>
  <c r="BT72" i="3" l="1"/>
  <c r="AS9" i="32" s="1"/>
  <c r="AD9" i="32"/>
  <c r="J129" i="6"/>
  <c r="AM143" i="3"/>
  <c r="AL253" i="3"/>
  <c r="AT153" i="28"/>
  <c r="AT65" i="28" s="1"/>
  <c r="BN250" i="4"/>
  <c r="AE67" i="28"/>
  <c r="AE68" i="28"/>
  <c r="AR293" i="4"/>
  <c r="AN143" i="3" l="1"/>
  <c r="BQ143" i="3"/>
  <c r="AM253" i="3"/>
  <c r="BQ253" i="3" s="1"/>
  <c r="BN293" i="4"/>
  <c r="BN299" i="4"/>
  <c r="AT67" i="28"/>
  <c r="AT68" i="28"/>
  <c r="AO143" i="3" l="1"/>
  <c r="AN253" i="3"/>
  <c r="BR143" i="3" l="1"/>
  <c r="AO253" i="3"/>
  <c r="BR253" i="3" s="1"/>
  <c r="AP143" i="3"/>
  <c r="AP253" i="3" l="1"/>
  <c r="AQ143" i="3"/>
  <c r="AR143" i="3" l="1"/>
  <c r="BS143" i="3"/>
  <c r="AQ253" i="3"/>
  <c r="BS253" i="3" s="1"/>
  <c r="AR253" i="3" l="1"/>
  <c r="AS143" i="3"/>
  <c r="AS253" i="3" l="1"/>
  <c r="BT253" i="3" s="1"/>
  <c r="BT143" i="3"/>
  <c r="AJ276" i="3" l="1"/>
  <c r="J123" i="6" s="1"/>
  <c r="AK281" i="3"/>
  <c r="AJ49" i="3"/>
  <c r="AJ574" i="3" s="1"/>
  <c r="J122" i="6" s="1"/>
  <c r="AJ575" i="3" l="1"/>
  <c r="AL281" i="3"/>
  <c r="BP281" i="3"/>
  <c r="AM281" i="3" l="1"/>
  <c r="BQ281" i="3" l="1"/>
  <c r="AN281" i="3"/>
  <c r="AO281" i="3" l="1"/>
  <c r="AP281" i="3" l="1"/>
  <c r="BR281" i="3"/>
  <c r="AQ281" i="3" l="1"/>
  <c r="AR281" i="3" l="1"/>
  <c r="BS281" i="3"/>
  <c r="AS281" i="3" l="1"/>
  <c r="BT281" i="3" l="1"/>
  <c r="AJ309" i="3" l="1"/>
  <c r="J124" i="6" s="1"/>
  <c r="AJ55" i="3"/>
  <c r="AK326" i="3"/>
  <c r="BP326" i="3" s="1"/>
  <c r="AJ350" i="3" l="1"/>
  <c r="AJ351" i="3" s="1"/>
  <c r="AJ484" i="3"/>
  <c r="AL326" i="3"/>
  <c r="AI520" i="4"/>
  <c r="AJ576" i="3"/>
  <c r="AJ577" i="3" s="1"/>
  <c r="J125" i="6" s="1"/>
  <c r="AM326" i="3" l="1"/>
  <c r="BQ326" i="3" l="1"/>
  <c r="AN326" i="3"/>
  <c r="AJ359" i="3"/>
  <c r="AJ4" i="3" s="1"/>
  <c r="AJ339" i="3"/>
  <c r="AO326" i="3" l="1"/>
  <c r="BR326" i="3" l="1"/>
  <c r="AP326" i="3"/>
  <c r="AQ326" i="3" l="1"/>
  <c r="AR326" i="3" l="1"/>
  <c r="BS326" i="3"/>
  <c r="AS326" i="3" l="1"/>
  <c r="BT326" i="3" l="1"/>
  <c r="AI124" i="4" l="1"/>
  <c r="AJ79" i="4"/>
  <c r="AK79" i="4" l="1"/>
  <c r="AJ80" i="4"/>
  <c r="BJ80" i="4" l="1"/>
  <c r="AL79" i="4"/>
  <c r="AK80" i="4"/>
  <c r="BJ79" i="4" l="1"/>
  <c r="BJ124" i="4" s="1"/>
  <c r="AM79" i="4"/>
  <c r="AL80" i="4"/>
  <c r="AM80" i="4" l="1"/>
  <c r="AN79" i="4"/>
  <c r="BK80" i="4"/>
  <c r="BK79" i="4" l="1"/>
  <c r="BK124" i="4" s="1"/>
  <c r="AO79" i="4"/>
  <c r="AN80" i="4"/>
  <c r="BL80" i="4" s="1"/>
  <c r="AO80" i="4" l="1"/>
  <c r="AP79" i="4"/>
  <c r="BL79" i="4"/>
  <c r="BL124" i="4" s="1"/>
  <c r="AP80" i="4" l="1"/>
  <c r="AQ79" i="4"/>
  <c r="BM80" i="4" l="1"/>
  <c r="BM79" i="4" s="1"/>
  <c r="BM124" i="4" s="1"/>
  <c r="AR79" i="4"/>
  <c r="AR80" i="4" s="1"/>
  <c r="AQ80" i="4"/>
  <c r="BN80" i="4" l="1"/>
  <c r="BN79" i="4" l="1"/>
  <c r="BN124" i="4" s="1"/>
  <c r="AI270" i="4" l="1"/>
  <c r="AI281" i="4"/>
  <c r="AJ281" i="4" s="1"/>
  <c r="AK281" i="4" s="1"/>
  <c r="AL281" i="4" s="1"/>
  <c r="AM281" i="4" s="1"/>
  <c r="AN281" i="4" s="1"/>
  <c r="AO281" i="4" s="1"/>
  <c r="AP281" i="4" s="1"/>
  <c r="AQ281" i="4" s="1"/>
  <c r="AR281" i="4" s="1"/>
  <c r="AJ272" i="4"/>
  <c r="BJ272" i="4" s="1"/>
  <c r="AI279" i="4"/>
  <c r="AK272" i="4" l="1"/>
  <c r="AJ270" i="4"/>
  <c r="BJ270" i="4" s="1"/>
  <c r="BJ281" i="4"/>
  <c r="BJ279" i="4"/>
  <c r="AK270" i="4" l="1"/>
  <c r="AL272" i="4"/>
  <c r="BK272" i="4" s="1"/>
  <c r="AM272" i="4" l="1"/>
  <c r="AL270" i="4"/>
  <c r="BK270" i="4" s="1"/>
  <c r="BK279" i="4"/>
  <c r="BK281" i="4"/>
  <c r="AN272" i="4"/>
  <c r="AM270" i="4" l="1"/>
  <c r="AN270" i="4" s="1"/>
  <c r="BL272" i="4"/>
  <c r="AO272" i="4"/>
  <c r="BL281" i="4" l="1"/>
  <c r="BL279" i="4"/>
  <c r="AO270" i="4"/>
  <c r="AP272" i="4"/>
  <c r="BL270" i="4"/>
  <c r="BM272" i="4" l="1"/>
  <c r="AQ272" i="4"/>
  <c r="AP270" i="4"/>
  <c r="BM279" i="4" l="1"/>
  <c r="BM281" i="4"/>
  <c r="BM270" i="4"/>
  <c r="AQ270" i="4"/>
  <c r="AR272" i="4"/>
  <c r="BN272" i="4" l="1"/>
  <c r="AR270" i="4"/>
  <c r="BN270" i="4" l="1"/>
  <c r="BN281" i="4"/>
  <c r="BN279" i="4"/>
  <c r="AI269" i="4" l="1"/>
  <c r="AI280" i="4" s="1"/>
  <c r="AJ280" i="4" s="1"/>
  <c r="AK280" i="4" s="1"/>
  <c r="AL280" i="4" s="1"/>
  <c r="AM280" i="4" s="1"/>
  <c r="AN280" i="4" s="1"/>
  <c r="AO280" i="4" s="1"/>
  <c r="AP280" i="4" s="1"/>
  <c r="AQ280" i="4" s="1"/>
  <c r="AR280" i="4" s="1"/>
  <c r="AJ269" i="4" l="1"/>
  <c r="AJ271" i="4" s="1"/>
  <c r="BJ271" i="4" s="1"/>
  <c r="AI278" i="4"/>
  <c r="BJ269" i="4" l="1"/>
  <c r="BJ278" i="4" s="1"/>
  <c r="AK269" i="4"/>
  <c r="AK271" i="4" s="1"/>
  <c r="BJ280" i="4"/>
  <c r="AL269" i="4" l="1"/>
  <c r="AM269" i="4" s="1"/>
  <c r="AL271" i="4" l="1"/>
  <c r="BK271" i="4" s="1"/>
  <c r="BK269" i="4"/>
  <c r="BK278" i="4" s="1"/>
  <c r="AN269" i="4"/>
  <c r="AM271" i="4"/>
  <c r="BK280" i="4" l="1"/>
  <c r="BL269" i="4"/>
  <c r="AN271" i="4"/>
  <c r="AO269" i="4"/>
  <c r="BL278" i="4" l="1"/>
  <c r="BL280" i="4"/>
  <c r="AP269" i="4"/>
  <c r="AO271" i="4"/>
  <c r="BL271" i="4"/>
  <c r="AP271" i="4" l="1"/>
  <c r="BM269" i="4"/>
  <c r="AQ269" i="4"/>
  <c r="AR269" i="4" l="1"/>
  <c r="AQ271" i="4"/>
  <c r="BM278" i="4"/>
  <c r="BM280" i="4"/>
  <c r="BM271" i="4"/>
  <c r="AR271" i="4" l="1"/>
  <c r="BN269" i="4"/>
  <c r="BN278" i="4" l="1"/>
  <c r="BN280" i="4"/>
  <c r="BN271" i="4"/>
  <c r="AI418" i="4"/>
  <c r="AI493" i="4" s="1"/>
  <c r="AI357" i="4"/>
  <c r="AJ357" i="4" s="1"/>
  <c r="AK357" i="4" s="1"/>
  <c r="AL357" i="4" s="1"/>
  <c r="AM357" i="4" s="1"/>
  <c r="AN357" i="4" s="1"/>
  <c r="AO357" i="4" s="1"/>
  <c r="AP357" i="4" s="1"/>
  <c r="AQ357" i="4" s="1"/>
  <c r="AR357" i="4" s="1"/>
  <c r="AI419" i="4"/>
  <c r="AI494" i="4" s="1"/>
  <c r="AJ494" i="4" s="1"/>
  <c r="AI346" i="4"/>
  <c r="AI417" i="4" s="1"/>
  <c r="AI492" i="4" s="1"/>
  <c r="AI355" i="4"/>
  <c r="AJ348" i="4"/>
  <c r="BJ348" i="4" s="1"/>
  <c r="AI345" i="4" l="1"/>
  <c r="AI354" i="4" s="1"/>
  <c r="AK348" i="4"/>
  <c r="AL348" i="4" s="1"/>
  <c r="AL419" i="4" s="1"/>
  <c r="BJ357" i="4"/>
  <c r="BJ355" i="4"/>
  <c r="AJ501" i="4"/>
  <c r="BJ494" i="4"/>
  <c r="AK494" i="4"/>
  <c r="AJ503" i="4"/>
  <c r="AI503" i="4"/>
  <c r="AI501" i="4"/>
  <c r="AI428" i="4"/>
  <c r="AI426" i="4"/>
  <c r="AI416" i="4"/>
  <c r="AJ419" i="4"/>
  <c r="AJ428" i="4" s="1"/>
  <c r="AJ346" i="4"/>
  <c r="AI356" i="4" l="1"/>
  <c r="AJ356" i="4" s="1"/>
  <c r="AK356" i="4" s="1"/>
  <c r="AL356" i="4" s="1"/>
  <c r="AM356" i="4" s="1"/>
  <c r="AN356" i="4" s="1"/>
  <c r="AO356" i="4" s="1"/>
  <c r="AP356" i="4" s="1"/>
  <c r="AQ356" i="4" s="1"/>
  <c r="AR356" i="4" s="1"/>
  <c r="AK419" i="4"/>
  <c r="AM348" i="4"/>
  <c r="AM419" i="4" s="1"/>
  <c r="AM428" i="4" s="1"/>
  <c r="BK348" i="4"/>
  <c r="BK357" i="4" s="1"/>
  <c r="AJ345" i="4"/>
  <c r="BJ345" i="4" s="1"/>
  <c r="BJ356" i="4" s="1"/>
  <c r="AK503" i="4"/>
  <c r="AJ417" i="4"/>
  <c r="BJ417" i="4" s="1"/>
  <c r="BJ346" i="4"/>
  <c r="BJ419" i="4"/>
  <c r="AK428" i="4"/>
  <c r="AJ426" i="4"/>
  <c r="AK501" i="4"/>
  <c r="AL494" i="4"/>
  <c r="AL503" i="4" s="1"/>
  <c r="AL428" i="4"/>
  <c r="AK426" i="4"/>
  <c r="AI427" i="4"/>
  <c r="AI425" i="4"/>
  <c r="AI491" i="4"/>
  <c r="AK346" i="4"/>
  <c r="BJ503" i="4"/>
  <c r="BJ501" i="4"/>
  <c r="BK419" i="4"/>
  <c r="AL426" i="4"/>
  <c r="AN348" i="4" l="1"/>
  <c r="BK355" i="4"/>
  <c r="AJ347" i="4"/>
  <c r="AJ418" i="4" s="1"/>
  <c r="BJ418" i="4" s="1"/>
  <c r="AK345" i="4"/>
  <c r="AL345" i="4" s="1"/>
  <c r="BJ354" i="4"/>
  <c r="AJ416" i="4"/>
  <c r="AM426" i="4"/>
  <c r="AI502" i="4"/>
  <c r="AI500" i="4"/>
  <c r="AK417" i="4"/>
  <c r="AL346" i="4"/>
  <c r="AL501" i="4"/>
  <c r="AM494" i="4"/>
  <c r="BK494" i="4"/>
  <c r="BJ426" i="4"/>
  <c r="BJ428" i="4"/>
  <c r="BK426" i="4"/>
  <c r="BK428" i="4"/>
  <c r="AO348" i="4"/>
  <c r="AN419" i="4"/>
  <c r="AN428" i="4" s="1"/>
  <c r="BL348" i="4"/>
  <c r="BJ347" i="4" l="1"/>
  <c r="AK347" i="4"/>
  <c r="AK416" i="4"/>
  <c r="AK425" i="4" s="1"/>
  <c r="AJ425" i="4"/>
  <c r="AJ427" i="4"/>
  <c r="BJ416" i="4"/>
  <c r="AL416" i="4"/>
  <c r="AM345" i="4"/>
  <c r="BK345" i="4"/>
  <c r="BL419" i="4"/>
  <c r="AN426" i="4"/>
  <c r="AO419" i="4"/>
  <c r="AP348" i="4"/>
  <c r="AN494" i="4"/>
  <c r="AN503" i="4" s="1"/>
  <c r="AM501" i="4"/>
  <c r="AK418" i="4"/>
  <c r="AM503" i="4"/>
  <c r="AL417" i="4"/>
  <c r="BK417" i="4" s="1"/>
  <c r="BK346" i="4"/>
  <c r="AL347" i="4"/>
  <c r="AM346" i="4"/>
  <c r="BK503" i="4"/>
  <c r="BK501" i="4"/>
  <c r="BL357" i="4"/>
  <c r="BL355" i="4"/>
  <c r="AK427" i="4" l="1"/>
  <c r="BJ425" i="4"/>
  <c r="BJ427" i="4"/>
  <c r="BK354" i="4"/>
  <c r="BK356" i="4"/>
  <c r="AM416" i="4"/>
  <c r="AN345" i="4"/>
  <c r="AL425" i="4"/>
  <c r="BK416" i="4"/>
  <c r="AL427" i="4"/>
  <c r="AM417" i="4"/>
  <c r="AM347" i="4"/>
  <c r="AN346" i="4"/>
  <c r="AO426" i="4"/>
  <c r="AO428" i="4"/>
  <c r="AL418" i="4"/>
  <c r="BK418" i="4" s="1"/>
  <c r="BK347" i="4"/>
  <c r="BL426" i="4"/>
  <c r="BL428" i="4"/>
  <c r="BL494" i="4"/>
  <c r="AO494" i="4"/>
  <c r="AO503" i="4" s="1"/>
  <c r="AN501" i="4"/>
  <c r="AP419" i="4"/>
  <c r="AQ348" i="4"/>
  <c r="BM348" i="4"/>
  <c r="BK427" i="4" l="1"/>
  <c r="BK425" i="4"/>
  <c r="BL345" i="4"/>
  <c r="AN416" i="4"/>
  <c r="AO345" i="4"/>
  <c r="AM425" i="4"/>
  <c r="AM427" i="4"/>
  <c r="BM355" i="4"/>
  <c r="BM357" i="4"/>
  <c r="BL346" i="4"/>
  <c r="AN417" i="4"/>
  <c r="BL417" i="4" s="1"/>
  <c r="AN347" i="4"/>
  <c r="AO346" i="4"/>
  <c r="AM418" i="4"/>
  <c r="AQ419" i="4"/>
  <c r="AQ428" i="4" s="1"/>
  <c r="AR348" i="4"/>
  <c r="BM419" i="4"/>
  <c r="AP426" i="4"/>
  <c r="BL501" i="4"/>
  <c r="BL503" i="4"/>
  <c r="AO501" i="4"/>
  <c r="AP494" i="4"/>
  <c r="AP503" i="4" s="1"/>
  <c r="AP428" i="4"/>
  <c r="AP345" i="4" l="1"/>
  <c r="AO416" i="4"/>
  <c r="AN425" i="4"/>
  <c r="BL416" i="4"/>
  <c r="BL356" i="4"/>
  <c r="BL354" i="4"/>
  <c r="AN427" i="4"/>
  <c r="AR419" i="4"/>
  <c r="AR428" i="4" s="1"/>
  <c r="BN348" i="4"/>
  <c r="AO417" i="4"/>
  <c r="AO347" i="4"/>
  <c r="AP346" i="4"/>
  <c r="AP501" i="4"/>
  <c r="BM494" i="4"/>
  <c r="AQ494" i="4"/>
  <c r="AQ503" i="4" s="1"/>
  <c r="BM428" i="4"/>
  <c r="BM426" i="4"/>
  <c r="BL347" i="4"/>
  <c r="AN418" i="4"/>
  <c r="BL418" i="4" s="1"/>
  <c r="AQ426" i="4"/>
  <c r="AT357" i="4"/>
  <c r="BL425" i="4" l="1"/>
  <c r="BL427" i="4"/>
  <c r="AO427" i="4"/>
  <c r="AO425" i="4"/>
  <c r="BM345" i="4"/>
  <c r="AP416" i="4"/>
  <c r="AP427" i="4" s="1"/>
  <c r="AQ345" i="4"/>
  <c r="BN419" i="4"/>
  <c r="AR426" i="4"/>
  <c r="AT428" i="4"/>
  <c r="AP417" i="4"/>
  <c r="BM417" i="4" s="1"/>
  <c r="BM346" i="4"/>
  <c r="AP347" i="4"/>
  <c r="AQ346" i="4"/>
  <c r="BN357" i="4"/>
  <c r="BN355" i="4"/>
  <c r="BM503" i="4"/>
  <c r="BM501" i="4"/>
  <c r="AO418" i="4"/>
  <c r="AQ501" i="4"/>
  <c r="AR494" i="4"/>
  <c r="AR503" i="4" s="1"/>
  <c r="BM354" i="4" l="1"/>
  <c r="BM356" i="4"/>
  <c r="AR345" i="4"/>
  <c r="AQ416" i="4"/>
  <c r="AQ427" i="4" s="1"/>
  <c r="BM416" i="4"/>
  <c r="AP425" i="4"/>
  <c r="AQ417" i="4"/>
  <c r="AQ347" i="4"/>
  <c r="AR346" i="4"/>
  <c r="BN426" i="4"/>
  <c r="BN428" i="4"/>
  <c r="AP418" i="4"/>
  <c r="BM418" i="4" s="1"/>
  <c r="BM347" i="4"/>
  <c r="BN494" i="4"/>
  <c r="AR501" i="4"/>
  <c r="AT503" i="4"/>
  <c r="AQ425" i="4" l="1"/>
  <c r="BN345" i="4"/>
  <c r="AR416" i="4"/>
  <c r="BM427" i="4"/>
  <c r="BM425" i="4"/>
  <c r="AT356" i="4"/>
  <c r="BN346" i="4"/>
  <c r="AR417" i="4"/>
  <c r="BN417" i="4" s="1"/>
  <c r="AR347" i="4"/>
  <c r="AQ418" i="4"/>
  <c r="BN503" i="4"/>
  <c r="BN501" i="4"/>
  <c r="AT427" i="4" l="1"/>
  <c r="BN416" i="4"/>
  <c r="AR425" i="4"/>
  <c r="BN354" i="4"/>
  <c r="BN356" i="4"/>
  <c r="AR427" i="4"/>
  <c r="BN347" i="4"/>
  <c r="AR418" i="4"/>
  <c r="BN418" i="4" s="1"/>
  <c r="BN425" i="4" l="1"/>
  <c r="BN427" i="4"/>
  <c r="AI353" i="4" l="1"/>
  <c r="AJ309" i="4"/>
  <c r="AJ310" i="4" s="1"/>
  <c r="AJ12" i="4" s="1"/>
  <c r="AK62" i="3" l="1"/>
  <c r="AK61" i="3" s="1"/>
  <c r="AK309" i="4"/>
  <c r="AJ11" i="4"/>
  <c r="AJ50" i="4" s="1"/>
  <c r="BJ12" i="4"/>
  <c r="AJ381" i="4"/>
  <c r="BJ310" i="4"/>
  <c r="BP62" i="3" l="1"/>
  <c r="K33" i="6"/>
  <c r="V4" i="32"/>
  <c r="K32" i="6"/>
  <c r="AL309" i="4"/>
  <c r="AK310" i="4"/>
  <c r="BJ309" i="4"/>
  <c r="BJ353" i="4" s="1"/>
  <c r="AJ380" i="4"/>
  <c r="AJ424" i="4" s="1"/>
  <c r="BJ381" i="4"/>
  <c r="BJ11" i="4"/>
  <c r="BJ50" i="4" s="1"/>
  <c r="E33" i="6"/>
  <c r="O8" i="8"/>
  <c r="AO4" i="32" l="1"/>
  <c r="E5" i="33"/>
  <c r="BP61" i="3"/>
  <c r="E32" i="6" s="1"/>
  <c r="AK12" i="4"/>
  <c r="AK381" i="4"/>
  <c r="AL310" i="4"/>
  <c r="AM309" i="4"/>
  <c r="BJ380" i="4"/>
  <c r="BJ424" i="4" s="1"/>
  <c r="H43" i="8" l="1"/>
  <c r="O7" i="8"/>
  <c r="AK380" i="4"/>
  <c r="AK424" i="4" s="1"/>
  <c r="AL12" i="4"/>
  <c r="AL381" i="4"/>
  <c r="AL380" i="4" s="1"/>
  <c r="AK11" i="4"/>
  <c r="AK50" i="4" s="1"/>
  <c r="AL62" i="3"/>
  <c r="AM310" i="4"/>
  <c r="AN309" i="4"/>
  <c r="BK310" i="4"/>
  <c r="BK309" i="4" s="1"/>
  <c r="BK353" i="4" s="1"/>
  <c r="AL424" i="4" l="1"/>
  <c r="L33" i="6"/>
  <c r="W4" i="32"/>
  <c r="AM12" i="4"/>
  <c r="AM381" i="4"/>
  <c r="AL11" i="4"/>
  <c r="AL50" i="4" s="1"/>
  <c r="AM62" i="3"/>
  <c r="AN310" i="4"/>
  <c r="AO309" i="4"/>
  <c r="AL61" i="3"/>
  <c r="L32" i="6" s="1"/>
  <c r="BK12" i="4"/>
  <c r="BK381" i="4"/>
  <c r="BK380" i="4" s="1"/>
  <c r="BK424" i="4" s="1"/>
  <c r="AM61" i="3" l="1"/>
  <c r="X4" i="32"/>
  <c r="BQ62" i="3"/>
  <c r="AO310" i="4"/>
  <c r="AP309" i="4"/>
  <c r="AN12" i="4"/>
  <c r="AN381" i="4"/>
  <c r="AN380" i="4" s="1"/>
  <c r="AM380" i="4"/>
  <c r="AM424" i="4" s="1"/>
  <c r="AM11" i="4"/>
  <c r="AM50" i="4" s="1"/>
  <c r="AN62" i="3"/>
  <c r="Y4" i="32" s="1"/>
  <c r="BK11" i="4"/>
  <c r="BK50" i="4" s="1"/>
  <c r="BL310" i="4"/>
  <c r="BL309" i="4" s="1"/>
  <c r="BL353" i="4" s="1"/>
  <c r="AP4" i="32" l="1"/>
  <c r="F5" i="33"/>
  <c r="BQ61" i="3"/>
  <c r="P7" i="8" s="1"/>
  <c r="F33" i="6"/>
  <c r="P8" i="8"/>
  <c r="AN424" i="4"/>
  <c r="BL12" i="4"/>
  <c r="AN11" i="4"/>
  <c r="AN50" i="4" s="1"/>
  <c r="AO62" i="3"/>
  <c r="AN61" i="3"/>
  <c r="AQ309" i="4"/>
  <c r="AP310" i="4"/>
  <c r="BL381" i="4"/>
  <c r="BL380" i="4" s="1"/>
  <c r="BL424" i="4" s="1"/>
  <c r="AO12" i="4"/>
  <c r="AO381" i="4"/>
  <c r="I43" i="8" l="1"/>
  <c r="F32" i="6"/>
  <c r="BL11" i="4"/>
  <c r="BL50" i="4" s="1"/>
  <c r="AO61" i="3"/>
  <c r="Z4" i="32"/>
  <c r="BR62" i="3"/>
  <c r="BM310" i="4"/>
  <c r="BM309" i="4" s="1"/>
  <c r="BM353" i="4" s="1"/>
  <c r="AP381" i="4"/>
  <c r="AP380" i="4" s="1"/>
  <c r="AP12" i="4"/>
  <c r="AO380" i="4"/>
  <c r="AO424" i="4" s="1"/>
  <c r="AP62" i="3"/>
  <c r="AA4" i="32" s="1"/>
  <c r="AO11" i="4"/>
  <c r="AO50" i="4" s="1"/>
  <c r="AQ310" i="4"/>
  <c r="AR309" i="4"/>
  <c r="AR310" i="4" s="1"/>
  <c r="AI388" i="4"/>
  <c r="AI389" i="4" s="1"/>
  <c r="AI397" i="4" s="1"/>
  <c r="AI460" i="4"/>
  <c r="AI461" i="4" s="1"/>
  <c r="AI469" i="4" s="1"/>
  <c r="AJ317" i="4"/>
  <c r="AJ318" i="4" s="1"/>
  <c r="AI360" i="4"/>
  <c r="AQ4" i="32" l="1"/>
  <c r="G5" i="33"/>
  <c r="AJ326" i="4"/>
  <c r="G33" i="6"/>
  <c r="Q8" i="8"/>
  <c r="BR61" i="3"/>
  <c r="G32" i="6" s="1"/>
  <c r="BM381" i="4"/>
  <c r="BM380" i="4" s="1"/>
  <c r="BM424" i="4" s="1"/>
  <c r="BN310" i="4"/>
  <c r="BN309" i="4" s="1"/>
  <c r="BN353" i="4" s="1"/>
  <c r="AQ12" i="4"/>
  <c r="AQ381" i="4"/>
  <c r="BM12" i="4"/>
  <c r="AP11" i="4"/>
  <c r="AP50" i="4" s="1"/>
  <c r="AQ62" i="3"/>
  <c r="AB4" i="32" s="1"/>
  <c r="AP424" i="4"/>
  <c r="AR381" i="4"/>
  <c r="AR380" i="4" s="1"/>
  <c r="AR12" i="4"/>
  <c r="AP61" i="3"/>
  <c r="AI506" i="4"/>
  <c r="AJ460" i="4"/>
  <c r="AJ461" i="4" s="1"/>
  <c r="AJ469" i="4" s="1"/>
  <c r="AJ365" i="4"/>
  <c r="AI401" i="4"/>
  <c r="AI442" i="4"/>
  <c r="AI440" i="4"/>
  <c r="AI436" i="4"/>
  <c r="AI511" i="4"/>
  <c r="AI431" i="4"/>
  <c r="AK317" i="4"/>
  <c r="AI515" i="4"/>
  <c r="AI473" i="4"/>
  <c r="AI477" i="4" s="1"/>
  <c r="D54" i="33" s="1"/>
  <c r="D55" i="33" s="1"/>
  <c r="BJ317" i="4"/>
  <c r="AJ388" i="4"/>
  <c r="J68" i="6" l="1"/>
  <c r="J69" i="6" s="1"/>
  <c r="Q7" i="8"/>
  <c r="J43" i="8"/>
  <c r="AK460" i="4"/>
  <c r="AK19" i="4" s="1"/>
  <c r="AJ511" i="4"/>
  <c r="AR11" i="4"/>
  <c r="AS62" i="3"/>
  <c r="BM11" i="4"/>
  <c r="BM50" i="4" s="1"/>
  <c r="AQ380" i="4"/>
  <c r="AQ424" i="4" s="1"/>
  <c r="BN381" i="4"/>
  <c r="BN380" i="4" s="1"/>
  <c r="BN424" i="4" s="1"/>
  <c r="AJ506" i="4"/>
  <c r="AJ19" i="4"/>
  <c r="AJ57" i="4" s="1"/>
  <c r="AQ11" i="4"/>
  <c r="AQ50" i="4" s="1"/>
  <c r="AR62" i="3"/>
  <c r="AC4" i="32" s="1"/>
  <c r="BN12" i="4"/>
  <c r="BS62" i="3"/>
  <c r="AR4" i="32" s="1"/>
  <c r="AQ61" i="3"/>
  <c r="BJ460" i="4"/>
  <c r="AI403" i="4"/>
  <c r="AI376" i="4" s="1"/>
  <c r="AJ389" i="4"/>
  <c r="AJ397" i="4" s="1"/>
  <c r="AJ431" i="4"/>
  <c r="BJ388" i="4"/>
  <c r="AK318" i="4"/>
  <c r="AK326" i="4" s="1"/>
  <c r="AK388" i="4"/>
  <c r="AL317" i="4"/>
  <c r="BK317" i="4" s="1"/>
  <c r="BJ318" i="4"/>
  <c r="BJ360" i="4"/>
  <c r="AI448" i="4"/>
  <c r="AK506" i="4" l="1"/>
  <c r="AL460" i="4"/>
  <c r="BK460" i="4" s="1"/>
  <c r="BK506" i="4" s="1"/>
  <c r="BJ326" i="4"/>
  <c r="AK461" i="4"/>
  <c r="AK469" i="4" s="1"/>
  <c r="AS61" i="3"/>
  <c r="AD4" i="32"/>
  <c r="AK67" i="3"/>
  <c r="AR50" i="4"/>
  <c r="AR424" i="4"/>
  <c r="BS61" i="3"/>
  <c r="BN11" i="4"/>
  <c r="BN50" i="4" s="1"/>
  <c r="AR61" i="3"/>
  <c r="BT62" i="3"/>
  <c r="AS4" i="32" s="1"/>
  <c r="BJ19" i="4"/>
  <c r="BJ57" i="4" s="1"/>
  <c r="BJ461" i="4"/>
  <c r="BJ469" i="4" s="1"/>
  <c r="BJ506" i="4"/>
  <c r="BJ389" i="4"/>
  <c r="BJ397" i="4" s="1"/>
  <c r="BJ431" i="4"/>
  <c r="BK318" i="4"/>
  <c r="BK360" i="4"/>
  <c r="AL318" i="4"/>
  <c r="AL326" i="4" s="1"/>
  <c r="AL388" i="4"/>
  <c r="AL19" i="4"/>
  <c r="BK19" i="4" s="1"/>
  <c r="AM317" i="4"/>
  <c r="AJ436" i="4"/>
  <c r="AJ442" i="4"/>
  <c r="BK461" i="4"/>
  <c r="BK469" i="4" s="1"/>
  <c r="AK389" i="4"/>
  <c r="AK397" i="4" s="1"/>
  <c r="AK442" i="4" s="1"/>
  <c r="AK431" i="4"/>
  <c r="AL67" i="3"/>
  <c r="AK57" i="4"/>
  <c r="BJ365" i="4"/>
  <c r="BJ370" i="4"/>
  <c r="AK365" i="4"/>
  <c r="BO318" i="4" l="1"/>
  <c r="AL461" i="4"/>
  <c r="AL469" i="4" s="1"/>
  <c r="AL506" i="4"/>
  <c r="AM460" i="4"/>
  <c r="AM19" i="4" s="1"/>
  <c r="BP67" i="3"/>
  <c r="BK326" i="4"/>
  <c r="BT61" i="3"/>
  <c r="BJ511" i="4"/>
  <c r="AM67" i="3"/>
  <c r="AL57" i="4"/>
  <c r="AL389" i="4"/>
  <c r="AL397" i="4" s="1"/>
  <c r="AL442" i="4" s="1"/>
  <c r="AL431" i="4"/>
  <c r="BJ436" i="4"/>
  <c r="BJ442" i="4"/>
  <c r="AL365" i="4"/>
  <c r="BK57" i="4"/>
  <c r="BK388" i="4"/>
  <c r="AK436" i="4"/>
  <c r="AM318" i="4"/>
  <c r="AM326" i="4" s="1"/>
  <c r="AN317" i="4"/>
  <c r="BL317" i="4" s="1"/>
  <c r="AM388" i="4"/>
  <c r="AM506" i="4" l="1"/>
  <c r="E9" i="33"/>
  <c r="AN460" i="4"/>
  <c r="AO460" i="4" s="1"/>
  <c r="AM461" i="4"/>
  <c r="AM469" i="4" s="1"/>
  <c r="BK370" i="4"/>
  <c r="BO326" i="4"/>
  <c r="BK365" i="4"/>
  <c r="BK389" i="4"/>
  <c r="BK397" i="4" s="1"/>
  <c r="BK431" i="4"/>
  <c r="AL436" i="4"/>
  <c r="AN67" i="3"/>
  <c r="AM57" i="4"/>
  <c r="AM389" i="4"/>
  <c r="AM397" i="4" s="1"/>
  <c r="AM442" i="4" s="1"/>
  <c r="AM431" i="4"/>
  <c r="AN461" i="4"/>
  <c r="AN469" i="4" s="1"/>
  <c r="AN506" i="4"/>
  <c r="BL318" i="4"/>
  <c r="BL360" i="4"/>
  <c r="AN19" i="4"/>
  <c r="BL19" i="4" s="1"/>
  <c r="AN318" i="4"/>
  <c r="AN326" i="4" s="1"/>
  <c r="AN388" i="4"/>
  <c r="BL388" i="4" s="1"/>
  <c r="AO317" i="4"/>
  <c r="AM365" i="4"/>
  <c r="BQ67" i="3"/>
  <c r="F9" i="33" s="1"/>
  <c r="BL460" i="4"/>
  <c r="BL326" i="4" l="1"/>
  <c r="BL431" i="4"/>
  <c r="BL389" i="4"/>
  <c r="BL397" i="4" s="1"/>
  <c r="BK436" i="4"/>
  <c r="BK442" i="4"/>
  <c r="AO67" i="3"/>
  <c r="AN57" i="4"/>
  <c r="AO461" i="4"/>
  <c r="AO469" i="4" s="1"/>
  <c r="AP460" i="4"/>
  <c r="AO506" i="4"/>
  <c r="BL57" i="4"/>
  <c r="AO318" i="4"/>
  <c r="AO326" i="4" s="1"/>
  <c r="AP317" i="4"/>
  <c r="BM317" i="4" s="1"/>
  <c r="AO19" i="4"/>
  <c r="AO388" i="4"/>
  <c r="AN365" i="4"/>
  <c r="BL461" i="4"/>
  <c r="BL469" i="4" s="1"/>
  <c r="BL506" i="4"/>
  <c r="AN389" i="4"/>
  <c r="AN397" i="4" s="1"/>
  <c r="AN442" i="4" s="1"/>
  <c r="AN431" i="4"/>
  <c r="AM436" i="4"/>
  <c r="BL365" i="4" l="1"/>
  <c r="BL370" i="4"/>
  <c r="BM318" i="4"/>
  <c r="BM360" i="4"/>
  <c r="AO365" i="4"/>
  <c r="AO389" i="4"/>
  <c r="AO397" i="4" s="1"/>
  <c r="AO431" i="4"/>
  <c r="BL436" i="4"/>
  <c r="BL442" i="4"/>
  <c r="AP67" i="3"/>
  <c r="AO57" i="4"/>
  <c r="AP461" i="4"/>
  <c r="AP469" i="4" s="1"/>
  <c r="AQ460" i="4"/>
  <c r="AP506" i="4"/>
  <c r="AN436" i="4"/>
  <c r="AP318" i="4"/>
  <c r="AP326" i="4" s="1"/>
  <c r="AP388" i="4"/>
  <c r="BM388" i="4" s="1"/>
  <c r="AP19" i="4"/>
  <c r="AQ317" i="4"/>
  <c r="BM460" i="4"/>
  <c r="BR67" i="3"/>
  <c r="G9" i="33" s="1"/>
  <c r="BM326" i="4" l="1"/>
  <c r="BM431" i="4"/>
  <c r="BM389" i="4"/>
  <c r="BM397" i="4" s="1"/>
  <c r="AQ461" i="4"/>
  <c r="AQ469" i="4" s="1"/>
  <c r="AQ506" i="4"/>
  <c r="AR460" i="4"/>
  <c r="AO436" i="4"/>
  <c r="AP365" i="4"/>
  <c r="AQ388" i="4"/>
  <c r="AR317" i="4"/>
  <c r="AQ19" i="4"/>
  <c r="AQ318" i="4"/>
  <c r="AQ326" i="4" s="1"/>
  <c r="AQ67" i="3"/>
  <c r="AP57" i="4"/>
  <c r="BM461" i="4"/>
  <c r="BM469" i="4" s="1"/>
  <c r="BM506" i="4"/>
  <c r="AP389" i="4"/>
  <c r="AP397" i="4" s="1"/>
  <c r="AP442" i="4" s="1"/>
  <c r="AP431" i="4"/>
  <c r="BM19" i="4"/>
  <c r="AO442" i="4"/>
  <c r="BM370" i="4" l="1"/>
  <c r="BM365" i="4"/>
  <c r="BS67" i="3"/>
  <c r="AQ365" i="4"/>
  <c r="AR67" i="3"/>
  <c r="AQ57" i="4"/>
  <c r="AR318" i="4"/>
  <c r="AR326" i="4" s="1"/>
  <c r="AR388" i="4"/>
  <c r="BN388" i="4" s="1"/>
  <c r="AR19" i="4"/>
  <c r="BN19" i="4" s="1"/>
  <c r="AR461" i="4"/>
  <c r="AR469" i="4" s="1"/>
  <c r="AR506" i="4"/>
  <c r="AQ389" i="4"/>
  <c r="AQ397" i="4" s="1"/>
  <c r="AQ442" i="4" s="1"/>
  <c r="AQ431" i="4"/>
  <c r="BN460" i="4"/>
  <c r="BM57" i="4"/>
  <c r="AP436" i="4"/>
  <c r="BN317" i="4"/>
  <c r="BM436" i="4"/>
  <c r="BM442" i="4"/>
  <c r="BN57" i="4" l="1"/>
  <c r="BN318" i="4"/>
  <c r="BN326" i="4" s="1"/>
  <c r="BN360" i="4"/>
  <c r="AS67" i="3"/>
  <c r="AR57" i="4"/>
  <c r="BN431" i="4"/>
  <c r="BN389" i="4"/>
  <c r="BN397" i="4" s="1"/>
  <c r="AR389" i="4"/>
  <c r="AR397" i="4" s="1"/>
  <c r="AR442" i="4" s="1"/>
  <c r="AR431" i="4"/>
  <c r="BN461" i="4"/>
  <c r="BN469" i="4" s="1"/>
  <c r="BN506" i="4"/>
  <c r="AQ436" i="4"/>
  <c r="AR365" i="4"/>
  <c r="BT67" i="3" l="1"/>
  <c r="BN365" i="4"/>
  <c r="BN370" i="4"/>
  <c r="AR436" i="4"/>
  <c r="BN436" i="4"/>
  <c r="BN442" i="4"/>
  <c r="AX15" i="28" l="1"/>
  <c r="AX7" i="28" l="1"/>
  <c r="V12" i="3" l="1"/>
  <c r="K11" i="3"/>
  <c r="R10" i="3"/>
  <c r="L13" i="3"/>
  <c r="K10" i="3"/>
  <c r="BC10" i="3" s="1"/>
  <c r="K13" i="3"/>
  <c r="BC13" i="3" s="1"/>
  <c r="AH10" i="3"/>
  <c r="P10" i="3"/>
  <c r="H10" i="3"/>
  <c r="AG10" i="3"/>
  <c r="P12" i="3"/>
  <c r="E13" i="3"/>
  <c r="AZ13" i="3" s="1"/>
  <c r="AD11" i="3"/>
  <c r="J12" i="3"/>
  <c r="AF12" i="3"/>
  <c r="M11" i="3"/>
  <c r="AV11" i="3"/>
  <c r="X12" i="3"/>
  <c r="V10" i="3"/>
  <c r="AG11" i="3"/>
  <c r="S13" i="3"/>
  <c r="O13" i="3"/>
  <c r="BE13" i="3" s="1"/>
  <c r="AX13" i="3"/>
  <c r="AC13" i="3"/>
  <c r="BL13" i="3" s="1"/>
  <c r="Z11" i="3"/>
  <c r="U10" i="3"/>
  <c r="BH10" i="3" s="1"/>
  <c r="AV10" i="3"/>
  <c r="F10" i="3"/>
  <c r="AA12" i="3"/>
  <c r="BK12" i="3" s="1"/>
  <c r="E11" i="3"/>
  <c r="L10" i="3"/>
  <c r="S10" i="3"/>
  <c r="Y10" i="3"/>
  <c r="M13" i="3"/>
  <c r="BD13" i="3" s="1"/>
  <c r="AF10" i="3"/>
  <c r="L12" i="3"/>
  <c r="E10" i="3"/>
  <c r="N12" i="3"/>
  <c r="Z13" i="3"/>
  <c r="W10" i="3"/>
  <c r="BI10" i="3" s="1"/>
  <c r="I12" i="3"/>
  <c r="BB12" i="3" s="1"/>
  <c r="AW12" i="3"/>
  <c r="AU13" i="3"/>
  <c r="AF11" i="3"/>
  <c r="T12" i="3"/>
  <c r="AE12" i="3"/>
  <c r="AE13" i="3"/>
  <c r="G10" i="3"/>
  <c r="AH12" i="3"/>
  <c r="S12" i="3"/>
  <c r="BG12" i="3" s="1"/>
  <c r="F11" i="3"/>
  <c r="W11" i="3"/>
  <c r="AX10" i="3"/>
  <c r="AV13" i="3"/>
  <c r="O11" i="3"/>
  <c r="H13" i="3"/>
  <c r="W12" i="3"/>
  <c r="R11" i="3"/>
  <c r="O12" i="3"/>
  <c r="BE12" i="3" s="1"/>
  <c r="H12" i="3"/>
  <c r="AA10" i="3"/>
  <c r="V13" i="3"/>
  <c r="AB12" i="3"/>
  <c r="Q12" i="3"/>
  <c r="BF12" i="3" s="1"/>
  <c r="N13" i="3"/>
  <c r="F12" i="3"/>
  <c r="AX12" i="3"/>
  <c r="D11" i="3"/>
  <c r="AU12" i="3"/>
  <c r="Y12" i="3"/>
  <c r="BJ12" i="3" s="1"/>
  <c r="Q13" i="3"/>
  <c r="BF13" i="3" s="1"/>
  <c r="P11" i="3"/>
  <c r="Q10" i="3"/>
  <c r="BF10" i="3" s="1"/>
  <c r="J11" i="3"/>
  <c r="W13" i="3"/>
  <c r="I13" i="3"/>
  <c r="BB13" i="3" s="1"/>
  <c r="AF13" i="3"/>
  <c r="P13" i="3"/>
  <c r="X10" i="3"/>
  <c r="Y13" i="3"/>
  <c r="BJ13" i="3" s="1"/>
  <c r="AE11" i="3"/>
  <c r="Z10" i="3"/>
  <c r="Z16" i="3" s="1"/>
  <c r="U12" i="3"/>
  <c r="BH12" i="3" s="1"/>
  <c r="M12" i="3"/>
  <c r="BD12" i="3" s="1"/>
  <c r="AU11" i="3"/>
  <c r="E12" i="3"/>
  <c r="AZ12" i="3" s="1"/>
  <c r="S11" i="3"/>
  <c r="R13" i="3"/>
  <c r="X13" i="3"/>
  <c r="AD13" i="3"/>
  <c r="R12" i="3"/>
  <c r="T11" i="3"/>
  <c r="AB11" i="3"/>
  <c r="X11" i="3"/>
  <c r="T10" i="3"/>
  <c r="U16" i="3" s="1"/>
  <c r="AE10" i="3"/>
  <c r="N11" i="3"/>
  <c r="AC11" i="3"/>
  <c r="AJ56" i="3"/>
  <c r="G13" i="3"/>
  <c r="BA13" i="3" s="1"/>
  <c r="AX11" i="3"/>
  <c r="K12" i="3"/>
  <c r="BC12" i="3" s="1"/>
  <c r="Y11" i="3"/>
  <c r="F13" i="3"/>
  <c r="AB10" i="3"/>
  <c r="G11" i="3"/>
  <c r="I10" i="3"/>
  <c r="BB10" i="3" s="1"/>
  <c r="D10" i="3"/>
  <c r="E16" i="3" s="1"/>
  <c r="AH13" i="3"/>
  <c r="AB13" i="3"/>
  <c r="O10" i="3"/>
  <c r="BE10" i="3" s="1"/>
  <c r="AG13" i="3"/>
  <c r="M10" i="3"/>
  <c r="BD10" i="3" s="1"/>
  <c r="G12" i="3"/>
  <c r="BA12" i="3" s="1"/>
  <c r="J10" i="3"/>
  <c r="AG12" i="3"/>
  <c r="D13" i="3"/>
  <c r="V11" i="3"/>
  <c r="AC10" i="3"/>
  <c r="BL10" i="3" s="1"/>
  <c r="J13" i="3"/>
  <c r="U11" i="3"/>
  <c r="AV12" i="3"/>
  <c r="T13" i="3"/>
  <c r="AA13" i="3"/>
  <c r="BK13" i="3" s="1"/>
  <c r="U13" i="3"/>
  <c r="AU10" i="3"/>
  <c r="I11" i="3"/>
  <c r="AW10" i="3"/>
  <c r="AC12" i="3"/>
  <c r="BL12" i="3" s="1"/>
  <c r="AW11" i="3"/>
  <c r="D12" i="3"/>
  <c r="Q11" i="3"/>
  <c r="N10" i="3"/>
  <c r="AD12" i="3"/>
  <c r="AA11" i="3"/>
  <c r="H11" i="3"/>
  <c r="AH11" i="3"/>
  <c r="L11" i="3"/>
  <c r="AD10" i="3"/>
  <c r="Z12" i="3"/>
  <c r="AW13" i="3"/>
  <c r="E19" i="3" l="1"/>
  <c r="X16" i="3"/>
  <c r="S125" i="4"/>
  <c r="E18" i="3"/>
  <c r="W125" i="4"/>
  <c r="AD16" i="3"/>
  <c r="AE16" i="3"/>
  <c r="K125" i="4"/>
  <c r="M17" i="3"/>
  <c r="AU16" i="3"/>
  <c r="AV16" i="3"/>
  <c r="J16" i="3"/>
  <c r="K16" i="3"/>
  <c r="C13" i="3"/>
  <c r="AY13" i="3"/>
  <c r="AY19" i="3" s="1"/>
  <c r="F19" i="3"/>
  <c r="G19" i="3"/>
  <c r="AD19" i="3"/>
  <c r="AE19" i="3"/>
  <c r="R19" i="3"/>
  <c r="S19" i="3"/>
  <c r="AD125" i="4"/>
  <c r="BM11" i="3"/>
  <c r="AF17" i="3"/>
  <c r="I125" i="4"/>
  <c r="K17" i="3"/>
  <c r="AV18" i="3"/>
  <c r="AU18" i="3"/>
  <c r="H18" i="3"/>
  <c r="I18" i="3"/>
  <c r="BE11" i="3"/>
  <c r="N125" i="4"/>
  <c r="P17" i="3"/>
  <c r="AE125" i="4"/>
  <c r="AW18" i="3"/>
  <c r="AX18" i="3"/>
  <c r="L16" i="3"/>
  <c r="M16" i="3"/>
  <c r="Y125" i="4"/>
  <c r="AA17" i="3"/>
  <c r="BG13" i="3"/>
  <c r="T19" i="3"/>
  <c r="V18" i="3"/>
  <c r="W18" i="3"/>
  <c r="BI18" i="3" s="1"/>
  <c r="AD18" i="3"/>
  <c r="AE18" i="3"/>
  <c r="AI10" i="3"/>
  <c r="AG18" i="3"/>
  <c r="BN12" i="3"/>
  <c r="AH18" i="3"/>
  <c r="AB19" i="3"/>
  <c r="AC19" i="3"/>
  <c r="M125" i="4"/>
  <c r="O17" i="3"/>
  <c r="R125" i="4"/>
  <c r="BG11" i="3"/>
  <c r="T17" i="3"/>
  <c r="AU17" i="3"/>
  <c r="AV17" i="3"/>
  <c r="W19" i="3"/>
  <c r="BI13" i="3"/>
  <c r="AA16" i="3"/>
  <c r="BK10" i="3"/>
  <c r="AB16" i="3"/>
  <c r="BM12" i="3"/>
  <c r="AF18" i="3"/>
  <c r="BG10" i="3"/>
  <c r="T16" i="3"/>
  <c r="AZ11" i="3"/>
  <c r="D125" i="4"/>
  <c r="F17" i="3"/>
  <c r="AG17" i="3"/>
  <c r="AF125" i="4"/>
  <c r="BN11" i="3"/>
  <c r="AH17" i="3"/>
  <c r="P18" i="3"/>
  <c r="Q18" i="3"/>
  <c r="AG125" i="4"/>
  <c r="G125" i="4"/>
  <c r="I17" i="3"/>
  <c r="AW17" i="3"/>
  <c r="AX17" i="3"/>
  <c r="AW16" i="3"/>
  <c r="AX16" i="3"/>
  <c r="AI13" i="3"/>
  <c r="AI19" i="3" s="1"/>
  <c r="J19" i="3"/>
  <c r="K19" i="3"/>
  <c r="U125" i="4"/>
  <c r="W17" i="3"/>
  <c r="BA11" i="3"/>
  <c r="F125" i="4"/>
  <c r="H17" i="3"/>
  <c r="AC16" i="3"/>
  <c r="Y17" i="3"/>
  <c r="X125" i="4"/>
  <c r="BJ11" i="3"/>
  <c r="Z17" i="3"/>
  <c r="AB125" i="4"/>
  <c r="BL11" i="3"/>
  <c r="AD17" i="3"/>
  <c r="R18" i="3"/>
  <c r="S18" i="3"/>
  <c r="P19" i="3"/>
  <c r="Q19" i="3"/>
  <c r="AJ11" i="3"/>
  <c r="O125" i="4"/>
  <c r="Q17" i="3"/>
  <c r="BF17" i="3" s="1"/>
  <c r="Q125" i="4"/>
  <c r="S17" i="3"/>
  <c r="N18" i="3"/>
  <c r="O18" i="3"/>
  <c r="AZ10" i="3"/>
  <c r="F16" i="3"/>
  <c r="Y16" i="3"/>
  <c r="BJ16" i="3" s="1"/>
  <c r="BJ10" i="3"/>
  <c r="C11" i="3"/>
  <c r="AY11" i="3"/>
  <c r="AY17" i="3" s="1"/>
  <c r="Y18" i="3"/>
  <c r="L19" i="3"/>
  <c r="M19" i="3"/>
  <c r="R16" i="3"/>
  <c r="S16" i="3"/>
  <c r="N16" i="3"/>
  <c r="O16" i="3"/>
  <c r="U17" i="3"/>
  <c r="T125" i="4"/>
  <c r="BH11" i="3"/>
  <c r="V17" i="3"/>
  <c r="AJ10" i="3"/>
  <c r="AA125" i="4"/>
  <c r="AC17" i="3"/>
  <c r="C125" i="4"/>
  <c r="E17" i="3"/>
  <c r="F18" i="3"/>
  <c r="G18" i="3"/>
  <c r="N19" i="3"/>
  <c r="O19" i="3"/>
  <c r="E125" i="4"/>
  <c r="G17" i="3"/>
  <c r="G16" i="3"/>
  <c r="BA10" i="3"/>
  <c r="T18" i="3"/>
  <c r="U18" i="3"/>
  <c r="Z19" i="3"/>
  <c r="AA19" i="3"/>
  <c r="L18" i="3"/>
  <c r="M18" i="3"/>
  <c r="C12" i="3"/>
  <c r="AY12" i="3"/>
  <c r="AY18" i="3" s="1"/>
  <c r="AC125" i="4"/>
  <c r="AE17" i="3"/>
  <c r="AG16" i="3"/>
  <c r="BN10" i="3"/>
  <c r="AH16" i="3"/>
  <c r="J125" i="4"/>
  <c r="BC11" i="3"/>
  <c r="L17" i="3"/>
  <c r="AW19" i="3"/>
  <c r="AX19" i="3"/>
  <c r="Z18" i="3"/>
  <c r="AA18" i="3"/>
  <c r="BK11" i="3"/>
  <c r="Z125" i="4"/>
  <c r="AB17" i="3"/>
  <c r="H125" i="4"/>
  <c r="BB11" i="3"/>
  <c r="J17" i="3"/>
  <c r="P125" i="4"/>
  <c r="BF11" i="3"/>
  <c r="R17" i="3"/>
  <c r="U19" i="3"/>
  <c r="BH13" i="3"/>
  <c r="AI11" i="3"/>
  <c r="BP56" i="3"/>
  <c r="AJ521" i="3"/>
  <c r="AJ523" i="3"/>
  <c r="BM10" i="3"/>
  <c r="AF16" i="3"/>
  <c r="AB18" i="3"/>
  <c r="AC18" i="3"/>
  <c r="BI12" i="3"/>
  <c r="X18" i="3"/>
  <c r="V125" i="4"/>
  <c r="BI11" i="3"/>
  <c r="X17" i="3"/>
  <c r="BJ17" i="3" s="1"/>
  <c r="BM13" i="3"/>
  <c r="AF19" i="3"/>
  <c r="V16" i="3"/>
  <c r="W16" i="3"/>
  <c r="BI16" i="3" s="1"/>
  <c r="BD11" i="3"/>
  <c r="L125" i="4"/>
  <c r="N17" i="3"/>
  <c r="AJ12" i="3"/>
  <c r="AI12" i="3"/>
  <c r="BO12" i="3" s="1"/>
  <c r="AG19" i="3"/>
  <c r="BN13" i="3"/>
  <c r="AH19" i="3"/>
  <c r="AJ13" i="3"/>
  <c r="BH16" i="3"/>
  <c r="X19" i="3"/>
  <c r="Y19" i="3"/>
  <c r="BK16" i="3"/>
  <c r="V19" i="3"/>
  <c r="H19" i="3"/>
  <c r="I19" i="3"/>
  <c r="AU19" i="3"/>
  <c r="AV19" i="3"/>
  <c r="C10" i="3"/>
  <c r="AY10" i="3"/>
  <c r="AY16" i="3" s="1"/>
  <c r="J18" i="3"/>
  <c r="K18" i="3"/>
  <c r="H16" i="3"/>
  <c r="I16" i="3"/>
  <c r="P16" i="3"/>
  <c r="Q16" i="3"/>
  <c r="BI19" i="3" l="1"/>
  <c r="BA17" i="3"/>
  <c r="BB18" i="3"/>
  <c r="BE18" i="3"/>
  <c r="BK18" i="3"/>
  <c r="BD19" i="3"/>
  <c r="BC16" i="3"/>
  <c r="BB16" i="3"/>
  <c r="BA18" i="3"/>
  <c r="BG16" i="3"/>
  <c r="BM17" i="3"/>
  <c r="BK19" i="3"/>
  <c r="BF18" i="3"/>
  <c r="BH18" i="3"/>
  <c r="BF16" i="3"/>
  <c r="BB17" i="3"/>
  <c r="BL19" i="3"/>
  <c r="BC18" i="3"/>
  <c r="BJ19" i="3"/>
  <c r="BL18" i="3"/>
  <c r="AH125" i="4"/>
  <c r="BO11" i="3"/>
  <c r="BD18" i="3"/>
  <c r="BE16" i="3"/>
  <c r="BF19" i="3"/>
  <c r="BO19" i="3"/>
  <c r="BE17" i="3"/>
  <c r="BH19" i="3"/>
  <c r="BC17" i="3"/>
  <c r="BJ18" i="3"/>
  <c r="AI18" i="3"/>
  <c r="BO18" i="3" s="1"/>
  <c r="BI17" i="3"/>
  <c r="AI16" i="3"/>
  <c r="BO10" i="3"/>
  <c r="BG19" i="3"/>
  <c r="BO16" i="3"/>
  <c r="BL17" i="3"/>
  <c r="BA16" i="3"/>
  <c r="BL16" i="3"/>
  <c r="AI17" i="3"/>
  <c r="BO17" i="3" s="1"/>
  <c r="BK17" i="3"/>
  <c r="C17" i="3"/>
  <c r="D17" i="3"/>
  <c r="AZ17" i="3" s="1"/>
  <c r="BG17" i="3"/>
  <c r="AJ17" i="3"/>
  <c r="AK17" i="3"/>
  <c r="AJ115" i="4"/>
  <c r="AI125" i="4"/>
  <c r="BG18" i="3"/>
  <c r="BC19" i="3"/>
  <c r="BH17" i="3"/>
  <c r="AJ18" i="3"/>
  <c r="AK18" i="3"/>
  <c r="C18" i="3"/>
  <c r="D18" i="3"/>
  <c r="AZ18" i="3" s="1"/>
  <c r="BM18" i="3"/>
  <c r="BN17" i="3"/>
  <c r="BM19" i="3"/>
  <c r="BD17" i="3"/>
  <c r="C16" i="3"/>
  <c r="D16" i="3"/>
  <c r="AZ16" i="3" s="1"/>
  <c r="BB19" i="3"/>
  <c r="AJ126" i="4"/>
  <c r="AJ118" i="4" s="1"/>
  <c r="AK19" i="3"/>
  <c r="BN19" i="3"/>
  <c r="BN16" i="3"/>
  <c r="BE19" i="3"/>
  <c r="AJ16" i="3"/>
  <c r="AK16" i="3"/>
  <c r="BP16" i="3" s="1"/>
  <c r="AJ19" i="3"/>
  <c r="BO13" i="3"/>
  <c r="BN18" i="3"/>
  <c r="BD16" i="3"/>
  <c r="BA19" i="3"/>
  <c r="C19" i="3"/>
  <c r="D19" i="3"/>
  <c r="AZ19" i="3" s="1"/>
  <c r="BM16" i="3"/>
  <c r="BP17" i="3" l="1"/>
  <c r="BP19" i="3"/>
  <c r="BP18" i="3"/>
  <c r="AJ116" i="4"/>
  <c r="AJ84" i="4"/>
  <c r="AJ119" i="4"/>
  <c r="AJ82" i="4" s="1"/>
  <c r="BJ118" i="4"/>
  <c r="AK118" i="4"/>
  <c r="AK84" i="4" s="1"/>
  <c r="AJ45" i="4"/>
  <c r="AK115" i="4"/>
  <c r="BJ115" i="4"/>
  <c r="BJ125" i="4" s="1"/>
  <c r="AJ81" i="4"/>
  <c r="AJ491" i="4"/>
  <c r="AJ42" i="4" s="1"/>
  <c r="BJ126" i="4" l="1"/>
  <c r="BJ42" i="4"/>
  <c r="BJ51" i="4" s="1"/>
  <c r="AJ51" i="4"/>
  <c r="AL115" i="4"/>
  <c r="AL81" i="4" s="1"/>
  <c r="K83" i="6"/>
  <c r="BJ45" i="4"/>
  <c r="AJ52" i="4"/>
  <c r="AK118" i="3"/>
  <c r="BJ119" i="4"/>
  <c r="AK119" i="4"/>
  <c r="AJ502" i="4"/>
  <c r="AK491" i="4"/>
  <c r="AK42" i="4" s="1"/>
  <c r="AJ500" i="4"/>
  <c r="BJ491" i="4"/>
  <c r="AJ110" i="4"/>
  <c r="AJ83" i="4"/>
  <c r="AJ88" i="4" s="1"/>
  <c r="AJ96" i="4" s="1"/>
  <c r="BJ84" i="4"/>
  <c r="AJ16" i="4"/>
  <c r="BJ16" i="4" s="1"/>
  <c r="BJ82" i="4"/>
  <c r="AJ14" i="4"/>
  <c r="AJ117" i="4"/>
  <c r="BJ116" i="4"/>
  <c r="AJ492" i="4"/>
  <c r="AJ43" i="4" s="1"/>
  <c r="BJ43" i="4" s="1"/>
  <c r="BJ81" i="4"/>
  <c r="W140" i="28"/>
  <c r="W18" i="28" s="1"/>
  <c r="AJ149" i="4"/>
  <c r="AJ13" i="4"/>
  <c r="AK110" i="4"/>
  <c r="AK16" i="4"/>
  <c r="AK81" i="4"/>
  <c r="AL118" i="4"/>
  <c r="AL84" i="4" s="1"/>
  <c r="AK116" i="4"/>
  <c r="AK45" i="4"/>
  <c r="AK83" i="4" l="1"/>
  <c r="AK51" i="4"/>
  <c r="AL83" i="4"/>
  <c r="AL110" i="4"/>
  <c r="AL16" i="4"/>
  <c r="BK16" i="4" s="1"/>
  <c r="BK84" i="4"/>
  <c r="AK13" i="4"/>
  <c r="BJ13" i="4"/>
  <c r="AK63" i="3"/>
  <c r="AJ53" i="4"/>
  <c r="AK492" i="4"/>
  <c r="AK493" i="4" s="1"/>
  <c r="BJ492" i="4"/>
  <c r="BJ110" i="4"/>
  <c r="BJ500" i="4"/>
  <c r="BJ502" i="4"/>
  <c r="W141" i="28"/>
  <c r="W23" i="28" s="1"/>
  <c r="BJ83" i="4"/>
  <c r="BJ88" i="4" s="1"/>
  <c r="BJ96" i="4" s="1"/>
  <c r="AJ15" i="4"/>
  <c r="AJ150" i="4"/>
  <c r="AK117" i="4"/>
  <c r="AM118" i="4"/>
  <c r="AM84" i="4" s="1"/>
  <c r="AL116" i="4"/>
  <c r="AL117" i="4" s="1"/>
  <c r="BK118" i="4"/>
  <c r="AL45" i="4"/>
  <c r="X141" i="28"/>
  <c r="X23" i="28" s="1"/>
  <c r="BK83" i="4"/>
  <c r="AK15" i="4"/>
  <c r="W21" i="28"/>
  <c r="W20" i="28"/>
  <c r="BJ117" i="4"/>
  <c r="AK502" i="4"/>
  <c r="AK500" i="4"/>
  <c r="AL491" i="4"/>
  <c r="AL42" i="4" s="1"/>
  <c r="AK389" i="3"/>
  <c r="BP118" i="3"/>
  <c r="BP132" i="3" s="1"/>
  <c r="AL118" i="3"/>
  <c r="AK173" i="3"/>
  <c r="AK132" i="3"/>
  <c r="BK81" i="4"/>
  <c r="AL13" i="4"/>
  <c r="AJ136" i="4"/>
  <c r="AJ151" i="4"/>
  <c r="BJ14" i="4"/>
  <c r="BJ54" i="4" s="1"/>
  <c r="AJ54" i="4"/>
  <c r="AJ493" i="4"/>
  <c r="BJ493" i="4" s="1"/>
  <c r="BK115" i="4"/>
  <c r="BK125" i="4" s="1"/>
  <c r="AM115" i="4"/>
  <c r="BJ127" i="4"/>
  <c r="AP140" i="28"/>
  <c r="AP18" i="28" s="1"/>
  <c r="BJ149" i="4"/>
  <c r="BJ128" i="4"/>
  <c r="O46" i="8"/>
  <c r="E83" i="6"/>
  <c r="BJ52" i="4"/>
  <c r="AK52" i="4"/>
  <c r="L83" i="6"/>
  <c r="AK82" i="4"/>
  <c r="AL119" i="4"/>
  <c r="AK43" i="4" l="1"/>
  <c r="AL150" i="4"/>
  <c r="AK44" i="4"/>
  <c r="L82" i="6" s="1"/>
  <c r="AL82" i="4"/>
  <c r="BK82" i="4" s="1"/>
  <c r="BK119" i="4"/>
  <c r="AM119" i="4"/>
  <c r="BK117" i="4"/>
  <c r="BK13" i="4"/>
  <c r="AL53" i="4"/>
  <c r="BP173" i="3"/>
  <c r="BP187" i="3" s="1"/>
  <c r="AK187" i="3"/>
  <c r="AL173" i="3"/>
  <c r="AL228" i="3" s="1"/>
  <c r="AK287" i="3"/>
  <c r="BK45" i="4"/>
  <c r="AL52" i="4"/>
  <c r="AK14" i="4"/>
  <c r="AK20" i="4" s="1"/>
  <c r="AM81" i="4"/>
  <c r="AN115" i="4"/>
  <c r="AN81" i="4" s="1"/>
  <c r="AM118" i="3"/>
  <c r="AL132" i="3"/>
  <c r="AL492" i="4"/>
  <c r="AL43" i="4" s="1"/>
  <c r="BK43" i="4" s="1"/>
  <c r="Y141" i="28"/>
  <c r="Y23" i="28" s="1"/>
  <c r="AL15" i="4"/>
  <c r="AM64" i="3" s="1"/>
  <c r="O40" i="8"/>
  <c r="E77" i="6"/>
  <c r="BP109" i="3"/>
  <c r="AJ44" i="4"/>
  <c r="AL64" i="3"/>
  <c r="L35" i="6" s="1"/>
  <c r="AM83" i="4"/>
  <c r="AM110" i="4"/>
  <c r="AM16" i="4"/>
  <c r="AK64" i="3"/>
  <c r="BJ15" i="4"/>
  <c r="BJ20" i="4" s="1"/>
  <c r="AJ20" i="4"/>
  <c r="AK88" i="4"/>
  <c r="AK96" i="4" s="1"/>
  <c r="BJ136" i="4"/>
  <c r="BK127" i="4"/>
  <c r="AL389" i="3"/>
  <c r="BP389" i="3"/>
  <c r="AQ141" i="28"/>
  <c r="AQ23" i="28" s="1"/>
  <c r="BK150" i="4"/>
  <c r="BK126" i="4"/>
  <c r="AP141" i="28"/>
  <c r="AP23" i="28" s="1"/>
  <c r="BJ150" i="4"/>
  <c r="BJ151" i="4" s="1"/>
  <c r="X140" i="28"/>
  <c r="X18" i="28" s="1"/>
  <c r="AP21" i="28"/>
  <c r="AP20" i="28"/>
  <c r="AK228" i="3"/>
  <c r="AL502" i="4"/>
  <c r="AM491" i="4"/>
  <c r="AM42" i="4" s="1"/>
  <c r="BK491" i="4"/>
  <c r="AL500" i="4"/>
  <c r="AL493" i="4"/>
  <c r="BK493" i="4" s="1"/>
  <c r="X26" i="28"/>
  <c r="X25" i="28"/>
  <c r="BK116" i="4"/>
  <c r="W26" i="28"/>
  <c r="W25" i="28"/>
  <c r="K34" i="6"/>
  <c r="BP63" i="3"/>
  <c r="BK110" i="4"/>
  <c r="AK53" i="4"/>
  <c r="AL51" i="4"/>
  <c r="BK42" i="4"/>
  <c r="BK51" i="4" s="1"/>
  <c r="K77" i="6"/>
  <c r="AK419" i="3"/>
  <c r="AK109" i="3"/>
  <c r="AN118" i="4"/>
  <c r="AM116" i="4"/>
  <c r="AM45" i="4"/>
  <c r="AM52" i="4" s="1"/>
  <c r="BJ53" i="4"/>
  <c r="AL63" i="3" l="1"/>
  <c r="AL68" i="3" s="1"/>
  <c r="AM502" i="4"/>
  <c r="BK88" i="4"/>
  <c r="BK96" i="4" s="1"/>
  <c r="AQ140" i="28"/>
  <c r="AQ18" i="28" s="1"/>
  <c r="AQ20" i="28" s="1"/>
  <c r="BK149" i="4"/>
  <c r="BK151" i="4" s="1"/>
  <c r="AL149" i="4"/>
  <c r="AK28" i="4"/>
  <c r="AL242" i="3"/>
  <c r="AL324" i="3"/>
  <c r="AL337" i="3" s="1"/>
  <c r="AN13" i="4"/>
  <c r="AN84" i="4"/>
  <c r="AO118" i="4"/>
  <c r="AO84" i="4"/>
  <c r="BL118" i="4"/>
  <c r="AN45" i="4"/>
  <c r="E6" i="33"/>
  <c r="O9" i="8"/>
  <c r="E34" i="6"/>
  <c r="AM500" i="4"/>
  <c r="AN491" i="4"/>
  <c r="AN502" i="4" s="1"/>
  <c r="BK15" i="4"/>
  <c r="AK313" i="3"/>
  <c r="AL44" i="4"/>
  <c r="BK44" i="4" s="1"/>
  <c r="K35" i="6"/>
  <c r="BP64" i="3"/>
  <c r="BQ64" i="3"/>
  <c r="L77" i="6"/>
  <c r="AL419" i="3"/>
  <c r="AL109" i="3"/>
  <c r="BL115" i="4"/>
  <c r="BL125" i="4" s="1"/>
  <c r="AO115" i="4"/>
  <c r="AO81" i="4" s="1"/>
  <c r="L34" i="6"/>
  <c r="AK242" i="3"/>
  <c r="AK324" i="3"/>
  <c r="BP228" i="3"/>
  <c r="BP242" i="3" s="1"/>
  <c r="AQ26" i="28"/>
  <c r="AQ25" i="28"/>
  <c r="K82" i="6"/>
  <c r="BJ44" i="4"/>
  <c r="Y25" i="28"/>
  <c r="Y26" i="28"/>
  <c r="BQ118" i="3"/>
  <c r="BQ132" i="3" s="1"/>
  <c r="AM132" i="3"/>
  <c r="AN118" i="3"/>
  <c r="BL81" i="4"/>
  <c r="AM13" i="4"/>
  <c r="AM53" i="4" s="1"/>
  <c r="AN119" i="4"/>
  <c r="F83" i="6"/>
  <c r="P46" i="8"/>
  <c r="BK52" i="4"/>
  <c r="AK386" i="3"/>
  <c r="AK382" i="3"/>
  <c r="AK383" i="3"/>
  <c r="AK406" i="3"/>
  <c r="AK404" i="3"/>
  <c r="AK408" i="3"/>
  <c r="AK384" i="3"/>
  <c r="AK407" i="3"/>
  <c r="AP25" i="28"/>
  <c r="AP26" i="28"/>
  <c r="AM389" i="3"/>
  <c r="AK136" i="4"/>
  <c r="AM492" i="4"/>
  <c r="AM43" i="4" s="1"/>
  <c r="BK492" i="4"/>
  <c r="AM51" i="4"/>
  <c r="AK54" i="4"/>
  <c r="AL287" i="3"/>
  <c r="AK390" i="3"/>
  <c r="AK290" i="3"/>
  <c r="AK302" i="3" s="1"/>
  <c r="BP287" i="3"/>
  <c r="AL14" i="4"/>
  <c r="BK14" i="4" s="1"/>
  <c r="Y140" i="28"/>
  <c r="Y18" i="28" s="1"/>
  <c r="AL88" i="4"/>
  <c r="AL96" i="4" s="1"/>
  <c r="BJ28" i="4"/>
  <c r="AN116" i="4"/>
  <c r="AN117" i="4" s="1"/>
  <c r="AK68" i="3"/>
  <c r="BK502" i="4"/>
  <c r="BK500" i="4"/>
  <c r="X20" i="28"/>
  <c r="X21" i="28"/>
  <c r="AQ21" i="28"/>
  <c r="AJ28" i="4"/>
  <c r="Z141" i="28"/>
  <c r="Z23" i="28" s="1"/>
  <c r="AM15" i="4"/>
  <c r="AM82" i="4"/>
  <c r="AM117" i="4"/>
  <c r="BK128" i="4"/>
  <c r="AM173" i="3"/>
  <c r="AM228" i="3" s="1"/>
  <c r="AL187" i="3"/>
  <c r="BK53" i="4"/>
  <c r="AN42" i="4" l="1"/>
  <c r="BK136" i="4"/>
  <c r="BL117" i="4"/>
  <c r="BK54" i="4"/>
  <c r="BK20" i="4"/>
  <c r="BQ228" i="3"/>
  <c r="BQ242" i="3" s="1"/>
  <c r="AM324" i="3"/>
  <c r="AM242" i="3"/>
  <c r="AN110" i="4"/>
  <c r="AN83" i="4"/>
  <c r="AO83" i="4" s="1"/>
  <c r="AN16" i="4"/>
  <c r="BL16" i="4" s="1"/>
  <c r="BL84" i="4"/>
  <c r="BJ62" i="4"/>
  <c r="AL407" i="3"/>
  <c r="BP407" i="3"/>
  <c r="AM109" i="3"/>
  <c r="AM419" i="3"/>
  <c r="AN492" i="4"/>
  <c r="AN43" i="4" s="1"/>
  <c r="BL43" i="4" s="1"/>
  <c r="BP384" i="3"/>
  <c r="AL384" i="3"/>
  <c r="BP386" i="3"/>
  <c r="AL386" i="3"/>
  <c r="BQ109" i="3"/>
  <c r="P40" i="8"/>
  <c r="F77" i="6"/>
  <c r="AN52" i="4"/>
  <c r="BL45" i="4"/>
  <c r="BL13" i="4"/>
  <c r="AM14" i="4"/>
  <c r="AM20" i="4" s="1"/>
  <c r="Z140" i="28"/>
  <c r="Z18" i="28" s="1"/>
  <c r="O45" i="8"/>
  <c r="E82" i="6"/>
  <c r="BQ389" i="3"/>
  <c r="AN389" i="3"/>
  <c r="AL408" i="3"/>
  <c r="BP408" i="3"/>
  <c r="AO119" i="4"/>
  <c r="AO82" i="4" s="1"/>
  <c r="BL119" i="4"/>
  <c r="AN82" i="4"/>
  <c r="BL82" i="4" s="1"/>
  <c r="AM88" i="4"/>
  <c r="AM96" i="4" s="1"/>
  <c r="AN53" i="4"/>
  <c r="BL42" i="4"/>
  <c r="BL51" i="4" s="1"/>
  <c r="AN51" i="4"/>
  <c r="BL491" i="4"/>
  <c r="AN500" i="4"/>
  <c r="AN493" i="4"/>
  <c r="BL493" i="4" s="1"/>
  <c r="AO491" i="4"/>
  <c r="AN64" i="3"/>
  <c r="K39" i="6"/>
  <c r="K38" i="6" s="1"/>
  <c r="AK73" i="3"/>
  <c r="V6" i="32"/>
  <c r="V10" i="32" s="1"/>
  <c r="AK348" i="3"/>
  <c r="BP348" i="3" s="1"/>
  <c r="BP290" i="3"/>
  <c r="BP302" i="3" s="1"/>
  <c r="AL290" i="3"/>
  <c r="AL348" i="3" s="1"/>
  <c r="BP404" i="3"/>
  <c r="AL404" i="3"/>
  <c r="BL127" i="4"/>
  <c r="AL73" i="3"/>
  <c r="W6" i="32"/>
  <c r="W10" i="32" s="1"/>
  <c r="L39" i="6"/>
  <c r="L38" i="6" s="1"/>
  <c r="AK314" i="3"/>
  <c r="BP313" i="3"/>
  <c r="AM493" i="4"/>
  <c r="AM44" i="4" s="1"/>
  <c r="BL126" i="4"/>
  <c r="AK422" i="3"/>
  <c r="AL382" i="3"/>
  <c r="BP382" i="3"/>
  <c r="F82" i="6"/>
  <c r="P45" i="8"/>
  <c r="Z26" i="28"/>
  <c r="Z25" i="28"/>
  <c r="AL151" i="4"/>
  <c r="AL136" i="4"/>
  <c r="BP390" i="3"/>
  <c r="AL390" i="3"/>
  <c r="AK462" i="3"/>
  <c r="AL406" i="3"/>
  <c r="AM406" i="3" s="1"/>
  <c r="BP406" i="3"/>
  <c r="AO13" i="4"/>
  <c r="E7" i="33"/>
  <c r="E10" i="33" s="1"/>
  <c r="E14" i="33" s="1"/>
  <c r="O10" i="8"/>
  <c r="E35" i="6"/>
  <c r="AO16" i="4"/>
  <c r="L89" i="6"/>
  <c r="BQ173" i="3"/>
  <c r="BQ187" i="3" s="1"/>
  <c r="AM187" i="3"/>
  <c r="AN173" i="3"/>
  <c r="AL54" i="4"/>
  <c r="AM63" i="3"/>
  <c r="AL20" i="4"/>
  <c r="AL313" i="3"/>
  <c r="AL314" i="3" s="1"/>
  <c r="AJ62" i="4"/>
  <c r="BL116" i="4"/>
  <c r="Y21" i="28"/>
  <c r="Y20" i="28"/>
  <c r="AM287" i="3"/>
  <c r="AL302" i="3"/>
  <c r="AK402" i="3"/>
  <c r="BP383" i="3"/>
  <c r="AL383" i="3"/>
  <c r="AN63" i="3"/>
  <c r="AO118" i="3"/>
  <c r="AN132" i="3"/>
  <c r="AK337" i="3"/>
  <c r="BP324" i="3"/>
  <c r="AP115" i="4"/>
  <c r="AP81" i="4" s="1"/>
  <c r="AO42" i="4"/>
  <c r="F7" i="33"/>
  <c r="P10" i="8"/>
  <c r="F35" i="6"/>
  <c r="BP68" i="3"/>
  <c r="AP118" i="4"/>
  <c r="AO116" i="4"/>
  <c r="AO45" i="4"/>
  <c r="AM384" i="3" l="1"/>
  <c r="AM408" i="3"/>
  <c r="AM407" i="3"/>
  <c r="AM383" i="3"/>
  <c r="AM382" i="3"/>
  <c r="BQ382" i="3" s="1"/>
  <c r="AM386" i="3"/>
  <c r="BQ386" i="3" s="1"/>
  <c r="AM404" i="3"/>
  <c r="AP13" i="4"/>
  <c r="BM81" i="4"/>
  <c r="AO14" i="4"/>
  <c r="AO54" i="4" s="1"/>
  <c r="AB140" i="28"/>
  <c r="AB18" i="28" s="1"/>
  <c r="AO88" i="4"/>
  <c r="AO96" i="4" s="1"/>
  <c r="BL128" i="4"/>
  <c r="AR140" i="28"/>
  <c r="AR18" i="28" s="1"/>
  <c r="BL149" i="4"/>
  <c r="BQ406" i="3"/>
  <c r="AL402" i="3"/>
  <c r="AM290" i="3"/>
  <c r="AM302" i="3" s="1"/>
  <c r="AM337" i="3"/>
  <c r="BQ324" i="3"/>
  <c r="AO53" i="4"/>
  <c r="AO51" i="4"/>
  <c r="AN68" i="3"/>
  <c r="AN287" i="3"/>
  <c r="BQ287" i="3"/>
  <c r="AP116" i="4"/>
  <c r="AQ118" i="4"/>
  <c r="AQ84" i="4" s="1"/>
  <c r="BM118" i="4"/>
  <c r="AP45" i="4"/>
  <c r="AO117" i="4"/>
  <c r="BP337" i="3"/>
  <c r="BP53" i="3"/>
  <c r="BQ383" i="3"/>
  <c r="AN228" i="3"/>
  <c r="AN187" i="3"/>
  <c r="AO173" i="3"/>
  <c r="AB141" i="28"/>
  <c r="AB23" i="28" s="1"/>
  <c r="AO15" i="4"/>
  <c r="AP64" i="3" s="1"/>
  <c r="AL422" i="3"/>
  <c r="BP422" i="3"/>
  <c r="BQ408" i="3"/>
  <c r="BL53" i="4"/>
  <c r="AO6" i="32"/>
  <c r="AO10" i="32" s="1"/>
  <c r="O14" i="8"/>
  <c r="O13" i="8" s="1"/>
  <c r="BP73" i="3"/>
  <c r="E39" i="6"/>
  <c r="E38" i="6" s="1"/>
  <c r="K89" i="6"/>
  <c r="AK347" i="3"/>
  <c r="BP347" i="3" s="1"/>
  <c r="AL347" i="3"/>
  <c r="AM313" i="3"/>
  <c r="AM390" i="3"/>
  <c r="AL462" i="3"/>
  <c r="BL502" i="4"/>
  <c r="BL500" i="4"/>
  <c r="AM136" i="4"/>
  <c r="BQ384" i="3"/>
  <c r="BQ407" i="3"/>
  <c r="AA141" i="28"/>
  <c r="AA23" i="28" s="1"/>
  <c r="AN15" i="4"/>
  <c r="BL83" i="4"/>
  <c r="BL88" i="4" s="1"/>
  <c r="BL96" i="4" s="1"/>
  <c r="AN150" i="4"/>
  <c r="BK28" i="4"/>
  <c r="AQ115" i="4"/>
  <c r="BM115" i="4"/>
  <c r="BM125" i="4" s="1"/>
  <c r="AP117" i="4"/>
  <c r="AK424" i="3"/>
  <c r="AJ40" i="4"/>
  <c r="AK380" i="3"/>
  <c r="BP380" i="3" s="1"/>
  <c r="BP402" i="3" s="1"/>
  <c r="AK425" i="3"/>
  <c r="K78" i="6"/>
  <c r="AN14" i="4"/>
  <c r="BL14" i="4" s="1"/>
  <c r="BL54" i="4" s="1"/>
  <c r="AA140" i="28"/>
  <c r="AA18" i="28" s="1"/>
  <c r="AN88" i="4"/>
  <c r="AN96" i="4" s="1"/>
  <c r="BL52" i="4"/>
  <c r="Q46" i="8"/>
  <c r="G83" i="6"/>
  <c r="AN109" i="3"/>
  <c r="AN419" i="3"/>
  <c r="AN406" i="3" s="1"/>
  <c r="X137" i="28"/>
  <c r="X6" i="28" s="1"/>
  <c r="L44" i="6"/>
  <c r="L43" i="6" s="1"/>
  <c r="AL528" i="3"/>
  <c r="L104" i="6" s="1"/>
  <c r="AL527" i="3"/>
  <c r="L103" i="6" s="1"/>
  <c r="AO389" i="3"/>
  <c r="BR118" i="3"/>
  <c r="BR132" i="3" s="1"/>
  <c r="AP118" i="3"/>
  <c r="AO132" i="3"/>
  <c r="AL571" i="3"/>
  <c r="L120" i="6" s="1"/>
  <c r="AL569" i="3"/>
  <c r="L118" i="6" s="1"/>
  <c r="AL316" i="3"/>
  <c r="AL28" i="4"/>
  <c r="BP46" i="3"/>
  <c r="BP314" i="3"/>
  <c r="BQ404" i="3"/>
  <c r="AK531" i="3"/>
  <c r="AK527" i="3"/>
  <c r="K103" i="6" s="1"/>
  <c r="AK530" i="3"/>
  <c r="K105" i="6" s="1"/>
  <c r="W137" i="28"/>
  <c r="W6" i="28" s="1"/>
  <c r="K44" i="6"/>
  <c r="K43" i="6" s="1"/>
  <c r="AK528" i="3"/>
  <c r="K104" i="6" s="1"/>
  <c r="Z20" i="28"/>
  <c r="Z21" i="28"/>
  <c r="AO492" i="4"/>
  <c r="BL492" i="4"/>
  <c r="AN149" i="4"/>
  <c r="AN44" i="4"/>
  <c r="BL44" i="4" s="1"/>
  <c r="BP462" i="3"/>
  <c r="AO52" i="4"/>
  <c r="AP84" i="4"/>
  <c r="AM28" i="4"/>
  <c r="AM68" i="3"/>
  <c r="BQ63" i="3"/>
  <c r="AK571" i="3"/>
  <c r="K120" i="6" s="1"/>
  <c r="AK569" i="3"/>
  <c r="K118" i="6" s="1"/>
  <c r="AK316" i="3"/>
  <c r="AO502" i="4"/>
  <c r="AO500" i="4"/>
  <c r="AP491" i="4"/>
  <c r="AP119" i="4"/>
  <c r="AM54" i="4"/>
  <c r="AM402" i="3"/>
  <c r="AP63" i="3" l="1"/>
  <c r="AO20" i="4"/>
  <c r="AP492" i="4"/>
  <c r="AN404" i="3"/>
  <c r="AM422" i="3"/>
  <c r="BQ422" i="3" s="1"/>
  <c r="AM348" i="3"/>
  <c r="BQ348" i="3" s="1"/>
  <c r="AO493" i="4"/>
  <c r="AO44" i="4" s="1"/>
  <c r="BL136" i="4"/>
  <c r="AQ16" i="4"/>
  <c r="AN136" i="4"/>
  <c r="E34" i="33"/>
  <c r="E35" i="33" s="1"/>
  <c r="Q13" i="9"/>
  <c r="BP419" i="3"/>
  <c r="E78" i="6"/>
  <c r="O41" i="8"/>
  <c r="AO64" i="3"/>
  <c r="BR64" i="3" s="1"/>
  <c r="BL15" i="4"/>
  <c r="BL20" i="4" s="1"/>
  <c r="AN242" i="3"/>
  <c r="AN324" i="3"/>
  <c r="AN337" i="3" s="1"/>
  <c r="AN347" i="3" s="1"/>
  <c r="AM347" i="3"/>
  <c r="BQ347" i="3" s="1"/>
  <c r="BQ290" i="3"/>
  <c r="BQ302" i="3" s="1"/>
  <c r="AN290" i="3"/>
  <c r="AN348" i="3" s="1"/>
  <c r="AR20" i="28"/>
  <c r="AR21" i="28"/>
  <c r="AP132" i="3"/>
  <c r="AQ118" i="3"/>
  <c r="X9" i="28"/>
  <c r="X8" i="28"/>
  <c r="AA21" i="28"/>
  <c r="AA20" i="28"/>
  <c r="AJ113" i="4"/>
  <c r="AJ267" i="4"/>
  <c r="BJ40" i="4"/>
  <c r="AJ343" i="4"/>
  <c r="AJ191" i="4"/>
  <c r="AQ81" i="4"/>
  <c r="AR115" i="4"/>
  <c r="AA26" i="28"/>
  <c r="AA25" i="28"/>
  <c r="AN384" i="3"/>
  <c r="AN390" i="3"/>
  <c r="AM462" i="3"/>
  <c r="BQ390" i="3"/>
  <c r="E44" i="6"/>
  <c r="E43" i="6" s="1"/>
  <c r="AP137" i="28"/>
  <c r="AP6" i="28" s="1"/>
  <c r="BP531" i="3"/>
  <c r="BP527" i="3"/>
  <c r="E103" i="6" s="1"/>
  <c r="O19" i="8"/>
  <c r="BP528" i="3"/>
  <c r="E104" i="6" s="1"/>
  <c r="BP530" i="3"/>
  <c r="BM126" i="4"/>
  <c r="AO287" i="3"/>
  <c r="AN386" i="3"/>
  <c r="AL380" i="3"/>
  <c r="L78" i="6"/>
  <c r="AK40" i="4"/>
  <c r="AK267" i="4" s="1"/>
  <c r="AO109" i="3"/>
  <c r="AO419" i="3"/>
  <c r="G82" i="6"/>
  <c r="Q45" i="8"/>
  <c r="BP571" i="3"/>
  <c r="E120" i="6" s="1"/>
  <c r="Q32" i="9"/>
  <c r="BP569" i="3"/>
  <c r="E118" i="6" s="1"/>
  <c r="G77" i="6"/>
  <c r="BR109" i="3"/>
  <c r="Q40" i="8"/>
  <c r="AN54" i="4"/>
  <c r="AN20" i="4"/>
  <c r="AO63" i="3"/>
  <c r="BP424" i="3"/>
  <c r="AL424" i="3"/>
  <c r="AM424" i="3" s="1"/>
  <c r="BP28" i="4"/>
  <c r="E45" i="33"/>
  <c r="E89" i="6"/>
  <c r="O52" i="8"/>
  <c r="AQ116" i="4"/>
  <c r="AQ117" i="4" s="1"/>
  <c r="AR118" i="4"/>
  <c r="AT128" i="4" s="1"/>
  <c r="AQ45" i="4"/>
  <c r="AN73" i="3"/>
  <c r="Y6" i="32"/>
  <c r="Y10" i="32" s="1"/>
  <c r="BM127" i="4"/>
  <c r="AP82" i="4"/>
  <c r="AQ119" i="4"/>
  <c r="BM119" i="4"/>
  <c r="F6" i="33"/>
  <c r="F10" i="33" s="1"/>
  <c r="F14" i="33" s="1"/>
  <c r="F34" i="6"/>
  <c r="P9" i="8"/>
  <c r="BQ68" i="3"/>
  <c r="AP502" i="4"/>
  <c r="BM491" i="4"/>
  <c r="AP493" i="4"/>
  <c r="BM493" i="4" s="1"/>
  <c r="AP500" i="4"/>
  <c r="AQ491" i="4"/>
  <c r="AQ42" i="4" s="1"/>
  <c r="AK318" i="3"/>
  <c r="BP316" i="3"/>
  <c r="BP318" i="3" s="1"/>
  <c r="AK346" i="3"/>
  <c r="BP346" i="3" s="1"/>
  <c r="AL346" i="3"/>
  <c r="AM73" i="3"/>
  <c r="X6" i="32"/>
  <c r="X10" i="32" s="1"/>
  <c r="BM84" i="4"/>
  <c r="AP83" i="4"/>
  <c r="AQ83" i="4" s="1"/>
  <c r="AP16" i="4"/>
  <c r="BM16" i="4" s="1"/>
  <c r="AL318" i="3"/>
  <c r="BR389" i="3"/>
  <c r="AP389" i="3"/>
  <c r="AQ389" i="3" s="1"/>
  <c r="BQ313" i="3"/>
  <c r="AM314" i="3"/>
  <c r="AB26" i="28"/>
  <c r="AB25" i="28"/>
  <c r="BM116" i="4"/>
  <c r="AP43" i="4"/>
  <c r="BM43" i="4" s="1"/>
  <c r="AO136" i="4"/>
  <c r="BM13" i="4"/>
  <c r="W9" i="28"/>
  <c r="W8" i="28"/>
  <c r="AP42" i="4"/>
  <c r="AP53" i="4" s="1"/>
  <c r="AN151" i="4"/>
  <c r="AO228" i="3"/>
  <c r="AO187" i="3"/>
  <c r="BR173" i="3"/>
  <c r="BR187" i="3" s="1"/>
  <c r="AP173" i="3"/>
  <c r="AO43" i="4"/>
  <c r="AB21" i="28"/>
  <c r="AB20" i="28"/>
  <c r="AL40" i="4"/>
  <c r="AM380" i="3"/>
  <c r="BQ380" i="3" s="1"/>
  <c r="BM492" i="4"/>
  <c r="AN382" i="3"/>
  <c r="BP425" i="3"/>
  <c r="AL425" i="3"/>
  <c r="AM425" i="3" s="1"/>
  <c r="BM117" i="4"/>
  <c r="AR141" i="28"/>
  <c r="AR23" i="28" s="1"/>
  <c r="BL150" i="4"/>
  <c r="BL151" i="4" s="1"/>
  <c r="AN407" i="3"/>
  <c r="AN408" i="3"/>
  <c r="AO408" i="3" s="1"/>
  <c r="AN313" i="3"/>
  <c r="AN314" i="3" s="1"/>
  <c r="AN383" i="3"/>
  <c r="AP52" i="4"/>
  <c r="BM45" i="4"/>
  <c r="BM52" i="4" s="1"/>
  <c r="BQ337" i="3"/>
  <c r="BQ53" i="3"/>
  <c r="BQ402" i="3" l="1"/>
  <c r="AO404" i="3"/>
  <c r="AO28" i="4"/>
  <c r="AP68" i="3"/>
  <c r="AQ492" i="4"/>
  <c r="AN302" i="3"/>
  <c r="AO383" i="3"/>
  <c r="BR383" i="3" s="1"/>
  <c r="AO407" i="3"/>
  <c r="BR407" i="3" s="1"/>
  <c r="AO382" i="3"/>
  <c r="BR382" i="3" s="1"/>
  <c r="Q33" i="9"/>
  <c r="AQ502" i="4"/>
  <c r="AP44" i="4"/>
  <c r="BM44" i="4" s="1"/>
  <c r="AQ51" i="4"/>
  <c r="AD141" i="28"/>
  <c r="AD23" i="28" s="1"/>
  <c r="AQ15" i="4"/>
  <c r="AR64" i="3" s="1"/>
  <c r="BQ425" i="3"/>
  <c r="AP6" i="32"/>
  <c r="AP10" i="32" s="1"/>
  <c r="P14" i="8"/>
  <c r="P13" i="8" s="1"/>
  <c r="F39" i="6"/>
  <c r="F38" i="6" s="1"/>
  <c r="BQ73" i="3"/>
  <c r="AQ82" i="4"/>
  <c r="AQ88" i="4" s="1"/>
  <c r="AQ96" i="4" s="1"/>
  <c r="AR119" i="4"/>
  <c r="BN119" i="4" s="1"/>
  <c r="AP287" i="3"/>
  <c r="BR287" i="3"/>
  <c r="BQ462" i="3"/>
  <c r="AJ177" i="4"/>
  <c r="AJ192" i="4"/>
  <c r="BJ191" i="4"/>
  <c r="AK191" i="4"/>
  <c r="AK177" i="4" s="1"/>
  <c r="AO290" i="3"/>
  <c r="F45" i="33"/>
  <c r="P52" i="8"/>
  <c r="F89" i="6"/>
  <c r="AN569" i="3"/>
  <c r="AN571" i="3"/>
  <c r="AN316" i="3"/>
  <c r="AO313" i="3"/>
  <c r="AM527" i="3"/>
  <c r="AM528" i="3"/>
  <c r="Y137" i="28"/>
  <c r="Y6" i="28" s="1"/>
  <c r="AQ493" i="4"/>
  <c r="AQ44" i="4" s="1"/>
  <c r="AQ500" i="4"/>
  <c r="AR491" i="4"/>
  <c r="AR502" i="4" s="1"/>
  <c r="AP14" i="4"/>
  <c r="AC140" i="28"/>
  <c r="AC18" i="28" s="1"/>
  <c r="AP88" i="4"/>
  <c r="AP96" i="4" s="1"/>
  <c r="AP149" i="4"/>
  <c r="BM82" i="4"/>
  <c r="AN528" i="3"/>
  <c r="Z137" i="28"/>
  <c r="Z6" i="28" s="1"/>
  <c r="AN527" i="3"/>
  <c r="AO386" i="3"/>
  <c r="AJ344" i="4"/>
  <c r="BJ343" i="4"/>
  <c r="AJ414" i="4"/>
  <c r="AJ489" i="4" s="1"/>
  <c r="AJ329" i="4"/>
  <c r="AK343" i="4"/>
  <c r="AK329" i="4" s="1"/>
  <c r="BS118" i="3"/>
  <c r="BS132" i="3" s="1"/>
  <c r="BS109" i="3" s="1"/>
  <c r="AR118" i="3"/>
  <c r="AR389" i="3" s="1"/>
  <c r="AQ132" i="3"/>
  <c r="AN422" i="3"/>
  <c r="AO324" i="3"/>
  <c r="AO242" i="3"/>
  <c r="BR228" i="3"/>
  <c r="BR242" i="3" s="1"/>
  <c r="AM571" i="3"/>
  <c r="AM569" i="3"/>
  <c r="AM316" i="3"/>
  <c r="AL309" i="3"/>
  <c r="L86" i="6"/>
  <c r="AA6" i="32"/>
  <c r="AA10" i="32" s="1"/>
  <c r="AP73" i="3"/>
  <c r="AQ52" i="4"/>
  <c r="AK268" i="4"/>
  <c r="AL267" i="4"/>
  <c r="AL253" i="4" s="1"/>
  <c r="AO390" i="3"/>
  <c r="AN462" i="3"/>
  <c r="AR81" i="4"/>
  <c r="BN115" i="4"/>
  <c r="BN125" i="4" s="1"/>
  <c r="AT127" i="4"/>
  <c r="AP419" i="3"/>
  <c r="AP109" i="3"/>
  <c r="AN402" i="3"/>
  <c r="AN424" i="3" s="1"/>
  <c r="BQ46" i="3"/>
  <c r="BQ314" i="3"/>
  <c r="AO68" i="3"/>
  <c r="BR63" i="3"/>
  <c r="E105" i="6"/>
  <c r="H45" i="8"/>
  <c r="AP8" i="28"/>
  <c r="AP9" i="28"/>
  <c r="AO384" i="3"/>
  <c r="AQ13" i="4"/>
  <c r="AJ253" i="4"/>
  <c r="BJ267" i="4"/>
  <c r="AJ268" i="4"/>
  <c r="BJ268" i="4" s="1"/>
  <c r="AK253" i="4"/>
  <c r="BL28" i="4"/>
  <c r="G7" i="33"/>
  <c r="Q10" i="8"/>
  <c r="G35" i="6"/>
  <c r="Q14" i="9"/>
  <c r="BR408" i="3"/>
  <c r="AR26" i="28"/>
  <c r="AR25" i="28"/>
  <c r="F34" i="33"/>
  <c r="F35" i="33" s="1"/>
  <c r="F78" i="6"/>
  <c r="P41" i="8"/>
  <c r="R13" i="9"/>
  <c r="BQ419" i="3"/>
  <c r="AP51" i="4"/>
  <c r="BM42" i="4"/>
  <c r="BM51" i="4" s="1"/>
  <c r="AC141" i="28"/>
  <c r="AC23" i="28" s="1"/>
  <c r="AP15" i="4"/>
  <c r="BM83" i="4"/>
  <c r="AP150" i="4"/>
  <c r="E42" i="33"/>
  <c r="BP309" i="3"/>
  <c r="E86" i="6"/>
  <c r="O49" i="8"/>
  <c r="BM500" i="4"/>
  <c r="BM502" i="4"/>
  <c r="AR84" i="4"/>
  <c r="AR116" i="4"/>
  <c r="AR492" i="4" s="1"/>
  <c r="BN492" i="4" s="1"/>
  <c r="BN118" i="4"/>
  <c r="BN126" i="4" s="1"/>
  <c r="AR45" i="4"/>
  <c r="BQ424" i="3"/>
  <c r="AN28" i="4"/>
  <c r="AJ114" i="4"/>
  <c r="AJ99" i="4"/>
  <c r="AJ103" i="4" s="1"/>
  <c r="BJ113" i="4"/>
  <c r="AK113" i="4"/>
  <c r="AO406" i="3"/>
  <c r="BK40" i="4"/>
  <c r="AP228" i="3"/>
  <c r="AP187" i="3"/>
  <c r="AQ173" i="3"/>
  <c r="BS389" i="3"/>
  <c r="K86" i="6"/>
  <c r="AK309" i="3"/>
  <c r="BR404" i="3"/>
  <c r="AQ43" i="4"/>
  <c r="H44" i="8"/>
  <c r="O18" i="8"/>
  <c r="AD140" i="28" l="1"/>
  <c r="AD18" i="28" s="1"/>
  <c r="AP382" i="3"/>
  <c r="AO402" i="3"/>
  <c r="AO380" i="3" s="1"/>
  <c r="BR380" i="3" s="1"/>
  <c r="AP407" i="3"/>
  <c r="AO422" i="3"/>
  <c r="BR422" i="3" s="1"/>
  <c r="AP383" i="3"/>
  <c r="AP404" i="3"/>
  <c r="AP408" i="3"/>
  <c r="BM53" i="4"/>
  <c r="AR42" i="4"/>
  <c r="AT53" i="4" s="1"/>
  <c r="BJ114" i="4"/>
  <c r="BN116" i="4"/>
  <c r="AR43" i="4"/>
  <c r="BN43" i="4" s="1"/>
  <c r="E124" i="6"/>
  <c r="BP576" i="3"/>
  <c r="AJ297" i="4"/>
  <c r="AJ254" i="4"/>
  <c r="AJ256" i="4" s="1"/>
  <c r="AJ296" i="4"/>
  <c r="BJ253" i="4"/>
  <c r="BR384" i="3"/>
  <c r="AP384" i="3"/>
  <c r="AM40" i="4"/>
  <c r="AM267" i="4" s="1"/>
  <c r="AN380" i="3"/>
  <c r="AO337" i="3"/>
  <c r="BR324" i="3"/>
  <c r="AJ400" i="4"/>
  <c r="BJ329" i="4"/>
  <c r="AJ367" i="4"/>
  <c r="AJ330" i="4"/>
  <c r="AJ332" i="4" s="1"/>
  <c r="AJ368" i="4"/>
  <c r="Z8" i="28"/>
  <c r="Z9" i="28"/>
  <c r="AP151" i="4"/>
  <c r="AP136" i="4"/>
  <c r="AN318" i="3"/>
  <c r="AN309" i="3" s="1"/>
  <c r="AN576" i="3" s="1"/>
  <c r="AO348" i="3"/>
  <c r="BR348" i="3" s="1"/>
  <c r="BR290" i="3"/>
  <c r="BR302" i="3" s="1"/>
  <c r="AP290" i="3"/>
  <c r="BJ192" i="4"/>
  <c r="AQ287" i="3"/>
  <c r="AR83" i="4"/>
  <c r="AR16" i="4"/>
  <c r="BN16" i="4" s="1"/>
  <c r="BN84" i="4"/>
  <c r="AQ53" i="4"/>
  <c r="Q9" i="8"/>
  <c r="G6" i="33"/>
  <c r="G10" i="33" s="1"/>
  <c r="G14" i="33" s="1"/>
  <c r="G34" i="6"/>
  <c r="BR68" i="3"/>
  <c r="R32" i="9"/>
  <c r="R33" i="9" s="1"/>
  <c r="BQ569" i="3"/>
  <c r="F118" i="6" s="1"/>
  <c r="BQ571" i="3"/>
  <c r="F120" i="6" s="1"/>
  <c r="AB137" i="28"/>
  <c r="AB6" i="28" s="1"/>
  <c r="AP527" i="3"/>
  <c r="AP528" i="3"/>
  <c r="BJ414" i="4"/>
  <c r="AC20" i="28"/>
  <c r="AC21" i="28"/>
  <c r="BJ177" i="4"/>
  <c r="AJ216" i="4"/>
  <c r="AJ178" i="4"/>
  <c r="AJ180" i="4" s="1"/>
  <c r="AJ217" i="4"/>
  <c r="AN425" i="3"/>
  <c r="K124" i="6"/>
  <c r="AK576" i="3"/>
  <c r="AK114" i="4"/>
  <c r="AL113" i="4"/>
  <c r="Z6" i="32"/>
  <c r="Z10" i="32" s="1"/>
  <c r="AO73" i="3"/>
  <c r="AR117" i="4"/>
  <c r="AO462" i="3"/>
  <c r="BR390" i="3"/>
  <c r="AP390" i="3"/>
  <c r="BQ316" i="3"/>
  <c r="BQ318" i="3" s="1"/>
  <c r="AN346" i="3"/>
  <c r="AM318" i="3"/>
  <c r="AM309" i="3" s="1"/>
  <c r="AM576" i="3" s="1"/>
  <c r="AM346" i="3"/>
  <c r="BQ346" i="3" s="1"/>
  <c r="AP54" i="4"/>
  <c r="AQ63" i="3"/>
  <c r="BM14" i="4"/>
  <c r="AP20" i="4"/>
  <c r="AQ228" i="3"/>
  <c r="AQ187" i="3"/>
  <c r="BS173" i="3"/>
  <c r="BS187" i="3" s="1"/>
  <c r="AR173" i="3"/>
  <c r="BR406" i="3"/>
  <c r="AP406" i="3"/>
  <c r="AK99" i="4"/>
  <c r="AO424" i="3"/>
  <c r="AS141" i="28"/>
  <c r="AS23" i="28" s="1"/>
  <c r="BM150" i="4"/>
  <c r="AK296" i="4"/>
  <c r="AK254" i="4"/>
  <c r="AK256" i="4" s="1"/>
  <c r="AK297" i="4"/>
  <c r="BK253" i="4"/>
  <c r="AQ136" i="4"/>
  <c r="AL296" i="4"/>
  <c r="AL254" i="4"/>
  <c r="AL256" i="4" s="1"/>
  <c r="AL297" i="4"/>
  <c r="AQ109" i="3"/>
  <c r="AQ419" i="3"/>
  <c r="AJ415" i="4"/>
  <c r="BJ344" i="4"/>
  <c r="BJ369" i="4" s="1"/>
  <c r="Y9" i="28"/>
  <c r="Y8" i="28"/>
  <c r="AO314" i="3"/>
  <c r="BR313" i="3"/>
  <c r="AK216" i="4"/>
  <c r="AK217" i="4"/>
  <c r="AK178" i="4"/>
  <c r="AK180" i="4" s="1"/>
  <c r="AD25" i="28"/>
  <c r="AD26" i="28"/>
  <c r="BJ141" i="4"/>
  <c r="BN45" i="4"/>
  <c r="BN52" i="4" s="1"/>
  <c r="AR52" i="4"/>
  <c r="AT54" i="4"/>
  <c r="BM15" i="4"/>
  <c r="AQ64" i="3"/>
  <c r="BS64" i="3" s="1"/>
  <c r="R14" i="9"/>
  <c r="AD21" i="28"/>
  <c r="AD20" i="28"/>
  <c r="AR13" i="4"/>
  <c r="AL268" i="4"/>
  <c r="BK268" i="4" s="1"/>
  <c r="BK267" i="4"/>
  <c r="AL576" i="3"/>
  <c r="L124" i="6"/>
  <c r="AS118" i="3"/>
  <c r="AR132" i="3"/>
  <c r="AK367" i="4"/>
  <c r="AK400" i="4"/>
  <c r="AK330" i="4"/>
  <c r="AK332" i="4" s="1"/>
  <c r="AK368" i="4"/>
  <c r="BR386" i="3"/>
  <c r="AP386" i="3"/>
  <c r="BM128" i="4"/>
  <c r="BM149" i="4"/>
  <c r="AS140" i="28"/>
  <c r="AS18" i="28" s="1"/>
  <c r="BM88" i="4"/>
  <c r="BM96" i="4" s="1"/>
  <c r="AT502" i="4"/>
  <c r="AR493" i="4"/>
  <c r="BN493" i="4" s="1"/>
  <c r="BN491" i="4"/>
  <c r="AR500" i="4"/>
  <c r="AK192" i="4"/>
  <c r="AL191" i="4"/>
  <c r="AO302" i="3"/>
  <c r="AQ14" i="4"/>
  <c r="AQ20" i="4" s="1"/>
  <c r="BJ489" i="4"/>
  <c r="AP313" i="3"/>
  <c r="AP314" i="3" s="1"/>
  <c r="AP242" i="3"/>
  <c r="AP324" i="3"/>
  <c r="AP337" i="3" s="1"/>
  <c r="AJ472" i="4"/>
  <c r="AJ140" i="4"/>
  <c r="AJ139" i="4"/>
  <c r="BJ99" i="4"/>
  <c r="AJ100" i="4"/>
  <c r="AJ102" i="4" s="1"/>
  <c r="AC26" i="28"/>
  <c r="AC25" i="28"/>
  <c r="BJ298" i="4"/>
  <c r="BN81" i="4"/>
  <c r="AK344" i="4"/>
  <c r="AK415" i="4" s="1"/>
  <c r="AL343" i="4"/>
  <c r="AK414" i="4"/>
  <c r="AK489" i="4" s="1"/>
  <c r="BJ218" i="4"/>
  <c r="AQ137" i="28"/>
  <c r="AQ6" i="28" s="1"/>
  <c r="BQ527" i="3"/>
  <c r="F103" i="6" s="1"/>
  <c r="F44" i="6"/>
  <c r="F43" i="6" s="1"/>
  <c r="BQ528" i="3"/>
  <c r="F104" i="6" s="1"/>
  <c r="P19" i="8"/>
  <c r="AR82" i="4"/>
  <c r="AE140" i="28" s="1"/>
  <c r="AE18" i="28" s="1"/>
  <c r="BN42" i="4" l="1"/>
  <c r="BN51" i="4" s="1"/>
  <c r="AO425" i="3"/>
  <c r="AN40" i="4"/>
  <c r="AQ407" i="3"/>
  <c r="BS407" i="3" s="1"/>
  <c r="AP422" i="3"/>
  <c r="AR51" i="4"/>
  <c r="AR53" i="4"/>
  <c r="AQ386" i="3"/>
  <c r="BS386" i="3" s="1"/>
  <c r="AQ406" i="3"/>
  <c r="BS406" i="3" s="1"/>
  <c r="AE20" i="28"/>
  <c r="AE21" i="28"/>
  <c r="AQ28" i="4"/>
  <c r="AK439" i="4"/>
  <c r="AK438" i="4"/>
  <c r="AK401" i="4"/>
  <c r="AK403" i="4" s="1"/>
  <c r="AK376" i="4" s="1"/>
  <c r="AK440" i="4"/>
  <c r="AR88" i="4"/>
  <c r="AR96" i="4" s="1"/>
  <c r="BR46" i="3"/>
  <c r="BR314" i="3"/>
  <c r="F52" i="33"/>
  <c r="AK225" i="4"/>
  <c r="L66" i="6"/>
  <c r="BS63" i="3"/>
  <c r="AQ68" i="3"/>
  <c r="F42" i="33"/>
  <c r="F86" i="6"/>
  <c r="P49" i="8"/>
  <c r="BQ309" i="3"/>
  <c r="AL99" i="4"/>
  <c r="BK99" i="4" s="1"/>
  <c r="AL114" i="4"/>
  <c r="BK114" i="4" s="1"/>
  <c r="C166" i="6" s="1"/>
  <c r="AM113" i="4"/>
  <c r="BK113" i="4"/>
  <c r="AJ153" i="4"/>
  <c r="K65" i="6"/>
  <c r="E51" i="33"/>
  <c r="AB8" i="28"/>
  <c r="AB9" i="28"/>
  <c r="BJ366" i="4"/>
  <c r="BJ367" i="4"/>
  <c r="BJ368" i="4"/>
  <c r="BJ330" i="4"/>
  <c r="BJ332" i="4" s="1"/>
  <c r="BJ297" i="4"/>
  <c r="BJ254" i="4"/>
  <c r="BJ256" i="4" s="1"/>
  <c r="BJ296" i="4"/>
  <c r="BJ295" i="4"/>
  <c r="AQ408" i="3"/>
  <c r="AL414" i="4"/>
  <c r="BK343" i="4"/>
  <c r="AL344" i="4"/>
  <c r="AM343" i="4"/>
  <c r="AM329" i="4" s="1"/>
  <c r="AO571" i="3"/>
  <c r="AO316" i="3"/>
  <c r="AO569" i="3"/>
  <c r="BJ415" i="4"/>
  <c r="BJ441" i="4" s="1"/>
  <c r="AP462" i="3"/>
  <c r="AQ390" i="3"/>
  <c r="AJ438" i="4"/>
  <c r="BJ400" i="4"/>
  <c r="AJ439" i="4"/>
  <c r="AJ401" i="4"/>
  <c r="AJ403" i="4" s="1"/>
  <c r="AJ376" i="4" s="1"/>
  <c r="AJ440" i="4"/>
  <c r="AQ404" i="3"/>
  <c r="P18" i="8"/>
  <c r="I44" i="8"/>
  <c r="AQ8" i="28"/>
  <c r="AQ9" i="28"/>
  <c r="AK441" i="4"/>
  <c r="BJ472" i="4"/>
  <c r="AJ513" i="4"/>
  <c r="AJ514" i="4"/>
  <c r="AJ473" i="4"/>
  <c r="AJ515" i="4"/>
  <c r="AQ54" i="4"/>
  <c r="BM136" i="4"/>
  <c r="AR419" i="3"/>
  <c r="AR109" i="3"/>
  <c r="BK298" i="4"/>
  <c r="F51" i="33"/>
  <c r="AK153" i="4"/>
  <c r="L65" i="6"/>
  <c r="G52" i="33"/>
  <c r="AL225" i="4"/>
  <c r="BM151" i="4"/>
  <c r="AR228" i="3"/>
  <c r="AS173" i="3"/>
  <c r="AR187" i="3"/>
  <c r="BR462" i="3"/>
  <c r="AO527" i="3"/>
  <c r="AO528" i="3"/>
  <c r="AA137" i="28"/>
  <c r="AA6" i="28" s="1"/>
  <c r="BJ216" i="4"/>
  <c r="BJ178" i="4"/>
  <c r="BJ180" i="4" s="1"/>
  <c r="BP179" i="4" s="1"/>
  <c r="BJ215" i="4"/>
  <c r="BJ217" i="4"/>
  <c r="AJ441" i="4"/>
  <c r="AQ6" i="32"/>
  <c r="AQ10" i="32" s="1"/>
  <c r="BR73" i="3"/>
  <c r="G39" i="6"/>
  <c r="G38" i="6" s="1"/>
  <c r="Q14" i="8"/>
  <c r="Q13" i="8" s="1"/>
  <c r="AE141" i="28"/>
  <c r="AE23" i="28" s="1"/>
  <c r="AR15" i="4"/>
  <c r="BN83" i="4"/>
  <c r="AR150" i="4"/>
  <c r="AP302" i="3"/>
  <c r="AQ290" i="3"/>
  <c r="AQ348" i="3" s="1"/>
  <c r="AJ225" i="4"/>
  <c r="E52" i="33"/>
  <c r="K66" i="6"/>
  <c r="AR14" i="4"/>
  <c r="AR54" i="4" s="1"/>
  <c r="AR149" i="4"/>
  <c r="K63" i="6"/>
  <c r="E50" i="33"/>
  <c r="AJ75" i="4"/>
  <c r="BN82" i="4"/>
  <c r="BN128" i="4" s="1"/>
  <c r="AS20" i="28"/>
  <c r="AS21" i="28"/>
  <c r="BT118" i="3"/>
  <c r="BT132" i="3" s="1"/>
  <c r="BT109" i="3" s="1"/>
  <c r="AS132" i="3"/>
  <c r="AS25" i="28"/>
  <c r="AS26" i="28"/>
  <c r="AR63" i="3"/>
  <c r="BR337" i="3"/>
  <c r="BR53" i="3"/>
  <c r="AJ31" i="4"/>
  <c r="AP316" i="3"/>
  <c r="AP569" i="3"/>
  <c r="AP571" i="3"/>
  <c r="F53" i="33"/>
  <c r="L67" i="6"/>
  <c r="AK305" i="4"/>
  <c r="AM253" i="4"/>
  <c r="AM268" i="4"/>
  <c r="AN267" i="4"/>
  <c r="BK296" i="4"/>
  <c r="BK295" i="4"/>
  <c r="BK254" i="4"/>
  <c r="BK256" i="4" s="1"/>
  <c r="BK297" i="4"/>
  <c r="BR424" i="3"/>
  <c r="AQ313" i="3"/>
  <c r="AP28" i="4"/>
  <c r="BN117" i="4"/>
  <c r="AR44" i="4"/>
  <c r="BN44" i="4" s="1"/>
  <c r="AQ383" i="3"/>
  <c r="BR425" i="3"/>
  <c r="AP348" i="3"/>
  <c r="K67" i="6"/>
  <c r="E53" i="33"/>
  <c r="AJ305" i="4"/>
  <c r="AP347" i="3"/>
  <c r="AO347" i="3"/>
  <c r="BR347" i="3" s="1"/>
  <c r="AQ384" i="3"/>
  <c r="BL40" i="4"/>
  <c r="BN127" i="4"/>
  <c r="BN88" i="4"/>
  <c r="BN96" i="4" s="1"/>
  <c r="BN149" i="4"/>
  <c r="AL329" i="4"/>
  <c r="BJ140" i="4"/>
  <c r="BJ139" i="4"/>
  <c r="BJ138" i="4"/>
  <c r="BJ100" i="4"/>
  <c r="BJ102" i="4" s="1"/>
  <c r="AS389" i="3"/>
  <c r="BT389" i="3" s="1"/>
  <c r="AL177" i="4"/>
  <c r="AL192" i="4"/>
  <c r="BK192" i="4" s="1"/>
  <c r="D166" i="6" s="1"/>
  <c r="BK191" i="4"/>
  <c r="AM191" i="4"/>
  <c r="BN502" i="4"/>
  <c r="BN500" i="4"/>
  <c r="BN13" i="4"/>
  <c r="AK139" i="4"/>
  <c r="AK140" i="4"/>
  <c r="AK100" i="4"/>
  <c r="AK102" i="4" s="1"/>
  <c r="AQ324" i="3"/>
  <c r="BS228" i="3"/>
  <c r="BS242" i="3" s="1"/>
  <c r="AQ242" i="3"/>
  <c r="BM54" i="4"/>
  <c r="BM20" i="4"/>
  <c r="AP402" i="3"/>
  <c r="AP425" i="3" s="1"/>
  <c r="AQ382" i="3"/>
  <c r="AR287" i="3"/>
  <c r="BS287" i="3"/>
  <c r="BR402" i="3"/>
  <c r="AQ422" i="3" l="1"/>
  <c r="AQ302" i="3"/>
  <c r="BS348" i="3"/>
  <c r="AQ402" i="3"/>
  <c r="AQ380" i="3" s="1"/>
  <c r="BS380" i="3" s="1"/>
  <c r="BK141" i="4"/>
  <c r="AS63" i="3"/>
  <c r="BT63" i="3" s="1"/>
  <c r="AP424" i="3"/>
  <c r="AR20" i="4"/>
  <c r="AT140" i="28"/>
  <c r="AT18" i="28" s="1"/>
  <c r="AQ425" i="3"/>
  <c r="BS425" i="3" s="1"/>
  <c r="BS422" i="3"/>
  <c r="BM28" i="4"/>
  <c r="BS384" i="3"/>
  <c r="AR384" i="3"/>
  <c r="BN15" i="4"/>
  <c r="AS64" i="3"/>
  <c r="BT64" i="3" s="1"/>
  <c r="BN14" i="4"/>
  <c r="BN54" i="4" s="1"/>
  <c r="BJ513" i="4"/>
  <c r="BJ514" i="4"/>
  <c r="BJ473" i="4"/>
  <c r="BJ515" i="4"/>
  <c r="BJ438" i="4"/>
  <c r="BJ439" i="4"/>
  <c r="BJ440" i="4"/>
  <c r="BJ401" i="4"/>
  <c r="BJ403" i="4" s="1"/>
  <c r="BJ376" i="4" s="1"/>
  <c r="AR408" i="3"/>
  <c r="BS408" i="3"/>
  <c r="BQ576" i="3"/>
  <c r="F124" i="6"/>
  <c r="AL178" i="4"/>
  <c r="AL180" i="4" s="1"/>
  <c r="AL216" i="4"/>
  <c r="AL217" i="4"/>
  <c r="BK177" i="4"/>
  <c r="AQ314" i="3"/>
  <c r="BS313" i="3"/>
  <c r="G45" i="33"/>
  <c r="Q52" i="8"/>
  <c r="G89" i="6"/>
  <c r="AS109" i="3"/>
  <c r="AS419" i="3"/>
  <c r="AE25" i="28"/>
  <c r="AE26" i="28"/>
  <c r="AR386" i="3"/>
  <c r="AL489" i="4"/>
  <c r="BK414" i="4"/>
  <c r="AQ73" i="3"/>
  <c r="AB6" i="32"/>
  <c r="AB10" i="32" s="1"/>
  <c r="AR406" i="3"/>
  <c r="AR136" i="4"/>
  <c r="AR151" i="4"/>
  <c r="AR28" i="4"/>
  <c r="BS383" i="3"/>
  <c r="AR383" i="3"/>
  <c r="AN253" i="4"/>
  <c r="BL253" i="4" s="1"/>
  <c r="BL267" i="4"/>
  <c r="AN268" i="4"/>
  <c r="BL268" i="4" s="1"/>
  <c r="AP318" i="3"/>
  <c r="AP309" i="3" s="1"/>
  <c r="AP576" i="3" s="1"/>
  <c r="AR68" i="3"/>
  <c r="BS290" i="3"/>
  <c r="BS302" i="3" s="1"/>
  <c r="AR290" i="3"/>
  <c r="AA8" i="28"/>
  <c r="AA9" i="28"/>
  <c r="H74" i="8"/>
  <c r="E67" i="6"/>
  <c r="BJ305" i="4"/>
  <c r="E27" i="33"/>
  <c r="BS68" i="3"/>
  <c r="G34" i="33"/>
  <c r="G35" i="33" s="1"/>
  <c r="S13" i="9"/>
  <c r="S14" i="9" s="1"/>
  <c r="G78" i="6"/>
  <c r="Q41" i="8"/>
  <c r="BR419" i="3"/>
  <c r="BN136" i="4"/>
  <c r="BJ31" i="4"/>
  <c r="AJ64" i="4"/>
  <c r="AK76" i="3"/>
  <c r="AJ63" i="4"/>
  <c r="W166" i="28"/>
  <c r="W104" i="28" s="1"/>
  <c r="AJ65" i="4"/>
  <c r="AJ32" i="4"/>
  <c r="E25" i="33"/>
  <c r="H72" i="8"/>
  <c r="E65" i="6"/>
  <c r="BJ153" i="4"/>
  <c r="AR313" i="3"/>
  <c r="AR314" i="3" s="1"/>
  <c r="AQ462" i="3"/>
  <c r="BS390" i="3"/>
  <c r="AR390" i="3"/>
  <c r="AM400" i="4"/>
  <c r="AM367" i="4"/>
  <c r="AM330" i="4"/>
  <c r="AM332" i="4" s="1"/>
  <c r="AM368" i="4"/>
  <c r="E66" i="6"/>
  <c r="E26" i="33"/>
  <c r="H73" i="8"/>
  <c r="BJ225" i="4"/>
  <c r="AM99" i="4"/>
  <c r="AN113" i="4"/>
  <c r="AM114" i="4"/>
  <c r="BK140" i="4"/>
  <c r="BK139" i="4"/>
  <c r="BK138" i="4"/>
  <c r="BK100" i="4"/>
  <c r="BK102" i="4" s="1"/>
  <c r="AT20" i="28"/>
  <c r="AT21" i="28"/>
  <c r="AL367" i="4"/>
  <c r="AL400" i="4"/>
  <c r="AL330" i="4"/>
  <c r="AL332" i="4" s="1"/>
  <c r="AL368" i="4"/>
  <c r="BK329" i="4"/>
  <c r="BN53" i="4"/>
  <c r="AM177" i="4"/>
  <c r="AM192" i="4"/>
  <c r="AN191" i="4"/>
  <c r="AM296" i="4"/>
  <c r="AM297" i="4"/>
  <c r="AM254" i="4"/>
  <c r="AM256" i="4" s="1"/>
  <c r="BR528" i="3"/>
  <c r="G104" i="6" s="1"/>
  <c r="G44" i="6"/>
  <c r="G43" i="6" s="1"/>
  <c r="BR527" i="3"/>
  <c r="G103" i="6" s="1"/>
  <c r="AR137" i="28"/>
  <c r="AR6" i="28" s="1"/>
  <c r="Q19" i="8"/>
  <c r="AS228" i="3"/>
  <c r="AS187" i="3"/>
  <c r="BT173" i="3"/>
  <c r="BT187" i="3" s="1"/>
  <c r="AM414" i="4"/>
  <c r="AM344" i="4"/>
  <c r="AM415" i="4" s="1"/>
  <c r="AN343" i="4"/>
  <c r="AS287" i="3"/>
  <c r="AR348" i="3"/>
  <c r="E63" i="6"/>
  <c r="E24" i="33"/>
  <c r="H70" i="8"/>
  <c r="BJ75" i="4"/>
  <c r="BS382" i="3"/>
  <c r="AR382" i="3"/>
  <c r="AQ337" i="3"/>
  <c r="BS324" i="3"/>
  <c r="AP380" i="3"/>
  <c r="AO40" i="4"/>
  <c r="F50" i="33"/>
  <c r="AK75" i="4"/>
  <c r="L63" i="6"/>
  <c r="BK218" i="4"/>
  <c r="F66" i="6"/>
  <c r="F26" i="33"/>
  <c r="I73" i="8"/>
  <c r="BK225" i="4"/>
  <c r="AT141" i="28"/>
  <c r="AT23" i="28" s="1"/>
  <c r="BN150" i="4"/>
  <c r="BN151" i="4" s="1"/>
  <c r="AR242" i="3"/>
  <c r="AR324" i="3"/>
  <c r="AR337" i="3" s="1"/>
  <c r="BS404" i="3"/>
  <c r="AR404" i="3"/>
  <c r="AP346" i="3"/>
  <c r="AO318" i="3"/>
  <c r="AO309" i="3" s="1"/>
  <c r="AO576" i="3" s="1"/>
  <c r="BR316" i="3"/>
  <c r="BR318" i="3" s="1"/>
  <c r="AO346" i="3"/>
  <c r="BR346" i="3" s="1"/>
  <c r="AL415" i="4"/>
  <c r="AL441" i="4" s="1"/>
  <c r="BK344" i="4"/>
  <c r="BK369" i="4" s="1"/>
  <c r="AL140" i="4"/>
  <c r="AL139" i="4"/>
  <c r="AL100" i="4"/>
  <c r="AL102" i="4" s="1"/>
  <c r="S32" i="9"/>
  <c r="BR569" i="3"/>
  <c r="G118" i="6" s="1"/>
  <c r="BR571" i="3"/>
  <c r="G120" i="6" s="1"/>
  <c r="AR407" i="3"/>
  <c r="BN20" i="4" l="1"/>
  <c r="AP40" i="4"/>
  <c r="AS407" i="3"/>
  <c r="BT407" i="3" s="1"/>
  <c r="AQ424" i="3"/>
  <c r="BS424" i="3" s="1"/>
  <c r="AS68" i="3"/>
  <c r="AS73" i="3" s="1"/>
  <c r="BL298" i="4"/>
  <c r="AS404" i="3"/>
  <c r="BT404" i="3" s="1"/>
  <c r="AS383" i="3"/>
  <c r="BT383" i="3" s="1"/>
  <c r="AS382" i="3"/>
  <c r="BT382" i="3" s="1"/>
  <c r="AS386" i="3"/>
  <c r="BT386" i="3" s="1"/>
  <c r="S33" i="9"/>
  <c r="AS406" i="3"/>
  <c r="BT406" i="3" s="1"/>
  <c r="G42" i="33"/>
  <c r="G86" i="6"/>
  <c r="BR309" i="3"/>
  <c r="Q49" i="8"/>
  <c r="AM225" i="4"/>
  <c r="AN177" i="4"/>
  <c r="BL177" i="4" s="1"/>
  <c r="BL191" i="4"/>
  <c r="AO191" i="4"/>
  <c r="AO177" i="4" s="1"/>
  <c r="AN192" i="4"/>
  <c r="AN99" i="4"/>
  <c r="BL99" i="4" s="1"/>
  <c r="AO113" i="4"/>
  <c r="BL113" i="4"/>
  <c r="AN114" i="4"/>
  <c r="AJ33" i="4"/>
  <c r="AJ36" i="4" s="1"/>
  <c r="AN296" i="4"/>
  <c r="AN254" i="4"/>
  <c r="AN256" i="4" s="1"/>
  <c r="AN297" i="4"/>
  <c r="G51" i="33"/>
  <c r="AL153" i="4"/>
  <c r="AS384" i="3"/>
  <c r="BT384" i="3" s="1"/>
  <c r="AT25" i="28"/>
  <c r="AT26" i="28"/>
  <c r="AD6" i="32"/>
  <c r="AD10" i="32" s="1"/>
  <c r="AM139" i="4"/>
  <c r="AM140" i="4"/>
  <c r="AM100" i="4"/>
  <c r="AM102" i="4" s="1"/>
  <c r="AR462" i="3"/>
  <c r="AS390" i="3"/>
  <c r="AQ528" i="3"/>
  <c r="AC137" i="28"/>
  <c r="AC6" i="28" s="1"/>
  <c r="AQ527" i="3"/>
  <c r="BT287" i="3"/>
  <c r="BS53" i="3"/>
  <c r="BS337" i="3"/>
  <c r="Q18" i="8"/>
  <c r="J44" i="8"/>
  <c r="AM217" i="4"/>
  <c r="AM216" i="4"/>
  <c r="AM178" i="4"/>
  <c r="AM180" i="4" s="1"/>
  <c r="BK367" i="4"/>
  <c r="BK366" i="4"/>
  <c r="BK330" i="4"/>
  <c r="BK332" i="4" s="1"/>
  <c r="BK368" i="4"/>
  <c r="BS462" i="3"/>
  <c r="AP166" i="28"/>
  <c r="AP104" i="28" s="1"/>
  <c r="BJ64" i="4"/>
  <c r="BJ63" i="4"/>
  <c r="BJ65" i="4"/>
  <c r="BJ32" i="4"/>
  <c r="BK489" i="4"/>
  <c r="BS314" i="3"/>
  <c r="BS46" i="3"/>
  <c r="AR422" i="3"/>
  <c r="AR347" i="3"/>
  <c r="AQ347" i="3"/>
  <c r="BS347" i="3" s="1"/>
  <c r="AN329" i="4"/>
  <c r="BL343" i="4"/>
  <c r="AN414" i="4"/>
  <c r="AO343" i="4"/>
  <c r="AN344" i="4"/>
  <c r="AS313" i="3"/>
  <c r="AR8" i="28"/>
  <c r="AR9" i="28"/>
  <c r="BN28" i="4"/>
  <c r="F63" i="6"/>
  <c r="BK75" i="4"/>
  <c r="F24" i="33"/>
  <c r="I70" i="8"/>
  <c r="AM305" i="4"/>
  <c r="W107" i="28"/>
  <c r="W106" i="28"/>
  <c r="AC6" i="32"/>
  <c r="AC10" i="32" s="1"/>
  <c r="AR73" i="3"/>
  <c r="AO267" i="4"/>
  <c r="AQ569" i="3"/>
  <c r="AQ316" i="3"/>
  <c r="AQ571" i="3"/>
  <c r="BK216" i="4"/>
  <c r="BK217" i="4"/>
  <c r="BK215" i="4"/>
  <c r="BK178" i="4"/>
  <c r="BK180" i="4" s="1"/>
  <c r="AS408" i="3"/>
  <c r="BT408" i="3" s="1"/>
  <c r="AM489" i="4"/>
  <c r="G50" i="33"/>
  <c r="AL75" i="4"/>
  <c r="BK415" i="4"/>
  <c r="E166" i="6" s="1"/>
  <c r="AS242" i="3"/>
  <c r="AS324" i="3"/>
  <c r="BT228" i="3"/>
  <c r="BT242" i="3" s="1"/>
  <c r="BM40" i="4"/>
  <c r="G53" i="33"/>
  <c r="AL305" i="4"/>
  <c r="BT68" i="3"/>
  <c r="AR402" i="3"/>
  <c r="AM441" i="4"/>
  <c r="BL295" i="4"/>
  <c r="BL296" i="4"/>
  <c r="BL254" i="4"/>
  <c r="BL256" i="4" s="1"/>
  <c r="BL297" i="4"/>
  <c r="BS402" i="3"/>
  <c r="BK400" i="4"/>
  <c r="AL438" i="4"/>
  <c r="AL439" i="4"/>
  <c r="AL440" i="4"/>
  <c r="AL401" i="4"/>
  <c r="AL403" i="4" s="1"/>
  <c r="AL376" i="4" s="1"/>
  <c r="AM439" i="4"/>
  <c r="AM438" i="4"/>
  <c r="AM440" i="4"/>
  <c r="AM401" i="4"/>
  <c r="AM403" i="4" s="1"/>
  <c r="AM376" i="4" s="1"/>
  <c r="AR316" i="3"/>
  <c r="AR571" i="3"/>
  <c r="AR569" i="3"/>
  <c r="AK549" i="3"/>
  <c r="AK550" i="3"/>
  <c r="AK546" i="3"/>
  <c r="AK547" i="3"/>
  <c r="AK548" i="3"/>
  <c r="V14" i="32"/>
  <c r="V15" i="32" s="1"/>
  <c r="AK533" i="3"/>
  <c r="K107" i="6" s="1"/>
  <c r="BP76" i="3"/>
  <c r="K47" i="6"/>
  <c r="AK534" i="3"/>
  <c r="AK77" i="3"/>
  <c r="AK535" i="3"/>
  <c r="K109" i="6" s="1"/>
  <c r="AR6" i="32"/>
  <c r="AR10" i="32" s="1"/>
  <c r="BS73" i="3"/>
  <c r="AR302" i="3"/>
  <c r="AS290" i="3"/>
  <c r="BT290" i="3" s="1"/>
  <c r="AS422" i="3" l="1"/>
  <c r="BT422" i="3" s="1"/>
  <c r="BP549" i="3"/>
  <c r="G66" i="6"/>
  <c r="G26" i="33"/>
  <c r="J73" i="8"/>
  <c r="BL225" i="4"/>
  <c r="AO329" i="4"/>
  <c r="AP343" i="4"/>
  <c r="AP329" i="4" s="1"/>
  <c r="AO414" i="4"/>
  <c r="AO344" i="4"/>
  <c r="AS302" i="3"/>
  <c r="AO99" i="4"/>
  <c r="AO114" i="4"/>
  <c r="AP113" i="4"/>
  <c r="BR576" i="3"/>
  <c r="G124" i="6"/>
  <c r="AS337" i="3"/>
  <c r="AS347" i="3" s="1"/>
  <c r="BT347" i="3" s="1"/>
  <c r="BT324" i="3"/>
  <c r="AN489" i="4"/>
  <c r="BL414" i="4"/>
  <c r="BL216" i="4"/>
  <c r="BL215" i="4"/>
  <c r="BL217" i="4"/>
  <c r="BL178" i="4"/>
  <c r="BL180" i="4" s="1"/>
  <c r="BT302" i="3"/>
  <c r="AS402" i="3"/>
  <c r="AC9" i="28"/>
  <c r="AC8" i="28"/>
  <c r="BT390" i="3"/>
  <c r="AS462" i="3"/>
  <c r="AN140" i="4"/>
  <c r="AN139" i="4"/>
  <c r="AN100" i="4"/>
  <c r="AN102" i="4" s="1"/>
  <c r="AN217" i="4"/>
  <c r="AN178" i="4"/>
  <c r="AN180" i="4" s="1"/>
  <c r="AN216" i="4"/>
  <c r="AS6" i="32"/>
  <c r="AS10" i="32" s="1"/>
  <c r="BT73" i="3"/>
  <c r="AQ318" i="3"/>
  <c r="AQ309" i="3" s="1"/>
  <c r="AQ576" i="3" s="1"/>
  <c r="BS316" i="3"/>
  <c r="BS318" i="3" s="1"/>
  <c r="BS309" i="3" s="1"/>
  <c r="BS576" i="3" s="1"/>
  <c r="AR346" i="3"/>
  <c r="AQ346" i="3"/>
  <c r="BS346" i="3" s="1"/>
  <c r="AM153" i="4"/>
  <c r="BK441" i="4"/>
  <c r="AM75" i="4"/>
  <c r="AS527" i="3"/>
  <c r="AE137" i="28"/>
  <c r="AE6" i="28" s="1"/>
  <c r="AS528" i="3"/>
  <c r="BK439" i="4"/>
  <c r="BK438" i="4"/>
  <c r="BK401" i="4"/>
  <c r="BK403" i="4" s="1"/>
  <c r="BK376" i="4" s="1"/>
  <c r="BK440" i="4"/>
  <c r="BP548" i="3"/>
  <c r="AQ40" i="4"/>
  <c r="AR380" i="3"/>
  <c r="AR425" i="3"/>
  <c r="AR424" i="3"/>
  <c r="BK153" i="4"/>
  <c r="I72" i="8"/>
  <c r="F25" i="33"/>
  <c r="F65" i="6"/>
  <c r="AO253" i="4"/>
  <c r="AO268" i="4"/>
  <c r="AP267" i="4"/>
  <c r="AP253" i="4" s="1"/>
  <c r="AS314" i="3"/>
  <c r="BT313" i="3"/>
  <c r="AN367" i="4"/>
  <c r="AN400" i="4"/>
  <c r="AN330" i="4"/>
  <c r="AN332" i="4" s="1"/>
  <c r="AN368" i="4"/>
  <c r="BL329" i="4"/>
  <c r="BS569" i="3"/>
  <c r="BS571" i="3"/>
  <c r="T32" i="9"/>
  <c r="BL140" i="4"/>
  <c r="BL138" i="4"/>
  <c r="BL139" i="4"/>
  <c r="BL100" i="4"/>
  <c r="BL102" i="4" s="1"/>
  <c r="AJ7" i="4"/>
  <c r="AO216" i="4"/>
  <c r="AO178" i="4"/>
  <c r="AO180" i="4" s="1"/>
  <c r="AO217" i="4"/>
  <c r="K48" i="6"/>
  <c r="V17" i="32"/>
  <c r="AK476" i="3"/>
  <c r="AK501" i="3" s="1"/>
  <c r="BP547" i="3"/>
  <c r="AR318" i="3"/>
  <c r="AR309" i="3" s="1"/>
  <c r="AR576" i="3" s="1"/>
  <c r="BP546" i="3"/>
  <c r="T13" i="9"/>
  <c r="BS419" i="3"/>
  <c r="AD137" i="28"/>
  <c r="AD6" i="28" s="1"/>
  <c r="AR527" i="3"/>
  <c r="AR528" i="3"/>
  <c r="AP106" i="28"/>
  <c r="AP107" i="28"/>
  <c r="BK305" i="4"/>
  <c r="F27" i="33"/>
  <c r="I74" i="8"/>
  <c r="F67" i="6"/>
  <c r="AK78" i="3"/>
  <c r="BJ33" i="4"/>
  <c r="BJ67" i="4" s="1"/>
  <c r="AJ474" i="4"/>
  <c r="BL114" i="4"/>
  <c r="C167" i="6" s="1"/>
  <c r="C168" i="6" s="1"/>
  <c r="BL192" i="4"/>
  <c r="D167" i="6" s="1"/>
  <c r="D168" i="6" s="1"/>
  <c r="V23" i="32"/>
  <c r="K108" i="6"/>
  <c r="BS527" i="3"/>
  <c r="BS528" i="3"/>
  <c r="AS137" i="28"/>
  <c r="AS6" i="28" s="1"/>
  <c r="BP533" i="3"/>
  <c r="E107" i="6" s="1"/>
  <c r="AO14" i="32"/>
  <c r="AO15" i="32" s="1"/>
  <c r="E15" i="33"/>
  <c r="E16" i="33" s="1"/>
  <c r="E47" i="6"/>
  <c r="BP534" i="3"/>
  <c r="BP77" i="3"/>
  <c r="BP535" i="3"/>
  <c r="E109" i="6" s="1"/>
  <c r="BP550" i="3"/>
  <c r="BL344" i="4"/>
  <c r="BL369" i="4" s="1"/>
  <c r="AN415" i="4"/>
  <c r="AS348" i="3"/>
  <c r="BT348" i="3" s="1"/>
  <c r="AN225" i="4"/>
  <c r="AO192" i="4"/>
  <c r="AP191" i="4"/>
  <c r="AS424" i="3" l="1"/>
  <c r="BT424" i="3" s="1"/>
  <c r="BJ36" i="4"/>
  <c r="AS425" i="3"/>
  <c r="BT425" i="3" s="1"/>
  <c r="BL367" i="4"/>
  <c r="BL366" i="4"/>
  <c r="BL368" i="4"/>
  <c r="BL330" i="4"/>
  <c r="BL332" i="4" s="1"/>
  <c r="AS316" i="3"/>
  <c r="AS571" i="3"/>
  <c r="AS569" i="3"/>
  <c r="BT462" i="3"/>
  <c r="AO367" i="4"/>
  <c r="AO400" i="4"/>
  <c r="BM329" i="4"/>
  <c r="AO368" i="4"/>
  <c r="AO330" i="4"/>
  <c r="AO332" i="4" s="1"/>
  <c r="BL415" i="4"/>
  <c r="E167" i="6" s="1"/>
  <c r="E168" i="6" s="1"/>
  <c r="M50" i="33"/>
  <c r="E108" i="6"/>
  <c r="AO23" i="32"/>
  <c r="BJ474" i="4"/>
  <c r="AJ477" i="4"/>
  <c r="AO153" i="4"/>
  <c r="AO297" i="4"/>
  <c r="AO296" i="4"/>
  <c r="AO254" i="4"/>
  <c r="AO256" i="4" s="1"/>
  <c r="BM253" i="4"/>
  <c r="AN75" i="4"/>
  <c r="BL489" i="4"/>
  <c r="BT337" i="3"/>
  <c r="BT53" i="3"/>
  <c r="BL141" i="4"/>
  <c r="AS8" i="28"/>
  <c r="AS9" i="28"/>
  <c r="BJ518" i="4"/>
  <c r="AO24" i="32"/>
  <c r="G63" i="6"/>
  <c r="BL75" i="4"/>
  <c r="G24" i="33"/>
  <c r="J70" i="8"/>
  <c r="AN305" i="4"/>
  <c r="G65" i="6"/>
  <c r="G25" i="33"/>
  <c r="BL153" i="4"/>
  <c r="J72" i="8"/>
  <c r="AP400" i="4"/>
  <c r="AP367" i="4"/>
  <c r="AP330" i="4"/>
  <c r="AP332" i="4" s="1"/>
  <c r="AP368" i="4"/>
  <c r="O23" i="8"/>
  <c r="O22" i="8" s="1"/>
  <c r="H46" i="8" s="1"/>
  <c r="E48" i="6"/>
  <c r="AO17" i="32"/>
  <c r="BP476" i="3"/>
  <c r="BP501" i="3" s="1"/>
  <c r="V18" i="32"/>
  <c r="AK31" i="3"/>
  <c r="BP78" i="3"/>
  <c r="K49" i="6"/>
  <c r="K52" i="6" s="1"/>
  <c r="AK30" i="3"/>
  <c r="T33" i="9"/>
  <c r="AN439" i="4"/>
  <c r="AN438" i="4"/>
  <c r="AN401" i="4"/>
  <c r="AN403" i="4" s="1"/>
  <c r="AN376" i="4" s="1"/>
  <c r="AN440" i="4"/>
  <c r="BL400" i="4"/>
  <c r="AE9" i="28"/>
  <c r="AE8" i="28"/>
  <c r="AR40" i="4"/>
  <c r="AS380" i="3"/>
  <c r="BT380" i="3" s="1"/>
  <c r="BT402" i="3" s="1"/>
  <c r="AP99" i="4"/>
  <c r="AP114" i="4"/>
  <c r="BM114" i="4" s="1"/>
  <c r="AQ113" i="4"/>
  <c r="BM113" i="4"/>
  <c r="AO415" i="4"/>
  <c r="AO441" i="4" s="1"/>
  <c r="AP177" i="4"/>
  <c r="BM191" i="4"/>
  <c r="AQ191" i="4"/>
  <c r="AP192" i="4"/>
  <c r="BM192" i="4" s="1"/>
  <c r="BJ7" i="4"/>
  <c r="AD9" i="28"/>
  <c r="AD8" i="28"/>
  <c r="AK81" i="3"/>
  <c r="AP296" i="4"/>
  <c r="AP297" i="4"/>
  <c r="AP254" i="4"/>
  <c r="AP256" i="4" s="1"/>
  <c r="AT137" i="28"/>
  <c r="AT6" i="28" s="1"/>
  <c r="BT528" i="3"/>
  <c r="BT527" i="3"/>
  <c r="AO489" i="4"/>
  <c r="T14" i="9"/>
  <c r="BT46" i="3"/>
  <c r="BT314" i="3"/>
  <c r="AQ267" i="4"/>
  <c r="BM267" i="4"/>
  <c r="AP268" i="4"/>
  <c r="BM268" i="4" s="1"/>
  <c r="AN153" i="4"/>
  <c r="AN441" i="4"/>
  <c r="BL218" i="4"/>
  <c r="AO139" i="4"/>
  <c r="AO140" i="4"/>
  <c r="BM99" i="4"/>
  <c r="AO100" i="4"/>
  <c r="AO102" i="4" s="1"/>
  <c r="AQ343" i="4"/>
  <c r="AQ329" i="4" s="1"/>
  <c r="BM343" i="4"/>
  <c r="AP414" i="4"/>
  <c r="AP344" i="4"/>
  <c r="AQ114" i="4" l="1"/>
  <c r="AR113" i="4"/>
  <c r="BL438" i="4"/>
  <c r="BL439" i="4"/>
  <c r="BL401" i="4"/>
  <c r="BL403" i="4" s="1"/>
  <c r="BL376" i="4" s="1"/>
  <c r="BL440" i="4"/>
  <c r="E17" i="33"/>
  <c r="O24" i="8"/>
  <c r="O27" i="8" s="1"/>
  <c r="AO18" i="32"/>
  <c r="E49" i="6"/>
  <c r="E52" i="6" s="1"/>
  <c r="BP30" i="3"/>
  <c r="BP38" i="3"/>
  <c r="BP31" i="3"/>
  <c r="H48" i="8" s="1"/>
  <c r="AO438" i="4"/>
  <c r="AO439" i="4"/>
  <c r="BM400" i="4"/>
  <c r="AO440" i="4"/>
  <c r="AO401" i="4"/>
  <c r="AO403" i="4" s="1"/>
  <c r="AO376" i="4" s="1"/>
  <c r="BL441" i="4"/>
  <c r="G27" i="33"/>
  <c r="BL305" i="4"/>
  <c r="G67" i="6"/>
  <c r="J74" i="8"/>
  <c r="AQ367" i="4"/>
  <c r="AQ330" i="4"/>
  <c r="AQ332" i="4" s="1"/>
  <c r="AQ368" i="4"/>
  <c r="BT569" i="3"/>
  <c r="U32" i="9"/>
  <c r="BT571" i="3"/>
  <c r="AQ192" i="4"/>
  <c r="AR191" i="4"/>
  <c r="U13" i="9"/>
  <c r="BT419" i="3"/>
  <c r="AP439" i="4"/>
  <c r="AP438" i="4"/>
  <c r="AP401" i="4"/>
  <c r="AP403" i="4" s="1"/>
  <c r="AP376" i="4" s="1"/>
  <c r="AP440" i="4"/>
  <c r="BM296" i="4"/>
  <c r="BM297" i="4"/>
  <c r="BM295" i="4"/>
  <c r="BM254" i="4"/>
  <c r="BM256" i="4" s="1"/>
  <c r="AJ448" i="4"/>
  <c r="E54" i="33"/>
  <c r="E55" i="33" s="1"/>
  <c r="K68" i="6"/>
  <c r="K69" i="6" s="1"/>
  <c r="K15" i="6"/>
  <c r="AK524" i="3"/>
  <c r="K100" i="6" s="1"/>
  <c r="AK84" i="3"/>
  <c r="AK536" i="3"/>
  <c r="K110" i="6" s="1"/>
  <c r="AK58" i="3"/>
  <c r="AK472" i="3"/>
  <c r="AK525" i="3"/>
  <c r="K101" i="6" s="1"/>
  <c r="AK341" i="3"/>
  <c r="AK526" i="3"/>
  <c r="K102" i="6" s="1"/>
  <c r="BP37" i="3"/>
  <c r="W176" i="28"/>
  <c r="W12" i="28" s="1"/>
  <c r="AK474" i="3"/>
  <c r="AK37" i="3"/>
  <c r="AK578" i="3" s="1"/>
  <c r="V20" i="32"/>
  <c r="BM218" i="4"/>
  <c r="AP139" i="4"/>
  <c r="AP140" i="4"/>
  <c r="AP100" i="4"/>
  <c r="AP102" i="4" s="1"/>
  <c r="BN40" i="4"/>
  <c r="AO225" i="4"/>
  <c r="BJ477" i="4"/>
  <c r="AP415" i="4"/>
  <c r="BM415" i="4" s="1"/>
  <c r="BM344" i="4"/>
  <c r="BM369" i="4" s="1"/>
  <c r="AO75" i="4"/>
  <c r="AP225" i="4"/>
  <c r="AP216" i="4"/>
  <c r="AP178" i="4"/>
  <c r="AP180" i="4" s="1"/>
  <c r="AP217" i="4"/>
  <c r="BM177" i="4"/>
  <c r="AT63" i="4"/>
  <c r="BP81" i="3"/>
  <c r="AO305" i="4"/>
  <c r="BM139" i="4"/>
  <c r="BM138" i="4"/>
  <c r="BM140" i="4"/>
  <c r="BM100" i="4"/>
  <c r="BM102" i="4" s="1"/>
  <c r="AT9" i="28"/>
  <c r="AT8" i="28"/>
  <c r="AT222" i="4"/>
  <c r="AQ99" i="4"/>
  <c r="AQ253" i="4"/>
  <c r="AR267" i="4"/>
  <c r="AR253" i="4" s="1"/>
  <c r="AQ268" i="4"/>
  <c r="AP489" i="4"/>
  <c r="BM414" i="4"/>
  <c r="AQ344" i="4"/>
  <c r="AQ414" i="4"/>
  <c r="AR343" i="4"/>
  <c r="AT366" i="4" s="1"/>
  <c r="BM298" i="4"/>
  <c r="AQ177" i="4"/>
  <c r="BM141" i="4"/>
  <c r="AQ489" i="4"/>
  <c r="AP305" i="4"/>
  <c r="BM367" i="4"/>
  <c r="BM366" i="4"/>
  <c r="BM330" i="4"/>
  <c r="BM332" i="4" s="1"/>
  <c r="BM368" i="4"/>
  <c r="BT316" i="3"/>
  <c r="BT318" i="3" s="1"/>
  <c r="BT309" i="3" s="1"/>
  <c r="BT576" i="3" s="1"/>
  <c r="AS318" i="3"/>
  <c r="AS309" i="3" s="1"/>
  <c r="AS576" i="3" s="1"/>
  <c r="AS346" i="3"/>
  <c r="BT346" i="3" s="1"/>
  <c r="AP441" i="4" l="1"/>
  <c r="BM75" i="4"/>
  <c r="W14" i="28"/>
  <c r="W15" i="28"/>
  <c r="M51" i="33"/>
  <c r="E19" i="33"/>
  <c r="E21" i="33" s="1"/>
  <c r="AT138" i="4"/>
  <c r="AR114" i="4"/>
  <c r="BN113" i="4"/>
  <c r="AT145" i="4"/>
  <c r="AQ139" i="4"/>
  <c r="AQ140" i="4"/>
  <c r="AQ100" i="4"/>
  <c r="AQ102" i="4" s="1"/>
  <c r="BM441" i="4"/>
  <c r="BN267" i="4"/>
  <c r="AR268" i="4"/>
  <c r="BN268" i="4" s="1"/>
  <c r="AT295" i="4"/>
  <c r="E68" i="6"/>
  <c r="E69" i="6" s="1"/>
  <c r="E28" i="33"/>
  <c r="E29" i="33" s="1"/>
  <c r="BJ448" i="4"/>
  <c r="H75" i="8"/>
  <c r="H76" i="8" s="1"/>
  <c r="H77" i="8" s="1"/>
  <c r="H26" i="8"/>
  <c r="BP578" i="3"/>
  <c r="BM225" i="4"/>
  <c r="BP579" i="3"/>
  <c r="H27" i="8"/>
  <c r="BM489" i="4"/>
  <c r="AQ254" i="4"/>
  <c r="AQ256" i="4" s="1"/>
  <c r="AQ297" i="4"/>
  <c r="AQ296" i="4"/>
  <c r="BN253" i="4"/>
  <c r="BP524" i="3"/>
  <c r="AP176" i="28"/>
  <c r="AP12" i="28" s="1"/>
  <c r="BP526" i="3"/>
  <c r="E15" i="6"/>
  <c r="BP58" i="3"/>
  <c r="BP472" i="3"/>
  <c r="AO20" i="32"/>
  <c r="BP84" i="3"/>
  <c r="BP525" i="3"/>
  <c r="BP536" i="3"/>
  <c r="BP474" i="3"/>
  <c r="BM217" i="4"/>
  <c r="BM178" i="4"/>
  <c r="BM180" i="4" s="1"/>
  <c r="BM216" i="4"/>
  <c r="BM215" i="4"/>
  <c r="AK88" i="3"/>
  <c r="AK94" i="3" s="1"/>
  <c r="AR177" i="4"/>
  <c r="BN177" i="4" s="1"/>
  <c r="BN191" i="4"/>
  <c r="AR192" i="4"/>
  <c r="AT215" i="4"/>
  <c r="AQ305" i="4"/>
  <c r="BM305" i="4"/>
  <c r="AR329" i="4"/>
  <c r="AR344" i="4"/>
  <c r="BN343" i="4"/>
  <c r="AR414" i="4"/>
  <c r="BP341" i="3"/>
  <c r="BP345" i="3" s="1"/>
  <c r="BP349" i="3" s="1"/>
  <c r="AK345" i="3"/>
  <c r="AK349" i="3" s="1"/>
  <c r="BM439" i="4"/>
  <c r="BM438" i="4"/>
  <c r="BM401" i="4"/>
  <c r="BM403" i="4" s="1"/>
  <c r="BM376" i="4" s="1"/>
  <c r="BM440" i="4"/>
  <c r="AP153" i="4"/>
  <c r="AP75" i="4"/>
  <c r="V28" i="32"/>
  <c r="K126" i="6"/>
  <c r="AQ178" i="4"/>
  <c r="AQ180" i="4" s="1"/>
  <c r="AQ216" i="4"/>
  <c r="AQ217" i="4"/>
  <c r="AQ415" i="4"/>
  <c r="AR297" i="4"/>
  <c r="AR254" i="4"/>
  <c r="AR256" i="4" s="1"/>
  <c r="AR296" i="4"/>
  <c r="V26" i="32"/>
  <c r="AK475" i="3"/>
  <c r="K55" i="6"/>
  <c r="K53" i="6" s="1"/>
  <c r="AK500" i="3"/>
  <c r="AK471" i="3"/>
  <c r="K16" i="6"/>
  <c r="V25" i="32"/>
  <c r="AK473" i="3"/>
  <c r="AK499" i="3"/>
  <c r="AK580" i="3"/>
  <c r="K128" i="6" s="1"/>
  <c r="AK470" i="3"/>
  <c r="AK497" i="3" s="1"/>
  <c r="U14" i="9"/>
  <c r="V14" i="9" s="1"/>
  <c r="W14" i="9" s="1"/>
  <c r="X14" i="9" s="1"/>
  <c r="Y14" i="9" s="1"/>
  <c r="Z14" i="9" s="1"/>
  <c r="U33" i="9"/>
  <c r="V33" i="9" s="1"/>
  <c r="W33" i="9" s="1"/>
  <c r="X33" i="9" s="1"/>
  <c r="AQ400" i="4"/>
  <c r="H15" i="8"/>
  <c r="H16" i="8" s="1"/>
  <c r="H21" i="8"/>
  <c r="H22" i="8" s="1"/>
  <c r="AR99" i="4"/>
  <c r="BN99" i="4" s="1"/>
  <c r="BN139" i="4" l="1"/>
  <c r="BN138" i="4"/>
  <c r="BN140" i="4"/>
  <c r="BN100" i="4"/>
  <c r="BN102" i="4" s="1"/>
  <c r="BN178" i="4"/>
  <c r="BN180" i="4" s="1"/>
  <c r="BN215" i="4"/>
  <c r="BN217" i="4"/>
  <c r="BN216" i="4"/>
  <c r="BN344" i="4"/>
  <c r="BN369" i="4" s="1"/>
  <c r="AR415" i="4"/>
  <c r="BN415" i="4" s="1"/>
  <c r="AK160" i="3"/>
  <c r="AK98" i="3"/>
  <c r="BP94" i="3"/>
  <c r="BP98" i="3" s="1"/>
  <c r="BP88" i="3"/>
  <c r="AP15" i="28"/>
  <c r="AP14" i="28"/>
  <c r="BN298" i="4"/>
  <c r="Y33" i="9"/>
  <c r="Z33" i="9" s="1"/>
  <c r="AA33" i="9" s="1"/>
  <c r="V13" i="9"/>
  <c r="K17" i="6"/>
  <c r="K19" i="6"/>
  <c r="AR225" i="4"/>
  <c r="AQ153" i="4"/>
  <c r="AR367" i="4"/>
  <c r="AR400" i="4"/>
  <c r="BN400" i="4" s="1"/>
  <c r="AR368" i="4"/>
  <c r="AR330" i="4"/>
  <c r="AR332" i="4" s="1"/>
  <c r="BN329" i="4"/>
  <c r="BN192" i="4"/>
  <c r="BN218" i="4" s="1"/>
  <c r="AT221" i="4"/>
  <c r="E100" i="6"/>
  <c r="H54" i="8"/>
  <c r="E126" i="6"/>
  <c r="AO28" i="32"/>
  <c r="H66" i="8"/>
  <c r="AQ75" i="4"/>
  <c r="M34" i="33"/>
  <c r="M35" i="33" s="1"/>
  <c r="BP500" i="3"/>
  <c r="O30" i="8"/>
  <c r="AO26" i="32"/>
  <c r="BP475" i="3"/>
  <c r="BP471" i="3"/>
  <c r="E16" i="6"/>
  <c r="E55" i="6"/>
  <c r="E53" i="6" s="1"/>
  <c r="H19" i="8"/>
  <c r="BP470" i="3"/>
  <c r="BP497" i="3" s="1"/>
  <c r="BP580" i="3"/>
  <c r="E128" i="6" s="1"/>
  <c r="AO25" i="32"/>
  <c r="M32" i="33"/>
  <c r="BP473" i="3"/>
  <c r="H17" i="8"/>
  <c r="H18" i="8" s="1"/>
  <c r="BP499" i="3"/>
  <c r="BN254" i="4"/>
  <c r="BN256" i="4" s="1"/>
  <c r="BN225" i="4" s="1"/>
  <c r="BN297" i="4"/>
  <c r="BN296" i="4"/>
  <c r="BN295" i="4"/>
  <c r="AQ441" i="4"/>
  <c r="AR178" i="4"/>
  <c r="AR180" i="4" s="1"/>
  <c r="AR217" i="4"/>
  <c r="AR216" i="4"/>
  <c r="BM153" i="4"/>
  <c r="E110" i="6"/>
  <c r="M52" i="33"/>
  <c r="H49" i="8"/>
  <c r="Q18" i="9"/>
  <c r="AK498" i="3"/>
  <c r="BN414" i="4"/>
  <c r="AT438" i="4"/>
  <c r="AR489" i="4"/>
  <c r="AT445" i="4"/>
  <c r="E127" i="6"/>
  <c r="H67" i="8"/>
  <c r="AR139" i="4"/>
  <c r="AR140" i="4"/>
  <c r="AR100" i="4"/>
  <c r="AR102" i="4" s="1"/>
  <c r="AQ439" i="4"/>
  <c r="AQ438" i="4"/>
  <c r="AQ401" i="4"/>
  <c r="AQ403" i="4" s="1"/>
  <c r="AQ376" i="4" s="1"/>
  <c r="AQ440" i="4"/>
  <c r="K18" i="6"/>
  <c r="K56" i="6"/>
  <c r="H55" i="8"/>
  <c r="E101" i="6"/>
  <c r="Q16" i="9"/>
  <c r="M48" i="33"/>
  <c r="E102" i="6"/>
  <c r="H56" i="8"/>
  <c r="AQ225" i="4"/>
  <c r="BN114" i="4"/>
  <c r="BN141" i="4" s="1"/>
  <c r="AT144" i="4"/>
  <c r="AR441" i="4" l="1"/>
  <c r="AT444" i="4"/>
  <c r="O28" i="8"/>
  <c r="O31" i="8"/>
  <c r="AK520" i="3"/>
  <c r="AL93" i="3"/>
  <c r="AK101" i="3"/>
  <c r="AK91" i="3"/>
  <c r="AJ41" i="4"/>
  <c r="BN489" i="4"/>
  <c r="AT513" i="4"/>
  <c r="M21" i="33"/>
  <c r="M33" i="33"/>
  <c r="M38" i="33"/>
  <c r="E19" i="6"/>
  <c r="E17" i="6"/>
  <c r="BN366" i="4"/>
  <c r="BN367" i="4"/>
  <c r="BN330" i="4"/>
  <c r="BN332" i="4" s="1"/>
  <c r="BN305" i="4" s="1"/>
  <c r="BN368" i="4"/>
  <c r="BP160" i="3"/>
  <c r="AK450" i="3"/>
  <c r="BP450" i="3" s="1"/>
  <c r="BN153" i="4"/>
  <c r="AR75" i="4"/>
  <c r="AR305" i="4"/>
  <c r="V32" i="9"/>
  <c r="W13" i="9"/>
  <c r="BP498" i="3"/>
  <c r="BN441" i="4"/>
  <c r="BN75" i="4"/>
  <c r="Q19" i="9"/>
  <c r="Q21" i="9"/>
  <c r="AD21" i="9" s="1"/>
  <c r="AR153" i="4"/>
  <c r="E56" i="6"/>
  <c r="E18" i="6"/>
  <c r="AR438" i="4"/>
  <c r="AR439" i="4"/>
  <c r="AR401" i="4"/>
  <c r="AR403" i="4" s="1"/>
  <c r="AR376" i="4" s="1"/>
  <c r="AR440" i="4"/>
  <c r="BN439" i="4"/>
  <c r="BN438" i="4"/>
  <c r="BN440" i="4"/>
  <c r="BN401" i="4"/>
  <c r="BN403" i="4" s="1"/>
  <c r="BN376" i="4" s="1"/>
  <c r="H20" i="8"/>
  <c r="H34" i="8"/>
  <c r="BQ93" i="3"/>
  <c r="BP101" i="3"/>
  <c r="BP91" i="3"/>
  <c r="Q23" i="9"/>
  <c r="Q30" i="9" s="1"/>
  <c r="BP520" i="3"/>
  <c r="E38" i="33" l="1"/>
  <c r="E39" i="33" s="1"/>
  <c r="W32" i="9"/>
  <c r="X13" i="9"/>
  <c r="K98" i="6"/>
  <c r="V29" i="32"/>
  <c r="AO29" i="32"/>
  <c r="E98" i="6"/>
  <c r="M46" i="33"/>
  <c r="H51" i="8"/>
  <c r="H53" i="8" s="1"/>
  <c r="H38" i="8"/>
  <c r="Q25" i="9"/>
  <c r="Q26" i="9" s="1"/>
  <c r="Q37" i="9"/>
  <c r="Q34" i="9"/>
  <c r="AJ66" i="4"/>
  <c r="AJ490" i="4"/>
  <c r="BJ41" i="4"/>
  <c r="AJ71" i="4"/>
  <c r="AK454" i="3"/>
  <c r="AK162" i="3"/>
  <c r="AK459" i="3"/>
  <c r="AK466" i="3" l="1"/>
  <c r="AK463" i="3"/>
  <c r="BP459" i="3"/>
  <c r="Y13" i="9"/>
  <c r="X32" i="9"/>
  <c r="K79" i="6"/>
  <c r="AK444" i="3"/>
  <c r="BJ66" i="4"/>
  <c r="BJ71" i="4"/>
  <c r="Q28" i="9"/>
  <c r="Q27" i="9"/>
  <c r="AK159" i="3"/>
  <c r="AK217" i="3"/>
  <c r="AK272" i="3" s="1"/>
  <c r="AK154" i="3"/>
  <c r="BJ490" i="4"/>
  <c r="BJ516" i="4" s="1"/>
  <c r="AJ516" i="4"/>
  <c r="AK279" i="3" l="1"/>
  <c r="BP217" i="3"/>
  <c r="BP209" i="3" s="1"/>
  <c r="BP219" i="3" s="1"/>
  <c r="AK209" i="3"/>
  <c r="BP466" i="3"/>
  <c r="BP463" i="3"/>
  <c r="AK449" i="3"/>
  <c r="BP449" i="3" s="1"/>
  <c r="BP454" i="3" s="1"/>
  <c r="BP159" i="3"/>
  <c r="BP162" i="3" s="1"/>
  <c r="BP154" i="3" s="1"/>
  <c r="BP164" i="3" s="1"/>
  <c r="AK467" i="3"/>
  <c r="AK522" i="3"/>
  <c r="AK482" i="3"/>
  <c r="AK506" i="3" s="1"/>
  <c r="K80" i="6"/>
  <c r="K23" i="6"/>
  <c r="Y32" i="9"/>
  <c r="Z13" i="9"/>
  <c r="AK134" i="3"/>
  <c r="AK164" i="3"/>
  <c r="AK456" i="3"/>
  <c r="AK428" i="3"/>
  <c r="BP428" i="3" s="1"/>
  <c r="BP444" i="3" s="1"/>
  <c r="AK307" i="3"/>
  <c r="BP272" i="3"/>
  <c r="BP264" i="3" s="1"/>
  <c r="BP274" i="3" s="1"/>
  <c r="BP134" i="3" l="1"/>
  <c r="V30" i="32"/>
  <c r="K99" i="6"/>
  <c r="AK581" i="3"/>
  <c r="K129" i="6" s="1"/>
  <c r="BP279" i="3"/>
  <c r="BP282" i="3" s="1"/>
  <c r="BP304" i="3" s="1"/>
  <c r="AK282" i="3"/>
  <c r="AK304" i="3" s="1"/>
  <c r="O42" i="8"/>
  <c r="E79" i="6"/>
  <c r="K81" i="6"/>
  <c r="AK483" i="3"/>
  <c r="AK507" i="3" s="1"/>
  <c r="BP467" i="3"/>
  <c r="BP522" i="3"/>
  <c r="Z32" i="9"/>
  <c r="AA13" i="9"/>
  <c r="BP456" i="3"/>
  <c r="M40" i="33"/>
  <c r="M22" i="33" s="1"/>
  <c r="O43" i="8"/>
  <c r="H29" i="8"/>
  <c r="H36" i="8" s="1"/>
  <c r="E80" i="6"/>
  <c r="E23" i="6"/>
  <c r="BP482" i="3"/>
  <c r="BP506" i="3" s="1"/>
  <c r="AK189" i="3"/>
  <c r="BP189" i="3" s="1"/>
  <c r="AK219" i="3"/>
  <c r="BP307" i="3"/>
  <c r="K88" i="6"/>
  <c r="K90" i="6" s="1"/>
  <c r="K85" i="6" l="1"/>
  <c r="K87" i="6" s="1"/>
  <c r="K91" i="6" s="1"/>
  <c r="AK55" i="3"/>
  <c r="AK276" i="3"/>
  <c r="AK49" i="3"/>
  <c r="AK574" i="3" s="1"/>
  <c r="K122" i="6" s="1"/>
  <c r="E41" i="33"/>
  <c r="E43" i="33" s="1"/>
  <c r="BP49" i="3"/>
  <c r="E85" i="6"/>
  <c r="E87" i="6" s="1"/>
  <c r="O48" i="8"/>
  <c r="O50" i="8" s="1"/>
  <c r="BP276" i="3"/>
  <c r="BP55" i="3"/>
  <c r="AA32" i="9"/>
  <c r="AD13" i="9"/>
  <c r="E44" i="33"/>
  <c r="E46" i="33" s="1"/>
  <c r="O51" i="8"/>
  <c r="O53" i="8" s="1"/>
  <c r="E88" i="6"/>
  <c r="E90" i="6" s="1"/>
  <c r="AK244" i="3"/>
  <c r="M47" i="33"/>
  <c r="H39" i="8"/>
  <c r="E99" i="6"/>
  <c r="H52" i="8"/>
  <c r="AO30" i="32"/>
  <c r="BP581" i="3"/>
  <c r="E129" i="6" s="1"/>
  <c r="M41" i="33"/>
  <c r="M23" i="33" s="1"/>
  <c r="H28" i="8"/>
  <c r="H35" i="8" s="1"/>
  <c r="BP483" i="3"/>
  <c r="BP507" i="3" s="1"/>
  <c r="E81" i="6"/>
  <c r="O44" i="8"/>
  <c r="O54" i="8" l="1"/>
  <c r="E47" i="33"/>
  <c r="E91" i="6"/>
  <c r="Q36" i="9"/>
  <c r="Q38" i="9" s="1"/>
  <c r="BP574" i="3"/>
  <c r="AK264" i="3"/>
  <c r="AK274" i="3" s="1"/>
  <c r="BP244" i="3"/>
  <c r="BP521" i="3"/>
  <c r="BP523" i="3"/>
  <c r="K123" i="6"/>
  <c r="AK575" i="3"/>
  <c r="AK577" i="3" s="1"/>
  <c r="K125" i="6" s="1"/>
  <c r="BP575" i="3"/>
  <c r="BP577" i="3" s="1"/>
  <c r="E125" i="6" s="1"/>
  <c r="E123" i="6"/>
  <c r="AK350" i="3"/>
  <c r="AJ520" i="4"/>
  <c r="BJ520" i="4" s="1"/>
  <c r="AK523" i="3"/>
  <c r="AK521" i="3"/>
  <c r="AK484" i="3"/>
  <c r="BP484" i="3" s="1"/>
  <c r="M54" i="33" l="1"/>
  <c r="H65" i="8"/>
  <c r="E122" i="6"/>
  <c r="BP350" i="3"/>
  <c r="BP351" i="3" s="1"/>
  <c r="AK351" i="3"/>
  <c r="AK359" i="3" l="1"/>
  <c r="AK4" i="3" s="1"/>
  <c r="AK339" i="3"/>
  <c r="BP339" i="3"/>
  <c r="BP359" i="3"/>
  <c r="AI338" i="4" l="1"/>
  <c r="AI186" i="4"/>
  <c r="AI262" i="4" l="1"/>
  <c r="AI409" i="4" l="1"/>
  <c r="AI337" i="4"/>
  <c r="AI108" i="4"/>
  <c r="AI484" i="4" l="1"/>
  <c r="AI339" i="4"/>
  <c r="AI371" i="4"/>
  <c r="AJ371" i="4" s="1"/>
  <c r="AI261" i="4"/>
  <c r="AI408" i="4" s="1"/>
  <c r="AI443" i="4" s="1"/>
  <c r="AI68" i="4" s="1"/>
  <c r="AI70" i="4" s="1"/>
  <c r="AK371" i="4" l="1"/>
  <c r="AI437" i="4"/>
  <c r="AI444" i="4"/>
  <c r="AI263" i="4"/>
  <c r="AI294" i="4"/>
  <c r="AI374" i="4"/>
  <c r="AI373" i="4"/>
  <c r="AI107" i="4"/>
  <c r="AI109" i="4" l="1"/>
  <c r="AI144" i="4"/>
  <c r="AI137" i="4"/>
  <c r="AI410" i="4"/>
  <c r="AI302" i="4"/>
  <c r="AI303" i="4"/>
  <c r="AL371" i="4"/>
  <c r="AI445" i="4" l="1"/>
  <c r="AI446" i="4"/>
  <c r="AM371" i="4"/>
  <c r="AI145" i="4"/>
  <c r="AI146" i="4"/>
  <c r="AN371" i="4" l="1"/>
  <c r="AO371" i="4" l="1"/>
  <c r="AP371" i="4" l="1"/>
  <c r="AQ371" i="4" l="1"/>
  <c r="AR371" i="4" l="1"/>
  <c r="AC186" i="4" l="1"/>
  <c r="AC338" i="4"/>
  <c r="AG186" i="4" l="1"/>
  <c r="AG338" i="4"/>
  <c r="AE338" i="4"/>
  <c r="AE186" i="4"/>
  <c r="AC337" i="4" l="1"/>
  <c r="AG262" i="4"/>
  <c r="AC262" i="4"/>
  <c r="AE108" i="4"/>
  <c r="AC108" i="4"/>
  <c r="AE262" i="4"/>
  <c r="AG337" i="4" l="1"/>
  <c r="AE409" i="4"/>
  <c r="AE484" i="4"/>
  <c r="AG409" i="4"/>
  <c r="AE337" i="4"/>
  <c r="AC409" i="4"/>
  <c r="AC484" i="4"/>
  <c r="AC339" i="4"/>
  <c r="AC371" i="4"/>
  <c r="AG108" i="4"/>
  <c r="AE261" i="4" l="1"/>
  <c r="AE107" i="4"/>
  <c r="AC261" i="4"/>
  <c r="AG339" i="4"/>
  <c r="AG371" i="4"/>
  <c r="AC107" i="4"/>
  <c r="AC374" i="4"/>
  <c r="AC373" i="4"/>
  <c r="AG261" i="4"/>
  <c r="AG484" i="4"/>
  <c r="AE339" i="4"/>
  <c r="AE408" i="4"/>
  <c r="AE443" i="4" s="1"/>
  <c r="AE68" i="4" s="1"/>
  <c r="AE70" i="4" s="1"/>
  <c r="AE371" i="4"/>
  <c r="AC294" i="4" l="1"/>
  <c r="AC263" i="4"/>
  <c r="AC300" i="4"/>
  <c r="AC408" i="4"/>
  <c r="AE109" i="4"/>
  <c r="AE144" i="4"/>
  <c r="AE137" i="4"/>
  <c r="AE142" i="4"/>
  <c r="AE444" i="4"/>
  <c r="AE437" i="4"/>
  <c r="AG294" i="4"/>
  <c r="AG263" i="4"/>
  <c r="AG410" i="4" s="1"/>
  <c r="AG300" i="4"/>
  <c r="AE373" i="4"/>
  <c r="AE374" i="4"/>
  <c r="AC137" i="4"/>
  <c r="AC144" i="4"/>
  <c r="AC142" i="4"/>
  <c r="AG408" i="4"/>
  <c r="AE294" i="4"/>
  <c r="AE263" i="4"/>
  <c r="AE300" i="4"/>
  <c r="AG107" i="4"/>
  <c r="AG373" i="4"/>
  <c r="AG374" i="4"/>
  <c r="AG446" i="4" l="1"/>
  <c r="AG445" i="4"/>
  <c r="AE145" i="4"/>
  <c r="AE146" i="4"/>
  <c r="AG144" i="4"/>
  <c r="AG137" i="4"/>
  <c r="AG109" i="4"/>
  <c r="AG142" i="4"/>
  <c r="AG444" i="4"/>
  <c r="AG437" i="4"/>
  <c r="AG443" i="4"/>
  <c r="AG68" i="4" s="1"/>
  <c r="AG70" i="4" s="1"/>
  <c r="AG303" i="4"/>
  <c r="AG302" i="4"/>
  <c r="AE410" i="4"/>
  <c r="AE302" i="4"/>
  <c r="AE303" i="4"/>
  <c r="AE143" i="4"/>
  <c r="AC437" i="4"/>
  <c r="AC444" i="4"/>
  <c r="AC443" i="4"/>
  <c r="AC68" i="4" s="1"/>
  <c r="AC70" i="4" s="1"/>
  <c r="AC143" i="4"/>
  <c r="AC302" i="4"/>
  <c r="AC303" i="4"/>
  <c r="AC410" i="4"/>
  <c r="AE446" i="4" l="1"/>
  <c r="AE445" i="4"/>
  <c r="AG143" i="4"/>
  <c r="AC446" i="4"/>
  <c r="AC445" i="4"/>
  <c r="AG146" i="4"/>
  <c r="AG145" i="4"/>
  <c r="AG185" i="4" l="1"/>
  <c r="O11" i="33"/>
  <c r="AG187" i="4" l="1"/>
  <c r="AG222" i="4" s="1"/>
  <c r="AG214" i="4"/>
  <c r="AG221" i="4"/>
  <c r="AG219" i="4"/>
  <c r="AG482" i="4"/>
  <c r="O13" i="33"/>
  <c r="O14" i="33"/>
  <c r="O12" i="33"/>
  <c r="AG485" i="4" l="1"/>
  <c r="AG73" i="4" s="1"/>
  <c r="AG512" i="4"/>
  <c r="AG220" i="4"/>
  <c r="AE185" i="4" l="1"/>
  <c r="AE187" i="4" l="1"/>
  <c r="AE222" i="4" s="1"/>
  <c r="AE214" i="4"/>
  <c r="AE221" i="4"/>
  <c r="AE219" i="4"/>
  <c r="AE482" i="4"/>
  <c r="AE512" i="4" l="1"/>
  <c r="AE485" i="4"/>
  <c r="AE73" i="4" s="1"/>
  <c r="AE220" i="4"/>
  <c r="AC185" i="4" l="1"/>
  <c r="AC187" i="4" l="1"/>
  <c r="AC214" i="4"/>
  <c r="AC221" i="4"/>
  <c r="AC219" i="4"/>
  <c r="AC482" i="4"/>
  <c r="AC512" i="4" l="1"/>
  <c r="AC485" i="4"/>
  <c r="AC220" i="4"/>
  <c r="AC222" i="4"/>
  <c r="AC109" i="4"/>
  <c r="AC145" i="4" l="1"/>
  <c r="AC146" i="4"/>
  <c r="AC73" i="4"/>
  <c r="AI185" i="4" l="1"/>
  <c r="AI221" i="4" l="1"/>
  <c r="AI187" i="4"/>
  <c r="AJ185" i="4"/>
  <c r="BJ185" i="4" s="1"/>
  <c r="AI214" i="4"/>
  <c r="AI482" i="4"/>
  <c r="AI485" i="4" l="1"/>
  <c r="AI519" i="4" s="1"/>
  <c r="AI512" i="4"/>
  <c r="BJ214" i="4"/>
  <c r="BJ221" i="4"/>
  <c r="AJ214" i="4"/>
  <c r="AK185" i="4"/>
  <c r="AI223" i="4"/>
  <c r="AI222" i="4"/>
  <c r="AI73" i="4"/>
  <c r="AL185" i="4" l="1"/>
  <c r="BK185" i="4" s="1"/>
  <c r="AK214" i="4"/>
  <c r="BK214" i="4" l="1"/>
  <c r="BK221" i="4"/>
  <c r="AL214" i="4"/>
  <c r="AM185" i="4"/>
  <c r="AD186" i="4"/>
  <c r="BG186" i="4" l="1"/>
  <c r="AM214" i="4"/>
  <c r="AN185" i="4"/>
  <c r="BL185" i="4" s="1"/>
  <c r="AD108" i="4"/>
  <c r="BL214" i="4" l="1"/>
  <c r="BL221" i="4"/>
  <c r="BG108" i="4"/>
  <c r="AN214" i="4"/>
  <c r="AO185" i="4"/>
  <c r="AF108" i="4"/>
  <c r="AF186" i="4"/>
  <c r="BH186" i="4" l="1"/>
  <c r="BH108" i="4"/>
  <c r="AP185" i="4"/>
  <c r="AO214" i="4"/>
  <c r="BM185" i="4"/>
  <c r="BM214" i="4" l="1"/>
  <c r="BM221" i="4"/>
  <c r="AP214" i="4"/>
  <c r="AQ185" i="4"/>
  <c r="AR185" i="4" l="1"/>
  <c r="BN185" i="4" s="1"/>
  <c r="AQ214" i="4"/>
  <c r="AH186" i="4"/>
  <c r="BI186" i="4" l="1"/>
  <c r="BN221" i="4"/>
  <c r="BN214" i="4"/>
  <c r="AR214" i="4"/>
  <c r="AH108" i="4"/>
  <c r="BI108" i="4" l="1"/>
  <c r="AD107" i="4" l="1"/>
  <c r="AD109" i="4" l="1"/>
  <c r="AD137" i="4"/>
  <c r="AD144" i="4"/>
  <c r="BG107" i="4"/>
  <c r="AD142" i="4"/>
  <c r="AD143" i="4" l="1"/>
  <c r="BG142" i="4"/>
  <c r="BG137" i="4"/>
  <c r="BG109" i="4"/>
  <c r="BG144" i="4"/>
  <c r="BG143" i="4"/>
  <c r="AD146" i="4"/>
  <c r="AD145" i="4"/>
  <c r="AF107" i="4" l="1"/>
  <c r="BG145" i="4"/>
  <c r="BG146" i="4"/>
  <c r="AF144" i="4" l="1"/>
  <c r="AJ144" i="4" s="1"/>
  <c r="AK144" i="4" s="1"/>
  <c r="AF137" i="4"/>
  <c r="AF109" i="4"/>
  <c r="BH107" i="4"/>
  <c r="AF142" i="4"/>
  <c r="BI142" i="4" l="1"/>
  <c r="AF143" i="4"/>
  <c r="BH142" i="4"/>
  <c r="BH109" i="4"/>
  <c r="BH137" i="4"/>
  <c r="BH144" i="4"/>
  <c r="BH143" i="4"/>
  <c r="AF145" i="4"/>
  <c r="AF146" i="4"/>
  <c r="BH145" i="4" l="1"/>
  <c r="BH146" i="4"/>
  <c r="AD338" i="4" l="1"/>
  <c r="BG338" i="4" l="1"/>
  <c r="AD337" i="4" l="1"/>
  <c r="AD262" i="4"/>
  <c r="BG262" i="4" l="1"/>
  <c r="BG409" i="4" s="1"/>
  <c r="AD484" i="4"/>
  <c r="BG484" i="4" s="1"/>
  <c r="AD409" i="4"/>
  <c r="AD339" i="4"/>
  <c r="BG337" i="4"/>
  <c r="AD371" i="4"/>
  <c r="AF338" i="4"/>
  <c r="BH338" i="4" l="1"/>
  <c r="AD374" i="4"/>
  <c r="AD373" i="4"/>
  <c r="BG339" i="4"/>
  <c r="AF262" i="4"/>
  <c r="BH262" i="4" l="1"/>
  <c r="AF484" i="4"/>
  <c r="BH484" i="4" s="1"/>
  <c r="AF337" i="4"/>
  <c r="BH409" i="4"/>
  <c r="AF409" i="4"/>
  <c r="AH338" i="4"/>
  <c r="AJ337" i="4" l="1"/>
  <c r="BH337" i="4"/>
  <c r="AF339" i="4"/>
  <c r="AF371" i="4"/>
  <c r="BI338" i="4"/>
  <c r="AH262" i="4"/>
  <c r="BI262" i="4" l="1"/>
  <c r="AH484" i="4"/>
  <c r="BI484" i="4" s="1"/>
  <c r="AF373" i="4"/>
  <c r="AF374" i="4"/>
  <c r="BH339" i="4"/>
  <c r="BI409" i="4"/>
  <c r="AK337" i="4"/>
  <c r="BJ337" i="4"/>
  <c r="AJ338" i="4"/>
  <c r="AH409" i="4"/>
  <c r="AL337" i="4" l="1"/>
  <c r="BK337" i="4" s="1"/>
  <c r="AK338" i="4"/>
  <c r="BJ338" i="4"/>
  <c r="AJ339" i="4"/>
  <c r="AJ374" i="4" l="1"/>
  <c r="AJ373" i="4"/>
  <c r="BJ339" i="4"/>
  <c r="AK339" i="4"/>
  <c r="AM337" i="4"/>
  <c r="AL338" i="4"/>
  <c r="AL339" i="4" s="1"/>
  <c r="BK338" i="4" l="1"/>
  <c r="AL374" i="4"/>
  <c r="AL373" i="4"/>
  <c r="AN337" i="4"/>
  <c r="AM338" i="4"/>
  <c r="AM339" i="4" s="1"/>
  <c r="AK374" i="4"/>
  <c r="AK373" i="4"/>
  <c r="BK339" i="4"/>
  <c r="AM373" i="4" l="1"/>
  <c r="AM374" i="4"/>
  <c r="AO337" i="4"/>
  <c r="AN338" i="4"/>
  <c r="AN339" i="4" s="1"/>
  <c r="BL337" i="4"/>
  <c r="BL338" i="4" l="1"/>
  <c r="AN373" i="4"/>
  <c r="AN374" i="4"/>
  <c r="AP337" i="4"/>
  <c r="BM337" i="4"/>
  <c r="AO338" i="4"/>
  <c r="BL339" i="4"/>
  <c r="AQ337" i="4" l="1"/>
  <c r="AP338" i="4"/>
  <c r="BM338" i="4" s="1"/>
  <c r="AO339" i="4"/>
  <c r="AP339" i="4" l="1"/>
  <c r="AO373" i="4"/>
  <c r="AO374" i="4"/>
  <c r="BM339" i="4"/>
  <c r="AR337" i="4"/>
  <c r="BN337" i="4" s="1"/>
  <c r="AQ338" i="4"/>
  <c r="AQ339" i="4" l="1"/>
  <c r="AP374" i="4"/>
  <c r="AP373" i="4"/>
  <c r="AR338" i="4"/>
  <c r="AQ374" i="4" l="1"/>
  <c r="AQ373" i="4"/>
  <c r="AR339" i="4"/>
  <c r="BN338" i="4"/>
  <c r="AR373" i="4" l="1"/>
  <c r="AR374" i="4"/>
  <c r="BN339" i="4"/>
  <c r="AH337" i="4" l="1"/>
  <c r="AH339" i="4" l="1"/>
  <c r="BI337" i="4"/>
  <c r="AH371" i="4"/>
  <c r="AH374" i="4" l="1"/>
  <c r="AH373" i="4"/>
  <c r="BI339" i="4"/>
  <c r="AH107" i="4" l="1"/>
  <c r="AH144" i="4" l="1"/>
  <c r="AH109" i="4"/>
  <c r="AH137" i="4"/>
  <c r="AJ107" i="4"/>
  <c r="BI107" i="4"/>
  <c r="AH142" i="4"/>
  <c r="BI137" i="4" l="1"/>
  <c r="BI144" i="4"/>
  <c r="BI109" i="4"/>
  <c r="BI143" i="4"/>
  <c r="AK107" i="4"/>
  <c r="AJ137" i="4"/>
  <c r="BJ107" i="4"/>
  <c r="AH146" i="4"/>
  <c r="AH145" i="4"/>
  <c r="AH143" i="4"/>
  <c r="AI142" i="4"/>
  <c r="BJ142" i="4"/>
  <c r="BJ137" i="4" l="1"/>
  <c r="BJ144" i="4"/>
  <c r="BI146" i="4"/>
  <c r="BI145" i="4"/>
  <c r="AK137" i="4"/>
  <c r="AL107" i="4"/>
  <c r="BK107" i="4" s="1"/>
  <c r="AJ142" i="4"/>
  <c r="AI143" i="4"/>
  <c r="AJ143" i="4" l="1"/>
  <c r="AJ108" i="4" s="1"/>
  <c r="AK142" i="4"/>
  <c r="BK137" i="4"/>
  <c r="BK144" i="4"/>
  <c r="BK142" i="4"/>
  <c r="AM107" i="4"/>
  <c r="AL137" i="4"/>
  <c r="BL142" i="4" l="1"/>
  <c r="AK143" i="4"/>
  <c r="AK108" i="4" s="1"/>
  <c r="AL142" i="4"/>
  <c r="BM142" i="4"/>
  <c r="AM137" i="4"/>
  <c r="AN107" i="4"/>
  <c r="BJ108" i="4"/>
  <c r="AJ109" i="4"/>
  <c r="AJ145" i="4" l="1"/>
  <c r="AJ146" i="4"/>
  <c r="AN137" i="4"/>
  <c r="AO107" i="4"/>
  <c r="BJ143" i="4"/>
  <c r="BJ109" i="4"/>
  <c r="AM142" i="4"/>
  <c r="AL143" i="4"/>
  <c r="AL108" i="4" s="1"/>
  <c r="BK108" i="4"/>
  <c r="AK109" i="4"/>
  <c r="BL107" i="4"/>
  <c r="BK143" i="4" l="1"/>
  <c r="BK109" i="4"/>
  <c r="AL109" i="4"/>
  <c r="AO137" i="4"/>
  <c r="AP107" i="4"/>
  <c r="AM143" i="4"/>
  <c r="AM108" i="4" s="1"/>
  <c r="AN142" i="4"/>
  <c r="BN142" i="4"/>
  <c r="BL144" i="4"/>
  <c r="BL137" i="4"/>
  <c r="BJ145" i="4"/>
  <c r="BJ146" i="4"/>
  <c r="AK146" i="4"/>
  <c r="AK145" i="4"/>
  <c r="AQ107" i="4" l="1"/>
  <c r="AP137" i="4"/>
  <c r="AN143" i="4"/>
  <c r="AN108" i="4" s="1"/>
  <c r="AO142" i="4"/>
  <c r="AM109" i="4"/>
  <c r="AL145" i="4"/>
  <c r="AL146" i="4"/>
  <c r="BK146" i="4"/>
  <c r="BK145" i="4"/>
  <c r="C162" i="6"/>
  <c r="BM107" i="4"/>
  <c r="AP142" i="4" l="1"/>
  <c r="AO143" i="4"/>
  <c r="AO108" i="4" s="1"/>
  <c r="BM144" i="4"/>
  <c r="BM137" i="4"/>
  <c r="AN109" i="4"/>
  <c r="AM146" i="4"/>
  <c r="AM145" i="4"/>
  <c r="BL108" i="4"/>
  <c r="AQ137" i="4"/>
  <c r="AR107" i="4"/>
  <c r="BN107" i="4" s="1"/>
  <c r="BL143" i="4" l="1"/>
  <c r="BL109" i="4"/>
  <c r="BN137" i="4"/>
  <c r="BN144" i="4"/>
  <c r="AO109" i="4"/>
  <c r="AR137" i="4"/>
  <c r="AN146" i="4"/>
  <c r="AN145" i="4"/>
  <c r="AP143" i="4"/>
  <c r="AP108" i="4" s="1"/>
  <c r="BM108" i="4" s="1"/>
  <c r="AQ142" i="4"/>
  <c r="BM143" i="4" l="1"/>
  <c r="BM109" i="4"/>
  <c r="AR142" i="4"/>
  <c r="AR143" i="4" s="1"/>
  <c r="AR108" i="4" s="1"/>
  <c r="AQ143" i="4"/>
  <c r="AQ108" i="4" s="1"/>
  <c r="AP109" i="4"/>
  <c r="AO146" i="4"/>
  <c r="AO145" i="4"/>
  <c r="BL145" i="4"/>
  <c r="C163" i="6"/>
  <c r="C164" i="6" s="1"/>
  <c r="BL146" i="4"/>
  <c r="AP145" i="4" l="1"/>
  <c r="AP146" i="4"/>
  <c r="BN108" i="4"/>
  <c r="AQ109" i="4"/>
  <c r="AR109" i="4"/>
  <c r="BM146" i="4"/>
  <c r="BM145" i="4"/>
  <c r="AQ146" i="4" l="1"/>
  <c r="AQ145" i="4"/>
  <c r="BN143" i="4"/>
  <c r="BN109" i="4"/>
  <c r="AR146" i="4"/>
  <c r="AR145" i="4"/>
  <c r="AH261" i="4"/>
  <c r="BN145" i="4" l="1"/>
  <c r="BN146" i="4"/>
  <c r="C169" i="6" s="1"/>
  <c r="AH263" i="4"/>
  <c r="AH294" i="4"/>
  <c r="AJ261" i="4"/>
  <c r="BI261" i="4"/>
  <c r="AH300" i="4"/>
  <c r="AI300" i="4" s="1"/>
  <c r="AJ300" i="4" s="1"/>
  <c r="AH408" i="4"/>
  <c r="BI294" i="4" l="1"/>
  <c r="BI408" i="4"/>
  <c r="AJ294" i="4"/>
  <c r="AK261" i="4"/>
  <c r="BJ261" i="4"/>
  <c r="AJ408" i="4"/>
  <c r="AJ482" i="4"/>
  <c r="AH185" i="4"/>
  <c r="AH302" i="4"/>
  <c r="AH303" i="4"/>
  <c r="BI263" i="4"/>
  <c r="BI410" i="4" s="1"/>
  <c r="AH410" i="4"/>
  <c r="AH444" i="4"/>
  <c r="AH437" i="4"/>
  <c r="AH443" i="4"/>
  <c r="AH68" i="4" s="1"/>
  <c r="AH70" i="4" s="1"/>
  <c r="AK300" i="4"/>
  <c r="AJ262" i="4"/>
  <c r="AJ263" i="4" s="1"/>
  <c r="AL300" i="4" l="1"/>
  <c r="AK262" i="4"/>
  <c r="AK263" i="4" s="1"/>
  <c r="BJ294" i="4"/>
  <c r="BJ408" i="4"/>
  <c r="AJ303" i="4"/>
  <c r="AJ302" i="4"/>
  <c r="BJ263" i="4"/>
  <c r="BJ410" i="4" s="1"/>
  <c r="AJ410" i="4"/>
  <c r="AH214" i="4"/>
  <c r="AH221" i="4"/>
  <c r="AH187" i="4"/>
  <c r="AH222" i="4" s="1"/>
  <c r="BI185" i="4"/>
  <c r="AH219" i="4"/>
  <c r="AH482" i="4"/>
  <c r="AK294" i="4"/>
  <c r="AL261" i="4"/>
  <c r="BK261" i="4" s="1"/>
  <c r="AK408" i="4"/>
  <c r="AK482" i="4"/>
  <c r="AK470" i="4" s="1"/>
  <c r="AH446" i="4"/>
  <c r="AH445" i="4"/>
  <c r="AJ512" i="4"/>
  <c r="BJ482" i="4"/>
  <c r="BI444" i="4"/>
  <c r="BI437" i="4"/>
  <c r="BI443" i="4"/>
  <c r="BJ262" i="4"/>
  <c r="BJ409" i="4" s="1"/>
  <c r="AJ409" i="4"/>
  <c r="AJ443" i="4" s="1"/>
  <c r="AJ68" i="4" s="1"/>
  <c r="AJ70" i="4" s="1"/>
  <c r="BI446" i="4"/>
  <c r="BI445" i="4"/>
  <c r="AJ437" i="4"/>
  <c r="AJ444" i="4"/>
  <c r="AH223" i="4"/>
  <c r="BJ443" i="4" l="1"/>
  <c r="BJ68" i="4" s="1"/>
  <c r="BJ69" i="4"/>
  <c r="AK512" i="4"/>
  <c r="AK472" i="4"/>
  <c r="AK473" i="4" s="1"/>
  <c r="AK511" i="4"/>
  <c r="AK510" i="4"/>
  <c r="AK29" i="4"/>
  <c r="BK294" i="4"/>
  <c r="BK408" i="4"/>
  <c r="BI221" i="4"/>
  <c r="BI187" i="4"/>
  <c r="BI214" i="4"/>
  <c r="BI220" i="4"/>
  <c r="BI69" i="4"/>
  <c r="BI68" i="4"/>
  <c r="AK410" i="4"/>
  <c r="AK302" i="4"/>
  <c r="AK303" i="4"/>
  <c r="AL294" i="4"/>
  <c r="AM261" i="4"/>
  <c r="AL408" i="4"/>
  <c r="AL482" i="4"/>
  <c r="AL470" i="4" s="1"/>
  <c r="BJ437" i="4"/>
  <c r="BJ444" i="4"/>
  <c r="BJ512" i="4"/>
  <c r="AH485" i="4"/>
  <c r="AH73" i="4" s="1"/>
  <c r="AH512" i="4"/>
  <c r="BI482" i="4"/>
  <c r="AJ445" i="4"/>
  <c r="AJ446" i="4"/>
  <c r="AK409" i="4"/>
  <c r="AK443" i="4" s="1"/>
  <c r="AK68" i="4" s="1"/>
  <c r="AK70" i="4" s="1"/>
  <c r="AK437" i="4"/>
  <c r="AK444" i="4"/>
  <c r="AI219" i="4"/>
  <c r="AH220" i="4"/>
  <c r="BJ219" i="4"/>
  <c r="BJ445" i="4"/>
  <c r="BJ446" i="4"/>
  <c r="AM300" i="4"/>
  <c r="AL262" i="4"/>
  <c r="AL409" i="4" s="1"/>
  <c r="AL443" i="4" s="1"/>
  <c r="AL68" i="4" s="1"/>
  <c r="AL70" i="4" s="1"/>
  <c r="AL29" i="4" l="1"/>
  <c r="AL512" i="4"/>
  <c r="AL472" i="4"/>
  <c r="AL473" i="4" s="1"/>
  <c r="AL510" i="4"/>
  <c r="AL511" i="4"/>
  <c r="BK470" i="4"/>
  <c r="AJ219" i="4"/>
  <c r="AI220" i="4"/>
  <c r="BK219" i="4"/>
  <c r="AN261" i="4"/>
  <c r="BL261" i="4" s="1"/>
  <c r="AM294" i="4"/>
  <c r="AM408" i="4"/>
  <c r="AM482" i="4"/>
  <c r="AN300" i="4"/>
  <c r="AM262" i="4"/>
  <c r="AM263" i="4" s="1"/>
  <c r="BI485" i="4"/>
  <c r="BI519" i="4" s="1"/>
  <c r="BI512" i="4"/>
  <c r="AK31" i="4"/>
  <c r="AK514" i="4"/>
  <c r="AK513" i="4"/>
  <c r="BI223" i="4"/>
  <c r="BI222" i="4"/>
  <c r="BI73" i="4"/>
  <c r="AK515" i="4"/>
  <c r="BK262" i="4"/>
  <c r="BK409" i="4" s="1"/>
  <c r="BK443" i="4" s="1"/>
  <c r="BK482" i="4"/>
  <c r="AL437" i="4"/>
  <c r="AL444" i="4"/>
  <c r="AK445" i="4"/>
  <c r="AK446" i="4"/>
  <c r="AL263" i="4"/>
  <c r="BK444" i="4"/>
  <c r="BK437" i="4"/>
  <c r="AK61" i="4"/>
  <c r="AK62" i="4"/>
  <c r="AL74" i="3"/>
  <c r="AL532" i="3" l="1"/>
  <c r="L106" i="6" s="1"/>
  <c r="AL529" i="3"/>
  <c r="L45" i="6"/>
  <c r="AL531" i="3"/>
  <c r="W12" i="32"/>
  <c r="AK64" i="4"/>
  <c r="AL76" i="3"/>
  <c r="AL534" i="3" s="1"/>
  <c r="AK63" i="4"/>
  <c r="AM444" i="4"/>
  <c r="AM437" i="4"/>
  <c r="X166" i="28"/>
  <c r="X104" i="28" s="1"/>
  <c r="AM303" i="4"/>
  <c r="AM302" i="4"/>
  <c r="AM410" i="4"/>
  <c r="AJ220" i="4"/>
  <c r="AJ186" i="4" s="1"/>
  <c r="AK219" i="4"/>
  <c r="BL219" i="4" s="1"/>
  <c r="AK65" i="4"/>
  <c r="BL294" i="4"/>
  <c r="BL408" i="4"/>
  <c r="BK512" i="4"/>
  <c r="BK511" i="4"/>
  <c r="BK510" i="4"/>
  <c r="BK472" i="4"/>
  <c r="BK473" i="4" s="1"/>
  <c r="AL513" i="4"/>
  <c r="AL514" i="4"/>
  <c r="AL31" i="4"/>
  <c r="AM409" i="4"/>
  <c r="AM443" i="4" s="1"/>
  <c r="AM68" i="4" s="1"/>
  <c r="AM70" i="4" s="1"/>
  <c r="AM470" i="4"/>
  <c r="AK32" i="4"/>
  <c r="BK263" i="4"/>
  <c r="BK410" i="4" s="1"/>
  <c r="AL302" i="4"/>
  <c r="AL303" i="4"/>
  <c r="AL410" i="4"/>
  <c r="BK69" i="4"/>
  <c r="BK68" i="4"/>
  <c r="AO300" i="4"/>
  <c r="AN262" i="4"/>
  <c r="AN409" i="4" s="1"/>
  <c r="AN294" i="4"/>
  <c r="AO261" i="4"/>
  <c r="AN408" i="4"/>
  <c r="AN482" i="4"/>
  <c r="BL482" i="4" s="1"/>
  <c r="AL515" i="4"/>
  <c r="BK29" i="4"/>
  <c r="AL62" i="4"/>
  <c r="AM74" i="3"/>
  <c r="AL61" i="4"/>
  <c r="AN263" i="4" l="1"/>
  <c r="AN302" i="4" s="1"/>
  <c r="BL262" i="4"/>
  <c r="BL409" i="4" s="1"/>
  <c r="BL443" i="4" s="1"/>
  <c r="BL68" i="4" s="1"/>
  <c r="BK515" i="4"/>
  <c r="AN444" i="4"/>
  <c r="AN437" i="4"/>
  <c r="AK33" i="4"/>
  <c r="AK36" i="4" s="1"/>
  <c r="Y166" i="28"/>
  <c r="Y104" i="28" s="1"/>
  <c r="AL64" i="4"/>
  <c r="AM76" i="3"/>
  <c r="BQ76" i="3" s="1"/>
  <c r="AL63" i="4"/>
  <c r="X107" i="28"/>
  <c r="X106" i="28"/>
  <c r="W23" i="32"/>
  <c r="L108" i="6"/>
  <c r="BQ74" i="3"/>
  <c r="X12" i="32"/>
  <c r="AM532" i="3"/>
  <c r="AM531" i="3"/>
  <c r="BL263" i="4"/>
  <c r="BL410" i="4" s="1"/>
  <c r="AM29" i="4"/>
  <c r="AM512" i="4"/>
  <c r="AN470" i="4"/>
  <c r="AM510" i="4"/>
  <c r="AM511" i="4"/>
  <c r="AK220" i="4"/>
  <c r="AK186" i="4" s="1"/>
  <c r="AL219" i="4"/>
  <c r="AL535" i="3"/>
  <c r="L109" i="6" s="1"/>
  <c r="W14" i="32"/>
  <c r="W15" i="32" s="1"/>
  <c r="AL533" i="3"/>
  <c r="L107" i="6" s="1"/>
  <c r="L47" i="6"/>
  <c r="AL547" i="3"/>
  <c r="AP261" i="4"/>
  <c r="AO294" i="4"/>
  <c r="AO408" i="4"/>
  <c r="AO482" i="4"/>
  <c r="AL445" i="4"/>
  <c r="AL446" i="4"/>
  <c r="BJ186" i="4"/>
  <c r="AJ187" i="4"/>
  <c r="AJ484" i="4"/>
  <c r="AL77" i="3"/>
  <c r="AL32" i="4"/>
  <c r="BK61" i="4"/>
  <c r="BK62" i="4"/>
  <c r="BK513" i="4"/>
  <c r="BK514" i="4"/>
  <c r="BL444" i="4"/>
  <c r="BL437" i="4"/>
  <c r="AM446" i="4"/>
  <c r="AM445" i="4"/>
  <c r="AL546" i="3"/>
  <c r="AL65" i="4"/>
  <c r="AN443" i="4"/>
  <c r="AN68" i="4" s="1"/>
  <c r="AN70" i="4" s="1"/>
  <c r="AL549" i="3"/>
  <c r="AL548" i="3"/>
  <c r="AL530" i="3"/>
  <c r="L105" i="6" s="1"/>
  <c r="AM529" i="3"/>
  <c r="AP300" i="4"/>
  <c r="AO262" i="4"/>
  <c r="BK445" i="4"/>
  <c r="E162" i="6"/>
  <c r="BK446" i="4"/>
  <c r="AM472" i="4"/>
  <c r="AM473" i="4" s="1"/>
  <c r="BK31" i="4"/>
  <c r="BK65" i="4" s="1"/>
  <c r="AL550" i="3"/>
  <c r="BL69" i="4" l="1"/>
  <c r="AN410" i="4"/>
  <c r="AN303" i="4"/>
  <c r="AM515" i="4"/>
  <c r="AM77" i="3"/>
  <c r="AM548" i="3"/>
  <c r="BQ548" i="3" s="1"/>
  <c r="AQ166" i="28"/>
  <c r="AQ104" i="28" s="1"/>
  <c r="AQ106" i="28" s="1"/>
  <c r="BK32" i="4"/>
  <c r="BQ529" i="3"/>
  <c r="BQ530" i="3" s="1"/>
  <c r="AL476" i="3"/>
  <c r="AL501" i="3" s="1"/>
  <c r="L48" i="6"/>
  <c r="W17" i="32"/>
  <c r="AP294" i="4"/>
  <c r="AQ261" i="4"/>
  <c r="AP408" i="4"/>
  <c r="AP482" i="4"/>
  <c r="BM482" i="4" s="1"/>
  <c r="AN446" i="4"/>
  <c r="AN445" i="4"/>
  <c r="Y106" i="28"/>
  <c r="Y107" i="28"/>
  <c r="AM546" i="3"/>
  <c r="BJ484" i="4"/>
  <c r="BJ485" i="4" s="1"/>
  <c r="BJ519" i="4" s="1"/>
  <c r="AJ485" i="4"/>
  <c r="AJ519" i="4" s="1"/>
  <c r="AK7" i="4"/>
  <c r="AJ223" i="4"/>
  <c r="AJ222" i="4"/>
  <c r="AO437" i="4"/>
  <c r="AO444" i="4"/>
  <c r="AM547" i="3"/>
  <c r="BM219" i="4"/>
  <c r="AL220" i="4"/>
  <c r="AL186" i="4" s="1"/>
  <c r="AM219" i="4"/>
  <c r="AM550" i="3"/>
  <c r="BQ550" i="3" s="1"/>
  <c r="AO409" i="4"/>
  <c r="AO443" i="4" s="1"/>
  <c r="AO68" i="4" s="1"/>
  <c r="AO70" i="4" s="1"/>
  <c r="AM549" i="3"/>
  <c r="BJ220" i="4"/>
  <c r="BJ187" i="4"/>
  <c r="AO263" i="4"/>
  <c r="BQ77" i="3"/>
  <c r="F47" i="6"/>
  <c r="AP14" i="32"/>
  <c r="BQ533" i="3"/>
  <c r="F107" i="6" s="1"/>
  <c r="BK186" i="4"/>
  <c r="AK187" i="4"/>
  <c r="AK484" i="4"/>
  <c r="AN512" i="4"/>
  <c r="AN511" i="4"/>
  <c r="AN510" i="4"/>
  <c r="AN29" i="4"/>
  <c r="AO470" i="4"/>
  <c r="BL445" i="4"/>
  <c r="E163" i="6"/>
  <c r="E164" i="6" s="1"/>
  <c r="BL446" i="4"/>
  <c r="AK474" i="4"/>
  <c r="AL78" i="3"/>
  <c r="BK63" i="4"/>
  <c r="BK64" i="4"/>
  <c r="AQ300" i="4"/>
  <c r="AP262" i="4"/>
  <c r="AP409" i="4" s="1"/>
  <c r="BM261" i="4"/>
  <c r="AM530" i="3"/>
  <c r="P20" i="8"/>
  <c r="F45" i="6"/>
  <c r="AP12" i="32"/>
  <c r="BQ532" i="3"/>
  <c r="F106" i="6" s="1"/>
  <c r="BQ531" i="3"/>
  <c r="F15" i="33"/>
  <c r="F16" i="33" s="1"/>
  <c r="BQ534" i="3"/>
  <c r="BQ535" i="3"/>
  <c r="F109" i="6" s="1"/>
  <c r="AM534" i="3"/>
  <c r="X23" i="32" s="1"/>
  <c r="X14" i="32"/>
  <c r="X15" i="32" s="1"/>
  <c r="AM533" i="3"/>
  <c r="AM513" i="4"/>
  <c r="AM31" i="4"/>
  <c r="AM32" i="4" s="1"/>
  <c r="AM514" i="4"/>
  <c r="AN472" i="4"/>
  <c r="AN473" i="4" s="1"/>
  <c r="AL33" i="4"/>
  <c r="BL470" i="4"/>
  <c r="AM61" i="4"/>
  <c r="AN74" i="3"/>
  <c r="AM62" i="4"/>
  <c r="AM535" i="3"/>
  <c r="AP443" i="4" l="1"/>
  <c r="AP68" i="4" s="1"/>
  <c r="AP70" i="4" s="1"/>
  <c r="X17" i="32"/>
  <c r="AM476" i="3"/>
  <c r="AM501" i="3" s="1"/>
  <c r="AQ107" i="28"/>
  <c r="Z166" i="28"/>
  <c r="Z104" i="28" s="1"/>
  <c r="Z107" i="28" s="1"/>
  <c r="BP32" i="4"/>
  <c r="AF185" i="4"/>
  <c r="AM78" i="3"/>
  <c r="BQ78" i="3" s="1"/>
  <c r="BK33" i="4"/>
  <c r="AL474" i="4"/>
  <c r="AL477" i="4" s="1"/>
  <c r="Y12" i="32"/>
  <c r="AN532" i="3"/>
  <c r="AN531" i="3"/>
  <c r="AO303" i="4"/>
  <c r="AO302" i="4"/>
  <c r="AO410" i="4"/>
  <c r="AO512" i="4"/>
  <c r="AO510" i="4"/>
  <c r="AO29" i="4"/>
  <c r="AP470" i="4"/>
  <c r="BM470" i="4" s="1"/>
  <c r="AO511" i="4"/>
  <c r="BM294" i="4"/>
  <c r="BM408" i="4"/>
  <c r="AL30" i="3"/>
  <c r="AL31" i="3"/>
  <c r="W18" i="32"/>
  <c r="L49" i="6"/>
  <c r="L52" i="6" s="1"/>
  <c r="F48" i="6"/>
  <c r="BQ476" i="3"/>
  <c r="BQ501" i="3" s="1"/>
  <c r="AP17" i="32"/>
  <c r="P23" i="8"/>
  <c r="P22" i="8" s="1"/>
  <c r="I46" i="8" s="1"/>
  <c r="BL472" i="4"/>
  <c r="BL515" i="4" s="1"/>
  <c r="AN31" i="4"/>
  <c r="AN65" i="4" s="1"/>
  <c r="AN514" i="4"/>
  <c r="AN513" i="4"/>
  <c r="AK477" i="4"/>
  <c r="AN515" i="4"/>
  <c r="AK223" i="4"/>
  <c r="AK222" i="4"/>
  <c r="BM262" i="4"/>
  <c r="BM409" i="4" s="1"/>
  <c r="AN219" i="4"/>
  <c r="AM220" i="4"/>
  <c r="AM186" i="4" s="1"/>
  <c r="BN219" i="4"/>
  <c r="AP444" i="4"/>
  <c r="AP437" i="4"/>
  <c r="AO472" i="4"/>
  <c r="AO473" i="4" s="1"/>
  <c r="AR300" i="4"/>
  <c r="AQ262" i="4"/>
  <c r="AO74" i="3"/>
  <c r="AN61" i="4"/>
  <c r="AN62" i="4"/>
  <c r="BL29" i="4"/>
  <c r="BK220" i="4"/>
  <c r="BK187" i="4"/>
  <c r="BJ223" i="4"/>
  <c r="BJ222" i="4"/>
  <c r="BJ73" i="4"/>
  <c r="AL187" i="4"/>
  <c r="AL484" i="4"/>
  <c r="BK484" i="4" s="1"/>
  <c r="AP263" i="4"/>
  <c r="BM263" i="4" s="1"/>
  <c r="BM410" i="4" s="1"/>
  <c r="AM33" i="4"/>
  <c r="AM36" i="4" s="1"/>
  <c r="BL512" i="4"/>
  <c r="BL510" i="4"/>
  <c r="BL511" i="4"/>
  <c r="AM65" i="4"/>
  <c r="AM64" i="4"/>
  <c r="AN76" i="3"/>
  <c r="AN535" i="3" s="1"/>
  <c r="AM63" i="4"/>
  <c r="F108" i="6"/>
  <c r="N50" i="33"/>
  <c r="AP23" i="32"/>
  <c r="AJ73" i="4"/>
  <c r="BQ546" i="3"/>
  <c r="AQ294" i="4"/>
  <c r="AR261" i="4"/>
  <c r="BN261" i="4" s="1"/>
  <c r="AQ408" i="4"/>
  <c r="AQ482" i="4"/>
  <c r="AN529" i="3"/>
  <c r="AL36" i="4"/>
  <c r="AP15" i="32"/>
  <c r="BQ549" i="3"/>
  <c r="BQ547" i="3"/>
  <c r="AL81" i="3"/>
  <c r="F105" i="6"/>
  <c r="I45" i="8"/>
  <c r="Z106" i="28" l="1"/>
  <c r="BM443" i="4"/>
  <c r="BM69" i="4" s="1"/>
  <c r="AR262" i="4"/>
  <c r="AR409" i="4" s="1"/>
  <c r="AN548" i="3"/>
  <c r="AN550" i="3"/>
  <c r="AO529" i="3"/>
  <c r="AO530" i="3" s="1"/>
  <c r="BL31" i="4"/>
  <c r="BL64" i="4" s="1"/>
  <c r="AN530" i="3"/>
  <c r="AQ409" i="4"/>
  <c r="AQ443" i="4" s="1"/>
  <c r="AQ68" i="4" s="1"/>
  <c r="AQ70" i="4" s="1"/>
  <c r="BN294" i="4"/>
  <c r="BN408" i="4"/>
  <c r="BK222" i="4"/>
  <c r="BK223" i="4"/>
  <c r="D162" i="6"/>
  <c r="BM511" i="4"/>
  <c r="BM512" i="4"/>
  <c r="BM510" i="4"/>
  <c r="AL7" i="4"/>
  <c r="AQ263" i="4"/>
  <c r="BL62" i="4"/>
  <c r="BL61" i="4"/>
  <c r="AN64" i="4"/>
  <c r="AO76" i="3"/>
  <c r="AO77" i="3" s="1"/>
  <c r="AN63" i="4"/>
  <c r="F17" i="33"/>
  <c r="BQ31" i="3"/>
  <c r="I48" i="8" s="1"/>
  <c r="BQ38" i="3"/>
  <c r="P24" i="8"/>
  <c r="P27" i="8" s="1"/>
  <c r="F49" i="6"/>
  <c r="F52" i="6" s="1"/>
  <c r="AP18" i="32"/>
  <c r="BQ30" i="3"/>
  <c r="AO445" i="4"/>
  <c r="AO446" i="4"/>
  <c r="BK67" i="4"/>
  <c r="BP33" i="4"/>
  <c r="BK36" i="4"/>
  <c r="AL37" i="3"/>
  <c r="AL578" i="3" s="1"/>
  <c r="AL58" i="3"/>
  <c r="AL524" i="3"/>
  <c r="L100" i="6" s="1"/>
  <c r="AL84" i="3"/>
  <c r="L15" i="6"/>
  <c r="AL526" i="3"/>
  <c r="L102" i="6" s="1"/>
  <c r="AL525" i="3"/>
  <c r="L101" i="6" s="1"/>
  <c r="AL472" i="3"/>
  <c r="W20" i="32"/>
  <c r="AL536" i="3"/>
  <c r="L110" i="6" s="1"/>
  <c r="X176" i="28"/>
  <c r="X12" i="28" s="1"/>
  <c r="AL474" i="3"/>
  <c r="AL341" i="3"/>
  <c r="AQ437" i="4"/>
  <c r="AQ444" i="4"/>
  <c r="AF187" i="4"/>
  <c r="AF214" i="4"/>
  <c r="AF221" i="4"/>
  <c r="AJ221" i="4" s="1"/>
  <c r="AK221" i="4" s="1"/>
  <c r="BH185" i="4"/>
  <c r="AF219" i="4"/>
  <c r="AN534" i="3"/>
  <c r="Y23" i="32" s="1"/>
  <c r="Y14" i="32"/>
  <c r="Y15" i="32" s="1"/>
  <c r="AN533" i="3"/>
  <c r="AO31" i="4"/>
  <c r="AO32" i="4" s="1"/>
  <c r="AO514" i="4"/>
  <c r="AO513" i="4"/>
  <c r="AO515" i="4"/>
  <c r="AN77" i="3"/>
  <c r="AF261" i="4"/>
  <c r="AN547" i="3"/>
  <c r="AR294" i="4"/>
  <c r="AR408" i="4"/>
  <c r="AR482" i="4"/>
  <c r="BN482" i="4" s="1"/>
  <c r="AL223" i="4"/>
  <c r="AL222" i="4"/>
  <c r="AP472" i="4"/>
  <c r="AP515" i="4" s="1"/>
  <c r="BL514" i="4"/>
  <c r="BL513" i="4"/>
  <c r="BM437" i="4"/>
  <c r="BM444" i="4"/>
  <c r="BM445" i="4"/>
  <c r="BM446" i="4"/>
  <c r="AL485" i="4"/>
  <c r="AL73" i="4" s="1"/>
  <c r="AL448" i="4"/>
  <c r="G54" i="33"/>
  <c r="G55" i="33" s="1"/>
  <c r="AM7" i="4"/>
  <c r="AN32" i="4"/>
  <c r="AM187" i="4"/>
  <c r="AM484" i="4"/>
  <c r="F54" i="33"/>
  <c r="F55" i="33" s="1"/>
  <c r="AK448" i="4"/>
  <c r="AK485" i="4"/>
  <c r="L68" i="6"/>
  <c r="L69" i="6" s="1"/>
  <c r="BQ81" i="3"/>
  <c r="AQ470" i="4"/>
  <c r="AP511" i="4"/>
  <c r="AP510" i="4"/>
  <c r="AP512" i="4"/>
  <c r="AP29" i="4"/>
  <c r="AN546" i="3"/>
  <c r="BL473" i="4"/>
  <c r="AN78" i="3"/>
  <c r="AM474" i="4"/>
  <c r="AP303" i="4"/>
  <c r="AP302" i="4"/>
  <c r="AP410" i="4"/>
  <c r="AA166" i="28"/>
  <c r="AA104" i="28" s="1"/>
  <c r="BR74" i="3"/>
  <c r="AO532" i="3"/>
  <c r="Z12" i="32"/>
  <c r="AO531" i="3"/>
  <c r="AN220" i="4"/>
  <c r="AN186" i="4" s="1"/>
  <c r="BL186" i="4" s="1"/>
  <c r="AO219" i="4"/>
  <c r="BK474" i="4"/>
  <c r="BK477" i="4" s="1"/>
  <c r="AN549" i="3"/>
  <c r="AP74" i="3"/>
  <c r="AO62" i="4"/>
  <c r="AO61" i="4"/>
  <c r="AM30" i="3"/>
  <c r="X18" i="32"/>
  <c r="AM31" i="3"/>
  <c r="AM81" i="3"/>
  <c r="AF223" i="4"/>
  <c r="BM68" i="4" l="1"/>
  <c r="AR166" i="28"/>
  <c r="AR104" i="28" s="1"/>
  <c r="AO65" i="4"/>
  <c r="BN262" i="4"/>
  <c r="BN409" i="4" s="1"/>
  <c r="BN443" i="4" s="1"/>
  <c r="AR263" i="4"/>
  <c r="BN263" i="4" s="1"/>
  <c r="BN410" i="4" s="1"/>
  <c r="BR529" i="3"/>
  <c r="BR530" i="3" s="1"/>
  <c r="AP529" i="3"/>
  <c r="AP530" i="3" s="1"/>
  <c r="AO549" i="3"/>
  <c r="BR549" i="3" s="1"/>
  <c r="AO534" i="3"/>
  <c r="Z23" i="32" s="1"/>
  <c r="BL63" i="4"/>
  <c r="BL65" i="4"/>
  <c r="BL32" i="4"/>
  <c r="AQ472" i="4"/>
  <c r="AQ473" i="4" s="1"/>
  <c r="AB166" i="28"/>
  <c r="AB104" i="28" s="1"/>
  <c r="AB106" i="28" s="1"/>
  <c r="AO33" i="4"/>
  <c r="AO36" i="4" s="1"/>
  <c r="G45" i="6"/>
  <c r="BR531" i="3"/>
  <c r="BR532" i="3"/>
  <c r="G106" i="6" s="1"/>
  <c r="AQ12" i="32"/>
  <c r="Q20" i="8"/>
  <c r="AN30" i="3"/>
  <c r="Y18" i="32"/>
  <c r="AN31" i="3"/>
  <c r="BL220" i="4"/>
  <c r="BL187" i="4"/>
  <c r="AP513" i="4"/>
  <c r="AP514" i="4"/>
  <c r="AP31" i="4"/>
  <c r="AP65" i="4" s="1"/>
  <c r="AN476" i="3"/>
  <c r="AN501" i="3" s="1"/>
  <c r="Y17" i="32"/>
  <c r="AN81" i="3"/>
  <c r="AF220" i="4"/>
  <c r="BI219" i="4"/>
  <c r="BH219" i="4"/>
  <c r="AL473" i="3"/>
  <c r="AL499" i="3"/>
  <c r="W25" i="32"/>
  <c r="AL580" i="3"/>
  <c r="L128" i="6" s="1"/>
  <c r="AL470" i="3"/>
  <c r="AL497" i="3" s="1"/>
  <c r="BN444" i="4"/>
  <c r="BN437" i="4"/>
  <c r="AM536" i="3"/>
  <c r="AM37" i="3"/>
  <c r="AM578" i="3" s="1"/>
  <c r="AM84" i="3"/>
  <c r="AM88" i="3" s="1"/>
  <c r="AM94" i="3" s="1"/>
  <c r="AM525" i="3"/>
  <c r="AM472" i="3"/>
  <c r="X20" i="32"/>
  <c r="BQ37" i="3"/>
  <c r="AM474" i="3"/>
  <c r="AM58" i="3"/>
  <c r="AM524" i="3"/>
  <c r="AM526" i="3"/>
  <c r="Y176" i="28"/>
  <c r="Y12" i="28" s="1"/>
  <c r="AM341" i="3"/>
  <c r="AM345" i="3" s="1"/>
  <c r="AM349" i="3" s="1"/>
  <c r="Z17" i="32"/>
  <c r="AO476" i="3"/>
  <c r="AO501" i="3" s="1"/>
  <c r="AA107" i="28"/>
  <c r="AA106" i="28"/>
  <c r="AK73" i="4"/>
  <c r="AN33" i="4"/>
  <c r="BH221" i="4"/>
  <c r="BH187" i="4"/>
  <c r="BH214" i="4"/>
  <c r="BH220" i="4"/>
  <c r="AL345" i="3"/>
  <c r="AL349" i="3" s="1"/>
  <c r="BR76" i="3"/>
  <c r="BR77" i="3" s="1"/>
  <c r="Z14" i="32"/>
  <c r="Z15" i="32" s="1"/>
  <c r="AO533" i="3"/>
  <c r="F28" i="33"/>
  <c r="F29" i="33" s="1"/>
  <c r="BK448" i="4"/>
  <c r="I75" i="8"/>
  <c r="I76" i="8" s="1"/>
  <c r="I77" i="8" s="1"/>
  <c r="F68" i="6"/>
  <c r="F69" i="6" s="1"/>
  <c r="AO535" i="3"/>
  <c r="AP445" i="4"/>
  <c r="AP446" i="4"/>
  <c r="AO546" i="3"/>
  <c r="W26" i="32"/>
  <c r="AL475" i="3"/>
  <c r="L16" i="6"/>
  <c r="AL500" i="3"/>
  <c r="AL471" i="3"/>
  <c r="AL498" i="3" s="1"/>
  <c r="L55" i="6"/>
  <c r="L53" i="6" s="1"/>
  <c r="W28" i="32"/>
  <c r="L126" i="6"/>
  <c r="I15" i="8"/>
  <c r="I16" i="8" s="1"/>
  <c r="I21" i="8"/>
  <c r="I22" i="8" s="1"/>
  <c r="AQ302" i="4"/>
  <c r="AQ303" i="4"/>
  <c r="AQ410" i="4"/>
  <c r="AO220" i="4"/>
  <c r="AO186" i="4" s="1"/>
  <c r="AP219" i="4"/>
  <c r="AO547" i="3"/>
  <c r="AO550" i="3"/>
  <c r="X15" i="28"/>
  <c r="X14" i="28"/>
  <c r="BK7" i="4"/>
  <c r="G162" i="6"/>
  <c r="BP36" i="4"/>
  <c r="BQ579" i="3"/>
  <c r="I27" i="8"/>
  <c r="AN187" i="4"/>
  <c r="AN484" i="4"/>
  <c r="BL484" i="4" s="1"/>
  <c r="AP473" i="4"/>
  <c r="AQ29" i="4"/>
  <c r="AQ511" i="4"/>
  <c r="AQ510" i="4"/>
  <c r="AQ512" i="4"/>
  <c r="AR470" i="4"/>
  <c r="AR444" i="4"/>
  <c r="AR437" i="4"/>
  <c r="AF263" i="4"/>
  <c r="AF294" i="4"/>
  <c r="BH261" i="4"/>
  <c r="AF300" i="4"/>
  <c r="AF408" i="4"/>
  <c r="BM472" i="4"/>
  <c r="AR443" i="4"/>
  <c r="AR68" i="4" s="1"/>
  <c r="AR70" i="4" s="1"/>
  <c r="AF222" i="4"/>
  <c r="AL88" i="3"/>
  <c r="AL94" i="3" s="1"/>
  <c r="AA12" i="32"/>
  <c r="AP532" i="3"/>
  <c r="AP531" i="3"/>
  <c r="AM477" i="4"/>
  <c r="AQ74" i="3"/>
  <c r="BM29" i="4"/>
  <c r="AP61" i="4"/>
  <c r="AP62" i="4"/>
  <c r="BQ536" i="3"/>
  <c r="BQ524" i="3"/>
  <c r="BQ474" i="3"/>
  <c r="BQ84" i="3"/>
  <c r="F15" i="6"/>
  <c r="AP20" i="32"/>
  <c r="AQ176" i="28"/>
  <c r="AQ12" i="28" s="1"/>
  <c r="BQ58" i="3"/>
  <c r="BQ472" i="3"/>
  <c r="BQ525" i="3"/>
  <c r="BQ526" i="3"/>
  <c r="AM223" i="4"/>
  <c r="AM222" i="4"/>
  <c r="AO63" i="4"/>
  <c r="AO64" i="4"/>
  <c r="AP76" i="3"/>
  <c r="AF482" i="4"/>
  <c r="BK518" i="4"/>
  <c r="AP24" i="32"/>
  <c r="N51" i="33"/>
  <c r="F19" i="33"/>
  <c r="F21" i="33" s="1"/>
  <c r="AR106" i="28"/>
  <c r="AR107" i="28"/>
  <c r="AO548" i="3"/>
  <c r="BK485" i="4"/>
  <c r="BK73" i="4" s="1"/>
  <c r="AQ529" i="3" l="1"/>
  <c r="AQ530" i="3" s="1"/>
  <c r="AR303" i="4"/>
  <c r="AR410" i="4"/>
  <c r="AR445" i="4" s="1"/>
  <c r="AR302" i="4"/>
  <c r="AP549" i="3"/>
  <c r="AQ513" i="4"/>
  <c r="AQ515" i="4"/>
  <c r="AP32" i="4"/>
  <c r="BQ341" i="3"/>
  <c r="BQ345" i="3" s="1"/>
  <c r="BQ349" i="3" s="1"/>
  <c r="AQ514" i="4"/>
  <c r="AQ31" i="4"/>
  <c r="AR76" i="3" s="1"/>
  <c r="AB107" i="28"/>
  <c r="BM31" i="4"/>
  <c r="BM65" i="4" s="1"/>
  <c r="AP546" i="3"/>
  <c r="BR476" i="3"/>
  <c r="BR501" i="3" s="1"/>
  <c r="G48" i="6"/>
  <c r="AQ17" i="32"/>
  <c r="Q23" i="8"/>
  <c r="Q22" i="8" s="1"/>
  <c r="J46" i="8" s="1"/>
  <c r="J45" i="8"/>
  <c r="G105" i="6"/>
  <c r="BQ578" i="3"/>
  <c r="I26" i="8"/>
  <c r="BQ88" i="3"/>
  <c r="Y14" i="28"/>
  <c r="Y15" i="28"/>
  <c r="L56" i="6"/>
  <c r="L18" i="6"/>
  <c r="BR546" i="3"/>
  <c r="AM499" i="3"/>
  <c r="AM470" i="3"/>
  <c r="AM497" i="3" s="1"/>
  <c r="AM473" i="3"/>
  <c r="X25" i="32"/>
  <c r="AM580" i="3"/>
  <c r="BL222" i="4"/>
  <c r="BL223" i="4"/>
  <c r="D163" i="6"/>
  <c r="D164" i="6" s="1"/>
  <c r="I55" i="8"/>
  <c r="N48" i="33"/>
  <c r="F101" i="6"/>
  <c r="R16" i="9"/>
  <c r="AF303" i="4"/>
  <c r="AF302" i="4"/>
  <c r="BH263" i="4"/>
  <c r="BH410" i="4" s="1"/>
  <c r="AF410" i="4"/>
  <c r="I67" i="8"/>
  <c r="F127" i="6"/>
  <c r="BN445" i="4"/>
  <c r="BN446" i="4"/>
  <c r="E169" i="6" s="1"/>
  <c r="L17" i="6"/>
  <c r="L19" i="6"/>
  <c r="BR533" i="3"/>
  <c r="G107" i="6" s="1"/>
  <c r="AQ14" i="32"/>
  <c r="AQ15" i="32" s="1"/>
  <c r="G47" i="6"/>
  <c r="AP534" i="3"/>
  <c r="AA23" i="32" s="1"/>
  <c r="AA14" i="32"/>
  <c r="AA15" i="32" s="1"/>
  <c r="AP533" i="3"/>
  <c r="I17" i="8"/>
  <c r="I18" i="8" s="1"/>
  <c r="BQ580" i="3"/>
  <c r="F128" i="6" s="1"/>
  <c r="BQ473" i="3"/>
  <c r="BQ499" i="3"/>
  <c r="AP25" i="32"/>
  <c r="N32" i="33"/>
  <c r="BQ470" i="3"/>
  <c r="BQ497" i="3" s="1"/>
  <c r="BS74" i="3"/>
  <c r="AQ531" i="3"/>
  <c r="AQ532" i="3"/>
  <c r="AB12" i="32"/>
  <c r="AL160" i="3"/>
  <c r="AL98" i="3"/>
  <c r="BM513" i="4"/>
  <c r="BM514" i="4"/>
  <c r="BM473" i="4"/>
  <c r="BM515" i="4"/>
  <c r="AR510" i="4"/>
  <c r="AR29" i="4"/>
  <c r="AR511" i="4"/>
  <c r="AR512" i="4"/>
  <c r="R18" i="9"/>
  <c r="N34" i="33"/>
  <c r="N35" i="33" s="1"/>
  <c r="AP26" i="32"/>
  <c r="BQ471" i="3"/>
  <c r="BQ498" i="3" s="1"/>
  <c r="F55" i="6"/>
  <c r="F53" i="6" s="1"/>
  <c r="I19" i="8"/>
  <c r="C136" i="6"/>
  <c r="BQ500" i="3"/>
  <c r="P30" i="8"/>
  <c r="F16" i="6"/>
  <c r="BQ475" i="3"/>
  <c r="AM448" i="4"/>
  <c r="AM485" i="4"/>
  <c r="AF444" i="4"/>
  <c r="AF437" i="4"/>
  <c r="AF443" i="4"/>
  <c r="AF68" i="4" s="1"/>
  <c r="AF70" i="4" s="1"/>
  <c r="AN222" i="4"/>
  <c r="AN223" i="4"/>
  <c r="AQ219" i="4"/>
  <c r="AP220" i="4"/>
  <c r="AP186" i="4" s="1"/>
  <c r="AN36" i="4"/>
  <c r="BL33" i="4"/>
  <c r="AO78" i="3"/>
  <c r="AN474" i="4"/>
  <c r="I54" i="8"/>
  <c r="F100" i="6"/>
  <c r="BN68" i="4"/>
  <c r="BN69" i="4"/>
  <c r="BR550" i="3"/>
  <c r="AP550" i="3"/>
  <c r="AO187" i="4"/>
  <c r="AO484" i="4"/>
  <c r="Z176" i="28"/>
  <c r="Z12" i="28" s="1"/>
  <c r="AN84" i="3"/>
  <c r="AN526" i="3"/>
  <c r="AN37" i="3"/>
  <c r="AN578" i="3" s="1"/>
  <c r="AN524" i="3"/>
  <c r="Y20" i="32"/>
  <c r="AN341" i="3"/>
  <c r="AN525" i="3"/>
  <c r="AN472" i="3"/>
  <c r="AN474" i="3"/>
  <c r="AN58" i="3"/>
  <c r="AN536" i="3"/>
  <c r="AQ76" i="3"/>
  <c r="AP63" i="4"/>
  <c r="AP64" i="4"/>
  <c r="BR535" i="3"/>
  <c r="G109" i="6" s="1"/>
  <c r="AO7" i="4"/>
  <c r="BR548" i="3"/>
  <c r="AP548" i="3"/>
  <c r="AQ14" i="28"/>
  <c r="AQ15" i="28"/>
  <c r="F110" i="6"/>
  <c r="I49" i="8"/>
  <c r="N52" i="33"/>
  <c r="AC166" i="28"/>
  <c r="AC104" i="28" s="1"/>
  <c r="AP535" i="3"/>
  <c r="BH294" i="4"/>
  <c r="BH408" i="4"/>
  <c r="BN470" i="4"/>
  <c r="F162" i="6"/>
  <c r="BR547" i="3"/>
  <c r="AP547" i="3"/>
  <c r="BH223" i="4"/>
  <c r="BH222" i="4"/>
  <c r="BQ94" i="3"/>
  <c r="BQ98" i="3" s="1"/>
  <c r="G15" i="33"/>
  <c r="G16" i="33" s="1"/>
  <c r="AF485" i="4"/>
  <c r="AF512" i="4"/>
  <c r="BH482" i="4"/>
  <c r="AR446" i="4"/>
  <c r="I56" i="8"/>
  <c r="F102" i="6"/>
  <c r="AR472" i="4"/>
  <c r="BM62" i="4"/>
  <c r="BM61" i="4"/>
  <c r="AP77" i="3"/>
  <c r="AQ61" i="4"/>
  <c r="AR74" i="3"/>
  <c r="AQ62" i="4"/>
  <c r="AQ445" i="4"/>
  <c r="AQ446" i="4"/>
  <c r="AM500" i="3"/>
  <c r="X26" i="32"/>
  <c r="AM475" i="3"/>
  <c r="AM471" i="3"/>
  <c r="AM498" i="3" s="1"/>
  <c r="X28" i="32"/>
  <c r="BR534" i="3"/>
  <c r="AP78" i="3"/>
  <c r="AO474" i="4"/>
  <c r="BS529" i="3" l="1"/>
  <c r="BS530" i="3" s="1"/>
  <c r="AQ549" i="3"/>
  <c r="BS549" i="3" s="1"/>
  <c r="AP33" i="4"/>
  <c r="AP36" i="4" s="1"/>
  <c r="BM64" i="4"/>
  <c r="BM63" i="4"/>
  <c r="AQ32" i="4"/>
  <c r="AQ33" i="4" s="1"/>
  <c r="AQ65" i="4"/>
  <c r="AQ64" i="4"/>
  <c r="AD166" i="28"/>
  <c r="AD104" i="28" s="1"/>
  <c r="AD106" i="28" s="1"/>
  <c r="AQ63" i="4"/>
  <c r="AQ550" i="3"/>
  <c r="BS550" i="3" s="1"/>
  <c r="AS166" i="28"/>
  <c r="AS104" i="28" s="1"/>
  <c r="AS107" i="28" s="1"/>
  <c r="BM32" i="4"/>
  <c r="AF446" i="4"/>
  <c r="AF445" i="4"/>
  <c r="AF73" i="4"/>
  <c r="AP30" i="3"/>
  <c r="AA18" i="32"/>
  <c r="AP31" i="3"/>
  <c r="AR532" i="3"/>
  <c r="AR77" i="3"/>
  <c r="AR531" i="3"/>
  <c r="AR534" i="3"/>
  <c r="AC23" i="32" s="1"/>
  <c r="AC12" i="32"/>
  <c r="AR535" i="3"/>
  <c r="Z15" i="28"/>
  <c r="Z14" i="28"/>
  <c r="AP187" i="4"/>
  <c r="AP484" i="4"/>
  <c r="BM484" i="4" s="1"/>
  <c r="P28" i="8"/>
  <c r="P31" i="8"/>
  <c r="BH445" i="4"/>
  <c r="BH446" i="4"/>
  <c r="AQ533" i="3"/>
  <c r="AB14" i="32"/>
  <c r="AB15" i="32" s="1"/>
  <c r="AR219" i="4"/>
  <c r="AR220" i="4" s="1"/>
  <c r="AR186" i="4" s="1"/>
  <c r="AQ220" i="4"/>
  <c r="AQ186" i="4" s="1"/>
  <c r="AQ534" i="3"/>
  <c r="AB23" i="32" s="1"/>
  <c r="AC107" i="28"/>
  <c r="AC106" i="28"/>
  <c r="AN470" i="3"/>
  <c r="AN497" i="3" s="1"/>
  <c r="Y25" i="32"/>
  <c r="AN473" i="3"/>
  <c r="AN499" i="3"/>
  <c r="AN580" i="3"/>
  <c r="Y28" i="32"/>
  <c r="AO223" i="4"/>
  <c r="AO222" i="4"/>
  <c r="BR78" i="3"/>
  <c r="AO30" i="3"/>
  <c r="Z18" i="32"/>
  <c r="AO31" i="3"/>
  <c r="AO81" i="3"/>
  <c r="F18" i="6"/>
  <c r="F56" i="6"/>
  <c r="I34" i="8"/>
  <c r="I20" i="8"/>
  <c r="AQ535" i="3"/>
  <c r="N38" i="33"/>
  <c r="N33" i="33"/>
  <c r="N21" i="33"/>
  <c r="AR533" i="3"/>
  <c r="AC14" i="32"/>
  <c r="AP28" i="32"/>
  <c r="I66" i="8"/>
  <c r="F126" i="6"/>
  <c r="AQ546" i="3"/>
  <c r="AO477" i="4"/>
  <c r="AR473" i="4"/>
  <c r="AR31" i="4"/>
  <c r="AR32" i="4" s="1"/>
  <c r="AR513" i="4"/>
  <c r="AR514" i="4"/>
  <c r="BN472" i="4"/>
  <c r="BN515" i="4" s="1"/>
  <c r="BN511" i="4"/>
  <c r="BN510" i="4"/>
  <c r="BN512" i="4"/>
  <c r="AQ548" i="3"/>
  <c r="AR548" i="3" s="1"/>
  <c r="AN88" i="3"/>
  <c r="AN94" i="3" s="1"/>
  <c r="AN7" i="4"/>
  <c r="AL450" i="3"/>
  <c r="AM160" i="3"/>
  <c r="R23" i="9"/>
  <c r="R30" i="9" s="1"/>
  <c r="BR93" i="3"/>
  <c r="BQ101" i="3"/>
  <c r="BQ91" i="3"/>
  <c r="BQ520" i="3"/>
  <c r="BH437" i="4"/>
  <c r="BH444" i="4"/>
  <c r="BH443" i="4"/>
  <c r="AN345" i="3"/>
  <c r="AN349" i="3" s="1"/>
  <c r="O50" i="33"/>
  <c r="G108" i="6"/>
  <c r="AQ23" i="32"/>
  <c r="AQ547" i="3"/>
  <c r="AM73" i="4"/>
  <c r="AR515" i="4"/>
  <c r="AR12" i="32"/>
  <c r="BS531" i="3"/>
  <c r="BS532" i="3"/>
  <c r="AR529" i="3"/>
  <c r="AN471" i="3"/>
  <c r="AN498" i="3" s="1"/>
  <c r="AN500" i="3"/>
  <c r="Y26" i="32"/>
  <c r="AN475" i="3"/>
  <c r="AN477" i="4"/>
  <c r="BL474" i="4"/>
  <c r="BL477" i="4" s="1"/>
  <c r="AP476" i="3"/>
  <c r="AP501" i="3" s="1"/>
  <c r="AA17" i="32"/>
  <c r="AP81" i="3"/>
  <c r="BH485" i="4"/>
  <c r="BH519" i="4" s="1"/>
  <c r="BH512" i="4"/>
  <c r="BM186" i="4"/>
  <c r="BL67" i="4"/>
  <c r="BL36" i="4"/>
  <c r="F17" i="6"/>
  <c r="F19" i="6"/>
  <c r="R21" i="9"/>
  <c r="R19" i="9"/>
  <c r="AR61" i="4"/>
  <c r="BN29" i="4"/>
  <c r="AS74" i="3"/>
  <c r="AR62" i="4"/>
  <c r="AK41" i="4"/>
  <c r="AM93" i="3"/>
  <c r="AM98" i="3" s="1"/>
  <c r="AL101" i="3"/>
  <c r="AL91" i="3"/>
  <c r="AL520" i="3"/>
  <c r="AQ77" i="3"/>
  <c r="BS76" i="3"/>
  <c r="BS534" i="3" s="1"/>
  <c r="AR23" i="32" s="1"/>
  <c r="BM33" i="4" l="1"/>
  <c r="AR549" i="3"/>
  <c r="AS106" i="28"/>
  <c r="AQ78" i="3"/>
  <c r="AQ30" i="3" s="1"/>
  <c r="AP7" i="4"/>
  <c r="AP474" i="4"/>
  <c r="AP477" i="4" s="1"/>
  <c r="AP485" i="4" s="1"/>
  <c r="AP73" i="4" s="1"/>
  <c r="AD107" i="28"/>
  <c r="BM67" i="4"/>
  <c r="AR24" i="32" s="1"/>
  <c r="AR550" i="3"/>
  <c r="BS535" i="3"/>
  <c r="BS77" i="3"/>
  <c r="BS548" i="3"/>
  <c r="AS529" i="3"/>
  <c r="BT529" i="3" s="1"/>
  <c r="BM36" i="4"/>
  <c r="L98" i="6"/>
  <c r="W29" i="32"/>
  <c r="AM450" i="3"/>
  <c r="BQ450" i="3" s="1"/>
  <c r="BQ160" i="3"/>
  <c r="J75" i="8"/>
  <c r="J76" i="8" s="1"/>
  <c r="G28" i="33"/>
  <c r="G29" i="33" s="1"/>
  <c r="BL448" i="4"/>
  <c r="G68" i="6"/>
  <c r="BL485" i="4"/>
  <c r="F38" i="33"/>
  <c r="F39" i="33" s="1"/>
  <c r="AE166" i="28"/>
  <c r="AE104" i="28" s="1"/>
  <c r="AS76" i="3"/>
  <c r="AS549" i="3" s="1"/>
  <c r="BT549" i="3" s="1"/>
  <c r="AR64" i="4"/>
  <c r="AR63" i="4"/>
  <c r="BN31" i="4"/>
  <c r="AT166" i="28" s="1"/>
  <c r="AT104" i="28" s="1"/>
  <c r="BS546" i="3"/>
  <c r="AR546" i="3"/>
  <c r="AR65" i="4"/>
  <c r="G163" i="6"/>
  <c r="BL7" i="4"/>
  <c r="BL73" i="4"/>
  <c r="AP472" i="3"/>
  <c r="AP526" i="3"/>
  <c r="AP341" i="3"/>
  <c r="AP525" i="3"/>
  <c r="AB176" i="28"/>
  <c r="AB12" i="28" s="1"/>
  <c r="AA20" i="32"/>
  <c r="AP536" i="3"/>
  <c r="AP524" i="3"/>
  <c r="AP37" i="3"/>
  <c r="AP578" i="3" s="1"/>
  <c r="AP84" i="3"/>
  <c r="AP474" i="3"/>
  <c r="AP58" i="3"/>
  <c r="AN160" i="3"/>
  <c r="AO525" i="3"/>
  <c r="AO526" i="3"/>
  <c r="AO84" i="3"/>
  <c r="AO88" i="3" s="1"/>
  <c r="AO94" i="3" s="1"/>
  <c r="BR94" i="3" s="1"/>
  <c r="BR98" i="3" s="1"/>
  <c r="AO524" i="3"/>
  <c r="AO474" i="3"/>
  <c r="AO472" i="3"/>
  <c r="BR37" i="3"/>
  <c r="AA176" i="28"/>
  <c r="AA12" i="28" s="1"/>
  <c r="Z20" i="32"/>
  <c r="AO37" i="3"/>
  <c r="AO578" i="3" s="1"/>
  <c r="AO341" i="3"/>
  <c r="AO536" i="3"/>
  <c r="AO58" i="3"/>
  <c r="BH73" i="4"/>
  <c r="AR530" i="3"/>
  <c r="BS533" i="3"/>
  <c r="AR14" i="32"/>
  <c r="AR15" i="32" s="1"/>
  <c r="BM220" i="4"/>
  <c r="BM187" i="4"/>
  <c r="R37" i="9"/>
  <c r="R25" i="9"/>
  <c r="R26" i="9" s="1"/>
  <c r="R34" i="9"/>
  <c r="BN473" i="4"/>
  <c r="BN513" i="4"/>
  <c r="BN514" i="4"/>
  <c r="BN186" i="4"/>
  <c r="AQ187" i="4"/>
  <c r="AQ484" i="4"/>
  <c r="AP223" i="4"/>
  <c r="AP222" i="4"/>
  <c r="AC17" i="32"/>
  <c r="AR476" i="3"/>
  <c r="AR501" i="3" s="1"/>
  <c r="AK490" i="4"/>
  <c r="AK66" i="4"/>
  <c r="AK71" i="4"/>
  <c r="BN62" i="4"/>
  <c r="BN61" i="4"/>
  <c r="Q24" i="8"/>
  <c r="Q27" i="8" s="1"/>
  <c r="G17" i="33"/>
  <c r="G49" i="6"/>
  <c r="G52" i="6" s="1"/>
  <c r="BR30" i="3"/>
  <c r="BR31" i="3"/>
  <c r="J48" i="8" s="1"/>
  <c r="AQ18" i="32"/>
  <c r="BR38" i="3"/>
  <c r="BR81" i="3"/>
  <c r="AR33" i="4"/>
  <c r="AQ36" i="4"/>
  <c r="AQ474" i="4"/>
  <c r="AR78" i="3"/>
  <c r="AN448" i="4"/>
  <c r="AN485" i="4"/>
  <c r="BH68" i="4"/>
  <c r="BH69" i="4"/>
  <c r="AL162" i="3"/>
  <c r="AL459" i="3"/>
  <c r="AL454" i="3"/>
  <c r="AQ24" i="32"/>
  <c r="BL518" i="4"/>
  <c r="AQ476" i="3"/>
  <c r="AQ501" i="3" s="1"/>
  <c r="AB17" i="32"/>
  <c r="AM520" i="3"/>
  <c r="X29" i="32" s="1"/>
  <c r="AM101" i="3"/>
  <c r="AN93" i="3"/>
  <c r="AN98" i="3" s="1"/>
  <c r="AM91" i="3"/>
  <c r="AL41" i="4"/>
  <c r="BT74" i="3"/>
  <c r="AD12" i="32"/>
  <c r="AS531" i="3"/>
  <c r="AS532" i="3"/>
  <c r="BS547" i="3"/>
  <c r="AR547" i="3"/>
  <c r="AP29" i="32"/>
  <c r="F98" i="6"/>
  <c r="N46" i="33"/>
  <c r="I51" i="8"/>
  <c r="I53" i="8" s="1"/>
  <c r="I38" i="8"/>
  <c r="AO448" i="4"/>
  <c r="AO485" i="4"/>
  <c r="AR187" i="4"/>
  <c r="AR484" i="4"/>
  <c r="AC15" i="32"/>
  <c r="AB18" i="32" l="1"/>
  <c r="BM518" i="4"/>
  <c r="AR17" i="32"/>
  <c r="AQ31" i="3"/>
  <c r="BS78" i="3"/>
  <c r="BS81" i="3" s="1"/>
  <c r="BS536" i="3" s="1"/>
  <c r="AQ81" i="3"/>
  <c r="AQ84" i="3" s="1"/>
  <c r="AQ88" i="3" s="1"/>
  <c r="AQ94" i="3" s="1"/>
  <c r="BS476" i="3"/>
  <c r="BS501" i="3" s="1"/>
  <c r="AP448" i="4"/>
  <c r="BM474" i="4"/>
  <c r="BM477" i="4" s="1"/>
  <c r="BM448" i="4" s="1"/>
  <c r="BT530" i="3"/>
  <c r="BN484" i="4"/>
  <c r="AS548" i="3"/>
  <c r="BT548" i="3" s="1"/>
  <c r="AS530" i="3"/>
  <c r="AS534" i="3"/>
  <c r="AD23" i="32" s="1"/>
  <c r="AS77" i="3"/>
  <c r="AS476" i="3" s="1"/>
  <c r="AS501" i="3" s="1"/>
  <c r="BM7" i="4"/>
  <c r="BN32" i="4"/>
  <c r="AS550" i="3"/>
  <c r="BT550" i="3" s="1"/>
  <c r="J77" i="8"/>
  <c r="AT106" i="28"/>
  <c r="AT107" i="28"/>
  <c r="BK41" i="4"/>
  <c r="AL66" i="4"/>
  <c r="AL490" i="4"/>
  <c r="AQ477" i="4"/>
  <c r="AL71" i="4"/>
  <c r="BM223" i="4"/>
  <c r="BM222" i="4"/>
  <c r="AA15" i="28"/>
  <c r="AA14" i="28"/>
  <c r="AS547" i="3"/>
  <c r="BT547" i="3" s="1"/>
  <c r="AN101" i="3"/>
  <c r="AM41" i="4"/>
  <c r="AO93" i="3"/>
  <c r="AO98" i="3" s="1"/>
  <c r="AN91" i="3"/>
  <c r="BN65" i="4"/>
  <c r="BR578" i="3"/>
  <c r="J26" i="8"/>
  <c r="AM459" i="3"/>
  <c r="AM454" i="3"/>
  <c r="AM444" i="3" s="1"/>
  <c r="AM162" i="3"/>
  <c r="BN220" i="4"/>
  <c r="BN187" i="4"/>
  <c r="AO470" i="3"/>
  <c r="AO497" i="3" s="1"/>
  <c r="AO499" i="3"/>
  <c r="AO473" i="3"/>
  <c r="AO580" i="3"/>
  <c r="Z25" i="32"/>
  <c r="AP500" i="3"/>
  <c r="AA26" i="32"/>
  <c r="AP475" i="3"/>
  <c r="AP471" i="3"/>
  <c r="AP498" i="3" s="1"/>
  <c r="AB15" i="28"/>
  <c r="AB14" i="28"/>
  <c r="G69" i="6"/>
  <c r="AS12" i="32"/>
  <c r="BT532" i="3"/>
  <c r="BT531" i="3"/>
  <c r="AN73" i="4"/>
  <c r="BR579" i="3"/>
  <c r="J27" i="8"/>
  <c r="O51" i="33"/>
  <c r="G19" i="33"/>
  <c r="G21" i="33" s="1"/>
  <c r="AO345" i="3"/>
  <c r="AO349" i="3" s="1"/>
  <c r="BR341" i="3"/>
  <c r="BR345" i="3" s="1"/>
  <c r="BR349" i="3" s="1"/>
  <c r="AO471" i="3"/>
  <c r="AO498" i="3" s="1"/>
  <c r="AO500" i="3"/>
  <c r="AO475" i="3"/>
  <c r="Z26" i="32"/>
  <c r="AN450" i="3"/>
  <c r="AO160" i="3"/>
  <c r="AP88" i="3"/>
  <c r="AP94" i="3" s="1"/>
  <c r="AS535" i="3"/>
  <c r="AD14" i="32"/>
  <c r="AD15" i="32" s="1"/>
  <c r="AS533" i="3"/>
  <c r="BT76" i="3"/>
  <c r="BT535" i="3" s="1"/>
  <c r="AO73" i="4"/>
  <c r="AL466" i="3"/>
  <c r="AL463" i="3"/>
  <c r="AR81" i="3"/>
  <c r="AC18" i="32"/>
  <c r="AR30" i="3"/>
  <c r="AR31" i="3"/>
  <c r="BN33" i="4"/>
  <c r="AR474" i="4"/>
  <c r="AR477" i="4" s="1"/>
  <c r="AS78" i="3"/>
  <c r="BR101" i="3"/>
  <c r="BS93" i="3"/>
  <c r="S23" i="9"/>
  <c r="BR91" i="3"/>
  <c r="AL217" i="3"/>
  <c r="AL272" i="3" s="1"/>
  <c r="AL307" i="3" s="1"/>
  <c r="AL154" i="3"/>
  <c r="AL159" i="3"/>
  <c r="AL449" i="3" s="1"/>
  <c r="AA25" i="32"/>
  <c r="AP499" i="3"/>
  <c r="AP473" i="3"/>
  <c r="AP580" i="3"/>
  <c r="AP470" i="3"/>
  <c r="AP497" i="3" s="1"/>
  <c r="BN64" i="4"/>
  <c r="BN63" i="4"/>
  <c r="AQ7" i="4"/>
  <c r="BR524" i="3"/>
  <c r="AQ20" i="32"/>
  <c r="BR536" i="3"/>
  <c r="BR58" i="3"/>
  <c r="BR526" i="3"/>
  <c r="BR474" i="3"/>
  <c r="BR525" i="3"/>
  <c r="BR84" i="3"/>
  <c r="G15" i="6"/>
  <c r="BR472" i="3"/>
  <c r="AR176" i="28"/>
  <c r="AR12" i="28" s="1"/>
  <c r="BR520" i="3"/>
  <c r="AQ222" i="4"/>
  <c r="AQ223" i="4"/>
  <c r="AL444" i="3"/>
  <c r="L79" i="6"/>
  <c r="R28" i="9"/>
  <c r="R27" i="9"/>
  <c r="AR222" i="4"/>
  <c r="AR223" i="4"/>
  <c r="AN520" i="3"/>
  <c r="Y29" i="32" s="1"/>
  <c r="AQ526" i="3"/>
  <c r="BS37" i="3"/>
  <c r="BS578" i="3" s="1"/>
  <c r="AR36" i="4"/>
  <c r="J15" i="8"/>
  <c r="J16" i="8" s="1"/>
  <c r="J21" i="8"/>
  <c r="J22" i="8" s="1"/>
  <c r="AK516" i="4"/>
  <c r="AK519" i="4"/>
  <c r="Z28" i="32"/>
  <c r="AA28" i="32"/>
  <c r="AP345" i="3"/>
  <c r="AP349" i="3" s="1"/>
  <c r="F163" i="6"/>
  <c r="G164" i="6"/>
  <c r="F164" i="6" s="1"/>
  <c r="AS546" i="3"/>
  <c r="BT546" i="3" s="1"/>
  <c r="AE106" i="28"/>
  <c r="AE107" i="28"/>
  <c r="BS31" i="3" l="1"/>
  <c r="BS526" i="3"/>
  <c r="BS58" i="3"/>
  <c r="T18" i="9" s="1"/>
  <c r="AQ536" i="3"/>
  <c r="AR18" i="32"/>
  <c r="BS524" i="3"/>
  <c r="BS30" i="3"/>
  <c r="AQ58" i="3"/>
  <c r="BS474" i="3"/>
  <c r="BS475" i="3" s="1"/>
  <c r="AQ341" i="3"/>
  <c r="AQ345" i="3" s="1"/>
  <c r="AQ349" i="3" s="1"/>
  <c r="AQ472" i="3"/>
  <c r="AQ473" i="3" s="1"/>
  <c r="AQ525" i="3"/>
  <c r="BS38" i="3"/>
  <c r="BS579" i="3" s="1"/>
  <c r="BS472" i="3"/>
  <c r="BS473" i="3" s="1"/>
  <c r="AS176" i="28"/>
  <c r="AS12" i="28" s="1"/>
  <c r="AS14" i="28" s="1"/>
  <c r="AB20" i="32"/>
  <c r="AQ37" i="3"/>
  <c r="AQ578" i="3" s="1"/>
  <c r="AB28" i="32" s="1"/>
  <c r="AR20" i="32"/>
  <c r="BS525" i="3"/>
  <c r="T16" i="9" s="1"/>
  <c r="AQ474" i="3"/>
  <c r="AQ475" i="3" s="1"/>
  <c r="AQ524" i="3"/>
  <c r="BS84" i="3"/>
  <c r="BS88" i="3" s="1"/>
  <c r="BM485" i="4"/>
  <c r="BM73" i="4" s="1"/>
  <c r="AC176" i="28"/>
  <c r="AC12" i="28" s="1"/>
  <c r="AC15" i="28" s="1"/>
  <c r="BN67" i="4"/>
  <c r="BN518" i="4" s="1"/>
  <c r="AS81" i="3"/>
  <c r="AS37" i="3" s="1"/>
  <c r="AS578" i="3" s="1"/>
  <c r="AD17" i="32"/>
  <c r="BS94" i="3"/>
  <c r="BS98" i="3" s="1"/>
  <c r="BT534" i="3"/>
  <c r="AS23" i="32" s="1"/>
  <c r="S18" i="9"/>
  <c r="S30" i="9" s="1"/>
  <c r="BN222" i="4"/>
  <c r="BN223" i="4"/>
  <c r="D169" i="6" s="1"/>
  <c r="AL516" i="4"/>
  <c r="BK490" i="4"/>
  <c r="BR88" i="3"/>
  <c r="AQ448" i="4"/>
  <c r="AQ485" i="4"/>
  <c r="L88" i="6"/>
  <c r="L90" i="6" s="1"/>
  <c r="AR485" i="4"/>
  <c r="AR448" i="4"/>
  <c r="BK66" i="4"/>
  <c r="G166" i="6"/>
  <c r="BK71" i="4"/>
  <c r="J38" i="8"/>
  <c r="AQ29" i="32"/>
  <c r="G98" i="6"/>
  <c r="O46" i="33"/>
  <c r="J51" i="8"/>
  <c r="G100" i="6"/>
  <c r="J54" i="8"/>
  <c r="AR341" i="3"/>
  <c r="AR84" i="3"/>
  <c r="AR525" i="3"/>
  <c r="AR524" i="3"/>
  <c r="AC20" i="32"/>
  <c r="AR37" i="3"/>
  <c r="AR578" i="3" s="1"/>
  <c r="AD176" i="28"/>
  <c r="AD12" i="28" s="1"/>
  <c r="AR536" i="3"/>
  <c r="AR526" i="3"/>
  <c r="AR472" i="3"/>
  <c r="AR474" i="3"/>
  <c r="AR58" i="3"/>
  <c r="J66" i="8"/>
  <c r="AQ28" i="32"/>
  <c r="G126" i="6"/>
  <c r="AO520" i="3"/>
  <c r="Z29" i="32" s="1"/>
  <c r="AO91" i="3"/>
  <c r="AP93" i="3"/>
  <c r="AP98" i="3" s="1"/>
  <c r="AO101" i="3"/>
  <c r="AN41" i="4"/>
  <c r="BN36" i="4"/>
  <c r="AL519" i="4"/>
  <c r="AR28" i="32"/>
  <c r="AR15" i="28"/>
  <c r="AR14" i="28"/>
  <c r="AL164" i="3"/>
  <c r="AL134" i="3"/>
  <c r="AL467" i="3"/>
  <c r="AL522" i="3"/>
  <c r="G127" i="6"/>
  <c r="J67" i="8"/>
  <c r="AM154" i="3"/>
  <c r="AM159" i="3"/>
  <c r="AM490" i="4"/>
  <c r="AM66" i="4"/>
  <c r="AM463" i="3"/>
  <c r="BQ459" i="3"/>
  <c r="AM466" i="3"/>
  <c r="AM482" i="3" s="1"/>
  <c r="AM506" i="3" s="1"/>
  <c r="AN459" i="3"/>
  <c r="AN162" i="3"/>
  <c r="AN454" i="3"/>
  <c r="AN444" i="3" s="1"/>
  <c r="O52" i="33"/>
  <c r="G110" i="6"/>
  <c r="J49" i="8"/>
  <c r="BT78" i="3"/>
  <c r="AS31" i="3"/>
  <c r="AS30" i="3"/>
  <c r="AD18" i="32"/>
  <c r="AD261" i="4"/>
  <c r="J55" i="8"/>
  <c r="S16" i="9"/>
  <c r="O48" i="33"/>
  <c r="G101" i="6"/>
  <c r="S37" i="9"/>
  <c r="S25" i="9"/>
  <c r="S34" i="9"/>
  <c r="BT533" i="3"/>
  <c r="AS14" i="32"/>
  <c r="AS15" i="32" s="1"/>
  <c r="BT77" i="3"/>
  <c r="BN474" i="4"/>
  <c r="BN477" i="4" s="1"/>
  <c r="AR7" i="4"/>
  <c r="BR471" i="3"/>
  <c r="BR498" i="3" s="1"/>
  <c r="G55" i="6"/>
  <c r="G53" i="6" s="1"/>
  <c r="BR500" i="3"/>
  <c r="Q30" i="8"/>
  <c r="D136" i="6"/>
  <c r="E136" i="6" s="1"/>
  <c r="O34" i="33"/>
  <c r="O35" i="33" s="1"/>
  <c r="AQ26" i="32"/>
  <c r="G16" i="6"/>
  <c r="BR475" i="3"/>
  <c r="J19" i="8"/>
  <c r="AL456" i="3"/>
  <c r="AL428" i="3"/>
  <c r="BR499" i="3"/>
  <c r="BR470" i="3"/>
  <c r="BR497" i="3" s="1"/>
  <c r="J17" i="8"/>
  <c r="J18" i="8" s="1"/>
  <c r="O32" i="33"/>
  <c r="AQ25" i="32"/>
  <c r="BR580" i="3"/>
  <c r="G128" i="6" s="1"/>
  <c r="BR473" i="3"/>
  <c r="J56" i="8"/>
  <c r="G102" i="6"/>
  <c r="AM217" i="3"/>
  <c r="AL209" i="3"/>
  <c r="AL279" i="3"/>
  <c r="AL282" i="3" s="1"/>
  <c r="AL304" i="3" s="1"/>
  <c r="G38" i="33"/>
  <c r="G39" i="33" s="1"/>
  <c r="L23" i="6"/>
  <c r="L80" i="6"/>
  <c r="AL482" i="3"/>
  <c r="AL506" i="3" s="1"/>
  <c r="AO450" i="3"/>
  <c r="BR450" i="3" s="1"/>
  <c r="BR160" i="3"/>
  <c r="AP160" i="3"/>
  <c r="AM428" i="3"/>
  <c r="BQ428" i="3" s="1"/>
  <c r="BQ444" i="3" s="1"/>
  <c r="AM456" i="3"/>
  <c r="AM71" i="4"/>
  <c r="BT37" i="3" l="1"/>
  <c r="BT578" i="3" s="1"/>
  <c r="BS471" i="3"/>
  <c r="BS498" i="3" s="1"/>
  <c r="AR26" i="32"/>
  <c r="AS15" i="28"/>
  <c r="AS24" i="32"/>
  <c r="BS580" i="3"/>
  <c r="BS500" i="3"/>
  <c r="AS472" i="3"/>
  <c r="AS473" i="3" s="1"/>
  <c r="AQ499" i="3"/>
  <c r="AR25" i="32"/>
  <c r="BS470" i="3"/>
  <c r="BS497" i="3" s="1"/>
  <c r="BS341" i="3"/>
  <c r="BS345" i="3" s="1"/>
  <c r="BS349" i="3" s="1"/>
  <c r="BS499" i="3"/>
  <c r="AS524" i="3"/>
  <c r="AQ500" i="3"/>
  <c r="AS525" i="3"/>
  <c r="AB25" i="32"/>
  <c r="AQ470" i="3"/>
  <c r="AQ497" i="3" s="1"/>
  <c r="AB26" i="32"/>
  <c r="AC14" i="28"/>
  <c r="AD20" i="32"/>
  <c r="AQ580" i="3"/>
  <c r="AQ471" i="3"/>
  <c r="AQ498" i="3" s="1"/>
  <c r="AS536" i="3"/>
  <c r="AS526" i="3"/>
  <c r="AE176" i="28"/>
  <c r="AE12" i="28" s="1"/>
  <c r="AE15" i="28" s="1"/>
  <c r="S26" i="9"/>
  <c r="S27" i="9" s="1"/>
  <c r="AS58" i="3"/>
  <c r="AS474" i="3"/>
  <c r="AS475" i="3" s="1"/>
  <c r="AS341" i="3"/>
  <c r="AS345" i="3" s="1"/>
  <c r="AS349" i="3" s="1"/>
  <c r="AS84" i="3"/>
  <c r="AS88" i="3" s="1"/>
  <c r="AS94" i="3" s="1"/>
  <c r="BN448" i="4"/>
  <c r="BN485" i="4"/>
  <c r="AS18" i="32"/>
  <c r="BT31" i="3"/>
  <c r="AN217" i="3"/>
  <c r="AN272" i="3" s="1"/>
  <c r="AN159" i="3"/>
  <c r="AN449" i="3" s="1"/>
  <c r="AN154" i="3"/>
  <c r="W30" i="32"/>
  <c r="L99" i="6"/>
  <c r="AL581" i="3"/>
  <c r="L129" i="6" s="1"/>
  <c r="AD185" i="4"/>
  <c r="BN7" i="4"/>
  <c r="G56" i="6"/>
  <c r="G18" i="6"/>
  <c r="BT30" i="3"/>
  <c r="BT476" i="3"/>
  <c r="BT501" i="3" s="1"/>
  <c r="AS17" i="32"/>
  <c r="BT81" i="3"/>
  <c r="AD294" i="4"/>
  <c r="AD263" i="4"/>
  <c r="BG261" i="4"/>
  <c r="AD300" i="4"/>
  <c r="AD408" i="4"/>
  <c r="AN463" i="3"/>
  <c r="AN466" i="3"/>
  <c r="AM164" i="3"/>
  <c r="AM134" i="3"/>
  <c r="L81" i="6"/>
  <c r="AL483" i="3"/>
  <c r="AL507" i="3" s="1"/>
  <c r="AN71" i="4"/>
  <c r="BL41" i="4"/>
  <c r="AN490" i="4"/>
  <c r="AN519" i="4" s="1"/>
  <c r="AN66" i="4"/>
  <c r="AR88" i="3"/>
  <c r="AR94" i="3" s="1"/>
  <c r="BS91" i="3"/>
  <c r="BS101" i="3"/>
  <c r="BT93" i="3"/>
  <c r="T23" i="9"/>
  <c r="BS520" i="3"/>
  <c r="AR29" i="32" s="1"/>
  <c r="AO162" i="3"/>
  <c r="AO454" i="3"/>
  <c r="AO444" i="3" s="1"/>
  <c r="AO459" i="3"/>
  <c r="AC28" i="32"/>
  <c r="AR345" i="3"/>
  <c r="AR349" i="3" s="1"/>
  <c r="F166" i="6"/>
  <c r="AM272" i="3"/>
  <c r="BQ217" i="3"/>
  <c r="BQ209" i="3" s="1"/>
  <c r="BQ219" i="3" s="1"/>
  <c r="AM279" i="3"/>
  <c r="AM209" i="3"/>
  <c r="O33" i="33"/>
  <c r="O38" i="33"/>
  <c r="O21" i="33"/>
  <c r="G19" i="6"/>
  <c r="G17" i="6"/>
  <c r="BQ463" i="3"/>
  <c r="BQ466" i="3"/>
  <c r="BT38" i="3"/>
  <c r="AP520" i="3"/>
  <c r="AA29" i="32" s="1"/>
  <c r="AQ93" i="3"/>
  <c r="AQ98" i="3" s="1"/>
  <c r="AP91" i="3"/>
  <c r="AP101" i="3"/>
  <c r="AO41" i="4"/>
  <c r="AR475" i="3"/>
  <c r="AR500" i="3"/>
  <c r="AC26" i="32"/>
  <c r="AR471" i="3"/>
  <c r="AR498" i="3" s="1"/>
  <c r="S19" i="9"/>
  <c r="S21" i="9"/>
  <c r="AD28" i="32"/>
  <c r="AM516" i="4"/>
  <c r="BK516" i="4"/>
  <c r="BK519" i="4"/>
  <c r="J20" i="8"/>
  <c r="J34" i="8"/>
  <c r="AR73" i="4"/>
  <c r="BQ159" i="3"/>
  <c r="BQ162" i="3" s="1"/>
  <c r="BQ154" i="3" s="1"/>
  <c r="BQ164" i="3" s="1"/>
  <c r="AM449" i="3"/>
  <c r="BQ449" i="3" s="1"/>
  <c r="BQ454" i="3" s="1"/>
  <c r="AQ73" i="4"/>
  <c r="AQ160" i="3"/>
  <c r="AP450" i="3"/>
  <c r="L85" i="6"/>
  <c r="L87" i="6" s="1"/>
  <c r="L91" i="6" s="1"/>
  <c r="AL49" i="3"/>
  <c r="AL574" i="3" s="1"/>
  <c r="L122" i="6" s="1"/>
  <c r="AL276" i="3"/>
  <c r="AL55" i="3"/>
  <c r="AD15" i="28"/>
  <c r="AD14" i="28"/>
  <c r="AL219" i="3"/>
  <c r="AL189" i="3"/>
  <c r="AL244" i="3" s="1"/>
  <c r="AL264" i="3" s="1"/>
  <c r="AL274" i="3" s="1"/>
  <c r="Q28" i="8"/>
  <c r="Q31" i="8"/>
  <c r="AN456" i="3"/>
  <c r="AN428" i="3"/>
  <c r="AM467" i="3"/>
  <c r="AM483" i="3" s="1"/>
  <c r="AM507" i="3" s="1"/>
  <c r="AM522" i="3"/>
  <c r="T19" i="9"/>
  <c r="T21" i="9"/>
  <c r="AR580" i="3"/>
  <c r="AC25" i="32"/>
  <c r="AR499" i="3"/>
  <c r="AR470" i="3"/>
  <c r="AR497" i="3" s="1"/>
  <c r="AR473" i="3"/>
  <c r="J53" i="8"/>
  <c r="AM519" i="4"/>
  <c r="AS28" i="32"/>
  <c r="AS499" i="3" l="1"/>
  <c r="AS580" i="3"/>
  <c r="AD25" i="32"/>
  <c r="AS470" i="3"/>
  <c r="AS497" i="3" s="1"/>
  <c r="AE14" i="28"/>
  <c r="AS471" i="3"/>
  <c r="AS498" i="3" s="1"/>
  <c r="AD26" i="32"/>
  <c r="S28" i="9"/>
  <c r="BT94" i="3"/>
  <c r="AS500" i="3"/>
  <c r="BT341" i="3"/>
  <c r="BT345" i="3" s="1"/>
  <c r="BT349" i="3" s="1"/>
  <c r="BQ456" i="3"/>
  <c r="F79" i="6"/>
  <c r="P42" i="8"/>
  <c r="AN467" i="3"/>
  <c r="AN483" i="3" s="1"/>
  <c r="AN507" i="3" s="1"/>
  <c r="BQ272" i="3"/>
  <c r="BQ264" i="3" s="1"/>
  <c r="BQ274" i="3" s="1"/>
  <c r="AM307" i="3"/>
  <c r="T30" i="9"/>
  <c r="T34" i="9"/>
  <c r="T25" i="9"/>
  <c r="T26" i="9" s="1"/>
  <c r="T37" i="9"/>
  <c r="AO71" i="4"/>
  <c r="AO66" i="4"/>
  <c r="AO490" i="4"/>
  <c r="AR160" i="3"/>
  <c r="AQ450" i="3"/>
  <c r="BS450" i="3" s="1"/>
  <c r="BS160" i="3"/>
  <c r="AP454" i="3"/>
  <c r="AP444" i="3" s="1"/>
  <c r="AP162" i="3"/>
  <c r="AP459" i="3"/>
  <c r="P43" i="8"/>
  <c r="F80" i="6"/>
  <c r="BQ482" i="3"/>
  <c r="BQ506" i="3" s="1"/>
  <c r="N40" i="33"/>
  <c r="N22" i="33" s="1"/>
  <c r="F23" i="6"/>
  <c r="I29" i="8"/>
  <c r="I36" i="8" s="1"/>
  <c r="AO456" i="3"/>
  <c r="AO428" i="3"/>
  <c r="BR428" i="3" s="1"/>
  <c r="BR444" i="3" s="1"/>
  <c r="BQ134" i="3"/>
  <c r="BG294" i="4"/>
  <c r="BG408" i="4"/>
  <c r="AN164" i="3"/>
  <c r="AN134" i="3"/>
  <c r="X30" i="32"/>
  <c r="AM581" i="3"/>
  <c r="AL350" i="3"/>
  <c r="AK520" i="4"/>
  <c r="AL523" i="3"/>
  <c r="AL521" i="3"/>
  <c r="AL484" i="3"/>
  <c r="BQ467" i="3"/>
  <c r="BQ522" i="3"/>
  <c r="AM189" i="3"/>
  <c r="BQ189" i="3" s="1"/>
  <c r="AM219" i="3"/>
  <c r="AO159" i="3"/>
  <c r="AO154" i="3"/>
  <c r="BL490" i="4"/>
  <c r="AN516" i="4"/>
  <c r="AD303" i="4"/>
  <c r="AD302" i="4"/>
  <c r="BG263" i="4"/>
  <c r="BG410" i="4" s="1"/>
  <c r="AD410" i="4"/>
  <c r="BN73" i="4"/>
  <c r="AD444" i="4"/>
  <c r="AD437" i="4"/>
  <c r="AD443" i="4"/>
  <c r="AD68" i="4" s="1"/>
  <c r="AD70" i="4" s="1"/>
  <c r="BT472" i="3"/>
  <c r="BT524" i="3"/>
  <c r="BT84" i="3"/>
  <c r="BT526" i="3"/>
  <c r="AT176" i="28"/>
  <c r="AT12" i="28" s="1"/>
  <c r="BT536" i="3"/>
  <c r="AS20" i="32"/>
  <c r="BT525" i="3"/>
  <c r="U16" i="9" s="1"/>
  <c r="BT58" i="3"/>
  <c r="BT474" i="3"/>
  <c r="BR459" i="3"/>
  <c r="AO463" i="3"/>
  <c r="AO466" i="3"/>
  <c r="AO482" i="3" s="1"/>
  <c r="AO506" i="3" s="1"/>
  <c r="BT98" i="3"/>
  <c r="BT520" i="3" s="1"/>
  <c r="AS29" i="32" s="1"/>
  <c r="AN522" i="3"/>
  <c r="AL575" i="3"/>
  <c r="AL577" i="3" s="1"/>
  <c r="L125" i="6" s="1"/>
  <c r="L123" i="6"/>
  <c r="AQ520" i="3"/>
  <c r="AB29" i="32" s="1"/>
  <c r="AQ91" i="3"/>
  <c r="AQ101" i="3"/>
  <c r="AP41" i="4"/>
  <c r="AP71" i="4" s="1"/>
  <c r="AR93" i="3"/>
  <c r="AR98" i="3" s="1"/>
  <c r="BQ279" i="3"/>
  <c r="BQ282" i="3" s="1"/>
  <c r="BQ304" i="3" s="1"/>
  <c r="AM282" i="3"/>
  <c r="AM304" i="3" s="1"/>
  <c r="BL66" i="4"/>
  <c r="G167" i="6"/>
  <c r="BL71" i="4"/>
  <c r="AN482" i="3"/>
  <c r="AN506" i="3" s="1"/>
  <c r="AD221" i="4"/>
  <c r="AD214" i="4"/>
  <c r="AD187" i="4"/>
  <c r="AD222" i="4" s="1"/>
  <c r="BG185" i="4"/>
  <c r="AD219" i="4"/>
  <c r="AD482" i="4"/>
  <c r="AN209" i="3"/>
  <c r="AN279" i="3"/>
  <c r="AN282" i="3" s="1"/>
  <c r="AN304" i="3" s="1"/>
  <c r="AO217" i="3"/>
  <c r="AD223" i="4"/>
  <c r="AM244" i="3" l="1"/>
  <c r="AD445" i="4"/>
  <c r="AD446" i="4"/>
  <c r="BL516" i="4"/>
  <c r="BL519" i="4"/>
  <c r="N41" i="33"/>
  <c r="N23" i="33" s="1"/>
  <c r="F81" i="6"/>
  <c r="C138" i="6"/>
  <c r="P44" i="8"/>
  <c r="I28" i="8"/>
  <c r="I35" i="8" s="1"/>
  <c r="BQ483" i="3"/>
  <c r="BQ507" i="3" s="1"/>
  <c r="AP466" i="3"/>
  <c r="AP463" i="3"/>
  <c r="BG187" i="4"/>
  <c r="BG214" i="4"/>
  <c r="BG221" i="4"/>
  <c r="BG220" i="4"/>
  <c r="BG446" i="4"/>
  <c r="BG445" i="4"/>
  <c r="AO516" i="4"/>
  <c r="T28" i="9"/>
  <c r="T27" i="9"/>
  <c r="BT101" i="3"/>
  <c r="BT91" i="3"/>
  <c r="U23" i="9"/>
  <c r="AN49" i="3"/>
  <c r="AN574" i="3" s="1"/>
  <c r="Y30" i="32"/>
  <c r="AN581" i="3"/>
  <c r="AD512" i="4"/>
  <c r="AD485" i="4"/>
  <c r="AD73" i="4" s="1"/>
  <c r="BG482" i="4"/>
  <c r="BR463" i="3"/>
  <c r="BR466" i="3"/>
  <c r="BT500" i="3"/>
  <c r="BT475" i="3"/>
  <c r="BT471" i="3"/>
  <c r="BT498" i="3" s="1"/>
  <c r="AS26" i="32"/>
  <c r="F99" i="6"/>
  <c r="AP30" i="32"/>
  <c r="I39" i="8"/>
  <c r="I52" i="8"/>
  <c r="N47" i="33"/>
  <c r="BQ581" i="3"/>
  <c r="F129" i="6" s="1"/>
  <c r="BG437" i="4"/>
  <c r="BG444" i="4"/>
  <c r="BG443" i="4"/>
  <c r="AD220" i="4"/>
  <c r="BG219" i="4"/>
  <c r="AM49" i="3"/>
  <c r="AM574" i="3" s="1"/>
  <c r="AM276" i="3"/>
  <c r="AM575" i="3" s="1"/>
  <c r="AM577" i="3" s="1"/>
  <c r="AM55" i="3"/>
  <c r="AT15" i="28"/>
  <c r="AT14" i="28"/>
  <c r="AL351" i="3"/>
  <c r="P48" i="8"/>
  <c r="P50" i="8" s="1"/>
  <c r="F41" i="33"/>
  <c r="F43" i="33" s="1"/>
  <c r="BQ49" i="3"/>
  <c r="F85" i="6"/>
  <c r="F87" i="6" s="1"/>
  <c r="U18" i="9"/>
  <c r="AO134" i="3"/>
  <c r="AO164" i="3"/>
  <c r="BQ244" i="3"/>
  <c r="AM264" i="3"/>
  <c r="AM274" i="3" s="1"/>
  <c r="AP154" i="3"/>
  <c r="AP159" i="3"/>
  <c r="AP449" i="3" s="1"/>
  <c r="AO272" i="3"/>
  <c r="BR272" i="3" s="1"/>
  <c r="BR264" i="3" s="1"/>
  <c r="BR274" i="3" s="1"/>
  <c r="BR217" i="3"/>
  <c r="BR209" i="3" s="1"/>
  <c r="BR219" i="3" s="1"/>
  <c r="AO209" i="3"/>
  <c r="AO279" i="3"/>
  <c r="AP217" i="3"/>
  <c r="AR520" i="3"/>
  <c r="AC29" i="32" s="1"/>
  <c r="AR91" i="3"/>
  <c r="AR101" i="3"/>
  <c r="AS93" i="3"/>
  <c r="AS98" i="3" s="1"/>
  <c r="AQ41" i="4"/>
  <c r="V16" i="9"/>
  <c r="BT88" i="3"/>
  <c r="AO449" i="3"/>
  <c r="BR449" i="3" s="1"/>
  <c r="BR454" i="3" s="1"/>
  <c r="BR159" i="3"/>
  <c r="BR162" i="3" s="1"/>
  <c r="BR154" i="3" s="1"/>
  <c r="BR164" i="3" s="1"/>
  <c r="AP456" i="3"/>
  <c r="AP428" i="3"/>
  <c r="AS160" i="3"/>
  <c r="AR450" i="3"/>
  <c r="F167" i="6"/>
  <c r="G168" i="6"/>
  <c r="F168" i="6" s="1"/>
  <c r="AP490" i="4"/>
  <c r="AP66" i="4"/>
  <c r="BM41" i="4"/>
  <c r="AN189" i="3"/>
  <c r="AN244" i="3" s="1"/>
  <c r="AN264" i="3" s="1"/>
  <c r="AN274" i="3" s="1"/>
  <c r="AN219" i="3"/>
  <c r="AQ162" i="3"/>
  <c r="AQ454" i="3"/>
  <c r="AQ444" i="3" s="1"/>
  <c r="AQ459" i="3"/>
  <c r="AO522" i="3"/>
  <c r="AO467" i="3"/>
  <c r="AO483" i="3" s="1"/>
  <c r="AO507" i="3" s="1"/>
  <c r="BT499" i="3"/>
  <c r="BT473" i="3"/>
  <c r="BT580" i="3"/>
  <c r="BT470" i="3"/>
  <c r="BT497" i="3" s="1"/>
  <c r="AS25" i="32"/>
  <c r="AO519" i="4"/>
  <c r="AN307" i="3"/>
  <c r="BQ307" i="3"/>
  <c r="BQ55" i="3" s="1"/>
  <c r="AO307" i="3" l="1"/>
  <c r="BM490" i="4"/>
  <c r="AP516" i="4"/>
  <c r="AQ159" i="3"/>
  <c r="AQ154" i="3"/>
  <c r="U25" i="9"/>
  <c r="U26" i="9" s="1"/>
  <c r="U34" i="9"/>
  <c r="U37" i="9"/>
  <c r="P51" i="8"/>
  <c r="P53" i="8" s="1"/>
  <c r="P54" i="8" s="1"/>
  <c r="F88" i="6"/>
  <c r="F90" i="6" s="1"/>
  <c r="F91" i="6" s="1"/>
  <c r="F44" i="33"/>
  <c r="F46" i="33" s="1"/>
  <c r="F47" i="33" s="1"/>
  <c r="AR162" i="3"/>
  <c r="AR454" i="3"/>
  <c r="AR444" i="3" s="1"/>
  <c r="AR459" i="3"/>
  <c r="BQ574" i="3"/>
  <c r="R36" i="9"/>
  <c r="R38" i="9" s="1"/>
  <c r="O40" i="33"/>
  <c r="O22" i="33" s="1"/>
  <c r="BR482" i="3"/>
  <c r="BR506" i="3" s="1"/>
  <c r="J29" i="8"/>
  <c r="J36" i="8" s="1"/>
  <c r="Q43" i="8"/>
  <c r="G23" i="6"/>
  <c r="G80" i="6"/>
  <c r="BG223" i="4"/>
  <c r="BG222" i="4"/>
  <c r="BR307" i="3"/>
  <c r="BQ276" i="3"/>
  <c r="BR467" i="3"/>
  <c r="BR522" i="3"/>
  <c r="AP522" i="3"/>
  <c r="AP467" i="3"/>
  <c r="AP483" i="3" s="1"/>
  <c r="AP507" i="3" s="1"/>
  <c r="AQ428" i="3"/>
  <c r="BS428" i="3" s="1"/>
  <c r="BS444" i="3" s="1"/>
  <c r="AQ456" i="3"/>
  <c r="AP272" i="3"/>
  <c r="AP307" i="3" s="1"/>
  <c r="AP279" i="3"/>
  <c r="AP282" i="3" s="1"/>
  <c r="AP304" i="3" s="1"/>
  <c r="AQ217" i="3"/>
  <c r="AP209" i="3"/>
  <c r="AP134" i="3"/>
  <c r="AP164" i="3"/>
  <c r="AS520" i="3"/>
  <c r="AD29" i="32" s="1"/>
  <c r="AR41" i="4"/>
  <c r="AT71" i="4" s="1"/>
  <c r="AS91" i="3"/>
  <c r="AS101" i="3"/>
  <c r="BR279" i="3"/>
  <c r="BR282" i="3" s="1"/>
  <c r="BR304" i="3" s="1"/>
  <c r="AO282" i="3"/>
  <c r="AO304" i="3" s="1"/>
  <c r="Z30" i="32"/>
  <c r="AO581" i="3"/>
  <c r="BM66" i="4"/>
  <c r="BM71" i="4"/>
  <c r="BT160" i="3"/>
  <c r="AS450" i="3"/>
  <c r="BT450" i="3" s="1"/>
  <c r="W16" i="9"/>
  <c r="V18" i="9"/>
  <c r="BR134" i="3"/>
  <c r="BG69" i="4"/>
  <c r="BG68" i="4"/>
  <c r="BG512" i="4"/>
  <c r="BG485" i="4"/>
  <c r="BG519" i="4" s="1"/>
  <c r="AN55" i="3"/>
  <c r="AN350" i="3" s="1"/>
  <c r="AP482" i="3"/>
  <c r="AP506" i="3" s="1"/>
  <c r="BR456" i="3"/>
  <c r="Q42" i="8"/>
  <c r="G79" i="6"/>
  <c r="I137" i="6"/>
  <c r="BQ521" i="3"/>
  <c r="BQ523" i="3"/>
  <c r="AL339" i="3"/>
  <c r="AL359" i="3"/>
  <c r="AL4" i="3" s="1"/>
  <c r="AP519" i="4"/>
  <c r="AO189" i="3"/>
  <c r="BR189" i="3" s="1"/>
  <c r="AO219" i="3"/>
  <c r="BS459" i="3"/>
  <c r="AQ466" i="3"/>
  <c r="AQ482" i="3" s="1"/>
  <c r="AQ506" i="3" s="1"/>
  <c r="AQ463" i="3"/>
  <c r="AQ522" i="3" s="1"/>
  <c r="AQ71" i="4"/>
  <c r="AQ490" i="4"/>
  <c r="AQ519" i="4" s="1"/>
  <c r="AQ66" i="4"/>
  <c r="U30" i="9"/>
  <c r="U19" i="9"/>
  <c r="U21" i="9"/>
  <c r="V21" i="9" s="1"/>
  <c r="W21" i="9" s="1"/>
  <c r="X21" i="9" s="1"/>
  <c r="Y21" i="9" s="1"/>
  <c r="Z21" i="9" s="1"/>
  <c r="AA21" i="9" s="1"/>
  <c r="AL520" i="4"/>
  <c r="BK520" i="4" s="1"/>
  <c r="AM521" i="3"/>
  <c r="AM523" i="3"/>
  <c r="AM484" i="3"/>
  <c r="BQ484" i="3" s="1"/>
  <c r="C137" i="6" s="1"/>
  <c r="AM350" i="3"/>
  <c r="AN276" i="3"/>
  <c r="AN575" i="3" s="1"/>
  <c r="AN577" i="3" s="1"/>
  <c r="BG73" i="4" l="1"/>
  <c r="AO244" i="3"/>
  <c r="AO264" i="3" s="1"/>
  <c r="AO274" i="3" s="1"/>
  <c r="AB30" i="32"/>
  <c r="AQ581" i="3"/>
  <c r="AN351" i="3"/>
  <c r="BR244" i="3"/>
  <c r="AS459" i="3"/>
  <c r="AS454" i="3"/>
  <c r="AS444" i="3" s="1"/>
  <c r="AS162" i="3"/>
  <c r="AP189" i="3"/>
  <c r="AP244" i="3" s="1"/>
  <c r="AP264" i="3" s="1"/>
  <c r="AP274" i="3" s="1"/>
  <c r="AP219" i="3"/>
  <c r="AQ272" i="3"/>
  <c r="BS272" i="3" s="1"/>
  <c r="BS264" i="3" s="1"/>
  <c r="BS274" i="3" s="1"/>
  <c r="BS217" i="3"/>
  <c r="BS209" i="3" s="1"/>
  <c r="BS219" i="3" s="1"/>
  <c r="AQ279" i="3"/>
  <c r="AQ209" i="3"/>
  <c r="AR217" i="3"/>
  <c r="AR272" i="3" s="1"/>
  <c r="V19" i="9"/>
  <c r="V20" i="9"/>
  <c r="AR71" i="4"/>
  <c r="AR66" i="4"/>
  <c r="AR490" i="4"/>
  <c r="AR519" i="4" s="1"/>
  <c r="BN41" i="4"/>
  <c r="AP49" i="3"/>
  <c r="AP574" i="3" s="1"/>
  <c r="AP276" i="3"/>
  <c r="AP575" i="3" s="1"/>
  <c r="AP577" i="3" s="1"/>
  <c r="AP55" i="3"/>
  <c r="Q44" i="8"/>
  <c r="O41" i="33"/>
  <c r="O23" i="33" s="1"/>
  <c r="G81" i="6"/>
  <c r="BR483" i="3"/>
  <c r="BR507" i="3" s="1"/>
  <c r="J28" i="8"/>
  <c r="J35" i="8" s="1"/>
  <c r="D138" i="6"/>
  <c r="E138" i="6" s="1"/>
  <c r="J138" i="6" s="1"/>
  <c r="AR463" i="3"/>
  <c r="AR466" i="3"/>
  <c r="AM351" i="3"/>
  <c r="BQ350" i="3"/>
  <c r="BQ351" i="3" s="1"/>
  <c r="W18" i="9"/>
  <c r="X16" i="9"/>
  <c r="AA30" i="32"/>
  <c r="AP581" i="3"/>
  <c r="F123" i="6"/>
  <c r="BQ575" i="3"/>
  <c r="BQ577" i="3" s="1"/>
  <c r="F125" i="6" s="1"/>
  <c r="AR154" i="3"/>
  <c r="AR159" i="3"/>
  <c r="AR449" i="3" s="1"/>
  <c r="J52" i="8"/>
  <c r="AQ30" i="32"/>
  <c r="G99" i="6"/>
  <c r="O47" i="33"/>
  <c r="J39" i="8"/>
  <c r="BR581" i="3"/>
  <c r="G129" i="6" s="1"/>
  <c r="AQ516" i="4"/>
  <c r="AO55" i="3"/>
  <c r="AO276" i="3"/>
  <c r="AO575" i="3" s="1"/>
  <c r="AO577" i="3" s="1"/>
  <c r="AO49" i="3"/>
  <c r="AO574" i="3" s="1"/>
  <c r="G44" i="33"/>
  <c r="G46" i="33" s="1"/>
  <c r="G88" i="6"/>
  <c r="G90" i="6" s="1"/>
  <c r="Q51" i="8"/>
  <c r="Q53" i="8" s="1"/>
  <c r="AQ134" i="3"/>
  <c r="AQ164" i="3"/>
  <c r="U28" i="9"/>
  <c r="U27" i="9"/>
  <c r="AQ467" i="3"/>
  <c r="AQ483" i="3" s="1"/>
  <c r="AQ507" i="3" s="1"/>
  <c r="AM520" i="4"/>
  <c r="AN521" i="3"/>
  <c r="AN523" i="3"/>
  <c r="AN484" i="3"/>
  <c r="BS466" i="3"/>
  <c r="BS463" i="3"/>
  <c r="BR55" i="3"/>
  <c r="BR276" i="3"/>
  <c r="G85" i="6"/>
  <c r="G87" i="6" s="1"/>
  <c r="Q48" i="8"/>
  <c r="Q50" i="8" s="1"/>
  <c r="BR49" i="3"/>
  <c r="G41" i="33"/>
  <c r="G43" i="33" s="1"/>
  <c r="G47" i="33" s="1"/>
  <c r="N54" i="33"/>
  <c r="F122" i="6"/>
  <c r="I65" i="8"/>
  <c r="AR428" i="3"/>
  <c r="AR456" i="3"/>
  <c r="BS159" i="3"/>
  <c r="BS162" i="3" s="1"/>
  <c r="BS154" i="3" s="1"/>
  <c r="BS164" i="3" s="1"/>
  <c r="AQ449" i="3"/>
  <c r="BS449" i="3" s="1"/>
  <c r="BS454" i="3" s="1"/>
  <c r="BS456" i="3" s="1"/>
  <c r="BM516" i="4"/>
  <c r="BM519" i="4"/>
  <c r="G136" i="6"/>
  <c r="AQ307" i="3" l="1"/>
  <c r="BS307" i="3" s="1"/>
  <c r="G91" i="6"/>
  <c r="Q54" i="8"/>
  <c r="J136" i="6"/>
  <c r="BS467" i="3"/>
  <c r="BS483" i="3" s="1"/>
  <c r="BS507" i="3" s="1"/>
  <c r="BS522" i="3"/>
  <c r="BS134" i="3"/>
  <c r="AN520" i="4"/>
  <c r="BL520" i="4" s="1"/>
  <c r="AP350" i="3"/>
  <c r="AO523" i="3"/>
  <c r="AO521" i="3"/>
  <c r="AO484" i="3"/>
  <c r="BR484" i="3" s="1"/>
  <c r="D137" i="6" s="1"/>
  <c r="E137" i="6" s="1"/>
  <c r="BN66" i="4"/>
  <c r="BN71" i="4"/>
  <c r="G169" i="6" s="1"/>
  <c r="AR522" i="3"/>
  <c r="AR467" i="3"/>
  <c r="AR483" i="3" s="1"/>
  <c r="AR507" i="3" s="1"/>
  <c r="AQ219" i="3"/>
  <c r="AQ189" i="3"/>
  <c r="BS189" i="3" s="1"/>
  <c r="AS154" i="3"/>
  <c r="AS159" i="3"/>
  <c r="AN339" i="3"/>
  <c r="AN359" i="3"/>
  <c r="AN4" i="3" s="1"/>
  <c r="X18" i="9"/>
  <c r="Y16" i="9"/>
  <c r="N64" i="8"/>
  <c r="AO520" i="4"/>
  <c r="AP523" i="3"/>
  <c r="AP521" i="3"/>
  <c r="AP484" i="3"/>
  <c r="BS279" i="3"/>
  <c r="BS282" i="3" s="1"/>
  <c r="BS304" i="3" s="1"/>
  <c r="AQ282" i="3"/>
  <c r="AQ304" i="3" s="1"/>
  <c r="AS456" i="3"/>
  <c r="AS428" i="3"/>
  <c r="BT428" i="3" s="1"/>
  <c r="BT444" i="3" s="1"/>
  <c r="BS482" i="3"/>
  <c r="BS506" i="3" s="1"/>
  <c r="AR516" i="4"/>
  <c r="BN490" i="4"/>
  <c r="G123" i="6"/>
  <c r="BR575" i="3"/>
  <c r="BR577" i="3" s="1"/>
  <c r="G125" i="6" s="1"/>
  <c r="AR164" i="3"/>
  <c r="AR134" i="3"/>
  <c r="W19" i="9"/>
  <c r="W20" i="9"/>
  <c r="W22" i="9" s="1"/>
  <c r="W52" i="9" s="1"/>
  <c r="W54" i="9" s="1"/>
  <c r="AS463" i="3"/>
  <c r="BT459" i="3"/>
  <c r="AS466" i="3"/>
  <c r="AS482" i="3" s="1"/>
  <c r="AS506" i="3" s="1"/>
  <c r="AM359" i="3"/>
  <c r="AM4" i="3" s="1"/>
  <c r="AM339" i="3"/>
  <c r="BR574" i="3"/>
  <c r="S36" i="9"/>
  <c r="S38" i="9" s="1"/>
  <c r="AR482" i="3"/>
  <c r="AR506" i="3" s="1"/>
  <c r="AS217" i="3"/>
  <c r="AS272" i="3" s="1"/>
  <c r="AR209" i="3"/>
  <c r="AR279" i="3"/>
  <c r="AR282" i="3" s="1"/>
  <c r="AR304" i="3" s="1"/>
  <c r="BR521" i="3"/>
  <c r="BR523" i="3"/>
  <c r="AO350" i="3"/>
  <c r="BQ359" i="3"/>
  <c r="BQ339" i="3"/>
  <c r="V22" i="9"/>
  <c r="V52" i="9" s="1"/>
  <c r="V54" i="9" s="1"/>
  <c r="V23" i="9"/>
  <c r="AR307" i="3" l="1"/>
  <c r="AS307" i="3" s="1"/>
  <c r="BT307" i="3" s="1"/>
  <c r="BT272" i="3"/>
  <c r="BT264" i="3" s="1"/>
  <c r="BT274" i="3" s="1"/>
  <c r="AS522" i="3"/>
  <c r="AS467" i="3"/>
  <c r="AS483" i="3" s="1"/>
  <c r="AS507" i="3" s="1"/>
  <c r="BN516" i="4"/>
  <c r="BN519" i="4"/>
  <c r="AQ55" i="3"/>
  <c r="AQ276" i="3"/>
  <c r="AQ575" i="3" s="1"/>
  <c r="AQ577" i="3" s="1"/>
  <c r="AQ49" i="3"/>
  <c r="AQ574" i="3" s="1"/>
  <c r="AR30" i="32"/>
  <c r="BS581" i="3"/>
  <c r="AO351" i="3"/>
  <c r="BR350" i="3"/>
  <c r="BR351" i="3" s="1"/>
  <c r="BS49" i="3"/>
  <c r="BS276" i="3"/>
  <c r="BS575" i="3" s="1"/>
  <c r="BS577" i="3" s="1"/>
  <c r="BS55" i="3"/>
  <c r="V34" i="9"/>
  <c r="V25" i="9"/>
  <c r="V26" i="9" s="1"/>
  <c r="W23" i="9"/>
  <c r="V37" i="9"/>
  <c r="V30" i="9"/>
  <c r="AR189" i="3"/>
  <c r="AR244" i="3" s="1"/>
  <c r="AR264" i="3" s="1"/>
  <c r="AR274" i="3" s="1"/>
  <c r="AR219" i="3"/>
  <c r="G122" i="6"/>
  <c r="J65" i="8"/>
  <c r="O54" i="33"/>
  <c r="BT217" i="3"/>
  <c r="BT209" i="3" s="1"/>
  <c r="BT219" i="3" s="1"/>
  <c r="AS279" i="3"/>
  <c r="AS209" i="3"/>
  <c r="BT159" i="3"/>
  <c r="BT162" i="3" s="1"/>
  <c r="BT154" i="3" s="1"/>
  <c r="BT164" i="3" s="1"/>
  <c r="AS449" i="3"/>
  <c r="BT449" i="3" s="1"/>
  <c r="BT454" i="3" s="1"/>
  <c r="BT456" i="3" s="1"/>
  <c r="AC30" i="32"/>
  <c r="AR581" i="3"/>
  <c r="AP351" i="3"/>
  <c r="AR49" i="3"/>
  <c r="AR574" i="3" s="1"/>
  <c r="AR276" i="3"/>
  <c r="AR575" i="3" s="1"/>
  <c r="AR577" i="3" s="1"/>
  <c r="AR55" i="3"/>
  <c r="X19" i="9"/>
  <c r="X20" i="9"/>
  <c r="X22" i="9" s="1"/>
  <c r="X52" i="9" s="1"/>
  <c r="X54" i="9" s="1"/>
  <c r="AQ244" i="3"/>
  <c r="BT463" i="3"/>
  <c r="BT466" i="3"/>
  <c r="Y18" i="9"/>
  <c r="Z16" i="9"/>
  <c r="AS164" i="3"/>
  <c r="AS134" i="3"/>
  <c r="K12" i="33"/>
  <c r="C180" i="28"/>
  <c r="AX14" i="28" s="1"/>
  <c r="AX16" i="28" s="1"/>
  <c r="N68" i="8"/>
  <c r="BT467" i="3" l="1"/>
  <c r="BT483" i="3" s="1"/>
  <c r="BT507" i="3" s="1"/>
  <c r="BT522" i="3"/>
  <c r="BT279" i="3"/>
  <c r="BT282" i="3" s="1"/>
  <c r="BT304" i="3" s="1"/>
  <c r="AS282" i="3"/>
  <c r="AS304" i="3" s="1"/>
  <c r="T36" i="9"/>
  <c r="T38" i="9" s="1"/>
  <c r="BS574" i="3"/>
  <c r="AD30" i="32"/>
  <c r="AS581" i="3"/>
  <c r="BT134" i="3"/>
  <c r="AQ264" i="3"/>
  <c r="AQ274" i="3" s="1"/>
  <c r="BS244" i="3"/>
  <c r="BS523" i="3"/>
  <c r="BS521" i="3"/>
  <c r="AQ520" i="4"/>
  <c r="AR521" i="3"/>
  <c r="AR523" i="3"/>
  <c r="AR484" i="3"/>
  <c r="Z18" i="9"/>
  <c r="AA16" i="9"/>
  <c r="Y19" i="9"/>
  <c r="Y20" i="9"/>
  <c r="Y22" i="9" s="1"/>
  <c r="Y52" i="9" s="1"/>
  <c r="Y54" i="9" s="1"/>
  <c r="W34" i="9"/>
  <c r="W25" i="9"/>
  <c r="W26" i="9" s="1"/>
  <c r="X23" i="9"/>
  <c r="W37" i="9"/>
  <c r="W30" i="9"/>
  <c r="BR339" i="3"/>
  <c r="BR359" i="3"/>
  <c r="AP520" i="4"/>
  <c r="BM520" i="4" s="1"/>
  <c r="AR350" i="3"/>
  <c r="AQ523" i="3"/>
  <c r="AQ521" i="3"/>
  <c r="AQ484" i="3"/>
  <c r="BS484" i="3" s="1"/>
  <c r="AQ350" i="3"/>
  <c r="BT482" i="3"/>
  <c r="BT506" i="3" s="1"/>
  <c r="AP339" i="3"/>
  <c r="AP359" i="3"/>
  <c r="AP4" i="3" s="1"/>
  <c r="AS189" i="3"/>
  <c r="BT189" i="3" s="1"/>
  <c r="AS219" i="3"/>
  <c r="V27" i="9"/>
  <c r="V28" i="9"/>
  <c r="AO359" i="3"/>
  <c r="AO4" i="3" s="1"/>
  <c r="AO339" i="3"/>
  <c r="AS49" i="3" l="1"/>
  <c r="AS574" i="3" s="1"/>
  <c r="AS55" i="3"/>
  <c r="AS276" i="3"/>
  <c r="AS575" i="3" s="1"/>
  <c r="AS577" i="3" s="1"/>
  <c r="X37" i="9"/>
  <c r="X25" i="9"/>
  <c r="X26" i="9" s="1"/>
  <c r="Y23" i="9"/>
  <c r="X34" i="9"/>
  <c r="X30" i="9"/>
  <c r="AA18" i="9"/>
  <c r="AD16" i="9"/>
  <c r="BT49" i="3"/>
  <c r="BT55" i="3"/>
  <c r="BT276" i="3"/>
  <c r="BT575" i="3" s="1"/>
  <c r="BT577" i="3" s="1"/>
  <c r="AQ351" i="3"/>
  <c r="BS350" i="3"/>
  <c r="BS351" i="3" s="1"/>
  <c r="AS244" i="3"/>
  <c r="AR351" i="3"/>
  <c r="W28" i="9"/>
  <c r="W27" i="9"/>
  <c r="Z19" i="9"/>
  <c r="Z20" i="9"/>
  <c r="Z22" i="9" s="1"/>
  <c r="Z52" i="9" s="1"/>
  <c r="Z54" i="9" s="1"/>
  <c r="AS30" i="32"/>
  <c r="K138" i="6"/>
  <c r="P64" i="8" s="1"/>
  <c r="BT581" i="3"/>
  <c r="AR339" i="3" l="1"/>
  <c r="AR359" i="3"/>
  <c r="AR4" i="3" s="1"/>
  <c r="Y25" i="9"/>
  <c r="Y26" i="9" s="1"/>
  <c r="Y34" i="9"/>
  <c r="Y37" i="9"/>
  <c r="Z23" i="9"/>
  <c r="Y30" i="9"/>
  <c r="BT574" i="3"/>
  <c r="U36" i="9"/>
  <c r="U38" i="9" s="1"/>
  <c r="V38" i="9" s="1"/>
  <c r="X27" i="9"/>
  <c r="X28" i="9"/>
  <c r="BS339" i="3"/>
  <c r="BS359" i="3"/>
  <c r="AB18" i="9"/>
  <c r="AA20" i="9"/>
  <c r="AA22" i="9" s="1"/>
  <c r="AA52" i="9" s="1"/>
  <c r="AA54" i="9" s="1"/>
  <c r="AA19" i="9"/>
  <c r="AD18" i="9"/>
  <c r="BD364" i="3"/>
  <c r="BO364" i="3"/>
  <c r="D144" i="6" s="1"/>
  <c r="BT364" i="3"/>
  <c r="BT365" i="3" s="1"/>
  <c r="BT371" i="3" s="1"/>
  <c r="BP364" i="3"/>
  <c r="E144" i="6" s="1"/>
  <c r="BK364" i="3"/>
  <c r="AW364" i="3"/>
  <c r="BC364" i="3"/>
  <c r="BT523" i="3"/>
  <c r="BF364" i="3"/>
  <c r="BE364" i="3"/>
  <c r="BS364" i="3"/>
  <c r="AZ364" i="3"/>
  <c r="BG364" i="3"/>
  <c r="BL364" i="3"/>
  <c r="AX364" i="3"/>
  <c r="BT521" i="3"/>
  <c r="BJ364" i="3"/>
  <c r="BN364" i="3"/>
  <c r="C144" i="6" s="1"/>
  <c r="BI364" i="3"/>
  <c r="BR364" i="3"/>
  <c r="G144" i="6" s="1"/>
  <c r="BH364" i="3"/>
  <c r="BQ364" i="3"/>
  <c r="F144" i="6" s="1"/>
  <c r="AY364" i="3"/>
  <c r="BB364" i="3"/>
  <c r="AV364" i="3"/>
  <c r="BM364" i="3"/>
  <c r="AU364" i="3"/>
  <c r="BA364" i="3"/>
  <c r="AS264" i="3"/>
  <c r="AS274" i="3" s="1"/>
  <c r="BT244" i="3"/>
  <c r="AQ359" i="3"/>
  <c r="AQ4" i="3" s="1"/>
  <c r="AQ339" i="3"/>
  <c r="AR520" i="4"/>
  <c r="BN520" i="4" s="1"/>
  <c r="AS523" i="3"/>
  <c r="AS521" i="3"/>
  <c r="AS484" i="3"/>
  <c r="BT484" i="3" s="1"/>
  <c r="AS350" i="3"/>
  <c r="D174" i="6"/>
  <c r="D176" i="6" l="1"/>
  <c r="D171" i="6"/>
  <c r="D172" i="6"/>
  <c r="BT373" i="3"/>
  <c r="BT361" i="3" s="1"/>
  <c r="W38" i="9"/>
  <c r="V36" i="9"/>
  <c r="Y28" i="9"/>
  <c r="Y27" i="9"/>
  <c r="O137" i="6"/>
  <c r="F137" i="6"/>
  <c r="J137" i="6" s="1"/>
  <c r="AB23" i="9"/>
  <c r="AB20" i="9"/>
  <c r="AB22" i="9" s="1"/>
  <c r="AB52" i="9" s="1"/>
  <c r="AB54" i="9" s="1"/>
  <c r="Z25" i="9"/>
  <c r="Z26" i="9" s="1"/>
  <c r="Z37" i="9"/>
  <c r="AA23" i="9"/>
  <c r="Z34" i="9"/>
  <c r="Z30" i="9"/>
  <c r="AS351" i="3"/>
  <c r="BT350" i="3"/>
  <c r="BT351" i="3" s="1"/>
  <c r="E174" i="6"/>
  <c r="C174" i="6"/>
  <c r="W36" i="9" l="1"/>
  <c r="X38" i="9"/>
  <c r="E176" i="6"/>
  <c r="E172" i="6"/>
  <c r="E171" i="6"/>
  <c r="AB25" i="9"/>
  <c r="AB26" i="9" s="1"/>
  <c r="AB28" i="9" s="1"/>
  <c r="AB42" i="9" s="1"/>
  <c r="AA34" i="9"/>
  <c r="AD34" i="9" s="1"/>
  <c r="AA37" i="9"/>
  <c r="AA25" i="9"/>
  <c r="AA26" i="9" s="1"/>
  <c r="AB40" i="9"/>
  <c r="AA30" i="9"/>
  <c r="AD30" i="9" s="1"/>
  <c r="BS363" i="3"/>
  <c r="BS365" i="3" s="1"/>
  <c r="BS371" i="3" s="1"/>
  <c r="BT359" i="3"/>
  <c r="BT339" i="3"/>
  <c r="BK363" i="3"/>
  <c r="BK365" i="3" s="1"/>
  <c r="BK371" i="3" s="1"/>
  <c r="AY363" i="3"/>
  <c r="AY365" i="3" s="1"/>
  <c r="AY371" i="3" s="1"/>
  <c r="AX363" i="3"/>
  <c r="AX365" i="3" s="1"/>
  <c r="AX371" i="3" s="1"/>
  <c r="AU363" i="3"/>
  <c r="AU365" i="3" s="1"/>
  <c r="AU371" i="3" s="1"/>
  <c r="AU373" i="3" s="1"/>
  <c r="AZ363" i="3"/>
  <c r="AZ365" i="3" s="1"/>
  <c r="AZ371" i="3" s="1"/>
  <c r="BM363" i="3"/>
  <c r="BM365" i="3" s="1"/>
  <c r="BM371" i="3" s="1"/>
  <c r="BP363" i="3"/>
  <c r="BN363" i="3"/>
  <c r="BR363" i="3"/>
  <c r="BO363" i="3"/>
  <c r="BE363" i="3"/>
  <c r="BE365" i="3" s="1"/>
  <c r="BE371" i="3" s="1"/>
  <c r="BB363" i="3"/>
  <c r="BB365" i="3" s="1"/>
  <c r="BB371" i="3" s="1"/>
  <c r="BC363" i="3"/>
  <c r="BC365" i="3" s="1"/>
  <c r="BC371" i="3" s="1"/>
  <c r="BI363" i="3"/>
  <c r="BI365" i="3" s="1"/>
  <c r="BI371" i="3" s="1"/>
  <c r="AW363" i="3"/>
  <c r="AW365" i="3" s="1"/>
  <c r="AW371" i="3" s="1"/>
  <c r="AV363" i="3"/>
  <c r="AV365" i="3" s="1"/>
  <c r="AV371" i="3" s="1"/>
  <c r="BJ363" i="3"/>
  <c r="BJ365" i="3" s="1"/>
  <c r="BJ371" i="3" s="1"/>
  <c r="BH363" i="3"/>
  <c r="BH365" i="3" s="1"/>
  <c r="BH371" i="3" s="1"/>
  <c r="BQ363" i="3"/>
  <c r="BA363" i="3"/>
  <c r="BA365" i="3" s="1"/>
  <c r="BA371" i="3" s="1"/>
  <c r="BL363" i="3"/>
  <c r="BL365" i="3" s="1"/>
  <c r="BL371" i="3" s="1"/>
  <c r="BD363" i="3"/>
  <c r="BD365" i="3" s="1"/>
  <c r="BD371" i="3" s="1"/>
  <c r="BF363" i="3"/>
  <c r="BF365" i="3" s="1"/>
  <c r="BF371" i="3" s="1"/>
  <c r="BG363" i="3"/>
  <c r="BG365" i="3" s="1"/>
  <c r="BG371" i="3" s="1"/>
  <c r="Z27" i="9"/>
  <c r="Z28" i="9"/>
  <c r="C172" i="6"/>
  <c r="C176" i="6"/>
  <c r="C171" i="6"/>
  <c r="AS339" i="3"/>
  <c r="AS359" i="3"/>
  <c r="AS4" i="3" s="1"/>
  <c r="AV375" i="3" l="1"/>
  <c r="AV4" i="3" s="1"/>
  <c r="AV373" i="3"/>
  <c r="AV361" i="3" s="1"/>
  <c r="BS373" i="3"/>
  <c r="BS361" i="3" s="1"/>
  <c r="BT375" i="3"/>
  <c r="BT4" i="3" s="1"/>
  <c r="AW373" i="3"/>
  <c r="AW361" i="3" s="1"/>
  <c r="AW375" i="3"/>
  <c r="AW4" i="3" s="1"/>
  <c r="AY373" i="3"/>
  <c r="AY361" i="3" s="1"/>
  <c r="AY375" i="3"/>
  <c r="AY4" i="3" s="1"/>
  <c r="AA28" i="9"/>
  <c r="AB41" i="9" s="1"/>
  <c r="AA27" i="9"/>
  <c r="BG375" i="3"/>
  <c r="BG4" i="3" s="1"/>
  <c r="BG373" i="3"/>
  <c r="BG361" i="3" s="1"/>
  <c r="BH375" i="3"/>
  <c r="BH4" i="3" s="1"/>
  <c r="BH373" i="3"/>
  <c r="BH361" i="3" s="1"/>
  <c r="BB375" i="3"/>
  <c r="BB4" i="3" s="1"/>
  <c r="BB373" i="3"/>
  <c r="BB361" i="3" s="1"/>
  <c r="BM373" i="3"/>
  <c r="BM361" i="3" s="1"/>
  <c r="BM375" i="3"/>
  <c r="BM4" i="3" s="1"/>
  <c r="Y38" i="9"/>
  <c r="X36" i="9"/>
  <c r="BD375" i="3"/>
  <c r="BD4" i="3" s="1"/>
  <c r="BD373" i="3"/>
  <c r="BD361" i="3" s="1"/>
  <c r="D143" i="6"/>
  <c r="D145" i="6" s="1"/>
  <c r="BO365" i="3"/>
  <c r="BO371" i="3" s="1"/>
  <c r="BL373" i="3"/>
  <c r="BL361" i="3" s="1"/>
  <c r="BL375" i="3"/>
  <c r="BL4" i="3" s="1"/>
  <c r="BR365" i="3"/>
  <c r="BR371" i="3" s="1"/>
  <c r="G143" i="6"/>
  <c r="G145" i="6" s="1"/>
  <c r="AX375" i="3"/>
  <c r="AX4" i="3" s="1"/>
  <c r="AX373" i="3"/>
  <c r="AX361" i="3" s="1"/>
  <c r="BA373" i="3"/>
  <c r="BA361" i="3" s="1"/>
  <c r="BA375" i="3"/>
  <c r="BA4" i="3" s="1"/>
  <c r="BI373" i="3"/>
  <c r="BI361" i="3" s="1"/>
  <c r="BI375" i="3"/>
  <c r="BI4" i="3" s="1"/>
  <c r="BN365" i="3"/>
  <c r="BN371" i="3" s="1"/>
  <c r="C143" i="6"/>
  <c r="C145" i="6" s="1"/>
  <c r="F143" i="6"/>
  <c r="F145" i="6" s="1"/>
  <c r="BQ365" i="3"/>
  <c r="BQ371" i="3" s="1"/>
  <c r="BC375" i="3"/>
  <c r="BC4" i="3" s="1"/>
  <c r="BC373" i="3"/>
  <c r="BC361" i="3" s="1"/>
  <c r="E143" i="6"/>
  <c r="E145" i="6" s="1"/>
  <c r="BP365" i="3"/>
  <c r="BP371" i="3" s="1"/>
  <c r="BK375" i="3"/>
  <c r="BK4" i="3" s="1"/>
  <c r="BK373" i="3"/>
  <c r="BK361" i="3" s="1"/>
  <c r="BF373" i="3"/>
  <c r="BF361" i="3" s="1"/>
  <c r="BF375" i="3"/>
  <c r="BF4" i="3" s="1"/>
  <c r="BJ373" i="3"/>
  <c r="BJ361" i="3" s="1"/>
  <c r="BJ375" i="3"/>
  <c r="BJ4" i="3" s="1"/>
  <c r="BE373" i="3"/>
  <c r="BE361" i="3" s="1"/>
  <c r="BE375" i="3"/>
  <c r="BE4" i="3" s="1"/>
  <c r="AZ373" i="3"/>
  <c r="AZ361" i="3" s="1"/>
  <c r="AZ375" i="3"/>
  <c r="AZ4" i="3" s="1"/>
  <c r="AB43" i="9" l="1"/>
  <c r="AC41" i="9" s="1"/>
  <c r="BN373" i="3"/>
  <c r="BN361" i="3" s="1"/>
  <c r="BN375" i="3"/>
  <c r="BN4" i="3" s="1"/>
  <c r="D146" i="6"/>
  <c r="D153" i="6"/>
  <c r="D154" i="6" s="1"/>
  <c r="BS375" i="3"/>
  <c r="BS4" i="3" s="1"/>
  <c r="BR375" i="3"/>
  <c r="BR4" i="3" s="1"/>
  <c r="BR373" i="3"/>
  <c r="BR361" i="3" s="1"/>
  <c r="BP373" i="3"/>
  <c r="BP361" i="3" s="1"/>
  <c r="BP375" i="3"/>
  <c r="BP4" i="3" s="1"/>
  <c r="BO375" i="3"/>
  <c r="BO4" i="3" s="1"/>
  <c r="BO373" i="3"/>
  <c r="BO361" i="3" s="1"/>
  <c r="G146" i="6"/>
  <c r="G153" i="6"/>
  <c r="G154" i="6" s="1"/>
  <c r="BQ375" i="3"/>
  <c r="BQ4" i="3" s="1"/>
  <c r="BQ373" i="3"/>
  <c r="BQ361" i="3" s="1"/>
  <c r="F146" i="6"/>
  <c r="F153" i="6"/>
  <c r="F154" i="6" s="1"/>
  <c r="E153" i="6"/>
  <c r="E154" i="6" s="1"/>
  <c r="E146" i="6"/>
  <c r="Q72" i="8"/>
  <c r="C153" i="6"/>
  <c r="C146" i="6"/>
  <c r="Z38" i="9"/>
  <c r="Y36" i="9"/>
  <c r="C154" i="6" l="1"/>
  <c r="G158" i="6" s="1"/>
  <c r="Q74" i="8"/>
  <c r="Z36" i="9"/>
  <c r="AA38" i="9"/>
  <c r="AA36" i="9" s="1"/>
  <c r="AB48" i="9"/>
  <c r="AB44" i="9"/>
  <c r="AC42" i="9"/>
  <c r="AC40" i="9"/>
  <c r="N67" i="8" l="1"/>
  <c r="AB46" i="9"/>
  <c r="E334" i="14"/>
  <c r="N65" i="8" l="1"/>
  <c r="Q76" i="8" s="1"/>
  <c r="N11" i="33" l="1"/>
  <c r="N12" i="33" l="1"/>
  <c r="N13" i="33"/>
  <c r="N14" i="33" l="1"/>
  <c r="V172" i="28" l="1"/>
  <c r="V123" i="28" s="1"/>
  <c r="V125" i="28" s="1"/>
  <c r="V171" i="28" l="1"/>
  <c r="V119" i="28" s="1"/>
  <c r="V121" i="28" s="1"/>
  <c r="V169" i="28" l="1"/>
  <c r="V110" i="28" s="1"/>
  <c r="V112" i="28" s="1"/>
  <c r="T172" i="28" l="1"/>
  <c r="T123" i="28" s="1"/>
  <c r="T125" i="28" s="1"/>
  <c r="R172" i="28" l="1"/>
  <c r="R123" i="28" s="1"/>
  <c r="R125" i="28" s="1"/>
  <c r="R171" i="28" l="1"/>
  <c r="R119" i="28" s="1"/>
  <c r="R121" i="28" s="1"/>
  <c r="T171" i="28"/>
  <c r="T119" i="28" s="1"/>
  <c r="T121" i="28" s="1"/>
  <c r="R169" i="28" l="1"/>
  <c r="R110" i="28" s="1"/>
  <c r="R112" i="28" s="1"/>
  <c r="T169" i="28" l="1"/>
  <c r="T110" i="28" s="1"/>
  <c r="T112" i="28" s="1"/>
  <c r="T173" i="28" l="1"/>
  <c r="T127" i="28" s="1"/>
  <c r="T129" i="28" s="1"/>
  <c r="T170" i="28" l="1"/>
  <c r="T115" i="28" s="1"/>
  <c r="T117" i="28" s="1"/>
  <c r="T174" i="28" l="1"/>
  <c r="T131" i="28" s="1"/>
  <c r="T133" i="28" s="1"/>
  <c r="R173" i="28" l="1"/>
  <c r="R127" i="28" s="1"/>
  <c r="R129" i="28" s="1"/>
  <c r="R170" i="28" l="1"/>
  <c r="R115" i="28" s="1"/>
  <c r="R117" i="28" s="1"/>
  <c r="R174" i="28" l="1"/>
  <c r="R131" i="28" s="1"/>
  <c r="R133" i="28" s="1"/>
  <c r="V173" i="28" l="1"/>
  <c r="V127" i="28" s="1"/>
  <c r="V129" i="28" s="1"/>
  <c r="V170" i="28" l="1"/>
  <c r="V115" i="28" s="1"/>
  <c r="V117" i="28" s="1"/>
  <c r="V174" i="28" l="1"/>
  <c r="V131" i="28" s="1"/>
  <c r="V133" i="28" s="1"/>
  <c r="Q169" i="28" l="1"/>
  <c r="Q110" i="28" s="1"/>
  <c r="Q112" i="28" s="1"/>
  <c r="S169" i="28" l="1"/>
  <c r="S110" i="28" s="1"/>
  <c r="S112" i="28" s="1"/>
  <c r="AN169" i="28" l="1"/>
  <c r="AN110" i="28" s="1"/>
  <c r="AN112" i="28" s="1"/>
  <c r="Q172" i="28" l="1"/>
  <c r="Q123" i="28" s="1"/>
  <c r="Q125" i="28" s="1"/>
  <c r="S172" i="28" l="1"/>
  <c r="S123" i="28" s="1"/>
  <c r="S125" i="28" s="1"/>
  <c r="AN172" i="28" l="1"/>
  <c r="AN123" i="28" s="1"/>
  <c r="AN125" i="28" s="1"/>
  <c r="W172" i="28" l="1"/>
  <c r="W123" i="28" s="1"/>
  <c r="W125" i="28" s="1"/>
  <c r="X172" i="28"/>
  <c r="X123" i="28" s="1"/>
  <c r="X125" i="28" s="1"/>
  <c r="AP172" i="28" l="1"/>
  <c r="AP123" i="28" s="1"/>
  <c r="AP125" i="28" s="1"/>
  <c r="Z172" i="28" l="1"/>
  <c r="Z123" i="28" s="1"/>
  <c r="Z125" i="28" s="1"/>
  <c r="Y172" i="28"/>
  <c r="Y123" i="28" s="1"/>
  <c r="Y125" i="28" s="1"/>
  <c r="AA172" i="28" l="1"/>
  <c r="AA123" i="28" s="1"/>
  <c r="AA125" i="28" s="1"/>
  <c r="AQ172" i="28"/>
  <c r="AQ123" i="28" s="1"/>
  <c r="AQ125" i="28" s="1"/>
  <c r="AB172" i="28" l="1"/>
  <c r="AB123" i="28" s="1"/>
  <c r="AB125" i="28" s="1"/>
  <c r="AR172" i="28"/>
  <c r="AR123" i="28" s="1"/>
  <c r="AR125" i="28" s="1"/>
  <c r="AC172" i="28" l="1"/>
  <c r="AC123" i="28" s="1"/>
  <c r="AC125" i="28" s="1"/>
  <c r="AS172" i="28"/>
  <c r="AS123" i="28" s="1"/>
  <c r="AS125" i="28" s="1"/>
  <c r="AD172" i="28" l="1"/>
  <c r="AD123" i="28" s="1"/>
  <c r="AD125" i="28" s="1"/>
  <c r="AE172" i="28" l="1"/>
  <c r="AE123" i="28" s="1"/>
  <c r="AE125" i="28" s="1"/>
  <c r="AT172" i="28" l="1"/>
  <c r="AT123" i="28" s="1"/>
  <c r="AT125" i="28" s="1"/>
  <c r="U172" i="28" l="1"/>
  <c r="U123" i="28" s="1"/>
  <c r="U125" i="28" s="1"/>
  <c r="AO172" i="28" l="1"/>
  <c r="AO123" i="28" s="1"/>
  <c r="AO125" i="28" s="1"/>
  <c r="U169" i="28" l="1"/>
  <c r="U110" i="28" s="1"/>
  <c r="U112" i="28" s="1"/>
  <c r="AO169" i="28" l="1"/>
  <c r="AO110" i="28" s="1"/>
  <c r="AO112" i="28" s="1"/>
  <c r="W169" i="28" l="1"/>
  <c r="W110" i="28" s="1"/>
  <c r="W112" i="28" s="1"/>
  <c r="Y169" i="28" l="1"/>
  <c r="Y110" i="28" s="1"/>
  <c r="Y112" i="28" s="1"/>
  <c r="AP169" i="28"/>
  <c r="AP110" i="28" s="1"/>
  <c r="AP112" i="28" s="1"/>
  <c r="X169" i="28"/>
  <c r="X110" i="28" s="1"/>
  <c r="X112" i="28" s="1"/>
  <c r="AQ169" i="28" l="1"/>
  <c r="AQ110" i="28" s="1"/>
  <c r="AQ112" i="28" s="1"/>
  <c r="Z169" i="28"/>
  <c r="Z110" i="28" s="1"/>
  <c r="Z112" i="28" s="1"/>
  <c r="AA169" i="28" l="1"/>
  <c r="AA110" i="28" s="1"/>
  <c r="AA112" i="28" s="1"/>
  <c r="AB169" i="28"/>
  <c r="AB110" i="28" s="1"/>
  <c r="AB112" i="28" s="1"/>
  <c r="AR169" i="28"/>
  <c r="AR110" i="28" s="1"/>
  <c r="AR112" i="28" s="1"/>
  <c r="AE169" i="28" l="1"/>
  <c r="AE110" i="28" s="1"/>
  <c r="AE112" i="28" s="1"/>
  <c r="AC169" i="28"/>
  <c r="AC110" i="28" s="1"/>
  <c r="AC112" i="28" s="1"/>
  <c r="AS169" i="28"/>
  <c r="AS110" i="28" s="1"/>
  <c r="AS112" i="28" s="1"/>
  <c r="AD169" i="28" l="1"/>
  <c r="AD110" i="28" s="1"/>
  <c r="AD112" i="28" s="1"/>
  <c r="AT169" i="28" l="1"/>
  <c r="AT110" i="28" s="1"/>
  <c r="AT112" i="28" s="1"/>
  <c r="U171" i="28" l="1"/>
  <c r="U119" i="28" s="1"/>
  <c r="U121" i="28" s="1"/>
  <c r="AO171" i="28" l="1"/>
  <c r="AO119" i="28" s="1"/>
  <c r="AO121" i="28" s="1"/>
  <c r="W171" i="28" l="1"/>
  <c r="W119" i="28" s="1"/>
  <c r="W121" i="28" s="1"/>
  <c r="U173" i="28" l="1"/>
  <c r="U127" i="28" s="1"/>
  <c r="U129" i="28" s="1"/>
  <c r="X171" i="28"/>
  <c r="X119" i="28" s="1"/>
  <c r="X121" i="28" s="1"/>
  <c r="AP171" i="28"/>
  <c r="AP119" i="28" s="1"/>
  <c r="AP121" i="28" s="1"/>
  <c r="U170" i="28" l="1"/>
  <c r="U115" i="28" s="1"/>
  <c r="U117" i="28" s="1"/>
  <c r="AO173" i="28"/>
  <c r="AO127" i="28" s="1"/>
  <c r="AO129" i="28" s="1"/>
  <c r="Y171" i="28"/>
  <c r="Y119" i="28" s="1"/>
  <c r="Y121" i="28" s="1"/>
  <c r="U174" i="28" l="1"/>
  <c r="U131" i="28" s="1"/>
  <c r="U133" i="28" s="1"/>
  <c r="AO170" i="28"/>
  <c r="AO115" i="28" s="1"/>
  <c r="AO117" i="28" s="1"/>
  <c r="Z171" i="28"/>
  <c r="Z119" i="28" s="1"/>
  <c r="Z121" i="28" s="1"/>
  <c r="AQ171" i="28" l="1"/>
  <c r="AQ119" i="28" s="1"/>
  <c r="AQ121" i="28" s="1"/>
  <c r="AO174" i="28"/>
  <c r="AO131" i="28" s="1"/>
  <c r="AO133" i="28" s="1"/>
  <c r="W173" i="28"/>
  <c r="W127" i="28" s="1"/>
  <c r="W129" i="28" s="1"/>
  <c r="AA171" i="28" l="1"/>
  <c r="AA119" i="28" s="1"/>
  <c r="AA121" i="28" s="1"/>
  <c r="W170" i="28"/>
  <c r="W115" i="28" s="1"/>
  <c r="W117" i="28" s="1"/>
  <c r="AR171" i="28"/>
  <c r="AR119" i="28" s="1"/>
  <c r="AR121" i="28" s="1"/>
  <c r="AB171" i="28"/>
  <c r="AB119" i="28" s="1"/>
  <c r="AB121" i="28" s="1"/>
  <c r="W174" i="28" l="1"/>
  <c r="W131" i="28" s="1"/>
  <c r="W133" i="28" s="1"/>
  <c r="AP170" i="28"/>
  <c r="AP115" i="28" s="1"/>
  <c r="AP117" i="28" s="1"/>
  <c r="X170" i="28"/>
  <c r="X115" i="28" s="1"/>
  <c r="X117" i="28" s="1"/>
  <c r="AD171" i="28" l="1"/>
  <c r="AD119" i="28" s="1"/>
  <c r="AD121" i="28" s="1"/>
  <c r="AS171" i="28"/>
  <c r="AS119" i="28" s="1"/>
  <c r="AS121" i="28" s="1"/>
  <c r="AC171" i="28"/>
  <c r="AC119" i="28" s="1"/>
  <c r="AC121" i="28" s="1"/>
  <c r="Z170" i="28" l="1"/>
  <c r="Z115" i="28" s="1"/>
  <c r="Z117" i="28" s="1"/>
  <c r="Y170" i="28"/>
  <c r="Y115" i="28" s="1"/>
  <c r="Y117" i="28" s="1"/>
  <c r="AP173" i="28"/>
  <c r="AP127" i="28" s="1"/>
  <c r="AP129" i="28" s="1"/>
  <c r="AQ170" i="28"/>
  <c r="AQ115" i="28" s="1"/>
  <c r="AQ117" i="28" s="1"/>
  <c r="AT171" i="28" l="1"/>
  <c r="AT119" i="28" s="1"/>
  <c r="AT121" i="28" s="1"/>
  <c r="AP174" i="28"/>
  <c r="AP131" i="28" s="1"/>
  <c r="AP133" i="28" s="1"/>
  <c r="S171" i="28"/>
  <c r="S119" i="28" s="1"/>
  <c r="S121" i="28" s="1"/>
  <c r="AE171" i="28"/>
  <c r="AE119" i="28" s="1"/>
  <c r="AE121" i="28" s="1"/>
  <c r="AN171" i="28" l="1"/>
  <c r="AN119" i="28" s="1"/>
  <c r="AN121" i="28" s="1"/>
  <c r="AR170" i="28"/>
  <c r="AR115" i="28" s="1"/>
  <c r="AR117" i="28" s="1"/>
  <c r="S173" i="28"/>
  <c r="S127" i="28" s="1"/>
  <c r="S129" i="28" s="1"/>
  <c r="AB170" i="28"/>
  <c r="AB115" i="28" s="1"/>
  <c r="AB117" i="28" s="1"/>
  <c r="AA170" i="28"/>
  <c r="AA115" i="28" s="1"/>
  <c r="AA117" i="28" s="1"/>
  <c r="S170" i="28"/>
  <c r="S115" i="28" s="1"/>
  <c r="S117" i="28" s="1"/>
  <c r="AC170" i="28" l="1"/>
  <c r="AC115" i="28" s="1"/>
  <c r="AC117" i="28" s="1"/>
  <c r="AN170" i="28"/>
  <c r="AN115" i="28" s="1"/>
  <c r="AN117" i="28" s="1"/>
  <c r="X173" i="28"/>
  <c r="X127" i="28" s="1"/>
  <c r="X129" i="28" s="1"/>
  <c r="S174" i="28"/>
  <c r="S131" i="28" s="1"/>
  <c r="S133" i="28" s="1"/>
  <c r="AD170" i="28" l="1"/>
  <c r="AD115" i="28" s="1"/>
  <c r="AD117" i="28" s="1"/>
  <c r="AS170" i="28"/>
  <c r="AS115" i="28" s="1"/>
  <c r="AS117" i="28" s="1"/>
  <c r="X174" i="28"/>
  <c r="X131" i="28" s="1"/>
  <c r="X133" i="28" s="1"/>
  <c r="AE170" i="28"/>
  <c r="AE115" i="28" s="1"/>
  <c r="AE117" i="28" s="1"/>
  <c r="AN173" i="28" l="1"/>
  <c r="AN127" i="28" s="1"/>
  <c r="AN129" i="28" s="1"/>
  <c r="AT170" i="28"/>
  <c r="AT115" i="28" s="1"/>
  <c r="AT117" i="28" s="1"/>
  <c r="AQ173" i="28"/>
  <c r="AQ127" i="28" s="1"/>
  <c r="AQ129" i="28" s="1"/>
  <c r="O15" i="33"/>
  <c r="Y173" i="28"/>
  <c r="Y127" i="28" s="1"/>
  <c r="Y129" i="28" s="1"/>
  <c r="Z173" i="28"/>
  <c r="Z127" i="28" s="1"/>
  <c r="Z129" i="28" s="1"/>
  <c r="AQ174" i="28" l="1"/>
  <c r="AQ131" i="28" s="1"/>
  <c r="AQ133" i="28" s="1"/>
  <c r="Y174" i="28"/>
  <c r="Y131" i="28" s="1"/>
  <c r="Y133" i="28" s="1"/>
  <c r="AN174" i="28"/>
  <c r="AN131" i="28" s="1"/>
  <c r="AN133" i="28" s="1"/>
  <c r="AA173" i="28"/>
  <c r="AA127" i="28" s="1"/>
  <c r="AA129" i="28" s="1"/>
  <c r="F174" i="6" l="1"/>
  <c r="O16" i="33"/>
  <c r="N15" i="33"/>
  <c r="N16" i="33" s="1"/>
  <c r="Z174" i="28"/>
  <c r="Z131" i="28" s="1"/>
  <c r="Z133" i="28" s="1"/>
  <c r="AA174" i="28"/>
  <c r="AA131" i="28" s="1"/>
  <c r="AA133" i="28" s="1"/>
  <c r="F176" i="6" l="1"/>
  <c r="F171" i="6"/>
  <c r="F172" i="6"/>
  <c r="G174" i="6"/>
  <c r="Q171" i="28"/>
  <c r="Q119" i="28" s="1"/>
  <c r="Q121" i="28" s="1"/>
  <c r="AR173" i="28"/>
  <c r="AR127" i="28" s="1"/>
  <c r="AR129" i="28" s="1"/>
  <c r="AB174" i="28"/>
  <c r="AB131" i="28" s="1"/>
  <c r="AB133" i="28" s="1"/>
  <c r="AB173" i="28"/>
  <c r="AB127" i="28" s="1"/>
  <c r="AB129" i="28" s="1"/>
  <c r="G172" i="6" l="1"/>
  <c r="G176" i="6"/>
  <c r="G171" i="6"/>
  <c r="AR174" i="28"/>
  <c r="AR131" i="28" s="1"/>
  <c r="AR133" i="28" s="1"/>
  <c r="K11" i="33" l="1"/>
  <c r="K13" i="33" s="1"/>
  <c r="N66" i="8"/>
  <c r="C179" i="28"/>
  <c r="AX10" i="28" s="1"/>
  <c r="AX12" i="28" s="1"/>
  <c r="Q173" i="28"/>
  <c r="Q127" i="28" s="1"/>
  <c r="Q129" i="28" s="1"/>
  <c r="AS173" i="28"/>
  <c r="AS127" i="28" s="1"/>
  <c r="AS129" i="28" s="1"/>
  <c r="AD173" i="28"/>
  <c r="AD127" i="28" s="1"/>
  <c r="AD129" i="28" s="1"/>
  <c r="AC173" i="28"/>
  <c r="AC127" i="28" s="1"/>
  <c r="AC129" i="28" s="1"/>
  <c r="G9" i="6" l="1"/>
  <c r="N69" i="8"/>
  <c r="C178" i="28"/>
  <c r="AX6" i="28" s="1"/>
  <c r="AX8" i="28" s="1"/>
  <c r="AD174" i="28"/>
  <c r="AD131" i="28" s="1"/>
  <c r="AD133" i="28" s="1"/>
  <c r="AC174" i="28"/>
  <c r="AC131" i="28" s="1"/>
  <c r="AC133" i="28" s="1"/>
  <c r="AS174" i="28"/>
  <c r="AS131" i="28" s="1"/>
  <c r="AS133" i="28" s="1"/>
  <c r="Q170" i="28"/>
  <c r="Q115" i="28" s="1"/>
  <c r="Q117" i="28" s="1"/>
  <c r="J9" i="8" l="1"/>
  <c r="AT173" i="28"/>
  <c r="AT127" i="28" s="1"/>
  <c r="AT129" i="28" s="1"/>
  <c r="Q174" i="28"/>
  <c r="Q131" i="28" s="1"/>
  <c r="Q133" i="28" s="1"/>
  <c r="AE173" i="28"/>
  <c r="AE127" i="28" s="1"/>
  <c r="AE129" i="28" s="1"/>
  <c r="O6" i="33" l="1"/>
  <c r="J10" i="8"/>
  <c r="E263" i="14"/>
  <c r="C8" i="25"/>
  <c r="AE174" i="28"/>
  <c r="AE131" i="28" s="1"/>
  <c r="AE133" i="28" s="1"/>
  <c r="AT174" i="28"/>
  <c r="AT131" i="28" s="1"/>
  <c r="AT133" i="28" s="1"/>
  <c r="J12" i="8" l="1"/>
  <c r="J11" i="8"/>
  <c r="K29" i="33"/>
  <c r="M28" i="33"/>
  <c r="L26" i="33"/>
  <c r="L29" i="33"/>
  <c r="N28" i="33"/>
  <c r="O27" i="33"/>
  <c r="O7" i="33"/>
  <c r="N29" i="33"/>
  <c r="K26" i="33"/>
  <c r="M26" i="33"/>
  <c r="M29" i="33"/>
  <c r="O26" i="33"/>
  <c r="K28" i="33"/>
  <c r="M27" i="33"/>
  <c r="O28" i="33"/>
  <c r="O29" i="33"/>
  <c r="K27" i="33"/>
  <c r="N26" i="33"/>
  <c r="L27" i="33"/>
  <c r="N27" i="33"/>
  <c r="L28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Vaghani, Rushil [GIR]</author>
  </authors>
  <commentList>
    <comment ref="A1" authorId="0" shapeId="0" xr:uid="{14258959-7109-47C2-85B8-45F3E5117032}">
      <text>
        <r>
          <rPr>
            <b/>
            <sz val="9"/>
            <color indexed="81"/>
            <rFont val="Tahoma"/>
            <charset val="1"/>
          </rPr>
          <t>&lt;?xml version="1.0" encoding="utf-8"?&gt;&lt;Schema xmlns:xsd="http://www.w3.org/2001/XMLSchema" xmlns:xsi="http://www.w3.org/2001/XMLSchema-instance" Version="2" Timestamp="1770701756"&gt;&lt;FQL&gt;&lt;Q&gt;MQG.AX^FE_VALUATION(PE,MEAN,ANN_ROLL,+1,NOW,,,'')&lt;/Q&gt;&lt;R&gt;0&lt;/R&gt;&lt;C&gt;0&lt;/C&gt;&lt;/FQL&gt;&lt;FQL&gt;&lt;Q&gt;MQG-AU^FE_VALUATION(PE,MEAN,ANN_ROLL,+1,NOW,,,'')&lt;/Q&gt;&lt;R&gt;1&lt;/R&gt;&lt;C&gt;1&lt;/C&gt;&lt;D xsi:type="xsd:double"&gt;19.531513&lt;/D&gt;&lt;/FQL&gt;&lt;FQL&gt;&lt;Q&gt;MQG-AU^FG_MKT_VALUE(0)&lt;/Q&gt;&lt;R&gt;1&lt;/R&gt;&lt;C&gt;1&lt;/C&gt;&lt;D xsi:type="xsd:double"&gt;81572.44&lt;/D&gt;&lt;/FQL&gt;&lt;FQL&gt;&lt;Q&gt;MQG-AU^FF_ENTRPR_VAL(ANN_R,0,,,,,,'')&lt;/Q&gt;&lt;R&gt;1&lt;/R&gt;&lt;C&gt;1&lt;/C&gt;&lt;D xsi:type="xsd:double"&gt;138915.9266176&lt;/D&gt;&lt;/FQL&gt;&lt;FQL&gt;&lt;Q&gt;MQG-AU^JULIAN(FG_MKT_VALUE(0).DATES)&lt;/Q&gt;&lt;R&gt;1&lt;/R&gt;&lt;C&gt;1&lt;/C&gt;&lt;D xsi:type="xsd:long"&gt;45925&lt;/D&gt;&lt;/FQL&gt;&lt;FQL&gt;&lt;Q&gt;MQG-AU^FG_COMPANY_NAME()&lt;/Q&gt;&lt;R&gt;1&lt;/R&gt;&lt;C&gt;1&lt;/C&gt;&lt;D xsi:type="xsd:string"&gt;Macquarie Group, Ltd.&lt;/D&gt;&lt;/FQL&gt;&lt;FQL&gt;&lt;Q&gt;MQG-AU^FG_PRICE(45938)&lt;/Q&gt;&lt;R&gt;1&lt;/R&gt;&lt;C&gt;1&lt;/C&gt;&lt;D xsi:type="xsd:double"&gt;222.16&lt;/D&gt;&lt;/FQL&gt;&lt;/Schema&gt;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Lyons, Andrew [GIR]</author>
    <author>Sproules, Brendan A</author>
    <author>Andrew Lyons</author>
  </authors>
  <commentList>
    <comment ref="A1" authorId="0" shapeId="0" xr:uid="{8523D889-AE7B-4DD7-A353-8A90AC1C331A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Macquarie guidance glossary:
• Broadly in line: +/- 5%
• Slightly up/down: +/- 5-10%
• Up/down: +/- 10%
• Significantly up/down: +/- 15-25%
• Substantially up/down: +/- &gt;25%</t>
        </r>
      </text>
    </comment>
    <comment ref="N13" authorId="1" shapeId="0" xr:uid="{9425175E-1751-4766-A5DA-EF0EB2E6965B}">
      <text>
        <r>
          <rPr>
            <b/>
            <sz val="9"/>
            <color indexed="81"/>
            <rFont val="Tahoma"/>
            <family val="2"/>
          </rPr>
          <t>Qube Query:
Last update - 08-Dec-25 10:07 AM
Environment - Live
Table area - 3:2
Query data - 4wEAAB+LCAAAAAAABABtUdlOwzAQ/BXL7+AUCeiD46pqOCKiqhXH+ybZVhaOHXy0mK/HTcIhxJM9O7Ozo12+eO8UOaB10uiczs4zSlA3ppV6n9Pgd2ezK0qcB92CMhpzGtHRheDbUOM2oI0E+l7FdehqtLfGduBdTr0NSMlbAO1D92iCbVLnUoOKzlNigu+Df4p9Kp5aggJHiYIaVQV6H2CfiJv1HRW8gpjUxA/ae2Plh9Ee1MAkuXjAeDS2HQBnY22iNmil+cOw0U/wF+lkLZX0kfx8c1rJQ8rNBH/W8rQUnCavTNeDjpU8xZe6UaHFDepxSztQDlOiSVQWTvCyEBfZPMvm15dzzhLi7DfNvvwFL8BD6bFbGaWw8ekMqTthNz7k9ZjGLzclJU1OC9xBUH6IyCYV+8+Bfd9HfAKtoz6E4wEAAA==</t>
        </r>
      </text>
    </comment>
    <comment ref="I137" authorId="2" shapeId="0" xr:uid="{00000000-0006-0000-0300-000001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=VLOOKUP("CET1_Surplus",'Group Model'!$1:$1048576,MATCH("FY"&amp;RIGHT(Summary!C$135-1,2)&amp;"E",'Group Model'!$1:$1,0),FALSE) / VLOOKUP("OrdEqu_SOIEOP",'Group Model'!$1:$1048576,MATCH("FY"&amp;RIGHT(Summary!C$135-1,2)&amp;"E",'Group Model'!$1:$1,0),FALSE) * Summary!C134 +
VLOOKUP("CET1_Surplus",'Group Model'!$1:$1048576,MATCH("FY"&amp;RIGHT(Summary!D$135-1,2)&amp;"E",'Group Model'!$1:$1,0),FALSE) / VLOOKUP("OrdEqu_SOIEOP",'Group Model'!$1:$1048576,MATCH("FY"&amp;RIGHT(Summary!D$135-1,2)&amp;"E",'Group Model'!$1:$1,0),FALSE) * Summary!D134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Jien Goh</author>
    <author>Chu, Dylan [GIR]</author>
    <author>Andrew Lyons</author>
    <author>Lyons, Andrew [GIR]</author>
    <author>Lim, Nicholas [GIR]</author>
    <author>Li, John Y [GIR]</author>
  </authors>
  <commentList>
    <comment ref="M36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includes dividend component of SYD distribution</t>
        </r>
      </text>
    </comment>
    <comment ref="AU36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Chu, Dylan [GIR]:</t>
        </r>
        <r>
          <rPr>
            <sz val="9"/>
            <color indexed="81"/>
            <rFont val="Tahoma"/>
            <family val="2"/>
          </rPr>
          <t xml:space="preserve">
Including special dividends</t>
        </r>
      </text>
    </comment>
    <comment ref="B50" authorId="2" shapeId="0" xr:uid="{00000000-0006-0000-0400-000003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ERW = Equivalent risk weight</t>
        </r>
      </text>
    </comment>
    <comment ref="AE55" authorId="3" shapeId="0" xr:uid="{88F5A15A-3A29-49B8-A5DD-1BEC9F0370D3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Difference to MQG surplus should no largely be the hybrid held in the bank</t>
        </r>
      </text>
    </comment>
    <comment ref="AW60" authorId="2" shapeId="0" xr:uid="{00000000-0006-0000-0400-000004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Restatement</t>
        </r>
      </text>
    </comment>
    <comment ref="AX63" authorId="2" shapeId="0" xr:uid="{00000000-0006-0000-0400-000005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Redistribution between base and performance</t>
        </r>
      </text>
    </comment>
    <comment ref="AW67" authorId="2" shapeId="0" xr:uid="{00000000-0006-0000-0400-000006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Restatement</t>
        </r>
      </text>
    </comment>
    <comment ref="AJ87" authorId="4" shapeId="0" xr:uid="{E9A9C52E-A19D-4412-BB23-7D0F0BA268F0}">
      <text>
        <r>
          <rPr>
            <b/>
            <sz val="9"/>
            <color indexed="81"/>
            <rFont val="Tahoma"/>
            <family val="2"/>
          </rPr>
          <t>Lim, Nicholas [GIR]:</t>
        </r>
        <r>
          <rPr>
            <sz val="9"/>
            <color indexed="81"/>
            <rFont val="Tahoma"/>
            <family val="2"/>
          </rPr>
          <t xml:space="preserve">
Interim p. 55 &gt; reserves and retained earnings note</t>
        </r>
      </text>
    </comment>
    <comment ref="F104" authorId="2" shapeId="0" xr:uid="{00000000-0006-0000-0400-000007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Restatement; now includes a treasury share adjustment</t>
        </r>
      </text>
    </comment>
    <comment ref="F105" authorId="2" shapeId="0" xr:uid="{00000000-0006-0000-0400-000008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Restatement; now includes a treasury share adjustment</t>
        </r>
      </text>
    </comment>
    <comment ref="Z109" authorId="3" shapeId="0" xr:uid="{00000000-0006-0000-0400-000009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1H22 result</t>
        </r>
      </text>
    </comment>
    <comment ref="AA109" authorId="3" shapeId="0" xr:uid="{00000000-0006-0000-0400-00000A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2H22 result</t>
        </r>
      </text>
    </comment>
    <comment ref="AI112" authorId="5" shapeId="0" xr:uid="{CE1ADE89-37BC-44ED-A376-A00F71EFDC9A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"Funded balance sheet" - MD&amp;A</t>
        </r>
      </text>
    </comment>
    <comment ref="I113" authorId="2" shapeId="0" xr:uid="{00000000-0006-0000-0400-00000B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First disclosed in 2H13 results</t>
        </r>
      </text>
    </comment>
    <comment ref="W114" authorId="3" shapeId="0" xr:uid="{00000000-0006-0000-0400-00000C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2H20</t>
        </r>
      </text>
    </comment>
    <comment ref="W115" authorId="3" shapeId="0" xr:uid="{00000000-0006-0000-0400-00000D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2H20</t>
        </r>
      </text>
    </comment>
    <comment ref="W116" authorId="3" shapeId="0" xr:uid="{00000000-0006-0000-0400-00000E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2H20</t>
        </r>
      </text>
    </comment>
    <comment ref="AI134" authorId="5" shapeId="0" xr:uid="{D297E52C-9A9F-465D-917F-EB013136110E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"funded balance sheet" - "funding source" - MD&amp;A</t>
        </r>
      </text>
    </comment>
    <comment ref="AJ134" authorId="5" shapeId="0" xr:uid="{D4E9B44A-7A66-4B11-82C9-914A62397138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"funded balance sheet" - "funding source" - MD&amp;A</t>
        </r>
      </text>
    </comment>
    <comment ref="AY139" authorId="2" shapeId="0" xr:uid="{00000000-0006-0000-0400-00000F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Restatement</t>
        </r>
      </text>
    </comment>
    <comment ref="AE140" authorId="3" shapeId="0" xr:uid="{B09D7A9D-6D88-4660-944F-9293F2C72E6D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Consolidated into above line item at FY23</t>
        </r>
      </text>
    </comment>
    <comment ref="AF140" authorId="3" shapeId="0" xr:uid="{4667C7D7-FF7C-4E89-A442-302E5599FBFA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Consolidated into above line item at FY23</t>
        </r>
      </text>
    </comment>
    <comment ref="AG140" authorId="3" shapeId="0" xr:uid="{2F5CD7AD-5BBA-420B-A670-156BEC50153B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Consolidated into above line item at FY23</t>
        </r>
      </text>
    </comment>
    <comment ref="H156" authorId="2" shapeId="0" xr:uid="{00000000-0006-0000-0400-000010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H157" authorId="2" shapeId="0" xr:uid="{00000000-0006-0000-0400-000011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</t>
        </r>
      </text>
    </comment>
    <comment ref="K157" authorId="0" shapeId="0" xr:uid="{00000000-0006-0000-0400-000012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restated at FY14</t>
        </r>
      </text>
    </comment>
    <comment ref="B162" authorId="2" shapeId="0" xr:uid="{00000000-0006-0000-0400-000013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Equity + loan capital will be equivalent of MQG's Equity &amp; Hybrids + Subordinated Debt</t>
        </r>
      </text>
    </comment>
    <comment ref="AI167" authorId="5" shapeId="0" xr:uid="{81C49F8D-4184-454B-BDC5-26433479B087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Funding Profile for the Bank Group
Funded balance sheet
</t>
        </r>
      </text>
    </comment>
    <comment ref="I168" authorId="2" shapeId="0" xr:uid="{00000000-0006-0000-0400-000014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First disclosed in 2H13 results</t>
        </r>
      </text>
    </comment>
    <comment ref="W169" authorId="3" shapeId="0" xr:uid="{00000000-0006-0000-0400-000015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ay 2H20</t>
        </r>
      </text>
    </comment>
    <comment ref="W170" authorId="3" shapeId="0" xr:uid="{00000000-0006-0000-0400-000016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ay 2H20</t>
        </r>
      </text>
    </comment>
    <comment ref="W171" authorId="3" shapeId="0" xr:uid="{00000000-0006-0000-0400-000017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ay 2H20</t>
        </r>
      </text>
    </comment>
    <comment ref="AE195" authorId="3" shapeId="0" xr:uid="{2D5C1E08-5504-4761-B020-249D43C3A0FD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Consolidated into above line item at FY23</t>
        </r>
      </text>
    </comment>
    <comment ref="I276" authorId="2" shapeId="0" xr:uid="{00000000-0006-0000-0400-000018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New Basel 3 disclosure</t>
        </r>
      </text>
    </comment>
    <comment ref="AX276" authorId="2" shapeId="0" xr:uid="{00000000-0006-0000-0400-000019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Shift to NOHC but disclosure is not sufficent</t>
        </r>
      </text>
    </comment>
    <comment ref="AE288" authorId="3" shapeId="0" xr:uid="{FE95864B-BE3F-47CD-8715-547212E854FE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1H24 result</t>
        </r>
      </text>
    </comment>
    <comment ref="AE291" authorId="3" shapeId="0" xr:uid="{712B07EE-F4FD-471E-94FA-670799D385B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1H24 result</t>
        </r>
      </text>
    </comment>
    <comment ref="H309" authorId="2" shapeId="0" xr:uid="{00000000-0006-0000-0400-00001A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=H301-7%*H311-H314+H304-H334+457 will output MQG's disclosed excess capital of A$3,532 mn, where 457 is the hybrid, which we exclude as we look at CET1</t>
        </r>
      </text>
    </comment>
    <comment ref="M309" authorId="2" shapeId="0" xr:uid="{00000000-0006-0000-0400-00001B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=M303-7%*M313-M316+M306-M336+643 will give you MQG disclosed surplus capital at 7%</t>
        </r>
      </text>
    </comment>
    <comment ref="N309" authorId="2" shapeId="0" xr:uid="{00000000-0006-0000-0400-00001C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=N303-7%*N313-N316+N306-N336+659 will give you MQG disclosed surplus capital at 7%</t>
        </r>
      </text>
    </comment>
    <comment ref="O309" authorId="2" shapeId="0" xr:uid="{00000000-0006-0000-0400-00001D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O303-7%*(O313-39)-O316+O306-O336+1084 will give you MQG disclosed surplus capital at 7%</t>
        </r>
      </text>
    </comment>
    <comment ref="P309" authorId="2" shapeId="0" xr:uid="{00000000-0006-0000-0400-00001E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P303-7%*(P313-613)-P316+P306-P336+1112 will give you MQG disclosed surplus capital at 7%
OR
P303-8.5%*(P313-613)-P316+P306-P336+1112 will give you surplus capital at 8.5%</t>
        </r>
      </text>
    </comment>
    <comment ref="Q309" authorId="2" shapeId="0" xr:uid="{00000000-0006-0000-0400-00001F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=Q303-8.5%*(Q313-296)-Q316+Q306-Q336+1035 will give you surplus capital at 8.5%</t>
        </r>
      </text>
    </comment>
    <comment ref="R309" authorId="2" shapeId="0" xr:uid="{00000000-0006-0000-0400-000020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=R303-8.5%*(R313-530)-R316+R306-R336+1036 will give you surplus capital at 8.5%</t>
        </r>
      </text>
    </comment>
    <comment ref="S309" authorId="2" shapeId="0" xr:uid="{00000000-0006-0000-0400-000021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=S303-8.5%*(S313-448)-S316+S306-S336+1970 will give you surplus capital at 8.5%</t>
        </r>
      </text>
    </comment>
    <comment ref="T309" authorId="2" shapeId="0" xr:uid="{00000000-0006-0000-0400-000022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=T303-8.5%*(T313-745)-T316+T306-T336+1619 will give you surplus capital at 8.5%</t>
        </r>
      </text>
    </comment>
    <comment ref="U309" authorId="2" shapeId="0" xr:uid="{00000000-0006-0000-0400-000023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=U303-8.5%*(U313-166)-U316+U306-U336+1592 will give you surplus capital at 8.5%</t>
        </r>
      </text>
    </comment>
    <comment ref="V309" authorId="2" shapeId="0" xr:uid="{00000000-0006-0000-0400-000024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=V303-8.5%*(V313-182)-V316+V306-V336+1654 will give you surplus capital at 8.5%</t>
        </r>
      </text>
    </comment>
    <comment ref="W309" authorId="2" shapeId="0" xr:uid="{00000000-0006-0000-0400-000025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=W303-8.5%*(W313-335)-W316+W306-W336+1626</t>
        </r>
      </text>
    </comment>
    <comment ref="X309" authorId="2" shapeId="0" xr:uid="{00000000-0006-0000-0400-000026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=X303-8.5%*(X313-1016)-X316+X306-X336+1681</t>
        </r>
      </text>
    </comment>
    <comment ref="Y309" authorId="2" shapeId="0" xr:uid="{00000000-0006-0000-0400-000027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=Y303-8.5%*(Y313-642)-Y316+Y306-Y336+1315</t>
        </r>
      </text>
    </comment>
    <comment ref="Z309" authorId="2" shapeId="0" xr:uid="{00000000-0006-0000-0400-000028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=Z303-8.5%*(Z313-946)-Z316+Z306-Z336+1688</t>
        </r>
      </text>
    </comment>
    <comment ref="AA309" authorId="2" shapeId="0" xr:uid="{00000000-0006-0000-0400-000029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=AA303-8.5%*(AA313-624)-AA316+AA306-AA336+1628</t>
        </r>
      </text>
    </comment>
    <comment ref="AB309" authorId="2" shapeId="0" xr:uid="{00000000-0006-0000-0400-00002A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=AB303-8.5%*(AB313-874)-AB316+AB306-AB336+2333</t>
        </r>
      </text>
    </comment>
    <comment ref="AC309" authorId="2" shapeId="0" xr:uid="{00000000-0006-0000-0400-00002B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=AC303-8.5%*(AC313-807)-AC316+AC306-AC336+2297</t>
        </r>
      </text>
    </comment>
    <comment ref="AD309" authorId="2" shapeId="0" xr:uid="{CFE4EEE3-E8A6-4A31-88F1-BCF803B8DBDC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=AD303-8.5%*(AD313-947)-AD316+AD306-AD336+2468</t>
        </r>
      </text>
    </comment>
    <comment ref="AE309" authorId="2" shapeId="0" xr:uid="{446901F1-039F-45D1-9761-1F8088E48849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=AE303-10.25%*(AE313-746)-AE316+AE306-AE336+2418</t>
        </r>
      </text>
    </comment>
    <comment ref="AF309" authorId="2" shapeId="0" xr:uid="{C30B69E9-913F-4255-BE40-CA37AAD41DC4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=AF303-10.5%*(AF313-970)-AF316+AF306-AF336+2463</t>
        </r>
      </text>
    </comment>
    <comment ref="AG309" authorId="2" shapeId="0" xr:uid="{4E36D097-B318-4A52-B1B5-ECB041C9D127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=AG303-10.5%*(AG313-1101)-AG316+AG306-AG336+2446</t>
        </r>
      </text>
    </comment>
    <comment ref="AA314" authorId="3" shapeId="0" xr:uid="{00000000-0006-0000-0400-00002C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1H22</t>
        </r>
      </text>
    </comment>
    <comment ref="AY314" authorId="2" shapeId="0" xr:uid="{00000000-0006-0000-0400-00002D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Basel II</t>
        </r>
      </text>
    </comment>
    <comment ref="AI337" authorId="4" shapeId="0" xr:uid="{20E97AED-4571-4470-B17C-1B3BAEB6B3C8}">
      <text>
        <r>
          <rPr>
            <b/>
            <sz val="9"/>
            <color indexed="81"/>
            <rFont val="Tahoma"/>
            <family val="2"/>
          </rPr>
          <t>Lim, Nicholas [GIR]:</t>
        </r>
        <r>
          <rPr>
            <sz val="9"/>
            <color indexed="81"/>
            <rFont val="Tahoma"/>
            <family val="2"/>
          </rPr>
          <t xml:space="preserve">
Type this in first</t>
        </r>
      </text>
    </comment>
    <comment ref="K380" authorId="0" shapeId="0" xr:uid="{00000000-0006-0000-0400-00002E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restated at FY14 result</t>
        </r>
      </text>
    </comment>
    <comment ref="W380" authorId="3" shapeId="0" xr:uid="{00000000-0006-0000-0400-00002F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 result</t>
        </r>
      </text>
    </comment>
    <comment ref="T381" authorId="2" shapeId="0" xr:uid="{00000000-0006-0000-0400-000030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 result</t>
        </r>
      </text>
    </comment>
    <comment ref="U381" authorId="2" shapeId="0" xr:uid="{00000000-0006-0000-0400-000031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 result</t>
        </r>
      </text>
    </comment>
    <comment ref="W381" authorId="3" shapeId="0" xr:uid="{00000000-0006-0000-0400-000032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 result</t>
        </r>
      </text>
    </comment>
    <comment ref="W382" authorId="3" shapeId="0" xr:uid="{00000000-0006-0000-0400-000033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 result</t>
        </r>
      </text>
    </comment>
    <comment ref="B383" authorId="2" shapeId="0" xr:uid="{00000000-0006-0000-0400-000034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Pre 1H18 it was "Investment securities available for sale"</t>
        </r>
      </text>
    </comment>
    <comment ref="T383" authorId="2" shapeId="0" xr:uid="{00000000-0006-0000-0400-000035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 result</t>
        </r>
      </text>
    </comment>
    <comment ref="U383" authorId="2" shapeId="0" xr:uid="{00000000-0006-0000-0400-000036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 result</t>
        </r>
      </text>
    </comment>
    <comment ref="T386" authorId="2" shapeId="0" xr:uid="{00000000-0006-0000-0400-000037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 result</t>
        </r>
      </text>
    </comment>
    <comment ref="U386" authorId="2" shapeId="0" xr:uid="{00000000-0006-0000-0400-000038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 result</t>
        </r>
      </text>
    </comment>
    <comment ref="K387" authorId="0" shapeId="0" xr:uid="{00000000-0006-0000-0400-000039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restated at FY14 result</t>
        </r>
      </text>
    </comment>
    <comment ref="F388" authorId="2" shapeId="0" xr:uid="{00000000-0006-0000-0400-00003A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Restatement</t>
        </r>
      </text>
    </comment>
    <comment ref="AJ391" authorId="4" shapeId="0" xr:uid="{DF097373-96B6-48EB-BFD1-B3A72F25E6D8}">
      <text>
        <r>
          <rPr>
            <b/>
            <sz val="9"/>
            <color indexed="81"/>
            <rFont val="Tahoma"/>
            <family val="2"/>
          </rPr>
          <t>Lim, Nicholas [GIR]:</t>
        </r>
        <r>
          <rPr>
            <sz val="9"/>
            <color indexed="81"/>
            <rFont val="Tahoma"/>
            <family val="2"/>
          </rPr>
          <t xml:space="preserve">
I think this has remained the same . CHECK - interim p27</t>
        </r>
      </text>
    </comment>
    <comment ref="W402" authorId="3" shapeId="0" xr:uid="{00000000-0006-0000-0400-00003B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 result</t>
        </r>
      </text>
    </comment>
    <comment ref="K405" authorId="0" shapeId="0" xr:uid="{00000000-0006-0000-0400-00003C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restated at FY14 result</t>
        </r>
      </text>
    </comment>
    <comment ref="W405" authorId="3" shapeId="0" xr:uid="{00000000-0006-0000-0400-00003D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 result</t>
        </r>
      </text>
    </comment>
    <comment ref="W421" authorId="3" shapeId="0" xr:uid="{00000000-0006-0000-0400-00003E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 result</t>
        </r>
      </text>
    </comment>
    <comment ref="T423" authorId="2" shapeId="0" xr:uid="{00000000-0006-0000-0400-00003F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 result</t>
        </r>
      </text>
    </comment>
    <comment ref="U423" authorId="2" shapeId="0" xr:uid="{00000000-0006-0000-0400-000040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 result</t>
        </r>
      </text>
    </comment>
    <comment ref="I425" authorId="2" shapeId="0" xr:uid="{00000000-0006-0000-0400-000041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Restatement</t>
        </r>
      </text>
    </comment>
    <comment ref="T425" authorId="2" shapeId="0" xr:uid="{00000000-0006-0000-0400-000042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 result</t>
        </r>
      </text>
    </comment>
    <comment ref="U425" authorId="2" shapeId="0" xr:uid="{00000000-0006-0000-0400-000043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 result</t>
        </r>
      </text>
    </comment>
    <comment ref="W425" authorId="3" shapeId="0" xr:uid="{00000000-0006-0000-0400-000044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 result</t>
        </r>
      </text>
    </comment>
    <comment ref="T426" authorId="2" shapeId="0" xr:uid="{00000000-0006-0000-0400-000045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 result</t>
        </r>
      </text>
    </comment>
    <comment ref="U426" authorId="2" shapeId="0" xr:uid="{00000000-0006-0000-0400-000046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 result</t>
        </r>
      </text>
    </comment>
    <comment ref="K427" authorId="0" shapeId="0" xr:uid="{00000000-0006-0000-0400-000047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restated at FY14 result</t>
        </r>
      </text>
    </comment>
    <comment ref="T428" authorId="2" shapeId="0" xr:uid="{00000000-0006-0000-0400-000048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 result</t>
        </r>
      </text>
    </comment>
    <comment ref="U428" authorId="2" shapeId="0" xr:uid="{00000000-0006-0000-0400-000049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 result</t>
        </r>
      </text>
    </comment>
    <comment ref="W428" authorId="3" shapeId="0" xr:uid="{00000000-0006-0000-0400-00004A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 result</t>
        </r>
      </text>
    </comment>
    <comment ref="AD428" authorId="3" shapeId="0" xr:uid="{77C171A4-A5BF-44BD-A41C-255313304C82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1H24</t>
        </r>
      </text>
    </comment>
    <comment ref="Q429" authorId="2" shapeId="0" xr:uid="{00000000-0006-0000-0400-00004B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Consolidated into 'Other Liabilities'</t>
        </r>
      </text>
    </comment>
    <comment ref="M478" authorId="0" shapeId="0" xr:uid="{00000000-0006-0000-0400-00004C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SYD distribution dividend component</t>
        </r>
      </text>
    </comment>
    <comment ref="BH522" authorId="2" shapeId="0" xr:uid="{00000000-0006-0000-0400-00004D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Performance fees</t>
        </r>
      </text>
    </comment>
    <comment ref="O558" authorId="0" shapeId="0" xr:uid="{00000000-0006-0000-0400-00004E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big increase in resource related provisions</t>
        </r>
      </text>
    </comment>
    <comment ref="AJ560" authorId="4" shapeId="0" xr:uid="{0FF78F2A-7CDB-423A-B4F2-B7BE2B82B2D6}">
      <text>
        <r>
          <rPr>
            <b/>
            <sz val="9"/>
            <color indexed="81"/>
            <rFont val="Tahoma"/>
            <family val="2"/>
          </rPr>
          <t>Lim, Nicholas [GIR]:</t>
        </r>
        <r>
          <rPr>
            <sz val="9"/>
            <color indexed="81"/>
            <rFont val="Tahoma"/>
            <family val="2"/>
          </rPr>
          <t xml:space="preserve">
ten year history in MDA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Lyons</author>
    <author>Lyons, Andrew [GIR]</author>
    <author>Jien Goh</author>
    <author>Chu, Dylan [GIR]</author>
    <author>Sproules, Brendan A</author>
    <author>Lim, Nicholas [GIR]</author>
    <author>Li, John Y [GIR]</author>
    <author>Vaghani, Rushil [GIR]</author>
  </authors>
  <commentList>
    <comment ref="S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Divisional numbers restated ahead of FY19 result</t>
        </r>
      </text>
    </comment>
    <comment ref="AA1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GIG shifted from MacCap to MAM</t>
        </r>
      </text>
    </comment>
    <comment ref="K10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Speaking with KK, it sounds like MQG will no longer disclose their AvIEA…perhaps at the full year</t>
        </r>
      </text>
    </comment>
    <comment ref="AC12" authorId="1" shapeId="0" xr:uid="{FE33FCFA-8B6C-4B73-AE9D-3A05FC47C8E8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1H24 result</t>
        </r>
      </text>
    </comment>
    <comment ref="U14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U18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AC20" authorId="1" shapeId="0" xr:uid="{F1D41078-7532-4CB9-9D5E-87ECE41FD476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1H24 result</t>
        </r>
      </text>
    </comment>
    <comment ref="AD20" authorId="1" shapeId="0" xr:uid="{8FCA409A-543F-4103-A353-A39A04AE85FB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FY24</t>
        </r>
      </text>
    </comment>
    <comment ref="AD21" authorId="1" shapeId="0" xr:uid="{88A72329-A02C-40B7-AAEB-EEE2E46554C1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FY24</t>
        </r>
      </text>
    </comment>
    <comment ref="AC28" authorId="1" shapeId="0" xr:uid="{CC0A2E0A-FD69-4308-8487-F1306EADE7B7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1H24 result</t>
        </r>
      </text>
    </comment>
    <comment ref="AC30" authorId="1" shapeId="0" xr:uid="{21D728BD-C568-4B1D-9DCD-5D57D0DC0CF4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1H24 result</t>
        </r>
      </text>
    </comment>
    <comment ref="K39" authorId="2" shapeId="0" xr:uid="{00000000-0006-0000-0500-000009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restated at FY14 result</t>
        </r>
      </text>
    </comment>
    <comment ref="S39" authorId="0" shapeId="0" xr:uid="{00000000-0006-0000-0500-00000A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 result</t>
        </r>
      </text>
    </comment>
    <comment ref="T39" authorId="0" shapeId="0" xr:uid="{00000000-0006-0000-0500-00000B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 result</t>
        </r>
      </text>
    </comment>
    <comment ref="V39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2H20 result</t>
        </r>
      </text>
    </comment>
    <comment ref="U43" authorId="1" shapeId="0" xr:uid="{00000000-0006-0000-0500-00000D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X43" authorId="1" shapeId="0" xr:uid="{00000000-0006-0000-0500-00000E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ay 1H21</t>
        </r>
      </text>
    </comment>
    <comment ref="AB43" authorId="1" shapeId="0" xr:uid="{A2CBE2F1-1CED-4360-8BB1-EB10F14A7242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FY23 (from A$238 bn)</t>
        </r>
      </text>
    </comment>
    <comment ref="AC43" authorId="1" shapeId="0" xr:uid="{B02070B8-F2BB-42A4-8D34-BEC86F043D7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1H24 result</t>
        </r>
      </text>
    </comment>
    <comment ref="X44" authorId="1" shapeId="0" xr:uid="{00000000-0006-0000-0500-00000F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ay 1H21</t>
        </r>
      </text>
    </comment>
    <comment ref="AB44" authorId="1" shapeId="0" xr:uid="{01C2E280-D177-421C-9B81-F79B2ECF72C9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FY23 from A$774.8 bn</t>
        </r>
      </text>
    </comment>
    <comment ref="AC44" authorId="1" shapeId="0" xr:uid="{48DD99E8-4199-4B02-9EFB-1394F8D7E93F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1H24 result</t>
        </r>
      </text>
    </comment>
    <comment ref="U45" authorId="1" shapeId="0" xr:uid="{00000000-0006-0000-0500-000010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T46" authorId="0" shapeId="0" xr:uid="{00000000-0006-0000-0500-000011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2H19 result</t>
        </r>
      </text>
    </comment>
    <comment ref="U46" authorId="1" shapeId="0" xr:uid="{00000000-0006-0000-0500-000012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K69" authorId="0" shapeId="0" xr:uid="{00000000-0006-0000-0500-000013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Don't change this number…the Mac Cap + Sec tax and pre-tax numbers are so small it is throwing out the whole process</t>
        </r>
      </text>
    </comment>
    <comment ref="L69" authorId="0" shapeId="0" xr:uid="{00000000-0006-0000-0500-000014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Don't change this number…the Mac Cap + Sec tax and pre-tax numbers are so small it is throwing out the whole process</t>
        </r>
      </text>
    </comment>
    <comment ref="B70" authorId="0" shapeId="0" xr:uid="{00000000-0006-0000-0500-000015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Goal seek this row to zero by changing row above</t>
        </r>
      </text>
    </comment>
    <comment ref="G80" authorId="3" shapeId="0" xr:uid="{00000000-0006-0000-0500-000016000000}">
      <text>
        <r>
          <rPr>
            <b/>
            <sz val="9"/>
            <color indexed="81"/>
            <rFont val="Tahoma"/>
            <family val="2"/>
          </rPr>
          <t>Chu, Dylan [GIR]:</t>
        </r>
        <r>
          <rPr>
            <sz val="9"/>
            <color indexed="81"/>
            <rFont val="Tahoma"/>
            <family val="2"/>
          </rPr>
          <t xml:space="preserve">
from 1H12 disclosure</t>
        </r>
      </text>
    </comment>
    <comment ref="H80" authorId="3" shapeId="0" xr:uid="{00000000-0006-0000-0500-000017000000}">
      <text>
        <r>
          <rPr>
            <b/>
            <sz val="9"/>
            <color indexed="81"/>
            <rFont val="Tahoma"/>
            <family val="2"/>
          </rPr>
          <t>Chu, Dylan [GIR]:</t>
        </r>
        <r>
          <rPr>
            <sz val="9"/>
            <color indexed="81"/>
            <rFont val="Tahoma"/>
            <family val="2"/>
          </rPr>
          <t xml:space="preserve">
Entered previously</t>
        </r>
      </text>
    </comment>
    <comment ref="U81" authorId="1" shapeId="0" xr:uid="{00000000-0006-0000-0500-000018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 result</t>
        </r>
      </text>
    </comment>
    <comment ref="AJ81" authorId="4" shapeId="0" xr:uid="{FC1D84B9-7348-48E4-AABB-8DD6F5F0FA9A}">
      <text>
        <r>
          <rPr>
            <b/>
            <sz val="9"/>
            <color indexed="81"/>
            <rFont val="Tahoma"/>
            <family val="2"/>
          </rPr>
          <t>Sproules, Brendan A:</t>
        </r>
        <r>
          <rPr>
            <sz val="9"/>
            <color indexed="81"/>
            <rFont val="Tahoma"/>
            <family val="2"/>
          </rPr>
          <t xml:space="preserve">
4Q divestment to Nomura - A$270m base fee impact</t>
        </r>
      </text>
    </comment>
    <comment ref="AK81" authorId="4" shapeId="0" xr:uid="{0CD59E57-59F0-4353-8A83-1E6754B2D752}">
      <text>
        <r>
          <rPr>
            <b/>
            <sz val="9"/>
            <color indexed="81"/>
            <rFont val="Tahoma"/>
            <family val="2"/>
          </rPr>
          <t>Sproules, Brendan A:</t>
        </r>
        <r>
          <rPr>
            <sz val="9"/>
            <color indexed="81"/>
            <rFont val="Tahoma"/>
            <family val="2"/>
          </rPr>
          <t xml:space="preserve">
Full period impact of Nomura divestment - A$512m per half-year</t>
        </r>
      </text>
    </comment>
    <comment ref="U82" authorId="1" shapeId="0" xr:uid="{00000000-0006-0000-0500-000019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 result</t>
        </r>
      </text>
    </comment>
    <comment ref="B84" authorId="0" shapeId="0" xr:uid="{00000000-0006-0000-0500-00001A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MQG suggests this averages c.50 bp of MIRA EUM over the cycle.  Our outer year are 30bp, which might be a bit low</t>
        </r>
      </text>
    </comment>
    <comment ref="N86" authorId="2" shapeId="0" xr:uid="{00000000-0006-0000-0500-00001B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no longer separately disclosed</t>
        </r>
      </text>
    </comment>
    <comment ref="U88" authorId="1" shapeId="0" xr:uid="{00000000-0006-0000-0500-00001C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 result</t>
        </r>
      </text>
    </comment>
    <comment ref="U89" authorId="1" shapeId="0" xr:uid="{00000000-0006-0000-0500-00001D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AJ89" authorId="4" shapeId="0" xr:uid="{B88CEAC7-6C1C-493F-A11D-9588C7DD8E50}">
      <text>
        <r>
          <rPr>
            <b/>
            <sz val="9"/>
            <color indexed="81"/>
            <rFont val="Tahoma"/>
            <family val="2"/>
          </rPr>
          <t>Sproules, Brendan A:</t>
        </r>
        <r>
          <rPr>
            <sz val="9"/>
            <color indexed="81"/>
            <rFont val="Tahoma"/>
            <family val="2"/>
          </rPr>
          <t xml:space="preserve">
Lower interest rates lead to reduced funding costs</t>
        </r>
      </text>
    </comment>
    <comment ref="U90" authorId="1" shapeId="0" xr:uid="{00000000-0006-0000-0500-00001E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 result</t>
        </r>
      </text>
    </comment>
    <comment ref="AJ91" authorId="5" shapeId="0" xr:uid="{CC63CA31-2323-4B78-B565-74EC4E000EA3}">
      <text>
        <r>
          <rPr>
            <b/>
            <sz val="9"/>
            <color indexed="81"/>
            <rFont val="Tahoma"/>
            <family val="2"/>
          </rPr>
          <t>Lim, Nicholas [GIR]:</t>
        </r>
        <r>
          <rPr>
            <sz val="9"/>
            <color indexed="81"/>
            <rFont val="Tahoma"/>
            <family val="2"/>
          </rPr>
          <t xml:space="preserve">
wont be positive for much longer</t>
        </r>
      </text>
    </comment>
    <comment ref="AH92" authorId="4" shapeId="0" xr:uid="{3EABD963-660D-4571-8E3E-881ABD350C73}">
      <text>
        <r>
          <rPr>
            <b/>
            <sz val="9"/>
            <color indexed="81"/>
            <rFont val="Tahoma"/>
            <family val="2"/>
          </rPr>
          <t>Sproules, Brendan A:</t>
        </r>
        <r>
          <rPr>
            <sz val="9"/>
            <color indexed="81"/>
            <rFont val="Tahoma"/>
            <family val="2"/>
          </rPr>
          <t xml:space="preserve">
Sale of Macquarie Rotocraft</t>
        </r>
      </text>
    </comment>
    <comment ref="AJ92" authorId="4" shapeId="0" xr:uid="{D1B521DB-AAFC-4116-9813-9F6F28E95C81}">
      <text>
        <r>
          <rPr>
            <b/>
            <sz val="9"/>
            <color indexed="81"/>
            <rFont val="Tahoma"/>
            <family val="2"/>
          </rPr>
          <t>Sproules, Brendan A:</t>
        </r>
        <r>
          <rPr>
            <sz val="9"/>
            <color indexed="81"/>
            <rFont val="Tahoma"/>
            <family val="2"/>
          </rPr>
          <t xml:space="preserve">
Estimated pre-tax gain on sale of Nomura divestment</t>
        </r>
      </text>
    </comment>
    <comment ref="U96" authorId="1" shapeId="0" xr:uid="{00000000-0006-0000-0500-00001F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U97" authorId="1" shapeId="0" xr:uid="{00000000-0006-0000-0500-000020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U98" authorId="1" shapeId="0" xr:uid="{00000000-0006-0000-0500-000021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U99" authorId="1" shapeId="0" xr:uid="{00000000-0006-0000-0500-000022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U105" authorId="1" shapeId="0" xr:uid="{00000000-0006-0000-0500-000023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V112" authorId="1" shapeId="0" xr:uid="{00000000-0006-0000-0500-000024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2H20 restatement</t>
        </r>
      </text>
    </comment>
    <comment ref="AH112" authorId="6" shapeId="0" xr:uid="{884D3A91-56FE-4542-9526-1635EA870837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Note on Loan Assets in MD&amp;A</t>
        </r>
      </text>
    </comment>
    <comment ref="T113" authorId="0" shapeId="0" xr:uid="{00000000-0006-0000-0500-000025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2H19</t>
        </r>
      </text>
    </comment>
    <comment ref="AB113" authorId="1" shapeId="0" xr:uid="{2CC5FB4A-67EA-44D8-8112-93B518E2633D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FY23</t>
        </r>
      </text>
    </comment>
    <comment ref="AH113" authorId="6" shapeId="0" xr:uid="{49921ED7-2D78-463F-AEEE-3234BC63DA1C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segment reporting - reportable segment assets - financial reports</t>
        </r>
      </text>
    </comment>
    <comment ref="U114" authorId="1" shapeId="0" xr:uid="{00000000-0006-0000-0500-000027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AF114" authorId="6" shapeId="0" xr:uid="{CEB2A7C3-CBB2-4BCB-B9F9-3FEC7E713222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slides</t>
        </r>
      </text>
    </comment>
    <comment ref="AG114" authorId="6" shapeId="0" xr:uid="{43A224D3-E608-490B-8438-B0AFC3799969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slides</t>
        </r>
      </text>
    </comment>
    <comment ref="AH114" authorId="6" shapeId="0" xr:uid="{0ED156D4-025D-4EF3-9B16-664042E9D701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"Approximate business Basel III Capital and ROE" slide</t>
        </r>
      </text>
    </comment>
    <comment ref="AJ115" authorId="4" shapeId="0" xr:uid="{63483196-63CE-4B5F-87AE-6D484FE479D0}">
      <text>
        <r>
          <rPr>
            <b/>
            <sz val="9"/>
            <color indexed="81"/>
            <rFont val="Tahoma"/>
            <family val="2"/>
          </rPr>
          <t>Sproules, Brendan A:</t>
        </r>
        <r>
          <rPr>
            <sz val="9"/>
            <color indexed="81"/>
            <rFont val="Tahoma"/>
            <family val="2"/>
          </rPr>
          <t xml:space="preserve">
Divestment of Nomura FUM - A$280bn</t>
        </r>
      </text>
    </comment>
    <comment ref="T117" authorId="0" shapeId="0" xr:uid="{00000000-0006-0000-0500-000028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2H19</t>
        </r>
      </text>
    </comment>
    <comment ref="X117" authorId="1" shapeId="0" xr:uid="{00000000-0006-0000-0500-000029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1H21 result</t>
        </r>
      </text>
    </comment>
    <comment ref="AB117" authorId="1" shapeId="0" xr:uid="{556BB7AE-B03E-408D-B18D-0C5E4AA2E60C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FY23 (from A$793.0 bn)</t>
        </r>
      </text>
    </comment>
    <comment ref="B119" authorId="0" shapeId="0" xr:uid="{00000000-0006-0000-0500-00002A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Comes from presentation. Look up: "of equity to deploy"</t>
        </r>
      </text>
    </comment>
    <comment ref="AF119" authorId="6" shapeId="0" xr:uid="{067ED6CA-D036-4364-B1DF-1B8EEEAF0D21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slides</t>
        </r>
      </text>
    </comment>
    <comment ref="AG119" authorId="6" shapeId="0" xr:uid="{C9F88960-6E92-4C33-B8C5-491630EEEE4F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slides</t>
        </r>
      </text>
    </comment>
    <comment ref="AH119" authorId="6" shapeId="0" xr:uid="{FB02A0CB-4C5D-4072-B370-B11C06469A9D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slides</t>
        </r>
      </text>
    </comment>
    <comment ref="U120" authorId="1" shapeId="0" xr:uid="{00000000-0006-0000-0500-00002B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AJ120" authorId="4" shapeId="0" xr:uid="{E4412662-E6D1-4ECB-AB1B-56598ADBB9B6}">
      <text>
        <r>
          <rPr>
            <b/>
            <sz val="9"/>
            <color indexed="81"/>
            <rFont val="Tahoma"/>
            <family val="2"/>
          </rPr>
          <t>Sproules, Brendan A:</t>
        </r>
        <r>
          <rPr>
            <sz val="9"/>
            <color indexed="81"/>
            <rFont val="Tahoma"/>
            <family val="2"/>
          </rPr>
          <t xml:space="preserve">
Reduction of 725 FTEs due to Nomura divestment</t>
        </r>
      </text>
    </comment>
    <comment ref="L125" authorId="0" shapeId="0" xr:uid="{00000000-0006-0000-0500-00002C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ING S. Korea</t>
        </r>
      </text>
    </comment>
    <comment ref="U126" authorId="0" shapeId="0" xr:uid="{00000000-0006-0000-0500-00002D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Currency + GLL Real Estate + ValueInvest</t>
        </r>
      </text>
    </comment>
    <comment ref="L127" authorId="0" shapeId="0" xr:uid="{00000000-0006-0000-0500-00002E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ING S. Korea</t>
        </r>
      </text>
    </comment>
    <comment ref="AJ127" authorId="4" shapeId="0" xr:uid="{E238C814-672D-4C82-B06C-E549778DE008}">
      <text>
        <r>
          <rPr>
            <b/>
            <sz val="9"/>
            <color indexed="81"/>
            <rFont val="Tahoma"/>
            <family val="2"/>
          </rPr>
          <t>Sproules, Brendan A:</t>
        </r>
        <r>
          <rPr>
            <sz val="9"/>
            <color indexed="81"/>
            <rFont val="Tahoma"/>
            <family val="2"/>
          </rPr>
          <t xml:space="preserve">
Reduction due to Nomura divestment</t>
        </r>
      </text>
    </comment>
    <comment ref="AK127" authorId="4" shapeId="0" xr:uid="{0583AC24-0E2A-4D25-93FF-83759E5861F4}">
      <text>
        <r>
          <rPr>
            <b/>
            <sz val="9"/>
            <color indexed="81"/>
            <rFont val="Tahoma"/>
            <family val="2"/>
          </rPr>
          <t>Sproules, Brendan A:</t>
        </r>
        <r>
          <rPr>
            <sz val="9"/>
            <color indexed="81"/>
            <rFont val="Tahoma"/>
            <family val="2"/>
          </rPr>
          <t xml:space="preserve">
Nomura divestment - total fee income impact - ~A$512m per half-year</t>
        </r>
      </text>
    </comment>
    <comment ref="H128" authorId="0" shapeId="0" xr:uid="{00000000-0006-0000-0500-00002F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Before this we have not excluded deployable equity becasuse it was not disclosed</t>
        </r>
      </text>
    </comment>
    <comment ref="U131" authorId="0" shapeId="0" xr:uid="{00000000-0006-0000-0500-000030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AASB15</t>
        </r>
      </text>
    </comment>
    <comment ref="AJ138" authorId="4" shapeId="0" xr:uid="{6DCF0732-740F-408A-8332-7D8E3F76398D}">
      <text>
        <r>
          <rPr>
            <b/>
            <sz val="9"/>
            <color indexed="81"/>
            <rFont val="Tahoma"/>
            <family val="2"/>
          </rPr>
          <t>Sproules, Brendan A:</t>
        </r>
        <r>
          <rPr>
            <sz val="9"/>
            <color indexed="81"/>
            <rFont val="Tahoma"/>
            <family val="2"/>
          </rPr>
          <t xml:space="preserve">
Nomura divestment</t>
        </r>
      </text>
    </comment>
    <comment ref="AK138" authorId="4" shapeId="0" xr:uid="{D2835467-8D4E-4A69-8483-53F155315530}">
      <text>
        <r>
          <rPr>
            <b/>
            <sz val="9"/>
            <color indexed="81"/>
            <rFont val="Tahoma"/>
            <family val="2"/>
          </rPr>
          <t>Sproules, Brendan A:</t>
        </r>
        <r>
          <rPr>
            <sz val="9"/>
            <color indexed="81"/>
            <rFont val="Tahoma"/>
            <family val="2"/>
          </rPr>
          <t xml:space="preserve">
Nomura divestment</t>
        </r>
      </text>
    </comment>
    <comment ref="U156" authorId="1" shapeId="0" xr:uid="{00000000-0006-0000-0500-000034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Reset at 1H20</t>
        </r>
      </text>
    </comment>
    <comment ref="AC158" authorId="1" shapeId="0" xr:uid="{186FC6E5-28CD-4D6C-BCF0-349E24778858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1H24 result</t>
        </r>
      </text>
    </comment>
    <comment ref="O159" authorId="0" shapeId="0" xr:uid="{00000000-0006-0000-0500-000035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To align with new dsiclosure now have all income run through other fee and commission</t>
        </r>
      </text>
    </comment>
    <comment ref="O164" authorId="0" shapeId="0" xr:uid="{00000000-0006-0000-0500-000036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To align with new dsiclosure now have all income run through other fee and commission</t>
        </r>
      </text>
    </comment>
    <comment ref="O165" authorId="0" shapeId="0" xr:uid="{00000000-0006-0000-0500-000037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To align with new dsiclosure now have all income run through other fee and commission</t>
        </r>
      </text>
    </comment>
    <comment ref="AC166" authorId="1" shapeId="0" xr:uid="{34E95749-F775-45FF-9E0C-92FC3343F46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1H24 result</t>
        </r>
      </text>
    </comment>
    <comment ref="T190" authorId="0" shapeId="0" xr:uid="{00000000-0006-0000-0500-000038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2H19</t>
        </r>
      </text>
    </comment>
    <comment ref="Y190" authorId="1" shapeId="0" xr:uid="{00000000-0006-0000-0500-000039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1H22</t>
        </r>
      </text>
    </comment>
    <comment ref="T191" authorId="0" shapeId="0" xr:uid="{00000000-0006-0000-0500-00003A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2H19</t>
        </r>
      </text>
    </comment>
    <comment ref="AH191" authorId="6" shapeId="0" xr:uid="{FB195EEA-A4F7-44D7-9524-97836A5C6A94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segment reporting - reportable segment assets - financial reports</t>
        </r>
      </text>
    </comment>
    <comment ref="AF192" authorId="6" shapeId="0" xr:uid="{6F5E7118-66A1-40D3-9C71-661CCA25335C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slides</t>
        </r>
      </text>
    </comment>
    <comment ref="AG192" authorId="6" shapeId="0" xr:uid="{EF7955B9-1B76-4372-9FAC-1B64E218E3D1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slides</t>
        </r>
      </text>
    </comment>
    <comment ref="AH192" authorId="6" shapeId="0" xr:uid="{6FF0781E-A411-4FF9-9D43-6BC07BCC0D4B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"Approximate business Basel III Capital and ROE" slide</t>
        </r>
      </text>
    </comment>
    <comment ref="W225" authorId="1" shapeId="0" xr:uid="{00000000-0006-0000-0500-00003B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Equities into Capital</t>
        </r>
      </text>
    </comment>
    <comment ref="U236" authorId="1" shapeId="0" xr:uid="{00000000-0006-0000-0500-00003C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U238" authorId="0" shapeId="0" xr:uid="{00000000-0006-0000-0500-00003D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AC238" authorId="1" shapeId="0" xr:uid="{5075271A-D902-46EA-B265-E6C2497AC577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1H24 result</t>
        </r>
      </text>
    </comment>
    <comment ref="AD238" authorId="1" shapeId="0" xr:uid="{EADDAA59-CCA6-49F6-801C-5788ACB516B2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FY24</t>
        </r>
      </text>
    </comment>
    <comment ref="AD239" authorId="1" shapeId="0" xr:uid="{AEE4D5F2-9F14-4C50-B4E6-16215004428F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FY24</t>
        </r>
      </text>
    </comment>
    <comment ref="AD242" authorId="1" shapeId="0" xr:uid="{D7CADAA7-494C-46EC-A217-6E1037FFABB2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FY24</t>
        </r>
      </text>
    </comment>
    <comment ref="U243" authorId="1" shapeId="0" xr:uid="{00000000-0006-0000-0500-00003E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AD243" authorId="1" shapeId="0" xr:uid="{D1107002-754D-4B44-A740-B95CE83D826D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FY24</t>
        </r>
      </text>
    </comment>
    <comment ref="AH243" authorId="5" shapeId="0" xr:uid="{427FA9B2-C842-4512-B4F7-3CF7A41060E3}">
      <text>
        <r>
          <rPr>
            <b/>
            <sz val="9"/>
            <color indexed="81"/>
            <rFont val="Tahoma"/>
            <family val="2"/>
          </rPr>
          <t>Lim, Nicholas [GIR]:</t>
        </r>
        <r>
          <rPr>
            <sz val="9"/>
            <color indexed="81"/>
            <rFont val="Tahoma"/>
            <family val="2"/>
          </rPr>
          <t xml:space="preserve">
708+245+54</t>
        </r>
      </text>
    </comment>
    <comment ref="S245" authorId="0" shapeId="0" xr:uid="{00000000-0006-0000-0500-00003F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</t>
        </r>
      </text>
    </comment>
    <comment ref="T245" authorId="0" shapeId="0" xr:uid="{00000000-0006-0000-0500-000040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1H19</t>
        </r>
      </text>
    </comment>
    <comment ref="U245" authorId="1" shapeId="0" xr:uid="{00000000-0006-0000-0500-000041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U250" authorId="1" shapeId="0" xr:uid="{00000000-0006-0000-0500-000042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AC250" authorId="1" shapeId="0" xr:uid="{87497B18-F887-45F5-8B49-BC161363D956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1H24 result</t>
        </r>
      </text>
    </comment>
    <comment ref="U251" authorId="1" shapeId="0" xr:uid="{00000000-0006-0000-0500-000043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U252" authorId="1" shapeId="0" xr:uid="{00000000-0006-0000-0500-000044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AC252" authorId="1" shapeId="0" xr:uid="{C42F14E3-ACF4-4479-A276-617C636CE55D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1H24 result</t>
        </r>
      </text>
    </comment>
    <comment ref="U253" authorId="1" shapeId="0" xr:uid="{00000000-0006-0000-0500-000045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AC253" authorId="1" shapeId="0" xr:uid="{4EEB107B-E033-4940-81B4-DBE4E47A021F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1H24 result</t>
        </r>
      </text>
    </comment>
    <comment ref="U259" authorId="1" shapeId="0" xr:uid="{00000000-0006-0000-0500-000046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AH259" authorId="6" shapeId="0" xr:uid="{3400229B-8961-4E31-BBB3-042249BC3001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"Internal management revenue" in MD&amp;A</t>
        </r>
      </text>
    </comment>
    <comment ref="V266" authorId="1" shapeId="0" xr:uid="{00000000-0006-0000-0500-000047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2H20</t>
        </r>
      </text>
    </comment>
    <comment ref="T267" authorId="0" shapeId="0" xr:uid="{00000000-0006-0000-0500-000048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2H19</t>
        </r>
      </text>
    </comment>
    <comment ref="U267" authorId="1" shapeId="0" xr:uid="{00000000-0006-0000-0500-000049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V267" authorId="1" shapeId="0" xr:uid="{00000000-0006-0000-0500-00004A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2H20</t>
        </r>
      </text>
    </comment>
    <comment ref="W267" authorId="1" shapeId="0" xr:uid="{00000000-0006-0000-0500-00004B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1H21</t>
        </r>
      </text>
    </comment>
    <comment ref="AH267" authorId="6" shapeId="0" xr:uid="{D2DC773D-C337-4164-ABB3-C5892E78D776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segment reporting - reportable segment assets - financial reports</t>
        </r>
      </text>
    </comment>
    <comment ref="U268" authorId="1" shapeId="0" xr:uid="{00000000-0006-0000-0500-00004C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AF268" authorId="6" shapeId="0" xr:uid="{BE62DB68-15AB-4305-941C-3A595321E2F0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slides</t>
        </r>
      </text>
    </comment>
    <comment ref="AG268" authorId="6" shapeId="0" xr:uid="{7D8207F2-8EA9-4EA9-93CA-CD02FA19D550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slides</t>
        </r>
      </text>
    </comment>
    <comment ref="AH268" authorId="6" shapeId="0" xr:uid="{E007FCF2-C2AA-4FD3-AD4C-09EE86A18502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"Approximate business Basel III Capital and ROE" slide</t>
        </r>
      </text>
    </comment>
    <comment ref="T273" authorId="0" shapeId="0" xr:uid="{00000000-0006-0000-0500-00004D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2H19</t>
        </r>
      </text>
    </comment>
    <comment ref="U273" authorId="1" shapeId="0" xr:uid="{00000000-0006-0000-0500-00004E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W273" authorId="1" shapeId="0" xr:uid="{00000000-0006-0000-0500-00004F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Equities into Capital</t>
        </r>
      </text>
    </comment>
    <comment ref="U284" authorId="0" shapeId="0" xr:uid="{00000000-0006-0000-0500-000050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AASB15</t>
        </r>
      </text>
    </comment>
    <comment ref="AJ284" authorId="4" shapeId="0" xr:uid="{6D2F6875-0750-47F0-8D31-5C71CC402B0C}">
      <text>
        <r>
          <rPr>
            <b/>
            <sz val="9"/>
            <color indexed="81"/>
            <rFont val="Tahoma"/>
            <family val="2"/>
          </rPr>
          <t>Sproules, Brendan A:</t>
        </r>
        <r>
          <rPr>
            <sz val="9"/>
            <color indexed="81"/>
            <rFont val="Tahoma"/>
            <family val="2"/>
          </rPr>
          <t xml:space="preserve">
Iberdrole smart meters EBITDA</t>
        </r>
      </text>
    </comment>
    <comment ref="AJ289" authorId="7" shapeId="0" xr:uid="{B8AF81FC-DB1A-439A-BC73-F32259433CC0}">
      <text>
        <r>
          <rPr>
            <b/>
            <sz val="9"/>
            <color indexed="81"/>
            <rFont val="Tahoma"/>
            <family val="2"/>
          </rPr>
          <t>Vaghani, Rushil [GIR]:</t>
        </r>
        <r>
          <rPr>
            <sz val="9"/>
            <color indexed="81"/>
            <rFont val="Tahoma"/>
            <family val="2"/>
          </rPr>
          <t xml:space="preserve">
impact of smart meters purchase. one half EBITDA contribution</t>
        </r>
      </text>
    </comment>
    <comment ref="AK289" authorId="7" shapeId="0" xr:uid="{5ACAAD2B-E8C4-47E1-9080-3138A17051EA}">
      <text>
        <r>
          <rPr>
            <b/>
            <sz val="9"/>
            <color indexed="81"/>
            <rFont val="Tahoma"/>
            <family val="2"/>
          </rPr>
          <t>Vaghani, Rushil [GIR]:</t>
        </r>
        <r>
          <rPr>
            <sz val="9"/>
            <color indexed="81"/>
            <rFont val="Tahoma"/>
            <family val="2"/>
          </rPr>
          <t xml:space="preserve">
full year EBITDA contribution from smart meters business</t>
        </r>
      </text>
    </comment>
    <comment ref="K291" authorId="0" shapeId="0" xr:uid="{00000000-0006-0000-0500-000051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MEC write-downs</t>
        </r>
      </text>
    </comment>
    <comment ref="W305" authorId="1" shapeId="0" xr:uid="{00000000-0006-0000-0500-000052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Equities out OF CGM</t>
        </r>
      </text>
    </comment>
    <comment ref="O315" authorId="0" shapeId="0" xr:uid="{00000000-0006-0000-0500-000053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To align with new dsiclosure now have all income run through other fee and commission</t>
        </r>
      </text>
    </comment>
    <comment ref="U315" authorId="1" shapeId="0" xr:uid="{00000000-0006-0000-0500-000054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O316" authorId="0" shapeId="0" xr:uid="{00000000-0006-0000-0500-000055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To align with new dsiclosure now have all income run through other fee and commission</t>
        </r>
      </text>
    </comment>
    <comment ref="O317" authorId="0" shapeId="0" xr:uid="{00000000-0006-0000-0500-000056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To align with new dsiclosure now have all income run through other fee and commission</t>
        </r>
      </text>
    </comment>
    <comment ref="U318" authorId="1" shapeId="0" xr:uid="{00000000-0006-0000-0500-000057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U320" authorId="1" shapeId="0" xr:uid="{00000000-0006-0000-0500-000058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U321" authorId="1" shapeId="0" xr:uid="{00000000-0006-0000-0500-00005A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U326" authorId="1" shapeId="0" xr:uid="{00000000-0006-0000-0500-00005B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U327" authorId="1" shapeId="0" xr:uid="{00000000-0006-0000-0500-00005C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U328" authorId="1" shapeId="0" xr:uid="{00000000-0006-0000-0500-00005D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U329" authorId="1" shapeId="0" xr:uid="{00000000-0006-0000-0500-00005E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U331" authorId="1" shapeId="0" xr:uid="{00000000-0006-0000-0500-00005F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U335" authorId="1" shapeId="0" xr:uid="{00000000-0006-0000-0500-000060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T343" authorId="0" shapeId="0" xr:uid="{00000000-0006-0000-0500-000061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2H19</t>
        </r>
      </text>
    </comment>
    <comment ref="U343" authorId="1" shapeId="0" xr:uid="{00000000-0006-0000-0500-000062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W343" authorId="1" shapeId="0" xr:uid="{00000000-0006-0000-0500-000063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1H21 result</t>
        </r>
      </text>
    </comment>
    <comment ref="AB343" authorId="1" shapeId="0" xr:uid="{D65E429D-92DB-4A54-A2F6-6B336B1D39D5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Fy23</t>
        </r>
      </text>
    </comment>
    <comment ref="AH343" authorId="6" shapeId="0" xr:uid="{F45954AB-71B4-4747-9E4A-9816B6CD71CC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segment reporting - reportable segment assets - financial reports</t>
        </r>
      </text>
    </comment>
    <comment ref="AI343" authorId="6" shapeId="0" xr:uid="{18C24ACA-D469-4840-9A36-93BFD0F0E62A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segment reporting - reportable segment assets - financial reports</t>
        </r>
      </text>
    </comment>
    <comment ref="U344" authorId="1" shapeId="0" xr:uid="{00000000-0006-0000-0500-000064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AF344" authorId="6" shapeId="0" xr:uid="{B8BEC760-0E3B-4812-82F4-394F16D815F6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slides</t>
        </r>
      </text>
    </comment>
    <comment ref="AG344" authorId="6" shapeId="0" xr:uid="{68FED792-6681-4B7E-8C0C-B4C823999804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slides</t>
        </r>
      </text>
    </comment>
    <comment ref="AH344" authorId="6" shapeId="0" xr:uid="{6BBA3199-416B-4C7E-93C5-A3098EA3EF33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"Approximate business Basel III Capital and ROE" slide</t>
        </r>
      </text>
    </comment>
    <comment ref="U349" authorId="0" shapeId="0" xr:uid="{00000000-0006-0000-0500-000065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1H20</t>
        </r>
      </text>
    </comment>
    <comment ref="W349" authorId="1" shapeId="0" xr:uid="{00000000-0006-0000-0500-000066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Equities out OF CGM</t>
        </r>
      </text>
    </comment>
    <comment ref="AK453" authorId="4" shapeId="0" xr:uid="{F98F8A2F-999A-4408-8AF9-78B15FE600D8}">
      <text>
        <r>
          <rPr>
            <b/>
            <sz val="9"/>
            <color indexed="81"/>
            <rFont val="Tahoma"/>
            <family val="2"/>
          </rPr>
          <t>Sproules, Brendan A:</t>
        </r>
        <r>
          <rPr>
            <sz val="9"/>
            <color indexed="81"/>
            <rFont val="Tahoma"/>
            <family val="2"/>
          </rPr>
          <t xml:space="preserve">
Proceeds from Nomura divestment</t>
        </r>
      </text>
    </comment>
    <comment ref="AJ466" authorId="4" shapeId="0" xr:uid="{DF25DE20-1E5C-4FEC-9331-F7A4E502F24C}">
      <text>
        <r>
          <rPr>
            <b/>
            <sz val="9"/>
            <color indexed="81"/>
            <rFont val="Tahoma"/>
            <family val="2"/>
          </rPr>
          <t>Sproules, Brendan A:</t>
        </r>
        <r>
          <rPr>
            <sz val="9"/>
            <color indexed="81"/>
            <rFont val="Tahoma"/>
            <family val="2"/>
          </rPr>
          <t xml:space="preserve">
Management guided to $100m loss on GIG in 2H26 - sum of net loss from subs plus net trading income</t>
        </r>
      </text>
    </comment>
    <comment ref="F527" authorId="3" shapeId="0" xr:uid="{00000000-0006-0000-0500-000069000000}">
      <text>
        <r>
          <rPr>
            <b/>
            <sz val="9"/>
            <color indexed="81"/>
            <rFont val="Tahoma"/>
            <family val="2"/>
          </rPr>
          <t>Chu, Dylan [GIR]:</t>
        </r>
        <r>
          <rPr>
            <sz val="9"/>
            <color indexed="81"/>
            <rFont val="Tahoma"/>
            <family val="2"/>
          </rPr>
          <t xml:space="preserve">
new disclosure starts</t>
        </r>
      </text>
    </comment>
    <comment ref="K579" authorId="0" shapeId="0" xr:uid="{00000000-0006-0000-0500-00006A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MEC write-downs</t>
        </r>
      </text>
    </comment>
    <comment ref="K648" authorId="0" shapeId="0" xr:uid="{00000000-0006-0000-0500-00006B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Sale of Exchange in 2H13 = A$22 mn</t>
        </r>
      </text>
    </comment>
    <comment ref="U661" authorId="1" shapeId="0" xr:uid="{00000000-0006-0000-0500-00006C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Reallocated at 1H20 results to MAM, CGM and Capital</t>
        </r>
      </text>
    </comment>
    <comment ref="F684" authorId="3" shapeId="0" xr:uid="{00000000-0006-0000-0500-00006D000000}">
      <text>
        <r>
          <rPr>
            <b/>
            <sz val="9"/>
            <color indexed="81"/>
            <rFont val="Tahoma"/>
            <family val="2"/>
          </rPr>
          <t>Chu, Dylan [GIR]:</t>
        </r>
        <r>
          <rPr>
            <sz val="9"/>
            <color indexed="81"/>
            <rFont val="Tahoma"/>
            <family val="2"/>
          </rPr>
          <t xml:space="preserve">
Not disclosed</t>
        </r>
      </text>
    </comment>
    <comment ref="B698" authorId="0" shapeId="0" xr:uid="{00000000-0006-0000-0500-00006E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Brazil's business needs about A$3 bn of new lending each year just to stay still</t>
        </r>
      </text>
    </comment>
    <comment ref="T698" authorId="0" shapeId="0" xr:uid="{00000000-0006-0000-0500-00006F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2H19</t>
        </r>
      </text>
    </comment>
    <comment ref="T700" authorId="0" shapeId="0" xr:uid="{00000000-0006-0000-0500-000070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2H19</t>
        </r>
      </text>
    </comment>
    <comment ref="T706" authorId="0" shapeId="0" xr:uid="{00000000-0006-0000-0500-000071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Restated at 2H19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Lyons</author>
  </authors>
  <commentList>
    <comment ref="B37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ERW = Equivalent risk weight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<sst xmlns="http://schemas.openxmlformats.org/spreadsheetml/2006/main" count="5269" uniqueCount="1988">
  <si>
    <t>Period</t>
  </si>
  <si>
    <t>Actual (A) / forecast (F)</t>
  </si>
  <si>
    <t>Period end</t>
  </si>
  <si>
    <t>Master check</t>
  </si>
  <si>
    <t>Half-year annualiser</t>
  </si>
  <si>
    <t>Net interest margin</t>
  </si>
  <si>
    <t>Average interest earning assets</t>
  </si>
  <si>
    <t>Net interest income</t>
  </si>
  <si>
    <t>Net trading income</t>
  </si>
  <si>
    <t>Equity accounted net profits</t>
  </si>
  <si>
    <t>Other operating income</t>
  </si>
  <si>
    <t>Other operating expenses</t>
  </si>
  <si>
    <t>Allocation of central costs</t>
  </si>
  <si>
    <t>Profit share</t>
  </si>
  <si>
    <t>Employment expenses</t>
  </si>
  <si>
    <t>Tax</t>
  </si>
  <si>
    <t>Minorities</t>
  </si>
  <si>
    <t>Base fees</t>
  </si>
  <si>
    <t>Performance fees</t>
  </si>
  <si>
    <t>Brokerage &amp; commissions</t>
  </si>
  <si>
    <t>M&amp;A, advisory &amp; underwriting fees</t>
  </si>
  <si>
    <t>Brokerage and commission expenses</t>
  </si>
  <si>
    <t>Assets under management - total</t>
  </si>
  <si>
    <t>Assets under management - MIRA</t>
  </si>
  <si>
    <t>Assets under management - ex-MIRA</t>
  </si>
  <si>
    <t>Headcount</t>
  </si>
  <si>
    <t>Return on equity</t>
  </si>
  <si>
    <t>Tax rate implied by revenue mix</t>
  </si>
  <si>
    <t>Estimated tax rate</t>
  </si>
  <si>
    <t>Other fee and commission income</t>
  </si>
  <si>
    <t>Base fees - MIRA</t>
  </si>
  <si>
    <t>Base fees - ex-MIRA</t>
  </si>
  <si>
    <t>Performance fees - ex-MIRA</t>
  </si>
  <si>
    <t>Performance fees - MIRA</t>
  </si>
  <si>
    <t>MACQUARIE GROUP</t>
  </si>
  <si>
    <t>Total revenues</t>
  </si>
  <si>
    <t>CORPORATE AND ASSET FINANCE</t>
  </si>
  <si>
    <t>BANKING AND FINANCIAL SERVICES</t>
  </si>
  <si>
    <t>Net trading income - commodities</t>
  </si>
  <si>
    <t>Net trading income - other</t>
  </si>
  <si>
    <t>Profit and loss</t>
  </si>
  <si>
    <t>Balance sheet</t>
  </si>
  <si>
    <t>Loans</t>
  </si>
  <si>
    <t>Assets</t>
  </si>
  <si>
    <t>Equity under management</t>
  </si>
  <si>
    <t>Bad debt charge</t>
  </si>
  <si>
    <t>MACQUARIE SECURITIES</t>
  </si>
  <si>
    <t>MACQUARIE CAPITAL</t>
  </si>
  <si>
    <t>CORPORATE</t>
  </si>
  <si>
    <t>Ordinary equity</t>
  </si>
  <si>
    <t>Cash earnings adjustments</t>
  </si>
  <si>
    <t>Pre-tax earnings (post minorities)</t>
  </si>
  <si>
    <t>Pre-tax earnings (pre-minorities)</t>
  </si>
  <si>
    <t>Earnings on capital and other central costs</t>
  </si>
  <si>
    <t>Estimated divisional cash earnings</t>
  </si>
  <si>
    <t>n.a.</t>
  </si>
  <si>
    <t>Tax rate differential - ex-Capital &amp; Securities</t>
  </si>
  <si>
    <t>Tax rate differential - Capital &amp; Securities</t>
  </si>
  <si>
    <t>Loan growth (sequential)</t>
  </si>
  <si>
    <t>Move in margins (sequential)</t>
  </si>
  <si>
    <t>Growth in AUM (ex-MIRA)</t>
  </si>
  <si>
    <t>Growth in EUM</t>
  </si>
  <si>
    <t>M&amp;A fee growth</t>
  </si>
  <si>
    <t>Brokerage &amp; commissions growth</t>
  </si>
  <si>
    <t>Other fee and commission growth</t>
  </si>
  <si>
    <t>Trading income growth</t>
  </si>
  <si>
    <t>Other income growth</t>
  </si>
  <si>
    <t>Employment expenses (ex-profit share) per employee</t>
  </si>
  <si>
    <t>Other operating expenses growth</t>
  </si>
  <si>
    <t>Return on assets</t>
  </si>
  <si>
    <t>Prop'n of earnings above 11% pre-tax ROE paid to staff</t>
  </si>
  <si>
    <t>Trading income growth - commodities</t>
  </si>
  <si>
    <t>Trading income growth - other</t>
  </si>
  <si>
    <t>PROFIT AND LOSS STATEMENT</t>
  </si>
  <si>
    <t>Asset quality</t>
  </si>
  <si>
    <t>Base fees (ex-MIRA) / AUM (ex-MIRA)</t>
  </si>
  <si>
    <t>Base fees (MIRA) / EUM</t>
  </si>
  <si>
    <t>Bad debt charge / loans</t>
  </si>
  <si>
    <t>Employment expenses (ex-profit share) / income</t>
  </si>
  <si>
    <t>Other operating expenses / assets</t>
  </si>
  <si>
    <t>Total expenses / income</t>
  </si>
  <si>
    <t>Assets / equity</t>
  </si>
  <si>
    <t>Other income / operating leases</t>
  </si>
  <si>
    <t>Write-offs / total loans</t>
  </si>
  <si>
    <t>ASS_AQIANHL</t>
  </si>
  <si>
    <t>ASS_AQTotalNCOAvTotalLoans</t>
  </si>
  <si>
    <t>Individual provisions / impaired assets</t>
  </si>
  <si>
    <t>Collective provisions / credit risk weighted assets</t>
  </si>
  <si>
    <t>BDDs / total loans</t>
  </si>
  <si>
    <t>ASS_AQIPIA</t>
  </si>
  <si>
    <t>ASS_AQCPNHL</t>
  </si>
  <si>
    <t>ASS_AQBDDAvTotalLoans</t>
  </si>
  <si>
    <t>Taxation</t>
  </si>
  <si>
    <t>Corporate tax rate</t>
  </si>
  <si>
    <t>Tax rate foregone (GS basis)</t>
  </si>
  <si>
    <t>Proportion of franking credit valued</t>
  </si>
  <si>
    <t>ASS_TXCorpRate</t>
  </si>
  <si>
    <t>ASS_TXBankRateGS</t>
  </si>
  <si>
    <t>ASS_TXAustralia</t>
  </si>
  <si>
    <t>ASS_TXFrankingValued</t>
  </si>
  <si>
    <t>Capital</t>
  </si>
  <si>
    <t>ASS_CapitalDPS</t>
  </si>
  <si>
    <t>DPS</t>
  </si>
  <si>
    <t>ASS_CapitalDPSPayout</t>
  </si>
  <si>
    <t>Payout ratio</t>
  </si>
  <si>
    <t>ASS_CapitalDPSFranking</t>
  </si>
  <si>
    <t>ASS_CapitalDPSFrankingRate</t>
  </si>
  <si>
    <t>Franking rate</t>
  </si>
  <si>
    <t>ASS_CapitalShareIssuance</t>
  </si>
  <si>
    <t>Net shares issued</t>
  </si>
  <si>
    <t>ASS_CapitalPESharePrice</t>
  </si>
  <si>
    <t>Period end share price</t>
  </si>
  <si>
    <t>ASS_CapitalAvShareIssuancePrice</t>
  </si>
  <si>
    <t>Average net issuance share price</t>
  </si>
  <si>
    <t>Risk weight on bank non-lending assets</t>
  </si>
  <si>
    <t>ASS_CapitalCapitalRatio</t>
  </si>
  <si>
    <t>ASS_CapitalReportedRatio</t>
  </si>
  <si>
    <t>CET1_Surplus</t>
  </si>
  <si>
    <t>Fee and commission income</t>
  </si>
  <si>
    <t>ERW on non bank cash and liquids</t>
  </si>
  <si>
    <t>ERW on non bank loan assets</t>
  </si>
  <si>
    <t>ERW on non bank debt investment securities</t>
  </si>
  <si>
    <t>ERW on non bank co-investments</t>
  </si>
  <si>
    <t>ERW on non bank other</t>
  </si>
  <si>
    <t>Error check #1</t>
  </si>
  <si>
    <t>Preference dividend</t>
  </si>
  <si>
    <t>Non-recurring items</t>
  </si>
  <si>
    <t>Reported profit</t>
  </si>
  <si>
    <t>Cash profit</t>
  </si>
  <si>
    <t>Move in foreign currency translation reserve</t>
  </si>
  <si>
    <t>Net effect of change in accouting policies</t>
  </si>
  <si>
    <t>Other adjustments</t>
  </si>
  <si>
    <t>Equity earnings</t>
  </si>
  <si>
    <t>ORDINARY SHAREHOLDER EQUITY</t>
  </si>
  <si>
    <t>OrdEqu_BOP</t>
  </si>
  <si>
    <t>Ordinary shareholder`s equity - BOP</t>
  </si>
  <si>
    <t>OrdEqu_TotalEquEarnings</t>
  </si>
  <si>
    <t>OrdEqu_OrdDiv</t>
  </si>
  <si>
    <t>Ordinary dividend</t>
  </si>
  <si>
    <t>OrdEqu_PrefDiv</t>
  </si>
  <si>
    <t>OrdEqu_SharesIssued</t>
  </si>
  <si>
    <t>OrdEqu_EOP</t>
  </si>
  <si>
    <t>Ordinary shareholder`s equity - EOP</t>
  </si>
  <si>
    <t>OrdEqu_Pref</t>
  </si>
  <si>
    <t>Preference shares</t>
  </si>
  <si>
    <t>OrdEqu_OEI</t>
  </si>
  <si>
    <t>OEIs</t>
  </si>
  <si>
    <t>OrdEqu_TotalEquity</t>
  </si>
  <si>
    <t>Total equity - EOP</t>
  </si>
  <si>
    <t>OrdEqu_SOIEOP</t>
  </si>
  <si>
    <t>Shares on issue - EOP</t>
  </si>
  <si>
    <t>OrdEqu_AvSOIBasic</t>
  </si>
  <si>
    <t>Average shares on issue - basic</t>
  </si>
  <si>
    <t>OrdEqu_AvSOIDiluted</t>
  </si>
  <si>
    <t>Average shares on issue - diluted</t>
  </si>
  <si>
    <t>OrdEqu_DilutionAdj</t>
  </si>
  <si>
    <t>Dilution adjustment</t>
  </si>
  <si>
    <t>FUNDED BALANCE SHEET</t>
  </si>
  <si>
    <t>Assumptions and ratios</t>
  </si>
  <si>
    <t>Preference dividends</t>
  </si>
  <si>
    <t>90-day bill rate</t>
  </si>
  <si>
    <t>au_bbsw3m_avg_6m</t>
  </si>
  <si>
    <t>GROUP</t>
  </si>
  <si>
    <t>Cash and liquid assets</t>
  </si>
  <si>
    <t>Self securitisation</t>
  </si>
  <si>
    <t>Net trading assets</t>
  </si>
  <si>
    <t>Loan assets less than one year</t>
  </si>
  <si>
    <t>Loan assets greater than one year</t>
  </si>
  <si>
    <t>Debt investment securities</t>
  </si>
  <si>
    <t>Co-investment in Macquarie-managed funds and other equity investments</t>
  </si>
  <si>
    <t>Other</t>
  </si>
  <si>
    <t>MBL intra-group loan to MGL</t>
  </si>
  <si>
    <t>Non-Banking Group deposit with MBL</t>
  </si>
  <si>
    <t>&lt;insert more as required&gt;</t>
  </si>
  <si>
    <t>Total assets</t>
  </si>
  <si>
    <t>Short-term wholesale paper</t>
  </si>
  <si>
    <t>Net trade creditors</t>
  </si>
  <si>
    <t>Structured notes</t>
  </si>
  <si>
    <t>Secured funding</t>
  </si>
  <si>
    <t>Bonds</t>
  </si>
  <si>
    <t>Other loans</t>
  </si>
  <si>
    <t>Senior Credit Facility</t>
  </si>
  <si>
    <t>Deposits</t>
  </si>
  <si>
    <t>Loan capital</t>
  </si>
  <si>
    <t>Total liabilities</t>
  </si>
  <si>
    <t>Ordinary share capital</t>
  </si>
  <si>
    <t>Treasury shares</t>
  </si>
  <si>
    <t>Exhcnageable shares</t>
  </si>
  <si>
    <t>Reserves</t>
  </si>
  <si>
    <t>Retained earnings</t>
  </si>
  <si>
    <t>Minority interests</t>
  </si>
  <si>
    <t>Total equity</t>
  </si>
  <si>
    <t>BANK</t>
  </si>
  <si>
    <t>NON-BANK</t>
  </si>
  <si>
    <t>ELIGIBLE CAPITAL</t>
  </si>
  <si>
    <t>Exchangeable shares</t>
  </si>
  <si>
    <t>Error check #2</t>
  </si>
  <si>
    <t>+ Prudential adjustments</t>
  </si>
  <si>
    <t>= Gross common equity capital Tier 1 capital</t>
  </si>
  <si>
    <t>+ Total common equity tier 1 capital deductions</t>
  </si>
  <si>
    <t>Goodwill</t>
  </si>
  <si>
    <t>Deferred tax assets</t>
  </si>
  <si>
    <t>Intangible component of investment in subsidiaries</t>
  </si>
  <si>
    <t>Capitalised fees and commissions</t>
  </si>
  <si>
    <t>Expected loss in excess of provisions</t>
  </si>
  <si>
    <t>Total</t>
  </si>
  <si>
    <t>Equity exposures</t>
  </si>
  <si>
    <t>= Total eligible capital</t>
  </si>
  <si>
    <t>Total eligible capital</t>
  </si>
  <si>
    <t>CAPITAL REQUIREMENT</t>
  </si>
  <si>
    <t>Credit risk weighted assets</t>
  </si>
  <si>
    <t>Non-credit risk weighted assets</t>
  </si>
  <si>
    <t>Total risk weighted assets</t>
  </si>
  <si>
    <t>ASS_CapitalTargetRatio</t>
  </si>
  <si>
    <t>CET1</t>
  </si>
  <si>
    <t>Bank deductions from the non-bank</t>
  </si>
  <si>
    <t>Total capital charge</t>
  </si>
  <si>
    <t>Credit risk weight on bank loans</t>
  </si>
  <si>
    <t>Loan assets</t>
  </si>
  <si>
    <t>Off balance sheets exposures, operational, market and other risk and diversification offset</t>
  </si>
  <si>
    <t>DISTRIBUTED CASH FLOW</t>
  </si>
  <si>
    <t>Cash earnings</t>
  </si>
  <si>
    <t>Equity cash earnings</t>
  </si>
  <si>
    <t>Capital deduction for risk weighted asset growth</t>
  </si>
  <si>
    <t>Capital deduction for non-bank</t>
  </si>
  <si>
    <t>Other capital requirements</t>
  </si>
  <si>
    <t>Free cash flow</t>
  </si>
  <si>
    <t>Release of surplus capital</t>
  </si>
  <si>
    <t>Distributed cash flow</t>
  </si>
  <si>
    <t>Dividends</t>
  </si>
  <si>
    <t>Distributed cash flow and value of franking credits</t>
  </si>
  <si>
    <t>DistCF_OrdDiv</t>
  </si>
  <si>
    <t>DistCF_ShareIssuance</t>
  </si>
  <si>
    <t>DistCF_Total</t>
  </si>
  <si>
    <t>DistCF_ValueofFranking</t>
  </si>
  <si>
    <t>DistCF_TotalandFranking</t>
  </si>
  <si>
    <t>Value of franking credits distributed</t>
  </si>
  <si>
    <t>DistCF_CE</t>
  </si>
  <si>
    <t>DistCF_MoveinFCTR</t>
  </si>
  <si>
    <t>DistCF_MoveinAccounting</t>
  </si>
  <si>
    <t>DistCF_TotalEquEarnings</t>
  </si>
  <si>
    <t>DistCF_DednRWA</t>
  </si>
  <si>
    <t>DistCF_Other</t>
  </si>
  <si>
    <t>DistCF_FCF</t>
  </si>
  <si>
    <t>DistCF_ReleaseofSurplus</t>
  </si>
  <si>
    <t>DistCF_DednNonBank</t>
  </si>
  <si>
    <t>DistCF_DednOther</t>
  </si>
  <si>
    <t>Error check #3</t>
  </si>
  <si>
    <t>Error check #4</t>
  </si>
  <si>
    <t>DCF VALUATION</t>
  </si>
  <si>
    <t>Value of cash flows</t>
  </si>
  <si>
    <t>DCF</t>
  </si>
  <si>
    <t>DCF_DistCFTotal</t>
  </si>
  <si>
    <t>DCF_DistCFTotalTerminal</t>
  </si>
  <si>
    <t>Terminal value of cash flows</t>
  </si>
  <si>
    <t>DCF_DistCFTotalTotal</t>
  </si>
  <si>
    <t>DCF_DistCFValueofFranking</t>
  </si>
  <si>
    <t>Value of franking credits</t>
  </si>
  <si>
    <t>DCF_DistCFValueofFrankingTerminal</t>
  </si>
  <si>
    <t>Terminal value of franking credits</t>
  </si>
  <si>
    <t>DCF_DistCFValueofFrankingTotal</t>
  </si>
  <si>
    <t>DCF_EquityValue</t>
  </si>
  <si>
    <t>Equity value</t>
  </si>
  <si>
    <t>DCF_SOIEOP</t>
  </si>
  <si>
    <t>DCF_Total</t>
  </si>
  <si>
    <t>Equity value per share</t>
  </si>
  <si>
    <t>Valn_AsAtDate</t>
  </si>
  <si>
    <t>ASX code</t>
  </si>
  <si>
    <t>Valuation as at date</t>
  </si>
  <si>
    <t>Buy</t>
  </si>
  <si>
    <t>Bloomberg code</t>
  </si>
  <si>
    <t>Terminal valuation forecast year</t>
  </si>
  <si>
    <t>Neutral</t>
  </si>
  <si>
    <t>Valn_TerminalGrowth</t>
  </si>
  <si>
    <t>Reuters code</t>
  </si>
  <si>
    <t>Terminal growth rate</t>
  </si>
  <si>
    <t>Sell</t>
  </si>
  <si>
    <t>Valn_RiskFreeRate</t>
  </si>
  <si>
    <t>Share price</t>
  </si>
  <si>
    <t>Risk free rate (Rf)</t>
  </si>
  <si>
    <t>Valn_MRP</t>
  </si>
  <si>
    <t>Market capitalisation</t>
  </si>
  <si>
    <t>Market risk premium (Rm)</t>
  </si>
  <si>
    <t>Valn_Beta</t>
  </si>
  <si>
    <t>GS recommendation</t>
  </si>
  <si>
    <t>Equity Beta (B)</t>
  </si>
  <si>
    <t>Today</t>
  </si>
  <si>
    <t>Ke = Rf + B * Rm</t>
  </si>
  <si>
    <t>Last result</t>
  </si>
  <si>
    <t>Current year</t>
  </si>
  <si>
    <t>KEY DATA</t>
  </si>
  <si>
    <t>Key data</t>
  </si>
  <si>
    <t>CE</t>
  </si>
  <si>
    <t>NPAT preNRIs (A$mn)</t>
  </si>
  <si>
    <t>AD_PSEPSCashDiluted</t>
  </si>
  <si>
    <t>EPS adj (A¢)</t>
  </si>
  <si>
    <t>EPS revision (%)</t>
  </si>
  <si>
    <t>AD_PSEPSCashDilutedGrowth</t>
  </si>
  <si>
    <t>EPS growth (%)</t>
  </si>
  <si>
    <t>Annualiser</t>
  </si>
  <si>
    <t>PER (X)</t>
  </si>
  <si>
    <t>AD_PSDPS</t>
  </si>
  <si>
    <t>DPS (A¢)</t>
  </si>
  <si>
    <t>Dividend yield (%)</t>
  </si>
  <si>
    <t>Frank/Imput (%)</t>
  </si>
  <si>
    <t>AD_PSBPS</t>
  </si>
  <si>
    <t>P/BV (X)</t>
  </si>
  <si>
    <t>Avg shares (fd) (mn)</t>
  </si>
  <si>
    <t>Debt/equity (%)</t>
  </si>
  <si>
    <t>-</t>
  </si>
  <si>
    <t>SUMMARY PROFIT AND LOSS</t>
  </si>
  <si>
    <t>Summary profit and loss</t>
  </si>
  <si>
    <t>AvBS</t>
  </si>
  <si>
    <t>NIM</t>
  </si>
  <si>
    <t>NII</t>
  </si>
  <si>
    <t>OI_TradingIncome</t>
  </si>
  <si>
    <t>TR</t>
  </si>
  <si>
    <t>PreTax</t>
  </si>
  <si>
    <t>TXandOther_Tax</t>
  </si>
  <si>
    <t>TXandOther_OEI</t>
  </si>
  <si>
    <t>TXandOther_Pref</t>
  </si>
  <si>
    <t>Dilutive adjustments</t>
  </si>
  <si>
    <t>Diluted shares on issue</t>
  </si>
  <si>
    <t xml:space="preserve">Cash earnings per share (c) </t>
  </si>
  <si>
    <t>Cash earnings per share growth (%)</t>
  </si>
  <si>
    <t xml:space="preserve">Dividends per share (c) </t>
  </si>
  <si>
    <t>RATIO ANALYSIS</t>
  </si>
  <si>
    <t>Ratio analysis</t>
  </si>
  <si>
    <t>Profitability</t>
  </si>
  <si>
    <t>AD_ProfitabilityROECash</t>
  </si>
  <si>
    <t>Return on equity (cash)</t>
  </si>
  <si>
    <t>AD_ProfitabilityROTECash</t>
  </si>
  <si>
    <t>Return on tangible equity (cash)</t>
  </si>
  <si>
    <t>AD_ProfitabilityRORWACash</t>
  </si>
  <si>
    <t>Return on risk weighted assets (cash)</t>
  </si>
  <si>
    <t>AD_ProfitabilityROACash</t>
  </si>
  <si>
    <t>Return on assets (cash)</t>
  </si>
  <si>
    <t>AD_ProfitabilityROTACash</t>
  </si>
  <si>
    <t>Return on tangible assets (cash)</t>
  </si>
  <si>
    <t>AD_ProfitabilityOItoTR</t>
  </si>
  <si>
    <t>Non-interest income / total income</t>
  </si>
  <si>
    <t>AD_ProfitabilityOEtoTR</t>
  </si>
  <si>
    <t>Cost-to-income ratio</t>
  </si>
  <si>
    <t>AD_ProfitabilityTRvsOEGrowth</t>
  </si>
  <si>
    <t>Revenue less cost growth "jaws"</t>
  </si>
  <si>
    <t>AD_AQTotalNCOAvTotalLoans</t>
  </si>
  <si>
    <t>Net write-offs / total loans</t>
  </si>
  <si>
    <t>AD_AQBDDAvTotalLoans</t>
  </si>
  <si>
    <t>AD_AQIPIA</t>
  </si>
  <si>
    <t>AD_AQCPCRWA</t>
  </si>
  <si>
    <t>AD_AQCPRWA</t>
  </si>
  <si>
    <t>Collective provisions / risk weighted assets</t>
  </si>
  <si>
    <t>AD_AQTPCRWA</t>
  </si>
  <si>
    <t>Total provisions / credit risk weighted assets</t>
  </si>
  <si>
    <t>AD_AQTPRWA</t>
  </si>
  <si>
    <t>Total provisions / risk weighted assets</t>
  </si>
  <si>
    <t>AD_CapitalCET1</t>
  </si>
  <si>
    <t>AD_CapitalDPSPayout</t>
  </si>
  <si>
    <t>Dividend payout ratio</t>
  </si>
  <si>
    <t>AD_CapitalDPSFranking</t>
  </si>
  <si>
    <t>Franking balance (A$m)</t>
  </si>
  <si>
    <t>AD_CapitalDistCashPayout</t>
  </si>
  <si>
    <t>Distributed cash payout ratio</t>
  </si>
  <si>
    <t>AD_CapitalIRCG</t>
  </si>
  <si>
    <t>Internal rate of capital generation</t>
  </si>
  <si>
    <t>VALUATION</t>
  </si>
  <si>
    <t>1. Multiple based valuation</t>
  </si>
  <si>
    <t xml:space="preserve">12-month </t>
  </si>
  <si>
    <t>Historic/implied</t>
  </si>
  <si>
    <t>Discount</t>
  </si>
  <si>
    <t>Value of</t>
  </si>
  <si>
    <t>forward EPS</t>
  </si>
  <si>
    <t>multiple</t>
  </si>
  <si>
    <t>factor</t>
  </si>
  <si>
    <t>franking</t>
  </si>
  <si>
    <t>excess K</t>
  </si>
  <si>
    <t>Valuation</t>
  </si>
  <si>
    <t>Comment</t>
  </si>
  <si>
    <t>Price / earnings</t>
  </si>
  <si>
    <t>AD_PSUEPSCashBasic</t>
  </si>
  <si>
    <t>AD_PSNTAPSOptimised</t>
  </si>
  <si>
    <t>Gordon`s Growth model</t>
  </si>
  <si>
    <t>ROTE</t>
  </si>
  <si>
    <t>2. Discounted cashflow valuation</t>
  </si>
  <si>
    <t>Shares on issue - EOP (mn)</t>
  </si>
  <si>
    <t>Value of cash flows (A$ mn)</t>
  </si>
  <si>
    <t>Terminal value of cash flows (A$ mn)</t>
  </si>
  <si>
    <t>Total (A$ mn)</t>
  </si>
  <si>
    <t>Value of cash flows per share</t>
  </si>
  <si>
    <t>Value of franking credits (A$ mn)</t>
  </si>
  <si>
    <t>Terminal value of franking credits (A$ mn)</t>
  </si>
  <si>
    <t>Value of franking credits per share (A$)</t>
  </si>
  <si>
    <t>Total equity value (A$ mn)</t>
  </si>
  <si>
    <t>Total equity value per share (A$)</t>
  </si>
  <si>
    <t>12-month forward ratio</t>
  </si>
  <si>
    <t>12-month forward DCF (A$)</t>
  </si>
  <si>
    <t>PT weighting</t>
  </si>
  <si>
    <t>Discounted cashflow</t>
  </si>
  <si>
    <t>Residual income model</t>
  </si>
  <si>
    <t>Average</t>
  </si>
  <si>
    <t>Premium / (discount) to current price</t>
  </si>
  <si>
    <t>EPS_PUB</t>
  </si>
  <si>
    <t>DPS_PUB</t>
  </si>
  <si>
    <t>TARGET_PRICE</t>
  </si>
  <si>
    <t>MQG</t>
  </si>
  <si>
    <t>Error check #5</t>
  </si>
  <si>
    <t>ADDITIONAL DATA</t>
  </si>
  <si>
    <t>STATUTORY BALANCE SHEET</t>
  </si>
  <si>
    <t>BOOK VALUE AND NTA PER SHARE CALCULATION</t>
  </si>
  <si>
    <t>PER SHARE DATA</t>
  </si>
  <si>
    <t>PRICE RATIOS (PERIOD END)</t>
  </si>
  <si>
    <t>PROFITABILITY</t>
  </si>
  <si>
    <t>ASSET QUALITY</t>
  </si>
  <si>
    <t>CAPITAL</t>
  </si>
  <si>
    <t>Impaired assets</t>
  </si>
  <si>
    <t>Individual provisions</t>
  </si>
  <si>
    <t>Collective provisions</t>
  </si>
  <si>
    <t>Implied write-off charge</t>
  </si>
  <si>
    <t>Impaired assets / credit risk weighted assets</t>
  </si>
  <si>
    <t>AD_AQIACRWA</t>
  </si>
  <si>
    <t>Impaired assets / total loans</t>
  </si>
  <si>
    <t>AD_AQIATotalLoans</t>
  </si>
  <si>
    <t>BDD</t>
  </si>
  <si>
    <t>BDD_TotalNCO</t>
  </si>
  <si>
    <t>ASS_AQCP</t>
  </si>
  <si>
    <t>ASS_AQIP</t>
  </si>
  <si>
    <t>ASS_AQIA</t>
  </si>
  <si>
    <t>Receivables from financial institutions</t>
  </si>
  <si>
    <t>Trading portfolio assets</t>
  </si>
  <si>
    <t>Derivative assets</t>
  </si>
  <si>
    <t>Other assets</t>
  </si>
  <si>
    <t>Loan assets held at amortised cost</t>
  </si>
  <si>
    <t>Other financial assets at fair value through profit or loss</t>
  </si>
  <si>
    <t>Life investment contracts and other unitholder investment assets</t>
  </si>
  <si>
    <t>Property, plant and equipment</t>
  </si>
  <si>
    <t>Interests in associates and joint ventures accounted for using the equity method</t>
  </si>
  <si>
    <t>Intangible assets</t>
  </si>
  <si>
    <t>Self funded trading assets</t>
  </si>
  <si>
    <t>Outstanding trade settlement balances</t>
  </si>
  <si>
    <t>Short-term working capital assets</t>
  </si>
  <si>
    <t>Securitised and non-recourse assets</t>
  </si>
  <si>
    <t>Total funded assets</t>
  </si>
  <si>
    <t>Trading portfolio liabilities</t>
  </si>
  <si>
    <t>Derivative liabilities</t>
  </si>
  <si>
    <t>Other liabilities</t>
  </si>
  <si>
    <t>Payables to financial institutions</t>
  </si>
  <si>
    <t>Other financial liabilities at fair value through profit or loss</t>
  </si>
  <si>
    <t>Life investment contracts and other unitholder liabilities</t>
  </si>
  <si>
    <t>Debt issued at amortised cost</t>
  </si>
  <si>
    <t>Provisions</t>
  </si>
  <si>
    <t>Deferred tax liabilities</t>
  </si>
  <si>
    <t>Macquarie Convertible Preference Securities</t>
  </si>
  <si>
    <t>Subordinated debt at amortised cost</t>
  </si>
  <si>
    <t>Subordinated debt at fair value through profit or loss</t>
  </si>
  <si>
    <t>Error check #6</t>
  </si>
  <si>
    <t>Macquarie Income Securities</t>
  </si>
  <si>
    <t>Macquarie Income Preferred Securities</t>
  </si>
  <si>
    <t>GROUP ASSUMPTIONS</t>
  </si>
  <si>
    <t>Other non-controlling interests</t>
  </si>
  <si>
    <t>Net tangible assets</t>
  </si>
  <si>
    <t>Book value per share</t>
  </si>
  <si>
    <t>Net tangible assets per share</t>
  </si>
  <si>
    <t>Capital ratio - bank</t>
  </si>
  <si>
    <t>Target capital ratio - bank</t>
  </si>
  <si>
    <t>Reported bank capital ratio - bank</t>
  </si>
  <si>
    <t>Surplus / (deficit) capital - group</t>
  </si>
  <si>
    <t>Franking balance (full year only)</t>
  </si>
  <si>
    <t>Proportion of tax paid in Australia (full year only)</t>
  </si>
  <si>
    <t>AD_PSEPSReportedBasic</t>
  </si>
  <si>
    <t>Earnings per share (reported | basic)</t>
  </si>
  <si>
    <t>AD_PSEPSReportedDiluted</t>
  </si>
  <si>
    <t>Earnings per share (reported | diluted)</t>
  </si>
  <si>
    <t>AD_PSEPSCashBasic</t>
  </si>
  <si>
    <t>Earnings per share (cash | basic)</t>
  </si>
  <si>
    <t>AD_PSEPSCashBasicGrowth</t>
  </si>
  <si>
    <t>Earnings per share (cash | basic) growth (sequential)</t>
  </si>
  <si>
    <t>Earnings per share (cash | diluted)</t>
  </si>
  <si>
    <t>Earnings per share (cash | diluted) growth (sequential)</t>
  </si>
  <si>
    <t>Earnings per share (underlying | basic)</t>
  </si>
  <si>
    <t>Net dividends per share</t>
  </si>
  <si>
    <t>AD_PSDPSGross</t>
  </si>
  <si>
    <t>Gross dividends per share</t>
  </si>
  <si>
    <t>AD_PSDistCFTotal</t>
  </si>
  <si>
    <t>Distributed cash flow per share</t>
  </si>
  <si>
    <t>AD_PSDistCFTotalandFranking</t>
  </si>
  <si>
    <t>Distributed cash flow and franking value per share</t>
  </si>
  <si>
    <t>AD_PSNTAPS</t>
  </si>
  <si>
    <t>Net tangible asset per share (optimised)</t>
  </si>
  <si>
    <t>AD_PSAdd1</t>
  </si>
  <si>
    <t>AD_PSAdd2</t>
  </si>
  <si>
    <t>AD_PSAdd3</t>
  </si>
  <si>
    <t>AD_PSAdd4</t>
  </si>
  <si>
    <t>AD_PSAdd5</t>
  </si>
  <si>
    <t>AD_PSAdd6</t>
  </si>
  <si>
    <t>AD_PSAdd7</t>
  </si>
  <si>
    <t>AD_PSAdd8</t>
  </si>
  <si>
    <t>AD_PSAdd9</t>
  </si>
  <si>
    <t>AD_PSAdd10</t>
  </si>
  <si>
    <t>Return on equity (cash) - optimised</t>
  </si>
  <si>
    <t>Return on tangible equity (cash) - optimised</t>
  </si>
  <si>
    <t>AD_ProfitabilityROECashOptimised</t>
  </si>
  <si>
    <t>AD_ProfitabilityROTECashOptimised</t>
  </si>
  <si>
    <t>4. Valuation summary</t>
  </si>
  <si>
    <t>3. Sum-of-the parts valuation</t>
  </si>
  <si>
    <t>12-mo spot equity</t>
  </si>
  <si>
    <t>12-mo forward earnings</t>
  </si>
  <si>
    <t>Macquarie</t>
  </si>
  <si>
    <t>BFS</t>
  </si>
  <si>
    <t>Group</t>
  </si>
  <si>
    <t>Corporate</t>
  </si>
  <si>
    <t>MFG_OrdEqu</t>
  </si>
  <si>
    <t>CAF_OrdEqu</t>
  </si>
  <si>
    <t>BFS_OrdEqu</t>
  </si>
  <si>
    <t>FIC_OrdEqu</t>
  </si>
  <si>
    <t>COR_OrdEqu</t>
  </si>
  <si>
    <t>OrdEqu</t>
  </si>
  <si>
    <t>GRP_CE</t>
  </si>
  <si>
    <t>GRP_OrdEqu</t>
  </si>
  <si>
    <t>ROE</t>
  </si>
  <si>
    <t>GRP_ROE</t>
  </si>
  <si>
    <t>MFG_ROE</t>
  </si>
  <si>
    <t>CAF_ROE</t>
  </si>
  <si>
    <t>BFS_ROE</t>
  </si>
  <si>
    <t>FIC_ROE</t>
  </si>
  <si>
    <t>MSC_ROE</t>
  </si>
  <si>
    <t>MSC_OrdEqu</t>
  </si>
  <si>
    <t>Target price-to-book multiple</t>
  </si>
  <si>
    <t>Target price-to-earnings multiple</t>
  </si>
  <si>
    <t>Sum-of-the-parts</t>
  </si>
  <si>
    <t>CE_Total</t>
  </si>
  <si>
    <t>CE_NonRecurring</t>
  </si>
  <si>
    <t>CE_TotalCoyStat</t>
  </si>
  <si>
    <t>CE_MoveinFCTR</t>
  </si>
  <si>
    <t>CE_MoveinAccounting</t>
  </si>
  <si>
    <t>CE_OtherAdjustment</t>
  </si>
  <si>
    <t>CE_TotalEquEarnings</t>
  </si>
  <si>
    <t>OE_StaffCosts</t>
  </si>
  <si>
    <t>OE_B&amp;C</t>
  </si>
  <si>
    <t>OE_Other</t>
  </si>
  <si>
    <t>BDD_Total</t>
  </si>
  <si>
    <t>OI_F&amp;C</t>
  </si>
  <si>
    <t>OI_Other</t>
  </si>
  <si>
    <t>OI_Equity</t>
  </si>
  <si>
    <t>OI_OtherF&amp;C</t>
  </si>
  <si>
    <t>OI_B&amp;C</t>
  </si>
  <si>
    <t>OI_M&amp;A</t>
  </si>
  <si>
    <t>OI_PerfFees</t>
  </si>
  <si>
    <t>OI_BaseFee</t>
  </si>
  <si>
    <t>1H10A</t>
  </si>
  <si>
    <t>2H09A</t>
  </si>
  <si>
    <t>FY05A</t>
  </si>
  <si>
    <t>BALANCE SHEET</t>
  </si>
  <si>
    <t>DIVISIONAL CONTRIBUTION</t>
  </si>
  <si>
    <t>Corporate and Asset Finance</t>
  </si>
  <si>
    <t>Banking and Financial Services</t>
  </si>
  <si>
    <t>Macquarie Capital</t>
  </si>
  <si>
    <t>MFG_Contribution</t>
  </si>
  <si>
    <t>CAF_Contribution</t>
  </si>
  <si>
    <t>BFS_Contribution</t>
  </si>
  <si>
    <t>FIC_Contribution</t>
  </si>
  <si>
    <t>SEC_Contribution</t>
  </si>
  <si>
    <t>CAP_Contribution</t>
  </si>
  <si>
    <t>MSC_Contribution</t>
  </si>
  <si>
    <t>COR_Contribution</t>
  </si>
  <si>
    <t>Divisional contribution</t>
  </si>
  <si>
    <t>Summary</t>
  </si>
  <si>
    <t>Total lending assets</t>
  </si>
  <si>
    <t>Total group assets</t>
  </si>
  <si>
    <t>Total shareholder funds</t>
  </si>
  <si>
    <t>Assets under managememt</t>
  </si>
  <si>
    <t>Equity under managememt</t>
  </si>
  <si>
    <t>Surplus capital</t>
  </si>
  <si>
    <t>Bank eligible capital</t>
  </si>
  <si>
    <t>Non-bank eligible capital</t>
  </si>
  <si>
    <t>Non-bank capital requirement</t>
  </si>
  <si>
    <t>Non-bank surplus capital</t>
  </si>
  <si>
    <t>Group surplus capital</t>
  </si>
  <si>
    <t>AD</t>
  </si>
  <si>
    <t>FBS</t>
  </si>
  <si>
    <t>FBS_GroupPETA</t>
  </si>
  <si>
    <t>AD_PETE</t>
  </si>
  <si>
    <t>GRP_AUM</t>
  </si>
  <si>
    <t>GRP_EUM</t>
  </si>
  <si>
    <t>EC</t>
  </si>
  <si>
    <t>EC_BankTotal</t>
  </si>
  <si>
    <t>EC_NonBankTotal</t>
  </si>
  <si>
    <t>CR</t>
  </si>
  <si>
    <t>CR_BankTotal</t>
  </si>
  <si>
    <t>CR_NonBankTotal</t>
  </si>
  <si>
    <t>Employment expenses per employee</t>
  </si>
  <si>
    <t>Other costs to average assets</t>
  </si>
  <si>
    <t>AD_ProfitabilityStaffOEtoTR</t>
  </si>
  <si>
    <t>AD_ProfitabilityOtherOEtoAvAssets</t>
  </si>
  <si>
    <t>GSe</t>
  </si>
  <si>
    <t>Calculation</t>
  </si>
  <si>
    <t>Total revenue per FTE</t>
  </si>
  <si>
    <t>AD_ProfitabilityTRtoFTE</t>
  </si>
  <si>
    <t>Employment costs per FTE</t>
  </si>
  <si>
    <t>AD_ProfitabilityStaffOEtoFTE</t>
  </si>
  <si>
    <t>Profit per FTE</t>
  </si>
  <si>
    <t>AD_ProfitabilityCEtoFTE</t>
  </si>
  <si>
    <t>Core tier 1 ratio - bank</t>
  </si>
  <si>
    <t>Eligible capital</t>
  </si>
  <si>
    <t>Capital requirement</t>
  </si>
  <si>
    <t>SC</t>
  </si>
  <si>
    <t>2H10A</t>
  </si>
  <si>
    <t>1H11A</t>
  </si>
  <si>
    <t>2H11A</t>
  </si>
  <si>
    <t>1H12A</t>
  </si>
  <si>
    <t>2H12A</t>
  </si>
  <si>
    <t>1H13A</t>
  </si>
  <si>
    <t>2H13A</t>
  </si>
  <si>
    <t>FY06A</t>
  </si>
  <si>
    <t>FY07A</t>
  </si>
  <si>
    <t>FY08A</t>
  </si>
  <si>
    <t>FY09A</t>
  </si>
  <si>
    <t>FY10A</t>
  </si>
  <si>
    <t>FY11A</t>
  </si>
  <si>
    <t>FY12A</t>
  </si>
  <si>
    <t>FY13A</t>
  </si>
  <si>
    <t>A</t>
  </si>
  <si>
    <t>E</t>
  </si>
  <si>
    <t>Ok</t>
  </si>
  <si>
    <t>Macquarie Group Limited</t>
  </si>
  <si>
    <t>Profit &amp; loss (A$ mn)</t>
  </si>
  <si>
    <t>Rating</t>
  </si>
  <si>
    <t>Terminal year</t>
  </si>
  <si>
    <t>Valuation date</t>
  </si>
  <si>
    <t>Current share price</t>
  </si>
  <si>
    <t>Market capitalisation (A$ mn)</t>
  </si>
  <si>
    <t>Share on issue (mn)</t>
  </si>
  <si>
    <t>Upside/(downside)</t>
  </si>
  <si>
    <t>Year end</t>
  </si>
  <si>
    <t>Implied cash PE</t>
  </si>
  <si>
    <t>Earnings statistics</t>
  </si>
  <si>
    <t>Cash earnings (A$ mn)</t>
  </si>
  <si>
    <t>- Growth (%)</t>
  </si>
  <si>
    <t>Cash EPS - basic (A¢)</t>
  </si>
  <si>
    <t>Cash EPS - diluted (A¢)</t>
  </si>
  <si>
    <t>Dividend per share (A¢)</t>
  </si>
  <si>
    <t>Franking (%)</t>
  </si>
  <si>
    <t>Payout ratio (%)</t>
  </si>
  <si>
    <t>Franking balance (A$ mn)</t>
  </si>
  <si>
    <t>NTA per share (A$)</t>
  </si>
  <si>
    <t>Book value per share (A$)</t>
  </si>
  <si>
    <t>Shares on issue (mn)</t>
  </si>
  <si>
    <t>Weighted average shares (mn) - diluted</t>
  </si>
  <si>
    <t>Valuation statistics</t>
  </si>
  <si>
    <t>Price / NTA</t>
  </si>
  <si>
    <t>Balance sheet (A$ bn)</t>
  </si>
  <si>
    <t>Price / book value</t>
  </si>
  <si>
    <t>Dividend yield - nominal (%)</t>
  </si>
  <si>
    <t>PEBS_GroupTotalLending</t>
  </si>
  <si>
    <t>ROE - cash (%)</t>
  </si>
  <si>
    <t>ROTE - cash (%)</t>
  </si>
  <si>
    <t>AD_PEAssetsTotal</t>
  </si>
  <si>
    <t>Profit drivers</t>
  </si>
  <si>
    <t>Non-interest income / operating revenue</t>
  </si>
  <si>
    <t>Employment cost / income</t>
  </si>
  <si>
    <t>Cost / income</t>
  </si>
  <si>
    <t>Jaws (revenue less cost growth)</t>
  </si>
  <si>
    <t>ROE - cash</t>
  </si>
  <si>
    <t>ROTE - cash</t>
  </si>
  <si>
    <t>Leverage (assets / equity)</t>
  </si>
  <si>
    <t>RORWA - cash</t>
  </si>
  <si>
    <t>ROA - cash</t>
  </si>
  <si>
    <t>Goldman Sachs valuation summary</t>
  </si>
  <si>
    <t>ROTA - cash</t>
  </si>
  <si>
    <t>Net charge-offs / Gross loans</t>
  </si>
  <si>
    <t>BDD / Gross loans</t>
  </si>
  <si>
    <t>Methodology</t>
  </si>
  <si>
    <t>Output</t>
  </si>
  <si>
    <t>Weight</t>
  </si>
  <si>
    <t>Input</t>
  </si>
  <si>
    <t>Specific provisions / Gross impaired assets</t>
  </si>
  <si>
    <t>Collective provisions / Credit RWA</t>
  </si>
  <si>
    <t>Divisional</t>
  </si>
  <si>
    <t>Total provisions / Credit RWA</t>
  </si>
  <si>
    <t>Weighted average</t>
  </si>
  <si>
    <t>Discounted cashflow inputs</t>
  </si>
  <si>
    <t>Market risk premium</t>
  </si>
  <si>
    <t>Equity beta (B)</t>
  </si>
  <si>
    <t>Shares on issue</t>
  </si>
  <si>
    <t>Source: Company data, IRESS, Goldman Sachs Research estimates.</t>
  </si>
  <si>
    <t>Residual growth model</t>
  </si>
  <si>
    <t>Ticker</t>
  </si>
  <si>
    <t>MQG.AX</t>
  </si>
  <si>
    <t>Start year</t>
  </si>
  <si>
    <t>Year</t>
  </si>
  <si>
    <t>Terminal</t>
  </si>
  <si>
    <t>Risk free rate (%)</t>
  </si>
  <si>
    <t>Beta (x)</t>
  </si>
  <si>
    <t>Avg of 3/5 years, modifiy this for quality</t>
  </si>
  <si>
    <t>Risk premium (%)</t>
  </si>
  <si>
    <t>COE (%)</t>
  </si>
  <si>
    <t>Total Assets (Local currency bn)</t>
  </si>
  <si>
    <t xml:space="preserve">In this model we need to project Total assets </t>
  </si>
  <si>
    <t>% growth</t>
  </si>
  <si>
    <t>cannot grow too fast if the leverage (given below) increases</t>
  </si>
  <si>
    <t>ROA (%)</t>
  </si>
  <si>
    <t>instead of assuming sustainable RoE, assumes RoA</t>
  </si>
  <si>
    <t>PAT (Local currency bn) (a)</t>
  </si>
  <si>
    <t>Avg total assets X RoA.
Terminal year is FY2025 PAT X terminal year growth</t>
  </si>
  <si>
    <t>Dividends (Local currency bn)</t>
  </si>
  <si>
    <t>Dividend payout (%)</t>
  </si>
  <si>
    <t>Dividend tax (Local currency bn)</t>
  </si>
  <si>
    <t>Networth (Local currency bn)</t>
  </si>
  <si>
    <t xml:space="preserve">Prev Yr NW + PAT-dividend-dividend tax Terminal year = PAT / RoE </t>
  </si>
  <si>
    <t>Re*Networth (Local currency bn) (b)</t>
  </si>
  <si>
    <t>Avg NW X CoE</t>
  </si>
  <si>
    <t>Residual income (Local currency bn) = (c) = (a) - (b)</t>
  </si>
  <si>
    <t>PAT - ReX NW
Terminal year = Residual income / (COE - growth)</t>
  </si>
  <si>
    <t>PV of residual income (Local currency bn)</t>
  </si>
  <si>
    <t>Avg RoE (%)</t>
  </si>
  <si>
    <t>CET1_RWATotal</t>
  </si>
  <si>
    <t>Risk Weighted Assets (Local currency bn)</t>
  </si>
  <si>
    <t>RWA/Total Assets</t>
  </si>
  <si>
    <t>Leverage (X) TA/NW</t>
  </si>
  <si>
    <t>Keep an eye on this</t>
  </si>
  <si>
    <t>Tier I ratio (%)</t>
  </si>
  <si>
    <t>Calculated</t>
  </si>
  <si>
    <t>Proportion</t>
  </si>
  <si>
    <t>% of total value</t>
  </si>
  <si>
    <t>NW 12-month forward from valuation date (Local currency bn)</t>
  </si>
  <si>
    <t>PV of residual income (Local currency bn) (12 month forward from valuation date to FY2033)</t>
  </si>
  <si>
    <t>FY2015 to terminal year</t>
  </si>
  <si>
    <t xml:space="preserve">Terminal year </t>
  </si>
  <si>
    <t>Target Market Cap (Networth + PV of Residual income)</t>
  </si>
  <si>
    <t>Target price (Local currency)</t>
  </si>
  <si>
    <t>Current price per share (Local currency)</t>
  </si>
  <si>
    <t>Potential upside/(downside) (%)</t>
  </si>
  <si>
    <t>Target PBR (core) 12-m fw (X)</t>
  </si>
  <si>
    <t>Current no of shares (mn)</t>
  </si>
  <si>
    <t xml:space="preserve">Present value of imputation credit </t>
  </si>
  <si>
    <t xml:space="preserve">% valued by the market </t>
  </si>
  <si>
    <t xml:space="preserve">PV of valued imputation credit </t>
  </si>
  <si>
    <t>NW roller years</t>
  </si>
  <si>
    <t>NW roller ratios</t>
  </si>
  <si>
    <t>Error</t>
  </si>
  <si>
    <t>Period end exchange rates</t>
  </si>
  <si>
    <t>ASS_PEAUDGBP</t>
  </si>
  <si>
    <t>British pounds</t>
  </si>
  <si>
    <t>ASS_PEAUDUSD</t>
  </si>
  <si>
    <t>US dollars</t>
  </si>
  <si>
    <t>ASS_PEAUDNZD</t>
  </si>
  <si>
    <t>NZ dollars</t>
  </si>
  <si>
    <t>ASS_PEAUDEUR</t>
  </si>
  <si>
    <t>Euros</t>
  </si>
  <si>
    <t>Average exchange rates</t>
  </si>
  <si>
    <t>ASS_AvAUDGBP</t>
  </si>
  <si>
    <t>ASS_AvAUDUSD</t>
  </si>
  <si>
    <t>Growth in AUM (ex-MIRA) - local currency</t>
  </si>
  <si>
    <t>2013 H1</t>
  </si>
  <si>
    <t>2013 H2</t>
  </si>
  <si>
    <t>2014 H1</t>
  </si>
  <si>
    <t>2014 H2</t>
  </si>
  <si>
    <t>Reference Data</t>
  </si>
  <si>
    <t>Issuer Name</t>
  </si>
  <si>
    <t>Reporting Currency</t>
  </si>
  <si>
    <t>CURRENCY_ISO</t>
  </si>
  <si>
    <t>AUD</t>
  </si>
  <si>
    <t>Income Statement</t>
  </si>
  <si>
    <t>Interest income</t>
  </si>
  <si>
    <t>INT_INC</t>
  </si>
  <si>
    <t>Interest expense</t>
  </si>
  <si>
    <t>INT_EXP</t>
  </si>
  <si>
    <t>B_PL_NETINTINC</t>
  </si>
  <si>
    <t>OTH_INC</t>
  </si>
  <si>
    <t>Non-interest income</t>
  </si>
  <si>
    <t>NON_INT_INC</t>
  </si>
  <si>
    <t>Sales, net revenue</t>
  </si>
  <si>
    <t>SALES</t>
  </si>
  <si>
    <t>Compensation &amp; benfits expense</t>
  </si>
  <si>
    <t>PERSONNEL</t>
  </si>
  <si>
    <t>Depreciation</t>
  </si>
  <si>
    <t>DEPREC</t>
  </si>
  <si>
    <t>Amortization</t>
  </si>
  <si>
    <t>GOODWILL_AMORT</t>
  </si>
  <si>
    <t>Other costs</t>
  </si>
  <si>
    <t>OTH_COST</t>
  </si>
  <si>
    <t>Provision for loans</t>
  </si>
  <si>
    <t>B_PL_LOANPRV</t>
  </si>
  <si>
    <t>Gross operating profit</t>
  </si>
  <si>
    <t>GROSS_OP_PROF</t>
  </si>
  <si>
    <t>Net operating profit</t>
  </si>
  <si>
    <t>NET_OP_PROF</t>
  </si>
  <si>
    <t>Other income</t>
  </si>
  <si>
    <t>OTH_NONOP_INC</t>
  </si>
  <si>
    <t>Other expense</t>
  </si>
  <si>
    <t>OTH_NONOP_EXP</t>
  </si>
  <si>
    <t>Other non-ops income/(expense)</t>
  </si>
  <si>
    <t>OTH_COST_INC</t>
  </si>
  <si>
    <t>Pre-tax profit</t>
  </si>
  <si>
    <t>PT_PROF</t>
  </si>
  <si>
    <t>ANZ Income Statement</t>
  </si>
  <si>
    <t>Additional Income Statement Items</t>
  </si>
  <si>
    <t>Lease payments</t>
  </si>
  <si>
    <t>LEASE_PAY</t>
  </si>
  <si>
    <t>Balance Sheet</t>
  </si>
  <si>
    <t>Cash &amp; cash equivalents</t>
  </si>
  <si>
    <t>CASH_EQ</t>
  </si>
  <si>
    <t>Net PP&amp;E</t>
  </si>
  <si>
    <t>NET_FIX_ASS</t>
  </si>
  <si>
    <t>Net intangible assets</t>
  </si>
  <si>
    <t>NET_INTANG</t>
  </si>
  <si>
    <t>OTH_ASSET</t>
  </si>
  <si>
    <t>TOT_ASSET</t>
  </si>
  <si>
    <t>Subordinated liabilities (long-term debt)</t>
  </si>
  <si>
    <t>SUB_ORD_LIABS</t>
  </si>
  <si>
    <t>OTH_LIABS</t>
  </si>
  <si>
    <t>TOT_LIAB</t>
  </si>
  <si>
    <t>Total common equity</t>
  </si>
  <si>
    <t>ORD_SH_FUND</t>
  </si>
  <si>
    <t>Minority interest</t>
  </si>
  <si>
    <t>MINORITIES</t>
  </si>
  <si>
    <t>Total shareholders' equity</t>
  </si>
  <si>
    <t>EQ</t>
  </si>
  <si>
    <t>Total liabilities and equity</t>
  </si>
  <si>
    <t>TOT_LIAB_EQ</t>
  </si>
  <si>
    <t>Additional Balance Sheet Items</t>
  </si>
  <si>
    <t>Capitalized leases</t>
  </si>
  <si>
    <t>CAP_LEASES</t>
  </si>
  <si>
    <t>Associates (mkt value) used in EV calculation</t>
  </si>
  <si>
    <t>MV_ASSOCIATES</t>
  </si>
  <si>
    <t>Unfunded pensions &amp; other provisions</t>
  </si>
  <si>
    <t>UNF_PENS</t>
  </si>
  <si>
    <t>Unfunded pension liabilities (off balance sheet)</t>
  </si>
  <si>
    <t>UNF_PENS_OFF</t>
  </si>
  <si>
    <t>Unfunded pension liabilities &amp; other, used in EV</t>
  </si>
  <si>
    <t>UNF_PENS_LIAB_OTH</t>
  </si>
  <si>
    <t>Other GCI adjustments</t>
  </si>
  <si>
    <t>OTH_GCI_ADJ</t>
  </si>
  <si>
    <t>BAL_MINO_INT</t>
  </si>
  <si>
    <t>Additional Cash Flow Items</t>
  </si>
  <si>
    <t>Other DACF adjustments</t>
  </si>
  <si>
    <t>OTH_DACF_ADJ</t>
  </si>
  <si>
    <t>Other Items</t>
  </si>
  <si>
    <t>Number of employees</t>
  </si>
  <si>
    <t>EMPLOYEES</t>
  </si>
  <si>
    <t>Other revenue</t>
  </si>
  <si>
    <t>Geographical Breakdown</t>
  </si>
  <si>
    <t>Sales - Total % Americas</t>
  </si>
  <si>
    <t>SALES_TOT_AM</t>
  </si>
  <si>
    <t>Sales - % United States</t>
  </si>
  <si>
    <t>SALES_US</t>
  </si>
  <si>
    <t>Sales - % Brazil</t>
  </si>
  <si>
    <t>SALES_BRAZIL</t>
  </si>
  <si>
    <t>Sales - % Other Americas</t>
  </si>
  <si>
    <t>SALES_OTH_AM</t>
  </si>
  <si>
    <t>Sales - Total % EMEA</t>
  </si>
  <si>
    <t>SALES_TOT_EMEA</t>
  </si>
  <si>
    <t>Sales - % UK</t>
  </si>
  <si>
    <t>SALES_UK</t>
  </si>
  <si>
    <t>Sales - % Western Europe-Ex UK</t>
  </si>
  <si>
    <t>SALES_EU_EX_UK</t>
  </si>
  <si>
    <t>Sales - % Central &amp; Eastern Europe</t>
  </si>
  <si>
    <t>SALES_CEE</t>
  </si>
  <si>
    <t>Sales - % Middle East</t>
  </si>
  <si>
    <t>SALES_ME</t>
  </si>
  <si>
    <t>Sales - % Total Africa</t>
  </si>
  <si>
    <t>SALES_TOT_AFRICA</t>
  </si>
  <si>
    <t>Sales - % Russia</t>
  </si>
  <si>
    <t>SALES_RUSSIA</t>
  </si>
  <si>
    <t>Sales - % Other EMEA</t>
  </si>
  <si>
    <t>SALES_OTH_EMEA</t>
  </si>
  <si>
    <t>Sales - Total % Asia (incl Australia &amp; New Zealand)</t>
  </si>
  <si>
    <t>SALES_TOT_ASIA</t>
  </si>
  <si>
    <t>Sales - % Japan</t>
  </si>
  <si>
    <t>SALES_JAPAN</t>
  </si>
  <si>
    <t>Sales - % China</t>
  </si>
  <si>
    <t>SALES_CHINA</t>
  </si>
  <si>
    <t>Sales - % India</t>
  </si>
  <si>
    <t>SALES_INDIA</t>
  </si>
  <si>
    <t>Sales - % Australia</t>
  </si>
  <si>
    <t>SALES_AUSTRA</t>
  </si>
  <si>
    <t>Sales - % New Zealand</t>
  </si>
  <si>
    <t>SALES_NZ</t>
  </si>
  <si>
    <t>Sales - % Other Asia</t>
  </si>
  <si>
    <t>SALES_OTH_AEJ</t>
  </si>
  <si>
    <t>Sales - % Others</t>
  </si>
  <si>
    <t>SALES_OTHER</t>
  </si>
  <si>
    <t>Sales -% Consumer (C)</t>
  </si>
  <si>
    <t>SALES_CONS</t>
  </si>
  <si>
    <t>Sales -% Industry (I)</t>
  </si>
  <si>
    <t>SALES_IND</t>
  </si>
  <si>
    <t>Sales -% Government (G)</t>
  </si>
  <si>
    <t>SALES_GOV</t>
  </si>
  <si>
    <t>Sales - % Industry Sub-Segment: Financial Services</t>
  </si>
  <si>
    <t>SALES_FINAN</t>
  </si>
  <si>
    <t>FX Exposure - Sales</t>
  </si>
  <si>
    <t>Sales - % FX: British Pounds/Pence</t>
  </si>
  <si>
    <t>SALES_FX_GPB</t>
  </si>
  <si>
    <t>Sales - % FX: Euro</t>
  </si>
  <si>
    <t>SALES_FX_EUR</t>
  </si>
  <si>
    <t>Sales - % FX: New Russian Ruble</t>
  </si>
  <si>
    <t>SALES_FX_RUB</t>
  </si>
  <si>
    <t>Sales - % FX: U.S. Dollar</t>
  </si>
  <si>
    <t>SALES_FX_USD</t>
  </si>
  <si>
    <t>Sales - % FX: Brazilian Real</t>
  </si>
  <si>
    <t>SALES_FX_BRL</t>
  </si>
  <si>
    <t>Sales - % FX: Japanese Yen</t>
  </si>
  <si>
    <t>SALES_FX_YEN</t>
  </si>
  <si>
    <t>Sales - % FX: Chinese Renminbi</t>
  </si>
  <si>
    <t>SALES_FX_CNY</t>
  </si>
  <si>
    <t>Sales - % FX: Indian Rupee</t>
  </si>
  <si>
    <t>SALES_FX_INR</t>
  </si>
  <si>
    <t>Sales - % FX: Australian Dollar</t>
  </si>
  <si>
    <t>SALES_FX_AUD</t>
  </si>
  <si>
    <t>Sales - % FX: New Zealand Dollar</t>
  </si>
  <si>
    <t>SALES_FX_NZD</t>
  </si>
  <si>
    <t>Sales - % FX: Other Currency</t>
  </si>
  <si>
    <t>SALES_FX_OTH</t>
  </si>
  <si>
    <t>Security Name</t>
  </si>
  <si>
    <t>Interim Type</t>
  </si>
  <si>
    <t>H</t>
  </si>
  <si>
    <t>Publishing Currency</t>
  </si>
  <si>
    <t>PUB_CURRENCY_ISO</t>
  </si>
  <si>
    <t>Pricing Currency</t>
  </si>
  <si>
    <t>PRICE_CURRENCY_ISO</t>
  </si>
  <si>
    <t>General Information</t>
  </si>
  <si>
    <t>Australia/NZ Investment List</t>
  </si>
  <si>
    <t>ANZ_LIST</t>
  </si>
  <si>
    <t>Australia/NZ Conviction List</t>
  </si>
  <si>
    <t>ANZ_CONVICTION</t>
  </si>
  <si>
    <t>Legal rating</t>
  </si>
  <si>
    <t>LEGAL_RATING</t>
  </si>
  <si>
    <t>Target price</t>
  </si>
  <si>
    <t>Target price period</t>
  </si>
  <si>
    <t>TP_PERIOD</t>
  </si>
  <si>
    <t>Current shares outstanding (mn)</t>
  </si>
  <si>
    <t>NUM_SH</t>
  </si>
  <si>
    <t>Free float</t>
  </si>
  <si>
    <t>FREE_FLOAT</t>
  </si>
  <si>
    <t>Foreign ownership</t>
  </si>
  <si>
    <t>FOREIGN_HOLDNG</t>
  </si>
  <si>
    <t>Catalyst 1 date</t>
  </si>
  <si>
    <t>CATALYST1_DATE</t>
  </si>
  <si>
    <t>Catalyst 1 description</t>
  </si>
  <si>
    <t>CATALYST1_EVENT</t>
  </si>
  <si>
    <t>Catalyst 2 date</t>
  </si>
  <si>
    <t>CATALYST2_DATE</t>
  </si>
  <si>
    <t>Catalyst 2 description</t>
  </si>
  <si>
    <t>CATALYST2_EVENT</t>
  </si>
  <si>
    <t>Catalyst 3 date</t>
  </si>
  <si>
    <t>CATALYST3_DATE</t>
  </si>
  <si>
    <t>Catalyst 3 description</t>
  </si>
  <si>
    <t>CATALYST3_EVENT</t>
  </si>
  <si>
    <t>Catalyst 4 date</t>
  </si>
  <si>
    <t>CATALYST4_DATE</t>
  </si>
  <si>
    <t>Catalyst 4 description</t>
  </si>
  <si>
    <t>CATALYST4_EVENT</t>
  </si>
  <si>
    <t>Catalyst 5 date</t>
  </si>
  <si>
    <t>CATALYST5_DATE</t>
  </si>
  <si>
    <t>Catalyst 5 description</t>
  </si>
  <si>
    <t>CATALYST5_EVENT</t>
  </si>
  <si>
    <t>Target price multiple</t>
  </si>
  <si>
    <t>PRI_TARG_MULT</t>
  </si>
  <si>
    <t>Target price methodology</t>
  </si>
  <si>
    <t>PRI_TARG_METH</t>
  </si>
  <si>
    <t>Publishing Items</t>
  </si>
  <si>
    <t>Book value per share, BVPS (Pub)</t>
  </si>
  <si>
    <t>BVPS_PUB</t>
  </si>
  <si>
    <t>DPS, dividend per share (Pub)</t>
  </si>
  <si>
    <t>EBITDA (Pub)</t>
  </si>
  <si>
    <t>EBITDA_PUB</t>
  </si>
  <si>
    <t>EPS (Pub)</t>
  </si>
  <si>
    <t>EV adjustment (Pub)</t>
  </si>
  <si>
    <t>EV_ADJ_PUB</t>
  </si>
  <si>
    <t>Net debt (Pub)</t>
  </si>
  <si>
    <t>NET_DEBT_PUB</t>
  </si>
  <si>
    <t>Net income (Pub)</t>
  </si>
  <si>
    <t>NI_PUB</t>
  </si>
  <si>
    <t>EBIT, operating profit (Pub)</t>
  </si>
  <si>
    <t>EBIT_PUB</t>
  </si>
  <si>
    <t>Pre-tax profit (Pub)</t>
  </si>
  <si>
    <t>PTP_PUB</t>
  </si>
  <si>
    <t>Sales, revenue (Pub)</t>
  </si>
  <si>
    <t>REVS_PUB</t>
  </si>
  <si>
    <t>Total shareholders' equity (Pub)</t>
  </si>
  <si>
    <t>EQ_PUB</t>
  </si>
  <si>
    <t>EPS (consensus)</t>
  </si>
  <si>
    <t>EPS_CONS_PUB</t>
  </si>
  <si>
    <t>ANZ Publishing Items</t>
  </si>
  <si>
    <t>Risk to Earnings (+,0,-)</t>
  </si>
  <si>
    <t>RISK_TO_EARNINGS</t>
  </si>
  <si>
    <t>DCF_CASH_FLOW</t>
  </si>
  <si>
    <t>Discount Factor</t>
  </si>
  <si>
    <t>DISCOUNT_FACTOR_DCF</t>
  </si>
  <si>
    <t>Net Profit - Reported</t>
  </si>
  <si>
    <t>NI_REPT_PUB</t>
  </si>
  <si>
    <t>NTA Per Share</t>
  </si>
  <si>
    <t>NTA_PER_SHARE</t>
  </si>
  <si>
    <t>Franking (Pub)</t>
  </si>
  <si>
    <t>FRANKING_ANZPUB</t>
  </si>
  <si>
    <t>Provision for income tax</t>
  </si>
  <si>
    <t>PROV_INC_TAX</t>
  </si>
  <si>
    <t>Profit after-tax</t>
  </si>
  <si>
    <t>PROF_AT</t>
  </si>
  <si>
    <t>INC_MINORITY</t>
  </si>
  <si>
    <t>Net income (pre-exceptionals)</t>
  </si>
  <si>
    <t>NET_EARNING</t>
  </si>
  <si>
    <t>Post-tax exceptionals</t>
  </si>
  <si>
    <t>TAX_EXC</t>
  </si>
  <si>
    <t>Net income (post-exceptionals)</t>
  </si>
  <si>
    <t>NET_INC</t>
  </si>
  <si>
    <t>EPS (pre-exceptionals, basic)</t>
  </si>
  <si>
    <t>EPS</t>
  </si>
  <si>
    <t>EPS (post-exceptionals, diluted)</t>
  </si>
  <si>
    <t>FULLY_DIL_EPS</t>
  </si>
  <si>
    <t>Common dividends paid</t>
  </si>
  <si>
    <t>COMMON_DIV_PAID</t>
  </si>
  <si>
    <t>DPS, dividend per share</t>
  </si>
  <si>
    <t>Weighted average shares outstanding, basic</t>
  </si>
  <si>
    <t>SH</t>
  </si>
  <si>
    <t>Diluted average shares outstanding (mn)</t>
  </si>
  <si>
    <t>DILUTE_SHARES</t>
  </si>
  <si>
    <t>Period-end shares outstanding</t>
  </si>
  <si>
    <t>NON_OP_ADD</t>
  </si>
  <si>
    <t>Next Interim Dividend Amount</t>
  </si>
  <si>
    <t>INT_DIV_AMOUNT</t>
  </si>
  <si>
    <t>Next Interim Dividend Ex-date</t>
  </si>
  <si>
    <t>INT_DIV_EXDATE</t>
  </si>
  <si>
    <t>Next Interim Dividend Franking</t>
  </si>
  <si>
    <t>INT_DIV_FRANK</t>
  </si>
  <si>
    <t>Next Int. Div. Frank Tax Rate</t>
  </si>
  <si>
    <t>INT_DIV_TAXRATE</t>
  </si>
  <si>
    <t>Next Final Dividend Amount</t>
  </si>
  <si>
    <t>FINAL_DIV_AMOUNT</t>
  </si>
  <si>
    <t>Next Final Dividend Ex-date</t>
  </si>
  <si>
    <t>FINAL_DIV_EXDATE</t>
  </si>
  <si>
    <t>Next Final Dividend Franking</t>
  </si>
  <si>
    <t>FINAL_DIV_FRANK</t>
  </si>
  <si>
    <t>Next Final Div. Frank Tax Rate</t>
  </si>
  <si>
    <t>FINAL_DIV_TAXRATE</t>
  </si>
  <si>
    <t>Net income (consensus) (Pub)</t>
  </si>
  <si>
    <t>NI_CONS</t>
  </si>
  <si>
    <t>BVPS, book value per share</t>
  </si>
  <si>
    <t>BVPS</t>
  </si>
  <si>
    <t>Tangible BVPS</t>
  </si>
  <si>
    <t>TANG_BVPS</t>
  </si>
  <si>
    <t>Beta</t>
  </si>
  <si>
    <t>BETA_ANALYST</t>
  </si>
  <si>
    <t>Market equity risk premium</t>
  </si>
  <si>
    <t>MKT_EQ_RISK_PREM</t>
  </si>
  <si>
    <t>Risk-free rate</t>
  </si>
  <si>
    <t>RISK_FR_RATE</t>
  </si>
  <si>
    <t>Actual</t>
  </si>
  <si>
    <t>Estimate</t>
  </si>
  <si>
    <t>12 months</t>
  </si>
  <si>
    <t>Key1</t>
  </si>
  <si>
    <t>Key2</t>
  </si>
  <si>
    <t>Key3</t>
  </si>
  <si>
    <t>Key4</t>
  </si>
  <si>
    <t>FBS_GroupPECash</t>
  </si>
  <si>
    <t>FBS_GroupPELoan1Yless</t>
  </si>
  <si>
    <t>FBS_GroupPELoan1Yplus</t>
  </si>
  <si>
    <t>FBS_GroupPEDebtInvestment</t>
  </si>
  <si>
    <t>EC_Goodwill</t>
  </si>
  <si>
    <t>FBS_GroupPETL</t>
  </si>
  <si>
    <t>FBS_GroupPEWholesalePaper</t>
  </si>
  <si>
    <t>FBS_PEDeposits</t>
  </si>
  <si>
    <t>FBS_PEBonds</t>
  </si>
  <si>
    <t>FBS_PEOtherloans</t>
  </si>
  <si>
    <t>FBS_PEStructuredNotes</t>
  </si>
  <si>
    <t>FBS_PENetTradeCreditors</t>
  </si>
  <si>
    <t>FBS_PESeniorCreditFacility</t>
  </si>
  <si>
    <t>FBS_PELoanCapital</t>
  </si>
  <si>
    <t>FBS_PENonBankingGroupDeposit</t>
  </si>
  <si>
    <t>FBS_Other</t>
  </si>
  <si>
    <t>FBS_PEAssetsIntragroupLoans</t>
  </si>
  <si>
    <t>FBS_PELiabilitiesIntragroupLoans</t>
  </si>
  <si>
    <t>FBS_EquityInvestment</t>
  </si>
  <si>
    <t>FSB_PEMI</t>
  </si>
  <si>
    <t>FSB_PETE</t>
  </si>
  <si>
    <t>FBS_PENetTradingAssets</t>
  </si>
  <si>
    <t>FBS_SelfSecuritisation</t>
  </si>
  <si>
    <t>AD_RatioEPSReportedBasic</t>
  </si>
  <si>
    <t>Price / earnings (reported | basic)</t>
  </si>
  <si>
    <t>AD_RatioEPSReportedDiluted</t>
  </si>
  <si>
    <t>Price / earnings (reported | diluted)</t>
  </si>
  <si>
    <t>AD_RatioEPSCashBasic</t>
  </si>
  <si>
    <t>Price / earnings (cash | basic)</t>
  </si>
  <si>
    <t>AD_RatioEPSCashDiluted</t>
  </si>
  <si>
    <t>Price / earnings (cash | diluted)</t>
  </si>
  <si>
    <t>AD_RatioUEPSCashBasic</t>
  </si>
  <si>
    <t>Price / earnings (underlying | basic)</t>
  </si>
  <si>
    <t>AD_RatioDPS</t>
  </si>
  <si>
    <t>Net dividend yield</t>
  </si>
  <si>
    <t>AD_RatioDPSGross</t>
  </si>
  <si>
    <t>Gross dividend yield</t>
  </si>
  <si>
    <t>AD_RatioDistCFTotal</t>
  </si>
  <si>
    <t>Distributed cash flow yield (net)</t>
  </si>
  <si>
    <t>AD_RatioDistCFTotalandFranking</t>
  </si>
  <si>
    <t>Distributed cash flow yield (gross)</t>
  </si>
  <si>
    <t>AD_RatioBPS</t>
  </si>
  <si>
    <t>AD_RatioNTAPS</t>
  </si>
  <si>
    <t>AD_RatioAdd1</t>
  </si>
  <si>
    <t>AD_RatioAdd2</t>
  </si>
  <si>
    <t>AD_RatioAdd3</t>
  </si>
  <si>
    <t>AD_RatioAdd4</t>
  </si>
  <si>
    <t>AD_RatioAdd5</t>
  </si>
  <si>
    <t>AD_RatioAdd6</t>
  </si>
  <si>
    <t>AD_RatioAdd7</t>
  </si>
  <si>
    <t>AD_RatioAdd8</t>
  </si>
  <si>
    <t>AD_RatioAdd9</t>
  </si>
  <si>
    <t>AD_RatioAdd10</t>
  </si>
  <si>
    <t>AD_ProfitabilityOtherStaffCosts</t>
  </si>
  <si>
    <t>Employment costs-to-income (MQG basis)</t>
  </si>
  <si>
    <t>Employment costs-to-income (GS basis)</t>
  </si>
  <si>
    <t>AD_ProfitabilityStaffOEtoTRGS</t>
  </si>
  <si>
    <t>Employment expenses / income (GS basis)</t>
  </si>
  <si>
    <t>Group tax rate (MQG-basis)</t>
  </si>
  <si>
    <t>ASS_TXBankRateCoy</t>
  </si>
  <si>
    <t>Tax rate foregone (company basis)</t>
  </si>
  <si>
    <t>Effective tax rate (MQG basis)</t>
  </si>
  <si>
    <t>MFG_AvBS</t>
  </si>
  <si>
    <t>MFG_NIM</t>
  </si>
  <si>
    <t>MFG_NII</t>
  </si>
  <si>
    <t>MFG_BaseFee</t>
  </si>
  <si>
    <t>MFG_BaseFeeMIRA</t>
  </si>
  <si>
    <t>MFG_PerfFees</t>
  </si>
  <si>
    <t>MFG_PerfFeesMIRA</t>
  </si>
  <si>
    <t>MFG_M&amp;A</t>
  </si>
  <si>
    <t>MFG_OtherF&amp;C</t>
  </si>
  <si>
    <t>MFG_F&amp;C</t>
  </si>
  <si>
    <t>MFG_TradingIncome</t>
  </si>
  <si>
    <t>MFG_Equity</t>
  </si>
  <si>
    <t>MFG_BDD</t>
  </si>
  <si>
    <t>MFG_OtherIncome</t>
  </si>
  <si>
    <t>MFG_TR</t>
  </si>
  <si>
    <t>MFG_StaffCosts</t>
  </si>
  <si>
    <t>MFG_B&amp;Cincome</t>
  </si>
  <si>
    <t>MFG_OtherCost</t>
  </si>
  <si>
    <t>MFG_B&amp;CCost</t>
  </si>
  <si>
    <t>MFG_PreTax</t>
  </si>
  <si>
    <t>MFG_OEI</t>
  </si>
  <si>
    <t>CAF_AvBS</t>
  </si>
  <si>
    <t>CAF_NIM</t>
  </si>
  <si>
    <t>CAF_NII</t>
  </si>
  <si>
    <t>CAF_BaseFee</t>
  </si>
  <si>
    <t>CAF_BaseFeeMIRA</t>
  </si>
  <si>
    <t>CAF_PerfFees</t>
  </si>
  <si>
    <t>CAF_PerfFeesMIRA</t>
  </si>
  <si>
    <t>CAF_M&amp;A</t>
  </si>
  <si>
    <t>CAF_B&amp;Cincome</t>
  </si>
  <si>
    <t>CAF_OtherF&amp;C</t>
  </si>
  <si>
    <t>CAF_F&amp;C</t>
  </si>
  <si>
    <t>CAF_TradingIncome</t>
  </si>
  <si>
    <t>CAF_Equity</t>
  </si>
  <si>
    <t>CAF_BDD</t>
  </si>
  <si>
    <t>CAF_TR</t>
  </si>
  <si>
    <t>CAF_StaffCosts</t>
  </si>
  <si>
    <t>CAF_B&amp;CCost</t>
  </si>
  <si>
    <t>CAF_OtherCost</t>
  </si>
  <si>
    <t>CAF_PreTax</t>
  </si>
  <si>
    <t>CAF_OEI</t>
  </si>
  <si>
    <t>BFS_AvBS</t>
  </si>
  <si>
    <t>BFS_NIM</t>
  </si>
  <si>
    <t>BFS_NII</t>
  </si>
  <si>
    <t>BFS_BaseFee</t>
  </si>
  <si>
    <t>BFS_BaseFeeMIRA</t>
  </si>
  <si>
    <t>BFS_PerfFees</t>
  </si>
  <si>
    <t>BFS_PerfFeesMIRA</t>
  </si>
  <si>
    <t>BFS_M&amp;A</t>
  </si>
  <si>
    <t>BFS_B&amp;Cincome</t>
  </si>
  <si>
    <t>BFS_OtherF&amp;C</t>
  </si>
  <si>
    <t>BFS_F&amp;C</t>
  </si>
  <si>
    <t>BFS_TradingIncome</t>
  </si>
  <si>
    <t>BFS_Equity</t>
  </si>
  <si>
    <t>BFS_BDD</t>
  </si>
  <si>
    <t>BFS_OtherIncome</t>
  </si>
  <si>
    <t>BFS_TR</t>
  </si>
  <si>
    <t>BFS_StaffCosts</t>
  </si>
  <si>
    <t>BFS_B&amp;CCost</t>
  </si>
  <si>
    <t>BFS_OtherCost</t>
  </si>
  <si>
    <t>BFS_PreTax</t>
  </si>
  <si>
    <t>BFS_OEI</t>
  </si>
  <si>
    <t>FIC_AvBS</t>
  </si>
  <si>
    <t>FIC_NIM</t>
  </si>
  <si>
    <t>FIC_NII</t>
  </si>
  <si>
    <t>FIC_BaseFee</t>
  </si>
  <si>
    <t>FIC_BaseFeeMIRA</t>
  </si>
  <si>
    <t>FIC_PerfFees</t>
  </si>
  <si>
    <t>FIC_PerfFeesMIRA</t>
  </si>
  <si>
    <t>FIC_M&amp;A</t>
  </si>
  <si>
    <t>FIC_B&amp;Cincome</t>
  </si>
  <si>
    <t>FIC_OtherF&amp;C</t>
  </si>
  <si>
    <t>FIC_F&amp;C</t>
  </si>
  <si>
    <t>FIC_TradingIncome</t>
  </si>
  <si>
    <t>FIC_Equity</t>
  </si>
  <si>
    <t>FIC_BDD</t>
  </si>
  <si>
    <t>FIC_OtherIncome</t>
  </si>
  <si>
    <t>FIC_TR</t>
  </si>
  <si>
    <t>FIC_StaffCosts</t>
  </si>
  <si>
    <t>FIC_B&amp;CCost</t>
  </si>
  <si>
    <t>FIC_OtherCost</t>
  </si>
  <si>
    <t>FIC_PreTax</t>
  </si>
  <si>
    <t>FIC_OEI</t>
  </si>
  <si>
    <t>FIC_TradingIncomeCommodities</t>
  </si>
  <si>
    <t>SEC_AvBS</t>
  </si>
  <si>
    <t>SEC_NIM</t>
  </si>
  <si>
    <t>SEC_NII</t>
  </si>
  <si>
    <t>SEC_BaseFee</t>
  </si>
  <si>
    <t>SEC_BaseFeeMIRA</t>
  </si>
  <si>
    <t>SEC_PerfFees</t>
  </si>
  <si>
    <t>SEC_PerfFeesMIRA</t>
  </si>
  <si>
    <t>SEC_M&amp;A</t>
  </si>
  <si>
    <t>SEC_B&amp;Cincome</t>
  </si>
  <si>
    <t>SEC_OtherF&amp;C</t>
  </si>
  <si>
    <t>SEC_F&amp;C</t>
  </si>
  <si>
    <t>SEC_TradingIncome</t>
  </si>
  <si>
    <t>SEC_Equity</t>
  </si>
  <si>
    <t>SEC_BDD</t>
  </si>
  <si>
    <t>SEC_OtherIncome</t>
  </si>
  <si>
    <t>SEC_TR</t>
  </si>
  <si>
    <t>SEC_StaffCosts</t>
  </si>
  <si>
    <t>SEC_B&amp;CCost</t>
  </si>
  <si>
    <t>SEC_OtherCost</t>
  </si>
  <si>
    <t>SEC_PreTax</t>
  </si>
  <si>
    <t>SEC_OEI</t>
  </si>
  <si>
    <t>CAP_AvBS</t>
  </si>
  <si>
    <t>CAP_NIM</t>
  </si>
  <si>
    <t>CAP_NII</t>
  </si>
  <si>
    <t>CAP_BaseFee</t>
  </si>
  <si>
    <t>CAP_BaseFeeMIRA</t>
  </si>
  <si>
    <t>CAP_PerfFees</t>
  </si>
  <si>
    <t>CAP_PerfFeesMIRA</t>
  </si>
  <si>
    <t>CAP_M&amp;A</t>
  </si>
  <si>
    <t>CAP_B&amp;Cincome</t>
  </si>
  <si>
    <t>CAP_OtherF&amp;C</t>
  </si>
  <si>
    <t>CAP_F&amp;C</t>
  </si>
  <si>
    <t>CAP_TradingIncome</t>
  </si>
  <si>
    <t>CAP_Equity</t>
  </si>
  <si>
    <t>CAP_BDD</t>
  </si>
  <si>
    <t>CAP_OtherIncome</t>
  </si>
  <si>
    <t>CAP_TR</t>
  </si>
  <si>
    <t>CAP_StaffCosts</t>
  </si>
  <si>
    <t>CAP_B&amp;CCost</t>
  </si>
  <si>
    <t>CAP_OtherCost</t>
  </si>
  <si>
    <t>CAP_PreTax</t>
  </si>
  <si>
    <t>CAP_OEI</t>
  </si>
  <si>
    <t>MSC_AvBS</t>
  </si>
  <si>
    <t>MSC_NIM</t>
  </si>
  <si>
    <t>MSC_NII</t>
  </si>
  <si>
    <t>MSC_BaseFee</t>
  </si>
  <si>
    <t>MSC_BaseFeeMIRA</t>
  </si>
  <si>
    <t>MSC_PerfFees</t>
  </si>
  <si>
    <t>MSC_PerfFeesMIRA</t>
  </si>
  <si>
    <t>MSC_M&amp;A</t>
  </si>
  <si>
    <t>MSC_B&amp;Cincome</t>
  </si>
  <si>
    <t>MSC_OtherF&amp;C</t>
  </si>
  <si>
    <t>MSC_F&amp;C</t>
  </si>
  <si>
    <t>MSC_TradingIncome</t>
  </si>
  <si>
    <t>MSC_Equity</t>
  </si>
  <si>
    <t>MSC_BDD</t>
  </si>
  <si>
    <t>MSC_OtherIncome</t>
  </si>
  <si>
    <t>MSC_TR</t>
  </si>
  <si>
    <t>MSC_StaffCosts</t>
  </si>
  <si>
    <t>MSC_B&amp;CCost</t>
  </si>
  <si>
    <t>MSC_OtherCost</t>
  </si>
  <si>
    <t>MSC_PreTax</t>
  </si>
  <si>
    <t>MSC_OEI</t>
  </si>
  <si>
    <t>COR_AvBS</t>
  </si>
  <si>
    <t>COR_NIM</t>
  </si>
  <si>
    <t>COR_NII</t>
  </si>
  <si>
    <t>COR_BaseFee</t>
  </si>
  <si>
    <t>COR_BaseFeeMIRA</t>
  </si>
  <si>
    <t>COR_PerfFees</t>
  </si>
  <si>
    <t>COR_PerfFeesMIRA</t>
  </si>
  <si>
    <t>COR_M&amp;A</t>
  </si>
  <si>
    <t>COR_B&amp;Cincome</t>
  </si>
  <si>
    <t>COR_OtherF&amp;C</t>
  </si>
  <si>
    <t>COR_F&amp;C</t>
  </si>
  <si>
    <t>COR_TradingIncome</t>
  </si>
  <si>
    <t>COR_Equity</t>
  </si>
  <si>
    <t>COR_BDD</t>
  </si>
  <si>
    <t>COR_OtherIncome</t>
  </si>
  <si>
    <t>COR_TR</t>
  </si>
  <si>
    <t>COR_StaffCosts</t>
  </si>
  <si>
    <t>COR_B&amp;CCost</t>
  </si>
  <si>
    <t>COR_OtherCost</t>
  </si>
  <si>
    <t>COR_PreTax</t>
  </si>
  <si>
    <t>COR_OEI</t>
  </si>
  <si>
    <t>COR_Tax</t>
  </si>
  <si>
    <t>COR_Pref</t>
  </si>
  <si>
    <t>GRP_AvBS</t>
  </si>
  <si>
    <t>GRP_NIM</t>
  </si>
  <si>
    <t>GRP_NII</t>
  </si>
  <si>
    <t>GRP_BaseFee</t>
  </si>
  <si>
    <t>GRP_BaseFeeMIRA</t>
  </si>
  <si>
    <t>GRP_PerfFees</t>
  </si>
  <si>
    <t>GRP_PerfFeesMIRA</t>
  </si>
  <si>
    <t>GRP_M&amp;A</t>
  </si>
  <si>
    <t>GRP_B&amp;Cincome</t>
  </si>
  <si>
    <t>GRP_OtherF&amp;C</t>
  </si>
  <si>
    <t>GRP_F&amp;C</t>
  </si>
  <si>
    <t>GRP_TradingIncome</t>
  </si>
  <si>
    <t>GRP_Equity</t>
  </si>
  <si>
    <t>GRP_BDD</t>
  </si>
  <si>
    <t>GRP_OtherIncome</t>
  </si>
  <si>
    <t>GRP_TR</t>
  </si>
  <si>
    <t>GRP_StaffCosts</t>
  </si>
  <si>
    <t>GRP_B&amp;CCost</t>
  </si>
  <si>
    <t>GRP_OtherCost</t>
  </si>
  <si>
    <t>GRP_PreTax</t>
  </si>
  <si>
    <t>GRP_Tax</t>
  </si>
  <si>
    <t>GRP_OEI</t>
  </si>
  <si>
    <t>GRP_Pref</t>
  </si>
  <si>
    <t>AD_PEOrdEqu</t>
  </si>
  <si>
    <t>AD_PEEquityInvestments</t>
  </si>
  <si>
    <t>AD_PEReserves</t>
  </si>
  <si>
    <t>AD_PERetainedEarnings</t>
  </si>
  <si>
    <t>AD_PEMI</t>
  </si>
  <si>
    <t>AD_PETL</t>
  </si>
  <si>
    <t>GRP_FTE</t>
  </si>
  <si>
    <t>0</t>
  </si>
  <si>
    <t>AD_ExchangeableShares</t>
  </si>
  <si>
    <t>AD_NTA</t>
  </si>
  <si>
    <t>FTE</t>
  </si>
  <si>
    <t>AD_ProfitabilityFTE</t>
  </si>
  <si>
    <t>AD_PEGoodwill</t>
  </si>
  <si>
    <t>Proportion of revenue from Australia</t>
  </si>
  <si>
    <t>Proportion of revenue from EMEA</t>
  </si>
  <si>
    <t>Proportion of renenue from Asia</t>
  </si>
  <si>
    <t>AD_ProfitabilityRevenueAmericas</t>
  </si>
  <si>
    <t>AD_ProfitabilityRevenueAustralia</t>
  </si>
  <si>
    <t>AD_ProfitabilityRevenueEMEA</t>
  </si>
  <si>
    <t>AD_ProfitabilityRevenueAsia</t>
  </si>
  <si>
    <t>Proportion of revenue from Americas</t>
  </si>
  <si>
    <t>AD_ProfitabilityRevenueConsumer</t>
  </si>
  <si>
    <t>AD_ProfitabilityRevenueIndustry</t>
  </si>
  <si>
    <t>AD_ProfitabilityRevenueGovernment</t>
  </si>
  <si>
    <t>OrdEqu_MEREPAdj</t>
  </si>
  <si>
    <t>MEREP (Treasury) adjustment</t>
  </si>
  <si>
    <t>AD_ProfitabilityRevenuesubFinancials</t>
  </si>
  <si>
    <t>AD_PEAssetsIntangible</t>
  </si>
  <si>
    <t>1H14A</t>
  </si>
  <si>
    <t>2015 H1</t>
  </si>
  <si>
    <t>2015 H2</t>
  </si>
  <si>
    <t>Amortisation</t>
  </si>
  <si>
    <t>Occupancy expenses</t>
  </si>
  <si>
    <t>Non-salary technology expenses</t>
  </si>
  <si>
    <t>Share based payments</t>
  </si>
  <si>
    <t>AD_ProfitabilitySharebasedpayments</t>
  </si>
  <si>
    <t>AD_ProfitabilityNonsalarytechnologyexpenses</t>
  </si>
  <si>
    <t>AD_ProfitabilityOccupancyexpenses</t>
  </si>
  <si>
    <t>AD_ProfitabilityAmortisation</t>
  </si>
  <si>
    <t>AD_ProfitabilityDepreciation</t>
  </si>
  <si>
    <t>AD_ProfitabilityAdd1</t>
  </si>
  <si>
    <t>AD_ProfitabilityAdd2</t>
  </si>
  <si>
    <t>AD_ProfitabilityAdd3</t>
  </si>
  <si>
    <t>AD_ProfitabilityAdd4</t>
  </si>
  <si>
    <t>AD_ProfitabilityAdd5</t>
  </si>
  <si>
    <t>Shift in surplus capital</t>
  </si>
  <si>
    <t>GRP_AUMexMIRA</t>
  </si>
  <si>
    <t>MFG_TXRate</t>
  </si>
  <si>
    <t>CAF_TXRate</t>
  </si>
  <si>
    <t>BFS_TXRate</t>
  </si>
  <si>
    <t>FIC_TXRate</t>
  </si>
  <si>
    <t>MSC_TXRate</t>
  </si>
  <si>
    <t>SEC_OrdEqu</t>
  </si>
  <si>
    <t>CAP_OrdEqu</t>
  </si>
  <si>
    <t>PEBS_GroupTotalDeposits</t>
  </si>
  <si>
    <t>Special dividend per share</t>
  </si>
  <si>
    <t>DPS_SPECIAL_PUB</t>
  </si>
  <si>
    <t>Franking for special dividends</t>
  </si>
  <si>
    <t>FRANKING_SPECIAL_ANZPUB</t>
  </si>
  <si>
    <t>AD_PSDPSSpecial</t>
  </si>
  <si>
    <t>Special dividends per share</t>
  </si>
  <si>
    <t>MFG_FTE</t>
  </si>
  <si>
    <t>BFS_Loans</t>
  </si>
  <si>
    <t>FY14A</t>
  </si>
  <si>
    <t>Price / net tangible assets - GG</t>
  </si>
  <si>
    <t>Price / net tangible assets - market</t>
  </si>
  <si>
    <t>2H14A</t>
  </si>
  <si>
    <t>2018</t>
  </si>
  <si>
    <t>1H15A</t>
  </si>
  <si>
    <t>FY15A</t>
  </si>
  <si>
    <t>Valuation methodology:</t>
  </si>
  <si>
    <t>12m price target</t>
  </si>
  <si>
    <t>Valuation/Share</t>
  </si>
  <si>
    <t>2H15A</t>
  </si>
  <si>
    <t>Operating leases</t>
  </si>
  <si>
    <t>2019</t>
  </si>
  <si>
    <t>2016 H1</t>
  </si>
  <si>
    <t>2016 H2</t>
  </si>
  <si>
    <t>2017 H1</t>
  </si>
  <si>
    <t>2017 H2</t>
  </si>
  <si>
    <t>1H16A</t>
  </si>
  <si>
    <t>FY16A</t>
  </si>
  <si>
    <t>2H16A</t>
  </si>
  <si>
    <t>Tax rate calculator</t>
  </si>
  <si>
    <t>MA_PROB</t>
  </si>
  <si>
    <t>Items to be removed</t>
  </si>
  <si>
    <t>Sales - % Canada</t>
  </si>
  <si>
    <t>SALES_CANADA</t>
  </si>
  <si>
    <t>Sales - % Other North Americas</t>
  </si>
  <si>
    <t>SALES_OTH_NO_AMER</t>
  </si>
  <si>
    <t>Sales - % Argentina</t>
  </si>
  <si>
    <t>SALES_ARGENTINA</t>
  </si>
  <si>
    <t>Sales - % Chile</t>
  </si>
  <si>
    <t>SALES_CHILE</t>
  </si>
  <si>
    <t>Sales - % Colombia</t>
  </si>
  <si>
    <t>SALES_COLOMBIA</t>
  </si>
  <si>
    <t>Sales - % Mexico</t>
  </si>
  <si>
    <t>SALES_MEXICO</t>
  </si>
  <si>
    <t>Sales - % Venezuela</t>
  </si>
  <si>
    <t>SALES_VENEZUELA</t>
  </si>
  <si>
    <t>Sales - % Other Latin Americas</t>
  </si>
  <si>
    <t>SALES_OTH_LATAM</t>
  </si>
  <si>
    <t>Sales - % Austria</t>
  </si>
  <si>
    <t>SALES_AUSTRIA</t>
  </si>
  <si>
    <t>Sales - % Belgium</t>
  </si>
  <si>
    <t>SALES_BEL</t>
  </si>
  <si>
    <t>Sales - % France</t>
  </si>
  <si>
    <t>SALES_FRA</t>
  </si>
  <si>
    <t>Sales - % Germany</t>
  </si>
  <si>
    <t>SALES_GER</t>
  </si>
  <si>
    <t>Sales - % Greece</t>
  </si>
  <si>
    <t>SALES_GRE</t>
  </si>
  <si>
    <t>Sales - % Ireland</t>
  </si>
  <si>
    <t>SALES_IRE</t>
  </si>
  <si>
    <t>Sales - % Italy</t>
  </si>
  <si>
    <t>SALES_ITA</t>
  </si>
  <si>
    <t>Sales - % Netherlands</t>
  </si>
  <si>
    <t>SALES_NETH</t>
  </si>
  <si>
    <t>Sales - % Norway</t>
  </si>
  <si>
    <t>SALES_NOR</t>
  </si>
  <si>
    <t>Sales - % Portugal</t>
  </si>
  <si>
    <t>SALES_POR</t>
  </si>
  <si>
    <t>Sales - % Spain</t>
  </si>
  <si>
    <t>SALES_SPA</t>
  </si>
  <si>
    <t>Sales - % Sweden</t>
  </si>
  <si>
    <t>SALES_SWE</t>
  </si>
  <si>
    <t>Sales - % Switzerland</t>
  </si>
  <si>
    <t>SALES_SWIT</t>
  </si>
  <si>
    <t>Sales - % Other Western Europe</t>
  </si>
  <si>
    <t>SALES_OTH_WEST_EURO</t>
  </si>
  <si>
    <t>Sales - % Poland</t>
  </si>
  <si>
    <t>SALES_POLAND</t>
  </si>
  <si>
    <t>Sales - % Turkey</t>
  </si>
  <si>
    <t>SALES_TURKEY</t>
  </si>
  <si>
    <t>Sales - % Other CEE</t>
  </si>
  <si>
    <t>SALES_OTH_CEE</t>
  </si>
  <si>
    <t>Sales - % Saudi Arabia</t>
  </si>
  <si>
    <t>SALES_SAUDI_ARABIA</t>
  </si>
  <si>
    <t>Sales - % United Arab Emirates</t>
  </si>
  <si>
    <t>SALES_UAE</t>
  </si>
  <si>
    <t>Sales - % Other Middle East</t>
  </si>
  <si>
    <t>SALES_OTH_ME</t>
  </si>
  <si>
    <t>Sales - % Nigeria</t>
  </si>
  <si>
    <t>SALES_NIGERIA</t>
  </si>
  <si>
    <t>Sales - % South Africa</t>
  </si>
  <si>
    <t>SALES_SO_AFRICA</t>
  </si>
  <si>
    <t>Sales - % Other Africa</t>
  </si>
  <si>
    <t>SALES_OTH_AFRICA</t>
  </si>
  <si>
    <t>Sales - % Hong Kong</t>
  </si>
  <si>
    <t>SALES_HONG_KONG</t>
  </si>
  <si>
    <t>Sales - % Singapore</t>
  </si>
  <si>
    <t>SALES_SINGAPORE</t>
  </si>
  <si>
    <t>Sales - % South Korea</t>
  </si>
  <si>
    <t>SALES_SK</t>
  </si>
  <si>
    <t>Sales - % Taiwan</t>
  </si>
  <si>
    <t>SALES_TAIWAN</t>
  </si>
  <si>
    <t>Sales - % Other Developed Asia</t>
  </si>
  <si>
    <t>SALES_OTH_DEV_ASIA</t>
  </si>
  <si>
    <t>Sales - % Indonesia</t>
  </si>
  <si>
    <t>SALES_INDONESIA</t>
  </si>
  <si>
    <t>Sales - % Thailand</t>
  </si>
  <si>
    <t>SALES_THAILAND</t>
  </si>
  <si>
    <t>Sales - % Other Emerging Asia</t>
  </si>
  <si>
    <t>SALES_OTH_EMERG_ASIA</t>
  </si>
  <si>
    <t>Sales - % Industry Sub-Segment: Oil &amp; Gas</t>
  </si>
  <si>
    <t>SALES_OIL_GAS</t>
  </si>
  <si>
    <t>Commodities Exposure - Expense</t>
  </si>
  <si>
    <t>Expense - % Oil/Petrol/Fuel</t>
  </si>
  <si>
    <t>EXP_OIL_PETRO_FUEL</t>
  </si>
  <si>
    <t>Expense - % Oil derivatives/NGLs/plastics</t>
  </si>
  <si>
    <t>EXP_OIL_DERIV_NGLS_PLASTICS</t>
  </si>
  <si>
    <t>EPS (pre-exceptionals, diluted)</t>
  </si>
  <si>
    <t>EPS_FUL_DIL</t>
  </si>
  <si>
    <t>EPS (post-exceptionals, basic)</t>
  </si>
  <si>
    <t>EPS_POST_BASIC</t>
  </si>
  <si>
    <t>2018 H1</t>
  </si>
  <si>
    <t>2018 H2</t>
  </si>
  <si>
    <t>Brokerage &amp; commissions growth (pcp)</t>
  </si>
  <si>
    <t>Other fee and commission growth (hoh)</t>
  </si>
  <si>
    <t>Trading income growth (pcp)</t>
  </si>
  <si>
    <t>M&amp;A fee growth (pcp)</t>
  </si>
  <si>
    <t>1H17A</t>
  </si>
  <si>
    <t>Total US$ debt (in US$)</t>
  </si>
  <si>
    <t>TOT_USD_DEBT</t>
  </si>
  <si>
    <t>% US$ debt hedged (principal)</t>
  </si>
  <si>
    <t>TOT_PCT_USD_DEBT_HEDGED</t>
  </si>
  <si>
    <t>% Floating debt (local currency debt)</t>
  </si>
  <si>
    <t>FLOATING_PCT_LOCAL_DEBT</t>
  </si>
  <si>
    <t>% floating debt hedged (rates)</t>
  </si>
  <si>
    <t>FLOATING_PCT_LOCAL_DEBT_HEDGED</t>
  </si>
  <si>
    <t>% of CoGS from U.S. (GS estimate)</t>
  </si>
  <si>
    <t>COGS_PCT_US</t>
  </si>
  <si>
    <t>% of CoGS from non-U.S. (GS estimate)</t>
  </si>
  <si>
    <t>COGS_PCT_ROW</t>
  </si>
  <si>
    <t>% of SG&amp;A from U.S. (GS estimate)</t>
  </si>
  <si>
    <t>SGA_PCT_US</t>
  </si>
  <si>
    <t>% of SG&amp;A from non-U.S. (GS estimate)</t>
  </si>
  <si>
    <t>SGA_PCT_ROW</t>
  </si>
  <si>
    <t>MFG_AUMexMIRA</t>
  </si>
  <si>
    <t>MFG_AUM</t>
  </si>
  <si>
    <t>GRP_GroupPELoan</t>
  </si>
  <si>
    <t>CAF_Loans</t>
  </si>
  <si>
    <t>CAF_OperatingLeases</t>
  </si>
  <si>
    <t>MACQUARIE ASSET MANAGEMENT</t>
  </si>
  <si>
    <t>CAPITAL MARKETS FACING BUSINESSES</t>
  </si>
  <si>
    <t>Asset Mgmt</t>
  </si>
  <si>
    <t>Cap mkts</t>
  </si>
  <si>
    <t>facing</t>
  </si>
  <si>
    <t>Macquarie Asset Management</t>
  </si>
  <si>
    <t>Commodities and Global Markets</t>
  </si>
  <si>
    <t>CGM_AvBS</t>
  </si>
  <si>
    <t>CGM_NIM</t>
  </si>
  <si>
    <t>CGM_NII</t>
  </si>
  <si>
    <t>CGM_BaseFee</t>
  </si>
  <si>
    <t>CGM_BaseFeeMIRA</t>
  </si>
  <si>
    <t>CGM_PerfFees</t>
  </si>
  <si>
    <t>CGM_PerfFeesMIRA</t>
  </si>
  <si>
    <t>CGM_M&amp;A</t>
  </si>
  <si>
    <t>CGM_B&amp;Cincome</t>
  </si>
  <si>
    <t>CGM_OtherF&amp;C</t>
  </si>
  <si>
    <t>CGM_F&amp;C</t>
  </si>
  <si>
    <t>CGM_TradingIncomeCommodities</t>
  </si>
  <si>
    <t>CGM_TradingIncome</t>
  </si>
  <si>
    <t>CGM_Equity</t>
  </si>
  <si>
    <t>CGM_BDD</t>
  </si>
  <si>
    <t>CGM_OtherIncome</t>
  </si>
  <si>
    <t>CGM_TR</t>
  </si>
  <si>
    <t>CGM_StaffCosts</t>
  </si>
  <si>
    <t>CGM_B&amp;CCost</t>
  </si>
  <si>
    <t>CGM_OtherCost</t>
  </si>
  <si>
    <t>CGM_PreTax</t>
  </si>
  <si>
    <t>CGM_OEI</t>
  </si>
  <si>
    <t>CGM_Contribution</t>
  </si>
  <si>
    <t>CGM_OrdEqu</t>
  </si>
  <si>
    <t>CGM_TXRate</t>
  </si>
  <si>
    <t>CGM_ROE</t>
  </si>
  <si>
    <t>2019 H1</t>
  </si>
  <si>
    <t>2020</t>
  </si>
  <si>
    <t>2H17A</t>
  </si>
  <si>
    <t>FY17A</t>
  </si>
  <si>
    <t>FX_USD_NI_SENSITIVITY</t>
  </si>
  <si>
    <t>Analyst USD rate assumption vs reporting currency</t>
  </si>
  <si>
    <t>FX_USD_ASSUMPTION</t>
  </si>
  <si>
    <t>Analyst EUR rate assumption vs reporting currency</t>
  </si>
  <si>
    <t>FX_EUR_ASSUMPTION</t>
  </si>
  <si>
    <t>Analyst AUD rate assumption vs reporting currency</t>
  </si>
  <si>
    <t>FX_AUD_ASSUMPTION</t>
  </si>
  <si>
    <t>FX_EUR_NI_SENSITIVITY</t>
  </si>
  <si>
    <t>FX_AUD_NI_SENSITIVITY</t>
  </si>
  <si>
    <t>M&amp;A probability (1 = high, 3 = low)</t>
  </si>
  <si>
    <t>ASS_AvAUDEUR</t>
  </si>
  <si>
    <t>NI impact from a 10% reporting currency depreciation vs USD</t>
  </si>
  <si>
    <t>NI impact from a 10% reporting currency depreciation vs EUR</t>
  </si>
  <si>
    <t>NI impact from a 10% reporting currency depreciation vs AUD</t>
  </si>
  <si>
    <t>CAF_FTE</t>
  </si>
  <si>
    <t>BFS_FTE</t>
  </si>
  <si>
    <t>CGM_FTE</t>
  </si>
  <si>
    <t>CAP_FTE</t>
  </si>
  <si>
    <t>Issuer: Macquarie Group Limited</t>
  </si>
  <si>
    <t>2019 H2</t>
  </si>
  <si>
    <t>Principal transactions</t>
  </si>
  <si>
    <t>PRIN_TRANS</t>
  </si>
  <si>
    <t>Asset management fees</t>
  </si>
  <si>
    <t>AM_FEE</t>
  </si>
  <si>
    <t>Credit card fee</t>
  </si>
  <si>
    <t>CC_FEE</t>
  </si>
  <si>
    <t>Investment banking fees</t>
  </si>
  <si>
    <t>IB_FEE</t>
  </si>
  <si>
    <t>Commissions</t>
  </si>
  <si>
    <t>COMMISNS</t>
  </si>
  <si>
    <t>Net revenue</t>
  </si>
  <si>
    <t>NET_REVS</t>
  </si>
  <si>
    <t>Technology and communications expense</t>
  </si>
  <si>
    <t>TECH_COM_EXP</t>
  </si>
  <si>
    <t>Brokerage and clearance expense</t>
  </si>
  <si>
    <t>BROK_CLEAR_EXP</t>
  </si>
  <si>
    <t>Business development expense</t>
  </si>
  <si>
    <t>BUS_DEV_EXP</t>
  </si>
  <si>
    <t>Professional fees</t>
  </si>
  <si>
    <t>PROF_SRVC_EXP</t>
  </si>
  <si>
    <t>Occupancy expense</t>
  </si>
  <si>
    <t>OCCUPANCY_EXP</t>
  </si>
  <si>
    <t>Total non-compensation expense</t>
  </si>
  <si>
    <t>TOT_NONCOMP_EXP</t>
  </si>
  <si>
    <t>Total non-interest expense (excl. provision for loan losses)</t>
  </si>
  <si>
    <t>TOT_NONINTEXP_EX_LNPRV</t>
  </si>
  <si>
    <t>Total non-interest expense (incl. provision for loan losses)</t>
  </si>
  <si>
    <t>TOT_NONINTEXP_INC_LNPRV</t>
  </si>
  <si>
    <t>Cash and securities for reg.</t>
  </si>
  <si>
    <t>CASH_SECUR</t>
  </si>
  <si>
    <t>All interest-bearing debt</t>
  </si>
  <si>
    <t>BEARING_DEBT</t>
  </si>
  <si>
    <t>Government and agency securities owned</t>
  </si>
  <si>
    <t>B_GOVERNMT</t>
  </si>
  <si>
    <t>Mortgages &amp; mortgaged backed securities owned</t>
  </si>
  <si>
    <t>B_MORTG</t>
  </si>
  <si>
    <t>Corporate debt and other</t>
  </si>
  <si>
    <t>B_CORP_OTH</t>
  </si>
  <si>
    <t>CDs and money markets</t>
  </si>
  <si>
    <t>CD_MONMRKT</t>
  </si>
  <si>
    <t>Securities owned</t>
  </si>
  <si>
    <t>SECUR_OWNED</t>
  </si>
  <si>
    <t>Securities pledged as collateral</t>
  </si>
  <si>
    <t>SECUR_COLLAT</t>
  </si>
  <si>
    <t>Securities not pledged as collateral</t>
  </si>
  <si>
    <t>SECUR_NOT_COLLAT</t>
  </si>
  <si>
    <t>Total securities</t>
  </si>
  <si>
    <t>TOT_SECUR</t>
  </si>
  <si>
    <t>Repos (assets)</t>
  </si>
  <si>
    <t>REPOS_ASST</t>
  </si>
  <si>
    <t>Securities borrowed</t>
  </si>
  <si>
    <t>SECUR_BORRWD</t>
  </si>
  <si>
    <t>Total collateralized short-term agreements</t>
  </si>
  <si>
    <t>TOT_COLLAT_STAGREE</t>
  </si>
  <si>
    <t>Broker receivables</t>
  </si>
  <si>
    <t>BROKER_RECVBLS</t>
  </si>
  <si>
    <t>Customer receivables</t>
  </si>
  <si>
    <t>CUST_RECVBLS</t>
  </si>
  <si>
    <t>Other receivables</t>
  </si>
  <si>
    <t>OTH_RECVBLS</t>
  </si>
  <si>
    <t>Total receivables</t>
  </si>
  <si>
    <t>TOT_RECVBLS</t>
  </si>
  <si>
    <t>Commercial paper and short-term debt</t>
  </si>
  <si>
    <t>CP_STDEBT_SLD</t>
  </si>
  <si>
    <t>Brokerage deposits</t>
  </si>
  <si>
    <t>BR_DEP</t>
  </si>
  <si>
    <t>Government and agency securities sold</t>
  </si>
  <si>
    <t>B_GOVERNMT_SLD</t>
  </si>
  <si>
    <t>Corporate debt and other (Insurance)</t>
  </si>
  <si>
    <t>CORP_DEBT_SLD</t>
  </si>
  <si>
    <t>Corporate equities sold</t>
  </si>
  <si>
    <t>CORP_EQ_SLD</t>
  </si>
  <si>
    <t>Derivatives and other contract agreements</t>
  </si>
  <si>
    <t>OTH_CONTRACT_SLD</t>
  </si>
  <si>
    <t>Total securities sold but not yet purchased</t>
  </si>
  <si>
    <t>TOT_SECUR_SLD</t>
  </si>
  <si>
    <t>Accounts payable</t>
  </si>
  <si>
    <t>ACC_PAY_GQ</t>
  </si>
  <si>
    <t>Accrued expenses and other liabilities</t>
  </si>
  <si>
    <t>ACCRUED_EXP_OTH</t>
  </si>
  <si>
    <t>Broker payables</t>
  </si>
  <si>
    <t>BROKER_PAYBLS</t>
  </si>
  <si>
    <t>Customer payables</t>
  </si>
  <si>
    <t>CUST_PAYBLS</t>
  </si>
  <si>
    <t>Other collateralized ST financing</t>
  </si>
  <si>
    <t>OTH_FIN</t>
  </si>
  <si>
    <t>Other payables</t>
  </si>
  <si>
    <t>OTH_PAY</t>
  </si>
  <si>
    <t>Securities loaned</t>
  </si>
  <si>
    <t>SECUR_LND</t>
  </si>
  <si>
    <t>Senior notes</t>
  </si>
  <si>
    <t>SR_NOTES</t>
  </si>
  <si>
    <t>Total collateralized short-term financing</t>
  </si>
  <si>
    <t>TOT_COLLAT_STFIN</t>
  </si>
  <si>
    <t>Repos (liabilities)</t>
  </si>
  <si>
    <t>REPOS_LIAB</t>
  </si>
  <si>
    <t>Long-term  debt</t>
  </si>
  <si>
    <t>LT_DEBT</t>
  </si>
  <si>
    <t>Preferred shares, equity portion</t>
  </si>
  <si>
    <t>PREF_SH_EQ</t>
  </si>
  <si>
    <t>Capital units, preferred securities subject to mandatory redemption</t>
  </si>
  <si>
    <t>BR_OTH_EQ</t>
  </si>
  <si>
    <t>Number of financial advisors</t>
  </si>
  <si>
    <t>FIN_ADVISORS</t>
  </si>
  <si>
    <t>Assets Under Management</t>
  </si>
  <si>
    <t>Net flows</t>
  </si>
  <si>
    <t>NET_FLOWS</t>
  </si>
  <si>
    <t>Market appreciation</t>
  </si>
  <si>
    <t>MKT_APPREC</t>
  </si>
  <si>
    <t>Retail brokerage client assets</t>
  </si>
  <si>
    <t>RBR_CL_ASSTS</t>
  </si>
  <si>
    <t>Risk Management</t>
  </si>
  <si>
    <t>Interest rate average VaR</t>
  </si>
  <si>
    <t>INT_RATE_VAR</t>
  </si>
  <si>
    <t>Equity average VaR</t>
  </si>
  <si>
    <t>EQTY_VAR</t>
  </si>
  <si>
    <t>Currency average VaR</t>
  </si>
  <si>
    <t>CURRENCY_VAR</t>
  </si>
  <si>
    <t>Commodities average VaR</t>
  </si>
  <si>
    <t>COMMDTY_VAR</t>
  </si>
  <si>
    <t>Diversification effect</t>
  </si>
  <si>
    <t>DIVERS_EFFECT</t>
  </si>
  <si>
    <t>Volatility</t>
  </si>
  <si>
    <t>VOL</t>
  </si>
  <si>
    <t>Total average VaR</t>
  </si>
  <si>
    <t>TOT_VAR</t>
  </si>
  <si>
    <t>Variable annuity assets</t>
  </si>
  <si>
    <t>VAR_METHOD</t>
  </si>
  <si>
    <t>Segment Data</t>
  </si>
  <si>
    <t>Capital markets revenue</t>
  </si>
  <si>
    <t>CAP_REVS</t>
  </si>
  <si>
    <t>Asset management revenue</t>
  </si>
  <si>
    <t>AM_REVS</t>
  </si>
  <si>
    <t>Retail brokerage revenue</t>
  </si>
  <si>
    <t>RETAIL_REVS</t>
  </si>
  <si>
    <t>Asset management and retail brokerage revenue</t>
  </si>
  <si>
    <t>AMB_REVS</t>
  </si>
  <si>
    <t>Credit card revenue</t>
  </si>
  <si>
    <t>CC_REVS</t>
  </si>
  <si>
    <t>OTH_REVS</t>
  </si>
  <si>
    <t>Segement Pretax Profits</t>
  </si>
  <si>
    <t>Capital markets pre-tax profit</t>
  </si>
  <si>
    <t>CAP_PTP</t>
  </si>
  <si>
    <t>Asset management pre-tax profit</t>
  </si>
  <si>
    <t>AM_PTP</t>
  </si>
  <si>
    <t>Retail brokerage pre-tax profit</t>
  </si>
  <si>
    <t>RETAIL_PTP</t>
  </si>
  <si>
    <t>Asset management and retail brokerage pre-tax profit</t>
  </si>
  <si>
    <t>AMB_PTP</t>
  </si>
  <si>
    <t>Credit card pre-tax profit</t>
  </si>
  <si>
    <t>CC_PTP</t>
  </si>
  <si>
    <t>Other pre-tax profit</t>
  </si>
  <si>
    <t>OTH_PTP</t>
  </si>
  <si>
    <t>Segment Margins</t>
  </si>
  <si>
    <t>Capital markets margin</t>
  </si>
  <si>
    <t>CAP_MARGIN</t>
  </si>
  <si>
    <t>Asset management margin</t>
  </si>
  <si>
    <t>AM_MARGIN</t>
  </si>
  <si>
    <t>Retail brokerage margin</t>
  </si>
  <si>
    <t>RETAIL_MARGIN</t>
  </si>
  <si>
    <t>Asset management and retail brokerage margin</t>
  </si>
  <si>
    <t>AMB_MARGIN</t>
  </si>
  <si>
    <t>Credit card margin</t>
  </si>
  <si>
    <t>CC_MARGIN</t>
  </si>
  <si>
    <t>Other margin</t>
  </si>
  <si>
    <t>OTH_MARGIN</t>
  </si>
  <si>
    <t>Asset Management &amp; Retail Revenue</t>
  </si>
  <si>
    <t>Assets under management, AUM</t>
  </si>
  <si>
    <t>BR_AUM</t>
  </si>
  <si>
    <t>Retail/private client services revenue breakout</t>
  </si>
  <si>
    <t>RETAIL_REVS_BO</t>
  </si>
  <si>
    <t>Security services breakout</t>
  </si>
  <si>
    <t>SS_REVS_BO</t>
  </si>
  <si>
    <t>Credit card revenue breakout</t>
  </si>
  <si>
    <t>CC_REVS_BO</t>
  </si>
  <si>
    <t>Trading Revenue</t>
  </si>
  <si>
    <t>Equities revenue breakout</t>
  </si>
  <si>
    <t>EQTY_REVS_BO</t>
  </si>
  <si>
    <t>Fixed income revenue breakout</t>
  </si>
  <si>
    <t>FICC_REVS_BO</t>
  </si>
  <si>
    <t>Investment Banking Revenue</t>
  </si>
  <si>
    <t>M&amp;A revenue breakout</t>
  </si>
  <si>
    <t>MA_REVS_BO</t>
  </si>
  <si>
    <t>Equity issuance revenue breakout</t>
  </si>
  <si>
    <t>EQTY_ISS_REVS_BO</t>
  </si>
  <si>
    <t>Fixed income issuance revenue breakout</t>
  </si>
  <si>
    <t>FICC_ISS_REVS_BO</t>
  </si>
  <si>
    <t>Total issuance revenue breakout</t>
  </si>
  <si>
    <t>TOT_ISS_REVS_BO</t>
  </si>
  <si>
    <t>Security: Macquarie Group Limited</t>
  </si>
  <si>
    <t>Net income (pre-preferred dividends)</t>
  </si>
  <si>
    <t>NI_PRE_PREF</t>
  </si>
  <si>
    <t>Preferred dividends</t>
  </si>
  <si>
    <t>PREF_DIV</t>
  </si>
  <si>
    <t>calculation</t>
  </si>
  <si>
    <t>calc</t>
  </si>
  <si>
    <t>1H18A</t>
  </si>
  <si>
    <t>Assets under management</t>
  </si>
  <si>
    <t>Reported profit (A$ mn)</t>
  </si>
  <si>
    <t>2H18A</t>
  </si>
  <si>
    <t>FY18A</t>
  </si>
  <si>
    <t>Deployable equity</t>
  </si>
  <si>
    <t>Base fees (MIRA) / EUM (ex-deployable equity)</t>
  </si>
  <si>
    <t>Financial investments</t>
  </si>
  <si>
    <t>1H19A</t>
  </si>
  <si>
    <t>Intangible assets (ex-Goodwill)</t>
  </si>
  <si>
    <t>FY19A</t>
  </si>
  <si>
    <t>2H19A</t>
  </si>
  <si>
    <t>GRP_PEAssetsTotal</t>
  </si>
  <si>
    <t>1H20A</t>
  </si>
  <si>
    <t>FY20A</t>
  </si>
  <si>
    <t>Derivative revaluation accounting gross-up</t>
  </si>
  <si>
    <t>Segregated funds and Non-controlling interests</t>
  </si>
  <si>
    <t>2H20A</t>
  </si>
  <si>
    <t>1H25E</t>
  </si>
  <si>
    <t>2H25E</t>
  </si>
  <si>
    <t>FY25E</t>
  </si>
  <si>
    <t>1H21A</t>
  </si>
  <si>
    <t>FY21A</t>
  </si>
  <si>
    <t>2H21A</t>
  </si>
  <si>
    <t>1H26E</t>
  </si>
  <si>
    <t>2H26E</t>
  </si>
  <si>
    <t>FY26E</t>
  </si>
  <si>
    <t>P/NTA vs. ROTE &amp; SOTP</t>
  </si>
  <si>
    <t>1H22A</t>
  </si>
  <si>
    <t>Australian Banks Team</t>
  </si>
  <si>
    <t>Macquarie Group (MQG.AX)</t>
  </si>
  <si>
    <t>12 Month Target Price (A$p/s)</t>
  </si>
  <si>
    <t>Market Cap (A$ mn)</t>
  </si>
  <si>
    <t>Current shares outstanding (mn):</t>
  </si>
  <si>
    <t>Currency:</t>
  </si>
  <si>
    <t xml:space="preserve">Team Contacts: </t>
  </si>
  <si>
    <t>Andrew Lyons</t>
  </si>
  <si>
    <t>+61 2 9321-8543</t>
  </si>
  <si>
    <t>andrew.lyons@gs.com</t>
  </si>
  <si>
    <t>John Li</t>
  </si>
  <si>
    <t>+61 2 9321-8490</t>
  </si>
  <si>
    <t>john.y.li@gs.com</t>
  </si>
  <si>
    <t>FY22A</t>
  </si>
  <si>
    <t>2H22A</t>
  </si>
  <si>
    <t>1H27E</t>
  </si>
  <si>
    <t>2H27E</t>
  </si>
  <si>
    <t>FY27E</t>
  </si>
  <si>
    <t>1H23A</t>
  </si>
  <si>
    <t>Risk management</t>
  </si>
  <si>
    <t>Lending and financing</t>
  </si>
  <si>
    <t>Inventory management and trading</t>
  </si>
  <si>
    <t>CGM_TradingIncomeCommoditiesRisk</t>
  </si>
  <si>
    <t>CGM_TradingIncomeCommoditiesLending</t>
  </si>
  <si>
    <t>CGM_TradingIncomeCommoditiesInventory</t>
  </si>
  <si>
    <t>Trading income growth - commodities | Risk</t>
  </si>
  <si>
    <t>Trading income growth - commodities | Lending</t>
  </si>
  <si>
    <t>Trading income growth - commodities | Inventory</t>
  </si>
  <si>
    <t>1H28E</t>
  </si>
  <si>
    <t>2H28E</t>
  </si>
  <si>
    <t>FY28E</t>
  </si>
  <si>
    <t>FY23A</t>
  </si>
  <si>
    <t>2H23A</t>
  </si>
  <si>
    <t>1H24A</t>
  </si>
  <si>
    <t>Capital charge (@ 10.50% CET1 ratio)</t>
  </si>
  <si>
    <t>Other staff on costs &amp; training</t>
  </si>
  <si>
    <t>2H24A</t>
  </si>
  <si>
    <t>1H29E</t>
  </si>
  <si>
    <t>2H29E</t>
  </si>
  <si>
    <t>FY24A</t>
  </si>
  <si>
    <t>FY29E</t>
  </si>
  <si>
    <t>Bank capital requirement (at 10.50% CET1)</t>
  </si>
  <si>
    <t>Bank surplus capital (at 10.50% CET1)</t>
  </si>
  <si>
    <t>Management guidence metrics</t>
  </si>
  <si>
    <t>Growth in EUM, includ. FX</t>
  </si>
  <si>
    <t>Net loss from subsidiaries held for business purposes</t>
  </si>
  <si>
    <t>Net operating lease income</t>
  </si>
  <si>
    <t>GRP_OLI</t>
  </si>
  <si>
    <t>GRP_SUBL</t>
  </si>
  <si>
    <t>Investment Income</t>
  </si>
  <si>
    <t>GRP_II</t>
  </si>
  <si>
    <t>Credit and other impairments charge</t>
  </si>
  <si>
    <t>MFG_II</t>
  </si>
  <si>
    <t>MFG_SUBL</t>
  </si>
  <si>
    <t>BFS_II</t>
  </si>
  <si>
    <t>BFS_SUBL</t>
  </si>
  <si>
    <t>BFS_OLI</t>
  </si>
  <si>
    <t>CGM_II</t>
  </si>
  <si>
    <t>CGM_SUBL</t>
  </si>
  <si>
    <t>CGM_OLI</t>
  </si>
  <si>
    <t>CAP_II</t>
  </si>
  <si>
    <t>CAP_SUBL</t>
  </si>
  <si>
    <t>CAP_OLI</t>
  </si>
  <si>
    <t>MSC_II</t>
  </si>
  <si>
    <t>MSC_SUBL</t>
  </si>
  <si>
    <t>MSC_OLI</t>
  </si>
  <si>
    <t>COR_II</t>
  </si>
  <si>
    <t>COR_SUBL</t>
  </si>
  <si>
    <t>COR_OLI</t>
  </si>
  <si>
    <t>CAF_II</t>
  </si>
  <si>
    <t>CAF_SUBL</t>
  </si>
  <si>
    <t>CAF_OLI</t>
  </si>
  <si>
    <t>Annual base fee growth</t>
  </si>
  <si>
    <t>Annual other operating income growth</t>
  </si>
  <si>
    <t>Total revenue growth</t>
  </si>
  <si>
    <t>MFG_EUM</t>
  </si>
  <si>
    <t xml:space="preserve">Based on ...Gordon's Growth </t>
  </si>
  <si>
    <t>Corporate = earnings on surplus capital less corporate expenses + franking</t>
  </si>
  <si>
    <t>Price / net assets</t>
  </si>
  <si>
    <t>This sheet contains FactSet XML data for use with this workbook's =FDS codes.  Modifying the worksheet's contents may damage the workbook's =FDS functionality.</t>
  </si>
  <si>
    <t>Based on 20y premium/discount to mkt avg, applied to 6mo mkt PE</t>
  </si>
  <si>
    <t>MAM</t>
  </si>
  <si>
    <t>CGM</t>
  </si>
  <si>
    <t>MacCap</t>
  </si>
  <si>
    <t>New</t>
  </si>
  <si>
    <t>Old</t>
  </si>
  <si>
    <t>Delta (%)</t>
  </si>
  <si>
    <t>Delta ($)</t>
  </si>
  <si>
    <t>performance fees</t>
  </si>
  <si>
    <t>investment income</t>
  </si>
  <si>
    <t>net loss from subsidiaries</t>
  </si>
  <si>
    <t>net interest income</t>
  </si>
  <si>
    <t>credit expenses</t>
  </si>
  <si>
    <t>trading income (line 319 - private credit portfolio income)</t>
  </si>
  <si>
    <t>credit impariments</t>
  </si>
  <si>
    <t>Corporate NII (sum of trading and NII - line 453, 462)</t>
  </si>
  <si>
    <t>fee and other comission income (line 166)</t>
  </si>
  <si>
    <t>commodities trading income (line 242)</t>
  </si>
  <si>
    <t>other trading income (l243)</t>
  </si>
  <si>
    <t>credit impairments (245)</t>
  </si>
  <si>
    <t>fee and comission income (238)</t>
  </si>
  <si>
    <t>Revenue</t>
  </si>
  <si>
    <t>Total costs (sum of 29,30, 31)</t>
  </si>
  <si>
    <t>Costs</t>
  </si>
  <si>
    <t>base fees (AUM/ EUM * rate)</t>
  </si>
  <si>
    <t>ROEs</t>
  </si>
  <si>
    <t>Macquarie Asset Management (MAM)</t>
  </si>
  <si>
    <t>Banking and Financial Services (BFS)</t>
  </si>
  <si>
    <t>Commodities and Global Markets (CGM)</t>
  </si>
  <si>
    <t>Macquarie Capital (MacCap)</t>
  </si>
  <si>
    <t>Corporate (Corp)</t>
  </si>
  <si>
    <t>Group ROE</t>
  </si>
  <si>
    <t>Delta (bpts)</t>
  </si>
  <si>
    <t>**currently linked to 29102025 model</t>
  </si>
  <si>
    <t>Key metrics</t>
  </si>
  <si>
    <t>Target Price</t>
  </si>
  <si>
    <t xml:space="preserve">New </t>
  </si>
  <si>
    <t>Relative PE Valuation</t>
  </si>
  <si>
    <t xml:space="preserve">DCF valuation </t>
  </si>
  <si>
    <t>Relative PE valuation</t>
  </si>
  <si>
    <t xml:space="preserve">SOTP valuation </t>
  </si>
  <si>
    <t>SOTP</t>
  </si>
  <si>
    <t>--&gt; Key metrics</t>
  </si>
  <si>
    <t>and 29102025 Bank Sector forecasting</t>
  </si>
  <si>
    <t>Total Revenue</t>
  </si>
  <si>
    <t>Private Credit NIM</t>
  </si>
  <si>
    <t>Cash Earnings</t>
  </si>
  <si>
    <t>Share of net profits/ (losses from associates and JVs</t>
  </si>
  <si>
    <t>Credit and other impairment charges</t>
  </si>
  <si>
    <t>Net other operating income</t>
  </si>
  <si>
    <t>Net operating income</t>
  </si>
  <si>
    <t>Total operating expenses</t>
  </si>
  <si>
    <t>Operating profit before income tax</t>
  </si>
  <si>
    <t>Income tax expense</t>
  </si>
  <si>
    <t xml:space="preserve">Key Metrics </t>
  </si>
  <si>
    <t>Cost to income ratio</t>
  </si>
  <si>
    <t>Effective tax rate</t>
  </si>
  <si>
    <t>Basic Cash EPS</t>
  </si>
  <si>
    <t>Diluted Cash EPS</t>
  </si>
  <si>
    <t>MQG-AU</t>
  </si>
  <si>
    <t>Goldman Sachs | Macquarie Group Limited | MQG-AU</t>
  </si>
  <si>
    <t>Brendan Sproules | brendan.sproules@gs.com | +61 3 9679 1276</t>
  </si>
  <si>
    <t>Profit &amp; loss (A$m)</t>
  </si>
  <si>
    <t>FY25A</t>
  </si>
  <si>
    <t>Share Price / Recommendation / Target Price</t>
  </si>
  <si>
    <t>Net interest and trading income</t>
  </si>
  <si>
    <t>Mar</t>
  </si>
  <si>
    <t>Recommendation</t>
  </si>
  <si>
    <t>Share Price</t>
  </si>
  <si>
    <t>Shares on issue (m)</t>
  </si>
  <si>
    <t>Upside / Downside</t>
  </si>
  <si>
    <t>M&amp;A, advisory and underwriting fees</t>
  </si>
  <si>
    <t>Market capitalisation (A$m)</t>
  </si>
  <si>
    <t>Valuation Methotholgy</t>
  </si>
  <si>
    <t>A$ps</t>
  </si>
  <si>
    <t>SOTP Val.</t>
  </si>
  <si>
    <t>P/B</t>
  </si>
  <si>
    <t>Share of profits from associates and JVs</t>
  </si>
  <si>
    <t>Sum-of-the-parts (SOTP)</t>
  </si>
  <si>
    <t>Net credit and other impairment charges</t>
  </si>
  <si>
    <t>Price-to-earnings</t>
  </si>
  <si>
    <t>Avg valuation</t>
  </si>
  <si>
    <t>Operating costs</t>
  </si>
  <si>
    <t>Corp</t>
  </si>
  <si>
    <t>Non-controlling interests</t>
  </si>
  <si>
    <t>Cash earnings (pre-NRIs)</t>
  </si>
  <si>
    <t>Trading multiples</t>
  </si>
  <si>
    <t>At current price</t>
  </si>
  <si>
    <t>Price-to-book</t>
  </si>
  <si>
    <t>Divisional contributions (A$m)</t>
  </si>
  <si>
    <t>Price-to-NTA</t>
  </si>
  <si>
    <t>At target price</t>
  </si>
  <si>
    <t>Total Group</t>
  </si>
  <si>
    <t>Balance Sheet (A$m)</t>
  </si>
  <si>
    <t>Per share</t>
  </si>
  <si>
    <t>Cash EPS - basic</t>
  </si>
  <si>
    <t>Cash EPS - diluted</t>
  </si>
  <si>
    <t xml:space="preserve">Dividend per share </t>
  </si>
  <si>
    <t xml:space="preserve"> </t>
  </si>
  <si>
    <t>Ordinary s'holders equity</t>
  </si>
  <si>
    <t>Dividend payout ratio (%)</t>
  </si>
  <si>
    <t>Regulatory capital position</t>
  </si>
  <si>
    <t>NTA per share</t>
  </si>
  <si>
    <t>Bank capital requirement (at 10.5% CET1)</t>
  </si>
  <si>
    <t>Bank surplus capital (at 10.5% CET1)</t>
  </si>
  <si>
    <t>Profitability, on cash basis</t>
  </si>
  <si>
    <t>ROA</t>
  </si>
  <si>
    <t>Half-year forecasts (A$m)</t>
  </si>
  <si>
    <t>2H25A</t>
  </si>
  <si>
    <t>Earnings drivers</t>
  </si>
  <si>
    <t>Cost-to-income</t>
  </si>
  <si>
    <t>Tax rate (%)</t>
  </si>
  <si>
    <t>Profit per FTE ($)</t>
  </si>
  <si>
    <t>CET 1 ratio - bank</t>
  </si>
  <si>
    <t>1H26A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</si>
</sst>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0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[$-409]mmm\-yy;@"/>
    <numFmt numFmtId="167" formatCode="0.0%"/>
    <numFmt numFmtId="168" formatCode="#,##0.0"/>
    <numFmt numFmtId="169" formatCode="&quot;$&quot;#,##0"/>
    <numFmt numFmtId="170" formatCode="#,##0.000000000"/>
    <numFmt numFmtId="171" formatCode="&quot;$&quot;#,##0.00"/>
    <numFmt numFmtId="172" formatCode="\A&quot;$&quot;#,##0.00"/>
    <numFmt numFmtId="173" formatCode="0.0"/>
    <numFmt numFmtId="174" formatCode="0.0&quot;x&quot;"/>
    <numFmt numFmtId="175" formatCode="0.0000"/>
    <numFmt numFmtId="176" formatCode="0.0_)\%;\(0.0\)\%;0.0_)\%;@_)_%"/>
    <numFmt numFmtId="177" formatCode="#,##0.0_)_%;\(#,##0.0\)_%;0.0_)_%;@_)_%"/>
    <numFmt numFmtId="178" formatCode="#,##0.0_);\(#,##0.0\);#,##0.0_);@_)"/>
    <numFmt numFmtId="179" formatCode="#,##0.0_);\(#,##0.0\)"/>
    <numFmt numFmtId="180" formatCode="&quot;$&quot;_(#,##0.00_);&quot;$&quot;\(#,##0.00\)"/>
    <numFmt numFmtId="181" formatCode="&quot;$&quot;_(#,##0.00_);&quot;$&quot;\(#,##0.00\);&quot;$&quot;_(0.00_);@_)"/>
    <numFmt numFmtId="182" formatCode="#,##0.00_);\(#,##0.00\);0.00_);@_)"/>
    <numFmt numFmtId="183" formatCode="\€_(#,##0.00_);\€\(#,##0.00\);\€_(0.00_);@_)"/>
    <numFmt numFmtId="184" formatCode="#,##0.0_)\x;\(#,##0.0\)\x"/>
    <numFmt numFmtId="185" formatCode="#,##0_)\x;\(#,##0\)\x;0_)\x;@_)_x"/>
    <numFmt numFmtId="186" formatCode="#,##0.0_)\x;\(#,##0.0\)\x;0.0_)\x;@_)_x"/>
    <numFmt numFmtId="187" formatCode="#,##0.0_)_x;\(#,##0.0\)_x"/>
    <numFmt numFmtId="188" formatCode="#,##0_)_x;\(#,##0\)_x;0_)_x;@_)_x"/>
    <numFmt numFmtId="189" formatCode="#,##0.0_)_x;\(#,##0.0\)_x;0.0_)_x;@_)_x"/>
    <numFmt numFmtId="190" formatCode="0.0_)\%;\(0.0\)\%"/>
    <numFmt numFmtId="191" formatCode="#,##0.0_)_%;\(#,##0.0\)_%"/>
    <numFmt numFmtId="192" formatCode="#,##0;\(#,##0\)"/>
    <numFmt numFmtId="193" formatCode="0\A"/>
    <numFmt numFmtId="194" formatCode="0.00_)"/>
    <numFmt numFmtId="195" formatCode="0\p"/>
    <numFmt numFmtId="196" formatCode="&quot;$&quot;#,##0.0\ \ \ ;\(&quot;$&quot;#,##0.0\)\ \ "/>
    <numFmt numFmtId="197" formatCode="0.0&quot;  &quot;"/>
    <numFmt numFmtId="198" formatCode="_-* #,##0_-;\(#,##0\);_-* &quot;–&quot;_-;_-@_-"/>
    <numFmt numFmtId="199" formatCode="##0.00"/>
    <numFmt numFmtId="200" formatCode="#,##0.00;;;[White]General"/>
    <numFmt numFmtId="201" formatCode="_(* #,##0.00000_);_(* \(#,##0.00000\);_(* &quot;-&quot;??_);_(@_)"/>
    <numFmt numFmtId="202" formatCode="#,##0.0\ \ \ ;\(#,##0.0\)\ \ "/>
    <numFmt numFmtId="203" formatCode="#,##0.000_);[Red]\(#,##0.000\)"/>
    <numFmt numFmtId="204" formatCode="&quot;$&quot;0.0"/>
    <numFmt numFmtId="205" formatCode="#,##0.000;\(#,##0.000\)"/>
    <numFmt numFmtId="206" formatCode="#,##0;\(#,##0\);\–;@"/>
    <numFmt numFmtId="207" formatCode="_(&quot;CHF&quot;* #,##0.0_);_(&quot;CHF&quot;* \(#,##0.0\);_(&quot;CHF&quot;* &quot;-&quot;??_);_(@_)"/>
    <numFmt numFmtId="208" formatCode="mm/yy"/>
    <numFmt numFmtId="209" formatCode="General__;"/>
    <numFmt numFmtId="210" formatCode="#,##0__;\(#,##0\)__;#,##0__;"/>
    <numFmt numFmtId="211" formatCode="0.00%__;\(0.00%\)__;0.00%__;"/>
    <numFmt numFmtId="212" formatCode="dd\-mmm\-yy__;"/>
    <numFmt numFmtId="213" formatCode="\A&quot;$&quot;#.00"/>
    <numFmt numFmtId="214" formatCode="\A&quot;$&quot;#.00__;\(\A&quot;$&quot;#.00\)__;\A&quot;$&quot;#.00__;"/>
    <numFmt numFmtId="215" formatCode="0.0%__;\(0.0%\)__;0.0%__;"/>
    <numFmt numFmtId="216" formatCode="0.0&quot;x&quot;__;\(0.0\)&quot;x&quot;__;0.0&quot;x&quot;__;"/>
    <numFmt numFmtId="217" formatCode="0.0%__;\(0.0%\)__;\(0.0%\)__;"/>
    <numFmt numFmtId="218" formatCode="#,##0.0__;\(#,##0.0\)__;#,##0.0;"/>
    <numFmt numFmtId="219" formatCode="0%__;\(0%\)__;\(0%\)__;"/>
    <numFmt numFmtId="220" formatCode="#,##0.00__;\(#,##0.00\)__;#,##0.00;"/>
    <numFmt numFmtId="221" formatCode="#,##0.0__;\(#,##0.0\)__;#,##0.0__"/>
    <numFmt numFmtId="222" formatCode="0.0\x__;\(0.0\x\)__;0.0\x__;"/>
    <numFmt numFmtId="223" formatCode="#,##0.00__;\(#,##0.00\)__;#,##0.00__"/>
    <numFmt numFmtId="224" formatCode="0.00%__;\(0.00%\)__;\(0.00%\)__;"/>
    <numFmt numFmtId="225" formatCode="0.0%__;\(0.0%\)__;\(0.0%\)__"/>
    <numFmt numFmtId="226" formatCode="#,##0__;"/>
    <numFmt numFmtId="227" formatCode="\A&quot;$&quot;#.00__;"/>
    <numFmt numFmtId="228" formatCode="[$-409]d\-mmm\-yy;@"/>
    <numFmt numFmtId="229" formatCode="_(* #,##0_);_(* \(#,##0\);_(* &quot;-&quot;??_);_(@_)"/>
    <numFmt numFmtId="230" formatCode="_(* #,##0.0_);_(* \(#,##0.0\);_(* &quot;-&quot;??_);_(@_)"/>
    <numFmt numFmtId="231" formatCode="#,##0.0000"/>
    <numFmt numFmtId="232" formatCode="dd\-mmm\-yyyy"/>
    <numFmt numFmtId="233" formatCode="#,##0.00_ ;\-#,##0.00\ "/>
    <numFmt numFmtId="234" formatCode="_(* #,##0.0000_);_(* \(#,##0.0000\);_(* &quot;-&quot;??_);_(@_)"/>
    <numFmt numFmtId="235" formatCode="0.000"/>
    <numFmt numFmtId="236" formatCode="mmmm\ dd\.\ yyyy"/>
    <numFmt numFmtId="237" formatCode="#,###,##0"/>
    <numFmt numFmtId="238" formatCode="0.0\x"/>
  </numFmts>
  <fonts count="138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sz val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rgb="FF3366FF"/>
      <name val="Arial"/>
      <family val="2"/>
    </font>
    <font>
      <b/>
      <sz val="9"/>
      <color rgb="FF3366FF"/>
      <name val="Arial"/>
      <family val="2"/>
    </font>
    <font>
      <sz val="9"/>
      <color indexed="46"/>
      <name val="Arial"/>
      <family val="2"/>
    </font>
    <font>
      <b/>
      <sz val="9"/>
      <color indexed="46"/>
      <name val="Arial"/>
      <family val="2"/>
    </font>
    <font>
      <sz val="10"/>
      <name val="Verdana"/>
      <family val="2"/>
    </font>
    <font>
      <sz val="9"/>
      <color indexed="57"/>
      <name val="Arial"/>
      <family val="2"/>
    </font>
    <font>
      <sz val="9"/>
      <color indexed="48"/>
      <name val="Arial"/>
      <family val="2"/>
    </font>
    <font>
      <sz val="9"/>
      <color indexed="9"/>
      <name val="Arial"/>
      <family val="2"/>
    </font>
    <font>
      <i/>
      <sz val="9"/>
      <name val="Arial"/>
      <family val="2"/>
    </font>
    <font>
      <i/>
      <sz val="9"/>
      <color indexed="46"/>
      <name val="Arial"/>
      <family val="2"/>
    </font>
    <font>
      <b/>
      <i/>
      <sz val="9"/>
      <name val="Arial"/>
      <family val="2"/>
    </font>
    <font>
      <b/>
      <sz val="10"/>
      <name val="MS Sans Serif"/>
      <family val="2"/>
    </font>
    <font>
      <sz val="10"/>
      <name val="GS TheSans"/>
      <family val="2"/>
    </font>
    <font>
      <sz val="10"/>
      <name val="Arial"/>
      <family val="2"/>
    </font>
    <font>
      <sz val="8"/>
      <name val="Tahoma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9"/>
      <color indexed="8"/>
      <name val="Times New Roman"/>
      <family val="1"/>
    </font>
    <font>
      <b/>
      <sz val="10"/>
      <color indexed="8"/>
      <name val="Times New Roman"/>
      <family val="1"/>
    </font>
    <font>
      <sz val="8"/>
      <name val="Arial"/>
      <family val="2"/>
    </font>
    <font>
      <sz val="8"/>
      <name val="Times"/>
      <family val="1"/>
    </font>
    <font>
      <sz val="8"/>
      <name val="Helvetica"/>
      <family val="2"/>
    </font>
    <font>
      <b/>
      <sz val="12"/>
      <name val="Tms Rmn"/>
    </font>
    <font>
      <sz val="10"/>
      <color indexed="20"/>
      <name val="Arial"/>
      <family val="2"/>
    </font>
    <font>
      <sz val="9"/>
      <color indexed="9"/>
      <name val="Times New Roman"/>
      <family val="1"/>
    </font>
    <font>
      <sz val="8"/>
      <color indexed="12"/>
      <name val="Tms Rmn"/>
    </font>
    <font>
      <b/>
      <sz val="10"/>
      <color indexed="9"/>
      <name val="Arial"/>
      <family val="2"/>
    </font>
    <font>
      <b/>
      <sz val="10"/>
      <color indexed="52"/>
      <name val="Arial"/>
      <family val="2"/>
    </font>
    <font>
      <b/>
      <i/>
      <sz val="8"/>
      <name val="Arial"/>
      <family val="2"/>
    </font>
    <font>
      <b/>
      <sz val="10"/>
      <name val="Bookman"/>
      <family val="1"/>
    </font>
    <font>
      <b/>
      <sz val="24"/>
      <name val="Times New Roman"/>
      <family val="1"/>
    </font>
    <font>
      <b/>
      <sz val="14"/>
      <name val="Book Antiqua"/>
      <family val="1"/>
    </font>
    <font>
      <sz val="11"/>
      <color indexed="12"/>
      <name val="Book Antiqua"/>
      <family val="1"/>
    </font>
    <font>
      <b/>
      <u/>
      <sz val="7"/>
      <name val="Helvetica"/>
      <family val="2"/>
    </font>
    <font>
      <sz val="8"/>
      <name val="Helv"/>
    </font>
    <font>
      <i/>
      <sz val="10"/>
      <color indexed="23"/>
      <name val="Arial"/>
      <family val="2"/>
    </font>
    <font>
      <sz val="10"/>
      <name val="Book Antiqua"/>
      <family val="1"/>
    </font>
    <font>
      <sz val="7"/>
      <name val="Arial"/>
      <family val="2"/>
    </font>
    <font>
      <sz val="10"/>
      <name val="Helv"/>
    </font>
    <font>
      <b/>
      <sz val="8.5"/>
      <color indexed="17"/>
      <name val="Arial"/>
      <family val="2"/>
    </font>
    <font>
      <sz val="10"/>
      <color indexed="17"/>
      <name val="Arial"/>
      <family val="2"/>
    </font>
    <font>
      <b/>
      <sz val="7"/>
      <color indexed="17"/>
      <name val="Arial"/>
      <family val="2"/>
    </font>
    <font>
      <sz val="8.5"/>
      <color indexed="8"/>
      <name val="Arial"/>
      <family val="2"/>
    </font>
    <font>
      <b/>
      <i/>
      <sz val="12"/>
      <color indexed="39"/>
      <name val="Arial"/>
      <family val="2"/>
    </font>
    <font>
      <b/>
      <sz val="8"/>
      <name val="Book Antiqua"/>
      <family val="1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b/>
      <sz val="12"/>
      <name val="Arial"/>
      <family val="2"/>
    </font>
    <font>
      <sz val="10"/>
      <color indexed="62"/>
      <name val="Arial"/>
      <family val="2"/>
    </font>
    <font>
      <sz val="10"/>
      <name val="MS Sans Serif"/>
      <family val="2"/>
    </font>
    <font>
      <b/>
      <sz val="10"/>
      <name val="Palatino"/>
      <family val="1"/>
    </font>
    <font>
      <sz val="10"/>
      <color indexed="52"/>
      <name val="Arial"/>
      <family val="2"/>
    </font>
    <font>
      <b/>
      <sz val="14"/>
      <name val="Arial"/>
      <family val="2"/>
    </font>
    <font>
      <sz val="8"/>
      <name val="Book Antiqua"/>
      <family val="1"/>
    </font>
    <font>
      <i/>
      <sz val="7"/>
      <name val="Book Antiqua"/>
      <family val="1"/>
    </font>
    <font>
      <sz val="8"/>
      <color indexed="9"/>
      <name val="Arial"/>
      <family val="2"/>
    </font>
    <font>
      <b/>
      <sz val="10"/>
      <color indexed="17"/>
      <name val="Arial"/>
      <family val="2"/>
    </font>
    <font>
      <sz val="10"/>
      <color indexed="60"/>
      <name val="Arial"/>
      <family val="2"/>
    </font>
    <font>
      <b/>
      <i/>
      <sz val="16"/>
      <name val="Helv"/>
    </font>
    <font>
      <sz val="9"/>
      <name val="Verdana"/>
      <family val="2"/>
    </font>
    <font>
      <b/>
      <sz val="8"/>
      <name val="Arial"/>
      <family val="2"/>
    </font>
    <font>
      <sz val="10"/>
      <color indexed="72"/>
      <name val="System"/>
      <family val="2"/>
    </font>
    <font>
      <b/>
      <sz val="10"/>
      <color indexed="34"/>
      <name val="Arial"/>
      <family val="2"/>
    </font>
    <font>
      <b/>
      <sz val="14"/>
      <name val="Times New Roman"/>
      <family val="1"/>
    </font>
    <font>
      <sz val="10"/>
      <name val="Palatino"/>
      <family val="1"/>
    </font>
    <font>
      <sz val="8"/>
      <name val="Helv"/>
      <family val="2"/>
    </font>
    <font>
      <sz val="10"/>
      <name val="Times New Roman"/>
      <family val="1"/>
    </font>
    <font>
      <sz val="12"/>
      <name val="Helvetica"/>
      <family val="2"/>
    </font>
    <font>
      <b/>
      <sz val="14"/>
      <name val="Bookman"/>
      <family val="1"/>
    </font>
    <font>
      <sz val="10"/>
      <name val="Geneva"/>
      <family val="2"/>
    </font>
    <font>
      <b/>
      <sz val="8"/>
      <name val="HelveticaNeue Condensed"/>
    </font>
    <font>
      <sz val="8"/>
      <name val="HelveticaNeue LightCond"/>
      <family val="2"/>
    </font>
    <font>
      <b/>
      <sz val="7"/>
      <name val="HelveticaNeue Condensed"/>
      <family val="2"/>
    </font>
    <font>
      <b/>
      <sz val="9"/>
      <name val="Times New Roman"/>
      <family val="1"/>
    </font>
    <font>
      <b/>
      <sz val="10"/>
      <name val="Arial"/>
      <family val="2"/>
    </font>
    <font>
      <b/>
      <sz val="11"/>
      <name val="Times New Roman"/>
      <family val="1"/>
    </font>
    <font>
      <b/>
      <sz val="8.5"/>
      <color indexed="8"/>
      <name val="Arial"/>
      <family val="2"/>
    </font>
    <font>
      <b/>
      <sz val="12"/>
      <color indexed="16"/>
      <name val="Arial"/>
      <family val="2"/>
    </font>
    <font>
      <sz val="7"/>
      <name val="Times New Roman"/>
      <family val="1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u/>
      <sz val="14"/>
      <name val="Book Antiqua"/>
      <family val="1"/>
    </font>
    <font>
      <b/>
      <sz val="10"/>
      <name val="Book Antiqua"/>
      <family val="1"/>
    </font>
    <font>
      <b/>
      <sz val="7"/>
      <name val="Arial"/>
      <family val="2"/>
    </font>
    <font>
      <b/>
      <sz val="10"/>
      <color indexed="8"/>
      <name val="Arial"/>
      <family val="2"/>
    </font>
    <font>
      <sz val="10"/>
      <name val="MS Serif"/>
      <family val="1"/>
    </font>
    <font>
      <sz val="10"/>
      <color indexed="10"/>
      <name val="Arial"/>
      <family val="2"/>
    </font>
    <font>
      <b/>
      <sz val="10"/>
      <name val="Times New Roman"/>
      <family val="1"/>
    </font>
    <font>
      <sz val="9"/>
      <color theme="0"/>
      <name val="Arial"/>
      <family val="2"/>
    </font>
    <font>
      <b/>
      <sz val="10"/>
      <color indexed="12"/>
      <name val="Arial"/>
      <family val="2"/>
    </font>
    <font>
      <b/>
      <sz val="10"/>
      <color rgb="FFFF0000"/>
      <name val="Arial"/>
      <family val="2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Verdana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rgb="FF008000"/>
      <name val="Arial"/>
      <family val="2"/>
    </font>
    <font>
      <sz val="9"/>
      <color rgb="FF000000"/>
      <name val="Arial"/>
      <family val="2"/>
    </font>
    <font>
      <sz val="9"/>
      <color rgb="FF0000FF"/>
      <name val="Arial"/>
      <family val="2"/>
    </font>
    <font>
      <sz val="10.5"/>
      <color theme="1"/>
      <name val="Calibri"/>
      <family val="2"/>
    </font>
    <font>
      <b/>
      <sz val="11"/>
      <color theme="1"/>
      <name val="Calibri"/>
      <family val="2"/>
    </font>
    <font>
      <b/>
      <sz val="11.5"/>
      <color theme="0"/>
      <name val="Calibri"/>
      <family val="2"/>
    </font>
    <font>
      <b/>
      <sz val="10.5"/>
      <color theme="1"/>
      <name val="Calibri"/>
      <family val="2"/>
    </font>
    <font>
      <u/>
      <sz val="10"/>
      <color theme="10"/>
      <name val="Verdan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030A0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u/>
      <sz val="11"/>
      <name val="Calibri"/>
      <family val="2"/>
      <scheme val="minor"/>
    </font>
    <font>
      <b/>
      <sz val="14"/>
      <color theme="1"/>
      <name val="Arial"/>
      <family val="2"/>
    </font>
    <font>
      <sz val="14"/>
      <color rgb="FF000000"/>
      <name val="Calibri"/>
      <family val="2"/>
      <scheme val="minor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rgb="FF000000"/>
      <name val="Calibri"/>
      <family val="2"/>
      <scheme val="minor"/>
    </font>
    <font>
      <b/>
      <u/>
      <sz val="14"/>
      <color rgb="FF000000"/>
      <name val="Arial"/>
      <family val="2"/>
    </font>
    <font>
      <b/>
      <sz val="14"/>
      <color rgb="FFFFFFFF"/>
      <name val="Arial"/>
      <family val="2"/>
    </font>
    <font>
      <b/>
      <sz val="9"/>
      <color indexed="81"/>
      <name val="Tahoma"/>
      <charset val="1"/>
    </font>
  </fonts>
  <fills count="4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47"/>
      </patternFill>
    </fill>
    <fill>
      <patternFill patternType="solid">
        <fgColor indexed="38"/>
      </patternFill>
    </fill>
    <fill>
      <patternFill patternType="solid">
        <fgColor indexed="28"/>
      </patternFill>
    </fill>
    <fill>
      <patternFill patternType="solid">
        <fgColor indexed="26"/>
      </patternFill>
    </fill>
    <fill>
      <patternFill patternType="solid">
        <fgColor indexed="33"/>
      </patternFill>
    </fill>
    <fill>
      <patternFill patternType="solid">
        <fgColor indexed="24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gray0625">
        <fgColor indexed="10"/>
        <bgColor indexed="9"/>
      </patternFill>
    </fill>
    <fill>
      <patternFill patternType="solid">
        <fgColor indexed="45"/>
      </patternFill>
    </fill>
    <fill>
      <patternFill patternType="solid">
        <fgColor indexed="18"/>
        <bgColor indexed="64"/>
      </patternFill>
    </fill>
    <fill>
      <patternFill patternType="lightGray">
        <fgColor indexed="14"/>
        <bgColor indexed="9"/>
      </patternFill>
    </fill>
    <fill>
      <patternFill patternType="solid">
        <fgColor indexed="27"/>
      </patternFill>
    </fill>
    <fill>
      <patternFill patternType="lightGray">
        <fgColor indexed="15"/>
      </patternFill>
    </fill>
    <fill>
      <patternFill patternType="lightGray">
        <fgColor indexed="12"/>
        <bgColor indexed="9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9"/>
      </patternFill>
    </fill>
    <fill>
      <patternFill patternType="solid">
        <fgColor indexed="8"/>
        <bgColor indexed="64"/>
      </patternFill>
    </fill>
    <fill>
      <patternFill patternType="lightGray">
        <fgColor indexed="22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5E76AA"/>
        <bgColor indexed="64"/>
      </patternFill>
    </fill>
    <fill>
      <patternFill patternType="solid">
        <fgColor rgb="FFCFD6E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ADE"/>
        <bgColor indexed="64"/>
      </patternFill>
    </fill>
    <fill>
      <patternFill patternType="solid">
        <fgColor rgb="FF00355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6BC4"/>
        <bgColor indexed="64"/>
      </patternFill>
    </fill>
  </fills>
  <borders count="3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34"/>
      </left>
      <right style="double">
        <color indexed="34"/>
      </right>
      <top style="double">
        <color indexed="34"/>
      </top>
      <bottom style="double">
        <color indexed="3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ck">
        <color indexed="24"/>
      </bottom>
      <diagonal/>
    </border>
    <border>
      <left/>
      <right/>
      <top/>
      <bottom style="thick">
        <color indexed="31"/>
      </bottom>
      <diagonal/>
    </border>
    <border>
      <left/>
      <right/>
      <top/>
      <bottom style="medium">
        <color indexed="26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33"/>
      </left>
      <right style="thin">
        <color indexed="33"/>
      </right>
      <top style="thin">
        <color indexed="33"/>
      </top>
      <bottom style="thin">
        <color indexed="33"/>
      </bottom>
      <diagonal/>
    </border>
    <border>
      <left style="thin">
        <color indexed="34"/>
      </left>
      <right style="thin">
        <color indexed="34"/>
      </right>
      <top style="thin">
        <color indexed="34"/>
      </top>
      <bottom style="thin">
        <color indexed="3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23"/>
      </bottom>
      <diagonal/>
    </border>
    <border>
      <left style="thin">
        <color indexed="23"/>
      </left>
      <right style="dashed">
        <color indexed="9"/>
      </right>
      <top/>
      <bottom style="dashed">
        <color indexed="9"/>
      </bottom>
      <diagonal/>
    </border>
    <border>
      <left style="thick">
        <color indexed="9"/>
      </left>
      <right style="thick">
        <color indexed="9"/>
      </right>
      <top/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24"/>
      </top>
      <bottom style="double">
        <color indexed="24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/>
      <bottom/>
      <diagonal/>
    </border>
  </borders>
  <cellStyleXfs count="527">
    <xf numFmtId="0" fontId="0" fillId="0" borderId="0"/>
    <xf numFmtId="9" fontId="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22" fillId="0" borderId="0" applyNumberFormat="0" applyFill="0" applyBorder="0" applyAlignment="0" applyProtection="0"/>
    <xf numFmtId="176" fontId="23" fillId="0" borderId="0" applyFont="0" applyFill="0" applyBorder="0" applyAlignment="0" applyProtection="0"/>
    <xf numFmtId="177" fontId="23" fillId="0" borderId="0" applyFont="0" applyFill="0" applyBorder="0" applyAlignment="0" applyProtection="0"/>
    <xf numFmtId="178" fontId="23" fillId="0" borderId="0" applyFont="0" applyFill="0" applyBorder="0" applyAlignment="0" applyProtection="0"/>
    <xf numFmtId="178" fontId="24" fillId="0" borderId="0" applyFont="0" applyFill="0" applyBorder="0" applyAlignment="0" applyProtection="0"/>
    <xf numFmtId="178" fontId="24" fillId="0" borderId="0" applyFont="0" applyFill="0" applyBorder="0" applyAlignment="0" applyProtection="0"/>
    <xf numFmtId="178" fontId="23" fillId="0" borderId="0" applyFont="0" applyFill="0" applyBorder="0" applyAlignment="0" applyProtection="0"/>
    <xf numFmtId="178" fontId="23" fillId="0" borderId="0" applyFont="0" applyFill="0" applyBorder="0" applyAlignment="0" applyProtection="0"/>
    <xf numFmtId="178" fontId="23" fillId="0" borderId="0" applyFont="0" applyFill="0" applyBorder="0" applyAlignment="0" applyProtection="0"/>
    <xf numFmtId="178" fontId="25" fillId="0" borderId="0" applyFont="0" applyFill="0" applyBorder="0" applyAlignment="0" applyProtection="0"/>
    <xf numFmtId="178" fontId="24" fillId="0" borderId="0" applyFont="0" applyFill="0" applyBorder="0" applyAlignment="0" applyProtection="0"/>
    <xf numFmtId="178" fontId="24" fillId="0" borderId="0" applyFont="0" applyFill="0" applyBorder="0" applyAlignment="0" applyProtection="0"/>
    <xf numFmtId="179" fontId="24" fillId="0" borderId="0" applyFont="0" applyFill="0" applyBorder="0" applyAlignment="0" applyProtection="0"/>
    <xf numFmtId="179" fontId="24" fillId="0" borderId="0" applyFont="0" applyFill="0" applyBorder="0" applyAlignment="0" applyProtection="0"/>
    <xf numFmtId="178" fontId="24" fillId="0" borderId="0" applyFont="0" applyFill="0" applyBorder="0" applyAlignment="0" applyProtection="0"/>
    <xf numFmtId="178" fontId="22" fillId="0" borderId="0" applyFont="0" applyFill="0" applyBorder="0" applyAlignment="0" applyProtection="0"/>
    <xf numFmtId="178" fontId="24" fillId="0" borderId="0" applyFont="0" applyFill="0" applyBorder="0" applyAlignment="0" applyProtection="0"/>
    <xf numFmtId="178" fontId="24" fillId="0" borderId="0" applyFont="0" applyFill="0" applyBorder="0" applyAlignment="0" applyProtection="0"/>
    <xf numFmtId="178" fontId="24" fillId="0" borderId="0" applyFont="0" applyFill="0" applyBorder="0" applyAlignment="0" applyProtection="0"/>
    <xf numFmtId="178" fontId="23" fillId="0" borderId="0" applyFont="0" applyFill="0" applyBorder="0" applyAlignment="0" applyProtection="0"/>
    <xf numFmtId="179" fontId="24" fillId="0" borderId="0" applyFont="0" applyFill="0" applyBorder="0" applyAlignment="0" applyProtection="0"/>
    <xf numFmtId="179" fontId="24" fillId="0" borderId="0" applyFont="0" applyFill="0" applyBorder="0" applyAlignment="0" applyProtection="0"/>
    <xf numFmtId="179" fontId="24" fillId="0" borderId="0" applyFont="0" applyFill="0" applyBorder="0" applyAlignment="0" applyProtection="0"/>
    <xf numFmtId="178" fontId="23" fillId="0" borderId="0" applyFont="0" applyFill="0" applyBorder="0" applyAlignment="0" applyProtection="0"/>
    <xf numFmtId="178" fontId="24" fillId="0" borderId="0" applyFont="0" applyFill="0" applyBorder="0" applyAlignment="0" applyProtection="0"/>
    <xf numFmtId="178" fontId="24" fillId="0" borderId="0" applyFont="0" applyFill="0" applyBorder="0" applyAlignment="0" applyProtection="0"/>
    <xf numFmtId="178" fontId="23" fillId="0" borderId="0" applyFont="0" applyFill="0" applyBorder="0" applyAlignment="0" applyProtection="0"/>
    <xf numFmtId="179" fontId="24" fillId="0" borderId="0" applyFont="0" applyFill="0" applyBorder="0" applyAlignment="0" applyProtection="0"/>
    <xf numFmtId="179" fontId="24" fillId="0" borderId="0" applyFont="0" applyFill="0" applyBorder="0" applyAlignment="0" applyProtection="0"/>
    <xf numFmtId="179" fontId="24" fillId="0" borderId="0" applyFont="0" applyFill="0" applyBorder="0" applyAlignment="0" applyProtection="0"/>
    <xf numFmtId="178" fontId="23" fillId="0" borderId="0" applyFont="0" applyFill="0" applyBorder="0" applyAlignment="0" applyProtection="0"/>
    <xf numFmtId="178" fontId="24" fillId="0" borderId="0" applyFont="0" applyFill="0" applyBorder="0" applyAlignment="0" applyProtection="0"/>
    <xf numFmtId="178" fontId="24" fillId="0" borderId="0" applyFont="0" applyFill="0" applyBorder="0" applyAlignment="0" applyProtection="0"/>
    <xf numFmtId="178" fontId="24" fillId="0" borderId="0" applyFont="0" applyFill="0" applyBorder="0" applyAlignment="0" applyProtection="0"/>
    <xf numFmtId="180" fontId="24" fillId="0" borderId="0" applyFont="0" applyFill="0" applyBorder="0" applyAlignment="0" applyProtection="0"/>
    <xf numFmtId="181" fontId="24" fillId="0" borderId="0" applyFont="0" applyFill="0" applyBorder="0" applyAlignment="0" applyProtection="0"/>
    <xf numFmtId="181" fontId="24" fillId="0" borderId="0" applyFont="0" applyFill="0" applyBorder="0" applyAlignment="0" applyProtection="0"/>
    <xf numFmtId="180" fontId="24" fillId="0" borderId="0" applyFont="0" applyFill="0" applyBorder="0" applyAlignment="0" applyProtection="0"/>
    <xf numFmtId="180" fontId="24" fillId="0" borderId="0" applyFont="0" applyFill="0" applyBorder="0" applyAlignment="0" applyProtection="0"/>
    <xf numFmtId="181" fontId="25" fillId="0" borderId="0" applyFont="0" applyFill="0" applyBorder="0" applyAlignment="0" applyProtection="0"/>
    <xf numFmtId="180" fontId="24" fillId="0" borderId="0" applyFont="0" applyFill="0" applyBorder="0" applyAlignment="0" applyProtection="0"/>
    <xf numFmtId="181" fontId="24" fillId="0" borderId="0" applyFont="0" applyFill="0" applyBorder="0" applyAlignment="0" applyProtection="0"/>
    <xf numFmtId="180" fontId="24" fillId="0" borderId="0" applyFont="0" applyFill="0" applyBorder="0" applyAlignment="0" applyProtection="0"/>
    <xf numFmtId="181" fontId="24" fillId="0" borderId="0" applyFont="0" applyFill="0" applyBorder="0" applyAlignment="0" applyProtection="0"/>
    <xf numFmtId="180" fontId="24" fillId="0" borderId="0" applyFont="0" applyFill="0" applyBorder="0" applyAlignment="0" applyProtection="0"/>
    <xf numFmtId="180" fontId="24" fillId="0" borderId="0" applyFont="0" applyFill="0" applyBorder="0" applyAlignment="0" applyProtection="0"/>
    <xf numFmtId="181" fontId="24" fillId="0" borderId="0" applyFont="0" applyFill="0" applyBorder="0" applyAlignment="0" applyProtection="0"/>
    <xf numFmtId="181" fontId="22" fillId="0" borderId="0" applyFont="0" applyFill="0" applyBorder="0" applyAlignment="0" applyProtection="0"/>
    <xf numFmtId="181" fontId="24" fillId="0" borderId="0" applyFont="0" applyFill="0" applyBorder="0" applyAlignment="0" applyProtection="0"/>
    <xf numFmtId="181" fontId="24" fillId="0" borderId="0" applyFont="0" applyFill="0" applyBorder="0" applyAlignment="0" applyProtection="0"/>
    <xf numFmtId="181" fontId="24" fillId="0" borderId="0" applyFont="0" applyFill="0" applyBorder="0" applyAlignment="0" applyProtection="0"/>
    <xf numFmtId="180" fontId="24" fillId="0" borderId="0" applyFont="0" applyFill="0" applyBorder="0" applyAlignment="0" applyProtection="0"/>
    <xf numFmtId="180" fontId="24" fillId="0" borderId="0" applyFont="0" applyFill="0" applyBorder="0" applyAlignment="0" applyProtection="0"/>
    <xf numFmtId="180" fontId="24" fillId="0" borderId="0" applyFont="0" applyFill="0" applyBorder="0" applyAlignment="0" applyProtection="0"/>
    <xf numFmtId="180" fontId="24" fillId="0" borderId="0" applyFont="0" applyFill="0" applyBorder="0" applyAlignment="0" applyProtection="0"/>
    <xf numFmtId="180" fontId="24" fillId="0" borderId="0" applyFont="0" applyFill="0" applyBorder="0" applyAlignment="0" applyProtection="0"/>
    <xf numFmtId="181" fontId="23" fillId="0" borderId="0" applyFont="0" applyFill="0" applyBorder="0" applyAlignment="0" applyProtection="0"/>
    <xf numFmtId="180" fontId="24" fillId="0" borderId="0" applyFont="0" applyFill="0" applyBorder="0" applyAlignment="0" applyProtection="0"/>
    <xf numFmtId="181" fontId="24" fillId="0" borderId="0" applyFont="0" applyFill="0" applyBorder="0" applyAlignment="0" applyProtection="0"/>
    <xf numFmtId="181" fontId="24" fillId="0" borderId="0" applyFont="0" applyFill="0" applyBorder="0" applyAlignment="0" applyProtection="0"/>
    <xf numFmtId="181" fontId="23" fillId="0" borderId="0" applyFont="0" applyFill="0" applyBorder="0" applyAlignment="0" applyProtection="0"/>
    <xf numFmtId="181" fontId="23" fillId="0" borderId="0" applyFont="0" applyFill="0" applyBorder="0" applyAlignment="0" applyProtection="0"/>
    <xf numFmtId="181" fontId="23" fillId="0" borderId="0" applyFont="0" applyFill="0" applyBorder="0" applyAlignment="0" applyProtection="0"/>
    <xf numFmtId="180" fontId="24" fillId="0" borderId="0" applyFont="0" applyFill="0" applyBorder="0" applyAlignment="0" applyProtection="0"/>
    <xf numFmtId="181" fontId="23" fillId="0" borderId="0" applyFont="0" applyFill="0" applyBorder="0" applyAlignment="0" applyProtection="0"/>
    <xf numFmtId="180" fontId="24" fillId="0" borderId="0" applyFont="0" applyFill="0" applyBorder="0" applyAlignment="0" applyProtection="0"/>
    <xf numFmtId="181" fontId="23" fillId="0" borderId="0" applyFont="0" applyFill="0" applyBorder="0" applyAlignment="0" applyProtection="0"/>
    <xf numFmtId="180" fontId="24" fillId="0" borderId="0" applyFont="0" applyFill="0" applyBorder="0" applyAlignment="0" applyProtection="0"/>
    <xf numFmtId="181" fontId="24" fillId="0" borderId="0" applyFont="0" applyFill="0" applyBorder="0" applyAlignment="0" applyProtection="0"/>
    <xf numFmtId="181" fontId="24" fillId="0" borderId="0" applyFont="0" applyFill="0" applyBorder="0" applyAlignment="0" applyProtection="0"/>
    <xf numFmtId="181" fontId="24" fillId="0" borderId="0" applyFont="0" applyFill="0" applyBorder="0" applyAlignment="0" applyProtection="0"/>
    <xf numFmtId="39" fontId="24" fillId="0" borderId="0" applyFont="0" applyFill="0" applyBorder="0" applyAlignment="0" applyProtection="0"/>
    <xf numFmtId="182" fontId="24" fillId="0" borderId="0" applyFont="0" applyFill="0" applyBorder="0" applyAlignment="0" applyProtection="0"/>
    <xf numFmtId="182" fontId="24" fillId="0" borderId="0" applyFont="0" applyFill="0" applyBorder="0" applyAlignment="0" applyProtection="0"/>
    <xf numFmtId="39" fontId="24" fillId="0" borderId="0" applyFont="0" applyFill="0" applyBorder="0" applyAlignment="0" applyProtection="0"/>
    <xf numFmtId="39" fontId="24" fillId="0" borderId="0" applyFont="0" applyFill="0" applyBorder="0" applyAlignment="0" applyProtection="0"/>
    <xf numFmtId="182" fontId="25" fillId="0" borderId="0" applyFont="0" applyFill="0" applyBorder="0" applyAlignment="0" applyProtection="0"/>
    <xf numFmtId="39" fontId="24" fillId="0" borderId="0" applyFont="0" applyFill="0" applyBorder="0" applyAlignment="0" applyProtection="0"/>
    <xf numFmtId="182" fontId="24" fillId="0" borderId="0" applyFont="0" applyFill="0" applyBorder="0" applyAlignment="0" applyProtection="0"/>
    <xf numFmtId="39" fontId="24" fillId="0" borderId="0" applyFont="0" applyFill="0" applyBorder="0" applyAlignment="0" applyProtection="0"/>
    <xf numFmtId="182" fontId="24" fillId="0" borderId="0" applyFont="0" applyFill="0" applyBorder="0" applyAlignment="0" applyProtection="0"/>
    <xf numFmtId="39" fontId="24" fillId="0" borderId="0" applyFont="0" applyFill="0" applyBorder="0" applyAlignment="0" applyProtection="0"/>
    <xf numFmtId="39" fontId="24" fillId="0" borderId="0" applyFont="0" applyFill="0" applyBorder="0" applyAlignment="0" applyProtection="0"/>
    <xf numFmtId="182" fontId="24" fillId="0" borderId="0" applyFont="0" applyFill="0" applyBorder="0" applyAlignment="0" applyProtection="0"/>
    <xf numFmtId="182" fontId="22" fillId="0" borderId="0" applyFont="0" applyFill="0" applyBorder="0" applyAlignment="0" applyProtection="0"/>
    <xf numFmtId="182" fontId="24" fillId="0" borderId="0" applyFont="0" applyFill="0" applyBorder="0" applyAlignment="0" applyProtection="0"/>
    <xf numFmtId="182" fontId="24" fillId="0" borderId="0" applyFont="0" applyFill="0" applyBorder="0" applyAlignment="0" applyProtection="0"/>
    <xf numFmtId="182" fontId="24" fillId="0" borderId="0" applyFont="0" applyFill="0" applyBorder="0" applyAlignment="0" applyProtection="0"/>
    <xf numFmtId="39" fontId="24" fillId="0" borderId="0" applyFont="0" applyFill="0" applyBorder="0" applyAlignment="0" applyProtection="0"/>
    <xf numFmtId="39" fontId="24" fillId="0" borderId="0" applyFont="0" applyFill="0" applyBorder="0" applyAlignment="0" applyProtection="0"/>
    <xf numFmtId="39" fontId="24" fillId="0" borderId="0" applyFont="0" applyFill="0" applyBorder="0" applyAlignment="0" applyProtection="0"/>
    <xf numFmtId="39" fontId="24" fillId="0" borderId="0" applyFont="0" applyFill="0" applyBorder="0" applyAlignment="0" applyProtection="0"/>
    <xf numFmtId="39" fontId="24" fillId="0" borderId="0" applyFont="0" applyFill="0" applyBorder="0" applyAlignment="0" applyProtection="0"/>
    <xf numFmtId="182" fontId="23" fillId="0" borderId="0" applyFont="0" applyFill="0" applyBorder="0" applyAlignment="0" applyProtection="0"/>
    <xf numFmtId="39" fontId="24" fillId="0" borderId="0" applyFont="0" applyFill="0" applyBorder="0" applyAlignment="0" applyProtection="0"/>
    <xf numFmtId="182" fontId="24" fillId="0" borderId="0" applyFont="0" applyFill="0" applyBorder="0" applyAlignment="0" applyProtection="0"/>
    <xf numFmtId="182" fontId="24" fillId="0" borderId="0" applyFont="0" applyFill="0" applyBorder="0" applyAlignment="0" applyProtection="0"/>
    <xf numFmtId="182" fontId="23" fillId="0" borderId="0" applyFont="0" applyFill="0" applyBorder="0" applyAlignment="0" applyProtection="0"/>
    <xf numFmtId="182" fontId="23" fillId="0" borderId="0" applyFont="0" applyFill="0" applyBorder="0" applyAlignment="0" applyProtection="0"/>
    <xf numFmtId="182" fontId="23" fillId="0" borderId="0" applyFont="0" applyFill="0" applyBorder="0" applyAlignment="0" applyProtection="0"/>
    <xf numFmtId="39" fontId="24" fillId="0" borderId="0" applyFont="0" applyFill="0" applyBorder="0" applyAlignment="0" applyProtection="0"/>
    <xf numFmtId="182" fontId="23" fillId="0" borderId="0" applyFont="0" applyFill="0" applyBorder="0" applyAlignment="0" applyProtection="0"/>
    <xf numFmtId="39" fontId="24" fillId="0" borderId="0" applyFont="0" applyFill="0" applyBorder="0" applyAlignment="0" applyProtection="0"/>
    <xf numFmtId="182" fontId="23" fillId="0" borderId="0" applyFont="0" applyFill="0" applyBorder="0" applyAlignment="0" applyProtection="0"/>
    <xf numFmtId="39" fontId="24" fillId="0" borderId="0" applyFont="0" applyFill="0" applyBorder="0" applyAlignment="0" applyProtection="0"/>
    <xf numFmtId="182" fontId="24" fillId="0" borderId="0" applyFont="0" applyFill="0" applyBorder="0" applyAlignment="0" applyProtection="0"/>
    <xf numFmtId="182" fontId="24" fillId="0" borderId="0" applyFont="0" applyFill="0" applyBorder="0" applyAlignment="0" applyProtection="0"/>
    <xf numFmtId="182" fontId="24" fillId="0" borderId="0" applyFont="0" applyFill="0" applyBorder="0" applyAlignment="0" applyProtection="0"/>
    <xf numFmtId="180" fontId="24" fillId="0" borderId="0" applyFont="0" applyFill="0" applyBorder="0" applyAlignment="0" applyProtection="0"/>
    <xf numFmtId="183" fontId="2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3" fillId="6" borderId="0" applyNumberFormat="0" applyFont="0" applyAlignment="0" applyProtection="0"/>
    <xf numFmtId="184" fontId="24" fillId="0" borderId="0" applyFont="0" applyFill="0" applyBorder="0" applyAlignment="0" applyProtection="0"/>
    <xf numFmtId="185" fontId="24" fillId="0" borderId="0" applyFont="0" applyFill="0" applyBorder="0" applyAlignment="0" applyProtection="0"/>
    <xf numFmtId="185" fontId="24" fillId="0" borderId="0" applyFont="0" applyFill="0" applyBorder="0" applyAlignment="0" applyProtection="0"/>
    <xf numFmtId="184" fontId="24" fillId="0" borderId="0" applyFont="0" applyFill="0" applyBorder="0" applyAlignment="0" applyProtection="0"/>
    <xf numFmtId="184" fontId="24" fillId="0" borderId="0" applyFont="0" applyFill="0" applyBorder="0" applyAlignment="0" applyProtection="0"/>
    <xf numFmtId="185" fontId="25" fillId="0" borderId="0" applyFont="0" applyFill="0" applyBorder="0" applyAlignment="0" applyProtection="0"/>
    <xf numFmtId="184" fontId="24" fillId="0" borderId="0" applyFont="0" applyFill="0" applyBorder="0" applyAlignment="0" applyProtection="0"/>
    <xf numFmtId="185" fontId="24" fillId="0" borderId="0" applyFont="0" applyFill="0" applyBorder="0" applyAlignment="0" applyProtection="0"/>
    <xf numFmtId="184" fontId="24" fillId="0" borderId="0" applyFont="0" applyFill="0" applyBorder="0" applyAlignment="0" applyProtection="0"/>
    <xf numFmtId="185" fontId="24" fillId="0" borderId="0" applyFont="0" applyFill="0" applyBorder="0" applyAlignment="0" applyProtection="0"/>
    <xf numFmtId="184" fontId="24" fillId="0" borderId="0" applyFont="0" applyFill="0" applyBorder="0" applyAlignment="0" applyProtection="0"/>
    <xf numFmtId="184" fontId="24" fillId="0" borderId="0" applyFont="0" applyFill="0" applyBorder="0" applyAlignment="0" applyProtection="0"/>
    <xf numFmtId="185" fontId="24" fillId="0" borderId="0" applyFont="0" applyFill="0" applyBorder="0" applyAlignment="0" applyProtection="0"/>
    <xf numFmtId="185" fontId="22" fillId="0" borderId="0" applyFont="0" applyFill="0" applyBorder="0" applyAlignment="0" applyProtection="0"/>
    <xf numFmtId="186" fontId="24" fillId="0" borderId="0" applyFont="0" applyFill="0" applyBorder="0" applyAlignment="0" applyProtection="0"/>
    <xf numFmtId="186" fontId="24" fillId="0" borderId="0" applyFont="0" applyFill="0" applyBorder="0" applyAlignment="0" applyProtection="0"/>
    <xf numFmtId="186" fontId="24" fillId="0" borderId="0" applyFont="0" applyFill="0" applyBorder="0" applyAlignment="0" applyProtection="0"/>
    <xf numFmtId="184" fontId="24" fillId="0" borderId="0" applyFont="0" applyFill="0" applyBorder="0" applyAlignment="0" applyProtection="0"/>
    <xf numFmtId="184" fontId="24" fillId="0" borderId="0" applyFont="0" applyFill="0" applyBorder="0" applyAlignment="0" applyProtection="0"/>
    <xf numFmtId="184" fontId="24" fillId="0" borderId="0" applyFont="0" applyFill="0" applyBorder="0" applyAlignment="0" applyProtection="0"/>
    <xf numFmtId="184" fontId="24" fillId="0" borderId="0" applyFont="0" applyFill="0" applyBorder="0" applyAlignment="0" applyProtection="0"/>
    <xf numFmtId="184" fontId="24" fillId="0" borderId="0" applyFont="0" applyFill="0" applyBorder="0" applyAlignment="0" applyProtection="0"/>
    <xf numFmtId="185" fontId="23" fillId="0" borderId="0" applyFont="0" applyFill="0" applyBorder="0" applyAlignment="0" applyProtection="0"/>
    <xf numFmtId="184" fontId="24" fillId="0" borderId="0" applyFont="0" applyFill="0" applyBorder="0" applyAlignment="0" applyProtection="0"/>
    <xf numFmtId="185" fontId="24" fillId="0" borderId="0" applyFont="0" applyFill="0" applyBorder="0" applyAlignment="0" applyProtection="0"/>
    <xf numFmtId="185" fontId="24" fillId="0" borderId="0" applyFont="0" applyFill="0" applyBorder="0" applyAlignment="0" applyProtection="0"/>
    <xf numFmtId="185" fontId="23" fillId="0" borderId="0" applyFont="0" applyFill="0" applyBorder="0" applyAlignment="0" applyProtection="0"/>
    <xf numFmtId="185" fontId="23" fillId="0" borderId="0" applyFont="0" applyFill="0" applyBorder="0" applyAlignment="0" applyProtection="0"/>
    <xf numFmtId="185" fontId="23" fillId="0" borderId="0" applyFont="0" applyFill="0" applyBorder="0" applyAlignment="0" applyProtection="0"/>
    <xf numFmtId="184" fontId="24" fillId="0" borderId="0" applyFont="0" applyFill="0" applyBorder="0" applyAlignment="0" applyProtection="0"/>
    <xf numFmtId="185" fontId="23" fillId="0" borderId="0" applyFont="0" applyFill="0" applyBorder="0" applyAlignment="0" applyProtection="0"/>
    <xf numFmtId="184" fontId="24" fillId="0" borderId="0" applyFont="0" applyFill="0" applyBorder="0" applyAlignment="0" applyProtection="0"/>
    <xf numFmtId="185" fontId="23" fillId="0" borderId="0" applyFont="0" applyFill="0" applyBorder="0" applyAlignment="0" applyProtection="0"/>
    <xf numFmtId="184" fontId="24" fillId="0" borderId="0" applyFont="0" applyFill="0" applyBorder="0" applyAlignment="0" applyProtection="0"/>
    <xf numFmtId="185" fontId="24" fillId="0" borderId="0" applyFont="0" applyFill="0" applyBorder="0" applyAlignment="0" applyProtection="0"/>
    <xf numFmtId="185" fontId="24" fillId="0" borderId="0" applyFont="0" applyFill="0" applyBorder="0" applyAlignment="0" applyProtection="0"/>
    <xf numFmtId="185" fontId="24" fillId="0" borderId="0" applyFont="0" applyFill="0" applyBorder="0" applyAlignment="0" applyProtection="0"/>
    <xf numFmtId="187" fontId="24" fillId="0" borderId="0" applyFont="0" applyFill="0" applyBorder="0" applyAlignment="0" applyProtection="0"/>
    <xf numFmtId="188" fontId="24" fillId="0" borderId="0" applyFont="0" applyFill="0" applyBorder="0" applyProtection="0">
      <alignment horizontal="right"/>
    </xf>
    <xf numFmtId="188" fontId="24" fillId="0" borderId="0" applyFont="0" applyFill="0" applyBorder="0" applyProtection="0">
      <alignment horizontal="right"/>
    </xf>
    <xf numFmtId="187" fontId="24" fillId="0" borderId="0" applyFont="0" applyFill="0" applyBorder="0" applyAlignment="0" applyProtection="0"/>
    <xf numFmtId="187" fontId="24" fillId="0" borderId="0" applyFont="0" applyFill="0" applyBorder="0" applyAlignment="0" applyProtection="0"/>
    <xf numFmtId="188" fontId="25" fillId="0" borderId="0" applyFont="0" applyFill="0" applyBorder="0" applyProtection="0">
      <alignment horizontal="right"/>
    </xf>
    <xf numFmtId="187" fontId="24" fillId="0" borderId="0" applyFont="0" applyFill="0" applyBorder="0" applyAlignment="0" applyProtection="0"/>
    <xf numFmtId="188" fontId="24" fillId="0" borderId="0" applyFont="0" applyFill="0" applyBorder="0" applyProtection="0">
      <alignment horizontal="right"/>
    </xf>
    <xf numFmtId="187" fontId="24" fillId="0" borderId="0" applyFont="0" applyFill="0" applyBorder="0" applyAlignment="0" applyProtection="0"/>
    <xf numFmtId="188" fontId="24" fillId="0" borderId="0" applyFont="0" applyFill="0" applyBorder="0" applyProtection="0">
      <alignment horizontal="right"/>
    </xf>
    <xf numFmtId="187" fontId="24" fillId="0" borderId="0" applyFont="0" applyFill="0" applyBorder="0" applyAlignment="0" applyProtection="0"/>
    <xf numFmtId="187" fontId="24" fillId="0" borderId="0" applyFont="0" applyFill="0" applyBorder="0" applyAlignment="0" applyProtection="0"/>
    <xf numFmtId="188" fontId="24" fillId="0" borderId="0" applyFont="0" applyFill="0" applyBorder="0" applyProtection="0">
      <alignment horizontal="right"/>
    </xf>
    <xf numFmtId="188" fontId="22" fillId="0" borderId="0" applyFont="0" applyFill="0" applyBorder="0" applyProtection="0">
      <alignment horizontal="right"/>
    </xf>
    <xf numFmtId="189" fontId="24" fillId="0" borderId="0" applyFont="0" applyFill="0" applyBorder="0" applyAlignment="0" applyProtection="0"/>
    <xf numFmtId="189" fontId="24" fillId="0" borderId="0" applyFont="0" applyFill="0" applyBorder="0" applyAlignment="0" applyProtection="0"/>
    <xf numFmtId="189" fontId="24" fillId="0" borderId="0" applyFont="0" applyFill="0" applyBorder="0" applyAlignment="0" applyProtection="0"/>
    <xf numFmtId="187" fontId="24" fillId="0" borderId="0" applyFont="0" applyFill="0" applyBorder="0" applyAlignment="0" applyProtection="0"/>
    <xf numFmtId="187" fontId="24" fillId="0" borderId="0" applyFont="0" applyFill="0" applyBorder="0" applyAlignment="0" applyProtection="0"/>
    <xf numFmtId="187" fontId="24" fillId="0" borderId="0" applyFont="0" applyFill="0" applyBorder="0" applyAlignment="0" applyProtection="0"/>
    <xf numFmtId="187" fontId="24" fillId="0" borderId="0" applyFont="0" applyFill="0" applyBorder="0" applyAlignment="0" applyProtection="0"/>
    <xf numFmtId="187" fontId="24" fillId="0" borderId="0" applyFont="0" applyFill="0" applyBorder="0" applyAlignment="0" applyProtection="0"/>
    <xf numFmtId="188" fontId="23" fillId="0" borderId="0" applyFont="0" applyFill="0" applyBorder="0" applyProtection="0">
      <alignment horizontal="right"/>
    </xf>
    <xf numFmtId="187" fontId="24" fillId="0" borderId="0" applyFont="0" applyFill="0" applyBorder="0" applyAlignment="0" applyProtection="0"/>
    <xf numFmtId="188" fontId="24" fillId="0" borderId="0" applyFont="0" applyFill="0" applyBorder="0" applyProtection="0">
      <alignment horizontal="right"/>
    </xf>
    <xf numFmtId="188" fontId="24" fillId="0" borderId="0" applyFont="0" applyFill="0" applyBorder="0" applyProtection="0">
      <alignment horizontal="right"/>
    </xf>
    <xf numFmtId="188" fontId="23" fillId="0" borderId="0" applyFont="0" applyFill="0" applyBorder="0" applyProtection="0">
      <alignment horizontal="right"/>
    </xf>
    <xf numFmtId="188" fontId="23" fillId="0" borderId="0" applyFont="0" applyFill="0" applyBorder="0" applyProtection="0">
      <alignment horizontal="right"/>
    </xf>
    <xf numFmtId="188" fontId="23" fillId="0" borderId="0" applyFont="0" applyFill="0" applyBorder="0" applyProtection="0">
      <alignment horizontal="right"/>
    </xf>
    <xf numFmtId="187" fontId="24" fillId="0" borderId="0" applyFont="0" applyFill="0" applyBorder="0" applyAlignment="0" applyProtection="0"/>
    <xf numFmtId="188" fontId="23" fillId="0" borderId="0" applyFont="0" applyFill="0" applyBorder="0" applyProtection="0">
      <alignment horizontal="right"/>
    </xf>
    <xf numFmtId="187" fontId="24" fillId="0" borderId="0" applyFont="0" applyFill="0" applyBorder="0" applyAlignment="0" applyProtection="0"/>
    <xf numFmtId="188" fontId="23" fillId="0" borderId="0" applyFont="0" applyFill="0" applyBorder="0" applyProtection="0">
      <alignment horizontal="right"/>
    </xf>
    <xf numFmtId="187" fontId="24" fillId="0" borderId="0" applyFont="0" applyFill="0" applyBorder="0" applyAlignment="0" applyProtection="0"/>
    <xf numFmtId="188" fontId="24" fillId="0" borderId="0" applyFont="0" applyFill="0" applyBorder="0" applyProtection="0">
      <alignment horizontal="right"/>
    </xf>
    <xf numFmtId="188" fontId="24" fillId="0" borderId="0" applyFont="0" applyFill="0" applyBorder="0" applyProtection="0">
      <alignment horizontal="right"/>
    </xf>
    <xf numFmtId="188" fontId="24" fillId="0" borderId="0" applyFont="0" applyFill="0" applyBorder="0" applyProtection="0">
      <alignment horizontal="right"/>
    </xf>
    <xf numFmtId="190" fontId="24" fillId="0" borderId="0" applyFont="0" applyFill="0" applyBorder="0" applyAlignment="0" applyProtection="0"/>
    <xf numFmtId="176" fontId="24" fillId="0" borderId="0" applyFont="0" applyFill="0" applyBorder="0" applyProtection="0">
      <alignment horizontal="right"/>
    </xf>
    <xf numFmtId="176" fontId="24" fillId="0" borderId="0" applyFont="0" applyFill="0" applyBorder="0" applyAlignment="0" applyProtection="0"/>
    <xf numFmtId="176" fontId="24" fillId="0" borderId="0" applyFont="0" applyFill="0" applyBorder="0" applyAlignment="0" applyProtection="0"/>
    <xf numFmtId="176" fontId="24" fillId="0" borderId="0" applyFont="0" applyFill="0" applyBorder="0" applyAlignment="0" applyProtection="0"/>
    <xf numFmtId="191" fontId="24" fillId="0" borderId="0" applyFont="0" applyFill="0" applyBorder="0" applyAlignment="0" applyProtection="0"/>
    <xf numFmtId="177" fontId="24" fillId="0" borderId="0" applyFont="0" applyFill="0" applyBorder="0" applyProtection="0">
      <alignment horizontal="right"/>
    </xf>
    <xf numFmtId="177" fontId="24" fillId="0" borderId="0" applyFont="0" applyFill="0" applyBorder="0" applyProtection="0">
      <alignment horizontal="right"/>
    </xf>
    <xf numFmtId="177" fontId="24" fillId="0" borderId="0" applyFont="0" applyFill="0" applyBorder="0" applyAlignment="0" applyProtection="0"/>
    <xf numFmtId="177" fontId="24" fillId="0" borderId="0" applyFont="0" applyFill="0" applyBorder="0" applyAlignment="0" applyProtection="0"/>
    <xf numFmtId="177" fontId="24" fillId="0" borderId="0" applyFont="0" applyFill="0" applyBorder="0" applyAlignment="0" applyProtection="0"/>
    <xf numFmtId="0" fontId="27" fillId="0" borderId="0" applyNumberFormat="0" applyFill="0" applyBorder="0" applyProtection="0">
      <alignment vertical="top"/>
    </xf>
    <xf numFmtId="0" fontId="27" fillId="0" borderId="0" applyNumberFormat="0" applyFill="0" applyBorder="0" applyProtection="0">
      <alignment vertical="top"/>
    </xf>
    <xf numFmtId="0" fontId="27" fillId="0" borderId="0" applyNumberFormat="0" applyFill="0" applyBorder="0" applyAlignment="0" applyProtection="0">
      <alignment vertical="top"/>
    </xf>
    <xf numFmtId="0" fontId="27" fillId="0" borderId="0" applyNumberFormat="0" applyFill="0" applyBorder="0" applyProtection="0">
      <alignment vertical="top"/>
    </xf>
    <xf numFmtId="0" fontId="27" fillId="0" borderId="0" applyNumberFormat="0" applyFill="0" applyBorder="0" applyProtection="0">
      <alignment vertical="top"/>
    </xf>
    <xf numFmtId="0" fontId="27" fillId="0" borderId="0" applyNumberFormat="0" applyFill="0" applyBorder="0" applyProtection="0">
      <alignment vertical="top"/>
    </xf>
    <xf numFmtId="0" fontId="27" fillId="0" borderId="0" applyNumberFormat="0" applyFill="0" applyBorder="0" applyProtection="0">
      <alignment vertical="top"/>
    </xf>
    <xf numFmtId="0" fontId="27" fillId="0" borderId="0" applyNumberFormat="0" applyFill="0" applyBorder="0" applyProtection="0">
      <alignment vertical="top"/>
    </xf>
    <xf numFmtId="0" fontId="27" fillId="0" borderId="0" applyNumberFormat="0" applyFill="0" applyBorder="0" applyProtection="0">
      <alignment vertical="top"/>
    </xf>
    <xf numFmtId="0" fontId="27" fillId="0" borderId="0" applyNumberFormat="0" applyFill="0" applyBorder="0" applyProtection="0">
      <alignment vertical="top"/>
    </xf>
    <xf numFmtId="0" fontId="27" fillId="0" borderId="0" applyNumberFormat="0" applyFill="0" applyBorder="0" applyProtection="0">
      <alignment vertical="top"/>
    </xf>
    <xf numFmtId="0" fontId="27" fillId="0" borderId="0" applyNumberFormat="0" applyFill="0" applyBorder="0" applyProtection="0">
      <alignment vertical="top"/>
    </xf>
    <xf numFmtId="0" fontId="28" fillId="0" borderId="9" applyNumberFormat="0" applyFill="0" applyAlignment="0" applyProtection="0"/>
    <xf numFmtId="0" fontId="28" fillId="0" borderId="9" applyNumberFormat="0" applyFill="0" applyAlignment="0" applyProtection="0"/>
    <xf numFmtId="0" fontId="28" fillId="0" borderId="10" applyNumberFormat="0" applyFill="0" applyAlignment="0" applyProtection="0"/>
    <xf numFmtId="0" fontId="28" fillId="0" borderId="9" applyNumberFormat="0" applyFill="0" applyAlignment="0" applyProtection="0"/>
    <xf numFmtId="0" fontId="28" fillId="0" borderId="9" applyNumberFormat="0" applyFill="0" applyAlignment="0" applyProtection="0"/>
    <xf numFmtId="0" fontId="29" fillId="0" borderId="11" applyNumberFormat="0" applyFill="0" applyProtection="0">
      <alignment horizontal="center"/>
    </xf>
    <xf numFmtId="0" fontId="29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6" borderId="0" applyNumberFormat="0" applyBorder="0" applyAlignment="0" applyProtection="0"/>
    <xf numFmtId="0" fontId="31" fillId="9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10" borderId="0" applyNumberFormat="0" applyBorder="0" applyAlignment="0" applyProtection="0"/>
    <xf numFmtId="0" fontId="31" fillId="8" borderId="0" applyNumberFormat="0" applyBorder="0" applyAlignment="0" applyProtection="0"/>
    <xf numFmtId="0" fontId="31" fillId="6" borderId="0" applyNumberFormat="0" applyBorder="0" applyAlignment="0" applyProtection="0"/>
    <xf numFmtId="0" fontId="31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8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8" borderId="0" applyNumberFormat="0" applyBorder="0" applyAlignment="0" applyProtection="0"/>
    <xf numFmtId="0" fontId="32" fillId="6" borderId="0" applyNumberFormat="0" applyBorder="0" applyAlignment="0" applyProtection="0"/>
    <xf numFmtId="0" fontId="32" fillId="6" borderId="0" applyNumberFormat="0" applyBorder="0" applyAlignment="0" applyProtection="0"/>
    <xf numFmtId="0" fontId="32" fillId="12" borderId="0" applyNumberFormat="0" applyBorder="0" applyAlignment="0" applyProtection="0"/>
    <xf numFmtId="0" fontId="32" fillId="12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8" borderId="0" applyNumberFormat="0" applyBorder="0" applyAlignment="0" applyProtection="0"/>
    <xf numFmtId="192" fontId="33" fillId="19" borderId="0" applyNumberFormat="0" applyFont="0" applyBorder="0" applyAlignment="0">
      <alignment horizontal="right"/>
    </xf>
    <xf numFmtId="193" fontId="34" fillId="19" borderId="12" applyFont="0">
      <alignment horizontal="right"/>
    </xf>
    <xf numFmtId="0" fontId="35" fillId="0" borderId="0" applyNumberFormat="0" applyFill="0" applyBorder="0" applyAlignment="0" applyProtection="0"/>
    <xf numFmtId="0" fontId="36" fillId="0" borderId="0"/>
    <xf numFmtId="2" fontId="37" fillId="0" borderId="0" applyNumberFormat="0" applyBorder="0" applyAlignment="0"/>
    <xf numFmtId="168" fontId="38" fillId="0" borderId="0"/>
    <xf numFmtId="0" fontId="39" fillId="20" borderId="0" applyNumberFormat="0" applyBorder="0" applyAlignment="0" applyProtection="0"/>
    <xf numFmtId="0" fontId="40" fillId="0" borderId="0" applyNumberFormat="0" applyFill="0" applyBorder="0" applyAlignment="0"/>
    <xf numFmtId="0" fontId="41" fillId="0" borderId="0" applyNumberFormat="0" applyFill="0" applyBorder="0" applyAlignment="0" applyProtection="0"/>
    <xf numFmtId="0" fontId="42" fillId="21" borderId="13">
      <alignment horizontal="center"/>
    </xf>
    <xf numFmtId="2" fontId="35" fillId="22" borderId="0" applyNumberFormat="0" applyFont="0" applyBorder="0" applyAlignment="0" applyProtection="0"/>
    <xf numFmtId="0" fontId="43" fillId="23" borderId="14" applyNumberFormat="0" applyAlignment="0" applyProtection="0"/>
    <xf numFmtId="194" fontId="35" fillId="24" borderId="0" applyNumberFormat="0" applyFont="0" applyBorder="0" applyAlignment="0">
      <protection locked="0"/>
    </xf>
    <xf numFmtId="0" fontId="42" fillId="12" borderId="15" applyNumberFormat="0" applyAlignment="0" applyProtection="0"/>
    <xf numFmtId="0" fontId="3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194" fontId="45" fillId="0" borderId="0" applyNumberFormat="0" applyFill="0" applyBorder="0" applyProtection="0">
      <alignment horizontal="right"/>
    </xf>
    <xf numFmtId="165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195" fontId="24" fillId="0" borderId="0">
      <protection locked="0"/>
    </xf>
    <xf numFmtId="0" fontId="46" fillId="0" borderId="0" applyNumberFormat="0" applyFill="0" applyBorder="0">
      <alignment horizontal="right"/>
    </xf>
    <xf numFmtId="38" fontId="47" fillId="0" borderId="0" applyNumberFormat="0" applyFill="0" applyBorder="0">
      <alignment vertical="center"/>
    </xf>
    <xf numFmtId="8" fontId="48" fillId="0" borderId="16">
      <protection locked="0"/>
    </xf>
    <xf numFmtId="44" fontId="15" fillId="0" borderId="0" applyFont="0" applyFill="0" applyBorder="0" applyAlignment="0" applyProtection="0"/>
    <xf numFmtId="164" fontId="24" fillId="0" borderId="0" applyFont="0" applyFill="0" applyBorder="0" applyAlignment="0" applyProtection="0"/>
    <xf numFmtId="195" fontId="24" fillId="0" borderId="0">
      <protection locked="0"/>
    </xf>
    <xf numFmtId="14" fontId="49" fillId="0" borderId="0">
      <alignment horizontal="right"/>
    </xf>
    <xf numFmtId="0" fontId="8" fillId="0" borderId="0"/>
    <xf numFmtId="196" fontId="50" fillId="0" borderId="0"/>
    <xf numFmtId="0" fontId="37" fillId="0" borderId="0" applyNumberFormat="0" applyAlignment="0"/>
    <xf numFmtId="0" fontId="51" fillId="0" borderId="0" applyNumberFormat="0" applyFill="0" applyBorder="0" applyAlignment="0" applyProtection="0"/>
    <xf numFmtId="197" fontId="35" fillId="25" borderId="3" applyNumberFormat="0" applyFont="0" applyBorder="0" applyAlignment="0" applyProtection="0">
      <alignment horizontal="right"/>
    </xf>
    <xf numFmtId="167" fontId="52" fillId="0" borderId="0" applyNumberFormat="0" applyFont="0" applyAlignment="0">
      <alignment vertical="center"/>
    </xf>
    <xf numFmtId="195" fontId="24" fillId="0" borderId="0">
      <protection locked="0"/>
    </xf>
    <xf numFmtId="0" fontId="53" fillId="0" borderId="0" applyNumberFormat="0" applyFill="0" applyBorder="0" applyAlignment="0" applyProtection="0"/>
    <xf numFmtId="1" fontId="35" fillId="0" borderId="0" applyNumberFormat="0" applyBorder="0" applyAlignment="0" applyProtection="0"/>
    <xf numFmtId="12" fontId="54" fillId="0" borderId="0">
      <alignment horizontal="center"/>
    </xf>
    <xf numFmtId="198" fontId="55" fillId="0" borderId="0">
      <alignment vertical="center"/>
    </xf>
    <xf numFmtId="0" fontId="56" fillId="26" borderId="0" applyNumberFormat="0" applyBorder="0" applyAlignment="0" applyProtection="0"/>
    <xf numFmtId="49" fontId="53" fillId="0" borderId="0">
      <alignment horizontal="right"/>
    </xf>
    <xf numFmtId="49" fontId="57" fillId="0" borderId="0">
      <alignment horizontal="right"/>
    </xf>
    <xf numFmtId="198" fontId="58" fillId="0" borderId="0">
      <alignment vertical="center"/>
    </xf>
    <xf numFmtId="0" fontId="59" fillId="27" borderId="0"/>
    <xf numFmtId="167" fontId="60" fillId="0" borderId="0" applyNumberFormat="0" applyFill="0" applyBorder="0">
      <alignment horizontal="left" vertical="center"/>
    </xf>
    <xf numFmtId="0" fontId="61" fillId="0" borderId="17" applyNumberFormat="0" applyFill="0" applyAlignment="0" applyProtection="0"/>
    <xf numFmtId="0" fontId="62" fillId="0" borderId="18" applyNumberFormat="0" applyFill="0" applyAlignment="0" applyProtection="0"/>
    <xf numFmtId="0" fontId="63" fillId="0" borderId="19" applyNumberFormat="0" applyFill="0" applyAlignment="0" applyProtection="0"/>
    <xf numFmtId="0" fontId="63" fillId="0" borderId="0" applyNumberFormat="0" applyFill="0" applyBorder="0" applyAlignment="0" applyProtection="0"/>
    <xf numFmtId="0" fontId="64" fillId="0" borderId="0"/>
    <xf numFmtId="0" fontId="65" fillId="8" borderId="14" applyNumberFormat="0" applyAlignment="0" applyProtection="0"/>
    <xf numFmtId="0" fontId="66" fillId="28" borderId="0" applyNumberFormat="0" applyFont="0" applyBorder="0" applyAlignment="0" applyProtection="0"/>
    <xf numFmtId="199" fontId="56" fillId="0" borderId="20" applyBorder="0">
      <protection locked="0"/>
    </xf>
    <xf numFmtId="200" fontId="24" fillId="0" borderId="0" applyNumberFormat="0" applyFill="0" applyBorder="0" applyAlignment="0" applyProtection="0"/>
    <xf numFmtId="0" fontId="67" fillId="0" borderId="0"/>
    <xf numFmtId="0" fontId="68" fillId="0" borderId="21" applyNumberFormat="0" applyFill="0" applyAlignment="0" applyProtection="0"/>
    <xf numFmtId="0" fontId="69" fillId="0" borderId="0"/>
    <xf numFmtId="38" fontId="70" fillId="0" borderId="0" applyNumberFormat="0" applyFill="0" applyBorder="0">
      <alignment horizontal="left" vertical="center"/>
    </xf>
    <xf numFmtId="167" fontId="71" fillId="0" borderId="0" applyFill="0" applyBorder="0">
      <alignment vertical="center"/>
    </xf>
    <xf numFmtId="0" fontId="72" fillId="29" borderId="0"/>
    <xf numFmtId="201" fontId="24" fillId="0" borderId="0" applyFont="0" applyFill="0" applyBorder="0" applyAlignment="0" applyProtection="0"/>
    <xf numFmtId="0" fontId="73" fillId="0" borderId="0">
      <alignment horizontal="right"/>
    </xf>
    <xf numFmtId="0" fontId="74" fillId="6" borderId="0" applyNumberFormat="0" applyBorder="0" applyAlignment="0" applyProtection="0"/>
    <xf numFmtId="0" fontId="56" fillId="0" borderId="22" applyNumberFormat="0" applyAlignment="0"/>
    <xf numFmtId="194" fontId="75" fillId="0" borderId="0"/>
    <xf numFmtId="0" fontId="5" fillId="0" borderId="0"/>
    <xf numFmtId="0" fontId="76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5" fillId="0" borderId="0"/>
    <xf numFmtId="0" fontId="24" fillId="0" borderId="0"/>
    <xf numFmtId="0" fontId="5" fillId="0" borderId="0"/>
    <xf numFmtId="2" fontId="66" fillId="0" borderId="0" applyBorder="0" applyProtection="0"/>
    <xf numFmtId="0" fontId="31" fillId="6" borderId="23" applyNumberFormat="0" applyFont="0" applyAlignment="0" applyProtection="0"/>
    <xf numFmtId="202" fontId="50" fillId="0" borderId="0"/>
    <xf numFmtId="0" fontId="35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200" fontId="24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78" fillId="0" borderId="0">
      <alignment horizontal="left" vertical="top"/>
      <protection locked="0"/>
    </xf>
    <xf numFmtId="0" fontId="79" fillId="23" borderId="24" applyNumberFormat="0" applyAlignment="0" applyProtection="0"/>
    <xf numFmtId="203" fontId="24" fillId="0" borderId="0" applyFill="0">
      <alignment horizontal="center" vertical="center"/>
    </xf>
    <xf numFmtId="0" fontId="80" fillId="0" borderId="0" applyNumberFormat="0" applyFill="0" applyBorder="0">
      <alignment horizontal="left"/>
    </xf>
    <xf numFmtId="9" fontId="24" fillId="0" borderId="0" applyFont="0" applyFill="0" applyBorder="0" applyAlignment="0" applyProtection="0"/>
    <xf numFmtId="9" fontId="5" fillId="0" borderId="0" applyFont="0" applyFill="0" applyBorder="0" applyAlignment="0" applyProtection="0"/>
    <xf numFmtId="204" fontId="24" fillId="0" borderId="0"/>
    <xf numFmtId="38" fontId="35" fillId="0" borderId="0" applyFill="0" applyBorder="0" applyAlignment="0" applyProtection="0">
      <alignment horizontal="right"/>
    </xf>
    <xf numFmtId="7" fontId="81" fillId="0" borderId="0" applyFont="0" applyFill="0" applyBorder="0" applyAlignment="0" applyProtection="0"/>
    <xf numFmtId="0" fontId="82" fillId="0" borderId="0" applyNumberFormat="0" applyAlignment="0"/>
    <xf numFmtId="168" fontId="24" fillId="0" borderId="0" applyFill="0" applyBorder="0" applyAlignment="0" applyProtection="0"/>
    <xf numFmtId="179" fontId="83" fillId="0" borderId="0">
      <alignment vertical="top"/>
    </xf>
    <xf numFmtId="173" fontId="66" fillId="14" borderId="25" applyNumberFormat="0" applyFont="0" applyBorder="0" applyAlignment="0" applyProtection="0">
      <alignment horizontal="center"/>
    </xf>
    <xf numFmtId="37" fontId="50" fillId="1" borderId="0">
      <alignment horizontal="right"/>
    </xf>
    <xf numFmtId="1" fontId="84" fillId="30" borderId="0" applyNumberFormat="0" applyFont="0" applyBorder="0" applyAlignment="0">
      <alignment horizontal="left"/>
    </xf>
    <xf numFmtId="2" fontId="85" fillId="0" borderId="0"/>
    <xf numFmtId="1" fontId="24" fillId="0" borderId="0"/>
    <xf numFmtId="3" fontId="24" fillId="27" borderId="26" applyFont="0" applyFill="0" applyBorder="0" applyAlignment="0" applyProtection="0"/>
    <xf numFmtId="3" fontId="24" fillId="27" borderId="26" applyFont="0" applyFill="0" applyBorder="0" applyAlignment="0" applyProtection="0"/>
    <xf numFmtId="4" fontId="24" fillId="27" borderId="26" applyFont="0" applyFill="0" applyBorder="0" applyAlignment="0" applyProtection="0"/>
    <xf numFmtId="4" fontId="24" fillId="27" borderId="26" applyFont="0" applyFill="0" applyBorder="0" applyAlignment="0" applyProtection="0"/>
    <xf numFmtId="205" fontId="86" fillId="27" borderId="26" applyFont="0" applyFill="0" applyBorder="0" applyAlignment="0" applyProtection="0"/>
    <xf numFmtId="0" fontId="86" fillId="27" borderId="27" applyFont="0" applyFill="0" applyBorder="0" applyAlignment="0" applyProtection="0"/>
    <xf numFmtId="10" fontId="24" fillId="27" borderId="26" applyFont="0" applyFill="0" applyBorder="0" applyAlignment="0" applyProtection="0"/>
    <xf numFmtId="10" fontId="24" fillId="27" borderId="26" applyFont="0" applyFill="0" applyBorder="0" applyAlignment="0" applyProtection="0"/>
    <xf numFmtId="9" fontId="24" fillId="27" borderId="26" applyFont="0" applyFill="0" applyBorder="0" applyAlignment="0" applyProtection="0"/>
    <xf numFmtId="9" fontId="24" fillId="27" borderId="26" applyFont="0" applyFill="0" applyBorder="0" applyAlignment="0" applyProtection="0"/>
    <xf numFmtId="2" fontId="24" fillId="27" borderId="26" applyFont="0" applyFill="0" applyBorder="0" applyAlignment="0" applyProtection="0"/>
    <xf numFmtId="2" fontId="24" fillId="27" borderId="26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206" fontId="87" fillId="0" borderId="0" applyNumberFormat="0" applyFill="0" applyBorder="0" applyAlignment="0" applyProtection="0">
      <alignment horizontal="right" vertical="center" wrapText="1"/>
    </xf>
    <xf numFmtId="0" fontId="88" fillId="0" borderId="0" applyNumberFormat="0" applyFill="0" applyBorder="0" applyAlignment="0" applyProtection="0"/>
    <xf numFmtId="0" fontId="89" fillId="0" borderId="0" applyNumberFormat="0" applyFill="0" applyBorder="0" applyAlignment="0" applyProtection="0">
      <protection locked="0"/>
    </xf>
    <xf numFmtId="0" fontId="90" fillId="0" borderId="3" applyNumberFormat="0" applyFill="0" applyProtection="0">
      <alignment horizontal="right"/>
    </xf>
    <xf numFmtId="6" fontId="70" fillId="0" borderId="28" applyFill="0">
      <alignment vertical="center"/>
    </xf>
    <xf numFmtId="207" fontId="35" fillId="0" borderId="0"/>
    <xf numFmtId="39" fontId="91" fillId="0" borderId="12" applyNumberFormat="0" applyBorder="0">
      <alignment horizontal="right"/>
    </xf>
    <xf numFmtId="0" fontId="90" fillId="0" borderId="29" applyNumberFormat="0" applyProtection="0">
      <alignment horizontal="right"/>
    </xf>
    <xf numFmtId="0" fontId="92" fillId="0" borderId="7" applyNumberFormat="0" applyFill="0" applyProtection="0"/>
    <xf numFmtId="0" fontId="93" fillId="0" borderId="0">
      <alignment vertical="center"/>
    </xf>
    <xf numFmtId="0" fontId="55" fillId="0" borderId="0">
      <alignment vertical="center"/>
    </xf>
    <xf numFmtId="0" fontId="58" fillId="0" borderId="0">
      <alignment vertical="center"/>
    </xf>
    <xf numFmtId="0" fontId="94" fillId="0" borderId="0" applyNumberFormat="0">
      <alignment horizontal="left"/>
    </xf>
    <xf numFmtId="0" fontId="95" fillId="0" borderId="0" applyFill="0" applyBorder="0" applyProtection="0">
      <alignment horizontal="left" vertical="top"/>
    </xf>
    <xf numFmtId="14" fontId="24" fillId="0" borderId="0" applyFill="0" applyBorder="0">
      <alignment vertical="center"/>
    </xf>
    <xf numFmtId="0" fontId="64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38" fontId="98" fillId="0" borderId="0" applyNumberFormat="0" applyFill="0" applyBorder="0">
      <alignment horizontal="left" vertical="center"/>
    </xf>
    <xf numFmtId="38" fontId="99" fillId="0" borderId="0" applyNumberFormat="0" applyFill="0" applyBorder="0">
      <alignment horizontal="centerContinuous" vertical="center"/>
    </xf>
    <xf numFmtId="0" fontId="10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01" fillId="0" borderId="30" applyNumberFormat="0" applyFill="0" applyAlignment="0" applyProtection="0"/>
    <xf numFmtId="0" fontId="102" fillId="0" borderId="7" applyNumberFormat="0" applyFill="0" applyProtection="0"/>
    <xf numFmtId="173" fontId="37" fillId="0" borderId="0" applyNumberFormat="0" applyBorder="0" applyAlignment="0"/>
    <xf numFmtId="0" fontId="103" fillId="0" borderId="0" applyNumberFormat="0" applyFill="0" applyBorder="0" applyAlignment="0" applyProtection="0"/>
    <xf numFmtId="1" fontId="104" fillId="0" borderId="12" applyFill="0" applyProtection="0">
      <alignment horizontal="right"/>
    </xf>
    <xf numFmtId="171" fontId="24" fillId="0" borderId="0" applyFill="0" applyBorder="0">
      <alignment vertical="center"/>
    </xf>
    <xf numFmtId="0" fontId="24" fillId="0" borderId="0"/>
    <xf numFmtId="0" fontId="37" fillId="0" borderId="0"/>
    <xf numFmtId="0" fontId="15" fillId="0" borderId="0"/>
    <xf numFmtId="44" fontId="15" fillId="0" borderId="0" applyFont="0" applyFill="0" applyBorder="0" applyAlignment="0" applyProtection="0"/>
    <xf numFmtId="167" fontId="76" fillId="0" borderId="0" applyFont="0" applyFill="0" applyBorder="0" applyAlignment="0" applyProtection="0"/>
    <xf numFmtId="233" fontId="76" fillId="0" borderId="0" applyFont="0" applyFill="0" applyBorder="0" applyAlignment="0" applyProtection="0"/>
    <xf numFmtId="0" fontId="5" fillId="0" borderId="0"/>
    <xf numFmtId="0" fontId="110" fillId="0" borderId="0"/>
    <xf numFmtId="44" fontId="15" fillId="0" borderId="0" applyFont="0" applyFill="0" applyBorder="0" applyAlignment="0" applyProtection="0"/>
    <xf numFmtId="0" fontId="110" fillId="0" borderId="0"/>
    <xf numFmtId="0" fontId="110" fillId="0" borderId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110" fillId="0" borderId="0"/>
    <xf numFmtId="0" fontId="110" fillId="0" borderId="0"/>
    <xf numFmtId="0" fontId="110" fillId="0" borderId="0"/>
    <xf numFmtId="43" fontId="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17" fillId="0" borderId="0"/>
    <xf numFmtId="0" fontId="24" fillId="0" borderId="0"/>
    <xf numFmtId="0" fontId="121" fillId="0" borderId="0" applyNumberFormat="0" applyFill="0" applyBorder="0" applyAlignment="0" applyProtection="0"/>
  </cellStyleXfs>
  <cellXfs count="665">
    <xf numFmtId="0" fontId="0" fillId="0" borderId="0" xfId="0"/>
    <xf numFmtId="0" fontId="1" fillId="0" borderId="0" xfId="0" applyFont="1"/>
    <xf numFmtId="0" fontId="4" fillId="2" borderId="0" xfId="0" applyFont="1" applyFill="1"/>
    <xf numFmtId="0" fontId="2" fillId="3" borderId="0" xfId="0" applyFont="1" applyFill="1"/>
    <xf numFmtId="0" fontId="4" fillId="2" borderId="0" xfId="0" applyFont="1" applyFill="1" applyAlignment="1">
      <alignment horizontal="right"/>
    </xf>
    <xf numFmtId="0" fontId="2" fillId="3" borderId="0" xfId="0" applyFont="1" applyFill="1" applyAlignment="1">
      <alignment horizontal="right"/>
    </xf>
    <xf numFmtId="166" fontId="2" fillId="3" borderId="0" xfId="0" applyNumberFormat="1" applyFont="1" applyFill="1"/>
    <xf numFmtId="4" fontId="2" fillId="3" borderId="0" xfId="0" applyNumberFormat="1" applyFont="1" applyFill="1"/>
    <xf numFmtId="0" fontId="1" fillId="0" borderId="0" xfId="0" applyFont="1" applyAlignment="1">
      <alignment horizontal="right"/>
    </xf>
    <xf numFmtId="0" fontId="3" fillId="0" borderId="0" xfId="0" applyFont="1"/>
    <xf numFmtId="0" fontId="4" fillId="2" borderId="1" xfId="0" applyFont="1" applyFill="1" applyBorder="1" applyAlignment="1">
      <alignment horizontal="right"/>
    </xf>
    <xf numFmtId="0" fontId="2" fillId="3" borderId="1" xfId="0" applyFont="1" applyFill="1" applyBorder="1" applyAlignment="1">
      <alignment horizontal="right"/>
    </xf>
    <xf numFmtId="166" fontId="2" fillId="3" borderId="1" xfId="0" applyNumberFormat="1" applyFont="1" applyFill="1" applyBorder="1"/>
    <xf numFmtId="4" fontId="2" fillId="3" borderId="1" xfId="0" applyNumberFormat="1" applyFont="1" applyFill="1" applyBorder="1"/>
    <xf numFmtId="0" fontId="4" fillId="2" borderId="1" xfId="0" applyFont="1" applyFill="1" applyBorder="1"/>
    <xf numFmtId="0" fontId="1" fillId="0" borderId="1" xfId="0" applyFont="1" applyBorder="1"/>
    <xf numFmtId="0" fontId="2" fillId="0" borderId="0" xfId="0" applyFont="1"/>
    <xf numFmtId="3" fontId="3" fillId="0" borderId="0" xfId="0" applyNumberFormat="1" applyFont="1"/>
    <xf numFmtId="3" fontId="3" fillId="0" borderId="1" xfId="0" applyNumberFormat="1" applyFont="1" applyBorder="1"/>
    <xf numFmtId="3" fontId="1" fillId="0" borderId="0" xfId="0" applyNumberFormat="1" applyFont="1"/>
    <xf numFmtId="3" fontId="1" fillId="0" borderId="1" xfId="0" applyNumberFormat="1" applyFont="1" applyBorder="1"/>
    <xf numFmtId="3" fontId="6" fillId="0" borderId="0" xfId="0" applyNumberFormat="1" applyFont="1"/>
    <xf numFmtId="3" fontId="7" fillId="0" borderId="0" xfId="0" applyNumberFormat="1" applyFont="1"/>
    <xf numFmtId="3" fontId="7" fillId="0" borderId="1" xfId="0" applyNumberFormat="1" applyFont="1" applyBorder="1"/>
    <xf numFmtId="3" fontId="6" fillId="0" borderId="1" xfId="0" applyNumberFormat="1" applyFont="1" applyBorder="1"/>
    <xf numFmtId="3" fontId="8" fillId="0" borderId="0" xfId="0" applyNumberFormat="1" applyFont="1"/>
    <xf numFmtId="3" fontId="8" fillId="0" borderId="1" xfId="0" applyNumberFormat="1" applyFont="1" applyBorder="1"/>
    <xf numFmtId="3" fontId="2" fillId="0" borderId="1" xfId="0" applyNumberFormat="1" applyFont="1" applyBorder="1"/>
    <xf numFmtId="9" fontId="6" fillId="0" borderId="0" xfId="1" applyFont="1" applyFill="1" applyBorder="1"/>
    <xf numFmtId="9" fontId="6" fillId="0" borderId="0" xfId="1" applyFont="1" applyBorder="1"/>
    <xf numFmtId="3" fontId="2" fillId="0" borderId="0" xfId="0" applyNumberFormat="1" applyFont="1"/>
    <xf numFmtId="9" fontId="8" fillId="0" borderId="0" xfId="1" applyFont="1" applyFill="1"/>
    <xf numFmtId="9" fontId="1" fillId="0" borderId="1" xfId="1" applyFont="1" applyBorder="1"/>
    <xf numFmtId="9" fontId="1" fillId="0" borderId="0" xfId="1" applyFont="1" applyBorder="1"/>
    <xf numFmtId="167" fontId="1" fillId="0" borderId="0" xfId="1" applyNumberFormat="1" applyFont="1" applyBorder="1"/>
    <xf numFmtId="167" fontId="1" fillId="0" borderId="1" xfId="1" applyNumberFormat="1" applyFont="1" applyBorder="1"/>
    <xf numFmtId="9" fontId="1" fillId="0" borderId="0" xfId="1" applyFont="1"/>
    <xf numFmtId="10" fontId="1" fillId="0" borderId="0" xfId="1" applyNumberFormat="1" applyFont="1" applyBorder="1" applyAlignment="1">
      <alignment horizontal="right"/>
    </xf>
    <xf numFmtId="10" fontId="1" fillId="0" borderId="1" xfId="1" applyNumberFormat="1" applyFont="1" applyBorder="1" applyAlignment="1">
      <alignment horizontal="right"/>
    </xf>
    <xf numFmtId="3" fontId="3" fillId="0" borderId="0" xfId="0" applyNumberFormat="1" applyFont="1" applyAlignment="1">
      <alignment horizontal="right"/>
    </xf>
    <xf numFmtId="3" fontId="3" fillId="0" borderId="1" xfId="0" applyNumberFormat="1" applyFont="1" applyBorder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1" xfId="0" applyNumberFormat="1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9" fontId="1" fillId="0" borderId="0" xfId="1" applyFont="1" applyBorder="1" applyAlignment="1">
      <alignment horizontal="right"/>
    </xf>
    <xf numFmtId="9" fontId="8" fillId="0" borderId="1" xfId="1" applyFont="1" applyFill="1" applyBorder="1" applyAlignment="1">
      <alignment horizontal="right"/>
    </xf>
    <xf numFmtId="167" fontId="11" fillId="0" borderId="0" xfId="1" applyNumberFormat="1" applyFont="1"/>
    <xf numFmtId="9" fontId="1" fillId="0" borderId="0" xfId="1" applyFont="1" applyAlignment="1">
      <alignment horizontal="right"/>
    </xf>
    <xf numFmtId="10" fontId="1" fillId="0" borderId="0" xfId="1" applyNumberFormat="1" applyFont="1" applyAlignment="1">
      <alignment horizontal="right"/>
    </xf>
    <xf numFmtId="9" fontId="1" fillId="0" borderId="1" xfId="1" applyFont="1" applyBorder="1" applyAlignment="1">
      <alignment horizontal="right"/>
    </xf>
    <xf numFmtId="167" fontId="1" fillId="0" borderId="0" xfId="1" applyNumberFormat="1" applyFont="1" applyBorder="1" applyAlignment="1">
      <alignment horizontal="right"/>
    </xf>
    <xf numFmtId="167" fontId="1" fillId="0" borderId="1" xfId="1" applyNumberFormat="1" applyFont="1" applyBorder="1" applyAlignment="1">
      <alignment horizontal="right"/>
    </xf>
    <xf numFmtId="3" fontId="11" fillId="0" borderId="0" xfId="0" applyNumberFormat="1" applyFont="1"/>
    <xf numFmtId="169" fontId="1" fillId="0" borderId="1" xfId="0" applyNumberFormat="1" applyFont="1" applyBorder="1" applyAlignment="1">
      <alignment horizontal="right"/>
    </xf>
    <xf numFmtId="169" fontId="1" fillId="0" borderId="0" xfId="0" applyNumberFormat="1" applyFont="1" applyAlignment="1">
      <alignment horizontal="right"/>
    </xf>
    <xf numFmtId="169" fontId="11" fillId="0" borderId="0" xfId="0" applyNumberFormat="1" applyFont="1" applyAlignment="1">
      <alignment horizontal="right"/>
    </xf>
    <xf numFmtId="167" fontId="11" fillId="0" borderId="0" xfId="1" applyNumberFormat="1" applyFont="1" applyAlignment="1">
      <alignment horizontal="right"/>
    </xf>
    <xf numFmtId="3" fontId="6" fillId="0" borderId="1" xfId="0" applyNumberFormat="1" applyFont="1" applyBorder="1" applyAlignment="1">
      <alignment horizontal="right"/>
    </xf>
    <xf numFmtId="3" fontId="11" fillId="0" borderId="0" xfId="0" applyNumberFormat="1" applyFont="1" applyAlignment="1">
      <alignment horizontal="right"/>
    </xf>
    <xf numFmtId="3" fontId="8" fillId="0" borderId="0" xfId="0" applyNumberFormat="1" applyFont="1" applyAlignment="1">
      <alignment horizontal="right"/>
    </xf>
    <xf numFmtId="3" fontId="8" fillId="0" borderId="1" xfId="0" applyNumberFormat="1" applyFont="1" applyBorder="1" applyAlignment="1">
      <alignment horizontal="right"/>
    </xf>
    <xf numFmtId="3" fontId="7" fillId="0" borderId="0" xfId="0" applyNumberFormat="1" applyFont="1" applyAlignment="1">
      <alignment horizontal="right"/>
    </xf>
    <xf numFmtId="3" fontId="6" fillId="0" borderId="0" xfId="0" applyNumberFormat="1" applyFont="1" applyAlignment="1">
      <alignment horizontal="right"/>
    </xf>
    <xf numFmtId="3" fontId="2" fillId="0" borderId="0" xfId="0" applyNumberFormat="1" applyFont="1" applyAlignment="1">
      <alignment horizontal="right"/>
    </xf>
    <xf numFmtId="3" fontId="2" fillId="0" borderId="1" xfId="0" applyNumberFormat="1" applyFont="1" applyBorder="1" applyAlignment="1">
      <alignment horizontal="right"/>
    </xf>
    <xf numFmtId="4" fontId="1" fillId="0" borderId="0" xfId="0" applyNumberFormat="1" applyFont="1" applyAlignment="1">
      <alignment horizontal="right"/>
    </xf>
    <xf numFmtId="10" fontId="11" fillId="0" borderId="0" xfId="1" applyNumberFormat="1" applyFont="1" applyAlignment="1">
      <alignment horizontal="right"/>
    </xf>
    <xf numFmtId="167" fontId="8" fillId="0" borderId="0" xfId="1" applyNumberFormat="1" applyFont="1" applyAlignment="1">
      <alignment horizontal="right"/>
    </xf>
    <xf numFmtId="9" fontId="11" fillId="0" borderId="0" xfId="1" applyFont="1" applyAlignment="1">
      <alignment horizontal="right"/>
    </xf>
    <xf numFmtId="167" fontId="8" fillId="0" borderId="0" xfId="1" applyNumberFormat="1" applyFont="1" applyBorder="1" applyAlignment="1">
      <alignment horizontal="right"/>
    </xf>
    <xf numFmtId="168" fontId="8" fillId="0" borderId="0" xfId="1" applyNumberFormat="1" applyFont="1" applyBorder="1" applyAlignment="1">
      <alignment horizontal="right"/>
    </xf>
    <xf numFmtId="168" fontId="8" fillId="0" borderId="1" xfId="1" applyNumberFormat="1" applyFont="1" applyBorder="1" applyAlignment="1">
      <alignment horizontal="right"/>
    </xf>
    <xf numFmtId="168" fontId="11" fillId="0" borderId="0" xfId="1" applyNumberFormat="1" applyFont="1" applyBorder="1" applyAlignment="1">
      <alignment horizontal="right"/>
    </xf>
    <xf numFmtId="4" fontId="1" fillId="0" borderId="1" xfId="0" applyNumberFormat="1" applyFont="1" applyBorder="1" applyAlignment="1">
      <alignment horizontal="right"/>
    </xf>
    <xf numFmtId="0" fontId="3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9" fontId="1" fillId="0" borderId="1" xfId="0" applyNumberFormat="1" applyFont="1" applyBorder="1" applyAlignment="1">
      <alignment horizontal="right"/>
    </xf>
    <xf numFmtId="10" fontId="8" fillId="0" borderId="0" xfId="1" applyNumberFormat="1" applyFont="1" applyAlignment="1">
      <alignment horizontal="right"/>
    </xf>
    <xf numFmtId="10" fontId="8" fillId="0" borderId="0" xfId="1" applyNumberFormat="1" applyFont="1" applyBorder="1" applyAlignment="1">
      <alignment horizontal="right"/>
    </xf>
    <xf numFmtId="169" fontId="8" fillId="0" borderId="0" xfId="0" applyNumberFormat="1" applyFont="1" applyAlignment="1">
      <alignment horizontal="right"/>
    </xf>
    <xf numFmtId="3" fontId="12" fillId="0" borderId="0" xfId="0" applyNumberFormat="1" applyFont="1"/>
    <xf numFmtId="167" fontId="8" fillId="0" borderId="0" xfId="1" applyNumberFormat="1" applyFont="1" applyFill="1" applyBorder="1" applyAlignment="1">
      <alignment horizontal="right"/>
    </xf>
    <xf numFmtId="10" fontId="8" fillId="0" borderId="0" xfId="1" applyNumberFormat="1" applyFont="1" applyFill="1" applyBorder="1" applyAlignment="1">
      <alignment horizontal="right"/>
    </xf>
    <xf numFmtId="168" fontId="8" fillId="0" borderId="0" xfId="1" applyNumberFormat="1" applyFont="1" applyFill="1" applyBorder="1" applyAlignment="1">
      <alignment horizontal="right"/>
    </xf>
    <xf numFmtId="9" fontId="8" fillId="0" borderId="0" xfId="1" applyFont="1" applyFill="1" applyBorder="1" applyAlignment="1">
      <alignment horizontal="right"/>
    </xf>
    <xf numFmtId="9" fontId="8" fillId="0" borderId="0" xfId="1" applyFont="1" applyBorder="1"/>
    <xf numFmtId="9" fontId="8" fillId="0" borderId="1" xfId="1" applyFont="1" applyBorder="1"/>
    <xf numFmtId="0" fontId="8" fillId="0" borderId="0" xfId="0" applyFont="1"/>
    <xf numFmtId="10" fontId="8" fillId="0" borderId="1" xfId="1" applyNumberFormat="1" applyFont="1" applyBorder="1" applyAlignment="1">
      <alignment horizontal="right"/>
    </xf>
    <xf numFmtId="167" fontId="8" fillId="0" borderId="1" xfId="1" applyNumberFormat="1" applyFont="1" applyBorder="1" applyAlignment="1">
      <alignment horizontal="right"/>
    </xf>
    <xf numFmtId="169" fontId="8" fillId="0" borderId="1" xfId="0" applyNumberFormat="1" applyFont="1" applyBorder="1" applyAlignment="1">
      <alignment horizontal="right"/>
    </xf>
    <xf numFmtId="0" fontId="13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3" fontId="4" fillId="2" borderId="0" xfId="0" applyNumberFormat="1" applyFont="1" applyFill="1"/>
    <xf numFmtId="3" fontId="4" fillId="2" borderId="1" xfId="0" applyNumberFormat="1" applyFont="1" applyFill="1" applyBorder="1"/>
    <xf numFmtId="170" fontId="1" fillId="0" borderId="0" xfId="0" applyNumberFormat="1" applyFont="1"/>
    <xf numFmtId="10" fontId="2" fillId="3" borderId="0" xfId="1" applyNumberFormat="1" applyFont="1" applyFill="1" applyAlignment="1">
      <alignment horizontal="right"/>
    </xf>
    <xf numFmtId="10" fontId="2" fillId="3" borderId="1" xfId="1" applyNumberFormat="1" applyFont="1" applyFill="1" applyBorder="1" applyAlignment="1">
      <alignment horizontal="right"/>
    </xf>
    <xf numFmtId="4" fontId="11" fillId="0" borderId="0" xfId="0" applyNumberFormat="1" applyFont="1" applyAlignment="1">
      <alignment horizontal="right"/>
    </xf>
    <xf numFmtId="10" fontId="16" fillId="0" borderId="0" xfId="1" applyNumberFormat="1" applyFont="1" applyFill="1" applyBorder="1" applyAlignment="1">
      <alignment horizontal="right"/>
    </xf>
    <xf numFmtId="10" fontId="2" fillId="3" borderId="0" xfId="1" applyNumberFormat="1" applyFont="1" applyFill="1" applyBorder="1" applyAlignment="1">
      <alignment horizontal="right"/>
    </xf>
    <xf numFmtId="0" fontId="7" fillId="0" borderId="0" xfId="0" applyFont="1"/>
    <xf numFmtId="0" fontId="1" fillId="0" borderId="0" xfId="0" quotePrefix="1" applyFont="1"/>
    <xf numFmtId="0" fontId="3" fillId="0" borderId="0" xfId="0" quotePrefix="1" applyFont="1"/>
    <xf numFmtId="167" fontId="16" fillId="0" borderId="0" xfId="1" applyNumberFormat="1" applyFont="1" applyFill="1" applyBorder="1" applyAlignment="1">
      <alignment horizontal="right"/>
    </xf>
    <xf numFmtId="0" fontId="13" fillId="0" borderId="0" xfId="2" applyFont="1" applyAlignment="1">
      <alignment horizontal="left"/>
    </xf>
    <xf numFmtId="0" fontId="8" fillId="0" borderId="0" xfId="2" applyFont="1"/>
    <xf numFmtId="0" fontId="18" fillId="0" borderId="0" xfId="2" applyFont="1" applyAlignment="1">
      <alignment horizontal="left"/>
    </xf>
    <xf numFmtId="3" fontId="8" fillId="0" borderId="0" xfId="2" applyNumberFormat="1" applyFont="1" applyAlignment="1">
      <alignment horizontal="right"/>
    </xf>
    <xf numFmtId="168" fontId="8" fillId="0" borderId="0" xfId="2" applyNumberFormat="1" applyFont="1" applyAlignment="1">
      <alignment horizontal="right"/>
    </xf>
    <xf numFmtId="0" fontId="8" fillId="0" borderId="0" xfId="2" applyFont="1" applyAlignment="1">
      <alignment horizontal="right"/>
    </xf>
    <xf numFmtId="0" fontId="2" fillId="0" borderId="0" xfId="2" applyFont="1"/>
    <xf numFmtId="3" fontId="2" fillId="0" borderId="0" xfId="2" applyNumberFormat="1" applyFont="1" applyAlignment="1">
      <alignment horizontal="right"/>
    </xf>
    <xf numFmtId="4" fontId="8" fillId="0" borderId="0" xfId="2" applyNumberFormat="1" applyFont="1" applyAlignment="1">
      <alignment horizontal="right"/>
    </xf>
    <xf numFmtId="3" fontId="8" fillId="0" borderId="0" xfId="2" applyNumberFormat="1" applyFont="1"/>
    <xf numFmtId="167" fontId="2" fillId="0" borderId="0" xfId="3" applyNumberFormat="1" applyFont="1" applyBorder="1" applyAlignment="1">
      <alignment horizontal="right"/>
    </xf>
    <xf numFmtId="3" fontId="2" fillId="0" borderId="0" xfId="2" applyNumberFormat="1" applyFont="1"/>
    <xf numFmtId="167" fontId="8" fillId="0" borderId="0" xfId="3" applyNumberFormat="1" applyFont="1"/>
    <xf numFmtId="0" fontId="19" fillId="0" borderId="0" xfId="2" applyFont="1"/>
    <xf numFmtId="0" fontId="20" fillId="0" borderId="0" xfId="2" applyFont="1" applyAlignment="1">
      <alignment horizontal="left"/>
    </xf>
    <xf numFmtId="0" fontId="2" fillId="0" borderId="0" xfId="2" applyFont="1" applyAlignment="1">
      <alignment horizontal="left" indent="1"/>
    </xf>
    <xf numFmtId="174" fontId="17" fillId="0" borderId="0" xfId="2" applyNumberFormat="1" applyFont="1" applyAlignment="1">
      <alignment horizontal="right"/>
    </xf>
    <xf numFmtId="171" fontId="8" fillId="0" borderId="0" xfId="2" applyNumberFormat="1" applyFont="1" applyAlignment="1">
      <alignment horizontal="right"/>
    </xf>
    <xf numFmtId="0" fontId="8" fillId="0" borderId="0" xfId="2" applyFont="1" applyAlignment="1">
      <alignment horizontal="left" indent="1"/>
    </xf>
    <xf numFmtId="9" fontId="17" fillId="0" borderId="0" xfId="2" applyNumberFormat="1" applyFont="1"/>
    <xf numFmtId="15" fontId="8" fillId="0" borderId="0" xfId="2" applyNumberFormat="1" applyFont="1"/>
    <xf numFmtId="43" fontId="8" fillId="0" borderId="0" xfId="5" applyFont="1"/>
    <xf numFmtId="171" fontId="19" fillId="0" borderId="0" xfId="2" applyNumberFormat="1" applyFont="1" applyAlignment="1">
      <alignment horizontal="right"/>
    </xf>
    <xf numFmtId="0" fontId="19" fillId="0" borderId="0" xfId="2" applyFont="1" applyAlignment="1">
      <alignment horizontal="right"/>
    </xf>
    <xf numFmtId="0" fontId="21" fillId="0" borderId="7" xfId="2" applyFont="1" applyBorder="1"/>
    <xf numFmtId="171" fontId="21" fillId="0" borderId="7" xfId="2" applyNumberFormat="1" applyFont="1" applyBorder="1" applyAlignment="1">
      <alignment horizontal="right"/>
    </xf>
    <xf numFmtId="0" fontId="21" fillId="0" borderId="0" xfId="2" applyFont="1" applyAlignment="1">
      <alignment horizontal="right"/>
    </xf>
    <xf numFmtId="0" fontId="21" fillId="0" borderId="0" xfId="2" applyFont="1"/>
    <xf numFmtId="9" fontId="8" fillId="0" borderId="0" xfId="3" applyFont="1" applyBorder="1" applyAlignment="1">
      <alignment horizontal="right"/>
    </xf>
    <xf numFmtId="0" fontId="2" fillId="0" borderId="7" xfId="2" applyFont="1" applyBorder="1"/>
    <xf numFmtId="0" fontId="2" fillId="0" borderId="7" xfId="2" applyFont="1" applyBorder="1" applyAlignment="1">
      <alignment horizontal="right"/>
    </xf>
    <xf numFmtId="171" fontId="2" fillId="0" borderId="7" xfId="2" applyNumberFormat="1" applyFont="1" applyBorder="1" applyAlignment="1">
      <alignment horizontal="right"/>
    </xf>
    <xf numFmtId="0" fontId="2" fillId="0" borderId="0" xfId="2" applyFont="1" applyAlignment="1">
      <alignment horizontal="right"/>
    </xf>
    <xf numFmtId="171" fontId="2" fillId="0" borderId="0" xfId="2" applyNumberFormat="1" applyFont="1" applyAlignment="1">
      <alignment horizontal="right"/>
    </xf>
    <xf numFmtId="9" fontId="1" fillId="0" borderId="0" xfId="2" applyNumberFormat="1" applyFont="1"/>
    <xf numFmtId="171" fontId="2" fillId="0" borderId="3" xfId="2" applyNumberFormat="1" applyFont="1" applyBorder="1" applyAlignment="1">
      <alignment horizontal="right"/>
    </xf>
    <xf numFmtId="9" fontId="2" fillId="0" borderId="3" xfId="2" applyNumberFormat="1" applyFont="1" applyBorder="1" applyAlignment="1">
      <alignment horizontal="right"/>
    </xf>
    <xf numFmtId="167" fontId="19" fillId="0" borderId="0" xfId="3" applyNumberFormat="1" applyFont="1" applyAlignment="1">
      <alignment horizontal="right"/>
    </xf>
    <xf numFmtId="0" fontId="8" fillId="0" borderId="0" xfId="2" applyFont="1" applyAlignment="1">
      <alignment horizontal="center"/>
    </xf>
    <xf numFmtId="0" fontId="14" fillId="0" borderId="0" xfId="2" applyFont="1" applyAlignment="1">
      <alignment horizontal="left"/>
    </xf>
    <xf numFmtId="167" fontId="8" fillId="0" borderId="0" xfId="3" applyNumberFormat="1" applyFont="1" applyAlignment="1">
      <alignment horizontal="right"/>
    </xf>
    <xf numFmtId="0" fontId="4" fillId="2" borderId="0" xfId="2" applyFont="1" applyFill="1"/>
    <xf numFmtId="0" fontId="105" fillId="2" borderId="0" xfId="2" applyFont="1" applyFill="1"/>
    <xf numFmtId="0" fontId="2" fillId="3" borderId="0" xfId="2" applyFont="1" applyFill="1"/>
    <xf numFmtId="0" fontId="2" fillId="3" borderId="0" xfId="2" applyFont="1" applyFill="1" applyAlignment="1">
      <alignment horizontal="right"/>
    </xf>
    <xf numFmtId="0" fontId="2" fillId="3" borderId="0" xfId="2" applyFont="1" applyFill="1" applyAlignment="1">
      <alignment horizontal="left"/>
    </xf>
    <xf numFmtId="9" fontId="2" fillId="3" borderId="0" xfId="3" applyFont="1" applyFill="1" applyBorder="1" applyAlignment="1">
      <alignment horizontal="right"/>
    </xf>
    <xf numFmtId="0" fontId="2" fillId="3" borderId="0" xfId="2" applyFont="1" applyFill="1" applyAlignment="1">
      <alignment horizontal="right" shrinkToFit="1"/>
    </xf>
    <xf numFmtId="0" fontId="2" fillId="3" borderId="0" xfId="2" applyFont="1" applyFill="1" applyAlignment="1">
      <alignment horizontal="left" indent="1"/>
    </xf>
    <xf numFmtId="9" fontId="1" fillId="0" borderId="0" xfId="0" applyNumberFormat="1" applyFont="1" applyAlignment="1">
      <alignment horizontal="right"/>
    </xf>
    <xf numFmtId="2" fontId="3" fillId="0" borderId="0" xfId="0" applyNumberFormat="1" applyFont="1" applyAlignment="1">
      <alignment horizontal="right"/>
    </xf>
    <xf numFmtId="2" fontId="3" fillId="0" borderId="1" xfId="0" applyNumberFormat="1" applyFont="1" applyBorder="1" applyAlignment="1">
      <alignment horizontal="right"/>
    </xf>
    <xf numFmtId="9" fontId="8" fillId="0" borderId="0" xfId="1" applyFont="1" applyBorder="1" applyAlignment="1">
      <alignment horizontal="right"/>
    </xf>
    <xf numFmtId="9" fontId="8" fillId="0" borderId="1" xfId="1" applyFont="1" applyBorder="1" applyAlignment="1">
      <alignment horizontal="right"/>
    </xf>
    <xf numFmtId="167" fontId="6" fillId="0" borderId="0" xfId="1" applyNumberFormat="1" applyFont="1" applyAlignment="1">
      <alignment horizontal="right"/>
    </xf>
    <xf numFmtId="167" fontId="6" fillId="0" borderId="0" xfId="1" applyNumberFormat="1" applyFont="1" applyBorder="1" applyAlignment="1">
      <alignment horizontal="right"/>
    </xf>
    <xf numFmtId="4" fontId="6" fillId="0" borderId="0" xfId="0" applyNumberFormat="1" applyFont="1" applyAlignment="1">
      <alignment horizontal="right"/>
    </xf>
    <xf numFmtId="9" fontId="6" fillId="0" borderId="0" xfId="1" applyFont="1" applyAlignment="1">
      <alignment horizontal="right"/>
    </xf>
    <xf numFmtId="9" fontId="6" fillId="0" borderId="0" xfId="1" applyFont="1" applyBorder="1" applyAlignment="1">
      <alignment horizontal="right"/>
    </xf>
    <xf numFmtId="171" fontId="8" fillId="0" borderId="0" xfId="0" applyNumberFormat="1" applyFont="1" applyAlignment="1">
      <alignment horizontal="right"/>
    </xf>
    <xf numFmtId="171" fontId="8" fillId="0" borderId="1" xfId="0" applyNumberFormat="1" applyFont="1" applyBorder="1" applyAlignment="1">
      <alignment horizontal="right"/>
    </xf>
    <xf numFmtId="10" fontId="6" fillId="0" borderId="0" xfId="1" applyNumberFormat="1" applyFont="1" applyBorder="1" applyAlignment="1">
      <alignment horizontal="right"/>
    </xf>
    <xf numFmtId="10" fontId="6" fillId="0" borderId="0" xfId="1" applyNumberFormat="1" applyFont="1" applyAlignment="1">
      <alignment horizontal="right"/>
    </xf>
    <xf numFmtId="10" fontId="8" fillId="0" borderId="0" xfId="1" applyNumberFormat="1" applyFont="1" applyBorder="1"/>
    <xf numFmtId="10" fontId="8" fillId="0" borderId="1" xfId="1" applyNumberFormat="1" applyFont="1" applyBorder="1"/>
    <xf numFmtId="4" fontId="3" fillId="0" borderId="1" xfId="0" applyNumberFormat="1" applyFont="1" applyBorder="1"/>
    <xf numFmtId="4" fontId="3" fillId="0" borderId="0" xfId="0" applyNumberFormat="1" applyFont="1"/>
    <xf numFmtId="171" fontId="4" fillId="2" borderId="0" xfId="0" applyNumberFormat="1" applyFont="1" applyFill="1" applyAlignment="1">
      <alignment horizontal="right"/>
    </xf>
    <xf numFmtId="171" fontId="4" fillId="2" borderId="1" xfId="0" applyNumberFormat="1" applyFont="1" applyFill="1" applyBorder="1" applyAlignment="1">
      <alignment horizontal="right"/>
    </xf>
    <xf numFmtId="2" fontId="8" fillId="0" borderId="1" xfId="0" applyNumberFormat="1" applyFont="1" applyBorder="1" applyAlignment="1">
      <alignment horizontal="right"/>
    </xf>
    <xf numFmtId="2" fontId="8" fillId="0" borderId="0" xfId="0" applyNumberFormat="1" applyFont="1" applyAlignment="1">
      <alignment horizontal="right"/>
    </xf>
    <xf numFmtId="167" fontId="1" fillId="0" borderId="0" xfId="1" applyNumberFormat="1" applyFont="1"/>
    <xf numFmtId="4" fontId="1" fillId="0" borderId="0" xfId="0" applyNumberFormat="1" applyFont="1"/>
    <xf numFmtId="4" fontId="1" fillId="0" borderId="1" xfId="0" applyNumberFormat="1" applyFont="1" applyBorder="1"/>
    <xf numFmtId="9" fontId="8" fillId="0" borderId="0" xfId="1" applyFont="1" applyAlignment="1">
      <alignment horizontal="right"/>
    </xf>
    <xf numFmtId="173" fontId="8" fillId="0" borderId="0" xfId="2" applyNumberFormat="1" applyFont="1" applyAlignment="1">
      <alignment horizontal="right"/>
    </xf>
    <xf numFmtId="0" fontId="8" fillId="0" borderId="7" xfId="2" applyFont="1" applyBorder="1" applyAlignment="1">
      <alignment horizontal="left" indent="1"/>
    </xf>
    <xf numFmtId="167" fontId="1" fillId="0" borderId="0" xfId="1" applyNumberFormat="1" applyFont="1" applyAlignment="1">
      <alignment horizontal="right"/>
    </xf>
    <xf numFmtId="0" fontId="8" fillId="0" borderId="0" xfId="2" applyFont="1" applyAlignment="1">
      <alignment horizontal="left" indent="2"/>
    </xf>
    <xf numFmtId="0" fontId="2" fillId="0" borderId="7" xfId="2" applyFont="1" applyBorder="1" applyAlignment="1">
      <alignment horizontal="left" indent="1"/>
    </xf>
    <xf numFmtId="3" fontId="1" fillId="0" borderId="0" xfId="1" applyNumberFormat="1" applyFont="1" applyAlignment="1">
      <alignment horizontal="right"/>
    </xf>
    <xf numFmtId="3" fontId="1" fillId="0" borderId="1" xfId="1" applyNumberFormat="1" applyFont="1" applyBorder="1" applyAlignment="1">
      <alignment horizontal="right"/>
    </xf>
    <xf numFmtId="0" fontId="13" fillId="0" borderId="0" xfId="426" applyFont="1" applyAlignment="1">
      <alignment horizontal="left"/>
    </xf>
    <xf numFmtId="0" fontId="24" fillId="0" borderId="0" xfId="411" applyAlignment="1">
      <alignment vertical="top"/>
    </xf>
    <xf numFmtId="0" fontId="91" fillId="0" borderId="3" xfId="498" applyFont="1" applyBorder="1" applyAlignment="1">
      <alignment vertical="top"/>
    </xf>
    <xf numFmtId="0" fontId="24" fillId="0" borderId="0" xfId="498" applyAlignment="1">
      <alignment vertical="top"/>
    </xf>
    <xf numFmtId="0" fontId="24" fillId="0" borderId="0" xfId="499" applyFont="1" applyAlignment="1">
      <alignment vertical="top"/>
    </xf>
    <xf numFmtId="0" fontId="91" fillId="4" borderId="0" xfId="498" applyFont="1" applyFill="1" applyAlignment="1">
      <alignment vertical="top"/>
    </xf>
    <xf numFmtId="0" fontId="24" fillId="32" borderId="0" xfId="499" applyFont="1" applyFill="1" applyAlignment="1">
      <alignment horizontal="right" vertical="top"/>
    </xf>
    <xf numFmtId="228" fontId="24" fillId="4" borderId="0" xfId="499" applyNumberFormat="1" applyFont="1" applyFill="1" applyAlignment="1">
      <alignment vertical="top"/>
    </xf>
    <xf numFmtId="0" fontId="24" fillId="4" borderId="0" xfId="411" applyFill="1" applyAlignment="1">
      <alignment vertical="top"/>
    </xf>
    <xf numFmtId="0" fontId="91" fillId="0" borderId="0" xfId="411" applyFont="1" applyAlignment="1">
      <alignment vertical="top"/>
    </xf>
    <xf numFmtId="0" fontId="91" fillId="0" borderId="0" xfId="498" applyFont="1" applyAlignment="1">
      <alignment vertical="top"/>
    </xf>
    <xf numFmtId="0" fontId="91" fillId="33" borderId="0" xfId="499" applyFont="1" applyFill="1" applyAlignment="1">
      <alignment vertical="top"/>
    </xf>
    <xf numFmtId="0" fontId="91" fillId="34" borderId="32" xfId="499" applyFont="1" applyFill="1" applyBorder="1" applyAlignment="1">
      <alignment horizontal="right" vertical="top"/>
    </xf>
    <xf numFmtId="0" fontId="91" fillId="34" borderId="32" xfId="6" applyFont="1" applyFill="1" applyBorder="1" applyAlignment="1">
      <alignment horizontal="right" vertical="top" wrapText="1"/>
    </xf>
    <xf numFmtId="0" fontId="24" fillId="0" borderId="3" xfId="411" applyBorder="1" applyAlignment="1">
      <alignment vertical="top"/>
    </xf>
    <xf numFmtId="0" fontId="24" fillId="0" borderId="3" xfId="498" applyBorder="1" applyAlignment="1">
      <alignment vertical="top"/>
    </xf>
    <xf numFmtId="0" fontId="24" fillId="0" borderId="3" xfId="499" applyFont="1" applyBorder="1" applyAlignment="1">
      <alignment vertical="top"/>
    </xf>
    <xf numFmtId="0" fontId="91" fillId="0" borderId="33" xfId="498" applyFont="1" applyBorder="1" applyAlignment="1">
      <alignment vertical="top"/>
    </xf>
    <xf numFmtId="173" fontId="24" fillId="32" borderId="33" xfId="498" applyNumberFormat="1" applyFill="1" applyBorder="1" applyAlignment="1">
      <alignment vertical="top"/>
    </xf>
    <xf numFmtId="229" fontId="91" fillId="34" borderId="33" xfId="283" applyNumberFormat="1" applyFont="1" applyFill="1" applyBorder="1" applyAlignment="1">
      <alignment vertical="top"/>
    </xf>
    <xf numFmtId="0" fontId="91" fillId="34" borderId="33" xfId="6" applyFont="1" applyFill="1" applyBorder="1" applyAlignment="1">
      <alignment vertical="top"/>
    </xf>
    <xf numFmtId="0" fontId="24" fillId="0" borderId="33" xfId="411" applyBorder="1" applyAlignment="1">
      <alignment vertical="top"/>
    </xf>
    <xf numFmtId="43" fontId="24" fillId="0" borderId="33" xfId="283" applyFont="1" applyFill="1" applyBorder="1" applyAlignment="1">
      <alignment vertical="top"/>
    </xf>
    <xf numFmtId="230" fontId="24" fillId="0" borderId="33" xfId="283" applyNumberFormat="1" applyFont="1" applyFill="1" applyBorder="1" applyAlignment="1">
      <alignment vertical="top"/>
    </xf>
    <xf numFmtId="43" fontId="24" fillId="4" borderId="33" xfId="283" applyFont="1" applyFill="1" applyBorder="1" applyAlignment="1">
      <alignment vertical="top"/>
    </xf>
    <xf numFmtId="230" fontId="24" fillId="34" borderId="33" xfId="283" applyNumberFormat="1" applyFont="1" applyFill="1" applyBorder="1" applyAlignment="1">
      <alignment vertical="top"/>
    </xf>
    <xf numFmtId="0" fontId="24" fillId="34" borderId="33" xfId="411" applyFill="1" applyBorder="1" applyAlignment="1">
      <alignment vertical="top"/>
    </xf>
    <xf numFmtId="173" fontId="91" fillId="0" borderId="33" xfId="498" applyNumberFormat="1" applyFont="1" applyBorder="1" applyAlignment="1">
      <alignment vertical="top"/>
    </xf>
    <xf numFmtId="230" fontId="91" fillId="0" borderId="33" xfId="283" applyNumberFormat="1" applyFont="1" applyBorder="1" applyAlignment="1">
      <alignment vertical="top"/>
    </xf>
    <xf numFmtId="43" fontId="91" fillId="0" borderId="33" xfId="283" applyFont="1" applyBorder="1" applyAlignment="1">
      <alignment vertical="top"/>
    </xf>
    <xf numFmtId="230" fontId="91" fillId="34" borderId="33" xfId="283" applyNumberFormat="1" applyFont="1" applyFill="1" applyBorder="1" applyAlignment="1">
      <alignment vertical="top"/>
    </xf>
    <xf numFmtId="0" fontId="24" fillId="0" borderId="33" xfId="498" applyBorder="1" applyAlignment="1">
      <alignment vertical="top"/>
    </xf>
    <xf numFmtId="43" fontId="24" fillId="0" borderId="33" xfId="283" applyFont="1" applyBorder="1" applyAlignment="1">
      <alignment vertical="top"/>
    </xf>
    <xf numFmtId="43" fontId="24" fillId="34" borderId="33" xfId="283" applyFont="1" applyFill="1" applyBorder="1" applyAlignment="1">
      <alignment vertical="top"/>
    </xf>
    <xf numFmtId="173" fontId="91" fillId="0" borderId="33" xfId="499" applyNumberFormat="1" applyFont="1" applyBorder="1" applyAlignment="1">
      <alignment vertical="top"/>
    </xf>
    <xf numFmtId="1" fontId="24" fillId="0" borderId="33" xfId="499" applyNumberFormat="1" applyFont="1" applyBorder="1" applyAlignment="1">
      <alignment vertical="top"/>
    </xf>
    <xf numFmtId="229" fontId="24" fillId="0" borderId="33" xfId="283" applyNumberFormat="1" applyFont="1" applyFill="1" applyBorder="1" applyAlignment="1">
      <alignment vertical="top"/>
    </xf>
    <xf numFmtId="173" fontId="24" fillId="34" borderId="33" xfId="499" applyNumberFormat="1" applyFont="1" applyFill="1" applyBorder="1" applyAlignment="1">
      <alignment vertical="top"/>
    </xf>
    <xf numFmtId="43" fontId="91" fillId="34" borderId="33" xfId="283" applyFont="1" applyFill="1" applyBorder="1" applyAlignment="1">
      <alignment horizontal="right" vertical="top"/>
    </xf>
    <xf numFmtId="0" fontId="24" fillId="0" borderId="33" xfId="498" applyBorder="1" applyAlignment="1">
      <alignment horizontal="left" vertical="top" indent="1"/>
    </xf>
    <xf numFmtId="173" fontId="24" fillId="0" borderId="33" xfId="498" applyNumberFormat="1" applyBorder="1" applyAlignment="1">
      <alignment vertical="top"/>
    </xf>
    <xf numFmtId="173" fontId="91" fillId="4" borderId="33" xfId="499" applyNumberFormat="1" applyFont="1" applyFill="1" applyBorder="1" applyAlignment="1">
      <alignment vertical="top"/>
    </xf>
    <xf numFmtId="173" fontId="106" fillId="34" borderId="33" xfId="499" applyNumberFormat="1" applyFont="1" applyFill="1" applyBorder="1" applyAlignment="1">
      <alignment vertical="top"/>
    </xf>
    <xf numFmtId="2" fontId="24" fillId="0" borderId="33" xfId="499" applyNumberFormat="1" applyFont="1" applyBorder="1" applyAlignment="1">
      <alignment vertical="top"/>
    </xf>
    <xf numFmtId="43" fontId="91" fillId="4" borderId="33" xfId="283" applyFont="1" applyFill="1" applyBorder="1" applyAlignment="1">
      <alignment vertical="top"/>
    </xf>
    <xf numFmtId="2" fontId="24" fillId="0" borderId="0" xfId="411" applyNumberFormat="1" applyAlignment="1">
      <alignment vertical="top"/>
    </xf>
    <xf numFmtId="173" fontId="24" fillId="0" borderId="33" xfId="499" applyNumberFormat="1" applyFont="1" applyBorder="1" applyAlignment="1">
      <alignment vertical="top"/>
    </xf>
    <xf numFmtId="173" fontId="91" fillId="35" borderId="33" xfId="498" applyNumberFormat="1" applyFont="1" applyFill="1" applyBorder="1" applyAlignment="1">
      <alignment vertical="top"/>
    </xf>
    <xf numFmtId="0" fontId="24" fillId="0" borderId="0" xfId="411" applyAlignment="1">
      <alignment vertical="top" wrapText="1"/>
    </xf>
    <xf numFmtId="0" fontId="24" fillId="0" borderId="33" xfId="498" applyBorder="1" applyAlignment="1">
      <alignment horizontal="left" vertical="top"/>
    </xf>
    <xf numFmtId="0" fontId="91" fillId="34" borderId="33" xfId="6" applyFont="1" applyFill="1" applyBorder="1" applyAlignment="1">
      <alignment horizontal="right" vertical="top"/>
    </xf>
    <xf numFmtId="173" fontId="24" fillId="4" borderId="33" xfId="498" applyNumberFormat="1" applyFill="1" applyBorder="1" applyAlignment="1">
      <alignment vertical="top"/>
    </xf>
    <xf numFmtId="1" fontId="91" fillId="0" borderId="33" xfId="499" applyNumberFormat="1" applyFont="1" applyBorder="1" applyAlignment="1">
      <alignment vertical="top"/>
    </xf>
    <xf numFmtId="229" fontId="91" fillId="35" borderId="33" xfId="283" applyNumberFormat="1" applyFont="1" applyFill="1" applyBorder="1" applyAlignment="1">
      <alignment vertical="top"/>
    </xf>
    <xf numFmtId="230" fontId="91" fillId="34" borderId="33" xfId="499" applyNumberFormat="1" applyFont="1" applyFill="1" applyBorder="1" applyAlignment="1">
      <alignment vertical="top"/>
    </xf>
    <xf numFmtId="0" fontId="91" fillId="35" borderId="33" xfId="498" applyFont="1" applyFill="1" applyBorder="1" applyAlignment="1">
      <alignment vertical="top"/>
    </xf>
    <xf numFmtId="1" fontId="91" fillId="35" borderId="33" xfId="499" applyNumberFormat="1" applyFont="1" applyFill="1" applyBorder="1" applyAlignment="1">
      <alignment vertical="top"/>
    </xf>
    <xf numFmtId="0" fontId="24" fillId="0" borderId="33" xfId="499" applyFont="1" applyBorder="1" applyAlignment="1">
      <alignment vertical="top"/>
    </xf>
    <xf numFmtId="230" fontId="91" fillId="4" borderId="33" xfId="283" applyNumberFormat="1" applyFont="1" applyFill="1" applyBorder="1" applyAlignment="1">
      <alignment vertical="top"/>
    </xf>
    <xf numFmtId="173" fontId="107" fillId="31" borderId="33" xfId="499" applyNumberFormat="1" applyFont="1" applyFill="1" applyBorder="1" applyAlignment="1">
      <alignment vertical="top"/>
    </xf>
    <xf numFmtId="173" fontId="24" fillId="0" borderId="33" xfId="499" applyNumberFormat="1" applyFont="1" applyBorder="1" applyAlignment="1">
      <alignment horizontal="right" vertical="top"/>
    </xf>
    <xf numFmtId="173" fontId="91" fillId="0" borderId="33" xfId="499" applyNumberFormat="1" applyFont="1" applyBorder="1" applyAlignment="1">
      <alignment horizontal="left" vertical="top"/>
    </xf>
    <xf numFmtId="229" fontId="91" fillId="32" borderId="33" xfId="283" applyNumberFormat="1" applyFont="1" applyFill="1" applyBorder="1" applyAlignment="1">
      <alignment vertical="top"/>
    </xf>
    <xf numFmtId="173" fontId="91" fillId="34" borderId="33" xfId="6" applyNumberFormat="1" applyFont="1" applyFill="1" applyBorder="1" applyAlignment="1">
      <alignment vertical="top"/>
    </xf>
    <xf numFmtId="173" fontId="24" fillId="34" borderId="33" xfId="6" applyNumberFormat="1" applyFont="1" applyFill="1" applyBorder="1" applyAlignment="1">
      <alignment vertical="top"/>
    </xf>
    <xf numFmtId="43" fontId="91" fillId="34" borderId="33" xfId="283" applyFont="1" applyFill="1" applyBorder="1" applyAlignment="1">
      <alignment vertical="top"/>
    </xf>
    <xf numFmtId="9" fontId="91" fillId="34" borderId="33" xfId="443" applyFont="1" applyFill="1" applyBorder="1" applyAlignment="1">
      <alignment vertical="top"/>
    </xf>
    <xf numFmtId="38" fontId="91" fillId="34" borderId="33" xfId="499" applyNumberFormat="1" applyFont="1" applyFill="1" applyBorder="1" applyAlignment="1">
      <alignment horizontal="right" vertical="top"/>
    </xf>
    <xf numFmtId="38" fontId="91" fillId="34" borderId="33" xfId="499" applyNumberFormat="1" applyFont="1" applyFill="1" applyBorder="1" applyAlignment="1">
      <alignment vertical="top"/>
    </xf>
    <xf numFmtId="173" fontId="91" fillId="34" borderId="33" xfId="499" applyNumberFormat="1" applyFont="1" applyFill="1" applyBorder="1" applyAlignment="1">
      <alignment vertical="top"/>
    </xf>
    <xf numFmtId="0" fontId="24" fillId="34" borderId="33" xfId="499" applyFont="1" applyFill="1" applyBorder="1" applyAlignment="1">
      <alignment vertical="top"/>
    </xf>
    <xf numFmtId="0" fontId="91" fillId="31" borderId="33" xfId="498" applyFont="1" applyFill="1" applyBorder="1" applyAlignment="1">
      <alignment vertical="top"/>
    </xf>
    <xf numFmtId="0" fontId="24" fillId="31" borderId="33" xfId="498" applyFill="1" applyBorder="1" applyAlignment="1">
      <alignment vertical="top"/>
    </xf>
    <xf numFmtId="173" fontId="24" fillId="31" borderId="33" xfId="498" applyNumberFormat="1" applyFill="1" applyBorder="1" applyAlignment="1">
      <alignment vertical="top"/>
    </xf>
    <xf numFmtId="173" fontId="24" fillId="31" borderId="33" xfId="499" applyNumberFormat="1" applyFont="1" applyFill="1" applyBorder="1" applyAlignment="1">
      <alignment vertical="top"/>
    </xf>
    <xf numFmtId="173" fontId="24" fillId="0" borderId="33" xfId="498" applyNumberFormat="1" applyBorder="1" applyAlignment="1">
      <alignment horizontal="right" vertical="top"/>
    </xf>
    <xf numFmtId="173" fontId="107" fillId="31" borderId="33" xfId="499" applyNumberFormat="1" applyFont="1" applyFill="1" applyBorder="1" applyAlignment="1">
      <alignment horizontal="right" vertical="top"/>
    </xf>
    <xf numFmtId="0" fontId="24" fillId="32" borderId="0" xfId="498" applyFill="1" applyAlignment="1">
      <alignment vertical="top"/>
    </xf>
    <xf numFmtId="1" fontId="24" fillId="32" borderId="0" xfId="498" applyNumberFormat="1" applyFill="1" applyAlignment="1">
      <alignment vertical="top"/>
    </xf>
    <xf numFmtId="9" fontId="24" fillId="32" borderId="0" xfId="443" applyFont="1" applyFill="1" applyAlignment="1">
      <alignment vertical="top"/>
    </xf>
    <xf numFmtId="3" fontId="24" fillId="32" borderId="0" xfId="498" applyNumberFormat="1" applyFill="1" applyAlignment="1">
      <alignment vertical="top"/>
    </xf>
    <xf numFmtId="168" fontId="8" fillId="0" borderId="0" xfId="0" applyNumberFormat="1" applyFont="1" applyAlignment="1">
      <alignment horizontal="right"/>
    </xf>
    <xf numFmtId="9" fontId="3" fillId="0" borderId="0" xfId="1" applyFont="1" applyAlignment="1">
      <alignment horizontal="right"/>
    </xf>
    <xf numFmtId="9" fontId="3" fillId="0" borderId="0" xfId="1" applyFont="1" applyBorder="1" applyAlignment="1">
      <alignment horizontal="right"/>
    </xf>
    <xf numFmtId="9" fontId="2" fillId="0" borderId="0" xfId="1" applyFont="1" applyBorder="1" applyAlignment="1">
      <alignment horizontal="right"/>
    </xf>
    <xf numFmtId="9" fontId="3" fillId="0" borderId="0" xfId="1" applyFont="1" applyBorder="1"/>
    <xf numFmtId="167" fontId="8" fillId="4" borderId="0" xfId="3" applyNumberFormat="1" applyFont="1" applyFill="1"/>
    <xf numFmtId="9" fontId="8" fillId="0" borderId="0" xfId="1" applyFont="1"/>
    <xf numFmtId="9" fontId="2" fillId="0" borderId="0" xfId="1" applyFont="1"/>
    <xf numFmtId="167" fontId="8" fillId="0" borderId="0" xfId="1" applyNumberFormat="1" applyFont="1"/>
    <xf numFmtId="175" fontId="16" fillId="0" borderId="0" xfId="0" applyNumberFormat="1" applyFont="1" applyAlignment="1">
      <alignment horizontal="right"/>
    </xf>
    <xf numFmtId="175" fontId="8" fillId="0" borderId="0" xfId="0" applyNumberFormat="1" applyFont="1" applyAlignment="1">
      <alignment horizontal="right"/>
    </xf>
    <xf numFmtId="231" fontId="1" fillId="0" borderId="0" xfId="0" applyNumberFormat="1" applyFont="1"/>
    <xf numFmtId="231" fontId="1" fillId="0" borderId="1" xfId="0" applyNumberFormat="1" applyFont="1" applyBorder="1"/>
    <xf numFmtId="175" fontId="1" fillId="0" borderId="0" xfId="0" applyNumberFormat="1" applyFont="1" applyAlignment="1">
      <alignment horizontal="right"/>
    </xf>
    <xf numFmtId="175" fontId="1" fillId="0" borderId="1" xfId="0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/>
    </xf>
    <xf numFmtId="167" fontId="6" fillId="0" borderId="0" xfId="1" applyNumberFormat="1" applyFont="1" applyFill="1" applyBorder="1"/>
    <xf numFmtId="10" fontId="1" fillId="0" borderId="0" xfId="1" applyNumberFormat="1" applyFont="1" applyBorder="1"/>
    <xf numFmtId="9" fontId="8" fillId="0" borderId="0" xfId="1" applyFont="1" applyFill="1" applyBorder="1"/>
    <xf numFmtId="4" fontId="8" fillId="0" borderId="0" xfId="0" applyNumberFormat="1" applyFont="1" applyAlignment="1">
      <alignment horizontal="right"/>
    </xf>
    <xf numFmtId="9" fontId="8" fillId="0" borderId="0" xfId="0" applyNumberFormat="1" applyFont="1" applyAlignment="1">
      <alignment horizontal="right"/>
    </xf>
    <xf numFmtId="10" fontId="8" fillId="0" borderId="0" xfId="2" applyNumberFormat="1" applyFont="1"/>
    <xf numFmtId="167" fontId="8" fillId="0" borderId="0" xfId="2" applyNumberFormat="1" applyFont="1"/>
    <xf numFmtId="9" fontId="8" fillId="0" borderId="0" xfId="2" applyNumberFormat="1" applyFont="1"/>
    <xf numFmtId="168" fontId="8" fillId="0" borderId="0" xfId="2" applyNumberFormat="1" applyFont="1"/>
    <xf numFmtId="43" fontId="8" fillId="0" borderId="0" xfId="2" applyNumberFormat="1" applyFont="1"/>
    <xf numFmtId="0" fontId="109" fillId="37" borderId="0" xfId="0" applyFont="1" applyFill="1" applyAlignment="1" applyProtection="1">
      <alignment horizontal="center"/>
      <protection locked="0"/>
    </xf>
    <xf numFmtId="232" fontId="109" fillId="37" borderId="0" xfId="0" applyNumberFormat="1" applyFont="1" applyFill="1" applyAlignment="1" applyProtection="1">
      <alignment horizontal="center"/>
      <protection locked="0"/>
    </xf>
    <xf numFmtId="0" fontId="108" fillId="36" borderId="0" xfId="0" applyFont="1" applyFill="1" applyAlignment="1" applyProtection="1">
      <alignment horizontal="left"/>
      <protection locked="0"/>
    </xf>
    <xf numFmtId="0" fontId="108" fillId="40" borderId="0" xfId="0" applyFont="1" applyFill="1" applyAlignment="1" applyProtection="1">
      <alignment horizontal="left"/>
      <protection locked="0"/>
    </xf>
    <xf numFmtId="0" fontId="0" fillId="0" borderId="0" xfId="0" applyProtection="1">
      <protection locked="0"/>
    </xf>
    <xf numFmtId="173" fontId="109" fillId="38" borderId="0" xfId="0" applyNumberFormat="1" applyFont="1" applyFill="1" applyProtection="1">
      <protection locked="0"/>
    </xf>
    <xf numFmtId="1" fontId="109" fillId="38" borderId="0" xfId="0" applyNumberFormat="1" applyFont="1" applyFill="1" applyProtection="1">
      <protection locked="0"/>
    </xf>
    <xf numFmtId="167" fontId="109" fillId="39" borderId="0" xfId="0" applyNumberFormat="1" applyFont="1" applyFill="1" applyProtection="1">
      <protection locked="0"/>
    </xf>
    <xf numFmtId="167" fontId="109" fillId="38" borderId="0" xfId="0" applyNumberFormat="1" applyFont="1" applyFill="1" applyProtection="1">
      <protection locked="0"/>
    </xf>
    <xf numFmtId="10" fontId="109" fillId="38" borderId="0" xfId="0" applyNumberFormat="1" applyFont="1" applyFill="1" applyProtection="1">
      <protection locked="0"/>
    </xf>
    <xf numFmtId="0" fontId="109" fillId="39" borderId="0" xfId="0" applyFont="1" applyFill="1" applyProtection="1">
      <protection locked="0"/>
    </xf>
    <xf numFmtId="2" fontId="109" fillId="39" borderId="0" xfId="0" applyNumberFormat="1" applyFont="1" applyFill="1" applyProtection="1">
      <protection locked="0"/>
    </xf>
    <xf numFmtId="173" fontId="109" fillId="39" borderId="0" xfId="0" applyNumberFormat="1" applyFont="1" applyFill="1" applyProtection="1">
      <protection locked="0"/>
    </xf>
    <xf numFmtId="232" fontId="109" fillId="39" borderId="0" xfId="0" applyNumberFormat="1" applyFont="1" applyFill="1" applyProtection="1">
      <protection locked="0"/>
    </xf>
    <xf numFmtId="49" fontId="109" fillId="39" borderId="0" xfId="0" applyNumberFormat="1" applyFont="1" applyFill="1" applyProtection="1">
      <protection locked="0"/>
    </xf>
    <xf numFmtId="2" fontId="109" fillId="38" borderId="0" xfId="0" applyNumberFormat="1" applyFont="1" applyFill="1" applyProtection="1">
      <protection locked="0"/>
    </xf>
    <xf numFmtId="9" fontId="109" fillId="39" borderId="0" xfId="0" applyNumberFormat="1" applyFont="1" applyFill="1" applyProtection="1">
      <protection locked="0"/>
    </xf>
    <xf numFmtId="49" fontId="108" fillId="36" borderId="0" xfId="0" applyNumberFormat="1" applyFont="1" applyFill="1" applyAlignment="1">
      <alignment horizontal="left"/>
    </xf>
    <xf numFmtId="49" fontId="108" fillId="36" borderId="0" xfId="0" applyNumberFormat="1" applyFont="1" applyFill="1" applyAlignment="1">
      <alignment horizontal="center"/>
    </xf>
    <xf numFmtId="0" fontId="109" fillId="37" borderId="0" xfId="0" applyFont="1" applyFill="1" applyAlignment="1">
      <alignment horizontal="center"/>
    </xf>
    <xf numFmtId="232" fontId="109" fillId="37" borderId="0" xfId="0" applyNumberFormat="1" applyFont="1" applyFill="1" applyAlignment="1">
      <alignment horizontal="center"/>
    </xf>
    <xf numFmtId="0" fontId="108" fillId="36" borderId="0" xfId="0" applyFont="1" applyFill="1" applyAlignment="1">
      <alignment horizontal="left"/>
    </xf>
    <xf numFmtId="0" fontId="108" fillId="40" borderId="0" xfId="0" applyFont="1" applyFill="1" applyAlignment="1">
      <alignment horizontal="left"/>
    </xf>
    <xf numFmtId="0" fontId="109" fillId="37" borderId="0" xfId="0" applyFont="1" applyFill="1"/>
    <xf numFmtId="167" fontId="1" fillId="0" borderId="0" xfId="1" applyNumberFormat="1" applyFont="1" applyFill="1" applyBorder="1"/>
    <xf numFmtId="167" fontId="6" fillId="0" borderId="0" xfId="1" applyNumberFormat="1" applyFont="1" applyFill="1" applyBorder="1" applyAlignment="1">
      <alignment horizontal="right"/>
    </xf>
    <xf numFmtId="9" fontId="11" fillId="0" borderId="0" xfId="1" applyFont="1" applyBorder="1" applyAlignment="1">
      <alignment horizontal="right"/>
    </xf>
    <xf numFmtId="9" fontId="6" fillId="0" borderId="0" xfId="1" applyFont="1" applyFill="1" applyBorder="1" applyAlignment="1">
      <alignment horizontal="right"/>
    </xf>
    <xf numFmtId="3" fontId="1" fillId="0" borderId="0" xfId="1" applyNumberFormat="1" applyFont="1" applyBorder="1" applyAlignment="1">
      <alignment horizontal="right"/>
    </xf>
    <xf numFmtId="9" fontId="1" fillId="0" borderId="0" xfId="0" applyNumberFormat="1" applyFont="1"/>
    <xf numFmtId="10" fontId="1" fillId="0" borderId="0" xfId="0" applyNumberFormat="1" applyFont="1"/>
    <xf numFmtId="3" fontId="6" fillId="4" borderId="0" xfId="0" applyNumberFormat="1" applyFont="1" applyFill="1"/>
    <xf numFmtId="1" fontId="1" fillId="0" borderId="0" xfId="0" applyNumberFormat="1" applyFont="1"/>
    <xf numFmtId="9" fontId="1" fillId="0" borderId="0" xfId="1" applyFont="1" applyFill="1" applyBorder="1" applyAlignment="1">
      <alignment horizontal="right"/>
    </xf>
    <xf numFmtId="173" fontId="8" fillId="0" borderId="0" xfId="0" applyNumberFormat="1" applyFont="1" applyAlignment="1">
      <alignment horizontal="right"/>
    </xf>
    <xf numFmtId="173" fontId="8" fillId="0" borderId="1" xfId="0" applyNumberFormat="1" applyFont="1" applyBorder="1" applyAlignment="1">
      <alignment horizontal="right"/>
    </xf>
    <xf numFmtId="0" fontId="8" fillId="0" borderId="0" xfId="0" applyFont="1" applyAlignment="1">
      <alignment horizontal="right"/>
    </xf>
    <xf numFmtId="167" fontId="8" fillId="0" borderId="0" xfId="3" applyNumberFormat="1" applyFont="1" applyBorder="1" applyAlignment="1">
      <alignment horizontal="right"/>
    </xf>
    <xf numFmtId="167" fontId="8" fillId="0" borderId="1" xfId="3" applyNumberFormat="1" applyFont="1" applyBorder="1" applyAlignment="1">
      <alignment horizontal="right"/>
    </xf>
    <xf numFmtId="173" fontId="8" fillId="0" borderId="0" xfId="0" applyNumberFormat="1" applyFont="1"/>
    <xf numFmtId="0" fontId="8" fillId="0" borderId="1" xfId="0" applyFont="1" applyBorder="1" applyAlignment="1">
      <alignment horizontal="right"/>
    </xf>
    <xf numFmtId="3" fontId="19" fillId="0" borderId="0" xfId="2" applyNumberFormat="1" applyFont="1" applyAlignment="1">
      <alignment horizontal="right"/>
    </xf>
    <xf numFmtId="10" fontId="11" fillId="0" borderId="0" xfId="1" applyNumberFormat="1" applyFont="1" applyBorder="1" applyAlignment="1">
      <alignment horizontal="right"/>
    </xf>
    <xf numFmtId="167" fontId="11" fillId="0" borderId="0" xfId="1" applyNumberFormat="1" applyFont="1" applyBorder="1" applyAlignment="1">
      <alignment horizontal="right"/>
    </xf>
    <xf numFmtId="3" fontId="7" fillId="0" borderId="1" xfId="0" applyNumberFormat="1" applyFont="1" applyBorder="1" applyAlignment="1">
      <alignment horizontal="right"/>
    </xf>
    <xf numFmtId="9" fontId="8" fillId="0" borderId="1" xfId="1" applyFont="1" applyFill="1" applyBorder="1"/>
    <xf numFmtId="174" fontId="8" fillId="0" borderId="0" xfId="2" applyNumberFormat="1" applyFont="1" applyAlignment="1">
      <alignment horizontal="right"/>
    </xf>
    <xf numFmtId="167" fontId="8" fillId="0" borderId="1" xfId="1" applyNumberFormat="1" applyFont="1" applyFill="1" applyBorder="1" applyAlignment="1">
      <alignment horizontal="right"/>
    </xf>
    <xf numFmtId="3" fontId="6" fillId="0" borderId="0" xfId="1" applyNumberFormat="1" applyFont="1" applyAlignment="1">
      <alignment horizontal="right"/>
    </xf>
    <xf numFmtId="167" fontId="1" fillId="0" borderId="0" xfId="0" applyNumberFormat="1" applyFont="1"/>
    <xf numFmtId="167" fontId="11" fillId="0" borderId="0" xfId="0" applyNumberFormat="1" applyFont="1"/>
    <xf numFmtId="167" fontId="6" fillId="0" borderId="0" xfId="0" applyNumberFormat="1" applyFont="1"/>
    <xf numFmtId="0" fontId="13" fillId="0" borderId="0" xfId="500" applyFont="1" applyAlignment="1">
      <alignment horizontal="left"/>
    </xf>
    <xf numFmtId="0" fontId="6" fillId="0" borderId="0" xfId="0" applyFont="1"/>
    <xf numFmtId="2" fontId="8" fillId="0" borderId="0" xfId="2" applyNumberFormat="1" applyFont="1" applyAlignment="1">
      <alignment horizontal="right"/>
    </xf>
    <xf numFmtId="3" fontId="1" fillId="4" borderId="0" xfId="0" applyNumberFormat="1" applyFont="1" applyFill="1"/>
    <xf numFmtId="175" fontId="16" fillId="0" borderId="1" xfId="0" applyNumberFormat="1" applyFont="1" applyBorder="1" applyAlignment="1">
      <alignment horizontal="right"/>
    </xf>
    <xf numFmtId="175" fontId="8" fillId="0" borderId="1" xfId="0" applyNumberFormat="1" applyFont="1" applyBorder="1" applyAlignment="1">
      <alignment horizontal="right"/>
    </xf>
    <xf numFmtId="167" fontId="6" fillId="0" borderId="1" xfId="1" applyNumberFormat="1" applyFont="1" applyFill="1" applyBorder="1" applyAlignment="1">
      <alignment horizontal="right"/>
    </xf>
    <xf numFmtId="9" fontId="11" fillId="0" borderId="1" xfId="1" applyFont="1" applyBorder="1" applyAlignment="1">
      <alignment horizontal="right"/>
    </xf>
    <xf numFmtId="4" fontId="6" fillId="0" borderId="1" xfId="0" applyNumberFormat="1" applyFont="1" applyBorder="1" applyAlignment="1">
      <alignment horizontal="right"/>
    </xf>
    <xf numFmtId="10" fontId="6" fillId="0" borderId="1" xfId="1" applyNumberFormat="1" applyFont="1" applyBorder="1" applyAlignment="1">
      <alignment horizontal="right"/>
    </xf>
    <xf numFmtId="167" fontId="6" fillId="0" borderId="1" xfId="0" applyNumberFormat="1" applyFont="1" applyBorder="1"/>
    <xf numFmtId="234" fontId="8" fillId="0" borderId="0" xfId="517" applyNumberFormat="1" applyFont="1"/>
    <xf numFmtId="171" fontId="8" fillId="0" borderId="0" xfId="2" applyNumberFormat="1" applyFont="1"/>
    <xf numFmtId="13" fontId="8" fillId="0" borderId="0" xfId="2" applyNumberFormat="1" applyFont="1"/>
    <xf numFmtId="171" fontId="6" fillId="0" borderId="0" xfId="0" applyNumberFormat="1" applyFont="1" applyAlignment="1">
      <alignment horizontal="right"/>
    </xf>
    <xf numFmtId="171" fontId="6" fillId="0" borderId="1" xfId="0" applyNumberFormat="1" applyFont="1" applyBorder="1" applyAlignment="1">
      <alignment horizontal="right"/>
    </xf>
    <xf numFmtId="171" fontId="1" fillId="0" borderId="0" xfId="0" applyNumberFormat="1" applyFont="1" applyAlignment="1">
      <alignment horizontal="right"/>
    </xf>
    <xf numFmtId="4" fontId="6" fillId="0" borderId="0" xfId="0" applyNumberFormat="1" applyFont="1"/>
    <xf numFmtId="3" fontId="1" fillId="4" borderId="0" xfId="0" applyNumberFormat="1" applyFont="1" applyFill="1" applyAlignment="1">
      <alignment horizontal="right"/>
    </xf>
    <xf numFmtId="10" fontId="6" fillId="0" borderId="0" xfId="1" applyNumberFormat="1" applyFont="1" applyFill="1" applyBorder="1" applyAlignment="1">
      <alignment horizontal="right"/>
    </xf>
    <xf numFmtId="9" fontId="6" fillId="0" borderId="1" xfId="1" applyFont="1" applyBorder="1" applyAlignment="1">
      <alignment horizontal="right"/>
    </xf>
    <xf numFmtId="10" fontId="6" fillId="0" borderId="0" xfId="1" applyNumberFormat="1" applyFont="1" applyBorder="1"/>
    <xf numFmtId="167" fontId="6" fillId="4" borderId="0" xfId="1" applyNumberFormat="1" applyFont="1" applyFill="1" applyBorder="1"/>
    <xf numFmtId="10" fontId="8" fillId="0" borderId="1" xfId="1" applyNumberFormat="1" applyFont="1" applyFill="1" applyBorder="1" applyAlignment="1">
      <alignment horizontal="right"/>
    </xf>
    <xf numFmtId="168" fontId="8" fillId="0" borderId="1" xfId="1" applyNumberFormat="1" applyFont="1" applyFill="1" applyBorder="1" applyAlignment="1">
      <alignment horizontal="right"/>
    </xf>
    <xf numFmtId="174" fontId="17" fillId="0" borderId="0" xfId="0" applyNumberFormat="1" applyFont="1" applyAlignment="1">
      <alignment horizontal="right"/>
    </xf>
    <xf numFmtId="9" fontId="17" fillId="0" borderId="0" xfId="0" applyNumberFormat="1" applyFont="1"/>
    <xf numFmtId="0" fontId="8" fillId="0" borderId="0" xfId="0" applyFont="1" applyAlignment="1">
      <alignment horizontal="left" indent="1"/>
    </xf>
    <xf numFmtId="9" fontId="8" fillId="0" borderId="0" xfId="4" applyFont="1" applyFill="1"/>
    <xf numFmtId="9" fontId="17" fillId="0" borderId="0" xfId="1" applyFont="1"/>
    <xf numFmtId="9" fontId="16" fillId="0" borderId="0" xfId="1" applyFont="1" applyFill="1" applyBorder="1" applyAlignment="1">
      <alignment horizontal="right"/>
    </xf>
    <xf numFmtId="9" fontId="16" fillId="0" borderId="1" xfId="1" applyFont="1" applyFill="1" applyBorder="1" applyAlignment="1">
      <alignment horizontal="right"/>
    </xf>
    <xf numFmtId="167" fontId="1" fillId="0" borderId="0" xfId="1" applyNumberFormat="1" applyFont="1" applyFill="1" applyBorder="1" applyAlignment="1">
      <alignment horizontal="right"/>
    </xf>
    <xf numFmtId="167" fontId="2" fillId="0" borderId="0" xfId="1" applyNumberFormat="1" applyFont="1"/>
    <xf numFmtId="0" fontId="8" fillId="5" borderId="2" xfId="2" applyFont="1" applyFill="1" applyBorder="1"/>
    <xf numFmtId="0" fontId="8" fillId="5" borderId="3" xfId="2" applyFont="1" applyFill="1" applyBorder="1" applyAlignment="1">
      <alignment horizontal="right"/>
    </xf>
    <xf numFmtId="0" fontId="8" fillId="5" borderId="3" xfId="2" applyFont="1" applyFill="1" applyBorder="1"/>
    <xf numFmtId="0" fontId="8" fillId="5" borderId="5" xfId="2" applyFont="1" applyFill="1" applyBorder="1"/>
    <xf numFmtId="0" fontId="8" fillId="5" borderId="0" xfId="2" applyFont="1" applyFill="1"/>
    <xf numFmtId="0" fontId="8" fillId="5" borderId="1" xfId="2" applyFont="1" applyFill="1" applyBorder="1" applyAlignment="1">
      <alignment horizontal="right"/>
    </xf>
    <xf numFmtId="0" fontId="17" fillId="5" borderId="0" xfId="2" applyFont="1" applyFill="1" applyAlignment="1">
      <alignment horizontal="right"/>
    </xf>
    <xf numFmtId="167" fontId="8" fillId="5" borderId="1" xfId="3" applyNumberFormat="1" applyFont="1" applyFill="1" applyBorder="1" applyAlignment="1">
      <alignment horizontal="right"/>
    </xf>
    <xf numFmtId="172" fontId="8" fillId="5" borderId="1" xfId="4" applyNumberFormat="1" applyFont="1" applyFill="1" applyBorder="1" applyAlignment="1">
      <alignment horizontal="right"/>
    </xf>
    <xf numFmtId="0" fontId="8" fillId="5" borderId="6" xfId="2" applyFont="1" applyFill="1" applyBorder="1"/>
    <xf numFmtId="0" fontId="8" fillId="5" borderId="7" xfId="2" applyFont="1" applyFill="1" applyBorder="1"/>
    <xf numFmtId="0" fontId="8" fillId="5" borderId="7" xfId="2" applyFont="1" applyFill="1" applyBorder="1" applyAlignment="1">
      <alignment horizontal="right"/>
    </xf>
    <xf numFmtId="171" fontId="8" fillId="0" borderId="0" xfId="1" applyNumberFormat="1" applyFont="1" applyBorder="1" applyAlignment="1">
      <alignment horizontal="right"/>
    </xf>
    <xf numFmtId="171" fontId="1" fillId="0" borderId="0" xfId="0" applyNumberFormat="1" applyFont="1"/>
    <xf numFmtId="167" fontId="8" fillId="0" borderId="0" xfId="1" applyNumberFormat="1" applyFont="1" applyBorder="1"/>
    <xf numFmtId="9" fontId="3" fillId="0" borderId="1" xfId="0" applyNumberFormat="1" applyFont="1" applyBorder="1"/>
    <xf numFmtId="9" fontId="1" fillId="0" borderId="1" xfId="0" applyNumberFormat="1" applyFont="1" applyBorder="1"/>
    <xf numFmtId="167" fontId="1" fillId="0" borderId="1" xfId="0" applyNumberFormat="1" applyFont="1" applyBorder="1"/>
    <xf numFmtId="9" fontId="3" fillId="0" borderId="1" xfId="1" applyFont="1" applyBorder="1" applyAlignment="1">
      <alignment horizontal="right"/>
    </xf>
    <xf numFmtId="167" fontId="11" fillId="0" borderId="0" xfId="1" applyNumberFormat="1" applyFont="1" applyBorder="1"/>
    <xf numFmtId="167" fontId="8" fillId="0" borderId="0" xfId="1" applyNumberFormat="1" applyFont="1" applyAlignment="1">
      <alignment horizontal="left"/>
    </xf>
    <xf numFmtId="167" fontId="3" fillId="0" borderId="0" xfId="1" applyNumberFormat="1" applyFont="1" applyBorder="1" applyAlignment="1">
      <alignment horizontal="right"/>
    </xf>
    <xf numFmtId="1" fontId="8" fillId="0" borderId="0" xfId="2" applyNumberFormat="1" applyFont="1"/>
    <xf numFmtId="167" fontId="8" fillId="0" borderId="0" xfId="0" applyNumberFormat="1" applyFont="1"/>
    <xf numFmtId="167" fontId="8" fillId="0" borderId="1" xfId="0" applyNumberFormat="1" applyFont="1" applyBorder="1"/>
    <xf numFmtId="9" fontId="1" fillId="0" borderId="0" xfId="1" applyFont="1" applyFill="1" applyBorder="1"/>
    <xf numFmtId="9" fontId="1" fillId="0" borderId="1" xfId="1" applyFont="1" applyFill="1" applyBorder="1"/>
    <xf numFmtId="9" fontId="6" fillId="0" borderId="1" xfId="1" applyFont="1" applyFill="1" applyBorder="1" applyAlignment="1">
      <alignment horizontal="right"/>
    </xf>
    <xf numFmtId="9" fontId="1" fillId="0" borderId="1" xfId="1" applyFont="1" applyFill="1" applyBorder="1" applyAlignment="1">
      <alignment horizontal="right"/>
    </xf>
    <xf numFmtId="9" fontId="3" fillId="0" borderId="0" xfId="0" applyNumberFormat="1" applyFont="1" applyAlignment="1">
      <alignment horizontal="right"/>
    </xf>
    <xf numFmtId="1" fontId="109" fillId="39" borderId="0" xfId="0" applyNumberFormat="1" applyFont="1" applyFill="1" applyProtection="1">
      <protection locked="0"/>
    </xf>
    <xf numFmtId="9" fontId="6" fillId="0" borderId="1" xfId="1" applyFont="1" applyFill="1" applyBorder="1"/>
    <xf numFmtId="9" fontId="3" fillId="0" borderId="0" xfId="0" applyNumberFormat="1" applyFont="1"/>
    <xf numFmtId="9" fontId="2" fillId="0" borderId="0" xfId="1" applyFont="1" applyAlignment="1">
      <alignment horizontal="right"/>
    </xf>
    <xf numFmtId="167" fontId="11" fillId="0" borderId="1" xfId="1" applyNumberFormat="1" applyFont="1" applyFill="1" applyBorder="1" applyAlignment="1">
      <alignment horizontal="right"/>
    </xf>
    <xf numFmtId="167" fontId="11" fillId="0" borderId="0" xfId="1" applyNumberFormat="1" applyFont="1" applyFill="1" applyBorder="1" applyAlignment="1">
      <alignment horizontal="right"/>
    </xf>
    <xf numFmtId="0" fontId="113" fillId="0" borderId="0" xfId="0" applyFont="1" applyProtection="1">
      <protection locked="0"/>
    </xf>
    <xf numFmtId="3" fontId="112" fillId="0" borderId="0" xfId="0" applyNumberFormat="1" applyFont="1" applyProtection="1">
      <protection locked="0"/>
    </xf>
    <xf numFmtId="235" fontId="109" fillId="39" borderId="0" xfId="0" applyNumberFormat="1" applyFont="1" applyFill="1" applyProtection="1">
      <protection locked="0"/>
    </xf>
    <xf numFmtId="0" fontId="111" fillId="0" borderId="0" xfId="520" applyFont="1" applyProtection="1">
      <protection locked="0"/>
    </xf>
    <xf numFmtId="0" fontId="111" fillId="0" borderId="0" xfId="523" applyFont="1" applyProtection="1">
      <protection locked="0"/>
    </xf>
    <xf numFmtId="0" fontId="111" fillId="0" borderId="0" xfId="521" applyFont="1" applyProtection="1">
      <protection locked="0"/>
    </xf>
    <xf numFmtId="17" fontId="8" fillId="0" borderId="0" xfId="2" applyNumberFormat="1" applyFont="1" applyAlignment="1">
      <alignment horizontal="right"/>
    </xf>
    <xf numFmtId="225" fontId="8" fillId="0" borderId="0" xfId="2" applyNumberFormat="1" applyFont="1"/>
    <xf numFmtId="0" fontId="8" fillId="0" borderId="0" xfId="2" applyFont="1" applyAlignment="1">
      <alignment horizontal="right" indent="1"/>
    </xf>
    <xf numFmtId="209" fontId="8" fillId="0" borderId="0" xfId="2" applyNumberFormat="1" applyFont="1" applyAlignment="1">
      <alignment horizontal="right"/>
    </xf>
    <xf numFmtId="210" fontId="2" fillId="0" borderId="0" xfId="2" applyNumberFormat="1" applyFont="1"/>
    <xf numFmtId="211" fontId="8" fillId="0" borderId="0" xfId="2" applyNumberFormat="1" applyFont="1"/>
    <xf numFmtId="212" fontId="8" fillId="0" borderId="0" xfId="2" applyNumberFormat="1" applyFont="1" applyAlignment="1">
      <alignment horizontal="right"/>
    </xf>
    <xf numFmtId="0" fontId="2" fillId="0" borderId="31" xfId="2" applyFont="1" applyBorder="1"/>
    <xf numFmtId="210" fontId="2" fillId="0" borderId="31" xfId="2" applyNumberFormat="1" applyFont="1" applyBorder="1"/>
    <xf numFmtId="213" fontId="8" fillId="0" borderId="0" xfId="2" applyNumberFormat="1" applyFont="1" applyAlignment="1">
      <alignment horizontal="right" indent="1"/>
    </xf>
    <xf numFmtId="214" fontId="8" fillId="0" borderId="0" xfId="2" applyNumberFormat="1" applyFont="1" applyAlignment="1">
      <alignment horizontal="right"/>
    </xf>
    <xf numFmtId="210" fontId="8" fillId="0" borderId="0" xfId="2" applyNumberFormat="1" applyFont="1"/>
    <xf numFmtId="3" fontId="8" fillId="0" borderId="0" xfId="2" applyNumberFormat="1" applyFont="1" applyAlignment="1">
      <alignment horizontal="right" indent="1"/>
    </xf>
    <xf numFmtId="215" fontId="8" fillId="0" borderId="0" xfId="2" applyNumberFormat="1" applyFont="1" applyAlignment="1">
      <alignment horizontal="right"/>
    </xf>
    <xf numFmtId="15" fontId="8" fillId="0" borderId="0" xfId="2" applyNumberFormat="1" applyFont="1" applyAlignment="1">
      <alignment horizontal="right" indent="1"/>
    </xf>
    <xf numFmtId="216" fontId="8" fillId="0" borderId="0" xfId="2" applyNumberFormat="1" applyFont="1" applyAlignment="1">
      <alignment horizontal="right"/>
    </xf>
    <xf numFmtId="0" fontId="8" fillId="0" borderId="0" xfId="2" quotePrefix="1" applyFont="1"/>
    <xf numFmtId="217" fontId="8" fillId="0" borderId="0" xfId="2" applyNumberFormat="1" applyFont="1"/>
    <xf numFmtId="218" fontId="2" fillId="0" borderId="0" xfId="2" applyNumberFormat="1" applyFont="1"/>
    <xf numFmtId="219" fontId="8" fillId="0" borderId="0" xfId="2" applyNumberFormat="1" applyFont="1"/>
    <xf numFmtId="220" fontId="2" fillId="0" borderId="0" xfId="2" applyNumberFormat="1" applyFont="1"/>
    <xf numFmtId="221" fontId="8" fillId="0" borderId="0" xfId="2" applyNumberFormat="1" applyFont="1"/>
    <xf numFmtId="222" fontId="8" fillId="0" borderId="0" xfId="2" applyNumberFormat="1" applyFont="1"/>
    <xf numFmtId="223" fontId="8" fillId="0" borderId="0" xfId="2" applyNumberFormat="1" applyFont="1"/>
    <xf numFmtId="224" fontId="8" fillId="0" borderId="0" xfId="2" applyNumberFormat="1" applyFont="1"/>
    <xf numFmtId="0" fontId="2" fillId="0" borderId="0" xfId="2" applyFont="1" applyAlignment="1">
      <alignment horizontal="left"/>
    </xf>
    <xf numFmtId="0" fontId="8" fillId="0" borderId="0" xfId="2" applyFont="1" applyAlignment="1">
      <alignment horizontal="left"/>
    </xf>
    <xf numFmtId="0" fontId="2" fillId="0" borderId="0" xfId="0" applyFont="1" applyAlignment="1">
      <alignment horizontal="right" indent="1"/>
    </xf>
    <xf numFmtId="213" fontId="8" fillId="0" borderId="0" xfId="2" applyNumberFormat="1" applyFont="1" applyAlignment="1">
      <alignment horizontal="right"/>
    </xf>
    <xf numFmtId="9" fontId="8" fillId="0" borderId="0" xfId="0" applyNumberFormat="1" applyFont="1" applyAlignment="1">
      <alignment horizontal="right" indent="1"/>
    </xf>
    <xf numFmtId="3" fontId="8" fillId="0" borderId="0" xfId="2" applyNumberFormat="1" applyFont="1" applyAlignment="1">
      <alignment horizontal="left"/>
    </xf>
    <xf numFmtId="4" fontId="8" fillId="0" borderId="0" xfId="2" applyNumberFormat="1" applyFont="1" applyAlignment="1">
      <alignment horizontal="left"/>
    </xf>
    <xf numFmtId="225" fontId="8" fillId="0" borderId="0" xfId="2" applyNumberFormat="1" applyFont="1" applyAlignment="1">
      <alignment horizontal="right"/>
    </xf>
    <xf numFmtId="213" fontId="2" fillId="0" borderId="0" xfId="2" applyNumberFormat="1" applyFont="1" applyAlignment="1">
      <alignment horizontal="right"/>
    </xf>
    <xf numFmtId="9" fontId="2" fillId="0" borderId="0" xfId="0" applyNumberFormat="1" applyFont="1" applyAlignment="1">
      <alignment horizontal="right" indent="1"/>
    </xf>
    <xf numFmtId="167" fontId="8" fillId="0" borderId="0" xfId="2" applyNumberFormat="1" applyFont="1" applyAlignment="1">
      <alignment horizontal="left"/>
    </xf>
    <xf numFmtId="226" fontId="8" fillId="0" borderId="0" xfId="2" applyNumberFormat="1" applyFont="1" applyAlignment="1">
      <alignment horizontal="right"/>
    </xf>
    <xf numFmtId="226" fontId="8" fillId="0" borderId="7" xfId="2" applyNumberFormat="1" applyFont="1" applyBorder="1" applyAlignment="1">
      <alignment horizontal="right"/>
    </xf>
    <xf numFmtId="227" fontId="8" fillId="0" borderId="0" xfId="2" applyNumberFormat="1" applyFont="1" applyAlignment="1">
      <alignment horizontal="right"/>
    </xf>
    <xf numFmtId="9" fontId="3" fillId="0" borderId="1" xfId="1" applyFont="1" applyBorder="1"/>
    <xf numFmtId="168" fontId="2" fillId="0" borderId="0" xfId="0" applyNumberFormat="1" applyFont="1" applyAlignment="1">
      <alignment horizontal="right"/>
    </xf>
    <xf numFmtId="0" fontId="4" fillId="41" borderId="0" xfId="2" applyFont="1" applyFill="1"/>
    <xf numFmtId="208" fontId="4" fillId="41" borderId="0" xfId="2" applyNumberFormat="1" applyFont="1" applyFill="1" applyAlignment="1">
      <alignment horizontal="right"/>
    </xf>
    <xf numFmtId="0" fontId="4" fillId="41" borderId="0" xfId="2" applyFont="1" applyFill="1" applyAlignment="1">
      <alignment horizontal="right"/>
    </xf>
    <xf numFmtId="168" fontId="1" fillId="0" borderId="0" xfId="0" applyNumberFormat="1" applyFont="1" applyAlignment="1">
      <alignment horizontal="right"/>
    </xf>
    <xf numFmtId="9" fontId="3" fillId="0" borderId="0" xfId="1" applyFont="1"/>
    <xf numFmtId="167" fontId="2" fillId="0" borderId="0" xfId="1" applyNumberFormat="1" applyFont="1" applyBorder="1" applyAlignment="1">
      <alignment horizontal="right"/>
    </xf>
    <xf numFmtId="168" fontId="1" fillId="0" borderId="0" xfId="0" applyNumberFormat="1" applyFont="1"/>
    <xf numFmtId="10" fontId="1" fillId="0" borderId="0" xfId="1" applyNumberFormat="1" applyFont="1" applyFill="1" applyBorder="1" applyAlignment="1">
      <alignment horizontal="right"/>
    </xf>
    <xf numFmtId="10" fontId="1" fillId="0" borderId="1" xfId="1" applyNumberFormat="1" applyFont="1" applyFill="1" applyBorder="1" applyAlignment="1">
      <alignment horizontal="right"/>
    </xf>
    <xf numFmtId="3" fontId="6" fillId="4" borderId="0" xfId="0" applyNumberFormat="1" applyFont="1" applyFill="1" applyAlignment="1">
      <alignment horizontal="right"/>
    </xf>
    <xf numFmtId="3" fontId="8" fillId="4" borderId="0" xfId="0" applyNumberFormat="1" applyFont="1" applyFill="1" applyAlignment="1">
      <alignment horizontal="right"/>
    </xf>
    <xf numFmtId="168" fontId="1" fillId="0" borderId="1" xfId="0" applyNumberFormat="1" applyFont="1" applyBorder="1"/>
    <xf numFmtId="10" fontId="6" fillId="0" borderId="0" xfId="3" applyNumberFormat="1" applyFont="1" applyFill="1" applyBorder="1" applyAlignment="1">
      <alignment horizontal="right"/>
    </xf>
    <xf numFmtId="10" fontId="6" fillId="0" borderId="1" xfId="4" applyNumberFormat="1" applyFont="1" applyFill="1" applyBorder="1" applyAlignment="1">
      <alignment horizontal="right"/>
    </xf>
    <xf numFmtId="10" fontId="6" fillId="0" borderId="0" xfId="4" applyNumberFormat="1" applyFont="1" applyFill="1" applyBorder="1" applyAlignment="1">
      <alignment horizontal="right"/>
    </xf>
    <xf numFmtId="0" fontId="115" fillId="5" borderId="0" xfId="2" applyFont="1" applyFill="1" applyAlignment="1">
      <alignment horizontal="right"/>
    </xf>
    <xf numFmtId="2" fontId="116" fillId="5" borderId="1" xfId="2" applyNumberFormat="1" applyFont="1" applyFill="1" applyBorder="1" applyAlignment="1">
      <alignment horizontal="right"/>
    </xf>
    <xf numFmtId="15" fontId="114" fillId="5" borderId="4" xfId="2" applyNumberFormat="1" applyFont="1" applyFill="1" applyBorder="1" applyAlignment="1">
      <alignment horizontal="right"/>
    </xf>
    <xf numFmtId="167" fontId="114" fillId="5" borderId="1" xfId="3" applyNumberFormat="1" applyFont="1" applyFill="1" applyBorder="1" applyAlignment="1">
      <alignment horizontal="right"/>
    </xf>
    <xf numFmtId="172" fontId="11" fillId="5" borderId="8" xfId="4" applyNumberFormat="1" applyFont="1" applyFill="1" applyBorder="1" applyAlignment="1">
      <alignment horizontal="right"/>
    </xf>
    <xf numFmtId="15" fontId="1" fillId="5" borderId="0" xfId="2" applyNumberFormat="1" applyFont="1" applyFill="1" applyAlignment="1">
      <alignment horizontal="right"/>
    </xf>
    <xf numFmtId="15" fontId="1" fillId="5" borderId="7" xfId="2" applyNumberFormat="1" applyFont="1" applyFill="1" applyBorder="1" applyAlignment="1">
      <alignment horizontal="right"/>
    </xf>
    <xf numFmtId="171" fontId="114" fillId="42" borderId="0" xfId="0" applyNumberFormat="1" applyFont="1" applyFill="1" applyAlignment="1">
      <alignment horizontal="right"/>
    </xf>
    <xf numFmtId="169" fontId="114" fillId="42" borderId="0" xfId="1" applyNumberFormat="1" applyFont="1" applyFill="1" applyBorder="1" applyAlignment="1">
      <alignment horizontal="right"/>
    </xf>
    <xf numFmtId="0" fontId="117" fillId="0" borderId="0" xfId="524" applyAlignment="1">
      <alignment vertical="center"/>
    </xf>
    <xf numFmtId="0" fontId="118" fillId="0" borderId="0" xfId="524" applyFont="1" applyAlignment="1">
      <alignment vertical="center"/>
    </xf>
    <xf numFmtId="0" fontId="117" fillId="0" borderId="0" xfId="524" applyAlignment="1">
      <alignment horizontal="left" vertical="center" indent="2"/>
    </xf>
    <xf numFmtId="236" fontId="117" fillId="0" borderId="0" xfId="524" applyNumberFormat="1" applyAlignment="1">
      <alignment horizontal="left" vertical="center"/>
    </xf>
    <xf numFmtId="171" fontId="117" fillId="0" borderId="0" xfId="524" applyNumberFormat="1" applyAlignment="1">
      <alignment horizontal="left" vertical="center"/>
    </xf>
    <xf numFmtId="1" fontId="117" fillId="0" borderId="0" xfId="524" applyNumberFormat="1" applyAlignment="1">
      <alignment horizontal="left" vertical="center"/>
    </xf>
    <xf numFmtId="3" fontId="117" fillId="0" borderId="0" xfId="524" applyNumberFormat="1" applyAlignment="1">
      <alignment horizontal="left" vertical="center"/>
    </xf>
    <xf numFmtId="0" fontId="120" fillId="0" borderId="0" xfId="524" applyFont="1" applyAlignment="1">
      <alignment horizontal="left" vertical="center" indent="1"/>
    </xf>
    <xf numFmtId="0" fontId="117" fillId="0" borderId="0" xfId="524" applyAlignment="1">
      <alignment horizontal="left" vertical="center" indent="3"/>
    </xf>
    <xf numFmtId="0" fontId="117" fillId="0" borderId="0" xfId="524" quotePrefix="1" applyAlignment="1">
      <alignment vertical="center"/>
    </xf>
    <xf numFmtId="0" fontId="121" fillId="0" borderId="0" xfId="526" applyAlignment="1">
      <alignment vertical="center"/>
    </xf>
    <xf numFmtId="9" fontId="1" fillId="4" borderId="0" xfId="1" applyFont="1" applyFill="1" applyBorder="1" applyAlignment="1">
      <alignment horizontal="right"/>
    </xf>
    <xf numFmtId="9" fontId="1" fillId="4" borderId="1" xfId="1" applyFont="1" applyFill="1" applyBorder="1" applyAlignment="1">
      <alignment horizontal="right"/>
    </xf>
    <xf numFmtId="0" fontId="3" fillId="0" borderId="1" xfId="0" applyFont="1" applyBorder="1"/>
    <xf numFmtId="3" fontId="11" fillId="0" borderId="1" xfId="0" applyNumberFormat="1" applyFont="1" applyBorder="1" applyAlignment="1">
      <alignment horizontal="right"/>
    </xf>
    <xf numFmtId="167" fontId="11" fillId="0" borderId="1" xfId="1" applyNumberFormat="1" applyFont="1" applyBorder="1" applyAlignment="1">
      <alignment horizontal="right"/>
    </xf>
    <xf numFmtId="10" fontId="11" fillId="0" borderId="1" xfId="1" applyNumberFormat="1" applyFont="1" applyBorder="1" applyAlignment="1">
      <alignment horizontal="right"/>
    </xf>
    <xf numFmtId="169" fontId="11" fillId="0" borderId="1" xfId="0" applyNumberFormat="1" applyFont="1" applyBorder="1" applyAlignment="1">
      <alignment horizontal="right"/>
    </xf>
    <xf numFmtId="168" fontId="11" fillId="0" borderId="1" xfId="1" applyNumberFormat="1" applyFont="1" applyBorder="1" applyAlignment="1">
      <alignment horizontal="right"/>
    </xf>
    <xf numFmtId="168" fontId="1" fillId="0" borderId="1" xfId="0" applyNumberFormat="1" applyFont="1" applyBorder="1" applyAlignment="1">
      <alignment horizontal="right"/>
    </xf>
    <xf numFmtId="10" fontId="1" fillId="0" borderId="1" xfId="1" applyNumberFormat="1" applyFont="1" applyBorder="1"/>
    <xf numFmtId="9" fontId="11" fillId="0" borderId="0" xfId="1" applyFont="1" applyFill="1" applyBorder="1" applyAlignment="1">
      <alignment horizontal="right"/>
    </xf>
    <xf numFmtId="1" fontId="2" fillId="0" borderId="0" xfId="2" applyNumberFormat="1" applyFont="1"/>
    <xf numFmtId="9" fontId="6" fillId="4" borderId="1" xfId="1" applyFont="1" applyFill="1" applyBorder="1" applyAlignment="1">
      <alignment horizontal="right"/>
    </xf>
    <xf numFmtId="1" fontId="8" fillId="0" borderId="0" xfId="1" applyNumberFormat="1" applyFont="1"/>
    <xf numFmtId="1" fontId="8" fillId="0" borderId="0" xfId="2" applyNumberFormat="1" applyFont="1" applyAlignment="1">
      <alignment horizontal="right"/>
    </xf>
    <xf numFmtId="167" fontId="1" fillId="0" borderId="1" xfId="1" applyNumberFormat="1" applyFont="1" applyFill="1" applyBorder="1" applyAlignment="1">
      <alignment horizontal="right"/>
    </xf>
    <xf numFmtId="167" fontId="3" fillId="0" borderId="1" xfId="1" applyNumberFormat="1" applyFont="1" applyBorder="1" applyAlignment="1">
      <alignment horizontal="right"/>
    </xf>
    <xf numFmtId="167" fontId="6" fillId="0" borderId="1" xfId="1" applyNumberFormat="1" applyFont="1" applyFill="1" applyBorder="1"/>
    <xf numFmtId="167" fontId="6" fillId="0" borderId="0" xfId="1" applyNumberFormat="1" applyFont="1"/>
    <xf numFmtId="167" fontId="6" fillId="0" borderId="1" xfId="1" applyNumberFormat="1" applyFont="1" applyBorder="1"/>
    <xf numFmtId="167" fontId="8" fillId="0" borderId="0" xfId="3" applyNumberFormat="1" applyFont="1" applyFill="1"/>
    <xf numFmtId="237" fontId="8" fillId="0" borderId="0" xfId="2" applyNumberFormat="1" applyFont="1"/>
    <xf numFmtId="14" fontId="8" fillId="0" borderId="0" xfId="2" applyNumberFormat="1" applyFont="1"/>
    <xf numFmtId="0" fontId="24" fillId="0" borderId="0" xfId="0" applyFont="1"/>
    <xf numFmtId="0" fontId="91" fillId="0" borderId="0" xfId="0" applyFont="1"/>
    <xf numFmtId="0" fontId="123" fillId="0" borderId="0" xfId="0" applyFont="1"/>
    <xf numFmtId="0" fontId="122" fillId="0" borderId="0" xfId="0" applyFont="1"/>
    <xf numFmtId="0" fontId="124" fillId="0" borderId="0" xfId="0" applyFont="1"/>
    <xf numFmtId="10" fontId="0" fillId="0" borderId="0" xfId="0" applyNumberFormat="1"/>
    <xf numFmtId="0" fontId="0" fillId="0" borderId="7" xfId="0" applyBorder="1"/>
    <xf numFmtId="0" fontId="91" fillId="0" borderId="7" xfId="0" applyFont="1" applyBorder="1"/>
    <xf numFmtId="0" fontId="4" fillId="0" borderId="0" xfId="0" applyFont="1" applyAlignment="1">
      <alignment horizontal="right"/>
    </xf>
    <xf numFmtId="166" fontId="2" fillId="0" borderId="0" xfId="0" applyNumberFormat="1" applyFont="1"/>
    <xf numFmtId="3" fontId="0" fillId="0" borderId="0" xfId="0" applyNumberFormat="1"/>
    <xf numFmtId="167" fontId="0" fillId="0" borderId="0" xfId="1" applyNumberFormat="1" applyFont="1"/>
    <xf numFmtId="167" fontId="0" fillId="0" borderId="0" xfId="0" applyNumberFormat="1"/>
    <xf numFmtId="167" fontId="122" fillId="0" borderId="0" xfId="1" applyNumberFormat="1" applyFont="1"/>
    <xf numFmtId="3" fontId="122" fillId="0" borderId="0" xfId="0" applyNumberFormat="1" applyFont="1"/>
    <xf numFmtId="2" fontId="0" fillId="0" borderId="0" xfId="0" applyNumberFormat="1"/>
    <xf numFmtId="0" fontId="126" fillId="0" borderId="2" xfId="0" applyFont="1" applyBorder="1"/>
    <xf numFmtId="0" fontId="24" fillId="0" borderId="3" xfId="0" applyFont="1" applyBorder="1"/>
    <xf numFmtId="0" fontId="24" fillId="0" borderId="4" xfId="0" applyFont="1" applyBorder="1"/>
    <xf numFmtId="0" fontId="24" fillId="0" borderId="5" xfId="0" applyFont="1" applyBorder="1"/>
    <xf numFmtId="171" fontId="24" fillId="0" borderId="1" xfId="0" applyNumberFormat="1" applyFont="1" applyBorder="1"/>
    <xf numFmtId="167" fontId="24" fillId="0" borderId="1" xfId="3" applyNumberFormat="1" applyFont="1" applyBorder="1"/>
    <xf numFmtId="0" fontId="24" fillId="0" borderId="1" xfId="0" applyFont="1" applyBorder="1"/>
    <xf numFmtId="0" fontId="24" fillId="0" borderId="6" xfId="0" applyFont="1" applyBorder="1"/>
    <xf numFmtId="0" fontId="24" fillId="0" borderId="7" xfId="0" applyFont="1" applyBorder="1"/>
    <xf numFmtId="167" fontId="24" fillId="0" borderId="8" xfId="3" applyNumberFormat="1" applyFont="1" applyBorder="1"/>
    <xf numFmtId="171" fontId="24" fillId="0" borderId="0" xfId="0" applyNumberFormat="1" applyFont="1"/>
    <xf numFmtId="171" fontId="127" fillId="0" borderId="0" xfId="0" applyNumberFormat="1" applyFont="1"/>
    <xf numFmtId="0" fontId="0" fillId="4" borderId="0" xfId="0" quotePrefix="1" applyFill="1"/>
    <xf numFmtId="0" fontId="0" fillId="0" borderId="1" xfId="0" applyBorder="1"/>
    <xf numFmtId="3" fontId="0" fillId="0" borderId="1" xfId="0" applyNumberFormat="1" applyBorder="1"/>
    <xf numFmtId="167" fontId="122" fillId="0" borderId="1" xfId="1" applyNumberFormat="1" applyFont="1" applyBorder="1"/>
    <xf numFmtId="3" fontId="122" fillId="0" borderId="1" xfId="0" applyNumberFormat="1" applyFont="1" applyBorder="1"/>
    <xf numFmtId="167" fontId="0" fillId="0" borderId="1" xfId="1" applyNumberFormat="1" applyFont="1" applyBorder="1"/>
    <xf numFmtId="167" fontId="0" fillId="0" borderId="1" xfId="0" applyNumberFormat="1" applyBorder="1"/>
    <xf numFmtId="2" fontId="0" fillId="0" borderId="1" xfId="0" applyNumberFormat="1" applyBorder="1"/>
    <xf numFmtId="0" fontId="0" fillId="0" borderId="8" xfId="0" applyBorder="1"/>
    <xf numFmtId="3" fontId="125" fillId="0" borderId="0" xfId="0" applyNumberFormat="1" applyFont="1" applyAlignment="1">
      <alignment horizontal="right"/>
    </xf>
    <xf numFmtId="167" fontId="6" fillId="0" borderId="0" xfId="1" applyNumberFormat="1" applyFont="1" applyBorder="1"/>
    <xf numFmtId="9" fontId="6" fillId="4" borderId="0" xfId="1" applyFont="1" applyFill="1" applyBorder="1" applyAlignment="1">
      <alignment horizontal="right"/>
    </xf>
    <xf numFmtId="0" fontId="126" fillId="0" borderId="5" xfId="0" applyFont="1" applyBorder="1"/>
    <xf numFmtId="9" fontId="122" fillId="0" borderId="1" xfId="1" applyFont="1" applyBorder="1"/>
    <xf numFmtId="9" fontId="122" fillId="0" borderId="0" xfId="1" applyFont="1"/>
    <xf numFmtId="167" fontId="0" fillId="4" borderId="0" xfId="1" applyNumberFormat="1" applyFont="1" applyFill="1"/>
    <xf numFmtId="3" fontId="0" fillId="4" borderId="0" xfId="0" applyNumberFormat="1" applyFill="1"/>
    <xf numFmtId="9" fontId="113" fillId="0" borderId="0" xfId="1" applyFont="1"/>
    <xf numFmtId="9" fontId="113" fillId="0" borderId="1" xfId="1" applyFont="1" applyBorder="1"/>
    <xf numFmtId="3" fontId="125" fillId="0" borderId="1" xfId="0" applyNumberFormat="1" applyFont="1" applyBorder="1" applyAlignment="1">
      <alignment horizontal="right"/>
    </xf>
    <xf numFmtId="10" fontId="1" fillId="0" borderId="1" xfId="1" applyNumberFormat="1" applyFont="1" applyFill="1" applyBorder="1" applyAlignment="1">
      <alignment horizontal="left"/>
    </xf>
    <xf numFmtId="167" fontId="0" fillId="0" borderId="0" xfId="1" applyNumberFormat="1" applyFont="1" applyBorder="1"/>
    <xf numFmtId="168" fontId="0" fillId="0" borderId="0" xfId="0" applyNumberFormat="1"/>
    <xf numFmtId="0" fontId="0" fillId="0" borderId="5" xfId="0" applyBorder="1"/>
    <xf numFmtId="0" fontId="4" fillId="2" borderId="34" xfId="0" applyFont="1" applyFill="1" applyBorder="1" applyAlignment="1">
      <alignment horizontal="right"/>
    </xf>
    <xf numFmtId="166" fontId="2" fillId="3" borderId="34" xfId="0" applyNumberFormat="1" applyFont="1" applyFill="1" applyBorder="1"/>
    <xf numFmtId="168" fontId="11" fillId="0" borderId="0" xfId="0" applyNumberFormat="1" applyFont="1" applyAlignment="1">
      <alignment horizontal="right"/>
    </xf>
    <xf numFmtId="3" fontId="6" fillId="4" borderId="1" xfId="0" applyNumberFormat="1" applyFont="1" applyFill="1" applyBorder="1"/>
    <xf numFmtId="167" fontId="11" fillId="0" borderId="1" xfId="0" applyNumberFormat="1" applyFont="1" applyBorder="1"/>
    <xf numFmtId="167" fontId="8" fillId="0" borderId="1" xfId="1" applyNumberFormat="1" applyFont="1" applyBorder="1"/>
    <xf numFmtId="0" fontId="24" fillId="0" borderId="0" xfId="0" applyFont="1" applyAlignment="1">
      <alignment vertical="center"/>
    </xf>
    <xf numFmtId="3" fontId="111" fillId="0" borderId="0" xfId="0" applyNumberFormat="1" applyFont="1" applyAlignment="1">
      <alignment vertical="center"/>
    </xf>
    <xf numFmtId="3" fontId="111" fillId="0" borderId="34" xfId="0" applyNumberFormat="1" applyFont="1" applyBorder="1" applyAlignment="1">
      <alignment vertical="center"/>
    </xf>
    <xf numFmtId="0" fontId="111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128" fillId="0" borderId="0" xfId="0" applyFont="1" applyAlignment="1">
      <alignment vertical="center"/>
    </xf>
    <xf numFmtId="3" fontId="128" fillId="0" borderId="0" xfId="0" applyNumberFormat="1" applyFont="1" applyAlignment="1">
      <alignment vertical="center"/>
    </xf>
    <xf numFmtId="3" fontId="128" fillId="0" borderId="34" xfId="0" applyNumberFormat="1" applyFont="1" applyBorder="1" applyAlignment="1">
      <alignment vertical="center"/>
    </xf>
    <xf numFmtId="0" fontId="111" fillId="0" borderId="34" xfId="0" applyFont="1" applyBorder="1" applyAlignment="1">
      <alignment vertical="center"/>
    </xf>
    <xf numFmtId="0" fontId="129" fillId="0" borderId="2" xfId="0" applyFont="1" applyBorder="1" applyAlignment="1">
      <alignment vertical="center"/>
    </xf>
    <xf numFmtId="0" fontId="111" fillId="0" borderId="3" xfId="0" applyFont="1" applyBorder="1" applyAlignment="1">
      <alignment vertical="center"/>
    </xf>
    <xf numFmtId="0" fontId="111" fillId="0" borderId="4" xfId="0" applyFont="1" applyBorder="1" applyAlignment="1">
      <alignment vertical="center"/>
    </xf>
    <xf numFmtId="167" fontId="111" fillId="0" borderId="0" xfId="1" applyNumberFormat="1" applyFont="1" applyFill="1" applyBorder="1" applyAlignment="1">
      <alignment vertical="center"/>
    </xf>
    <xf numFmtId="167" fontId="111" fillId="0" borderId="1" xfId="1" applyNumberFormat="1" applyFont="1" applyFill="1" applyBorder="1" applyAlignment="1">
      <alignment vertical="center"/>
    </xf>
    <xf numFmtId="0" fontId="111" fillId="0" borderId="5" xfId="0" applyFont="1" applyBorder="1" applyAlignment="1">
      <alignment vertical="center"/>
    </xf>
    <xf numFmtId="2" fontId="111" fillId="0" borderId="0" xfId="1" applyNumberFormat="1" applyFont="1" applyFill="1" applyBorder="1" applyAlignment="1">
      <alignment vertical="center"/>
    </xf>
    <xf numFmtId="2" fontId="111" fillId="0" borderId="1" xfId="1" applyNumberFormat="1" applyFont="1" applyFill="1" applyBorder="1" applyAlignment="1">
      <alignment vertical="center"/>
    </xf>
    <xf numFmtId="0" fontId="111" fillId="0" borderId="5" xfId="0" applyFont="1" applyBorder="1"/>
    <xf numFmtId="0" fontId="111" fillId="0" borderId="6" xfId="0" applyFont="1" applyBorder="1" applyAlignment="1">
      <alignment vertical="center"/>
    </xf>
    <xf numFmtId="167" fontId="111" fillId="0" borderId="7" xfId="1" applyNumberFormat="1" applyFont="1" applyFill="1" applyBorder="1" applyAlignment="1">
      <alignment vertical="center"/>
    </xf>
    <xf numFmtId="167" fontId="111" fillId="0" borderId="8" xfId="1" applyNumberFormat="1" applyFont="1" applyFill="1" applyBorder="1" applyAlignment="1">
      <alignment vertical="center"/>
    </xf>
    <xf numFmtId="0" fontId="19" fillId="0" borderId="0" xfId="0" applyFont="1" applyAlignment="1">
      <alignment vertical="center"/>
    </xf>
    <xf numFmtId="0" fontId="112" fillId="0" borderId="0" xfId="0" applyFont="1" applyAlignment="1">
      <alignment vertical="center"/>
    </xf>
    <xf numFmtId="10" fontId="6" fillId="0" borderId="1" xfId="1" applyNumberFormat="1" applyFont="1" applyFill="1" applyBorder="1" applyAlignment="1">
      <alignment horizontal="right"/>
    </xf>
    <xf numFmtId="10" fontId="1" fillId="0" borderId="1" xfId="0" applyNumberFormat="1" applyFont="1" applyBorder="1" applyAlignment="1">
      <alignment horizontal="right"/>
    </xf>
    <xf numFmtId="10" fontId="1" fillId="0" borderId="0" xfId="0" applyNumberFormat="1" applyFont="1" applyAlignment="1">
      <alignment horizontal="right"/>
    </xf>
    <xf numFmtId="14" fontId="0" fillId="0" borderId="0" xfId="0" applyNumberFormat="1"/>
    <xf numFmtId="171" fontId="130" fillId="0" borderId="0" xfId="0" applyNumberFormat="1" applyFont="1" applyAlignment="1">
      <alignment horizontal="center" vertical="center"/>
    </xf>
    <xf numFmtId="4" fontId="0" fillId="0" borderId="0" xfId="0" applyNumberFormat="1"/>
    <xf numFmtId="0" fontId="131" fillId="0" borderId="0" xfId="0" applyFont="1" applyAlignment="1">
      <alignment vertical="center"/>
    </xf>
    <xf numFmtId="0" fontId="132" fillId="0" borderId="0" xfId="426" applyFont="1" applyAlignment="1">
      <alignment vertical="center"/>
    </xf>
    <xf numFmtId="3" fontId="133" fillId="0" borderId="0" xfId="0" applyNumberFormat="1" applyFont="1" applyAlignment="1">
      <alignment vertical="center"/>
    </xf>
    <xf numFmtId="0" fontId="133" fillId="0" borderId="0" xfId="0" applyFont="1" applyAlignment="1">
      <alignment vertical="center"/>
    </xf>
    <xf numFmtId="0" fontId="133" fillId="0" borderId="0" xfId="0" applyFont="1" applyAlignment="1">
      <alignment horizontal="center" vertical="center"/>
    </xf>
    <xf numFmtId="0" fontId="133" fillId="0" borderId="0" xfId="0" applyFont="1" applyAlignment="1">
      <alignment horizontal="left" vertical="center"/>
    </xf>
    <xf numFmtId="0" fontId="133" fillId="0" borderId="0" xfId="426" applyFont="1" applyAlignment="1">
      <alignment vertical="center"/>
    </xf>
    <xf numFmtId="0" fontId="132" fillId="0" borderId="0" xfId="0" applyFont="1" applyAlignment="1">
      <alignment vertical="center"/>
    </xf>
    <xf numFmtId="171" fontId="132" fillId="0" borderId="0" xfId="0" applyNumberFormat="1" applyFont="1" applyAlignment="1">
      <alignment horizontal="center" vertical="center"/>
    </xf>
    <xf numFmtId="0" fontId="132" fillId="0" borderId="0" xfId="0" applyFont="1" applyAlignment="1">
      <alignment horizontal="left" vertical="center"/>
    </xf>
    <xf numFmtId="168" fontId="133" fillId="0" borderId="0" xfId="0" applyNumberFormat="1" applyFont="1" applyAlignment="1">
      <alignment horizontal="center" vertical="center"/>
    </xf>
    <xf numFmtId="167" fontId="133" fillId="0" borderId="0" xfId="1" applyNumberFormat="1" applyFont="1" applyAlignment="1">
      <alignment horizontal="center" vertical="center"/>
    </xf>
    <xf numFmtId="169" fontId="133" fillId="0" borderId="0" xfId="0" applyNumberFormat="1" applyFont="1" applyAlignment="1">
      <alignment horizontal="center" vertical="center"/>
    </xf>
    <xf numFmtId="0" fontId="133" fillId="0" borderId="32" xfId="426" applyFont="1" applyBorder="1" applyAlignment="1">
      <alignment vertical="center"/>
    </xf>
    <xf numFmtId="3" fontId="133" fillId="0" borderId="32" xfId="0" applyNumberFormat="1" applyFont="1" applyBorder="1" applyAlignment="1">
      <alignment vertical="center"/>
    </xf>
    <xf numFmtId="3" fontId="132" fillId="0" borderId="0" xfId="0" applyNumberFormat="1" applyFont="1" applyAlignment="1">
      <alignment vertical="center"/>
    </xf>
    <xf numFmtId="0" fontId="132" fillId="0" borderId="0" xfId="0" applyFont="1" applyAlignment="1">
      <alignment horizontal="center" vertical="center"/>
    </xf>
    <xf numFmtId="9" fontId="133" fillId="0" borderId="0" xfId="0" applyNumberFormat="1" applyFont="1" applyAlignment="1">
      <alignment horizontal="center" vertical="center"/>
    </xf>
    <xf numFmtId="171" fontId="133" fillId="0" borderId="0" xfId="0" applyNumberFormat="1" applyFont="1" applyAlignment="1">
      <alignment horizontal="center" vertical="center"/>
    </xf>
    <xf numFmtId="238" fontId="131" fillId="0" borderId="0" xfId="0" applyNumberFormat="1" applyFont="1" applyAlignment="1">
      <alignment horizontal="center" vertical="center"/>
    </xf>
    <xf numFmtId="9" fontId="132" fillId="0" borderId="0" xfId="0" applyNumberFormat="1" applyFont="1" applyAlignment="1">
      <alignment horizontal="center" vertical="center"/>
    </xf>
    <xf numFmtId="0" fontId="109" fillId="0" borderId="0" xfId="0" applyFont="1"/>
    <xf numFmtId="0" fontId="132" fillId="0" borderId="31" xfId="426" applyFont="1" applyBorder="1" applyAlignment="1">
      <alignment vertical="center"/>
    </xf>
    <xf numFmtId="3" fontId="132" fillId="0" borderId="31" xfId="0" applyNumberFormat="1" applyFont="1" applyBorder="1" applyAlignment="1">
      <alignment vertical="center"/>
    </xf>
    <xf numFmtId="238" fontId="134" fillId="0" borderId="0" xfId="0" applyNumberFormat="1" applyFont="1" applyAlignment="1">
      <alignment horizontal="center" vertical="center"/>
    </xf>
    <xf numFmtId="0" fontId="135" fillId="0" borderId="0" xfId="0" applyFont="1" applyAlignment="1">
      <alignment vertical="center"/>
    </xf>
    <xf numFmtId="238" fontId="131" fillId="0" borderId="0" xfId="0" applyNumberFormat="1" applyFont="1" applyAlignment="1">
      <alignment vertical="center"/>
    </xf>
    <xf numFmtId="167" fontId="131" fillId="0" borderId="0" xfId="1" applyNumberFormat="1" applyFont="1" applyBorder="1" applyAlignment="1">
      <alignment vertical="center"/>
    </xf>
    <xf numFmtId="0" fontId="133" fillId="0" borderId="32" xfId="0" applyFont="1" applyBorder="1" applyAlignment="1">
      <alignment vertical="center"/>
    </xf>
    <xf numFmtId="4" fontId="132" fillId="0" borderId="0" xfId="0" applyNumberFormat="1" applyFont="1" applyAlignment="1">
      <alignment vertical="center"/>
    </xf>
    <xf numFmtId="0" fontId="133" fillId="0" borderId="0" xfId="426" quotePrefix="1" applyFont="1" applyAlignment="1">
      <alignment vertical="center"/>
    </xf>
    <xf numFmtId="167" fontId="133" fillId="0" borderId="0" xfId="1" applyNumberFormat="1" applyFont="1" applyBorder="1" applyAlignment="1">
      <alignment vertical="center"/>
    </xf>
    <xf numFmtId="9" fontId="133" fillId="0" borderId="0" xfId="1" applyFont="1" applyBorder="1" applyAlignment="1">
      <alignment vertical="center"/>
    </xf>
    <xf numFmtId="9" fontId="133" fillId="0" borderId="0" xfId="0" applyNumberFormat="1" applyFont="1" applyAlignment="1">
      <alignment vertical="center"/>
    </xf>
    <xf numFmtId="0" fontId="135" fillId="0" borderId="0" xfId="426" applyFont="1" applyAlignment="1">
      <alignment vertical="center"/>
    </xf>
    <xf numFmtId="0" fontId="133" fillId="0" borderId="0" xfId="2" quotePrefix="1" applyFont="1" applyAlignment="1">
      <alignment vertical="center"/>
    </xf>
    <xf numFmtId="0" fontId="133" fillId="0" borderId="0" xfId="2" applyFont="1" applyAlignment="1">
      <alignment vertical="center"/>
    </xf>
    <xf numFmtId="0" fontId="132" fillId="0" borderId="31" xfId="2" applyFont="1" applyBorder="1" applyAlignment="1">
      <alignment vertical="center"/>
    </xf>
    <xf numFmtId="3" fontId="132" fillId="0" borderId="33" xfId="0" applyNumberFormat="1" applyFont="1" applyBorder="1" applyAlignment="1">
      <alignment vertical="center"/>
    </xf>
    <xf numFmtId="10" fontId="133" fillId="0" borderId="0" xfId="0" applyNumberFormat="1" applyFont="1" applyAlignment="1">
      <alignment vertical="center"/>
    </xf>
    <xf numFmtId="167" fontId="133" fillId="0" borderId="0" xfId="0" applyNumberFormat="1" applyFont="1" applyAlignment="1">
      <alignment vertical="center"/>
    </xf>
    <xf numFmtId="0" fontId="132" fillId="0" borderId="7" xfId="0" applyFont="1" applyBorder="1" applyAlignment="1">
      <alignment vertical="center"/>
    </xf>
    <xf numFmtId="3" fontId="132" fillId="0" borderId="7" xfId="0" applyNumberFormat="1" applyFont="1" applyBorder="1" applyAlignment="1">
      <alignment vertical="center"/>
    </xf>
    <xf numFmtId="0" fontId="131" fillId="0" borderId="7" xfId="0" applyFont="1" applyBorder="1" applyAlignment="1">
      <alignment vertical="center"/>
    </xf>
    <xf numFmtId="0" fontId="133" fillId="0" borderId="7" xfId="0" applyFont="1" applyBorder="1" applyAlignment="1">
      <alignment vertical="center"/>
    </xf>
    <xf numFmtId="0" fontId="136" fillId="41" borderId="0" xfId="426" applyFont="1" applyFill="1" applyAlignment="1">
      <alignment vertical="center"/>
    </xf>
    <xf numFmtId="208" fontId="136" fillId="41" borderId="0" xfId="426" applyNumberFormat="1" applyFont="1" applyFill="1" applyAlignment="1">
      <alignment horizontal="right" vertical="center"/>
    </xf>
    <xf numFmtId="0" fontId="136" fillId="41" borderId="0" xfId="426" applyFont="1" applyFill="1" applyAlignment="1">
      <alignment horizontal="right" vertical="center"/>
    </xf>
    <xf numFmtId="0" fontId="136" fillId="41" borderId="0" xfId="426" applyFont="1" applyFill="1" applyAlignment="1">
      <alignment horizontal="left" vertical="center"/>
    </xf>
    <xf numFmtId="167" fontId="3" fillId="0" borderId="0" xfId="1" applyNumberFormat="1" applyFont="1"/>
    <xf numFmtId="0" fontId="119" fillId="2" borderId="0" xfId="525" quotePrefix="1" applyFont="1" applyFill="1" applyAlignment="1">
      <alignment horizontal="left" vertical="center"/>
    </xf>
    <xf numFmtId="0" fontId="133" fillId="0" borderId="0" xfId="0" applyFont="1" applyAlignment="1">
      <alignment horizontal="center" vertical="center"/>
    </xf>
    <xf numFmtId="0" fontId="136" fillId="41" borderId="0" xfId="426" applyFont="1" applyFill="1" applyAlignment="1">
      <alignment horizontal="left" vertical="center"/>
    </xf>
    <xf numFmtId="0" fontId="136" fillId="43" borderId="0" xfId="426" applyFont="1" applyFill="1" applyAlignment="1">
      <alignment horizontal="left" vertical="center"/>
    </xf>
    <xf numFmtId="0" fontId="136" fillId="43" borderId="0" xfId="426" applyFont="1" applyFill="1" applyAlignment="1">
      <alignment horizontal="right" vertical="center"/>
    </xf>
    <xf numFmtId="0" fontId="133" fillId="0" borderId="0" xfId="0" applyFont="1" applyAlignment="1">
      <alignment horizontal="left" vertical="center"/>
    </xf>
    <xf numFmtId="0" fontId="132" fillId="0" borderId="0" xfId="0" applyFont="1" applyAlignment="1">
      <alignment horizontal="left" vertical="center"/>
    </xf>
  </cellXfs>
  <cellStyles count="527">
    <cellStyle name="_x000a_386grabber=M" xfId="6" xr:uid="{00000000-0005-0000-0000-000000000000}"/>
    <cellStyle name="_%(SignOnly)" xfId="7" xr:uid="{00000000-0005-0000-0000-000001000000}"/>
    <cellStyle name="_%(SignSpaceOnly)" xfId="8" xr:uid="{00000000-0005-0000-0000-000002000000}"/>
    <cellStyle name="_Comma" xfId="9" xr:uid="{00000000-0005-0000-0000-000003000000}"/>
    <cellStyle name="_Comma_01 adj for merger plan" xfId="10" xr:uid="{00000000-0005-0000-0000-000004000000}"/>
    <cellStyle name="_Comma_Ability to Pay Analysis" xfId="11" xr:uid="{00000000-0005-0000-0000-000005000000}"/>
    <cellStyle name="_Comma_AFL" xfId="12" xr:uid="{00000000-0005-0000-0000-000006000000}"/>
    <cellStyle name="_Comma_AIZ" xfId="13" xr:uid="{00000000-0005-0000-0000-000007000000}"/>
    <cellStyle name="_Comma_AIZ04-Quantum2" xfId="14" xr:uid="{00000000-0005-0000-0000-000008000000}"/>
    <cellStyle name="_Comma_AMP" xfId="15" xr:uid="{00000000-0005-0000-0000-000009000000}"/>
    <cellStyle name="_Comma_Book1" xfId="16" xr:uid="{00000000-0005-0000-0000-00000A000000}"/>
    <cellStyle name="_Comma_Book3" xfId="17" xr:uid="{00000000-0005-0000-0000-00000B000000}"/>
    <cellStyle name="_Comma_CNO" xfId="18" xr:uid="{00000000-0005-0000-0000-00000C000000}"/>
    <cellStyle name="_Comma_CNO04" xfId="19" xr:uid="{00000000-0005-0000-0000-00000D000000}"/>
    <cellStyle name="_Comma_DCF Alexander Forbes" xfId="20" xr:uid="{00000000-0005-0000-0000-00000E000000}"/>
    <cellStyle name="_Comma_fmbi counties" xfId="21" xr:uid="{00000000-0005-0000-0000-00000F000000}"/>
    <cellStyle name="_Comma_FMBI MBHI Graphs" xfId="22" xr:uid="{00000000-0005-0000-0000-000010000000}"/>
    <cellStyle name="_Comma_FMBI MBHI Graphs 07102001" xfId="23" xr:uid="{00000000-0005-0000-0000-000011000000}"/>
    <cellStyle name="_Comma_FMBI MBHI Graphs_7601" xfId="24" xr:uid="{00000000-0005-0000-0000-000012000000}"/>
    <cellStyle name="_Comma_genworth model" xfId="25" xr:uid="{00000000-0005-0000-0000-000013000000}"/>
    <cellStyle name="_Comma_Insurance Brokerage CSC_1Q2002" xfId="26" xr:uid="{00000000-0005-0000-0000-000014000000}"/>
    <cellStyle name="_Comma_JP_LNC_spread_monitor (2)" xfId="27" xr:uid="{00000000-0005-0000-0000-000015000000}"/>
    <cellStyle name="_Comma_NFP" xfId="28" xr:uid="{00000000-0005-0000-0000-000016000000}"/>
    <cellStyle name="_Comma_NFS" xfId="29" xr:uid="{00000000-0005-0000-0000-000017000000}"/>
    <cellStyle name="_Comma_Overview3" xfId="30" xr:uid="{00000000-0005-0000-0000-000018000000}"/>
    <cellStyle name="_Comma_phil data" xfId="31" xr:uid="{00000000-0005-0000-0000-000019000000}"/>
    <cellStyle name="_Comma_Price Performance Charts" xfId="32" xr:uid="{00000000-0005-0000-0000-00001A000000}"/>
    <cellStyle name="_Comma_Quarterly Review by Company" xfId="33" xr:uid="{00000000-0005-0000-0000-00001B000000}"/>
    <cellStyle name="_Comma_SFG Data File" xfId="34" xr:uid="{00000000-0005-0000-0000-00001C000000}"/>
    <cellStyle name="_Comma_Sheet1" xfId="35" xr:uid="{00000000-0005-0000-0000-00001D000000}"/>
    <cellStyle name="_Comma_Stock-QTR1 FDS" xfId="36" xr:uid="{00000000-0005-0000-0000-00001E000000}"/>
    <cellStyle name="_Comma_Updated Valuation Changes" xfId="37" xr:uid="{00000000-0005-0000-0000-00001F000000}"/>
    <cellStyle name="_Comma_Valuation Graphs" xfId="38" xr:uid="{00000000-0005-0000-0000-000020000000}"/>
    <cellStyle name="_Comma_xratio - historical mkt val" xfId="39" xr:uid="{00000000-0005-0000-0000-000021000000}"/>
    <cellStyle name="_Currency" xfId="40" xr:uid="{00000000-0005-0000-0000-000022000000}"/>
    <cellStyle name="_Currency_01 adj for merger plan" xfId="41" xr:uid="{00000000-0005-0000-0000-000023000000}"/>
    <cellStyle name="_Currency_Ability to Pay Analysis" xfId="42" xr:uid="{00000000-0005-0000-0000-000024000000}"/>
    <cellStyle name="_Currency_AFL" xfId="43" xr:uid="{00000000-0005-0000-0000-000025000000}"/>
    <cellStyle name="_Currency_AIZ" xfId="44" xr:uid="{00000000-0005-0000-0000-000026000000}"/>
    <cellStyle name="_Currency_AMP" xfId="45" xr:uid="{00000000-0005-0000-0000-000027000000}"/>
    <cellStyle name="_Currency_Balance Sheet" xfId="46" xr:uid="{00000000-0005-0000-0000-000028000000}"/>
    <cellStyle name="_Currency_Book1" xfId="47" xr:uid="{00000000-0005-0000-0000-000029000000}"/>
    <cellStyle name="_Currency_Book29" xfId="48" xr:uid="{00000000-0005-0000-0000-00002A000000}"/>
    <cellStyle name="_Currency_Book3" xfId="49" xr:uid="{00000000-0005-0000-0000-00002B000000}"/>
    <cellStyle name="_Currency_Book3_1" xfId="50" xr:uid="{00000000-0005-0000-0000-00002C000000}"/>
    <cellStyle name="_Currency_CNO" xfId="51" xr:uid="{00000000-0005-0000-0000-00002D000000}"/>
    <cellStyle name="_Currency_DCF Alexander Forbes" xfId="52" xr:uid="{00000000-0005-0000-0000-00002E000000}"/>
    <cellStyle name="_Currency_fmbi counties" xfId="53" xr:uid="{00000000-0005-0000-0000-00002F000000}"/>
    <cellStyle name="_Currency_FMBI MBHI Graphs" xfId="54" xr:uid="{00000000-0005-0000-0000-000030000000}"/>
    <cellStyle name="_Currency_FMBI MBHI Graphs 07102001" xfId="55" xr:uid="{00000000-0005-0000-0000-000031000000}"/>
    <cellStyle name="_Currency_FMBI MBHI Graphs_7601" xfId="56" xr:uid="{00000000-0005-0000-0000-000032000000}"/>
    <cellStyle name="_Currency_GNW" xfId="57" xr:uid="{00000000-0005-0000-0000-000033000000}"/>
    <cellStyle name="_Currency_Insurance Brokerage CSC_1Q2002" xfId="58" xr:uid="{00000000-0005-0000-0000-000034000000}"/>
    <cellStyle name="_Currency_JP" xfId="59" xr:uid="{00000000-0005-0000-0000-000035000000}"/>
    <cellStyle name="_Currency_LNC" xfId="60" xr:uid="{00000000-0005-0000-0000-000036000000}"/>
    <cellStyle name="_Currency_MET" xfId="61" xr:uid="{00000000-0005-0000-0000-000037000000}"/>
    <cellStyle name="_Currency_MET04" xfId="62" xr:uid="{00000000-0005-0000-0000-000038000000}"/>
    <cellStyle name="_Currency_NFS" xfId="63" xr:uid="{00000000-0005-0000-0000-000039000000}"/>
    <cellStyle name="_Currency_Overview3" xfId="64" xr:uid="{00000000-0005-0000-0000-00003A000000}"/>
    <cellStyle name="_Currency_phil data" xfId="65" xr:uid="{00000000-0005-0000-0000-00003B000000}"/>
    <cellStyle name="_Currency_Price Performance Charts" xfId="66" xr:uid="{00000000-0005-0000-0000-00003C000000}"/>
    <cellStyle name="_Currency_PRU" xfId="67" xr:uid="{00000000-0005-0000-0000-00003D000000}"/>
    <cellStyle name="_Currency_PRU04" xfId="68" xr:uid="{00000000-0005-0000-0000-00003E000000}"/>
    <cellStyle name="_Currency_RiskReward" xfId="69" xr:uid="{00000000-0005-0000-0000-00003F000000}"/>
    <cellStyle name="_Currency_SFG" xfId="70" xr:uid="{00000000-0005-0000-0000-000040000000}"/>
    <cellStyle name="_Currency_Sheet1" xfId="71" xr:uid="{00000000-0005-0000-0000-000041000000}"/>
    <cellStyle name="_Currency_Stock-QTR1 FDS" xfId="72" xr:uid="{00000000-0005-0000-0000-000042000000}"/>
    <cellStyle name="_Currency_TMK" xfId="73" xr:uid="{00000000-0005-0000-0000-000043000000}"/>
    <cellStyle name="_Currency_Updated Valuation Changes" xfId="74" xr:uid="{00000000-0005-0000-0000-000044000000}"/>
    <cellStyle name="_Currency_Valuation Graphs" xfId="75" xr:uid="{00000000-0005-0000-0000-000045000000}"/>
    <cellStyle name="_Currency_xratio - historical mkt val" xfId="76" xr:uid="{00000000-0005-0000-0000-000046000000}"/>
    <cellStyle name="_CurrencySpace" xfId="77" xr:uid="{00000000-0005-0000-0000-000047000000}"/>
    <cellStyle name="_CurrencySpace_01 adj for merger plan" xfId="78" xr:uid="{00000000-0005-0000-0000-000048000000}"/>
    <cellStyle name="_CurrencySpace_Ability to Pay Analysis" xfId="79" xr:uid="{00000000-0005-0000-0000-000049000000}"/>
    <cellStyle name="_CurrencySpace_AFL" xfId="80" xr:uid="{00000000-0005-0000-0000-00004A000000}"/>
    <cellStyle name="_CurrencySpace_AIZ" xfId="81" xr:uid="{00000000-0005-0000-0000-00004B000000}"/>
    <cellStyle name="_CurrencySpace_AMP" xfId="82" xr:uid="{00000000-0005-0000-0000-00004C000000}"/>
    <cellStyle name="_CurrencySpace_Balance Sheet" xfId="83" xr:uid="{00000000-0005-0000-0000-00004D000000}"/>
    <cellStyle name="_CurrencySpace_Book1" xfId="84" xr:uid="{00000000-0005-0000-0000-00004E000000}"/>
    <cellStyle name="_CurrencySpace_Book29" xfId="85" xr:uid="{00000000-0005-0000-0000-00004F000000}"/>
    <cellStyle name="_CurrencySpace_Book3" xfId="86" xr:uid="{00000000-0005-0000-0000-000050000000}"/>
    <cellStyle name="_CurrencySpace_Book3_1" xfId="87" xr:uid="{00000000-0005-0000-0000-000051000000}"/>
    <cellStyle name="_CurrencySpace_CNO" xfId="88" xr:uid="{00000000-0005-0000-0000-000052000000}"/>
    <cellStyle name="_CurrencySpace_DCF Alexander Forbes" xfId="89" xr:uid="{00000000-0005-0000-0000-000053000000}"/>
    <cellStyle name="_CurrencySpace_fmbi counties" xfId="90" xr:uid="{00000000-0005-0000-0000-000054000000}"/>
    <cellStyle name="_CurrencySpace_FMBI MBHI Graphs" xfId="91" xr:uid="{00000000-0005-0000-0000-000055000000}"/>
    <cellStyle name="_CurrencySpace_FMBI MBHI Graphs 07102001" xfId="92" xr:uid="{00000000-0005-0000-0000-000056000000}"/>
    <cellStyle name="_CurrencySpace_FMBI MBHI Graphs_7601" xfId="93" xr:uid="{00000000-0005-0000-0000-000057000000}"/>
    <cellStyle name="_CurrencySpace_GNW" xfId="94" xr:uid="{00000000-0005-0000-0000-000058000000}"/>
    <cellStyle name="_CurrencySpace_Insurance Brokerage CSC_1Q2002" xfId="95" xr:uid="{00000000-0005-0000-0000-000059000000}"/>
    <cellStyle name="_CurrencySpace_JP" xfId="96" xr:uid="{00000000-0005-0000-0000-00005A000000}"/>
    <cellStyle name="_CurrencySpace_LNC" xfId="97" xr:uid="{00000000-0005-0000-0000-00005B000000}"/>
    <cellStyle name="_CurrencySpace_MET" xfId="98" xr:uid="{00000000-0005-0000-0000-00005C000000}"/>
    <cellStyle name="_CurrencySpace_MET04" xfId="99" xr:uid="{00000000-0005-0000-0000-00005D000000}"/>
    <cellStyle name="_CurrencySpace_NFS" xfId="100" xr:uid="{00000000-0005-0000-0000-00005E000000}"/>
    <cellStyle name="_CurrencySpace_Overview3" xfId="101" xr:uid="{00000000-0005-0000-0000-00005F000000}"/>
    <cellStyle name="_CurrencySpace_phil data" xfId="102" xr:uid="{00000000-0005-0000-0000-000060000000}"/>
    <cellStyle name="_CurrencySpace_Price Performance Charts" xfId="103" xr:uid="{00000000-0005-0000-0000-000061000000}"/>
    <cellStyle name="_CurrencySpace_PRU" xfId="104" xr:uid="{00000000-0005-0000-0000-000062000000}"/>
    <cellStyle name="_CurrencySpace_PRU04" xfId="105" xr:uid="{00000000-0005-0000-0000-000063000000}"/>
    <cellStyle name="_CurrencySpace_RiskReward" xfId="106" xr:uid="{00000000-0005-0000-0000-000064000000}"/>
    <cellStyle name="_CurrencySpace_SFG" xfId="107" xr:uid="{00000000-0005-0000-0000-000065000000}"/>
    <cellStyle name="_CurrencySpace_Sheet1" xfId="108" xr:uid="{00000000-0005-0000-0000-000066000000}"/>
    <cellStyle name="_CurrencySpace_Stock-QTR1 FDS" xfId="109" xr:uid="{00000000-0005-0000-0000-000067000000}"/>
    <cellStyle name="_CurrencySpace_TMK" xfId="110" xr:uid="{00000000-0005-0000-0000-000068000000}"/>
    <cellStyle name="_CurrencySpace_Updated Valuation Changes" xfId="111" xr:uid="{00000000-0005-0000-0000-000069000000}"/>
    <cellStyle name="_CurrencySpace_Valuation Graphs" xfId="112" xr:uid="{00000000-0005-0000-0000-00006A000000}"/>
    <cellStyle name="_CurrencySpace_xratio - historical mkt val" xfId="113" xr:uid="{00000000-0005-0000-0000-00006B000000}"/>
    <cellStyle name="_Dollar" xfId="114" xr:uid="{00000000-0005-0000-0000-00006C000000}"/>
    <cellStyle name="_Euro" xfId="115" xr:uid="{00000000-0005-0000-0000-00006D000000}"/>
    <cellStyle name="_Heading" xfId="116" xr:uid="{00000000-0005-0000-0000-00006E000000}"/>
    <cellStyle name="_Heading_prestemp" xfId="117" xr:uid="{00000000-0005-0000-0000-00006F000000}"/>
    <cellStyle name="_Highlight" xfId="118" xr:uid="{00000000-0005-0000-0000-000070000000}"/>
    <cellStyle name="_Multiple" xfId="119" xr:uid="{00000000-0005-0000-0000-000071000000}"/>
    <cellStyle name="_Multiple_01 adj for merger plan" xfId="120" xr:uid="{00000000-0005-0000-0000-000072000000}"/>
    <cellStyle name="_Multiple_Ability to Pay Analysis" xfId="121" xr:uid="{00000000-0005-0000-0000-000073000000}"/>
    <cellStyle name="_Multiple_AFL" xfId="122" xr:uid="{00000000-0005-0000-0000-000074000000}"/>
    <cellStyle name="_Multiple_AIZ" xfId="123" xr:uid="{00000000-0005-0000-0000-000075000000}"/>
    <cellStyle name="_Multiple_AMP" xfId="124" xr:uid="{00000000-0005-0000-0000-000076000000}"/>
    <cellStyle name="_Multiple_Balance Sheet" xfId="125" xr:uid="{00000000-0005-0000-0000-000077000000}"/>
    <cellStyle name="_Multiple_Book1" xfId="126" xr:uid="{00000000-0005-0000-0000-000078000000}"/>
    <cellStyle name="_Multiple_Book29" xfId="127" xr:uid="{00000000-0005-0000-0000-000079000000}"/>
    <cellStyle name="_Multiple_Book3" xfId="128" xr:uid="{00000000-0005-0000-0000-00007A000000}"/>
    <cellStyle name="_Multiple_Book3_1" xfId="129" xr:uid="{00000000-0005-0000-0000-00007B000000}"/>
    <cellStyle name="_Multiple_CNO" xfId="130" xr:uid="{00000000-0005-0000-0000-00007C000000}"/>
    <cellStyle name="_Multiple_DCF Alexander Forbes" xfId="131" xr:uid="{00000000-0005-0000-0000-00007D000000}"/>
    <cellStyle name="_Multiple_fmbi counties" xfId="132" xr:uid="{00000000-0005-0000-0000-00007E000000}"/>
    <cellStyle name="_Multiple_FMBI MBHI Graphs" xfId="133" xr:uid="{00000000-0005-0000-0000-00007F000000}"/>
    <cellStyle name="_Multiple_FMBI MBHI Graphs 07102001" xfId="134" xr:uid="{00000000-0005-0000-0000-000080000000}"/>
    <cellStyle name="_Multiple_FMBI MBHI Graphs_7601" xfId="135" xr:uid="{00000000-0005-0000-0000-000081000000}"/>
    <cellStyle name="_Multiple_GNW" xfId="136" xr:uid="{00000000-0005-0000-0000-000082000000}"/>
    <cellStyle name="_Multiple_Insurance Brokerage CSC_1Q2002" xfId="137" xr:uid="{00000000-0005-0000-0000-000083000000}"/>
    <cellStyle name="_Multiple_JP" xfId="138" xr:uid="{00000000-0005-0000-0000-000084000000}"/>
    <cellStyle name="_Multiple_LNC" xfId="139" xr:uid="{00000000-0005-0000-0000-000085000000}"/>
    <cellStyle name="_Multiple_MET" xfId="140" xr:uid="{00000000-0005-0000-0000-000086000000}"/>
    <cellStyle name="_Multiple_MET04" xfId="141" xr:uid="{00000000-0005-0000-0000-000087000000}"/>
    <cellStyle name="_Multiple_NFS" xfId="142" xr:uid="{00000000-0005-0000-0000-000088000000}"/>
    <cellStyle name="_Multiple_Overview3" xfId="143" xr:uid="{00000000-0005-0000-0000-000089000000}"/>
    <cellStyle name="_Multiple_phil data" xfId="144" xr:uid="{00000000-0005-0000-0000-00008A000000}"/>
    <cellStyle name="_Multiple_Price Performance Charts" xfId="145" xr:uid="{00000000-0005-0000-0000-00008B000000}"/>
    <cellStyle name="_Multiple_PRU" xfId="146" xr:uid="{00000000-0005-0000-0000-00008C000000}"/>
    <cellStyle name="_Multiple_PRU04" xfId="147" xr:uid="{00000000-0005-0000-0000-00008D000000}"/>
    <cellStyle name="_Multiple_RiskReward" xfId="148" xr:uid="{00000000-0005-0000-0000-00008E000000}"/>
    <cellStyle name="_Multiple_SFG" xfId="149" xr:uid="{00000000-0005-0000-0000-00008F000000}"/>
    <cellStyle name="_Multiple_Sheet1" xfId="150" xr:uid="{00000000-0005-0000-0000-000090000000}"/>
    <cellStyle name="_Multiple_Stock-QTR1 FDS" xfId="151" xr:uid="{00000000-0005-0000-0000-000091000000}"/>
    <cellStyle name="_Multiple_TMK" xfId="152" xr:uid="{00000000-0005-0000-0000-000092000000}"/>
    <cellStyle name="_Multiple_Updated Valuation Changes" xfId="153" xr:uid="{00000000-0005-0000-0000-000093000000}"/>
    <cellStyle name="_Multiple_Valuation Graphs" xfId="154" xr:uid="{00000000-0005-0000-0000-000094000000}"/>
    <cellStyle name="_Multiple_xratio - historical mkt val" xfId="155" xr:uid="{00000000-0005-0000-0000-000095000000}"/>
    <cellStyle name="_MultipleSpace" xfId="156" xr:uid="{00000000-0005-0000-0000-000096000000}"/>
    <cellStyle name="_MultipleSpace_01 adj for merger plan" xfId="157" xr:uid="{00000000-0005-0000-0000-000097000000}"/>
    <cellStyle name="_MultipleSpace_Ability to Pay Analysis" xfId="158" xr:uid="{00000000-0005-0000-0000-000098000000}"/>
    <cellStyle name="_MultipleSpace_AFL" xfId="159" xr:uid="{00000000-0005-0000-0000-000099000000}"/>
    <cellStyle name="_MultipleSpace_AIZ" xfId="160" xr:uid="{00000000-0005-0000-0000-00009A000000}"/>
    <cellStyle name="_MultipleSpace_AMP" xfId="161" xr:uid="{00000000-0005-0000-0000-00009B000000}"/>
    <cellStyle name="_MultipleSpace_Balance Sheet" xfId="162" xr:uid="{00000000-0005-0000-0000-00009C000000}"/>
    <cellStyle name="_MultipleSpace_Book1" xfId="163" xr:uid="{00000000-0005-0000-0000-00009D000000}"/>
    <cellStyle name="_MultipleSpace_Book29" xfId="164" xr:uid="{00000000-0005-0000-0000-00009E000000}"/>
    <cellStyle name="_MultipleSpace_Book3" xfId="165" xr:uid="{00000000-0005-0000-0000-00009F000000}"/>
    <cellStyle name="_MultipleSpace_Book3_1" xfId="166" xr:uid="{00000000-0005-0000-0000-0000A0000000}"/>
    <cellStyle name="_MultipleSpace_CNO" xfId="167" xr:uid="{00000000-0005-0000-0000-0000A1000000}"/>
    <cellStyle name="_MultipleSpace_DCF Alexander Forbes" xfId="168" xr:uid="{00000000-0005-0000-0000-0000A2000000}"/>
    <cellStyle name="_MultipleSpace_fmbi counties" xfId="169" xr:uid="{00000000-0005-0000-0000-0000A3000000}"/>
    <cellStyle name="_MultipleSpace_FMBI MBHI Graphs" xfId="170" xr:uid="{00000000-0005-0000-0000-0000A4000000}"/>
    <cellStyle name="_MultipleSpace_FMBI MBHI Graphs 07102001" xfId="171" xr:uid="{00000000-0005-0000-0000-0000A5000000}"/>
    <cellStyle name="_MultipleSpace_FMBI MBHI Graphs_7601" xfId="172" xr:uid="{00000000-0005-0000-0000-0000A6000000}"/>
    <cellStyle name="_MultipleSpace_GNW" xfId="173" xr:uid="{00000000-0005-0000-0000-0000A7000000}"/>
    <cellStyle name="_MultipleSpace_Insurance Brokerage CSC_1Q2002" xfId="174" xr:uid="{00000000-0005-0000-0000-0000A8000000}"/>
    <cellStyle name="_MultipleSpace_JP" xfId="175" xr:uid="{00000000-0005-0000-0000-0000A9000000}"/>
    <cellStyle name="_MultipleSpace_LNC" xfId="176" xr:uid="{00000000-0005-0000-0000-0000AA000000}"/>
    <cellStyle name="_MultipleSpace_MET" xfId="177" xr:uid="{00000000-0005-0000-0000-0000AB000000}"/>
    <cellStyle name="_MultipleSpace_MET04" xfId="178" xr:uid="{00000000-0005-0000-0000-0000AC000000}"/>
    <cellStyle name="_MultipleSpace_NFS" xfId="179" xr:uid="{00000000-0005-0000-0000-0000AD000000}"/>
    <cellStyle name="_MultipleSpace_Overview3" xfId="180" xr:uid="{00000000-0005-0000-0000-0000AE000000}"/>
    <cellStyle name="_MultipleSpace_phil data" xfId="181" xr:uid="{00000000-0005-0000-0000-0000AF000000}"/>
    <cellStyle name="_MultipleSpace_Price Performance Charts" xfId="182" xr:uid="{00000000-0005-0000-0000-0000B0000000}"/>
    <cellStyle name="_MultipleSpace_PRU" xfId="183" xr:uid="{00000000-0005-0000-0000-0000B1000000}"/>
    <cellStyle name="_MultipleSpace_PRU04" xfId="184" xr:uid="{00000000-0005-0000-0000-0000B2000000}"/>
    <cellStyle name="_MultipleSpace_RiskReward" xfId="185" xr:uid="{00000000-0005-0000-0000-0000B3000000}"/>
    <cellStyle name="_MultipleSpace_SFG" xfId="186" xr:uid="{00000000-0005-0000-0000-0000B4000000}"/>
    <cellStyle name="_MultipleSpace_Sheet1" xfId="187" xr:uid="{00000000-0005-0000-0000-0000B5000000}"/>
    <cellStyle name="_MultipleSpace_Stock-QTR1 FDS" xfId="188" xr:uid="{00000000-0005-0000-0000-0000B6000000}"/>
    <cellStyle name="_MultipleSpace_TMK" xfId="189" xr:uid="{00000000-0005-0000-0000-0000B7000000}"/>
    <cellStyle name="_MultipleSpace_Updated Valuation Changes" xfId="190" xr:uid="{00000000-0005-0000-0000-0000B8000000}"/>
    <cellStyle name="_MultipleSpace_Valuation Graphs" xfId="191" xr:uid="{00000000-0005-0000-0000-0000B9000000}"/>
    <cellStyle name="_MultipleSpace_xratio - historical mkt val" xfId="192" xr:uid="{00000000-0005-0000-0000-0000BA000000}"/>
    <cellStyle name="_Percent" xfId="193" xr:uid="{00000000-0005-0000-0000-0000BB000000}"/>
    <cellStyle name="_Percent_DCF Alexander Forbes" xfId="194" xr:uid="{00000000-0005-0000-0000-0000BC000000}"/>
    <cellStyle name="_Percent_FMBI MBHI Graphs" xfId="195" xr:uid="{00000000-0005-0000-0000-0000BD000000}"/>
    <cellStyle name="_Percent_FMBI MBHI Graphs 07102001" xfId="196" xr:uid="{00000000-0005-0000-0000-0000BE000000}"/>
    <cellStyle name="_Percent_FMBI MBHI Graphs_7601" xfId="197" xr:uid="{00000000-0005-0000-0000-0000BF000000}"/>
    <cellStyle name="_PercentSpace" xfId="198" xr:uid="{00000000-0005-0000-0000-0000C0000000}"/>
    <cellStyle name="_PercentSpace_01 adj for merger plan" xfId="199" xr:uid="{00000000-0005-0000-0000-0000C1000000}"/>
    <cellStyle name="_PercentSpace_DCF Alexander Forbes" xfId="200" xr:uid="{00000000-0005-0000-0000-0000C2000000}"/>
    <cellStyle name="_PercentSpace_FMBI MBHI Graphs" xfId="201" xr:uid="{00000000-0005-0000-0000-0000C3000000}"/>
    <cellStyle name="_PercentSpace_FMBI MBHI Graphs 07102001" xfId="202" xr:uid="{00000000-0005-0000-0000-0000C4000000}"/>
    <cellStyle name="_PercentSpace_FMBI MBHI Graphs_7601" xfId="203" xr:uid="{00000000-0005-0000-0000-0000C5000000}"/>
    <cellStyle name="_SubHeading" xfId="204" xr:uid="{00000000-0005-0000-0000-0000C6000000}"/>
    <cellStyle name="_SubHeading_Ability to Pay Analysis" xfId="205" xr:uid="{00000000-0005-0000-0000-0000C7000000}"/>
    <cellStyle name="_SubHeading_BankUnited Model" xfId="206" xr:uid="{00000000-0005-0000-0000-0000C8000000}"/>
    <cellStyle name="_SubHeading_fmbi counties" xfId="207" xr:uid="{00000000-0005-0000-0000-0000C9000000}"/>
    <cellStyle name="_SubHeading_FMBI MBHI Graphs" xfId="208" xr:uid="{00000000-0005-0000-0000-0000CA000000}"/>
    <cellStyle name="_SubHeading_FMBI MBHI Graphs 07102001" xfId="209" xr:uid="{00000000-0005-0000-0000-0000CB000000}"/>
    <cellStyle name="_SubHeading_FMBI MBHI Graphs_7601" xfId="210" xr:uid="{00000000-0005-0000-0000-0000CC000000}"/>
    <cellStyle name="_SubHeading_prestemp" xfId="211" xr:uid="{00000000-0005-0000-0000-0000CD000000}"/>
    <cellStyle name="_SubHeading_prestemp_Insurance Brokerage CSC_1Q2002" xfId="212" xr:uid="{00000000-0005-0000-0000-0000CE000000}"/>
    <cellStyle name="_SubHeading_prestemp_Overview3" xfId="213" xr:uid="{00000000-0005-0000-0000-0000CF000000}"/>
    <cellStyle name="_SubHeading_prestemp_Updated Valuation Changes" xfId="214" xr:uid="{00000000-0005-0000-0000-0000D0000000}"/>
    <cellStyle name="_SubHeading_xratio - historical mkt val" xfId="215" xr:uid="{00000000-0005-0000-0000-0000D1000000}"/>
    <cellStyle name="_Table" xfId="216" xr:uid="{00000000-0005-0000-0000-0000D2000000}"/>
    <cellStyle name="_Table_Ability to Pay Analysis" xfId="217" xr:uid="{00000000-0005-0000-0000-0000D3000000}"/>
    <cellStyle name="_Table_BankUnited Model" xfId="218" xr:uid="{00000000-0005-0000-0000-0000D4000000}"/>
    <cellStyle name="_Table_fmbi counties" xfId="219" xr:uid="{00000000-0005-0000-0000-0000D5000000}"/>
    <cellStyle name="_Table_xratio - historical mkt val" xfId="220" xr:uid="{00000000-0005-0000-0000-0000D6000000}"/>
    <cellStyle name="_TableHead" xfId="221" xr:uid="{00000000-0005-0000-0000-0000D7000000}"/>
    <cellStyle name="_TableRowHead" xfId="222" xr:uid="{00000000-0005-0000-0000-0000D8000000}"/>
    <cellStyle name="_TableSuperHead" xfId="223" xr:uid="{00000000-0005-0000-0000-0000D9000000}"/>
    <cellStyle name="_TableSuperHead_Ability to Pay Analysis" xfId="224" xr:uid="{00000000-0005-0000-0000-0000DA000000}"/>
    <cellStyle name="_TableSuperHead_BankUnited Model" xfId="225" xr:uid="{00000000-0005-0000-0000-0000DB000000}"/>
    <cellStyle name="_TableSuperHead_fmbi counties" xfId="226" xr:uid="{00000000-0005-0000-0000-0000DC000000}"/>
    <cellStyle name="_TableSuperHead_xratio - historical mkt val" xfId="227" xr:uid="{00000000-0005-0000-0000-0000DD000000}"/>
    <cellStyle name="20% - Accent1 2" xfId="228" xr:uid="{00000000-0005-0000-0000-0000DE000000}"/>
    <cellStyle name="20% - Accent2 2" xfId="229" xr:uid="{00000000-0005-0000-0000-0000DF000000}"/>
    <cellStyle name="20% - Accent3 2" xfId="230" xr:uid="{00000000-0005-0000-0000-0000E0000000}"/>
    <cellStyle name="20% - Accent4 2" xfId="231" xr:uid="{00000000-0005-0000-0000-0000E1000000}"/>
    <cellStyle name="20% - Accent5 2" xfId="232" xr:uid="{00000000-0005-0000-0000-0000E2000000}"/>
    <cellStyle name="20% - Accent6 2" xfId="233" xr:uid="{00000000-0005-0000-0000-0000E3000000}"/>
    <cellStyle name="40% - Accent1 2" xfId="234" xr:uid="{00000000-0005-0000-0000-0000E4000000}"/>
    <cellStyle name="40% - Accent2 2" xfId="235" xr:uid="{00000000-0005-0000-0000-0000E5000000}"/>
    <cellStyle name="40% - Accent3 2" xfId="236" xr:uid="{00000000-0005-0000-0000-0000E6000000}"/>
    <cellStyle name="40% - Accent4 2" xfId="237" xr:uid="{00000000-0005-0000-0000-0000E7000000}"/>
    <cellStyle name="40% - Accent5 2" xfId="238" xr:uid="{00000000-0005-0000-0000-0000E8000000}"/>
    <cellStyle name="40% - Accent6 2" xfId="239" xr:uid="{00000000-0005-0000-0000-0000E9000000}"/>
    <cellStyle name="60% - Accent1 2" xfId="240" xr:uid="{00000000-0005-0000-0000-0000EA000000}"/>
    <cellStyle name="60% - Accent1 3" xfId="241" xr:uid="{00000000-0005-0000-0000-0000EB000000}"/>
    <cellStyle name="60% - Accent2 2" xfId="242" xr:uid="{00000000-0005-0000-0000-0000EC000000}"/>
    <cellStyle name="60% - Accent2 3" xfId="243" xr:uid="{00000000-0005-0000-0000-0000ED000000}"/>
    <cellStyle name="60% - Accent3 2" xfId="244" xr:uid="{00000000-0005-0000-0000-0000EE000000}"/>
    <cellStyle name="60% - Accent3 3" xfId="245" xr:uid="{00000000-0005-0000-0000-0000EF000000}"/>
    <cellStyle name="60% - Accent4 2" xfId="246" xr:uid="{00000000-0005-0000-0000-0000F0000000}"/>
    <cellStyle name="60% - Accent4 3" xfId="247" xr:uid="{00000000-0005-0000-0000-0000F1000000}"/>
    <cellStyle name="60% - Accent5 2" xfId="248" xr:uid="{00000000-0005-0000-0000-0000F2000000}"/>
    <cellStyle name="60% - Accent5 3" xfId="249" xr:uid="{00000000-0005-0000-0000-0000F3000000}"/>
    <cellStyle name="60% - Accent6 2" xfId="250" xr:uid="{00000000-0005-0000-0000-0000F4000000}"/>
    <cellStyle name="60% - Accent6 3" xfId="251" xr:uid="{00000000-0005-0000-0000-0000F5000000}"/>
    <cellStyle name="Accent1 2" xfId="252" xr:uid="{00000000-0005-0000-0000-0000F6000000}"/>
    <cellStyle name="Accent1 3" xfId="253" xr:uid="{00000000-0005-0000-0000-0000F7000000}"/>
    <cellStyle name="Accent2 2" xfId="254" xr:uid="{00000000-0005-0000-0000-0000F8000000}"/>
    <cellStyle name="Accent2 3" xfId="255" xr:uid="{00000000-0005-0000-0000-0000F9000000}"/>
    <cellStyle name="Accent3 2" xfId="256" xr:uid="{00000000-0005-0000-0000-0000FA000000}"/>
    <cellStyle name="Accent3 3" xfId="257" xr:uid="{00000000-0005-0000-0000-0000FB000000}"/>
    <cellStyle name="Accent4 2" xfId="258" xr:uid="{00000000-0005-0000-0000-0000FC000000}"/>
    <cellStyle name="Accent4 3" xfId="259" xr:uid="{00000000-0005-0000-0000-0000FD000000}"/>
    <cellStyle name="Accent5 2" xfId="260" xr:uid="{00000000-0005-0000-0000-0000FE000000}"/>
    <cellStyle name="Accent5 3" xfId="261" xr:uid="{00000000-0005-0000-0000-0000FF000000}"/>
    <cellStyle name="Accent6 2" xfId="262" xr:uid="{00000000-0005-0000-0000-000000010000}"/>
    <cellStyle name="Accent6 3" xfId="263" xr:uid="{00000000-0005-0000-0000-000001010000}"/>
    <cellStyle name="Actual data" xfId="264" xr:uid="{00000000-0005-0000-0000-000002010000}"/>
    <cellStyle name="Actual year" xfId="265" xr:uid="{00000000-0005-0000-0000-000003010000}"/>
    <cellStyle name="Actuals Cells" xfId="266" xr:uid="{00000000-0005-0000-0000-000004010000}"/>
    <cellStyle name="AFE" xfId="267" xr:uid="{00000000-0005-0000-0000-000005010000}"/>
    <cellStyle name="afl" xfId="268" xr:uid="{00000000-0005-0000-0000-000006010000}"/>
    <cellStyle name="Andre's Title" xfId="269" xr:uid="{00000000-0005-0000-0000-000007010000}"/>
    <cellStyle name="Bad 2" xfId="270" xr:uid="{00000000-0005-0000-0000-000008010000}"/>
    <cellStyle name="Blank" xfId="271" xr:uid="{00000000-0005-0000-0000-000009010000}"/>
    <cellStyle name="Blue" xfId="272" xr:uid="{00000000-0005-0000-0000-00000A010000}"/>
    <cellStyle name="Blue Title" xfId="273" xr:uid="{00000000-0005-0000-0000-00000B010000}"/>
    <cellStyle name="Calc Cells" xfId="274" xr:uid="{00000000-0005-0000-0000-00000C010000}"/>
    <cellStyle name="Calculation 2" xfId="275" xr:uid="{00000000-0005-0000-0000-00000D010000}"/>
    <cellStyle name="Case" xfId="276" xr:uid="{00000000-0005-0000-0000-00000E010000}"/>
    <cellStyle name="Check Cell 2" xfId="277" xr:uid="{00000000-0005-0000-0000-00000F010000}"/>
    <cellStyle name="Co. Names" xfId="278" xr:uid="{00000000-0005-0000-0000-000010010000}"/>
    <cellStyle name="Co. Names - Bold" xfId="279" xr:uid="{00000000-0005-0000-0000-000011010000}"/>
    <cellStyle name="Co. Names_Blend" xfId="280" xr:uid="{00000000-0005-0000-0000-000012010000}"/>
    <cellStyle name="Col Head" xfId="281" xr:uid="{00000000-0005-0000-0000-000013010000}"/>
    <cellStyle name="Comma" xfId="517" builtinId="3"/>
    <cellStyle name="Comma 2" xfId="5" xr:uid="{00000000-0005-0000-0000-000015010000}"/>
    <cellStyle name="Comma 2 2" xfId="503" xr:uid="{00000000-0005-0000-0000-000016010000}"/>
    <cellStyle name="Comma 3" xfId="282" xr:uid="{00000000-0005-0000-0000-000017010000}"/>
    <cellStyle name="Comma 4" xfId="283" xr:uid="{00000000-0005-0000-0000-000018010000}"/>
    <cellStyle name="Comma0" xfId="284" xr:uid="{00000000-0005-0000-0000-000019010000}"/>
    <cellStyle name="Company name" xfId="285" xr:uid="{00000000-0005-0000-0000-00001A010000}"/>
    <cellStyle name="CompanyTitle" xfId="286" xr:uid="{00000000-0005-0000-0000-00001B010000}"/>
    <cellStyle name="Currency [2]" xfId="287" xr:uid="{00000000-0005-0000-0000-00001C010000}"/>
    <cellStyle name="Currency 10" xfId="513" xr:uid="{00000000-0005-0000-0000-00001D010000}"/>
    <cellStyle name="Currency 2" xfId="288" xr:uid="{00000000-0005-0000-0000-00001E010000}"/>
    <cellStyle name="Currency 3" xfId="289" xr:uid="{00000000-0005-0000-0000-00001F010000}"/>
    <cellStyle name="Currency 4" xfId="501" xr:uid="{00000000-0005-0000-0000-000020010000}"/>
    <cellStyle name="Currency 5" xfId="506" xr:uid="{00000000-0005-0000-0000-000021010000}"/>
    <cellStyle name="Currency 6" xfId="509" xr:uid="{00000000-0005-0000-0000-000022010000}"/>
    <cellStyle name="Currency 7" xfId="512" xr:uid="{00000000-0005-0000-0000-000023010000}"/>
    <cellStyle name="Currency 8" xfId="510" xr:uid="{00000000-0005-0000-0000-000024010000}"/>
    <cellStyle name="Currency 9" xfId="511" xr:uid="{00000000-0005-0000-0000-000025010000}"/>
    <cellStyle name="Currency0" xfId="290" xr:uid="{00000000-0005-0000-0000-000026010000}"/>
    <cellStyle name="date" xfId="291" xr:uid="{00000000-0005-0000-0000-000027010000}"/>
    <cellStyle name="default" xfId="292" xr:uid="{00000000-0005-0000-0000-000028010000}"/>
    <cellStyle name="Dollar" xfId="293" xr:uid="{00000000-0005-0000-0000-000029010000}"/>
    <cellStyle name="emp" xfId="294" xr:uid="{00000000-0005-0000-0000-00002A010000}"/>
    <cellStyle name="Explanatory Text 2" xfId="295" xr:uid="{00000000-0005-0000-0000-00002B010000}"/>
    <cellStyle name="External File Cells" xfId="296" xr:uid="{00000000-0005-0000-0000-00002C010000}"/>
    <cellStyle name="Fit" xfId="297" xr:uid="{00000000-0005-0000-0000-00002D010000}"/>
    <cellStyle name="Fixed" xfId="298" xr:uid="{00000000-0005-0000-0000-00002E010000}"/>
    <cellStyle name="Footnotes" xfId="299" xr:uid="{00000000-0005-0000-0000-00002F010000}"/>
    <cellStyle name="Forecast Cells" xfId="300" xr:uid="{00000000-0005-0000-0000-000030010000}"/>
    <cellStyle name="Fraction" xfId="301" xr:uid="{00000000-0005-0000-0000-000031010000}"/>
    <cellStyle name="G1_1999 figures" xfId="302" xr:uid="{00000000-0005-0000-0000-000032010000}"/>
    <cellStyle name="Good 2" xfId="303" xr:uid="{00000000-0005-0000-0000-000033010000}"/>
    <cellStyle name="H_1998_col_head" xfId="304" xr:uid="{00000000-0005-0000-0000-000034010000}"/>
    <cellStyle name="H_1999_col_head" xfId="305" xr:uid="{00000000-0005-0000-0000-000035010000}"/>
    <cellStyle name="H1_1998 figures" xfId="306" xr:uid="{00000000-0005-0000-0000-000036010000}"/>
    <cellStyle name="Header" xfId="307" xr:uid="{00000000-0005-0000-0000-000037010000}"/>
    <cellStyle name="Heading" xfId="308" xr:uid="{00000000-0005-0000-0000-000038010000}"/>
    <cellStyle name="Heading 1 2" xfId="309" xr:uid="{00000000-0005-0000-0000-000039010000}"/>
    <cellStyle name="Heading 2 2" xfId="310" xr:uid="{00000000-0005-0000-0000-00003A010000}"/>
    <cellStyle name="Heading 3 2" xfId="311" xr:uid="{00000000-0005-0000-0000-00003B010000}"/>
    <cellStyle name="Heading 4 2" xfId="312" xr:uid="{00000000-0005-0000-0000-00003C010000}"/>
    <cellStyle name="Heading1" xfId="313" xr:uid="{00000000-0005-0000-0000-00003D010000}"/>
    <cellStyle name="Hyperlink" xfId="526" builtinId="8"/>
    <cellStyle name="Input 2" xfId="314" xr:uid="{00000000-0005-0000-0000-00003F010000}"/>
    <cellStyle name="Input Cells" xfId="315" xr:uid="{00000000-0005-0000-0000-000040010000}"/>
    <cellStyle name="Inputs" xfId="316" xr:uid="{00000000-0005-0000-0000-000041010000}"/>
    <cellStyle name="Item Descriptions" xfId="317" xr:uid="{00000000-0005-0000-0000-000042010000}"/>
    <cellStyle name="Line" xfId="318" xr:uid="{00000000-0005-0000-0000-000043010000}"/>
    <cellStyle name="Linked Cell 2" xfId="319" xr:uid="{00000000-0005-0000-0000-000044010000}"/>
    <cellStyle name="Mainhead" xfId="320" xr:uid="{00000000-0005-0000-0000-000045010000}"/>
    <cellStyle name="Merrill" xfId="321" xr:uid="{00000000-0005-0000-0000-000046010000}"/>
    <cellStyle name="Mix" xfId="322" xr:uid="{00000000-0005-0000-0000-000047010000}"/>
    <cellStyle name="Monitor" xfId="323" xr:uid="{00000000-0005-0000-0000-000048010000}"/>
    <cellStyle name="Multiple" xfId="324" xr:uid="{00000000-0005-0000-0000-000049010000}"/>
    <cellStyle name="Name" xfId="325" xr:uid="{00000000-0005-0000-0000-00004A010000}"/>
    <cellStyle name="Neutral 2" xfId="326" xr:uid="{00000000-0005-0000-0000-00004B010000}"/>
    <cellStyle name="NewAcct" xfId="327" xr:uid="{00000000-0005-0000-0000-00004C010000}"/>
    <cellStyle name="Normal" xfId="0" builtinId="0"/>
    <cellStyle name="Normal - Style1" xfId="328" xr:uid="{00000000-0005-0000-0000-00004E010000}"/>
    <cellStyle name="Normal 10" xfId="514" xr:uid="{00000000-0005-0000-0000-00004F010000}"/>
    <cellStyle name="Normal 10 2" xfId="521" xr:uid="{00000000-0005-0000-0000-000050010000}"/>
    <cellStyle name="Normal 11" xfId="508" xr:uid="{00000000-0005-0000-0000-000051010000}"/>
    <cellStyle name="Normal 11 2" xfId="520" xr:uid="{00000000-0005-0000-0000-000052010000}"/>
    <cellStyle name="Normal 12" xfId="515" xr:uid="{00000000-0005-0000-0000-000053010000}"/>
    <cellStyle name="Normal 12 2" xfId="522" xr:uid="{00000000-0005-0000-0000-000054010000}"/>
    <cellStyle name="Normal 13" xfId="507" xr:uid="{00000000-0005-0000-0000-000055010000}"/>
    <cellStyle name="Normal 13 2" xfId="519" xr:uid="{00000000-0005-0000-0000-000056010000}"/>
    <cellStyle name="Normal 2" xfId="2" xr:uid="{00000000-0005-0000-0000-000057010000}"/>
    <cellStyle name="Normal 2 10" xfId="329" xr:uid="{00000000-0005-0000-0000-000058010000}"/>
    <cellStyle name="Normal 2 2" xfId="330" xr:uid="{00000000-0005-0000-0000-000059010000}"/>
    <cellStyle name="Normal 2 3" xfId="331" xr:uid="{00000000-0005-0000-0000-00005A010000}"/>
    <cellStyle name="Normal 2 3 2" xfId="332" xr:uid="{00000000-0005-0000-0000-00005B010000}"/>
    <cellStyle name="Normal 2 3 2 2" xfId="333" xr:uid="{00000000-0005-0000-0000-00005C010000}"/>
    <cellStyle name="Normal 2 3 2 2 2" xfId="334" xr:uid="{00000000-0005-0000-0000-00005D010000}"/>
    <cellStyle name="Normal 2 3 2 2 2 2" xfId="335" xr:uid="{00000000-0005-0000-0000-00005E010000}"/>
    <cellStyle name="Normal 2 3 2 2 2 2 2" xfId="336" xr:uid="{00000000-0005-0000-0000-00005F010000}"/>
    <cellStyle name="Normal 2 3 2 2 2 3" xfId="337" xr:uid="{00000000-0005-0000-0000-000060010000}"/>
    <cellStyle name="Normal 2 3 2 2 3" xfId="338" xr:uid="{00000000-0005-0000-0000-000061010000}"/>
    <cellStyle name="Normal 2 3 2 2 3 2" xfId="339" xr:uid="{00000000-0005-0000-0000-000062010000}"/>
    <cellStyle name="Normal 2 3 2 2 4" xfId="340" xr:uid="{00000000-0005-0000-0000-000063010000}"/>
    <cellStyle name="Normal 2 3 2 3" xfId="341" xr:uid="{00000000-0005-0000-0000-000064010000}"/>
    <cellStyle name="Normal 2 3 2 3 2" xfId="342" xr:uid="{00000000-0005-0000-0000-000065010000}"/>
    <cellStyle name="Normal 2 3 2 3 2 2" xfId="343" xr:uid="{00000000-0005-0000-0000-000066010000}"/>
    <cellStyle name="Normal 2 3 2 3 3" xfId="344" xr:uid="{00000000-0005-0000-0000-000067010000}"/>
    <cellStyle name="Normal 2 3 2 4" xfId="345" xr:uid="{00000000-0005-0000-0000-000068010000}"/>
    <cellStyle name="Normal 2 3 2 4 2" xfId="346" xr:uid="{00000000-0005-0000-0000-000069010000}"/>
    <cellStyle name="Normal 2 3 2 5" xfId="347" xr:uid="{00000000-0005-0000-0000-00006A010000}"/>
    <cellStyle name="Normal 2 3 3" xfId="348" xr:uid="{00000000-0005-0000-0000-00006B010000}"/>
    <cellStyle name="Normal 2 3 3 2" xfId="349" xr:uid="{00000000-0005-0000-0000-00006C010000}"/>
    <cellStyle name="Normal 2 3 3 2 2" xfId="350" xr:uid="{00000000-0005-0000-0000-00006D010000}"/>
    <cellStyle name="Normal 2 3 3 2 2 2" xfId="351" xr:uid="{00000000-0005-0000-0000-00006E010000}"/>
    <cellStyle name="Normal 2 3 3 2 2 2 2" xfId="352" xr:uid="{00000000-0005-0000-0000-00006F010000}"/>
    <cellStyle name="Normal 2 3 3 2 2 3" xfId="353" xr:uid="{00000000-0005-0000-0000-000070010000}"/>
    <cellStyle name="Normal 2 3 3 2 3" xfId="354" xr:uid="{00000000-0005-0000-0000-000071010000}"/>
    <cellStyle name="Normal 2 3 3 2 3 2" xfId="355" xr:uid="{00000000-0005-0000-0000-000072010000}"/>
    <cellStyle name="Normal 2 3 3 2 4" xfId="356" xr:uid="{00000000-0005-0000-0000-000073010000}"/>
    <cellStyle name="Normal 2 3 3 3" xfId="357" xr:uid="{00000000-0005-0000-0000-000074010000}"/>
    <cellStyle name="Normal 2 3 3 3 2" xfId="358" xr:uid="{00000000-0005-0000-0000-000075010000}"/>
    <cellStyle name="Normal 2 3 3 3 2 2" xfId="359" xr:uid="{00000000-0005-0000-0000-000076010000}"/>
    <cellStyle name="Normal 2 3 3 3 3" xfId="360" xr:uid="{00000000-0005-0000-0000-000077010000}"/>
    <cellStyle name="Normal 2 3 3 4" xfId="361" xr:uid="{00000000-0005-0000-0000-000078010000}"/>
    <cellStyle name="Normal 2 3 3 4 2" xfId="362" xr:uid="{00000000-0005-0000-0000-000079010000}"/>
    <cellStyle name="Normal 2 3 3 5" xfId="363" xr:uid="{00000000-0005-0000-0000-00007A010000}"/>
    <cellStyle name="Normal 2 3 4" xfId="364" xr:uid="{00000000-0005-0000-0000-00007B010000}"/>
    <cellStyle name="Normal 2 3 4 2" xfId="365" xr:uid="{00000000-0005-0000-0000-00007C010000}"/>
    <cellStyle name="Normal 2 3 4 2 2" xfId="366" xr:uid="{00000000-0005-0000-0000-00007D010000}"/>
    <cellStyle name="Normal 2 3 4 2 2 2" xfId="367" xr:uid="{00000000-0005-0000-0000-00007E010000}"/>
    <cellStyle name="Normal 2 3 4 2 3" xfId="368" xr:uid="{00000000-0005-0000-0000-00007F010000}"/>
    <cellStyle name="Normal 2 3 4 3" xfId="369" xr:uid="{00000000-0005-0000-0000-000080010000}"/>
    <cellStyle name="Normal 2 3 4 3 2" xfId="370" xr:uid="{00000000-0005-0000-0000-000081010000}"/>
    <cellStyle name="Normal 2 3 4 4" xfId="371" xr:uid="{00000000-0005-0000-0000-000082010000}"/>
    <cellStyle name="Normal 2 3 5" xfId="372" xr:uid="{00000000-0005-0000-0000-000083010000}"/>
    <cellStyle name="Normal 2 3 5 2" xfId="373" xr:uid="{00000000-0005-0000-0000-000084010000}"/>
    <cellStyle name="Normal 2 3 5 2 2" xfId="374" xr:uid="{00000000-0005-0000-0000-000085010000}"/>
    <cellStyle name="Normal 2 3 5 3" xfId="375" xr:uid="{00000000-0005-0000-0000-000086010000}"/>
    <cellStyle name="Normal 2 3 6" xfId="376" xr:uid="{00000000-0005-0000-0000-000087010000}"/>
    <cellStyle name="Normal 2 3 6 2" xfId="377" xr:uid="{00000000-0005-0000-0000-000088010000}"/>
    <cellStyle name="Normal 2 3 7" xfId="378" xr:uid="{00000000-0005-0000-0000-000089010000}"/>
    <cellStyle name="Normal 2 4" xfId="379" xr:uid="{00000000-0005-0000-0000-00008A010000}"/>
    <cellStyle name="Normal 2 4 2" xfId="380" xr:uid="{00000000-0005-0000-0000-00008B010000}"/>
    <cellStyle name="Normal 2 4 2 2" xfId="381" xr:uid="{00000000-0005-0000-0000-00008C010000}"/>
    <cellStyle name="Normal 2 4 2 2 2" xfId="382" xr:uid="{00000000-0005-0000-0000-00008D010000}"/>
    <cellStyle name="Normal 2 4 2 2 2 2" xfId="383" xr:uid="{00000000-0005-0000-0000-00008E010000}"/>
    <cellStyle name="Normal 2 4 2 2 3" xfId="384" xr:uid="{00000000-0005-0000-0000-00008F010000}"/>
    <cellStyle name="Normal 2 4 2 3" xfId="385" xr:uid="{00000000-0005-0000-0000-000090010000}"/>
    <cellStyle name="Normal 2 4 2 3 2" xfId="386" xr:uid="{00000000-0005-0000-0000-000091010000}"/>
    <cellStyle name="Normal 2 4 2 4" xfId="387" xr:uid="{00000000-0005-0000-0000-000092010000}"/>
    <cellStyle name="Normal 2 4 3" xfId="388" xr:uid="{00000000-0005-0000-0000-000093010000}"/>
    <cellStyle name="Normal 2 4 3 2" xfId="389" xr:uid="{00000000-0005-0000-0000-000094010000}"/>
    <cellStyle name="Normal 2 4 3 2 2" xfId="390" xr:uid="{00000000-0005-0000-0000-000095010000}"/>
    <cellStyle name="Normal 2 4 3 3" xfId="391" xr:uid="{00000000-0005-0000-0000-000096010000}"/>
    <cellStyle name="Normal 2 4 4" xfId="392" xr:uid="{00000000-0005-0000-0000-000097010000}"/>
    <cellStyle name="Normal 2 4 4 2" xfId="393" xr:uid="{00000000-0005-0000-0000-000098010000}"/>
    <cellStyle name="Normal 2 4 5" xfId="394" xr:uid="{00000000-0005-0000-0000-000099010000}"/>
    <cellStyle name="Normal 2 5" xfId="395" xr:uid="{00000000-0005-0000-0000-00009A010000}"/>
    <cellStyle name="Normal 2 5 2" xfId="396" xr:uid="{00000000-0005-0000-0000-00009B010000}"/>
    <cellStyle name="Normal 2 5 2 2" xfId="397" xr:uid="{00000000-0005-0000-0000-00009C010000}"/>
    <cellStyle name="Normal 2 5 2 2 2" xfId="398" xr:uid="{00000000-0005-0000-0000-00009D010000}"/>
    <cellStyle name="Normal 2 5 2 2 2 2" xfId="399" xr:uid="{00000000-0005-0000-0000-00009E010000}"/>
    <cellStyle name="Normal 2 5 2 2 3" xfId="400" xr:uid="{00000000-0005-0000-0000-00009F010000}"/>
    <cellStyle name="Normal 2 5 2 3" xfId="401" xr:uid="{00000000-0005-0000-0000-0000A0010000}"/>
    <cellStyle name="Normal 2 5 2 3 2" xfId="402" xr:uid="{00000000-0005-0000-0000-0000A1010000}"/>
    <cellStyle name="Normal 2 5 2 4" xfId="403" xr:uid="{00000000-0005-0000-0000-0000A2010000}"/>
    <cellStyle name="Normal 2 5 3" xfId="404" xr:uid="{00000000-0005-0000-0000-0000A3010000}"/>
    <cellStyle name="Normal 2 5 3 2" xfId="405" xr:uid="{00000000-0005-0000-0000-0000A4010000}"/>
    <cellStyle name="Normal 2 5 3 2 2" xfId="406" xr:uid="{00000000-0005-0000-0000-0000A5010000}"/>
    <cellStyle name="Normal 2 5 3 3" xfId="407" xr:uid="{00000000-0005-0000-0000-0000A6010000}"/>
    <cellStyle name="Normal 2 5 4" xfId="408" xr:uid="{00000000-0005-0000-0000-0000A7010000}"/>
    <cellStyle name="Normal 2 5 4 2" xfId="409" xr:uid="{00000000-0005-0000-0000-0000A8010000}"/>
    <cellStyle name="Normal 2 5 5" xfId="410" xr:uid="{00000000-0005-0000-0000-0000A9010000}"/>
    <cellStyle name="Normal 2 6" xfId="411" xr:uid="{00000000-0005-0000-0000-0000AA010000}"/>
    <cellStyle name="Normal 2 7" xfId="412" xr:uid="{00000000-0005-0000-0000-0000AB010000}"/>
    <cellStyle name="Normal 2 7 2" xfId="413" xr:uid="{00000000-0005-0000-0000-0000AC010000}"/>
    <cellStyle name="Normal 2 7 2 2" xfId="414" xr:uid="{00000000-0005-0000-0000-0000AD010000}"/>
    <cellStyle name="Normal 2 7 2 2 2" xfId="415" xr:uid="{00000000-0005-0000-0000-0000AE010000}"/>
    <cellStyle name="Normal 2 7 2 3" xfId="416" xr:uid="{00000000-0005-0000-0000-0000AF010000}"/>
    <cellStyle name="Normal 2 7 3" xfId="417" xr:uid="{00000000-0005-0000-0000-0000B0010000}"/>
    <cellStyle name="Normal 2 7 3 2" xfId="418" xr:uid="{00000000-0005-0000-0000-0000B1010000}"/>
    <cellStyle name="Normal 2 7 4" xfId="419" xr:uid="{00000000-0005-0000-0000-0000B2010000}"/>
    <cellStyle name="Normal 2 8" xfId="420" xr:uid="{00000000-0005-0000-0000-0000B3010000}"/>
    <cellStyle name="Normal 2 8 2" xfId="421" xr:uid="{00000000-0005-0000-0000-0000B4010000}"/>
    <cellStyle name="Normal 2 8 2 2" xfId="422" xr:uid="{00000000-0005-0000-0000-0000B5010000}"/>
    <cellStyle name="Normal 2 8 3" xfId="423" xr:uid="{00000000-0005-0000-0000-0000B6010000}"/>
    <cellStyle name="Normal 2 9" xfId="424" xr:uid="{00000000-0005-0000-0000-0000B7010000}"/>
    <cellStyle name="Normal 2 9 2" xfId="425" xr:uid="{00000000-0005-0000-0000-0000B8010000}"/>
    <cellStyle name="Normal 3" xfId="426" xr:uid="{00000000-0005-0000-0000-0000B9010000}"/>
    <cellStyle name="Normal 4" xfId="427" xr:uid="{00000000-0005-0000-0000-0000BA010000}"/>
    <cellStyle name="Normal 5" xfId="428" xr:uid="{00000000-0005-0000-0000-0000BB010000}"/>
    <cellStyle name="Normal 6" xfId="504" xr:uid="{00000000-0005-0000-0000-0000BC010000}"/>
    <cellStyle name="Normal 7" xfId="500" xr:uid="{00000000-0005-0000-0000-0000BD010000}"/>
    <cellStyle name="Normal 7 2" xfId="524" xr:uid="{00000000-0005-0000-0000-0000BE010000}"/>
    <cellStyle name="Normal 8" xfId="505" xr:uid="{00000000-0005-0000-0000-0000BF010000}"/>
    <cellStyle name="Normal 8 2" xfId="518" xr:uid="{00000000-0005-0000-0000-0000C0010000}"/>
    <cellStyle name="Normal 9" xfId="516" xr:uid="{00000000-0005-0000-0000-0000C1010000}"/>
    <cellStyle name="Normal 9 2" xfId="523" xr:uid="{00000000-0005-0000-0000-0000C2010000}"/>
    <cellStyle name="Normal Cells" xfId="429" xr:uid="{00000000-0005-0000-0000-0000C3010000}"/>
    <cellStyle name="Normal_BOBEARN" xfId="499" xr:uid="{00000000-0005-0000-0000-0000C4010000}"/>
    <cellStyle name="Normal_Hdbknew" xfId="498" xr:uid="{00000000-0005-0000-0000-0000C5010000}"/>
    <cellStyle name="Normal_Sector_Summary_Pack_Eur" xfId="525" xr:uid="{00000000-0005-0000-0000-0000C6010000}"/>
    <cellStyle name="Note 2" xfId="430" xr:uid="{00000000-0005-0000-0000-0000C7010000}"/>
    <cellStyle name="Number" xfId="431" xr:uid="{00000000-0005-0000-0000-0000C8010000}"/>
    <cellStyle name="Numbers" xfId="432" xr:uid="{00000000-0005-0000-0000-0000C9010000}"/>
    <cellStyle name="Numbers - Bold" xfId="433" xr:uid="{00000000-0005-0000-0000-0000CA010000}"/>
    <cellStyle name="Numbers - Bold - Italic" xfId="434" xr:uid="{00000000-0005-0000-0000-0000CB010000}"/>
    <cellStyle name="Numbers - Bold_Blend" xfId="435" xr:uid="{00000000-0005-0000-0000-0000CC010000}"/>
    <cellStyle name="Numbers - Large" xfId="436" xr:uid="{00000000-0005-0000-0000-0000CD010000}"/>
    <cellStyle name="Numbers_Comps" xfId="437" xr:uid="{00000000-0005-0000-0000-0000CE010000}"/>
    <cellStyle name="OSW_ColumnLabels" xfId="438" xr:uid="{00000000-0005-0000-0000-0000CF010000}"/>
    <cellStyle name="Output 2" xfId="439" xr:uid="{00000000-0005-0000-0000-0000D0010000}"/>
    <cellStyle name="Page" xfId="440" xr:uid="{00000000-0005-0000-0000-0000D1010000}"/>
    <cellStyle name="Page header" xfId="441" xr:uid="{00000000-0005-0000-0000-0000D2010000}"/>
    <cellStyle name="Percent" xfId="1" builtinId="5"/>
    <cellStyle name="Percent 2" xfId="3" xr:uid="{00000000-0005-0000-0000-0000D4010000}"/>
    <cellStyle name="Percent 2 2" xfId="502" xr:uid="{00000000-0005-0000-0000-0000D5010000}"/>
    <cellStyle name="Percent 3" xfId="4" xr:uid="{00000000-0005-0000-0000-0000D6010000}"/>
    <cellStyle name="Percent 4" xfId="442" xr:uid="{00000000-0005-0000-0000-0000D7010000}"/>
    <cellStyle name="Percent 5" xfId="443" xr:uid="{00000000-0005-0000-0000-0000D8010000}"/>
    <cellStyle name="Percentage" xfId="444" xr:uid="{00000000-0005-0000-0000-0000D9010000}"/>
    <cellStyle name="PlainDollar" xfId="445" xr:uid="{00000000-0005-0000-0000-0000DA010000}"/>
    <cellStyle name="Price" xfId="446" xr:uid="{00000000-0005-0000-0000-0000DB010000}"/>
    <cellStyle name="prot" xfId="447" xr:uid="{00000000-0005-0000-0000-0000DC010000}"/>
    <cellStyle name="Punto" xfId="448" xr:uid="{00000000-0005-0000-0000-0000DD010000}"/>
    <cellStyle name="r" xfId="449" xr:uid="{00000000-0005-0000-0000-0000DE010000}"/>
    <cellStyle name="Reuters Cells" xfId="450" xr:uid="{00000000-0005-0000-0000-0000DF010000}"/>
    <cellStyle name="s" xfId="451" xr:uid="{00000000-0005-0000-0000-0000E0010000}"/>
    <cellStyle name="ShadedCells_Database" xfId="452" xr:uid="{00000000-0005-0000-0000-0000E1010000}"/>
    <cellStyle name="Sheet Title" xfId="453" xr:uid="{00000000-0005-0000-0000-0000E2010000}"/>
    <cellStyle name="ShOut" xfId="454" xr:uid="{00000000-0005-0000-0000-0000E3010000}"/>
    <cellStyle name="SSComma0" xfId="455" xr:uid="{00000000-0005-0000-0000-0000E4010000}"/>
    <cellStyle name="SSComma0 2" xfId="456" xr:uid="{00000000-0005-0000-0000-0000E5010000}"/>
    <cellStyle name="SSComma2" xfId="457" xr:uid="{00000000-0005-0000-0000-0000E6010000}"/>
    <cellStyle name="SSComma2 2" xfId="458" xr:uid="{00000000-0005-0000-0000-0000E7010000}"/>
    <cellStyle name="SSDecs3" xfId="459" xr:uid="{00000000-0005-0000-0000-0000E8010000}"/>
    <cellStyle name="SSDflt" xfId="460" xr:uid="{00000000-0005-0000-0000-0000E9010000}"/>
    <cellStyle name="SSDfltPct" xfId="461" xr:uid="{00000000-0005-0000-0000-0000EA010000}"/>
    <cellStyle name="SSDfltPct 2" xfId="462" xr:uid="{00000000-0005-0000-0000-0000EB010000}"/>
    <cellStyle name="SSDfltPct0" xfId="463" xr:uid="{00000000-0005-0000-0000-0000EC010000}"/>
    <cellStyle name="SSDfltPct0 2" xfId="464" xr:uid="{00000000-0005-0000-0000-0000ED010000}"/>
    <cellStyle name="SSFixed2" xfId="465" xr:uid="{00000000-0005-0000-0000-0000EE010000}"/>
    <cellStyle name="SSFixed2 2" xfId="466" xr:uid="{00000000-0005-0000-0000-0000EF010000}"/>
    <cellStyle name="Style 1" xfId="467" xr:uid="{00000000-0005-0000-0000-0000F0010000}"/>
    <cellStyle name="Style 2" xfId="468" xr:uid="{00000000-0005-0000-0000-0000F1010000}"/>
    <cellStyle name="Style 3" xfId="469" xr:uid="{00000000-0005-0000-0000-0000F2010000}"/>
    <cellStyle name="Style D green" xfId="470" xr:uid="{00000000-0005-0000-0000-0000F3010000}"/>
    <cellStyle name="Style E" xfId="471" xr:uid="{00000000-0005-0000-0000-0000F4010000}"/>
    <cellStyle name="Style H" xfId="472" xr:uid="{00000000-0005-0000-0000-0000F5010000}"/>
    <cellStyle name="Sub total" xfId="473" xr:uid="{00000000-0005-0000-0000-0000F6010000}"/>
    <cellStyle name="Sum" xfId="474" xr:uid="{00000000-0005-0000-0000-0000F7010000}"/>
    <cellStyle name="Swiss" xfId="475" xr:uid="{00000000-0005-0000-0000-0000F8010000}"/>
    <cellStyle name="t" xfId="476" xr:uid="{00000000-0005-0000-0000-0000F9010000}"/>
    <cellStyle name="Table end" xfId="477" xr:uid="{00000000-0005-0000-0000-0000FA010000}"/>
    <cellStyle name="Table head" xfId="478" xr:uid="{00000000-0005-0000-0000-0000FB010000}"/>
    <cellStyle name="table text bold" xfId="479" xr:uid="{00000000-0005-0000-0000-0000FC010000}"/>
    <cellStyle name="table text bold green" xfId="480" xr:uid="{00000000-0005-0000-0000-0000FD010000}"/>
    <cellStyle name="table text light" xfId="481" xr:uid="{00000000-0005-0000-0000-0000FE010000}"/>
    <cellStyle name="Table Title" xfId="482" xr:uid="{00000000-0005-0000-0000-0000FF010000}"/>
    <cellStyle name="Table Units" xfId="483" xr:uid="{00000000-0005-0000-0000-000000020000}"/>
    <cellStyle name="Time" xfId="484" xr:uid="{00000000-0005-0000-0000-000001020000}"/>
    <cellStyle name="Title - PROJECT" xfId="485" xr:uid="{00000000-0005-0000-0000-000002020000}"/>
    <cellStyle name="Title - Underline" xfId="486" xr:uid="{00000000-0005-0000-0000-000003020000}"/>
    <cellStyle name="Title 2" xfId="487" xr:uid="{00000000-0005-0000-0000-000004020000}"/>
    <cellStyle name="Title1" xfId="488" xr:uid="{00000000-0005-0000-0000-000005020000}"/>
    <cellStyle name="Title2" xfId="489" xr:uid="{00000000-0005-0000-0000-000006020000}"/>
    <cellStyle name="Titles - Col. Headings" xfId="490" xr:uid="{00000000-0005-0000-0000-000007020000}"/>
    <cellStyle name="Titles - Other" xfId="491" xr:uid="{00000000-0005-0000-0000-000008020000}"/>
    <cellStyle name="Total 2" xfId="492" xr:uid="{00000000-0005-0000-0000-000009020000}"/>
    <cellStyle name="UnderLine" xfId="493" xr:uid="{00000000-0005-0000-0000-00000A020000}"/>
    <cellStyle name="unm" xfId="494" xr:uid="{00000000-0005-0000-0000-00000B020000}"/>
    <cellStyle name="Warning Text 2" xfId="495" xr:uid="{00000000-0005-0000-0000-00000C020000}"/>
    <cellStyle name="Year" xfId="496" xr:uid="{00000000-0005-0000-0000-00000D020000}"/>
    <cellStyle name="Years" xfId="497" xr:uid="{00000000-0005-0000-0000-00000E020000}"/>
  </cellStyles>
  <dxfs count="21">
    <dxf>
      <font>
        <b val="0"/>
        <i val="0"/>
        <color rgb="FF000000"/>
      </font>
      <fill>
        <patternFill>
          <bgColor rgb="FFFFC000"/>
        </patternFill>
      </fill>
    </dxf>
    <dxf>
      <font>
        <b val="0"/>
        <i val="0"/>
        <color rgb="FF00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A5A5A5"/>
        </patternFill>
      </fill>
    </dxf>
    <dxf>
      <fill>
        <patternFill>
          <bgColor rgb="FFCCCCCC"/>
        </patternFill>
      </fill>
    </dxf>
    <dxf>
      <fill>
        <patternFill>
          <bgColor rgb="FFA5A5A5"/>
        </patternFill>
      </fill>
    </dxf>
    <dxf>
      <fill>
        <patternFill>
          <bgColor rgb="FFCCFFCC"/>
        </patternFill>
      </fill>
    </dxf>
    <dxf>
      <font>
        <b val="0"/>
        <i val="0"/>
        <color rgb="FF000000"/>
      </font>
      <fill>
        <patternFill>
          <bgColor rgb="FFFFC000"/>
        </patternFill>
      </fill>
    </dxf>
    <dxf>
      <font>
        <b val="0"/>
        <i val="0"/>
        <color rgb="FF00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rgb="FF000000"/>
      </font>
      <fill>
        <patternFill>
          <bgColor rgb="FFFFC000"/>
        </patternFill>
      </fill>
    </dxf>
    <dxf>
      <font>
        <b val="0"/>
        <i val="0"/>
        <color rgb="FF00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rgb="FF000000"/>
      </font>
      <fill>
        <patternFill>
          <bgColor rgb="FFFFC000"/>
        </patternFill>
      </fill>
    </dxf>
    <dxf>
      <font>
        <b val="0"/>
        <i val="0"/>
        <color rgb="FF00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A5A5A5"/>
        </patternFill>
      </fill>
    </dxf>
    <dxf>
      <fill>
        <patternFill>
          <bgColor rgb="FFA5A5A5"/>
        </patternFill>
      </fill>
    </dxf>
    <dxf>
      <fill>
        <patternFill>
          <bgColor rgb="FFCCCCCC"/>
        </patternFill>
      </fill>
    </dxf>
    <dxf>
      <fill>
        <patternFill>
          <bgColor rgb="FFCCFFCC"/>
        </patternFill>
      </fill>
    </dxf>
    <dxf>
      <font>
        <b val="0"/>
        <i val="0"/>
        <color rgb="FF000000"/>
      </font>
      <fill>
        <patternFill>
          <bgColor rgb="FFFFC000"/>
        </patternFill>
      </fill>
    </dxf>
    <dxf>
      <font>
        <b val="0"/>
        <i val="0"/>
        <color rgb="FF00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rgb="FF000000"/>
      </font>
      <fill>
        <patternFill>
          <bgColor rgb="FFFFC000"/>
        </patternFill>
      </fill>
    </dxf>
    <dxf>
      <font>
        <b val="0"/>
        <i val="0"/>
        <color rgb="FF00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lightGray">
          <fgColor rgb="FFFFC000"/>
        </patternFill>
      </fill>
    </dxf>
  </dxfs>
  <tableStyles count="0" defaultTableStyle="TableStyleMedium2" defaultPivotStyle="PivotStyleLight16"/>
  <colors>
    <mruColors>
      <color rgb="FF3366FF"/>
      <color rgb="FF008000"/>
      <color rgb="FF0035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0</xdr:rowOff>
    </xdr:from>
    <xdr:to>
      <xdr:col>1</xdr:col>
      <xdr:colOff>1924050</xdr:colOff>
      <xdr:row>3</xdr:row>
      <xdr:rowOff>0</xdr:rowOff>
    </xdr:to>
    <xdr:pic>
      <xdr:nvPicPr>
        <xdr:cNvPr id="2" name="Picture 1" descr="Goldman Sachs Research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57150"/>
          <a:ext cx="19050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149225</xdr:rowOff>
    </xdr:from>
    <xdr:to>
      <xdr:col>9</xdr:col>
      <xdr:colOff>185928</xdr:colOff>
      <xdr:row>10</xdr:row>
      <xdr:rowOff>9525</xdr:rowOff>
    </xdr:to>
    <xdr:sp macro="[0]!Updat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305675" y="911225"/>
          <a:ext cx="1024128" cy="622300"/>
        </a:xfrm>
        <a:prstGeom prst="rect">
          <a:avLst/>
        </a:prstGeom>
        <a:solidFill>
          <a:srgbClr val="5E76AA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FFFFFF"/>
              </a:solidFill>
              <a:latin typeface="Arial Bold"/>
              <a:cs typeface="Arial Bold"/>
            </a:rPr>
            <a:t>Push before updating model</a:t>
          </a:r>
        </a:p>
      </xdr:txBody>
    </xdr:sp>
    <xdr:clientData/>
  </xdr:twoCellAnchor>
  <xdr:twoCellAnchor editAs="oneCell">
    <xdr:from>
      <xdr:col>9</xdr:col>
      <xdr:colOff>533400</xdr:colOff>
      <xdr:row>1</xdr:row>
      <xdr:rowOff>0</xdr:rowOff>
    </xdr:from>
    <xdr:to>
      <xdr:col>10</xdr:col>
      <xdr:colOff>295397</xdr:colOff>
      <xdr:row>5</xdr:row>
      <xdr:rowOff>28575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8225" y="152400"/>
          <a:ext cx="581147" cy="638175"/>
        </a:xfrm>
        <a:prstGeom prst="rect">
          <a:avLst/>
        </a:prstGeom>
      </xdr:spPr>
    </xdr:pic>
    <xdr:clientData/>
  </xdr:twoCellAnchor>
  <xdr:twoCellAnchor>
    <xdr:from>
      <xdr:col>9</xdr:col>
      <xdr:colOff>300037</xdr:colOff>
      <xdr:row>5</xdr:row>
      <xdr:rowOff>149225</xdr:rowOff>
    </xdr:from>
    <xdr:to>
      <xdr:col>10</xdr:col>
      <xdr:colOff>505015</xdr:colOff>
      <xdr:row>10</xdr:row>
      <xdr:rowOff>9017</xdr:rowOff>
    </xdr:to>
    <xdr:sp macro="[0]!SolveFreeFund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443912" y="911225"/>
          <a:ext cx="1024128" cy="621792"/>
        </a:xfrm>
        <a:prstGeom prst="rect">
          <a:avLst/>
        </a:prstGeom>
        <a:solidFill>
          <a:schemeClr val="accent2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ysClr val="windowText" lastClr="000000"/>
              </a:solidFill>
              <a:latin typeface="Arial Bold"/>
              <a:cs typeface="Arial Bold"/>
            </a:rPr>
            <a:t>Push to solve free fund earnings</a:t>
          </a:r>
        </a:p>
      </xdr:txBody>
    </xdr:sp>
    <xdr:clientData/>
  </xdr:twoCellAnchor>
  <xdr:oneCellAnchor>
    <xdr:from>
      <xdr:col>10</xdr:col>
      <xdr:colOff>619125</xdr:colOff>
      <xdr:row>5</xdr:row>
      <xdr:rowOff>149225</xdr:rowOff>
    </xdr:from>
    <xdr:ext cx="1026795" cy="621792"/>
    <xdr:sp macro="[0]!SolveTaxDif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563100" y="911225"/>
          <a:ext cx="1026795" cy="621792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>
          <a:noAutofit/>
        </a:bodyPr>
        <a:lstStyle/>
        <a:p>
          <a:pPr algn="ctr" rtl="0"/>
          <a:r>
            <a:rPr lang="en-US" sz="1000" b="0" i="0" baseline="0">
              <a:solidFill>
                <a:sysClr val="windowText" lastClr="000000"/>
              </a:solidFill>
              <a:effectLst/>
              <a:latin typeface="Arial Bold" panose="020B0704020202020204" pitchFamily="34" charset="0"/>
              <a:ea typeface="+mn-ea"/>
              <a:cs typeface="Arial Bold" panose="020B0704020202020204" pitchFamily="34" charset="0"/>
            </a:rPr>
            <a:t>Push to solve divisional tax differential</a:t>
          </a:r>
          <a:endParaRPr lang="en-US" sz="1000">
            <a:solidFill>
              <a:sysClr val="windowText" lastClr="000000"/>
            </a:solidFill>
            <a:effectLst/>
            <a:latin typeface="Arial Bold" panose="020B0704020202020204" pitchFamily="34" charset="0"/>
            <a:cs typeface="Arial Bold" panose="020B0704020202020204" pitchFamily="34" charset="0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firmwide.corp.gs.com\root\Projects\Research\au\Financials\BANKS\Macro\GS_Forecast%20summary.xlsx" TargetMode="External"/><Relationship Id="rId1" Type="http://schemas.openxmlformats.org/officeDocument/2006/relationships/externalLinkPath" Target="/Projects/Research/au/Financials/BANKS/Macro/GS_Forecast%20summary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firmwide.corp.gs.com\root\Projects\Research\au\Financials\BANKS\Models\Forecasting\Bank%20Sector%20Forecasting.xlsx" TargetMode="External"/><Relationship Id="rId1" Type="http://schemas.openxmlformats.org/officeDocument/2006/relationships/externalLinkPath" Target="/Projects/Research/au/Financials/BANKS/Models/Forecasting/Bank%20Sector%20Forecasting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firmwide.corp.gs.com\root\Projects\Research\au\Financials\BANKS\Models\Published\MQG\2026.01.13%20MQG%20Model%20(unlinked).xlsm" TargetMode="External"/><Relationship Id="rId1" Type="http://schemas.openxmlformats.org/officeDocument/2006/relationships/externalLinkPath" Target="2026.01.13%20MQG%20Model%20(unlinked)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Research\au\Financials\BANKS\Models\Published\Bank%20Sector%20Forecasting\29102025%20Bank%20Sector%20Forecasting%20(unlinked).xlsx" TargetMode="External"/><Relationship Id="rId1" Type="http://schemas.openxmlformats.org/officeDocument/2006/relationships/externalLinkPath" Target="/Projects/Research/au/Financials/BANKS/Models/Published/Bank%20Sector%20Forecasting/29102025%20Bank%20Sector%20Forecasting%20(unlinked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Policy-Rate-Forecasts-EOP"/>
    </sheetNames>
    <sheetDataSet>
      <sheetData sheetId="0">
        <row r="2">
          <cell r="B2" t="str">
            <v>Period end</v>
          </cell>
          <cell r="C2" t="str">
            <v>Current</v>
          </cell>
          <cell r="D2">
            <v>33694</v>
          </cell>
          <cell r="E2">
            <v>33785</v>
          </cell>
          <cell r="F2">
            <v>33877</v>
          </cell>
          <cell r="G2">
            <v>33969</v>
          </cell>
          <cell r="H2">
            <v>34059</v>
          </cell>
          <cell r="I2">
            <v>34150</v>
          </cell>
          <cell r="J2">
            <v>34242</v>
          </cell>
          <cell r="K2">
            <v>34334</v>
          </cell>
          <cell r="L2">
            <v>34424</v>
          </cell>
          <cell r="M2">
            <v>34515</v>
          </cell>
          <cell r="N2">
            <v>34607</v>
          </cell>
          <cell r="O2">
            <v>34699</v>
          </cell>
          <cell r="P2">
            <v>34789</v>
          </cell>
          <cell r="Q2">
            <v>34880</v>
          </cell>
          <cell r="R2">
            <v>34972</v>
          </cell>
          <cell r="S2">
            <v>35064</v>
          </cell>
          <cell r="T2">
            <v>35155</v>
          </cell>
          <cell r="U2">
            <v>35246</v>
          </cell>
          <cell r="V2">
            <v>35338</v>
          </cell>
          <cell r="W2">
            <v>35430</v>
          </cell>
          <cell r="X2">
            <v>35520</v>
          </cell>
          <cell r="Y2">
            <v>35611</v>
          </cell>
          <cell r="Z2">
            <v>35703</v>
          </cell>
          <cell r="AA2">
            <v>35795</v>
          </cell>
          <cell r="AB2">
            <v>35885</v>
          </cell>
          <cell r="AC2">
            <v>35976</v>
          </cell>
          <cell r="AD2">
            <v>36068</v>
          </cell>
          <cell r="AE2">
            <v>36160</v>
          </cell>
          <cell r="AF2">
            <v>36250</v>
          </cell>
          <cell r="AG2">
            <v>36341</v>
          </cell>
          <cell r="AH2">
            <v>36433</v>
          </cell>
          <cell r="AI2">
            <v>36525</v>
          </cell>
          <cell r="AJ2">
            <v>36616</v>
          </cell>
          <cell r="AK2">
            <v>36707</v>
          </cell>
          <cell r="AL2">
            <v>36799</v>
          </cell>
          <cell r="AM2">
            <v>36891</v>
          </cell>
          <cell r="AN2">
            <v>36981</v>
          </cell>
          <cell r="AO2">
            <v>37072</v>
          </cell>
          <cell r="AP2">
            <v>37164</v>
          </cell>
          <cell r="AQ2">
            <v>37256</v>
          </cell>
          <cell r="AR2">
            <v>37346</v>
          </cell>
          <cell r="AS2">
            <v>37437</v>
          </cell>
          <cell r="AT2">
            <v>37529</v>
          </cell>
          <cell r="AU2">
            <v>37621</v>
          </cell>
          <cell r="AV2">
            <v>37711</v>
          </cell>
          <cell r="AW2">
            <v>37802</v>
          </cell>
          <cell r="AX2">
            <v>37894</v>
          </cell>
          <cell r="AY2">
            <v>37986</v>
          </cell>
          <cell r="AZ2">
            <v>38077</v>
          </cell>
          <cell r="BA2">
            <v>38168</v>
          </cell>
          <cell r="BB2">
            <v>38260</v>
          </cell>
          <cell r="BC2">
            <v>38352</v>
          </cell>
          <cell r="BD2">
            <v>38442</v>
          </cell>
          <cell r="BE2">
            <v>38533</v>
          </cell>
          <cell r="BF2">
            <v>38625</v>
          </cell>
          <cell r="BG2">
            <v>38717</v>
          </cell>
          <cell r="BH2">
            <v>38807</v>
          </cell>
          <cell r="BI2">
            <v>38898</v>
          </cell>
          <cell r="BJ2">
            <v>38990</v>
          </cell>
          <cell r="BK2">
            <v>39082</v>
          </cell>
          <cell r="BL2">
            <v>39172</v>
          </cell>
          <cell r="BM2">
            <v>39263</v>
          </cell>
          <cell r="BN2">
            <v>39355</v>
          </cell>
          <cell r="BO2">
            <v>39447</v>
          </cell>
          <cell r="BP2">
            <v>39538</v>
          </cell>
          <cell r="BQ2">
            <v>39629</v>
          </cell>
          <cell r="BR2">
            <v>39721</v>
          </cell>
          <cell r="BS2">
            <v>39813</v>
          </cell>
          <cell r="BT2">
            <v>39903</v>
          </cell>
          <cell r="BU2">
            <v>39994</v>
          </cell>
          <cell r="BV2">
            <v>40086</v>
          </cell>
          <cell r="BW2">
            <v>40178</v>
          </cell>
          <cell r="BX2">
            <v>40268</v>
          </cell>
          <cell r="BY2">
            <v>40359</v>
          </cell>
          <cell r="BZ2">
            <v>40451</v>
          </cell>
          <cell r="CA2">
            <v>40543</v>
          </cell>
          <cell r="CB2">
            <v>40633</v>
          </cell>
          <cell r="CC2">
            <v>40724</v>
          </cell>
          <cell r="CD2">
            <v>40816</v>
          </cell>
          <cell r="CE2">
            <v>40908</v>
          </cell>
          <cell r="CF2">
            <v>40999</v>
          </cell>
          <cell r="CG2">
            <v>41090</v>
          </cell>
          <cell r="CH2">
            <v>41182</v>
          </cell>
          <cell r="CI2">
            <v>41274</v>
          </cell>
          <cell r="CJ2">
            <v>41364</v>
          </cell>
          <cell r="CK2">
            <v>41455</v>
          </cell>
          <cell r="CL2">
            <v>41547</v>
          </cell>
          <cell r="CM2">
            <v>41639</v>
          </cell>
          <cell r="CN2">
            <v>41729</v>
          </cell>
          <cell r="CO2">
            <v>41820</v>
          </cell>
          <cell r="CP2">
            <v>41912</v>
          </cell>
          <cell r="CQ2">
            <v>42004</v>
          </cell>
          <cell r="CR2">
            <v>42094</v>
          </cell>
          <cell r="CS2">
            <v>42185</v>
          </cell>
          <cell r="CT2">
            <v>42277</v>
          </cell>
          <cell r="CU2">
            <v>42369</v>
          </cell>
          <cell r="CV2">
            <v>42460</v>
          </cell>
          <cell r="CW2">
            <v>42551</v>
          </cell>
          <cell r="CX2">
            <v>42643</v>
          </cell>
          <cell r="CY2">
            <v>42735</v>
          </cell>
          <cell r="CZ2">
            <v>42825</v>
          </cell>
          <cell r="DA2">
            <v>42916</v>
          </cell>
          <cell r="DB2">
            <v>43008</v>
          </cell>
          <cell r="DC2">
            <v>43100</v>
          </cell>
          <cell r="DD2">
            <v>43190</v>
          </cell>
          <cell r="DE2">
            <v>43281</v>
          </cell>
          <cell r="DF2">
            <v>43373</v>
          </cell>
          <cell r="DG2">
            <v>43465</v>
          </cell>
          <cell r="DH2">
            <v>43555</v>
          </cell>
          <cell r="DI2">
            <v>43646</v>
          </cell>
          <cell r="DJ2">
            <v>43738</v>
          </cell>
          <cell r="DK2">
            <v>43830</v>
          </cell>
          <cell r="DL2">
            <v>43921</v>
          </cell>
          <cell r="DM2">
            <v>44012</v>
          </cell>
          <cell r="DN2">
            <v>44104</v>
          </cell>
          <cell r="DO2">
            <v>44196</v>
          </cell>
          <cell r="DP2">
            <v>44286</v>
          </cell>
          <cell r="DQ2">
            <v>44377</v>
          </cell>
          <cell r="DR2">
            <v>44469</v>
          </cell>
          <cell r="DS2">
            <v>44561</v>
          </cell>
          <cell r="DT2">
            <v>44651</v>
          </cell>
          <cell r="DU2">
            <v>44742</v>
          </cell>
          <cell r="DV2">
            <v>44834</v>
          </cell>
          <cell r="DW2">
            <v>44926</v>
          </cell>
          <cell r="DX2">
            <v>45016</v>
          </cell>
          <cell r="DY2">
            <v>45107</v>
          </cell>
          <cell r="DZ2">
            <v>45199</v>
          </cell>
          <cell r="EA2">
            <v>45291</v>
          </cell>
          <cell r="EB2">
            <v>45382</v>
          </cell>
          <cell r="EC2">
            <v>45473</v>
          </cell>
          <cell r="ED2">
            <v>45565</v>
          </cell>
          <cell r="EE2">
            <v>45657</v>
          </cell>
          <cell r="EF2">
            <v>45747</v>
          </cell>
          <cell r="EG2">
            <v>45838</v>
          </cell>
          <cell r="EH2">
            <v>45930</v>
          </cell>
          <cell r="EI2">
            <v>46022</v>
          </cell>
          <cell r="EJ2">
            <v>46112</v>
          </cell>
          <cell r="EK2">
            <v>46203</v>
          </cell>
          <cell r="EL2">
            <v>46295</v>
          </cell>
          <cell r="EM2">
            <v>46387</v>
          </cell>
          <cell r="EN2">
            <v>46477</v>
          </cell>
          <cell r="EO2">
            <v>46568</v>
          </cell>
          <cell r="EP2">
            <v>46660</v>
          </cell>
          <cell r="EQ2">
            <v>46752</v>
          </cell>
          <cell r="ER2">
            <v>46843</v>
          </cell>
          <cell r="ES2">
            <v>46934</v>
          </cell>
          <cell r="ET2">
            <v>47026</v>
          </cell>
          <cell r="EU2">
            <v>47118</v>
          </cell>
          <cell r="EV2">
            <v>47208</v>
          </cell>
          <cell r="EW2">
            <v>47299</v>
          </cell>
          <cell r="EX2">
            <v>47391</v>
          </cell>
          <cell r="EY2">
            <v>47483</v>
          </cell>
          <cell r="EZ2">
            <v>47573</v>
          </cell>
          <cell r="FA2">
            <v>47664</v>
          </cell>
          <cell r="FB2">
            <v>47756</v>
          </cell>
          <cell r="FC2">
            <v>47848</v>
          </cell>
          <cell r="FD2">
            <v>47938</v>
          </cell>
          <cell r="FE2">
            <v>48029</v>
          </cell>
          <cell r="FF2">
            <v>48121</v>
          </cell>
          <cell r="FG2">
            <v>48213</v>
          </cell>
          <cell r="FH2">
            <v>48304</v>
          </cell>
          <cell r="FI2">
            <v>48395</v>
          </cell>
          <cell r="FJ2">
            <v>48487</v>
          </cell>
          <cell r="FK2">
            <v>48579</v>
          </cell>
          <cell r="FL2">
            <v>48669</v>
          </cell>
          <cell r="FM2">
            <v>48760</v>
          </cell>
          <cell r="FN2">
            <v>48852</v>
          </cell>
          <cell r="FO2">
            <v>48944</v>
          </cell>
          <cell r="FP2">
            <v>49034</v>
          </cell>
          <cell r="FQ2">
            <v>49125</v>
          </cell>
          <cell r="FR2">
            <v>49217</v>
          </cell>
          <cell r="FS2">
            <v>49309</v>
          </cell>
          <cell r="FT2">
            <v>49399</v>
          </cell>
          <cell r="FU2">
            <v>49490</v>
          </cell>
        </row>
        <row r="4">
          <cell r="A4" t="str">
            <v>VLOOKUP CODING</v>
          </cell>
          <cell r="B4" t="str">
            <v>COLOUR CODING</v>
          </cell>
        </row>
        <row r="6">
          <cell r="B6" t="str">
            <v>Calculations</v>
          </cell>
        </row>
        <row r="7">
          <cell r="B7" t="str">
            <v>Actuals</v>
          </cell>
        </row>
        <row r="8">
          <cell r="B8" t="str">
            <v>Assumptions</v>
          </cell>
        </row>
        <row r="9">
          <cell r="B9" t="str">
            <v>External links</v>
          </cell>
        </row>
        <row r="11">
          <cell r="B11" t="str">
            <v>Valuation</v>
          </cell>
        </row>
        <row r="12">
          <cell r="A12" t="str">
            <v>Valn_AsAtDate</v>
          </cell>
          <cell r="B12" t="str">
            <v>Valuation as at date</v>
          </cell>
          <cell r="C12">
            <v>46265</v>
          </cell>
        </row>
        <row r="13">
          <cell r="A13" t="str">
            <v>Valn_TerminalGrowth</v>
          </cell>
          <cell r="B13" t="str">
            <v>Terminal growth rate</v>
          </cell>
          <cell r="C13">
            <v>2.5000000000000001E-2</v>
          </cell>
        </row>
        <row r="14">
          <cell r="A14" t="str">
            <v>Valn_RiskFreeRate</v>
          </cell>
          <cell r="B14" t="str">
            <v>Risk free rate (Rf)</v>
          </cell>
          <cell r="C14">
            <v>3.5000000000000003E-2</v>
          </cell>
        </row>
        <row r="15">
          <cell r="A15" t="str">
            <v>Valn_MRP</v>
          </cell>
          <cell r="B15" t="str">
            <v>Market risk premium (Rm)</v>
          </cell>
          <cell r="C15">
            <v>0.06</v>
          </cell>
        </row>
        <row r="18">
          <cell r="B18" t="str">
            <v>Rates - period end</v>
          </cell>
        </row>
        <row r="19">
          <cell r="A19" t="str">
            <v>au_cash</v>
          </cell>
          <cell r="B19" t="str">
            <v>Aust cash</v>
          </cell>
          <cell r="D19">
            <v>7.4499999999999997E-2</v>
          </cell>
          <cell r="E19">
            <v>6.5000000000000002E-2</v>
          </cell>
          <cell r="F19">
            <v>5.2999999999999999E-2</v>
          </cell>
          <cell r="G19">
            <v>5.7500000000000002E-2</v>
          </cell>
          <cell r="H19">
            <v>5.1500000000000004E-2</v>
          </cell>
          <cell r="I19">
            <v>5.1500000000000004E-2</v>
          </cell>
          <cell r="J19">
            <v>4.7E-2</v>
          </cell>
          <cell r="K19">
            <v>4.8000000000000001E-2</v>
          </cell>
          <cell r="L19">
            <v>4.7500000000000001E-2</v>
          </cell>
          <cell r="M19">
            <v>4.4999999999999998E-2</v>
          </cell>
          <cell r="N19">
            <v>5.5E-2</v>
          </cell>
          <cell r="O19">
            <v>7.4499999999999997E-2</v>
          </cell>
          <cell r="P19">
            <v>7.4499999999999997E-2</v>
          </cell>
          <cell r="Q19">
            <v>7.3700000000000002E-2</v>
          </cell>
          <cell r="R19">
            <v>7.400000000000001E-2</v>
          </cell>
          <cell r="S19">
            <v>7.400000000000001E-2</v>
          </cell>
          <cell r="T19">
            <v>7.2999999999999995E-2</v>
          </cell>
          <cell r="U19">
            <v>7.0000000000000007E-2</v>
          </cell>
          <cell r="V19">
            <v>7.0499999999999993E-2</v>
          </cell>
          <cell r="W19">
            <v>6.0899999999999996E-2</v>
          </cell>
          <cell r="X19">
            <v>6.13E-2</v>
          </cell>
          <cell r="Y19">
            <v>5.5E-2</v>
          </cell>
          <cell r="Z19">
            <v>4.9800000000000004E-2</v>
          </cell>
          <cell r="AA19">
            <v>4.9800000000000004E-2</v>
          </cell>
          <cell r="AB19">
            <v>4.9800000000000004E-2</v>
          </cell>
          <cell r="AC19">
            <v>4.9800000000000004E-2</v>
          </cell>
          <cell r="AD19">
            <v>4.9599999999999998E-2</v>
          </cell>
          <cell r="AE19">
            <v>4.7199999999999999E-2</v>
          </cell>
          <cell r="AF19">
            <v>4.7400000000000005E-2</v>
          </cell>
          <cell r="AG19">
            <v>4.7800000000000002E-2</v>
          </cell>
          <cell r="AH19">
            <v>4.7599999999999996E-2</v>
          </cell>
          <cell r="AI19">
            <v>0.05</v>
          </cell>
          <cell r="AJ19">
            <v>5.5E-2</v>
          </cell>
          <cell r="AK19">
            <v>0.06</v>
          </cell>
          <cell r="AL19">
            <v>6.25E-2</v>
          </cell>
          <cell r="AM19">
            <v>6.25E-2</v>
          </cell>
          <cell r="AN19">
            <v>5.5E-2</v>
          </cell>
          <cell r="AO19">
            <v>0.05</v>
          </cell>
          <cell r="AP19">
            <v>4.7500000000000001E-2</v>
          </cell>
          <cell r="AQ19">
            <v>4.2500000000000003E-2</v>
          </cell>
          <cell r="AR19">
            <v>4.2500000000000003E-2</v>
          </cell>
          <cell r="AS19">
            <v>4.7500000000000001E-2</v>
          </cell>
          <cell r="AT19">
            <v>4.7500000000000001E-2</v>
          </cell>
          <cell r="AU19">
            <v>4.7500000000000001E-2</v>
          </cell>
          <cell r="AV19">
            <v>4.7500000000000001E-2</v>
          </cell>
          <cell r="AW19">
            <v>4.7500000000000001E-2</v>
          </cell>
          <cell r="AX19">
            <v>4.7500000000000001E-2</v>
          </cell>
          <cell r="AY19">
            <v>5.2499999999999998E-2</v>
          </cell>
          <cell r="AZ19">
            <v>5.2499999999999998E-2</v>
          </cell>
          <cell r="BA19">
            <v>5.2499999999999998E-2</v>
          </cell>
          <cell r="BB19">
            <v>5.2499999999999998E-2</v>
          </cell>
          <cell r="BC19">
            <v>5.2499999999999998E-2</v>
          </cell>
          <cell r="BD19">
            <v>5.5E-2</v>
          </cell>
          <cell r="BE19">
            <v>5.5E-2</v>
          </cell>
          <cell r="BF19">
            <v>5.5E-2</v>
          </cell>
          <cell r="BG19">
            <v>5.5E-2</v>
          </cell>
          <cell r="BH19">
            <v>5.5E-2</v>
          </cell>
          <cell r="BI19">
            <v>5.7500000000000002E-2</v>
          </cell>
          <cell r="BJ19">
            <v>0.06</v>
          </cell>
          <cell r="BK19">
            <v>6.25E-2</v>
          </cell>
          <cell r="BL19">
            <v>6.25E-2</v>
          </cell>
          <cell r="BM19">
            <v>6.25E-2</v>
          </cell>
          <cell r="BN19">
            <v>6.5000000000000002E-2</v>
          </cell>
          <cell r="BO19">
            <v>6.7500000000000004E-2</v>
          </cell>
          <cell r="BP19">
            <v>7.2499999999999995E-2</v>
          </cell>
          <cell r="BQ19">
            <v>7.2499999999999995E-2</v>
          </cell>
          <cell r="BR19">
            <v>7.0000000000000007E-2</v>
          </cell>
          <cell r="BS19">
            <v>4.2500000000000003E-2</v>
          </cell>
          <cell r="BT19">
            <v>3.2500000000000001E-2</v>
          </cell>
          <cell r="BU19">
            <v>0.03</v>
          </cell>
          <cell r="BV19">
            <v>0.03</v>
          </cell>
          <cell r="BW19">
            <v>3.7499999999999999E-2</v>
          </cell>
          <cell r="BX19">
            <v>0.04</v>
          </cell>
          <cell r="BY19">
            <v>4.4999999999999998E-2</v>
          </cell>
          <cell r="BZ19">
            <v>4.4999999999999998E-2</v>
          </cell>
          <cell r="CA19">
            <v>4.7500000000000001E-2</v>
          </cell>
          <cell r="CB19">
            <v>4.7500000000000001E-2</v>
          </cell>
          <cell r="CC19">
            <v>4.7500000000000001E-2</v>
          </cell>
          <cell r="CD19">
            <v>4.7500000000000001E-2</v>
          </cell>
          <cell r="CE19">
            <v>4.2500000000000003E-2</v>
          </cell>
          <cell r="CF19">
            <v>4.2500000000000003E-2</v>
          </cell>
          <cell r="CG19">
            <v>3.5000000000000003E-2</v>
          </cell>
          <cell r="CH19">
            <v>3.5000000000000003E-2</v>
          </cell>
          <cell r="CI19">
            <v>0.03</v>
          </cell>
          <cell r="CJ19">
            <v>0.03</v>
          </cell>
          <cell r="CK19">
            <v>2.75E-2</v>
          </cell>
          <cell r="CL19">
            <v>2.5000000000000001E-2</v>
          </cell>
          <cell r="CM19">
            <v>2.5000000000000001E-2</v>
          </cell>
          <cell r="CN19">
            <v>2.5000000000000001E-2</v>
          </cell>
          <cell r="CO19">
            <v>2.5000000000000001E-2</v>
          </cell>
          <cell r="CP19">
            <v>2.5000000000000001E-2</v>
          </cell>
          <cell r="CQ19">
            <v>2.5000000000000001E-2</v>
          </cell>
          <cell r="CR19">
            <v>2.2499999999999999E-2</v>
          </cell>
          <cell r="CS19">
            <v>0.02</v>
          </cell>
          <cell r="CT19">
            <v>0.02</v>
          </cell>
          <cell r="CU19">
            <v>0.02</v>
          </cell>
          <cell r="CV19">
            <v>0.02</v>
          </cell>
          <cell r="CW19">
            <v>1.7500000000000002E-2</v>
          </cell>
          <cell r="CX19">
            <v>1.4999999999999999E-2</v>
          </cell>
          <cell r="CY19">
            <v>1.4999999999999999E-2</v>
          </cell>
          <cell r="CZ19">
            <v>1.4999999999999999E-2</v>
          </cell>
          <cell r="DA19">
            <v>1.4999999999999999E-2</v>
          </cell>
          <cell r="DB19">
            <v>1.4999999999999999E-2</v>
          </cell>
          <cell r="DC19">
            <v>1.4999999999999999E-2</v>
          </cell>
          <cell r="DD19">
            <v>1.4999999999999999E-2</v>
          </cell>
          <cell r="DE19">
            <v>1.4999999999999999E-2</v>
          </cell>
          <cell r="DF19">
            <v>1.4999999999999999E-2</v>
          </cell>
          <cell r="DG19">
            <v>1.4999999999999999E-2</v>
          </cell>
          <cell r="DH19">
            <v>1.4999999999999999E-2</v>
          </cell>
          <cell r="DI19">
            <v>1.2500000000000001E-2</v>
          </cell>
          <cell r="DJ19">
            <v>0.01</v>
          </cell>
          <cell r="DK19">
            <v>7.4999999999999997E-3</v>
          </cell>
          <cell r="DL19">
            <v>2.5000000000000001E-3</v>
          </cell>
          <cell r="DM19">
            <v>2.5000000000000001E-3</v>
          </cell>
          <cell r="DN19">
            <v>2.5000000000000001E-3</v>
          </cell>
          <cell r="DO19">
            <v>1E-3</v>
          </cell>
          <cell r="DP19">
            <v>1E-3</v>
          </cell>
          <cell r="DQ19">
            <v>1E-3</v>
          </cell>
          <cell r="DR19">
            <v>1E-3</v>
          </cell>
          <cell r="DS19">
            <v>1E-3</v>
          </cell>
          <cell r="DT19">
            <v>1E-3</v>
          </cell>
          <cell r="DU19">
            <v>8.5000000000000006E-3</v>
          </cell>
          <cell r="DV19">
            <v>2.35E-2</v>
          </cell>
          <cell r="DW19">
            <v>3.1E-2</v>
          </cell>
          <cell r="DX19">
            <v>3.6000000000000004E-2</v>
          </cell>
          <cell r="DY19">
            <v>4.0999999999999995E-2</v>
          </cell>
          <cell r="DZ19">
            <v>4.0999999999999995E-2</v>
          </cell>
          <cell r="EA19">
            <v>4.3499999999999997E-2</v>
          </cell>
          <cell r="EB19">
            <v>4.3499999999999997E-2</v>
          </cell>
          <cell r="EC19">
            <v>4.3499999999999997E-2</v>
          </cell>
          <cell r="ED19">
            <v>4.3499999999999997E-2</v>
          </cell>
          <cell r="EE19">
            <v>4.3499999999999997E-2</v>
          </cell>
          <cell r="EF19">
            <v>4.0999999999999995E-2</v>
          </cell>
          <cell r="EG19">
            <v>3.85E-2</v>
          </cell>
          <cell r="EH19">
            <v>3.6000000000000004E-2</v>
          </cell>
          <cell r="EI19">
            <v>3.6000000000000004E-2</v>
          </cell>
          <cell r="EJ19">
            <v>3.85E-2</v>
          </cell>
          <cell r="EK19">
            <v>4.0999999999999995E-2</v>
          </cell>
          <cell r="EL19">
            <v>4.0999999999999995E-2</v>
          </cell>
          <cell r="EM19">
            <v>4.0999999999999995E-2</v>
          </cell>
          <cell r="EN19">
            <v>3.85E-2</v>
          </cell>
          <cell r="EO19">
            <v>3.6000000000000004E-2</v>
          </cell>
          <cell r="EP19">
            <v>3.6000000000000004E-2</v>
          </cell>
          <cell r="EQ19">
            <v>3.6000000000000004E-2</v>
          </cell>
          <cell r="ER19">
            <v>3.6000000000000004E-2</v>
          </cell>
          <cell r="ES19">
            <v>3.6000000000000004E-2</v>
          </cell>
          <cell r="ET19">
            <v>3.6000000000000004E-2</v>
          </cell>
          <cell r="EU19">
            <v>3.6000000000000004E-2</v>
          </cell>
          <cell r="EV19">
            <v>3.6000000000000004E-2</v>
          </cell>
          <cell r="EW19">
            <v>3.6000000000000004E-2</v>
          </cell>
          <cell r="EX19">
            <v>3.6000000000000004E-2</v>
          </cell>
          <cell r="EY19">
            <v>3.6000000000000004E-2</v>
          </cell>
          <cell r="EZ19">
            <v>3.6000000000000004E-2</v>
          </cell>
          <cell r="FA19">
            <v>3.6000000000000004E-2</v>
          </cell>
          <cell r="FB19">
            <v>3.6000000000000004E-2</v>
          </cell>
          <cell r="FC19">
            <v>3.6000000000000004E-2</v>
          </cell>
          <cell r="FD19">
            <v>3.6000000000000004E-2</v>
          </cell>
          <cell r="FE19">
            <v>3.6000000000000004E-2</v>
          </cell>
          <cell r="FF19">
            <v>3.6000000000000004E-2</v>
          </cell>
          <cell r="FG19">
            <v>3.6000000000000004E-2</v>
          </cell>
          <cell r="FH19">
            <v>3.6000000000000004E-2</v>
          </cell>
          <cell r="FI19">
            <v>3.6000000000000004E-2</v>
          </cell>
          <cell r="FJ19">
            <v>3.6000000000000004E-2</v>
          </cell>
          <cell r="FK19">
            <v>3.6000000000000004E-2</v>
          </cell>
          <cell r="FL19">
            <v>3.6000000000000004E-2</v>
          </cell>
          <cell r="FM19">
            <v>3.6000000000000004E-2</v>
          </cell>
          <cell r="FN19">
            <v>3.6000000000000004E-2</v>
          </cell>
          <cell r="FO19">
            <v>3.6000000000000004E-2</v>
          </cell>
          <cell r="FP19">
            <v>3.6000000000000004E-2</v>
          </cell>
          <cell r="FQ19">
            <v>3.6000000000000004E-2</v>
          </cell>
          <cell r="FR19">
            <v>3.6000000000000004E-2</v>
          </cell>
          <cell r="FS19">
            <v>3.6000000000000004E-2</v>
          </cell>
          <cell r="FT19">
            <v>3.6000000000000004E-2</v>
          </cell>
          <cell r="FU19">
            <v>3.6000000000000004E-2</v>
          </cell>
        </row>
        <row r="20">
          <cell r="A20" t="str">
            <v>au_bbsw3m</v>
          </cell>
          <cell r="B20" t="str">
            <v>Aust 90 day bill</v>
          </cell>
          <cell r="D20">
            <v>7.5399999999999995E-2</v>
          </cell>
          <cell r="E20">
            <v>6.2300000000000001E-2</v>
          </cell>
          <cell r="F20">
            <v>0.06</v>
          </cell>
          <cell r="G20">
            <v>5.9400000000000001E-2</v>
          </cell>
          <cell r="H20">
            <v>5.3399999999999996E-2</v>
          </cell>
          <cell r="I20">
            <v>5.2600000000000001E-2</v>
          </cell>
          <cell r="J20">
            <v>4.87E-2</v>
          </cell>
          <cell r="K20">
            <v>4.8399999999999999E-2</v>
          </cell>
          <cell r="L20">
            <v>4.9699999999999994E-2</v>
          </cell>
          <cell r="M20">
            <v>5.6900000000000006E-2</v>
          </cell>
          <cell r="N20">
            <v>6.2329999999999997E-2</v>
          </cell>
          <cell r="O20">
            <v>8.2180000000000003E-2</v>
          </cell>
          <cell r="P20">
            <v>8.1750000000000003E-2</v>
          </cell>
          <cell r="Q20">
            <v>7.5740000000000002E-2</v>
          </cell>
          <cell r="R20">
            <v>7.5179999999999997E-2</v>
          </cell>
          <cell r="S20">
            <v>7.4370000000000006E-2</v>
          </cell>
          <cell r="T20">
            <v>7.5830000000000009E-2</v>
          </cell>
          <cell r="U20">
            <v>7.5869999999999993E-2</v>
          </cell>
          <cell r="V20">
            <v>6.8430000000000005E-2</v>
          </cell>
          <cell r="W20">
            <v>5.987E-2</v>
          </cell>
          <cell r="X20">
            <v>6.0929999999999998E-2</v>
          </cell>
          <cell r="Y20">
            <v>5.3467000000000001E-2</v>
          </cell>
          <cell r="Z20">
            <v>4.7750000000000001E-2</v>
          </cell>
          <cell r="AA20">
            <v>5.0650000000000001E-2</v>
          </cell>
          <cell r="AB20">
            <v>4.9800000000000004E-2</v>
          </cell>
          <cell r="AC20">
            <v>5.2699999999999997E-2</v>
          </cell>
          <cell r="AD20">
            <v>4.9867000000000002E-2</v>
          </cell>
          <cell r="AE20">
            <v>4.8250000000000001E-2</v>
          </cell>
          <cell r="AF20">
            <v>4.8282999999999993E-2</v>
          </cell>
          <cell r="AG20">
            <v>4.9832999999999995E-2</v>
          </cell>
          <cell r="AH20">
            <v>5.0999999999999997E-2</v>
          </cell>
          <cell r="AI20">
            <v>5.7382999999999997E-2</v>
          </cell>
          <cell r="AJ20">
            <v>6.0449999999999997E-2</v>
          </cell>
          <cell r="AK20">
            <v>6.1717000000000001E-2</v>
          </cell>
          <cell r="AL20">
            <v>6.6317000000000001E-2</v>
          </cell>
          <cell r="AM20">
            <v>6.1500000000000006E-2</v>
          </cell>
          <cell r="AN20">
            <v>5.1200000000000002E-2</v>
          </cell>
          <cell r="AO20">
            <v>5.0117000000000002E-2</v>
          </cell>
          <cell r="AP20">
            <v>4.3799999999999999E-2</v>
          </cell>
          <cell r="AQ20">
            <v>4.2466999999999998E-2</v>
          </cell>
          <cell r="AR20">
            <v>4.6367000000000005E-2</v>
          </cell>
          <cell r="AS20">
            <v>5.1150000000000001E-2</v>
          </cell>
          <cell r="AT20">
            <v>4.9016999999999998E-2</v>
          </cell>
          <cell r="AU20">
            <v>4.7899999999999998E-2</v>
          </cell>
          <cell r="AV20">
            <v>4.7933000000000003E-2</v>
          </cell>
          <cell r="AW20">
            <v>4.6799999999999994E-2</v>
          </cell>
          <cell r="AX20">
            <v>4.9067E-2</v>
          </cell>
          <cell r="AY20">
            <v>5.525E-2</v>
          </cell>
          <cell r="AZ20">
            <v>5.5217000000000002E-2</v>
          </cell>
          <cell r="BA20">
            <v>5.4782999999999998E-2</v>
          </cell>
          <cell r="BB20">
            <v>5.4332999999999999E-2</v>
          </cell>
          <cell r="BC20">
            <v>5.4332999999999999E-2</v>
          </cell>
          <cell r="BD20">
            <v>5.9249999999999997E-2</v>
          </cell>
          <cell r="BE20">
            <v>5.6666999999999995E-2</v>
          </cell>
          <cell r="BF20">
            <v>5.6550000000000003E-2</v>
          </cell>
          <cell r="BG20">
            <v>5.6482999999999998E-2</v>
          </cell>
          <cell r="BH20">
            <v>5.6100000000000004E-2</v>
          </cell>
          <cell r="BI20">
            <v>5.9800000000000006E-2</v>
          </cell>
          <cell r="BJ20">
            <v>6.1733000000000003E-2</v>
          </cell>
          <cell r="BK20">
            <v>6.4417000000000002E-2</v>
          </cell>
          <cell r="BL20">
            <v>6.515E-2</v>
          </cell>
          <cell r="BM20">
            <v>6.4367000000000008E-2</v>
          </cell>
          <cell r="BN20">
            <v>6.8849999999999995E-2</v>
          </cell>
          <cell r="BO20">
            <v>7.2400000000000006E-2</v>
          </cell>
          <cell r="BP20">
            <v>7.8632999999999995E-2</v>
          </cell>
          <cell r="BQ20">
            <v>7.8383000000000008E-2</v>
          </cell>
          <cell r="BR20">
            <v>7.3217000000000004E-2</v>
          </cell>
          <cell r="BS20">
            <v>4.1500000000000002E-2</v>
          </cell>
          <cell r="BT20">
            <v>3.1383000000000001E-2</v>
          </cell>
          <cell r="BU20">
            <v>3.1899999999999998E-2</v>
          </cell>
          <cell r="BV20">
            <v>3.3766999999999998E-2</v>
          </cell>
          <cell r="BW20">
            <v>4.2782999999999995E-2</v>
          </cell>
          <cell r="BX20">
            <v>4.4932999999999994E-2</v>
          </cell>
          <cell r="BY20">
            <v>4.9200000000000001E-2</v>
          </cell>
          <cell r="BZ20">
            <v>5.0117000000000002E-2</v>
          </cell>
          <cell r="CA20">
            <v>5.0317000000000001E-2</v>
          </cell>
          <cell r="CB20">
            <v>4.9317E-2</v>
          </cell>
          <cell r="CC20">
            <v>5.0332999999999996E-2</v>
          </cell>
          <cell r="CD20">
            <v>4.9217000000000004E-2</v>
          </cell>
          <cell r="CE20">
            <v>4.4782999999999996E-2</v>
          </cell>
          <cell r="CF20">
            <v>4.3400000000000001E-2</v>
          </cell>
          <cell r="CG20">
            <v>3.4849999999999999E-2</v>
          </cell>
          <cell r="CH20">
            <v>3.3700000000000001E-2</v>
          </cell>
          <cell r="CI20">
            <v>3.1099999999999999E-2</v>
          </cell>
          <cell r="CJ20">
            <v>3.1042E-2</v>
          </cell>
          <cell r="CK20">
            <v>2.8199999999999999E-2</v>
          </cell>
          <cell r="CL20">
            <v>2.5966999999999997E-2</v>
          </cell>
          <cell r="CM20">
            <v>2.6467000000000001E-2</v>
          </cell>
          <cell r="CN20">
            <v>2.6949999999999998E-2</v>
          </cell>
          <cell r="CO20">
            <v>2.7050000000000001E-2</v>
          </cell>
          <cell r="CP20">
            <v>2.665E-2</v>
          </cell>
          <cell r="CQ20">
            <v>2.7699999999999999E-2</v>
          </cell>
          <cell r="CR20">
            <v>2.2250000000000002E-2</v>
          </cell>
          <cell r="CS20">
            <v>2.1499999999999998E-2</v>
          </cell>
          <cell r="CT20">
            <v>2.18E-2</v>
          </cell>
          <cell r="CU20">
            <v>2.375E-2</v>
          </cell>
          <cell r="CV20">
            <v>2.2850000000000002E-2</v>
          </cell>
          <cell r="CW20">
            <v>1.9599999999999999E-2</v>
          </cell>
          <cell r="CX20">
            <v>1.7399999999999999E-2</v>
          </cell>
          <cell r="CY20">
            <v>1.8149999999999999E-2</v>
          </cell>
          <cell r="CZ20">
            <v>1.7950000000000001E-2</v>
          </cell>
          <cell r="DA20">
            <v>1.7049999999999999E-2</v>
          </cell>
          <cell r="DB20">
            <v>1.7100000000000001E-2</v>
          </cell>
          <cell r="DC20">
            <v>1.7950000000000001E-2</v>
          </cell>
          <cell r="DD20">
            <v>2.0299999999999999E-2</v>
          </cell>
          <cell r="DE20">
            <v>2.1104999999999999E-2</v>
          </cell>
          <cell r="DF20">
            <v>1.9400000000000001E-2</v>
          </cell>
          <cell r="DG20">
            <v>2.0899999999999998E-2</v>
          </cell>
          <cell r="DH20">
            <v>1.7704999999999999E-2</v>
          </cell>
          <cell r="DI20">
            <v>1.2045999999999999E-2</v>
          </cell>
          <cell r="DJ20">
            <v>9.4999999999999998E-3</v>
          </cell>
          <cell r="DK20">
            <v>9.2239999999999996E-3</v>
          </cell>
          <cell r="DL20">
            <v>3.7330000000000002E-3</v>
          </cell>
          <cell r="DM20">
            <v>1.0150000000000001E-3</v>
          </cell>
          <cell r="DN20">
            <v>8.9999999999999998E-4</v>
          </cell>
          <cell r="DO20">
            <v>1E-4</v>
          </cell>
          <cell r="DP20">
            <v>3.5000000000000005E-4</v>
          </cell>
          <cell r="DQ20">
            <v>3.0299999999999999E-4</v>
          </cell>
          <cell r="DR20">
            <v>1.9599999999999999E-4</v>
          </cell>
          <cell r="DS20">
            <v>6.7699999999999998E-4</v>
          </cell>
          <cell r="DT20">
            <v>2.3150000000000002E-3</v>
          </cell>
          <cell r="DU20">
            <v>1.8131999999999999E-2</v>
          </cell>
          <cell r="DV20">
            <v>3.0630999999999999E-2</v>
          </cell>
          <cell r="DW20">
            <v>3.2647000000000002E-2</v>
          </cell>
          <cell r="DX20">
            <v>3.7149999999999996E-2</v>
          </cell>
          <cell r="DY20">
            <v>4.3506999999999997E-2</v>
          </cell>
          <cell r="DZ20">
            <v>4.1399999999999999E-2</v>
          </cell>
          <cell r="EA20">
            <v>4.36E-2</v>
          </cell>
          <cell r="EB20">
            <v>4.3442000000000001E-2</v>
          </cell>
          <cell r="EC20">
            <v>4.4452999999999993E-2</v>
          </cell>
          <cell r="ED20">
            <v>4.4340999999999998E-2</v>
          </cell>
          <cell r="EE20">
            <v>4.4162999999999994E-2</v>
          </cell>
          <cell r="EF20">
            <v>4.1253999999999999E-2</v>
          </cell>
          <cell r="EG20">
            <v>3.6037E-2</v>
          </cell>
          <cell r="EH20">
            <v>3.5763999999999997E-2</v>
          </cell>
          <cell r="EI20">
            <v>3.6500000000000005E-2</v>
          </cell>
          <cell r="EJ20">
            <v>3.95E-2</v>
          </cell>
          <cell r="EK20">
            <v>4.2499999999999996E-2</v>
          </cell>
          <cell r="EL20">
            <v>4.2999999999999997E-2</v>
          </cell>
          <cell r="EM20">
            <v>4.3499999999999997E-2</v>
          </cell>
          <cell r="EN20">
            <v>4.1000000000000002E-2</v>
          </cell>
          <cell r="EO20">
            <v>3.8500000000000006E-2</v>
          </cell>
          <cell r="EP20">
            <v>3.8500000000000006E-2</v>
          </cell>
          <cell r="EQ20">
            <v>3.8500000000000006E-2</v>
          </cell>
          <cell r="ER20">
            <v>3.8500000000000006E-2</v>
          </cell>
          <cell r="ES20">
            <v>3.8500000000000006E-2</v>
          </cell>
          <cell r="ET20">
            <v>3.8500000000000006E-2</v>
          </cell>
          <cell r="EU20">
            <v>3.8500000000000006E-2</v>
          </cell>
          <cell r="EV20">
            <v>3.8500000000000006E-2</v>
          </cell>
          <cell r="EW20">
            <v>3.8500000000000006E-2</v>
          </cell>
          <cell r="EX20">
            <v>3.8500000000000006E-2</v>
          </cell>
          <cell r="EY20">
            <v>3.8500000000000006E-2</v>
          </cell>
          <cell r="EZ20">
            <v>3.8500000000000006E-2</v>
          </cell>
          <cell r="FA20">
            <v>3.8500000000000006E-2</v>
          </cell>
          <cell r="FB20">
            <v>3.8500000000000006E-2</v>
          </cell>
          <cell r="FC20">
            <v>3.8500000000000006E-2</v>
          </cell>
          <cell r="FD20">
            <v>3.8500000000000006E-2</v>
          </cell>
          <cell r="FE20">
            <v>3.8500000000000006E-2</v>
          </cell>
          <cell r="FF20">
            <v>3.8500000000000006E-2</v>
          </cell>
          <cell r="FG20">
            <v>3.8500000000000006E-2</v>
          </cell>
          <cell r="FH20">
            <v>3.8500000000000006E-2</v>
          </cell>
          <cell r="FI20">
            <v>3.8500000000000006E-2</v>
          </cell>
          <cell r="FJ20">
            <v>3.8500000000000006E-2</v>
          </cell>
          <cell r="FK20">
            <v>3.8500000000000006E-2</v>
          </cell>
          <cell r="FL20">
            <v>3.8500000000000006E-2</v>
          </cell>
          <cell r="FM20">
            <v>3.8500000000000006E-2</v>
          </cell>
          <cell r="FN20">
            <v>3.8500000000000006E-2</v>
          </cell>
          <cell r="FO20">
            <v>3.8500000000000006E-2</v>
          </cell>
          <cell r="FP20">
            <v>3.8500000000000006E-2</v>
          </cell>
          <cell r="FQ20">
            <v>3.8500000000000006E-2</v>
          </cell>
          <cell r="FR20">
            <v>3.8500000000000006E-2</v>
          </cell>
          <cell r="FS20">
            <v>3.8500000000000006E-2</v>
          </cell>
          <cell r="FT20">
            <v>3.8500000000000006E-2</v>
          </cell>
          <cell r="FU20">
            <v>3.8500000000000006E-2</v>
          </cell>
        </row>
        <row r="21">
          <cell r="A21" t="str">
            <v>au_govt10y</v>
          </cell>
          <cell r="B21" t="str">
            <v>Aust 10 yr Bond Rate</v>
          </cell>
          <cell r="M21">
            <v>9.64E-2</v>
          </cell>
          <cell r="N21">
            <v>0.1033</v>
          </cell>
          <cell r="O21">
            <v>0.10039999999999999</v>
          </cell>
          <cell r="P21">
            <v>9.8299999999999998E-2</v>
          </cell>
          <cell r="Q21">
            <v>9.2200000000000004E-2</v>
          </cell>
          <cell r="R21">
            <v>8.5699999999999998E-2</v>
          </cell>
          <cell r="S21">
            <v>8.1600000000000006E-2</v>
          </cell>
          <cell r="T21">
            <v>8.8800000000000004E-2</v>
          </cell>
          <cell r="U21">
            <v>8.8699999999999987E-2</v>
          </cell>
          <cell r="V21">
            <v>7.7899999999999997E-2</v>
          </cell>
          <cell r="W21">
            <v>7.3700000000000002E-2</v>
          </cell>
          <cell r="X21">
            <v>0.08</v>
          </cell>
          <cell r="Y21">
            <v>6.9800000000000001E-2</v>
          </cell>
          <cell r="Z21">
            <v>6.0599999999999994E-2</v>
          </cell>
          <cell r="AA21">
            <v>6.0499999999999998E-2</v>
          </cell>
          <cell r="AB21">
            <v>5.7500000000000002E-2</v>
          </cell>
          <cell r="AC21">
            <v>5.5899999999999998E-2</v>
          </cell>
          <cell r="AD21">
            <v>5.0799999999999998E-2</v>
          </cell>
          <cell r="AE21">
            <v>5.0199999999999995E-2</v>
          </cell>
          <cell r="AF21">
            <v>5.4900000000000004E-2</v>
          </cell>
          <cell r="AG21">
            <v>6.2699999999999992E-2</v>
          </cell>
          <cell r="AH21">
            <v>6.2400000000000004E-2</v>
          </cell>
          <cell r="AI21">
            <v>6.9599999999999995E-2</v>
          </cell>
          <cell r="AJ21">
            <v>6.3700000000000007E-2</v>
          </cell>
          <cell r="AK21">
            <v>6.1699999999999998E-2</v>
          </cell>
          <cell r="AL21">
            <v>6.2300000000000001E-2</v>
          </cell>
          <cell r="AM21">
            <v>5.4450000000000005E-2</v>
          </cell>
          <cell r="AN21">
            <v>5.2750000000000005E-2</v>
          </cell>
          <cell r="AO21">
            <v>6.0400000000000002E-2</v>
          </cell>
          <cell r="AP21">
            <v>5.5099999999999996E-2</v>
          </cell>
          <cell r="AQ21">
            <v>0.06</v>
          </cell>
          <cell r="AR21">
            <v>6.3200000000000006E-2</v>
          </cell>
          <cell r="AS21">
            <v>5.9900000000000002E-2</v>
          </cell>
          <cell r="AT21">
            <v>5.3399999999999996E-2</v>
          </cell>
          <cell r="AU21">
            <v>5.1399999999999994E-2</v>
          </cell>
          <cell r="AV21">
            <v>5.3200000000000004E-2</v>
          </cell>
          <cell r="AW21">
            <v>5.0049999999999997E-2</v>
          </cell>
          <cell r="AX21">
            <v>5.3749999999999999E-2</v>
          </cell>
          <cell r="AY21">
            <v>5.6100000000000004E-2</v>
          </cell>
          <cell r="AZ21">
            <v>5.4949999999999999E-2</v>
          </cell>
          <cell r="BA21">
            <v>5.8600000000000006E-2</v>
          </cell>
          <cell r="BB21">
            <v>5.4299999999999994E-2</v>
          </cell>
          <cell r="BC21">
            <v>5.2900000000000003E-2</v>
          </cell>
          <cell r="BD21">
            <v>5.67E-2</v>
          </cell>
          <cell r="BE21">
            <v>5.1050000000000005E-2</v>
          </cell>
          <cell r="BF21">
            <v>5.3600000000000002E-2</v>
          </cell>
          <cell r="BG21">
            <v>5.2000000000000005E-2</v>
          </cell>
          <cell r="BH21">
            <v>5.425E-2</v>
          </cell>
          <cell r="BI21">
            <v>5.7874999999999996E-2</v>
          </cell>
          <cell r="BJ21">
            <v>5.5024999999999998E-2</v>
          </cell>
          <cell r="BK21">
            <v>5.8700000000000002E-2</v>
          </cell>
          <cell r="BL21">
            <v>5.885E-2</v>
          </cell>
          <cell r="BM21">
            <v>6.2545000000000003E-2</v>
          </cell>
          <cell r="BN21">
            <v>6.1550000000000001E-2</v>
          </cell>
          <cell r="BO21">
            <v>6.3269999999999993E-2</v>
          </cell>
          <cell r="BP21">
            <v>6.0504999999999996E-2</v>
          </cell>
          <cell r="BQ21">
            <v>6.4450000000000007E-2</v>
          </cell>
          <cell r="BR21">
            <v>5.3899999999999997E-2</v>
          </cell>
          <cell r="BS21">
            <v>3.9850000000000003E-2</v>
          </cell>
          <cell r="BT21">
            <v>4.6100000000000002E-2</v>
          </cell>
          <cell r="BU21">
            <v>5.6250000000000001E-2</v>
          </cell>
          <cell r="BV21">
            <v>5.4389E-2</v>
          </cell>
          <cell r="BW21">
            <v>5.7264000000000002E-2</v>
          </cell>
          <cell r="BX21">
            <v>5.765E-2</v>
          </cell>
          <cell r="BY21">
            <v>5.0903999999999998E-2</v>
          </cell>
          <cell r="BZ21">
            <v>4.9627999999999999E-2</v>
          </cell>
          <cell r="CA21">
            <v>5.5052000000000004E-2</v>
          </cell>
          <cell r="CB21">
            <v>5.5015999999999995E-2</v>
          </cell>
          <cell r="CC21">
            <v>5.2083999999999998E-2</v>
          </cell>
          <cell r="CD21">
            <v>4.2362999999999998E-2</v>
          </cell>
          <cell r="CE21">
            <v>3.6695999999999999E-2</v>
          </cell>
          <cell r="CF21">
            <v>4.0830000000000005E-2</v>
          </cell>
          <cell r="CG21">
            <v>3.0381999999999999E-2</v>
          </cell>
          <cell r="CH21">
            <v>3.0010999999999999E-2</v>
          </cell>
          <cell r="CI21">
            <v>3.2697999999999998E-2</v>
          </cell>
          <cell r="CJ21">
            <v>3.415E-2</v>
          </cell>
          <cell r="CK21">
            <v>3.7615999999999997E-2</v>
          </cell>
          <cell r="CL21">
            <v>3.8094000000000003E-2</v>
          </cell>
          <cell r="CM21">
            <v>4.2351E-2</v>
          </cell>
          <cell r="CN21">
            <v>4.0857999999999998E-2</v>
          </cell>
          <cell r="CO21">
            <v>3.5410000000000004E-2</v>
          </cell>
          <cell r="CP21">
            <v>3.4842000000000005E-2</v>
          </cell>
          <cell r="CQ21">
            <v>2.7339000000000002E-2</v>
          </cell>
          <cell r="CR21">
            <v>2.3190999999999996E-2</v>
          </cell>
          <cell r="CS21">
            <v>3.0117000000000001E-2</v>
          </cell>
          <cell r="CT21">
            <v>2.6086999999999999E-2</v>
          </cell>
          <cell r="CU21">
            <v>2.8147999999999999E-2</v>
          </cell>
          <cell r="CV21">
            <v>2.4913999999999995E-2</v>
          </cell>
          <cell r="CW21">
            <v>1.9859000000000002E-2</v>
          </cell>
          <cell r="CX21">
            <v>1.9078999999999999E-2</v>
          </cell>
          <cell r="CY21">
            <v>2.7549999999999998E-2</v>
          </cell>
          <cell r="CZ21">
            <v>2.6915000000000001E-2</v>
          </cell>
          <cell r="DA21">
            <v>2.5980999999999997E-2</v>
          </cell>
          <cell r="DB21">
            <v>2.8372000000000001E-2</v>
          </cell>
          <cell r="DC21">
            <v>2.6330999999999997E-2</v>
          </cell>
          <cell r="DD21">
            <v>2.5976999999999997E-2</v>
          </cell>
          <cell r="DE21">
            <v>2.6369999999999994E-2</v>
          </cell>
          <cell r="DF21">
            <v>2.6707999999999999E-2</v>
          </cell>
          <cell r="DG21">
            <v>2.3208000000000003E-2</v>
          </cell>
          <cell r="DH21">
            <v>1.7795000000000002E-2</v>
          </cell>
          <cell r="DI21">
            <v>1.3245E-2</v>
          </cell>
          <cell r="DJ21">
            <v>1.0171999999999999E-2</v>
          </cell>
          <cell r="DK21">
            <v>1.3746000000000001E-2</v>
          </cell>
          <cell r="DL21">
            <v>7.5829999999999995E-3</v>
          </cell>
          <cell r="DM21">
            <v>8.6899999999999998E-3</v>
          </cell>
          <cell r="DN21">
            <v>7.9050000000000006E-3</v>
          </cell>
          <cell r="DO21">
            <v>9.7149999999999997E-3</v>
          </cell>
          <cell r="DP21">
            <v>1.789E-2</v>
          </cell>
          <cell r="DQ21">
            <v>1.5339999999999999E-2</v>
          </cell>
          <cell r="DR21">
            <v>1.4910000000000001E-2</v>
          </cell>
          <cell r="DS21">
            <v>1.6709999999999999E-2</v>
          </cell>
          <cell r="DT21">
            <v>2.826E-2</v>
          </cell>
          <cell r="DU21">
            <v>3.6589999999999998E-2</v>
          </cell>
          <cell r="DV21">
            <v>3.8890000000000001E-2</v>
          </cell>
          <cell r="DW21">
            <v>4.0510000000000004E-2</v>
          </cell>
          <cell r="DX21">
            <v>3.2989999999999998E-2</v>
          </cell>
          <cell r="DY21">
            <v>4.0220000000000006E-2</v>
          </cell>
          <cell r="DZ21">
            <v>4.4880000000000003E-2</v>
          </cell>
          <cell r="EA21">
            <v>3.9550000000000002E-2</v>
          </cell>
          <cell r="EB21">
            <v>3.9660000000000001E-2</v>
          </cell>
          <cell r="EC21">
            <v>4.3120000000000006E-2</v>
          </cell>
          <cell r="ED21">
            <v>3.9740000000000004E-2</v>
          </cell>
          <cell r="EE21">
            <v>4.3680000000000004E-2</v>
          </cell>
          <cell r="EF21">
            <v>4.3860000000000003E-2</v>
          </cell>
          <cell r="EG21">
            <v>4.1619999999999997E-2</v>
          </cell>
          <cell r="EH21">
            <v>4.3019999999999996E-2</v>
          </cell>
          <cell r="EI21">
            <v>4.2500000000000003E-2</v>
          </cell>
          <cell r="EJ21">
            <v>4.2999999999999997E-2</v>
          </cell>
          <cell r="EK21">
            <v>4.2999999999999997E-2</v>
          </cell>
          <cell r="EL21">
            <v>4.3499999999999997E-2</v>
          </cell>
          <cell r="EM21">
            <v>4.3499999999999997E-2</v>
          </cell>
          <cell r="EN21">
            <v>4.3999999999999997E-2</v>
          </cell>
          <cell r="EO21">
            <v>4.3999999999999997E-2</v>
          </cell>
          <cell r="EP21">
            <v>4.4499999999999998E-2</v>
          </cell>
          <cell r="EQ21">
            <v>4.4999999999999998E-2</v>
          </cell>
          <cell r="ER21">
            <v>4.4999999999999998E-2</v>
          </cell>
          <cell r="ES21">
            <v>4.4999999999999998E-2</v>
          </cell>
          <cell r="ET21">
            <v>4.4999999999999998E-2</v>
          </cell>
          <cell r="EU21">
            <v>4.4999999999999998E-2</v>
          </cell>
          <cell r="EV21">
            <v>4.4999999999999998E-2</v>
          </cell>
          <cell r="EW21">
            <v>4.4999999999999998E-2</v>
          </cell>
          <cell r="EX21">
            <v>4.4999999999999998E-2</v>
          </cell>
          <cell r="EY21">
            <v>4.4999999999999998E-2</v>
          </cell>
          <cell r="EZ21">
            <v>4.4999999999999998E-2</v>
          </cell>
          <cell r="FA21">
            <v>4.4999999999999998E-2</v>
          </cell>
          <cell r="FB21">
            <v>4.4999999999999998E-2</v>
          </cell>
          <cell r="FC21">
            <v>4.4999999999999998E-2</v>
          </cell>
          <cell r="FD21">
            <v>4.4999999999999998E-2</v>
          </cell>
          <cell r="FE21">
            <v>4.4999999999999998E-2</v>
          </cell>
          <cell r="FF21">
            <v>4.4999999999999998E-2</v>
          </cell>
          <cell r="FG21">
            <v>4.4999999999999998E-2</v>
          </cell>
          <cell r="FH21">
            <v>4.4999999999999998E-2</v>
          </cell>
          <cell r="FI21">
            <v>4.4999999999999998E-2</v>
          </cell>
          <cell r="FJ21">
            <v>4.4999999999999998E-2</v>
          </cell>
          <cell r="FK21">
            <v>4.4999999999999998E-2</v>
          </cell>
          <cell r="FL21">
            <v>4.4999999999999998E-2</v>
          </cell>
          <cell r="FM21">
            <v>4.4999999999999998E-2</v>
          </cell>
          <cell r="FN21">
            <v>4.4999999999999998E-2</v>
          </cell>
          <cell r="FO21">
            <v>4.4999999999999998E-2</v>
          </cell>
          <cell r="FP21">
            <v>4.4999999999999998E-2</v>
          </cell>
          <cell r="FQ21">
            <v>4.4999999999999998E-2</v>
          </cell>
          <cell r="FR21">
            <v>4.4999999999999998E-2</v>
          </cell>
          <cell r="FS21">
            <v>4.4999999999999998E-2</v>
          </cell>
          <cell r="FT21">
            <v>4.4999999999999998E-2</v>
          </cell>
          <cell r="FU21">
            <v>4.4999999999999998E-2</v>
          </cell>
        </row>
        <row r="22">
          <cell r="A22" t="str">
            <v>us_govt10y</v>
          </cell>
          <cell r="B22" t="str">
            <v>US 10 yr bond</v>
          </cell>
          <cell r="D22">
            <v>7.5240000000000001E-2</v>
          </cell>
          <cell r="E22">
            <v>7.1210000000000009E-2</v>
          </cell>
          <cell r="F22">
            <v>6.3539999999999999E-2</v>
          </cell>
          <cell r="G22">
            <v>6.701E-2</v>
          </cell>
          <cell r="H22">
            <v>6.0199999999999997E-2</v>
          </cell>
          <cell r="I22">
            <v>5.774E-2</v>
          </cell>
          <cell r="J22">
            <v>5.3739999999999996E-2</v>
          </cell>
          <cell r="K22">
            <v>5.79E-2</v>
          </cell>
          <cell r="L22">
            <v>6.7369999999999999E-2</v>
          </cell>
          <cell r="M22">
            <v>7.3220000000000007E-2</v>
          </cell>
          <cell r="N22">
            <v>7.6079999999999995E-2</v>
          </cell>
          <cell r="O22">
            <v>7.8200000000000006E-2</v>
          </cell>
          <cell r="P22">
            <v>7.1940000000000004E-2</v>
          </cell>
          <cell r="Q22">
            <v>6.2030000000000002E-2</v>
          </cell>
          <cell r="R22">
            <v>6.1820000000000007E-2</v>
          </cell>
          <cell r="S22">
            <v>5.5810000000000005E-2</v>
          </cell>
          <cell r="T22">
            <v>6.3280000000000003E-2</v>
          </cell>
          <cell r="U22">
            <v>6.7110000000000003E-2</v>
          </cell>
          <cell r="V22">
            <v>6.701E-2</v>
          </cell>
          <cell r="W22">
            <v>6.4180000000000001E-2</v>
          </cell>
          <cell r="X22">
            <v>6.905E-2</v>
          </cell>
          <cell r="Y22">
            <v>6.4960000000000004E-2</v>
          </cell>
          <cell r="Z22">
            <v>6.0999999999999999E-2</v>
          </cell>
          <cell r="AA22">
            <v>5.7249999999999995E-2</v>
          </cell>
          <cell r="AB22">
            <v>5.6509999999999998E-2</v>
          </cell>
          <cell r="AC22">
            <v>5.4400000000000004E-2</v>
          </cell>
          <cell r="AD22">
            <v>4.4020000000000004E-2</v>
          </cell>
          <cell r="AE22">
            <v>4.6539999999999998E-2</v>
          </cell>
          <cell r="AF22">
            <v>5.2380000000000003E-2</v>
          </cell>
          <cell r="AG22">
            <v>5.7759999999999999E-2</v>
          </cell>
          <cell r="AH22">
            <v>5.8739999999999994E-2</v>
          </cell>
          <cell r="AI22">
            <v>6.4399999999999999E-2</v>
          </cell>
          <cell r="AJ22">
            <v>0.06</v>
          </cell>
          <cell r="AK22">
            <v>6.0179999999999997E-2</v>
          </cell>
          <cell r="AL22">
            <v>5.7990000000000007E-2</v>
          </cell>
          <cell r="AM22">
            <v>5.1020000000000003E-2</v>
          </cell>
          <cell r="AN22">
            <v>4.9230000000000003E-2</v>
          </cell>
          <cell r="AO22">
            <v>5.3920000000000003E-2</v>
          </cell>
          <cell r="AP22">
            <v>4.5720000000000004E-2</v>
          </cell>
          <cell r="AQ22">
            <v>5.0220000000000001E-2</v>
          </cell>
          <cell r="AR22">
            <v>5.3940000000000002E-2</v>
          </cell>
          <cell r="AS22">
            <v>4.8140000000000002E-2</v>
          </cell>
          <cell r="AT22">
            <v>3.5929999999999997E-2</v>
          </cell>
          <cell r="AU22">
            <v>3.8181E-2</v>
          </cell>
          <cell r="AV22">
            <v>3.8013999999999999E-2</v>
          </cell>
          <cell r="AW22">
            <v>3.5240999999999995E-2</v>
          </cell>
          <cell r="AX22">
            <v>3.9419000000000003E-2</v>
          </cell>
          <cell r="AY22">
            <v>4.2523999999999999E-2</v>
          </cell>
          <cell r="AZ22">
            <v>3.8350000000000002E-2</v>
          </cell>
          <cell r="BA22">
            <v>4.5815999999999996E-2</v>
          </cell>
          <cell r="BB22">
            <v>4.1200000000000001E-2</v>
          </cell>
          <cell r="BC22">
            <v>4.2159999999999996E-2</v>
          </cell>
          <cell r="BD22">
            <v>4.4835E-2</v>
          </cell>
          <cell r="BE22">
            <v>3.9139999999999994E-2</v>
          </cell>
          <cell r="BF22">
            <v>4.3289999999999995E-2</v>
          </cell>
          <cell r="BG22">
            <v>4.3949999999999996E-2</v>
          </cell>
          <cell r="BH22">
            <v>4.8499999999999995E-2</v>
          </cell>
          <cell r="BI22">
            <v>5.1404999999999992E-2</v>
          </cell>
          <cell r="BJ22">
            <v>4.6315000000000002E-2</v>
          </cell>
          <cell r="BK22">
            <v>4.6981999999999996E-2</v>
          </cell>
          <cell r="BL22">
            <v>4.6452999999999994E-2</v>
          </cell>
          <cell r="BM22">
            <v>5.0285500000000004E-2</v>
          </cell>
          <cell r="BN22">
            <v>4.5845500000000004E-2</v>
          </cell>
          <cell r="BO22">
            <v>4.0289499999999999E-2</v>
          </cell>
          <cell r="BP22">
            <v>3.4132999999999997E-2</v>
          </cell>
          <cell r="BQ22">
            <v>3.9710000000000002E-2</v>
          </cell>
          <cell r="BR22">
            <v>3.8224500000000002E-2</v>
          </cell>
          <cell r="BS22">
            <v>2.2123E-2</v>
          </cell>
          <cell r="BT22">
            <v>2.6646999999999997E-2</v>
          </cell>
          <cell r="BU22">
            <v>3.5354999999999998E-2</v>
          </cell>
          <cell r="BV22">
            <v>3.3058000000000004E-2</v>
          </cell>
          <cell r="BW22">
            <v>3.8334E-2</v>
          </cell>
          <cell r="BX22">
            <v>3.8330000000000003E-2</v>
          </cell>
          <cell r="BY22">
            <v>2.9327000000000002E-2</v>
          </cell>
          <cell r="BZ22">
            <v>2.5139000000000002E-2</v>
          </cell>
          <cell r="CA22">
            <v>3.2901E-2</v>
          </cell>
          <cell r="CB22">
            <v>3.4692000000000001E-2</v>
          </cell>
          <cell r="CC22">
            <v>3.1632E-2</v>
          </cell>
          <cell r="CD22">
            <v>1.9171000000000001E-2</v>
          </cell>
          <cell r="CE22">
            <v>1.8790999999999999E-2</v>
          </cell>
          <cell r="CF22">
            <v>2.2126999999999997E-2</v>
          </cell>
          <cell r="CG22">
            <v>1.65065E-2</v>
          </cell>
          <cell r="CH22">
            <v>1.63705E-2</v>
          </cell>
          <cell r="CI22">
            <v>1.7604500000000002E-2</v>
          </cell>
          <cell r="CJ22">
            <v>1.8538499999999999E-2</v>
          </cell>
          <cell r="CK22">
            <v>2.4867499999999997E-2</v>
          </cell>
          <cell r="CL22">
            <v>2.6110999999999999E-2</v>
          </cell>
          <cell r="CM22">
            <v>3.0350499999999999E-2</v>
          </cell>
          <cell r="CN22">
            <v>2.7191999999999997E-2</v>
          </cell>
          <cell r="CO22">
            <v>2.5297E-2</v>
          </cell>
          <cell r="CP22">
            <v>2.4908E-2</v>
          </cell>
          <cell r="CQ22">
            <v>2.1696E-2</v>
          </cell>
          <cell r="CR22">
            <v>1.92325E-2</v>
          </cell>
          <cell r="CS22">
            <v>2.3505999999999999E-2</v>
          </cell>
          <cell r="CT22">
            <v>2.03955E-2</v>
          </cell>
          <cell r="CU22">
            <v>2.2685E-2</v>
          </cell>
          <cell r="CV22">
            <v>1.7696E-2</v>
          </cell>
          <cell r="CW22">
            <v>1.4723000000000002E-2</v>
          </cell>
          <cell r="CX22">
            <v>1.5945000000000001E-2</v>
          </cell>
          <cell r="CY22">
            <v>2.4444999999999998E-2</v>
          </cell>
          <cell r="CZ22">
            <v>2.3830999999999998E-2</v>
          </cell>
          <cell r="DA22">
            <v>2.3011999999999998E-2</v>
          </cell>
          <cell r="DB22">
            <v>2.3338000000000001E-2</v>
          </cell>
          <cell r="DC22">
            <v>2.4092000000000002E-2</v>
          </cell>
          <cell r="DD22">
            <v>2.7382499999999997E-2</v>
          </cell>
          <cell r="DE22">
            <v>2.8650000000000002E-2</v>
          </cell>
          <cell r="DF22">
            <v>3.05875E-2</v>
          </cell>
          <cell r="DG22">
            <v>2.6836000000000002E-2</v>
          </cell>
          <cell r="DH22">
            <v>2.4059000000000001E-2</v>
          </cell>
          <cell r="DI22">
            <v>2.0052500000000001E-2</v>
          </cell>
          <cell r="DJ22">
            <v>1.66555E-2</v>
          </cell>
          <cell r="DK22">
            <v>1.91845E-2</v>
          </cell>
          <cell r="DL22">
            <v>6.5854999999999993E-3</v>
          </cell>
          <cell r="DM22">
            <v>6.5365000000000006E-3</v>
          </cell>
          <cell r="DN22">
            <v>6.8234999999999997E-3</v>
          </cell>
          <cell r="DO22">
            <v>9.1734999999999994E-3</v>
          </cell>
          <cell r="DP22">
            <v>1.7432E-2</v>
          </cell>
          <cell r="DQ22">
            <v>1.4672000000000001E-2</v>
          </cell>
          <cell r="DR22">
            <v>1.5245999999999999E-2</v>
          </cell>
          <cell r="DS22">
            <v>1.5196000000000001E-2</v>
          </cell>
          <cell r="DT22">
            <v>2.3161999999999999E-2</v>
          </cell>
          <cell r="DU22">
            <v>3.0620999999999999E-2</v>
          </cell>
          <cell r="DV22">
            <v>3.7101000000000002E-2</v>
          </cell>
          <cell r="DW22">
            <v>3.8330999999999997E-2</v>
          </cell>
          <cell r="DX22">
            <v>3.5743999999999998E-2</v>
          </cell>
          <cell r="DY22">
            <v>3.8799E-2</v>
          </cell>
          <cell r="DZ22">
            <v>4.5414000000000003E-2</v>
          </cell>
          <cell r="EA22">
            <v>3.8408999999999999E-2</v>
          </cell>
          <cell r="EB22">
            <v>4.2008000000000004E-2</v>
          </cell>
          <cell r="EC22">
            <v>4.3083000000000003E-2</v>
          </cell>
          <cell r="ED22">
            <v>3.7789999999999997E-2</v>
          </cell>
          <cell r="EE22">
            <v>4.5197000000000001E-2</v>
          </cell>
          <cell r="EF22">
            <v>4.2053E-2</v>
          </cell>
          <cell r="EG22">
            <v>4.2529000000000004E-2</v>
          </cell>
          <cell r="EH22">
            <v>4.1338E-2</v>
          </cell>
          <cell r="EI22">
            <v>4.3499999999999997E-2</v>
          </cell>
          <cell r="EJ22">
            <v>4.3999999999999997E-2</v>
          </cell>
          <cell r="EK22">
            <v>4.3999999999999997E-2</v>
          </cell>
          <cell r="EL22">
            <v>4.4499999999999998E-2</v>
          </cell>
          <cell r="EM22">
            <v>4.4499999999999998E-2</v>
          </cell>
          <cell r="EN22">
            <v>4.4999999999999998E-2</v>
          </cell>
          <cell r="EO22">
            <v>4.4999999999999998E-2</v>
          </cell>
          <cell r="EP22">
            <v>4.5499999999999999E-2</v>
          </cell>
          <cell r="EQ22">
            <v>4.5499999999999999E-2</v>
          </cell>
          <cell r="ER22">
            <v>4.5999999999999999E-2</v>
          </cell>
          <cell r="ES22">
            <v>4.5999999999999999E-2</v>
          </cell>
          <cell r="ET22">
            <v>4.5999999999999999E-2</v>
          </cell>
          <cell r="EU22">
            <v>4.5999999999999999E-2</v>
          </cell>
          <cell r="EV22">
            <v>4.5999999999999999E-2</v>
          </cell>
          <cell r="EW22">
            <v>4.5999999999999999E-2</v>
          </cell>
          <cell r="EX22">
            <v>4.5999999999999999E-2</v>
          </cell>
          <cell r="EY22">
            <v>4.5999999999999999E-2</v>
          </cell>
          <cell r="EZ22">
            <v>4.5999999999999999E-2</v>
          </cell>
          <cell r="FA22">
            <v>4.5999999999999999E-2</v>
          </cell>
          <cell r="FB22">
            <v>4.5999999999999999E-2</v>
          </cell>
          <cell r="FC22">
            <v>4.5999999999999999E-2</v>
          </cell>
          <cell r="FD22">
            <v>4.5999999999999999E-2</v>
          </cell>
          <cell r="FE22">
            <v>4.5999999999999999E-2</v>
          </cell>
          <cell r="FF22">
            <v>4.5999999999999999E-2</v>
          </cell>
          <cell r="FG22">
            <v>4.5999999999999999E-2</v>
          </cell>
          <cell r="FH22">
            <v>4.5999999999999999E-2</v>
          </cell>
          <cell r="FI22">
            <v>4.5999999999999999E-2</v>
          </cell>
          <cell r="FJ22">
            <v>4.5999999999999999E-2</v>
          </cell>
          <cell r="FK22">
            <v>4.5999999999999999E-2</v>
          </cell>
          <cell r="FL22">
            <v>4.5999999999999999E-2</v>
          </cell>
          <cell r="FM22">
            <v>4.5999999999999999E-2</v>
          </cell>
          <cell r="FN22">
            <v>4.5999999999999999E-2</v>
          </cell>
          <cell r="FO22">
            <v>4.5999999999999999E-2</v>
          </cell>
          <cell r="FP22">
            <v>4.5999999999999999E-2</v>
          </cell>
          <cell r="FQ22">
            <v>4.5999999999999999E-2</v>
          </cell>
          <cell r="FR22">
            <v>4.5999999999999999E-2</v>
          </cell>
          <cell r="FS22">
            <v>4.5999999999999999E-2</v>
          </cell>
          <cell r="FT22">
            <v>4.5999999999999999E-2</v>
          </cell>
          <cell r="FU22">
            <v>4.5999999999999999E-2</v>
          </cell>
        </row>
        <row r="24">
          <cell r="B24" t="str">
            <v>Rates - average (6mo)</v>
          </cell>
        </row>
        <row r="25">
          <cell r="A25" t="str">
            <v>6MoCashg</v>
          </cell>
          <cell r="B25" t="str">
            <v>Aust cash</v>
          </cell>
          <cell r="D25">
            <v>8.1583333333333327E-2</v>
          </cell>
          <cell r="E25">
            <v>7.1583333333333346E-2</v>
          </cell>
          <cell r="F25">
            <v>6.1499999999999992E-2</v>
          </cell>
          <cell r="G25">
            <v>5.6000000000000008E-2</v>
          </cell>
          <cell r="H25">
            <v>5.6250000000000001E-2</v>
          </cell>
          <cell r="I25">
            <v>5.3583333333333337E-2</v>
          </cell>
          <cell r="J25">
            <v>4.9500000000000002E-2</v>
          </cell>
          <cell r="K25">
            <v>4.7416666666666663E-2</v>
          </cell>
          <cell r="L25">
            <v>4.7500000000000001E-2</v>
          </cell>
          <cell r="M25">
            <v>4.675E-2</v>
          </cell>
          <cell r="N25">
            <v>4.8999999999999995E-2</v>
          </cell>
          <cell r="O25">
            <v>5.9750000000000004E-2</v>
          </cell>
          <cell r="P25">
            <v>7.1083333333333346E-2</v>
          </cell>
          <cell r="Q25">
            <v>7.4366666666666664E-2</v>
          </cell>
          <cell r="R25">
            <v>7.4116666666666664E-2</v>
          </cell>
          <cell r="S25">
            <v>7.4166666666666672E-2</v>
          </cell>
          <cell r="T25">
            <v>7.4166666666666672E-2</v>
          </cell>
          <cell r="U25">
            <v>7.3166666666666658E-2</v>
          </cell>
          <cell r="V25">
            <v>7.1166666666666656E-2</v>
          </cell>
          <cell r="W25">
            <v>6.7616666666666672E-2</v>
          </cell>
          <cell r="X25">
            <v>6.2766666666666679E-2</v>
          </cell>
          <cell r="Y25">
            <v>5.8633333333333336E-2</v>
          </cell>
          <cell r="Z25">
            <v>5.3399999999999996E-2</v>
          </cell>
          <cell r="AA25">
            <v>4.9816666666666662E-2</v>
          </cell>
          <cell r="AB25">
            <v>4.9800000000000004E-2</v>
          </cell>
          <cell r="AC25">
            <v>4.9766666666666674E-2</v>
          </cell>
          <cell r="AD25">
            <v>4.9783333333333346E-2</v>
          </cell>
          <cell r="AE25">
            <v>4.9383333333333335E-2</v>
          </cell>
          <cell r="AF25">
            <v>4.8099999999999997E-2</v>
          </cell>
          <cell r="AG25">
            <v>4.7399999999999991E-2</v>
          </cell>
          <cell r="AH25">
            <v>4.7566666666666667E-2</v>
          </cell>
          <cell r="AI25">
            <v>4.8333333333333332E-2</v>
          </cell>
          <cell r="AJ25">
            <v>5.1200000000000002E-2</v>
          </cell>
          <cell r="AK25">
            <v>5.6250000000000001E-2</v>
          </cell>
          <cell r="AL25">
            <v>6.0416666666666667E-2</v>
          </cell>
          <cell r="AM25">
            <v>6.2083333333333331E-2</v>
          </cell>
          <cell r="AN25">
            <v>6.0416666666666667E-2</v>
          </cell>
          <cell r="AO25">
            <v>5.4166666666666669E-2</v>
          </cell>
          <cell r="AP25">
            <v>4.9583333333333333E-2</v>
          </cell>
          <cell r="AQ25">
            <v>4.6666666666666669E-2</v>
          </cell>
          <cell r="AR25">
            <v>4.3333333333333328E-2</v>
          </cell>
          <cell r="AS25">
            <v>4.3749999999999997E-2</v>
          </cell>
          <cell r="AT25">
            <v>4.6249999999999999E-2</v>
          </cell>
          <cell r="AU25">
            <v>4.7500000000000001E-2</v>
          </cell>
          <cell r="AV25">
            <v>4.7500000000000001E-2</v>
          </cell>
          <cell r="AW25">
            <v>4.7500000000000001E-2</v>
          </cell>
          <cell r="AX25">
            <v>4.7500000000000001E-2</v>
          </cell>
          <cell r="AY25">
            <v>4.8750000000000002E-2</v>
          </cell>
          <cell r="AZ25">
            <v>5.1249999999999997E-2</v>
          </cell>
          <cell r="BA25">
            <v>5.2499999999999998E-2</v>
          </cell>
          <cell r="BB25">
            <v>5.2499999999999998E-2</v>
          </cell>
          <cell r="BC25">
            <v>5.2499999999999998E-2</v>
          </cell>
          <cell r="BD25">
            <v>5.2916666666666667E-2</v>
          </cell>
          <cell r="BE25">
            <v>5.4166666666666669E-2</v>
          </cell>
          <cell r="BF25">
            <v>5.5E-2</v>
          </cell>
          <cell r="BG25">
            <v>5.5E-2</v>
          </cell>
          <cell r="BH25">
            <v>5.5E-2</v>
          </cell>
          <cell r="BI25">
            <v>5.5833333333333332E-2</v>
          </cell>
          <cell r="BJ25">
            <v>5.7916666666666672E-2</v>
          </cell>
          <cell r="BK25">
            <v>6.0416666666666667E-2</v>
          </cell>
          <cell r="BL25">
            <v>6.2083333333333331E-2</v>
          </cell>
          <cell r="BM25">
            <v>6.25E-2</v>
          </cell>
          <cell r="BN25">
            <v>6.3333333333333325E-2</v>
          </cell>
          <cell r="BO25">
            <v>6.5416666666666665E-2</v>
          </cell>
          <cell r="BP25">
            <v>6.8333333333333329E-2</v>
          </cell>
          <cell r="BQ25">
            <v>7.1249999999999994E-2</v>
          </cell>
          <cell r="BR25">
            <v>7.2083333333333333E-2</v>
          </cell>
          <cell r="BS25">
            <v>6.1666666666666668E-2</v>
          </cell>
          <cell r="BT25">
            <v>4.3749999999999997E-2</v>
          </cell>
          <cell r="BU25">
            <v>3.2916666666666664E-2</v>
          </cell>
          <cell r="BV25">
            <v>0.03</v>
          </cell>
          <cell r="BW25">
            <v>3.2500000000000001E-2</v>
          </cell>
          <cell r="BX25">
            <v>3.6666666666666667E-2</v>
          </cell>
          <cell r="BY25">
            <v>4.1250000000000002E-2</v>
          </cell>
          <cell r="BZ25">
            <v>4.4583333333333329E-2</v>
          </cell>
          <cell r="CA25">
            <v>4.583333333333333E-2</v>
          </cell>
          <cell r="CB25">
            <v>4.7083333333333331E-2</v>
          </cell>
          <cell r="CC25">
            <v>4.7500000000000001E-2</v>
          </cell>
          <cell r="CD25">
            <v>4.7500000000000001E-2</v>
          </cell>
          <cell r="CE25">
            <v>4.6249999999999999E-2</v>
          </cell>
          <cell r="CF25">
            <v>4.3749999999999997E-2</v>
          </cell>
          <cell r="CG25">
            <v>4.041666666666667E-2</v>
          </cell>
          <cell r="CH25">
            <v>3.6666666666666667E-2</v>
          </cell>
          <cell r="CI25">
            <v>3.3333333333333333E-2</v>
          </cell>
          <cell r="CJ25">
            <v>3.0833333333333334E-2</v>
          </cell>
          <cell r="CK25">
            <v>2.9166666666666664E-2</v>
          </cell>
          <cell r="CL25">
            <v>2.7083333333333334E-2</v>
          </cell>
          <cell r="CM25">
            <v>2.5416666666666664E-2</v>
          </cell>
          <cell r="CN25">
            <v>2.5000000000000001E-2</v>
          </cell>
          <cell r="CO25">
            <v>2.5000000000000001E-2</v>
          </cell>
          <cell r="CP25">
            <v>2.5000000000000001E-2</v>
          </cell>
          <cell r="CQ25">
            <v>2.5000000000000001E-2</v>
          </cell>
          <cell r="CR25">
            <v>2.4166666666666666E-2</v>
          </cell>
          <cell r="CS25">
            <v>2.2083333333333333E-2</v>
          </cell>
          <cell r="CT25">
            <v>2.0416666666666666E-2</v>
          </cell>
          <cell r="CU25">
            <v>0.02</v>
          </cell>
          <cell r="CV25">
            <v>0.02</v>
          </cell>
          <cell r="CW25">
            <v>1.9166666666666669E-2</v>
          </cell>
          <cell r="CX25">
            <v>1.7083333333333332E-2</v>
          </cell>
          <cell r="CY25">
            <v>1.5416666666666667E-2</v>
          </cell>
          <cell r="CZ25">
            <v>1.4999999999999999E-2</v>
          </cell>
          <cell r="DA25">
            <v>1.4999999999999999E-2</v>
          </cell>
          <cell r="DB25">
            <v>1.4999999999999999E-2</v>
          </cell>
          <cell r="DC25">
            <v>1.4999999999999999E-2</v>
          </cell>
          <cell r="DD25">
            <v>1.4999999999999999E-2</v>
          </cell>
          <cell r="DE25">
            <v>1.4999999999999999E-2</v>
          </cell>
          <cell r="DF25">
            <v>1.4999999999999999E-2</v>
          </cell>
          <cell r="DG25">
            <v>1.4999999999999999E-2</v>
          </cell>
          <cell r="DH25">
            <v>1.4999999999999999E-2</v>
          </cell>
          <cell r="DI25">
            <v>1.4583333333333332E-2</v>
          </cell>
          <cell r="DJ25">
            <v>1.2083333333333333E-2</v>
          </cell>
          <cell r="DK25">
            <v>8.7500000000000008E-3</v>
          </cell>
          <cell r="DL25">
            <v>6.6666666666666662E-3</v>
          </cell>
          <cell r="DM25">
            <v>4.1666666666666666E-3</v>
          </cell>
          <cell r="DN25">
            <v>2.5000000000000001E-3</v>
          </cell>
          <cell r="DO25">
            <v>2.0000000000000005E-3</v>
          </cell>
          <cell r="DP25">
            <v>1.2499999999999998E-3</v>
          </cell>
          <cell r="DQ25">
            <v>1E-3</v>
          </cell>
          <cell r="DR25">
            <v>1E-3</v>
          </cell>
          <cell r="DS25">
            <v>1E-3</v>
          </cell>
          <cell r="DT25">
            <v>1E-3</v>
          </cell>
          <cell r="DU25">
            <v>2.6666666666666666E-3</v>
          </cell>
          <cell r="DV25">
            <v>1.1416666666666665E-2</v>
          </cell>
          <cell r="DW25">
            <v>2.35E-2</v>
          </cell>
          <cell r="DX25">
            <v>3.1E-2</v>
          </cell>
          <cell r="DY25">
            <v>3.6000000000000004E-2</v>
          </cell>
          <cell r="DZ25">
            <v>3.9750000000000001E-2</v>
          </cell>
          <cell r="EA25">
            <v>4.1833333333333333E-2</v>
          </cell>
          <cell r="EB25">
            <v>4.3083333333333335E-2</v>
          </cell>
          <cell r="EC25">
            <v>4.3500000000000004E-2</v>
          </cell>
          <cell r="ED25">
            <v>4.3500000000000004E-2</v>
          </cell>
          <cell r="EE25">
            <v>4.3500000000000004E-2</v>
          </cell>
          <cell r="EF25">
            <v>4.2666666666666665E-2</v>
          </cell>
          <cell r="EG25">
            <v>4.0583333333333332E-2</v>
          </cell>
          <cell r="EH25">
            <v>3.8083333333333337E-2</v>
          </cell>
          <cell r="EI25">
            <v>3.6833333333333336E-2</v>
          </cell>
          <cell r="EJ25">
            <v>3.6833333333333336E-2</v>
          </cell>
          <cell r="EK25">
            <v>3.85E-2</v>
          </cell>
          <cell r="EL25">
            <v>4.0166666666666663E-2</v>
          </cell>
          <cell r="EM25">
            <v>4.0999999999999995E-2</v>
          </cell>
          <cell r="EN25">
            <v>4.0166666666666663E-2</v>
          </cell>
          <cell r="EO25">
            <v>3.85E-2</v>
          </cell>
          <cell r="EP25">
            <v>3.6833333333333336E-2</v>
          </cell>
          <cell r="EQ25">
            <v>3.6000000000000004E-2</v>
          </cell>
          <cell r="ER25">
            <v>3.6000000000000004E-2</v>
          </cell>
          <cell r="ES25">
            <v>3.6000000000000004E-2</v>
          </cell>
          <cell r="ET25">
            <v>3.6000000000000004E-2</v>
          </cell>
          <cell r="EU25">
            <v>3.6000000000000004E-2</v>
          </cell>
          <cell r="EV25">
            <v>3.6000000000000004E-2</v>
          </cell>
          <cell r="EW25">
            <v>3.6000000000000004E-2</v>
          </cell>
          <cell r="EX25">
            <v>3.6000000000000004E-2</v>
          </cell>
          <cell r="EY25">
            <v>3.6000000000000004E-2</v>
          </cell>
          <cell r="EZ25">
            <v>3.6000000000000004E-2</v>
          </cell>
          <cell r="FA25">
            <v>3.6000000000000004E-2</v>
          </cell>
          <cell r="FB25">
            <v>3.6000000000000004E-2</v>
          </cell>
          <cell r="FC25">
            <v>3.6000000000000004E-2</v>
          </cell>
          <cell r="FD25">
            <v>3.6000000000000004E-2</v>
          </cell>
          <cell r="FE25">
            <v>3.6000000000000004E-2</v>
          </cell>
          <cell r="FF25">
            <v>3.6000000000000004E-2</v>
          </cell>
          <cell r="FG25">
            <v>3.6000000000000004E-2</v>
          </cell>
          <cell r="FH25">
            <v>3.6000000000000004E-2</v>
          </cell>
          <cell r="FI25">
            <v>3.6000000000000004E-2</v>
          </cell>
          <cell r="FJ25">
            <v>3.6000000000000004E-2</v>
          </cell>
          <cell r="FK25">
            <v>3.6000000000000004E-2</v>
          </cell>
          <cell r="FL25">
            <v>3.6000000000000004E-2</v>
          </cell>
          <cell r="FM25">
            <v>3.6000000000000004E-2</v>
          </cell>
          <cell r="FN25">
            <v>3.6000000000000004E-2</v>
          </cell>
          <cell r="FO25">
            <v>3.6000000000000004E-2</v>
          </cell>
          <cell r="FP25">
            <v>3.6000000000000004E-2</v>
          </cell>
          <cell r="FQ25">
            <v>3.6000000000000004E-2</v>
          </cell>
          <cell r="FR25">
            <v>3.6000000000000004E-2</v>
          </cell>
          <cell r="FS25">
            <v>3.6000000000000004E-2</v>
          </cell>
          <cell r="FT25">
            <v>3.6000000000000004E-2</v>
          </cell>
          <cell r="FU25">
            <v>3.6000000000000004E-2</v>
          </cell>
        </row>
        <row r="26">
          <cell r="A26" t="str">
            <v>au_bbsw3m_avg_6m</v>
          </cell>
          <cell r="B26" t="str">
            <v>Aust 90 day bill</v>
          </cell>
          <cell r="D26">
            <v>7.8383333333333347E-2</v>
          </cell>
          <cell r="E26">
            <v>7.0033333333333336E-2</v>
          </cell>
          <cell r="F26">
            <v>6.1366666666666667E-2</v>
          </cell>
          <cell r="G26">
            <v>5.8550000000000005E-2</v>
          </cell>
          <cell r="H26">
            <v>5.7516666666666681E-2</v>
          </cell>
          <cell r="I26">
            <v>5.4083333333333324E-2</v>
          </cell>
          <cell r="J26">
            <v>5.0333333333333334E-2</v>
          </cell>
          <cell r="K26">
            <v>4.8233333333333329E-2</v>
          </cell>
          <cell r="L26">
            <v>4.8366666666666662E-2</v>
          </cell>
          <cell r="M26">
            <v>5.000000000000001E-2</v>
          </cell>
          <cell r="N26">
            <v>5.4664999999999998E-2</v>
          </cell>
          <cell r="O26">
            <v>6.5886666666666663E-2</v>
          </cell>
          <cell r="P26">
            <v>7.7175000000000007E-2</v>
          </cell>
          <cell r="Q26">
            <v>7.8698333333333328E-2</v>
          </cell>
          <cell r="R26">
            <v>7.6266666666666677E-2</v>
          </cell>
          <cell r="S26">
            <v>7.5074999999999989E-2</v>
          </cell>
          <cell r="T26">
            <v>7.4855000000000005E-2</v>
          </cell>
          <cell r="U26">
            <v>7.5434999999999988E-2</v>
          </cell>
          <cell r="V26">
            <v>7.2468333333333315E-2</v>
          </cell>
          <cell r="W26">
            <v>6.6380000000000008E-2</v>
          </cell>
          <cell r="X26">
            <v>6.1489000000000002E-2</v>
          </cell>
          <cell r="Y26">
            <v>5.783566666666666E-2</v>
          </cell>
          <cell r="Z26">
            <v>5.238333333333333E-2</v>
          </cell>
          <cell r="AA26">
            <v>4.9211166666666674E-2</v>
          </cell>
          <cell r="AB26">
            <v>4.9933333333333343E-2</v>
          </cell>
          <cell r="AC26">
            <v>5.0369333333333328E-2</v>
          </cell>
          <cell r="AD26">
            <v>5.1316666666666656E-2</v>
          </cell>
          <cell r="AE26">
            <v>5.0166666666666665E-2</v>
          </cell>
          <cell r="AF26">
            <v>4.8224833333333335E-2</v>
          </cell>
          <cell r="AG26">
            <v>4.852483333333333E-2</v>
          </cell>
          <cell r="AH26">
            <v>4.9466666666666666E-2</v>
          </cell>
          <cell r="AI26">
            <v>5.2777833333333329E-2</v>
          </cell>
          <cell r="AJ26">
            <v>5.6919499999999991E-2</v>
          </cell>
          <cell r="AK26">
            <v>6.0261166666666657E-2</v>
          </cell>
          <cell r="AL26">
            <v>6.3722333333333339E-2</v>
          </cell>
          <cell r="AM26">
            <v>6.4011166666666675E-2</v>
          </cell>
          <cell r="AN26">
            <v>5.8785999999999998E-2</v>
          </cell>
          <cell r="AO26">
            <v>5.2130499999999996E-2</v>
          </cell>
          <cell r="AP26">
            <v>4.8563833333333327E-2</v>
          </cell>
          <cell r="AQ26">
            <v>4.5136000000000003E-2</v>
          </cell>
          <cell r="AR26">
            <v>4.3449999999999996E-2</v>
          </cell>
          <cell r="AS26">
            <v>4.6577833333333346E-2</v>
          </cell>
          <cell r="AT26">
            <v>4.9258500000000004E-2</v>
          </cell>
          <cell r="AU26">
            <v>4.8975166666666674E-2</v>
          </cell>
          <cell r="AV26">
            <v>4.8122166666666667E-2</v>
          </cell>
          <cell r="AW26">
            <v>4.7716666666666664E-2</v>
          </cell>
          <cell r="AX26">
            <v>4.7991666666666676E-2</v>
          </cell>
          <cell r="AY26">
            <v>5.0808166666666675E-2</v>
          </cell>
          <cell r="AZ26">
            <v>5.4583333333333331E-2</v>
          </cell>
          <cell r="BA26">
            <v>5.5549999999999995E-2</v>
          </cell>
          <cell r="BB26">
            <v>5.4836000000000003E-2</v>
          </cell>
          <cell r="BC26">
            <v>5.4416666666666662E-2</v>
          </cell>
          <cell r="BD26">
            <v>5.5772166666666657E-2</v>
          </cell>
          <cell r="BE26">
            <v>5.7039000000000006E-2</v>
          </cell>
          <cell r="BF26">
            <v>5.662233333333333E-2</v>
          </cell>
          <cell r="BG26">
            <v>5.641100000000001E-2</v>
          </cell>
          <cell r="BH26">
            <v>5.6294333333333342E-2</v>
          </cell>
          <cell r="BI26">
            <v>5.7594500000000014E-2</v>
          </cell>
          <cell r="BJ26">
            <v>6.0472333333333336E-2</v>
          </cell>
          <cell r="BK26">
            <v>6.2972333333333338E-2</v>
          </cell>
          <cell r="BL26">
            <v>6.4094499999999999E-2</v>
          </cell>
          <cell r="BM26">
            <v>6.4052666666666674E-2</v>
          </cell>
          <cell r="BN26">
            <v>6.5952666666666659E-2</v>
          </cell>
          <cell r="BO26">
            <v>6.9819500000000007E-2</v>
          </cell>
          <cell r="BP26">
            <v>7.4508333333333343E-2</v>
          </cell>
          <cell r="BQ26">
            <v>7.7711000000000002E-2</v>
          </cell>
          <cell r="BR26">
            <v>7.6283333333333342E-2</v>
          </cell>
          <cell r="BS26">
            <v>6.1702833333333339E-2</v>
          </cell>
          <cell r="BT26">
            <v>4.0635999999999999E-2</v>
          </cell>
          <cell r="BU26">
            <v>3.1949833333333337E-2</v>
          </cell>
          <cell r="BV26">
            <v>3.2550000000000003E-2</v>
          </cell>
          <cell r="BW26">
            <v>3.7194333333333336E-2</v>
          </cell>
          <cell r="BX26">
            <v>4.2074833333333332E-2</v>
          </cell>
          <cell r="BY26">
            <v>4.5691666666666665E-2</v>
          </cell>
          <cell r="BZ26">
            <v>4.8258500000000003E-2</v>
          </cell>
          <cell r="CA26">
            <v>4.9141833333333336E-2</v>
          </cell>
          <cell r="CB26">
            <v>4.9614000000000005E-2</v>
          </cell>
          <cell r="CC26">
            <v>4.9663833333333338E-2</v>
          </cell>
          <cell r="CD26">
            <v>4.9727666666666677E-2</v>
          </cell>
          <cell r="CE26">
            <v>4.7736000000000001E-2</v>
          </cell>
          <cell r="CF26">
            <v>4.4900000000000002E-2</v>
          </cell>
          <cell r="CG26">
            <v>4.037516666666667E-2</v>
          </cell>
          <cell r="CH26">
            <v>3.6105666666666668E-2</v>
          </cell>
          <cell r="CI26">
            <v>3.3511166666666668E-2</v>
          </cell>
          <cell r="CJ26">
            <v>3.0893166666666669E-2</v>
          </cell>
          <cell r="CK26">
            <v>2.9276499999999997E-2</v>
          </cell>
          <cell r="CL26">
            <v>2.7312499999999997E-2</v>
          </cell>
          <cell r="CM26">
            <v>2.6159833333333337E-2</v>
          </cell>
          <cell r="CN26">
            <v>2.6327833333333339E-2</v>
          </cell>
          <cell r="CO26">
            <v>2.6741666666666667E-2</v>
          </cell>
          <cell r="CP26">
            <v>2.6741666666666664E-2</v>
          </cell>
          <cell r="CQ26">
            <v>2.6997166666666669E-2</v>
          </cell>
          <cell r="CR26">
            <v>2.5600000000000001E-2</v>
          </cell>
          <cell r="CS26">
            <v>2.2755499999999998E-2</v>
          </cell>
          <cell r="CT26">
            <v>2.1688833333333334E-2</v>
          </cell>
          <cell r="CU26">
            <v>2.2027833333333337E-2</v>
          </cell>
          <cell r="CV26">
            <v>2.2677833333333335E-2</v>
          </cell>
          <cell r="CW26">
            <v>2.1594333333333337E-2</v>
          </cell>
          <cell r="CX26">
            <v>1.9052666666666666E-2</v>
          </cell>
          <cell r="CY26">
            <v>1.7766666666666667E-2</v>
          </cell>
          <cell r="CZ26">
            <v>1.7783333333333332E-2</v>
          </cell>
          <cell r="DA26">
            <v>1.755E-2</v>
          </cell>
          <cell r="DB26">
            <v>1.7174999999999999E-2</v>
          </cell>
          <cell r="DC26">
            <v>1.7241666666666669E-2</v>
          </cell>
          <cell r="DD26">
            <v>1.8024999999999999E-2</v>
          </cell>
          <cell r="DE26">
            <v>1.9525500000000001E-2</v>
          </cell>
          <cell r="DF26">
            <v>1.9958E-2</v>
          </cell>
          <cell r="DG26">
            <v>1.9665833333333334E-2</v>
          </cell>
          <cell r="DH26">
            <v>1.9425666666666664E-2</v>
          </cell>
          <cell r="DI26">
            <v>1.6480499999999999E-2</v>
          </cell>
          <cell r="DJ26">
            <v>1.1851166666666668E-2</v>
          </cell>
          <cell r="DK26">
            <v>9.4336666666666649E-3</v>
          </cell>
          <cell r="DL26">
            <v>7.9928333333333327E-3</v>
          </cell>
          <cell r="DM26">
            <v>3.9301666666666677E-3</v>
          </cell>
          <cell r="DN26">
            <v>9.5799999999999998E-4</v>
          </cell>
          <cell r="DO26">
            <v>6.1133333333333341E-4</v>
          </cell>
          <cell r="DP26">
            <v>2.6966666666666664E-4</v>
          </cell>
          <cell r="DQ26">
            <v>3.0216666666666667E-4</v>
          </cell>
          <cell r="DR26">
            <v>2.6416666666666667E-4</v>
          </cell>
          <cell r="DS26">
            <v>3.9616666666666668E-4</v>
          </cell>
          <cell r="DT26">
            <v>9.5299999999999996E-4</v>
          </cell>
          <cell r="DU26">
            <v>6.8135000000000001E-3</v>
          </cell>
          <cell r="DV26">
            <v>1.8903833333333332E-2</v>
          </cell>
          <cell r="DW26">
            <v>2.8466666666666661E-2</v>
          </cell>
          <cell r="DX26">
            <v>3.3483833333333331E-2</v>
          </cell>
          <cell r="DY26">
            <v>3.7768999999999997E-2</v>
          </cell>
          <cell r="DZ26">
            <v>4.0896499999999995E-2</v>
          </cell>
          <cell r="EA26">
            <v>4.267566666666666E-2</v>
          </cell>
          <cell r="EB26">
            <v>4.3505500000000003E-2</v>
          </cell>
          <cell r="EC26">
            <v>4.3715166666666666E-2</v>
          </cell>
          <cell r="ED26">
            <v>4.4202666666666668E-2</v>
          </cell>
          <cell r="EE26">
            <v>4.4300166666666661E-2</v>
          </cell>
          <cell r="EF26">
            <v>4.2922333333333326E-2</v>
          </cell>
          <cell r="EG26">
            <v>3.9490333333333336E-2</v>
          </cell>
          <cell r="EH26">
            <v>3.6722999999999999E-2</v>
          </cell>
          <cell r="EI26">
            <v>3.6100333333333338E-2</v>
          </cell>
          <cell r="EJ26">
            <v>3.8000000000000006E-2</v>
          </cell>
          <cell r="EK26">
            <v>4.0999999999999995E-2</v>
          </cell>
          <cell r="EL26">
            <v>4.2749999999999996E-2</v>
          </cell>
          <cell r="EM26">
            <v>4.3249999999999997E-2</v>
          </cell>
          <cell r="EN26">
            <v>4.2249999999999996E-2</v>
          </cell>
          <cell r="EO26">
            <v>3.9750000000000008E-2</v>
          </cell>
          <cell r="EP26">
            <v>3.8500000000000006E-2</v>
          </cell>
          <cell r="EQ26">
            <v>3.8500000000000006E-2</v>
          </cell>
          <cell r="ER26">
            <v>3.8500000000000006E-2</v>
          </cell>
          <cell r="ES26">
            <v>3.8500000000000006E-2</v>
          </cell>
          <cell r="ET26">
            <v>3.8500000000000006E-2</v>
          </cell>
          <cell r="EU26">
            <v>3.8500000000000006E-2</v>
          </cell>
          <cell r="EV26">
            <v>3.8500000000000006E-2</v>
          </cell>
          <cell r="EW26">
            <v>3.8500000000000006E-2</v>
          </cell>
          <cell r="EX26">
            <v>3.8500000000000006E-2</v>
          </cell>
          <cell r="EY26">
            <v>3.8500000000000006E-2</v>
          </cell>
          <cell r="EZ26">
            <v>3.8500000000000006E-2</v>
          </cell>
          <cell r="FA26">
            <v>3.8500000000000006E-2</v>
          </cell>
          <cell r="FB26">
            <v>3.8500000000000006E-2</v>
          </cell>
          <cell r="FC26">
            <v>3.8500000000000006E-2</v>
          </cell>
          <cell r="FD26">
            <v>3.8500000000000006E-2</v>
          </cell>
          <cell r="FE26">
            <v>3.8500000000000006E-2</v>
          </cell>
          <cell r="FF26">
            <v>3.8500000000000006E-2</v>
          </cell>
          <cell r="FG26">
            <v>3.8500000000000006E-2</v>
          </cell>
          <cell r="FH26">
            <v>3.8500000000000006E-2</v>
          </cell>
          <cell r="FI26">
            <v>3.8500000000000006E-2</v>
          </cell>
          <cell r="FJ26">
            <v>3.8500000000000006E-2</v>
          </cell>
          <cell r="FK26">
            <v>3.8500000000000006E-2</v>
          </cell>
          <cell r="FL26">
            <v>3.8500000000000006E-2</v>
          </cell>
          <cell r="FM26">
            <v>3.8500000000000006E-2</v>
          </cell>
          <cell r="FN26">
            <v>3.8500000000000006E-2</v>
          </cell>
          <cell r="FO26">
            <v>3.8500000000000006E-2</v>
          </cell>
          <cell r="FP26">
            <v>3.8500000000000006E-2</v>
          </cell>
          <cell r="FQ26">
            <v>3.8500000000000006E-2</v>
          </cell>
          <cell r="FR26">
            <v>3.8500000000000006E-2</v>
          </cell>
          <cell r="FS26">
            <v>3.8500000000000006E-2</v>
          </cell>
          <cell r="FT26">
            <v>3.8500000000000006E-2</v>
          </cell>
          <cell r="FU26">
            <v>3.8500000000000006E-2</v>
          </cell>
        </row>
        <row r="27">
          <cell r="A27" t="str">
            <v>au_govt10y_avg_6m</v>
          </cell>
          <cell r="B27" t="str">
            <v>Aust 10 yr Bond Rate</v>
          </cell>
          <cell r="N27">
            <v>9.3566666666666659E-2</v>
          </cell>
          <cell r="O27">
            <v>0.10048333333333331</v>
          </cell>
          <cell r="P27">
            <v>0.10183333333333333</v>
          </cell>
          <cell r="Q27">
            <v>9.6549999999999997E-2</v>
          </cell>
          <cell r="R27">
            <v>9.1366666666666665E-2</v>
          </cell>
          <cell r="S27">
            <v>8.6816666666666667E-2</v>
          </cell>
          <cell r="T27">
            <v>8.4400000000000017E-2</v>
          </cell>
          <cell r="U27">
            <v>8.6616666666666675E-2</v>
          </cell>
          <cell r="V27">
            <v>8.4366666666666659E-2</v>
          </cell>
          <cell r="W27">
            <v>7.6833333333333337E-2</v>
          </cell>
          <cell r="X27">
            <v>7.5033333333333341E-2</v>
          </cell>
          <cell r="Y27">
            <v>7.5566666666666671E-2</v>
          </cell>
          <cell r="Z27">
            <v>6.8433333333333332E-2</v>
          </cell>
          <cell r="AA27">
            <v>6.1516666666666664E-2</v>
          </cell>
          <cell r="AB27">
            <v>5.9550000000000013E-2</v>
          </cell>
          <cell r="AC27">
            <v>5.7483333333333338E-2</v>
          </cell>
          <cell r="AD27">
            <v>5.5633333333333333E-2</v>
          </cell>
          <cell r="AE27">
            <v>5.2533333333333342E-2</v>
          </cell>
          <cell r="AF27">
            <v>5.1749999999999997E-2</v>
          </cell>
          <cell r="AG27">
            <v>5.6383333333333327E-2</v>
          </cell>
          <cell r="AH27">
            <v>6.076666666666667E-2</v>
          </cell>
          <cell r="AI27">
            <v>6.4783333333333332E-2</v>
          </cell>
          <cell r="AJ27">
            <v>6.7333333333333328E-2</v>
          </cell>
          <cell r="AK27">
            <v>6.5100000000000005E-2</v>
          </cell>
          <cell r="AL27">
            <v>6.2716666666666657E-2</v>
          </cell>
          <cell r="AM27">
            <v>6.0300000000000013E-2</v>
          </cell>
          <cell r="AN27">
            <v>5.5374999999999987E-2</v>
          </cell>
          <cell r="AO27">
            <v>5.6116666666666676E-2</v>
          </cell>
          <cell r="AP27">
            <v>5.8266666666666668E-2</v>
          </cell>
          <cell r="AQ27">
            <v>5.6524999999999999E-2</v>
          </cell>
          <cell r="AR27">
            <v>5.8450000000000016E-2</v>
          </cell>
          <cell r="AS27">
            <v>6.0899999999999996E-2</v>
          </cell>
          <cell r="AT27">
            <v>5.8700000000000002E-2</v>
          </cell>
          <cell r="AU27">
            <v>5.5583333333333339E-2</v>
          </cell>
          <cell r="AV27">
            <v>5.3249999999999999E-2</v>
          </cell>
          <cell r="AW27">
            <v>5.1150000000000001E-2</v>
          </cell>
          <cell r="AX27">
            <v>5.238333333333333E-2</v>
          </cell>
          <cell r="AY27">
            <v>5.6024999999999991E-2</v>
          </cell>
          <cell r="AZ27">
            <v>5.699166666666667E-2</v>
          </cell>
          <cell r="BA27">
            <v>5.7533333333333339E-2</v>
          </cell>
          <cell r="BB27">
            <v>5.7433333333333329E-2</v>
          </cell>
          <cell r="BC27">
            <v>5.4400000000000004E-2</v>
          </cell>
          <cell r="BD27">
            <v>5.4058333333333326E-2</v>
          </cell>
          <cell r="BE27">
            <v>5.3633333333333325E-2</v>
          </cell>
          <cell r="BF27">
            <v>5.1841666666666668E-2</v>
          </cell>
          <cell r="BG27">
            <v>5.264166666666667E-2</v>
          </cell>
          <cell r="BH27">
            <v>5.3541666666666668E-2</v>
          </cell>
          <cell r="BI27">
            <v>5.5474999999999997E-2</v>
          </cell>
          <cell r="BJ27">
            <v>5.7054166666666656E-2</v>
          </cell>
          <cell r="BK27">
            <v>5.6909166666666663E-2</v>
          </cell>
          <cell r="BL27">
            <v>5.7738333333333322E-2</v>
          </cell>
          <cell r="BM27">
            <v>5.9435833333333334E-2</v>
          </cell>
          <cell r="BN27">
            <v>6.0406666666666664E-2</v>
          </cell>
          <cell r="BO27">
            <v>6.0978333333333336E-2</v>
          </cell>
          <cell r="BP27">
            <v>6.1404166666666669E-2</v>
          </cell>
          <cell r="BQ27">
            <v>6.2666666666666662E-2</v>
          </cell>
          <cell r="BR27">
            <v>6.1021666666666662E-2</v>
          </cell>
          <cell r="BS27">
            <v>5.1814166666666661E-2</v>
          </cell>
          <cell r="BT27">
            <v>4.4725000000000001E-2</v>
          </cell>
          <cell r="BU27">
            <v>4.8212499999999998E-2</v>
          </cell>
          <cell r="BV27">
            <v>5.4051500000000002E-2</v>
          </cell>
          <cell r="BW27">
            <v>5.5404499999999995E-2</v>
          </cell>
          <cell r="BX27">
            <v>5.5547333333333337E-2</v>
          </cell>
          <cell r="BY27">
            <v>5.4795166666666659E-2</v>
          </cell>
          <cell r="BZ27">
            <v>5.1851999999999988E-2</v>
          </cell>
          <cell r="CA27">
            <v>5.174949999999999E-2</v>
          </cell>
          <cell r="CB27">
            <v>5.4378666666666658E-2</v>
          </cell>
          <cell r="CC27">
            <v>5.3948666666666666E-2</v>
          </cell>
          <cell r="CD27">
            <v>4.8794000000000004E-2</v>
          </cell>
          <cell r="CE27">
            <v>4.2575499999999995E-2</v>
          </cell>
          <cell r="CF27">
            <v>4.0020500000000007E-2</v>
          </cell>
          <cell r="CG27">
            <v>3.5889833333333329E-2</v>
          </cell>
          <cell r="CH27">
            <v>3.1283166666666667E-2</v>
          </cell>
          <cell r="CI27">
            <v>3.1135666666666669E-2</v>
          </cell>
          <cell r="CJ27">
            <v>3.2968499999999998E-2</v>
          </cell>
          <cell r="CK27">
            <v>3.405366666666667E-2</v>
          </cell>
          <cell r="CL27">
            <v>3.6064000000000006E-2</v>
          </cell>
          <cell r="CM27">
            <v>3.9850166666666659E-2</v>
          </cell>
          <cell r="CN27">
            <v>4.0980166666666665E-2</v>
          </cell>
          <cell r="CO27">
            <v>3.8759666666666664E-2</v>
          </cell>
          <cell r="CP27">
            <v>3.5723499999999998E-2</v>
          </cell>
          <cell r="CQ27">
            <v>3.2227833333333337E-2</v>
          </cell>
          <cell r="CR27">
            <v>2.7133666666666671E-2</v>
          </cell>
          <cell r="CS27">
            <v>2.6023999999999999E-2</v>
          </cell>
          <cell r="CT27">
            <v>2.7368666666666663E-2</v>
          </cell>
          <cell r="CU27">
            <v>2.7199833333333333E-2</v>
          </cell>
          <cell r="CV27">
            <v>2.6260833333333334E-2</v>
          </cell>
          <cell r="CW27">
            <v>2.3805833333333335E-2</v>
          </cell>
          <cell r="CX27">
            <v>2.0695499999999999E-2</v>
          </cell>
          <cell r="CY27">
            <v>2.2383833333333332E-2</v>
          </cell>
          <cell r="CZ27">
            <v>2.6583333333333334E-2</v>
          </cell>
          <cell r="DA27">
            <v>2.6148500000000002E-2</v>
          </cell>
          <cell r="DB27">
            <v>2.6318666666666667E-2</v>
          </cell>
          <cell r="DC27">
            <v>2.6717666666666667E-2</v>
          </cell>
          <cell r="DD27">
            <v>2.6624999999999996E-2</v>
          </cell>
          <cell r="DE27">
            <v>2.7087833333333328E-2</v>
          </cell>
          <cell r="DF27">
            <v>2.6532666666666666E-2</v>
          </cell>
          <cell r="DG27">
            <v>2.5626833333333331E-2</v>
          </cell>
          <cell r="DH27">
            <v>2.2767500000000003E-2</v>
          </cell>
          <cell r="DI27">
            <v>1.7824666666666669E-2</v>
          </cell>
          <cell r="DJ27">
            <v>1.2769499999999998E-2</v>
          </cell>
          <cell r="DK27">
            <v>1.1065166666666666E-2</v>
          </cell>
          <cell r="DL27">
            <v>1.0129666666666669E-2</v>
          </cell>
          <cell r="DM27">
            <v>8.6208333333333328E-3</v>
          </cell>
          <cell r="DN27">
            <v>8.723666666666666E-3</v>
          </cell>
          <cell r="DO27">
            <v>8.820999999999999E-3</v>
          </cell>
          <cell r="DP27">
            <v>1.2442833333333334E-2</v>
          </cell>
          <cell r="DQ27">
            <v>1.6071999999999999E-2</v>
          </cell>
          <cell r="DR27">
            <v>1.4515E-2</v>
          </cell>
          <cell r="DS27">
            <v>1.5465E-2</v>
          </cell>
          <cell r="DT27">
            <v>2.0489999999999998E-2</v>
          </cell>
          <cell r="DU27">
            <v>2.8281666666666667E-2</v>
          </cell>
          <cell r="DV27">
            <v>3.4450000000000001E-2</v>
          </cell>
          <cell r="DW27">
            <v>3.6469999999999995E-2</v>
          </cell>
          <cell r="DX27">
            <v>3.6735000000000004E-2</v>
          </cell>
          <cell r="DY27">
            <v>3.6123333333333334E-2</v>
          </cell>
          <cell r="DZ27">
            <v>3.9220000000000005E-2</v>
          </cell>
          <cell r="EA27">
            <v>4.3081666666666657E-2</v>
          </cell>
          <cell r="EB27">
            <v>4.2336666666666668E-2</v>
          </cell>
          <cell r="EC27">
            <v>4.2099999999999999E-2</v>
          </cell>
          <cell r="ED27">
            <v>4.2003333333333337E-2</v>
          </cell>
          <cell r="EE27">
            <v>4.2124999999999996E-2</v>
          </cell>
          <cell r="EF27">
            <v>4.3888333333333335E-2</v>
          </cell>
          <cell r="EG27">
            <v>4.2773333333333337E-2</v>
          </cell>
          <cell r="EH27">
            <v>4.2320000000000003E-2</v>
          </cell>
          <cell r="EI27">
            <v>4.2380000000000001E-2</v>
          </cell>
          <cell r="EJ27">
            <v>4.2749999999999996E-2</v>
          </cell>
          <cell r="EK27">
            <v>4.2999999999999997E-2</v>
          </cell>
          <cell r="EL27">
            <v>4.3249999999999997E-2</v>
          </cell>
          <cell r="EM27">
            <v>4.3499999999999997E-2</v>
          </cell>
          <cell r="EN27">
            <v>4.3749999999999997E-2</v>
          </cell>
          <cell r="EO27">
            <v>4.3999999999999997E-2</v>
          </cell>
          <cell r="EP27">
            <v>4.4249999999999998E-2</v>
          </cell>
          <cell r="EQ27">
            <v>4.4749999999999998E-2</v>
          </cell>
          <cell r="ER27">
            <v>4.4999999999999998E-2</v>
          </cell>
          <cell r="ES27">
            <v>4.4999999999999998E-2</v>
          </cell>
          <cell r="ET27">
            <v>4.4999999999999998E-2</v>
          </cell>
          <cell r="EU27">
            <v>4.4999999999999998E-2</v>
          </cell>
          <cell r="EV27">
            <v>4.4999999999999998E-2</v>
          </cell>
          <cell r="EW27">
            <v>4.4999999999999998E-2</v>
          </cell>
          <cell r="EX27">
            <v>4.4999999999999998E-2</v>
          </cell>
          <cell r="EY27">
            <v>4.4999999999999998E-2</v>
          </cell>
          <cell r="EZ27">
            <v>4.4999999999999998E-2</v>
          </cell>
          <cell r="FA27">
            <v>4.4999999999999998E-2</v>
          </cell>
          <cell r="FB27">
            <v>4.4999999999999998E-2</v>
          </cell>
          <cell r="FC27">
            <v>4.4999999999999998E-2</v>
          </cell>
          <cell r="FD27">
            <v>4.4999999999999998E-2</v>
          </cell>
          <cell r="FE27">
            <v>4.4999999999999998E-2</v>
          </cell>
          <cell r="FF27">
            <v>4.4999999999999998E-2</v>
          </cell>
          <cell r="FG27">
            <v>4.4999999999999998E-2</v>
          </cell>
          <cell r="FH27">
            <v>4.4999999999999998E-2</v>
          </cell>
          <cell r="FI27">
            <v>4.4999999999999998E-2</v>
          </cell>
          <cell r="FJ27">
            <v>4.4999999999999998E-2</v>
          </cell>
          <cell r="FK27">
            <v>4.4999999999999998E-2</v>
          </cell>
          <cell r="FL27">
            <v>4.4999999999999998E-2</v>
          </cell>
          <cell r="FM27">
            <v>4.4999999999999998E-2</v>
          </cell>
          <cell r="FN27">
            <v>4.4999999999999998E-2</v>
          </cell>
          <cell r="FO27">
            <v>4.4999999999999998E-2</v>
          </cell>
          <cell r="FP27">
            <v>4.4999999999999998E-2</v>
          </cell>
          <cell r="FQ27">
            <v>4.4999999999999998E-2</v>
          </cell>
          <cell r="FR27">
            <v>4.4999999999999998E-2</v>
          </cell>
          <cell r="FS27">
            <v>4.4999999999999998E-2</v>
          </cell>
          <cell r="FT27">
            <v>4.4999999999999998E-2</v>
          </cell>
          <cell r="FU27">
            <v>4.4999999999999998E-2</v>
          </cell>
        </row>
        <row r="28">
          <cell r="A28" t="str">
            <v>us_govt10y_avg_6m</v>
          </cell>
          <cell r="B28" t="str">
            <v>US 10 yr bond</v>
          </cell>
          <cell r="D28">
            <v>7.266333333333333E-2</v>
          </cell>
          <cell r="E28">
            <v>7.3453333333333329E-2</v>
          </cell>
          <cell r="F28">
            <v>6.9463333333333349E-2</v>
          </cell>
          <cell r="G28">
            <v>6.6816666666666663E-2</v>
          </cell>
          <cell r="H28">
            <v>6.467666666666666E-2</v>
          </cell>
          <cell r="I28">
            <v>6.0518333333333334E-2</v>
          </cell>
          <cell r="J28">
            <v>5.758166666666667E-2</v>
          </cell>
          <cell r="K28">
            <v>5.6073333333333329E-2</v>
          </cell>
          <cell r="L28">
            <v>5.9230000000000012E-2</v>
          </cell>
          <cell r="M28">
            <v>6.6695000000000004E-2</v>
          </cell>
          <cell r="N28">
            <v>7.2323333333333337E-2</v>
          </cell>
          <cell r="O28">
            <v>7.5718333333333332E-2</v>
          </cell>
          <cell r="P28">
            <v>7.5843333333333332E-2</v>
          </cell>
          <cell r="Q28">
            <v>6.9163333333333341E-2</v>
          </cell>
          <cell r="R28">
            <v>6.4031666666666667E-2</v>
          </cell>
          <cell r="S28">
            <v>6.0380000000000003E-2</v>
          </cell>
          <cell r="T28">
            <v>5.8905000000000006E-2</v>
          </cell>
          <cell r="U28">
            <v>6.3709999999999989E-2</v>
          </cell>
          <cell r="V28">
            <v>6.7768333333333333E-2</v>
          </cell>
          <cell r="W28">
            <v>6.5401666666666664E-2</v>
          </cell>
          <cell r="X28">
            <v>6.4578333333333335E-2</v>
          </cell>
          <cell r="Y28">
            <v>6.6356666666666661E-2</v>
          </cell>
          <cell r="Z28">
            <v>6.3854999999999995E-2</v>
          </cell>
          <cell r="AA28">
            <v>5.9773333333333331E-2</v>
          </cell>
          <cell r="AB28">
            <v>5.6973333333333327E-2</v>
          </cell>
          <cell r="AC28">
            <v>5.5696666666666665E-2</v>
          </cell>
          <cell r="AD28">
            <v>5.2498333333333341E-2</v>
          </cell>
          <cell r="AE28">
            <v>4.7913333333333336E-2</v>
          </cell>
          <cell r="AF28">
            <v>4.8453333333333334E-2</v>
          </cell>
          <cell r="AG28">
            <v>5.3156666666666658E-2</v>
          </cell>
          <cell r="AH28">
            <v>5.7429999999999995E-2</v>
          </cell>
          <cell r="AI28">
            <v>6.0635000000000001E-2</v>
          </cell>
          <cell r="AJ28">
            <v>6.2859999999999999E-2</v>
          </cell>
          <cell r="AK28">
            <v>6.2611666666666677E-2</v>
          </cell>
          <cell r="AL28">
            <v>6.0080000000000001E-2</v>
          </cell>
          <cell r="AM28">
            <v>5.6444999999999995E-2</v>
          </cell>
          <cell r="AN28">
            <v>5.2089999999999997E-2</v>
          </cell>
          <cell r="AO28">
            <v>5.1741666666666665E-2</v>
          </cell>
          <cell r="AP28">
            <v>5.0919999999999993E-2</v>
          </cell>
          <cell r="AQ28">
            <v>4.7399999999999991E-2</v>
          </cell>
          <cell r="AR28">
            <v>4.8820000000000002E-2</v>
          </cell>
          <cell r="AS28">
            <v>5.038666666666667E-2</v>
          </cell>
          <cell r="AT28">
            <v>4.5179999999999998E-2</v>
          </cell>
          <cell r="AU28">
            <v>4.0143333333333329E-2</v>
          </cell>
          <cell r="AV28">
            <v>3.8956333333333329E-2</v>
          </cell>
          <cell r="AW28">
            <v>3.6980666666666662E-2</v>
          </cell>
          <cell r="AX28">
            <v>3.9238999999999996E-2</v>
          </cell>
          <cell r="AY28">
            <v>4.2815833333333338E-2</v>
          </cell>
          <cell r="AZ28">
            <v>4.1368500000000002E-2</v>
          </cell>
          <cell r="BA28">
            <v>4.282600000000001E-2</v>
          </cell>
          <cell r="BB28">
            <v>4.4121500000000008E-2</v>
          </cell>
          <cell r="BC28">
            <v>4.2192833333333332E-2</v>
          </cell>
          <cell r="BD28">
            <v>4.2644166666666664E-2</v>
          </cell>
          <cell r="BE28">
            <v>4.1814166666666666E-2</v>
          </cell>
          <cell r="BF28">
            <v>4.1189999999999997E-2</v>
          </cell>
          <cell r="BG28">
            <v>4.3429999999999996E-2</v>
          </cell>
          <cell r="BH28">
            <v>4.559333333333334E-2</v>
          </cell>
          <cell r="BI28">
            <v>4.8734166666666655E-2</v>
          </cell>
          <cell r="BJ28">
            <v>4.9441166666666668E-2</v>
          </cell>
          <cell r="BK28">
            <v>4.683416666666667E-2</v>
          </cell>
          <cell r="BL28">
            <v>4.630716666666667E-2</v>
          </cell>
          <cell r="BM28">
            <v>4.7611250000000008E-2</v>
          </cell>
          <cell r="BN28">
            <v>4.7328916666666672E-2</v>
          </cell>
          <cell r="BO28">
            <v>4.3831416666666671E-2</v>
          </cell>
          <cell r="BP28">
            <v>3.8277166666666668E-2</v>
          </cell>
          <cell r="BQ28">
            <v>3.7134166666666669E-2</v>
          </cell>
          <cell r="BR28">
            <v>3.8919916666666665E-2</v>
          </cell>
          <cell r="BS28">
            <v>3.4471416666666664E-2</v>
          </cell>
          <cell r="BT28">
            <v>2.9366500000000004E-2</v>
          </cell>
          <cell r="BU28">
            <v>3.1078333333333333E-2</v>
          </cell>
          <cell r="BV28">
            <v>3.3844166666666668E-2</v>
          </cell>
          <cell r="BW28">
            <v>3.4335583333333336E-2</v>
          </cell>
          <cell r="BX28">
            <v>3.574666666666667E-2</v>
          </cell>
          <cell r="BY28">
            <v>3.4877166666666667E-2</v>
          </cell>
          <cell r="BZ28">
            <v>2.9628833333333337E-2</v>
          </cell>
          <cell r="CA28">
            <v>2.7630666666666664E-2</v>
          </cell>
          <cell r="CB28">
            <v>3.1599833333333334E-2</v>
          </cell>
          <cell r="CC28">
            <v>3.2969166666666667E-2</v>
          </cell>
          <cell r="CD28">
            <v>2.7430333333333334E-2</v>
          </cell>
          <cell r="CE28">
            <v>2.1708166666666667E-2</v>
          </cell>
          <cell r="CF28">
            <v>2.0108416666666663E-2</v>
          </cell>
          <cell r="CG28">
            <v>1.8521500000000003E-2</v>
          </cell>
          <cell r="CH28">
            <v>1.6308166666666669E-2</v>
          </cell>
          <cell r="CI28">
            <v>1.6221583333333331E-2</v>
          </cell>
          <cell r="CJ28">
            <v>1.7998333333333328E-2</v>
          </cell>
          <cell r="CK28">
            <v>2.0029833333333334E-2</v>
          </cell>
          <cell r="CL28">
            <v>2.3797250000000002E-2</v>
          </cell>
          <cell r="CM28">
            <v>2.7208333333333338E-2</v>
          </cell>
          <cell r="CN28">
            <v>2.7318416666666664E-2</v>
          </cell>
          <cell r="CO28">
            <v>2.6169333333333333E-2</v>
          </cell>
          <cell r="CP28">
            <v>2.5071833333333335E-2</v>
          </cell>
          <cell r="CQ28">
            <v>2.3441416666666669E-2</v>
          </cell>
          <cell r="CR28">
            <v>2.0386083333333332E-2</v>
          </cell>
          <cell r="CS28">
            <v>2.0106249999999996E-2</v>
          </cell>
          <cell r="CT28">
            <v>2.1572666666666664E-2</v>
          </cell>
          <cell r="CU28">
            <v>2.1759500000000001E-2</v>
          </cell>
          <cell r="CV28">
            <v>2.0076083333333331E-2</v>
          </cell>
          <cell r="CW28">
            <v>1.7635166666666667E-2</v>
          </cell>
          <cell r="CX28">
            <v>1.6298833333333335E-2</v>
          </cell>
          <cell r="CY28">
            <v>1.8804249999999998E-2</v>
          </cell>
          <cell r="CZ28">
            <v>2.3196666666666664E-2</v>
          </cell>
          <cell r="DA28">
            <v>2.341883333333333E-2</v>
          </cell>
          <cell r="DB28">
            <v>2.2562916666666669E-2</v>
          </cell>
          <cell r="DC28">
            <v>2.3239333333333338E-2</v>
          </cell>
          <cell r="DD28">
            <v>2.5842416666666666E-2</v>
          </cell>
          <cell r="DE28">
            <v>2.8314416666666665E-2</v>
          </cell>
          <cell r="DF28">
            <v>2.9263916666666671E-2</v>
          </cell>
          <cell r="DG28">
            <v>2.9489666666666667E-2</v>
          </cell>
          <cell r="DH28">
            <v>2.7606749999999996E-2</v>
          </cell>
          <cell r="DI28">
            <v>2.3978000000000003E-2</v>
          </cell>
          <cell r="DJ28">
            <v>1.9702916666666667E-2</v>
          </cell>
          <cell r="DK28">
            <v>1.7617999999999998E-2</v>
          </cell>
          <cell r="DL28">
            <v>1.4499916666666666E-2</v>
          </cell>
          <cell r="DM28">
            <v>8.7670000000000005E-3</v>
          </cell>
          <cell r="DN28">
            <v>6.4483333333333337E-3</v>
          </cell>
          <cell r="DO28">
            <v>7.6017499999999991E-3</v>
          </cell>
          <cell r="DP28">
            <v>1.1464416666666668E-2</v>
          </cell>
          <cell r="DQ28">
            <v>1.4856666666666667E-2</v>
          </cell>
          <cell r="DR28">
            <v>1.4540333333333332E-2</v>
          </cell>
          <cell r="DS28">
            <v>1.4391000000000001E-2</v>
          </cell>
          <cell r="DT28">
            <v>1.7661166666666669E-2</v>
          </cell>
          <cell r="DU28">
            <v>2.4586166666666666E-2</v>
          </cell>
          <cell r="DV28">
            <v>3.0458833333333327E-2</v>
          </cell>
          <cell r="DW28">
            <v>3.5236833333333328E-2</v>
          </cell>
          <cell r="DX28">
            <v>3.7760500000000002E-2</v>
          </cell>
          <cell r="DY28">
            <v>3.6746333333333339E-2</v>
          </cell>
          <cell r="DZ28">
            <v>3.937633333333334E-2</v>
          </cell>
          <cell r="EA28">
            <v>4.2609000000000001E-2</v>
          </cell>
          <cell r="EB28">
            <v>4.2372500000000007E-2</v>
          </cell>
          <cell r="EC28">
            <v>4.3317833333333333E-2</v>
          </cell>
          <cell r="ED28">
            <v>4.2138833333333327E-2</v>
          </cell>
          <cell r="EE28">
            <v>4.1321166666666666E-2</v>
          </cell>
          <cell r="EF28">
            <v>4.3323333333333339E-2</v>
          </cell>
          <cell r="EG28">
            <v>4.3055666666666666E-2</v>
          </cell>
          <cell r="EH28">
            <v>4.2617500000000003E-2</v>
          </cell>
          <cell r="EI28">
            <v>4.2455666666666669E-2</v>
          </cell>
          <cell r="EJ28">
            <v>4.3749999999999997E-2</v>
          </cell>
          <cell r="EK28">
            <v>4.3999999999999997E-2</v>
          </cell>
          <cell r="EL28">
            <v>4.4249999999999998E-2</v>
          </cell>
          <cell r="EM28">
            <v>4.4499999999999998E-2</v>
          </cell>
          <cell r="EN28">
            <v>4.4749999999999998E-2</v>
          </cell>
          <cell r="EO28">
            <v>4.4999999999999998E-2</v>
          </cell>
          <cell r="EP28">
            <v>4.5249999999999999E-2</v>
          </cell>
          <cell r="EQ28">
            <v>4.5499999999999999E-2</v>
          </cell>
          <cell r="ER28">
            <v>4.5749999999999999E-2</v>
          </cell>
          <cell r="ES28">
            <v>4.5999999999999999E-2</v>
          </cell>
          <cell r="ET28">
            <v>4.5999999999999999E-2</v>
          </cell>
          <cell r="EU28">
            <v>4.5999999999999999E-2</v>
          </cell>
          <cell r="EV28">
            <v>4.5999999999999999E-2</v>
          </cell>
          <cell r="EW28">
            <v>4.5999999999999999E-2</v>
          </cell>
          <cell r="EX28">
            <v>4.5999999999999999E-2</v>
          </cell>
          <cell r="EY28">
            <v>4.5999999999999999E-2</v>
          </cell>
          <cell r="EZ28">
            <v>4.5999999999999999E-2</v>
          </cell>
          <cell r="FA28">
            <v>4.5999999999999999E-2</v>
          </cell>
          <cell r="FB28">
            <v>4.5999999999999999E-2</v>
          </cell>
          <cell r="FC28">
            <v>4.5999999999999999E-2</v>
          </cell>
          <cell r="FD28">
            <v>4.5999999999999999E-2</v>
          </cell>
          <cell r="FE28">
            <v>4.5999999999999999E-2</v>
          </cell>
          <cell r="FF28">
            <v>4.5999999999999999E-2</v>
          </cell>
          <cell r="FG28">
            <v>4.5999999999999999E-2</v>
          </cell>
          <cell r="FH28">
            <v>4.5999999999999999E-2</v>
          </cell>
          <cell r="FI28">
            <v>4.5999999999999999E-2</v>
          </cell>
          <cell r="FJ28">
            <v>4.5999999999999999E-2</v>
          </cell>
          <cell r="FK28">
            <v>4.5999999999999999E-2</v>
          </cell>
          <cell r="FL28">
            <v>4.5999999999999999E-2</v>
          </cell>
          <cell r="FM28">
            <v>4.5999999999999999E-2</v>
          </cell>
          <cell r="FN28">
            <v>4.5999999999999999E-2</v>
          </cell>
          <cell r="FO28">
            <v>4.5999999999999999E-2</v>
          </cell>
          <cell r="FP28">
            <v>4.5999999999999999E-2</v>
          </cell>
          <cell r="FQ28">
            <v>4.5999999999999999E-2</v>
          </cell>
          <cell r="FR28">
            <v>4.5999999999999999E-2</v>
          </cell>
          <cell r="FS28">
            <v>4.5999999999999999E-2</v>
          </cell>
          <cell r="FT28">
            <v>4.5999999999999999E-2</v>
          </cell>
          <cell r="FU28">
            <v>4.5999999999999999E-2</v>
          </cell>
        </row>
        <row r="30">
          <cell r="B30" t="str">
            <v>Rates - average (12mo)</v>
          </cell>
        </row>
        <row r="31">
          <cell r="A31" t="str">
            <v>12MoCashg</v>
          </cell>
          <cell r="B31" t="str">
            <v>Aust cash</v>
          </cell>
          <cell r="D31">
            <v>9.3208333333333351E-2</v>
          </cell>
          <cell r="E31">
            <v>8.3291666666666681E-2</v>
          </cell>
          <cell r="F31">
            <v>7.154166666666667E-2</v>
          </cell>
          <cell r="G31">
            <v>6.3791666666666663E-2</v>
          </cell>
          <cell r="H31">
            <v>5.8875000000000004E-2</v>
          </cell>
          <cell r="I31">
            <v>5.4791666666666676E-2</v>
          </cell>
          <cell r="J31">
            <v>5.2875000000000005E-2</v>
          </cell>
          <cell r="K31">
            <v>5.0499999999999996E-2</v>
          </cell>
          <cell r="L31">
            <v>4.8500000000000008E-2</v>
          </cell>
          <cell r="M31">
            <v>4.7083333333333338E-2</v>
          </cell>
          <cell r="N31">
            <v>4.8250000000000001E-2</v>
          </cell>
          <cell r="O31">
            <v>5.3249999999999999E-2</v>
          </cell>
          <cell r="P31">
            <v>6.0041666666666674E-2</v>
          </cell>
          <cell r="Q31">
            <v>6.7058333333333345E-2</v>
          </cell>
          <cell r="R31">
            <v>7.2600000000000026E-2</v>
          </cell>
          <cell r="S31">
            <v>7.4266666666666661E-2</v>
          </cell>
          <cell r="T31">
            <v>7.4141666666666675E-2</v>
          </cell>
          <cell r="U31">
            <v>7.3666666666666672E-2</v>
          </cell>
          <cell r="V31">
            <v>7.2666666666666657E-2</v>
          </cell>
          <cell r="W31">
            <v>7.0391666666666672E-2</v>
          </cell>
          <cell r="X31">
            <v>6.696666666666666E-2</v>
          </cell>
          <cell r="Y31">
            <v>6.3125000000000014E-2</v>
          </cell>
          <cell r="Z31">
            <v>5.8083333333333348E-2</v>
          </cell>
          <cell r="AA31">
            <v>5.4225000000000023E-2</v>
          </cell>
          <cell r="AB31">
            <v>5.1600000000000007E-2</v>
          </cell>
          <cell r="AC31">
            <v>4.9791666666666679E-2</v>
          </cell>
          <cell r="AD31">
            <v>4.9791666666666679E-2</v>
          </cell>
          <cell r="AE31">
            <v>4.9575000000000008E-2</v>
          </cell>
          <cell r="AF31">
            <v>4.8941666666666668E-2</v>
          </cell>
          <cell r="AG31">
            <v>4.8391666666666666E-2</v>
          </cell>
          <cell r="AH31">
            <v>4.7833333333333325E-2</v>
          </cell>
          <cell r="AI31">
            <v>4.7866666666666662E-2</v>
          </cell>
          <cell r="AJ31">
            <v>4.9383333333333335E-2</v>
          </cell>
          <cell r="AK31">
            <v>5.2291666666666667E-2</v>
          </cell>
          <cell r="AL31">
            <v>5.5808333333333335E-2</v>
          </cell>
          <cell r="AM31">
            <v>5.9166666666666673E-2</v>
          </cell>
          <cell r="AN31">
            <v>6.0416666666666667E-2</v>
          </cell>
          <cell r="AO31">
            <v>5.8125000000000003E-2</v>
          </cell>
          <cell r="AP31">
            <v>5.5E-2</v>
          </cell>
          <cell r="AQ31">
            <v>5.0416666666666672E-2</v>
          </cell>
          <cell r="AR31">
            <v>4.6458333333333331E-2</v>
          </cell>
          <cell r="AS31">
            <v>4.520833333333333E-2</v>
          </cell>
          <cell r="AT31">
            <v>4.4791666666666667E-2</v>
          </cell>
          <cell r="AU31">
            <v>4.5624999999999999E-2</v>
          </cell>
          <cell r="AV31">
            <v>4.6875E-2</v>
          </cell>
          <cell r="AW31">
            <v>4.7500000000000001E-2</v>
          </cell>
          <cell r="AX31">
            <v>4.7500000000000001E-2</v>
          </cell>
          <cell r="AY31">
            <v>4.8125000000000001E-2</v>
          </cell>
          <cell r="AZ31">
            <v>4.9375000000000002E-2</v>
          </cell>
          <cell r="BA31">
            <v>5.0625000000000003E-2</v>
          </cell>
          <cell r="BB31">
            <v>5.1874999999999998E-2</v>
          </cell>
          <cell r="BC31">
            <v>5.2499999999999998E-2</v>
          </cell>
          <cell r="BD31">
            <v>5.2708333333333329E-2</v>
          </cell>
          <cell r="BE31">
            <v>5.333333333333333E-2</v>
          </cell>
          <cell r="BF31">
            <v>5.395833333333333E-2</v>
          </cell>
          <cell r="BG31">
            <v>5.4583333333333331E-2</v>
          </cell>
          <cell r="BH31">
            <v>5.5E-2</v>
          </cell>
          <cell r="BI31">
            <v>5.541666666666667E-2</v>
          </cell>
          <cell r="BJ31">
            <v>5.6458333333333333E-2</v>
          </cell>
          <cell r="BK31">
            <v>5.8125000000000003E-2</v>
          </cell>
          <cell r="BL31">
            <v>0.06</v>
          </cell>
          <cell r="BM31">
            <v>6.145833333333333E-2</v>
          </cell>
          <cell r="BN31">
            <v>6.2708333333333324E-2</v>
          </cell>
          <cell r="BO31">
            <v>6.3958333333333325E-2</v>
          </cell>
          <cell r="BP31">
            <v>6.5833333333333327E-2</v>
          </cell>
          <cell r="BQ31">
            <v>6.8333333333333329E-2</v>
          </cell>
          <cell r="BR31">
            <v>7.0208333333333331E-2</v>
          </cell>
          <cell r="BS31">
            <v>6.6458333333333328E-2</v>
          </cell>
          <cell r="BT31">
            <v>5.7916666666666672E-2</v>
          </cell>
          <cell r="BU31">
            <v>4.7291666666666669E-2</v>
          </cell>
          <cell r="BV31">
            <v>3.6874999999999998E-2</v>
          </cell>
          <cell r="BW31">
            <v>3.2708333333333332E-2</v>
          </cell>
          <cell r="BX31">
            <v>3.3333333333333333E-2</v>
          </cell>
          <cell r="BY31">
            <v>3.6874999999999998E-2</v>
          </cell>
          <cell r="BZ31">
            <v>4.0625000000000001E-2</v>
          </cell>
          <cell r="CA31">
            <v>4.3541666666666673E-2</v>
          </cell>
          <cell r="CB31">
            <v>4.583333333333333E-2</v>
          </cell>
          <cell r="CC31">
            <v>4.6666666666666669E-2</v>
          </cell>
          <cell r="CD31">
            <v>4.7291666666666669E-2</v>
          </cell>
          <cell r="CE31">
            <v>4.6875E-2</v>
          </cell>
          <cell r="CF31">
            <v>4.5624999999999999E-2</v>
          </cell>
          <cell r="CG31">
            <v>4.3333333333333328E-2</v>
          </cell>
          <cell r="CH31">
            <v>4.0208333333333332E-2</v>
          </cell>
          <cell r="CI31">
            <v>3.6874999999999998E-2</v>
          </cell>
          <cell r="CJ31">
            <v>3.3750000000000002E-2</v>
          </cell>
          <cell r="CK31">
            <v>3.125E-2</v>
          </cell>
          <cell r="CL31">
            <v>2.8958333333333336E-2</v>
          </cell>
          <cell r="CM31">
            <v>2.7291666666666665E-2</v>
          </cell>
          <cell r="CN31">
            <v>2.6041666666666664E-2</v>
          </cell>
          <cell r="CO31">
            <v>2.5208333333333336E-2</v>
          </cell>
          <cell r="CP31">
            <v>2.5000000000000001E-2</v>
          </cell>
          <cell r="CQ31">
            <v>2.5000000000000001E-2</v>
          </cell>
          <cell r="CR31">
            <v>2.4583333333333336E-2</v>
          </cell>
          <cell r="CS31">
            <v>2.3541666666666666E-2</v>
          </cell>
          <cell r="CT31">
            <v>2.2291666666666664E-2</v>
          </cell>
          <cell r="CU31">
            <v>2.1041666666666667E-2</v>
          </cell>
          <cell r="CV31">
            <v>2.0208333333333335E-2</v>
          </cell>
          <cell r="CW31">
            <v>1.9583333333333331E-2</v>
          </cell>
          <cell r="CX31">
            <v>1.8541666666666668E-2</v>
          </cell>
          <cell r="CY31">
            <v>1.7291666666666667E-2</v>
          </cell>
          <cell r="CZ31">
            <v>1.6041666666666666E-2</v>
          </cell>
          <cell r="DA31">
            <v>1.5208333333333332E-2</v>
          </cell>
          <cell r="DB31">
            <v>1.4999999999999999E-2</v>
          </cell>
          <cell r="DC31">
            <v>1.4999999999999999E-2</v>
          </cell>
          <cell r="DD31">
            <v>1.4999999999999999E-2</v>
          </cell>
          <cell r="DE31">
            <v>1.4999999999999999E-2</v>
          </cell>
          <cell r="DF31">
            <v>1.4999999999999999E-2</v>
          </cell>
          <cell r="DG31">
            <v>1.4999999999999999E-2</v>
          </cell>
          <cell r="DH31">
            <v>1.4999999999999999E-2</v>
          </cell>
          <cell r="DI31">
            <v>1.4791666666666668E-2</v>
          </cell>
          <cell r="DJ31">
            <v>1.3541666666666667E-2</v>
          </cell>
          <cell r="DK31">
            <v>1.1666666666666667E-2</v>
          </cell>
          <cell r="DL31">
            <v>9.3749999999999997E-3</v>
          </cell>
          <cell r="DM31">
            <v>6.4583333333333333E-3</v>
          </cell>
          <cell r="DN31">
            <v>4.5833333333333334E-3</v>
          </cell>
          <cell r="DO31">
            <v>3.0833333333333333E-3</v>
          </cell>
          <cell r="DP31">
            <v>1.8750000000000004E-3</v>
          </cell>
          <cell r="DQ31">
            <v>1.5000000000000005E-3</v>
          </cell>
          <cell r="DR31">
            <v>1.1250000000000001E-3</v>
          </cell>
          <cell r="DS31">
            <v>1E-3</v>
          </cell>
          <cell r="DT31">
            <v>1E-3</v>
          </cell>
          <cell r="DU31">
            <v>1.8333333333333333E-3</v>
          </cell>
          <cell r="DV31">
            <v>6.2083333333333322E-3</v>
          </cell>
          <cell r="DW31">
            <v>1.3083333333333334E-2</v>
          </cell>
          <cell r="DX31">
            <v>2.1208333333333336E-2</v>
          </cell>
          <cell r="DY31">
            <v>2.9750000000000002E-2</v>
          </cell>
          <cell r="DZ31">
            <v>3.5375000000000011E-2</v>
          </cell>
          <cell r="EA31">
            <v>3.8916666666666676E-2</v>
          </cell>
          <cell r="EB31">
            <v>4.1416666666666678E-2</v>
          </cell>
          <cell r="EC31">
            <v>4.2666666666666672E-2</v>
          </cell>
          <cell r="ED31">
            <v>4.3291666666666673E-2</v>
          </cell>
          <cell r="EE31">
            <v>4.3500000000000004E-2</v>
          </cell>
          <cell r="EF31">
            <v>4.3083333333333342E-2</v>
          </cell>
          <cell r="EG31">
            <v>4.2041666666666672E-2</v>
          </cell>
          <cell r="EH31">
            <v>4.0375000000000008E-2</v>
          </cell>
          <cell r="EI31">
            <v>3.7874999999999999E-2</v>
          </cell>
          <cell r="EJ31">
            <v>3.7250000000000005E-2</v>
          </cell>
          <cell r="EK31">
            <v>3.7875000000000006E-2</v>
          </cell>
          <cell r="EL31">
            <v>3.9125E-2</v>
          </cell>
          <cell r="EM31">
            <v>4.0374999999999994E-2</v>
          </cell>
          <cell r="EN31">
            <v>4.0374999999999994E-2</v>
          </cell>
          <cell r="EO31">
            <v>3.9125E-2</v>
          </cell>
          <cell r="EP31">
            <v>3.7874999999999999E-2</v>
          </cell>
          <cell r="EQ31">
            <v>3.6625000000000005E-2</v>
          </cell>
          <cell r="ER31">
            <v>3.6000000000000004E-2</v>
          </cell>
          <cell r="ES31">
            <v>3.6000000000000004E-2</v>
          </cell>
          <cell r="ET31">
            <v>3.6000000000000004E-2</v>
          </cell>
          <cell r="EU31">
            <v>3.6000000000000004E-2</v>
          </cell>
          <cell r="EV31">
            <v>3.6000000000000004E-2</v>
          </cell>
          <cell r="EW31">
            <v>3.6000000000000004E-2</v>
          </cell>
          <cell r="EX31">
            <v>3.6000000000000004E-2</v>
          </cell>
          <cell r="EY31">
            <v>3.6000000000000004E-2</v>
          </cell>
          <cell r="EZ31">
            <v>3.6000000000000004E-2</v>
          </cell>
          <cell r="FA31">
            <v>3.6000000000000004E-2</v>
          </cell>
          <cell r="FB31">
            <v>3.6000000000000004E-2</v>
          </cell>
          <cell r="FC31">
            <v>3.6000000000000004E-2</v>
          </cell>
          <cell r="FD31">
            <v>3.6000000000000004E-2</v>
          </cell>
          <cell r="FE31">
            <v>3.6000000000000004E-2</v>
          </cell>
          <cell r="FF31">
            <v>3.6000000000000004E-2</v>
          </cell>
          <cell r="FG31">
            <v>3.6000000000000004E-2</v>
          </cell>
          <cell r="FH31">
            <v>3.6000000000000004E-2</v>
          </cell>
          <cell r="FI31">
            <v>3.6000000000000004E-2</v>
          </cell>
          <cell r="FJ31">
            <v>3.6000000000000004E-2</v>
          </cell>
          <cell r="FK31">
            <v>3.6000000000000004E-2</v>
          </cell>
          <cell r="FL31">
            <v>3.6000000000000004E-2</v>
          </cell>
          <cell r="FM31">
            <v>3.6000000000000004E-2</v>
          </cell>
          <cell r="FN31">
            <v>3.6000000000000004E-2</v>
          </cell>
          <cell r="FO31">
            <v>3.6000000000000004E-2</v>
          </cell>
          <cell r="FP31">
            <v>3.6000000000000004E-2</v>
          </cell>
          <cell r="FQ31">
            <v>3.6000000000000004E-2</v>
          </cell>
          <cell r="FR31">
            <v>3.6000000000000004E-2</v>
          </cell>
          <cell r="FS31">
            <v>3.6000000000000004E-2</v>
          </cell>
          <cell r="FT31">
            <v>3.6000000000000004E-2</v>
          </cell>
          <cell r="FU31">
            <v>3.6000000000000004E-2</v>
          </cell>
        </row>
        <row r="32">
          <cell r="A32" t="str">
            <v>au_bbsw3m_avg_12m</v>
          </cell>
          <cell r="B32" t="str">
            <v>Aust 90 day bill</v>
          </cell>
          <cell r="D32">
            <v>9.1108333333333333E-2</v>
          </cell>
          <cell r="E32">
            <v>8.0391666666666681E-2</v>
          </cell>
          <cell r="F32">
            <v>6.987500000000002E-2</v>
          </cell>
          <cell r="G32">
            <v>6.4291666666666678E-2</v>
          </cell>
          <cell r="H32">
            <v>5.944166666666667E-2</v>
          </cell>
          <cell r="I32">
            <v>5.6316666666666668E-2</v>
          </cell>
          <cell r="J32">
            <v>5.3925000000000008E-2</v>
          </cell>
          <cell r="K32">
            <v>5.115833333333332E-2</v>
          </cell>
          <cell r="L32">
            <v>4.9349999999999998E-2</v>
          </cell>
          <cell r="M32">
            <v>4.9116666666666663E-2</v>
          </cell>
          <cell r="N32">
            <v>5.151583333333333E-2</v>
          </cell>
          <cell r="O32">
            <v>5.7943333333333333E-2</v>
          </cell>
          <cell r="P32">
            <v>6.5919999999999992E-2</v>
          </cell>
          <cell r="Q32">
            <v>7.229250000000001E-2</v>
          </cell>
          <cell r="R32">
            <v>7.6720833333333335E-2</v>
          </cell>
          <cell r="S32">
            <v>7.6886666666666659E-2</v>
          </cell>
          <cell r="T32">
            <v>7.5560833333333341E-2</v>
          </cell>
          <cell r="U32">
            <v>7.5255000000000002E-2</v>
          </cell>
          <cell r="V32">
            <v>7.3661666666666681E-2</v>
          </cell>
          <cell r="W32">
            <v>7.0907499999999984E-2</v>
          </cell>
          <cell r="X32">
            <v>6.6978666666666659E-2</v>
          </cell>
          <cell r="Y32">
            <v>6.2107833333333341E-2</v>
          </cell>
          <cell r="Z32">
            <v>5.6936166666666663E-2</v>
          </cell>
          <cell r="AA32">
            <v>5.3523416666666671E-2</v>
          </cell>
          <cell r="AB32">
            <v>5.1158333333333333E-2</v>
          </cell>
          <cell r="AC32">
            <v>4.9790250000000001E-2</v>
          </cell>
          <cell r="AD32">
            <v>5.062500000000001E-2</v>
          </cell>
          <cell r="AE32">
            <v>5.0268000000000007E-2</v>
          </cell>
          <cell r="AF32">
            <v>4.9770749999999996E-2</v>
          </cell>
          <cell r="AG32">
            <v>4.9345749999999994E-2</v>
          </cell>
          <cell r="AH32">
            <v>4.8845750000000007E-2</v>
          </cell>
          <cell r="AI32">
            <v>5.065133333333334E-2</v>
          </cell>
          <cell r="AJ32">
            <v>5.3193083333333349E-2</v>
          </cell>
          <cell r="AK32">
            <v>5.65195E-2</v>
          </cell>
          <cell r="AL32">
            <v>6.0320916666666662E-2</v>
          </cell>
          <cell r="AM32">
            <v>6.2136166666666666E-2</v>
          </cell>
          <cell r="AN32">
            <v>6.1254166666666672E-2</v>
          </cell>
          <cell r="AO32">
            <v>5.8070833333333335E-2</v>
          </cell>
          <cell r="AP32">
            <v>5.3674916666666662E-2</v>
          </cell>
          <cell r="AQ32">
            <v>4.8633250000000003E-2</v>
          </cell>
          <cell r="AR32">
            <v>4.6006916666666661E-2</v>
          </cell>
          <cell r="AS32">
            <v>4.5856916666666664E-2</v>
          </cell>
          <cell r="AT32">
            <v>4.6354250000000007E-2</v>
          </cell>
          <cell r="AU32">
            <v>4.7776500000000006E-2</v>
          </cell>
          <cell r="AV32">
            <v>4.8690333333333342E-2</v>
          </cell>
          <cell r="AW32">
            <v>4.8345916666666676E-2</v>
          </cell>
          <cell r="AX32">
            <v>4.8056916666666671E-2</v>
          </cell>
          <cell r="AY32">
            <v>4.9262416666666663E-2</v>
          </cell>
          <cell r="AZ32">
            <v>5.12875E-2</v>
          </cell>
          <cell r="BA32">
            <v>5.3179083333333342E-2</v>
          </cell>
          <cell r="BB32">
            <v>5.4709666666666663E-2</v>
          </cell>
          <cell r="BC32">
            <v>5.4983333333333342E-2</v>
          </cell>
          <cell r="BD32">
            <v>5.5304083333333337E-2</v>
          </cell>
          <cell r="BE32">
            <v>5.5727833333333338E-2</v>
          </cell>
          <cell r="BF32">
            <v>5.619724999999999E-2</v>
          </cell>
          <cell r="BG32">
            <v>5.6725000000000005E-2</v>
          </cell>
          <cell r="BH32">
            <v>5.6458333333333333E-2</v>
          </cell>
          <cell r="BI32">
            <v>5.7002750000000005E-2</v>
          </cell>
          <cell r="BJ32">
            <v>5.8383333333333336E-2</v>
          </cell>
          <cell r="BK32">
            <v>6.0283416666666673E-2</v>
          </cell>
          <cell r="BL32">
            <v>6.2283416666666661E-2</v>
          </cell>
          <cell r="BM32">
            <v>6.35125E-2</v>
          </cell>
          <cell r="BN32">
            <v>6.5023583333333329E-2</v>
          </cell>
          <cell r="BO32">
            <v>6.693608333333334E-2</v>
          </cell>
          <cell r="BP32">
            <v>7.0230499999999987E-2</v>
          </cell>
          <cell r="BQ32">
            <v>7.3765250000000004E-2</v>
          </cell>
          <cell r="BR32">
            <v>7.5395833333333356E-2</v>
          </cell>
          <cell r="BS32">
            <v>6.9706916666666674E-2</v>
          </cell>
          <cell r="BT32">
            <v>5.8459666666666667E-2</v>
          </cell>
          <cell r="BU32">
            <v>4.6826333333333324E-2</v>
          </cell>
          <cell r="BV32">
            <v>3.6593000000000001E-2</v>
          </cell>
          <cell r="BW32">
            <v>3.4572083333333337E-2</v>
          </cell>
          <cell r="BX32">
            <v>3.7312416666666667E-2</v>
          </cell>
          <cell r="BY32">
            <v>4.1443000000000001E-2</v>
          </cell>
          <cell r="BZ32">
            <v>4.5166666666666667E-2</v>
          </cell>
          <cell r="CA32">
            <v>4.7416750000000001E-2</v>
          </cell>
          <cell r="CB32">
            <v>4.8936250000000001E-2</v>
          </cell>
          <cell r="CC32">
            <v>4.9402833333333333E-2</v>
          </cell>
          <cell r="CD32">
            <v>4.9670833333333331E-2</v>
          </cell>
          <cell r="CE32">
            <v>4.8699916666666662E-2</v>
          </cell>
          <cell r="CF32">
            <v>4.7313833333333333E-2</v>
          </cell>
          <cell r="CG32">
            <v>4.4055583333333329E-2</v>
          </cell>
          <cell r="CH32">
            <v>4.0502833333333335E-2</v>
          </cell>
          <cell r="CI32">
            <v>3.6943166666666666E-2</v>
          </cell>
          <cell r="CJ32">
            <v>3.3499416666666663E-2</v>
          </cell>
          <cell r="CK32">
            <v>3.1393833333333329E-2</v>
          </cell>
          <cell r="CL32">
            <v>2.9102833333333335E-2</v>
          </cell>
          <cell r="CM32">
            <v>2.7718166666666665E-2</v>
          </cell>
          <cell r="CN32">
            <v>2.6820166666666662E-2</v>
          </cell>
          <cell r="CO32">
            <v>2.6450750000000002E-2</v>
          </cell>
          <cell r="CP32">
            <v>2.6534749999999999E-2</v>
          </cell>
          <cell r="CQ32">
            <v>2.6869416666666673E-2</v>
          </cell>
          <cell r="CR32">
            <v>2.6170833333333331E-2</v>
          </cell>
          <cell r="CS32">
            <v>2.487633333333333E-2</v>
          </cell>
          <cell r="CT32">
            <v>2.3644416666666664E-2</v>
          </cell>
          <cell r="CU32">
            <v>2.2391666666666667E-2</v>
          </cell>
          <cell r="CV32">
            <v>2.2183333333333333E-2</v>
          </cell>
          <cell r="CW32">
            <v>2.1811083333333335E-2</v>
          </cell>
          <cell r="CX32">
            <v>2.0865249999999995E-2</v>
          </cell>
          <cell r="CY32">
            <v>1.96805E-2</v>
          </cell>
          <cell r="CZ32">
            <v>1.8418000000000004E-2</v>
          </cell>
          <cell r="DA32">
            <v>1.7658333333333331E-2</v>
          </cell>
          <cell r="DB32">
            <v>1.7479166666666667E-2</v>
          </cell>
          <cell r="DC32">
            <v>1.7395833333333333E-2</v>
          </cell>
          <cell r="DD32">
            <v>1.7600000000000001E-2</v>
          </cell>
          <cell r="DE32">
            <v>1.8383583333333332E-2</v>
          </cell>
          <cell r="DF32">
            <v>1.8991500000000005E-2</v>
          </cell>
          <cell r="DG32">
            <v>1.9595666666666667E-2</v>
          </cell>
          <cell r="DH32">
            <v>1.9691833333333329E-2</v>
          </cell>
          <cell r="DI32">
            <v>1.8073166666666661E-2</v>
          </cell>
          <cell r="DJ32">
            <v>1.5638416666666662E-2</v>
          </cell>
          <cell r="DK32">
            <v>1.2957083333333333E-2</v>
          </cell>
          <cell r="DL32">
            <v>9.9220000000000003E-3</v>
          </cell>
          <cell r="DM32">
            <v>6.6819166666666659E-3</v>
          </cell>
          <cell r="DN32">
            <v>4.4754166666666657E-3</v>
          </cell>
          <cell r="DO32">
            <v>2.2707500000000002E-3</v>
          </cell>
          <cell r="DP32">
            <v>6.1383333333333342E-4</v>
          </cell>
          <cell r="DQ32">
            <v>4.5675000000000002E-4</v>
          </cell>
          <cell r="DR32">
            <v>2.6691666666666671E-4</v>
          </cell>
          <cell r="DS32">
            <v>3.4916666666666673E-4</v>
          </cell>
          <cell r="DT32">
            <v>6.0858333333333326E-4</v>
          </cell>
          <cell r="DU32">
            <v>3.6048333333333332E-3</v>
          </cell>
          <cell r="DV32">
            <v>9.928416666666667E-3</v>
          </cell>
          <cell r="DW32">
            <v>1.7640083333333331E-2</v>
          </cell>
          <cell r="DX32">
            <v>2.6193833333333333E-2</v>
          </cell>
          <cell r="DY32">
            <v>3.3117833333333332E-2</v>
          </cell>
          <cell r="DZ32">
            <v>3.7190166666666663E-2</v>
          </cell>
          <cell r="EA32">
            <v>4.0222333333333332E-2</v>
          </cell>
          <cell r="EB32">
            <v>4.2201000000000002E-2</v>
          </cell>
          <cell r="EC32">
            <v>4.3195416666666667E-2</v>
          </cell>
          <cell r="ED32">
            <v>4.3854083333333335E-2</v>
          </cell>
          <cell r="EE32">
            <v>4.4007666666666667E-2</v>
          </cell>
          <cell r="EF32">
            <v>4.3562500000000004E-2</v>
          </cell>
          <cell r="EG32">
            <v>4.1895249999999995E-2</v>
          </cell>
          <cell r="EH32">
            <v>3.9822666666666659E-2</v>
          </cell>
          <cell r="EI32">
            <v>3.7388749999999998E-2</v>
          </cell>
          <cell r="EJ32">
            <v>3.6950250000000004E-2</v>
          </cell>
          <cell r="EK32">
            <v>3.8566000000000003E-2</v>
          </cell>
          <cell r="EL32">
            <v>4.0375000000000001E-2</v>
          </cell>
          <cell r="EM32">
            <v>4.2124999999999996E-2</v>
          </cell>
          <cell r="EN32">
            <v>4.2500000000000003E-2</v>
          </cell>
          <cell r="EO32">
            <v>4.1500000000000002E-2</v>
          </cell>
          <cell r="EP32">
            <v>4.0375000000000001E-2</v>
          </cell>
          <cell r="EQ32">
            <v>3.9125000000000007E-2</v>
          </cell>
          <cell r="ER32">
            <v>3.8500000000000006E-2</v>
          </cell>
          <cell r="ES32">
            <v>3.8500000000000006E-2</v>
          </cell>
          <cell r="ET32">
            <v>3.8500000000000006E-2</v>
          </cell>
          <cell r="EU32">
            <v>3.8500000000000006E-2</v>
          </cell>
          <cell r="EV32">
            <v>3.8500000000000006E-2</v>
          </cell>
          <cell r="EW32">
            <v>3.8500000000000006E-2</v>
          </cell>
          <cell r="EX32">
            <v>3.8500000000000006E-2</v>
          </cell>
          <cell r="EY32">
            <v>3.8500000000000006E-2</v>
          </cell>
          <cell r="EZ32">
            <v>3.8500000000000006E-2</v>
          </cell>
          <cell r="FA32">
            <v>3.8500000000000006E-2</v>
          </cell>
          <cell r="FB32">
            <v>3.8500000000000006E-2</v>
          </cell>
          <cell r="FC32">
            <v>3.8500000000000006E-2</v>
          </cell>
          <cell r="FD32">
            <v>3.8500000000000006E-2</v>
          </cell>
          <cell r="FE32">
            <v>3.8500000000000006E-2</v>
          </cell>
          <cell r="FF32">
            <v>3.8500000000000006E-2</v>
          </cell>
          <cell r="FG32">
            <v>3.8500000000000006E-2</v>
          </cell>
          <cell r="FH32">
            <v>3.8500000000000006E-2</v>
          </cell>
          <cell r="FI32">
            <v>3.8500000000000006E-2</v>
          </cell>
          <cell r="FJ32">
            <v>3.8500000000000006E-2</v>
          </cell>
          <cell r="FK32">
            <v>3.8500000000000006E-2</v>
          </cell>
          <cell r="FL32">
            <v>3.8500000000000006E-2</v>
          </cell>
          <cell r="FM32">
            <v>3.8500000000000006E-2</v>
          </cell>
          <cell r="FN32">
            <v>3.8500000000000006E-2</v>
          </cell>
          <cell r="FO32">
            <v>3.8500000000000006E-2</v>
          </cell>
          <cell r="FP32">
            <v>3.8500000000000006E-2</v>
          </cell>
          <cell r="FQ32">
            <v>3.8500000000000006E-2</v>
          </cell>
          <cell r="FR32">
            <v>3.8500000000000006E-2</v>
          </cell>
          <cell r="FS32">
            <v>3.8500000000000006E-2</v>
          </cell>
          <cell r="FT32">
            <v>3.8500000000000006E-2</v>
          </cell>
          <cell r="FU32">
            <v>3.8500000000000006E-2</v>
          </cell>
        </row>
        <row r="33">
          <cell r="A33" t="str">
            <v>au_govt10y_avg_12m</v>
          </cell>
          <cell r="B33" t="str">
            <v>Aust 10 yr Bond Rate</v>
          </cell>
          <cell r="P33">
            <v>9.7699999999999995E-2</v>
          </cell>
          <cell r="Q33">
            <v>9.8516666666666641E-2</v>
          </cell>
          <cell r="R33">
            <v>9.6600000000000019E-2</v>
          </cell>
          <cell r="S33">
            <v>9.1683333333333353E-2</v>
          </cell>
          <cell r="T33">
            <v>8.7883333333333327E-2</v>
          </cell>
          <cell r="U33">
            <v>8.6716666666666664E-2</v>
          </cell>
          <cell r="V33">
            <v>8.4383333333333338E-2</v>
          </cell>
          <cell r="W33">
            <v>8.1724999999999992E-2</v>
          </cell>
          <cell r="X33">
            <v>7.9700000000000021E-2</v>
          </cell>
          <cell r="Y33">
            <v>7.6200000000000004E-2</v>
          </cell>
          <cell r="Z33">
            <v>7.173333333333333E-2</v>
          </cell>
          <cell r="AA33">
            <v>6.8541666666666667E-2</v>
          </cell>
          <cell r="AB33">
            <v>6.3991666666666669E-2</v>
          </cell>
          <cell r="AC33">
            <v>5.949999999999999E-2</v>
          </cell>
          <cell r="AD33">
            <v>5.7591666666666666E-2</v>
          </cell>
          <cell r="AE33">
            <v>5.5008333333333333E-2</v>
          </cell>
          <cell r="AF33">
            <v>5.3691666666666672E-2</v>
          </cell>
          <cell r="AG33">
            <v>5.4458333333333331E-2</v>
          </cell>
          <cell r="AH33">
            <v>5.6258333333333327E-2</v>
          </cell>
          <cell r="AI33">
            <v>6.0583333333333329E-2</v>
          </cell>
          <cell r="AJ33">
            <v>6.4049999999999996E-2</v>
          </cell>
          <cell r="AK33">
            <v>6.4941666666666675E-2</v>
          </cell>
          <cell r="AL33">
            <v>6.5025000000000013E-2</v>
          </cell>
          <cell r="AM33">
            <v>6.2700000000000006E-2</v>
          </cell>
          <cell r="AN33">
            <v>5.9045833333333339E-2</v>
          </cell>
          <cell r="AO33">
            <v>5.8208333333333334E-2</v>
          </cell>
          <cell r="AP33">
            <v>5.682083333333332E-2</v>
          </cell>
          <cell r="AQ33">
            <v>5.6320833333333341E-2</v>
          </cell>
          <cell r="AR33">
            <v>5.8358333333333332E-2</v>
          </cell>
          <cell r="AS33">
            <v>5.8712499999999987E-2</v>
          </cell>
          <cell r="AT33">
            <v>5.8575000000000016E-2</v>
          </cell>
          <cell r="AU33">
            <v>5.8241666666666664E-2</v>
          </cell>
          <cell r="AV33">
            <v>5.5975000000000004E-2</v>
          </cell>
          <cell r="AW33">
            <v>5.3366666666666666E-2</v>
          </cell>
          <cell r="AX33">
            <v>5.2816666666666671E-2</v>
          </cell>
          <cell r="AY33">
            <v>5.3587500000000003E-2</v>
          </cell>
          <cell r="AZ33">
            <v>5.46875E-2</v>
          </cell>
          <cell r="BA33">
            <v>5.6779166666666658E-2</v>
          </cell>
          <cell r="BB33">
            <v>5.7212500000000006E-2</v>
          </cell>
          <cell r="BC33">
            <v>5.5966666666666678E-2</v>
          </cell>
          <cell r="BD33">
            <v>5.5745833333333328E-2</v>
          </cell>
          <cell r="BE33">
            <v>5.4016666666666671E-2</v>
          </cell>
          <cell r="BF33">
            <v>5.294999999999999E-2</v>
          </cell>
          <cell r="BG33">
            <v>5.313749999999999E-2</v>
          </cell>
          <cell r="BH33">
            <v>5.2691666666666664E-2</v>
          </cell>
          <cell r="BI33">
            <v>5.4058333333333326E-2</v>
          </cell>
          <cell r="BJ33">
            <v>5.5297916666666669E-2</v>
          </cell>
          <cell r="BK33">
            <v>5.619208333333333E-2</v>
          </cell>
          <cell r="BL33">
            <v>5.7396249999999996E-2</v>
          </cell>
          <cell r="BM33">
            <v>5.8172499999999988E-2</v>
          </cell>
          <cell r="BN33">
            <v>5.90725E-2</v>
          </cell>
          <cell r="BO33">
            <v>6.0207083333333342E-2</v>
          </cell>
          <cell r="BP33">
            <v>6.090541666666667E-2</v>
          </cell>
          <cell r="BQ33">
            <v>6.1822500000000009E-2</v>
          </cell>
          <cell r="BR33">
            <v>6.1212916666666672E-2</v>
          </cell>
          <cell r="BS33">
            <v>5.7240416666666655E-2</v>
          </cell>
          <cell r="BT33">
            <v>5.2873333333333335E-2</v>
          </cell>
          <cell r="BU33">
            <v>5.0013333333333333E-2</v>
          </cell>
          <cell r="BV33">
            <v>4.9388250000000002E-2</v>
          </cell>
          <cell r="BW33">
            <v>5.1808500000000007E-2</v>
          </cell>
          <cell r="BX33">
            <v>5.4799416666666663E-2</v>
          </cell>
          <cell r="BY33">
            <v>5.5099833333333334E-2</v>
          </cell>
          <cell r="BZ33">
            <v>5.3699666666666673E-2</v>
          </cell>
          <cell r="CA33">
            <v>5.3272333333333338E-2</v>
          </cell>
          <cell r="CB33">
            <v>5.3115333333333334E-2</v>
          </cell>
          <cell r="CC33">
            <v>5.2849083333333324E-2</v>
          </cell>
          <cell r="CD33">
            <v>5.1586333333333317E-2</v>
          </cell>
          <cell r="CE33">
            <v>4.826208333333333E-2</v>
          </cell>
          <cell r="CF33">
            <v>4.4407250000000002E-2</v>
          </cell>
          <cell r="CG33">
            <v>3.9232666666666666E-2</v>
          </cell>
          <cell r="CH33">
            <v>3.5651833333333334E-2</v>
          </cell>
          <cell r="CI33">
            <v>3.3512750000000001E-2</v>
          </cell>
          <cell r="CJ33">
            <v>3.2125833333333333E-2</v>
          </cell>
          <cell r="CK33">
            <v>3.2594666666666668E-2</v>
          </cell>
          <cell r="CL33">
            <v>3.4516249999999998E-2</v>
          </cell>
          <cell r="CM33">
            <v>3.6951916666666675E-2</v>
          </cell>
          <cell r="CN33">
            <v>3.8522083333333339E-2</v>
          </cell>
          <cell r="CO33">
            <v>3.9304916666666662E-2</v>
          </cell>
          <cell r="CP33">
            <v>3.8351833333333335E-2</v>
          </cell>
          <cell r="CQ33">
            <v>3.5493749999999998E-2</v>
          </cell>
          <cell r="CR33">
            <v>3.1428583333333329E-2</v>
          </cell>
          <cell r="CS33">
            <v>2.9125916666666661E-2</v>
          </cell>
          <cell r="CT33">
            <v>2.7251166666666667E-2</v>
          </cell>
          <cell r="CU33">
            <v>2.6611916666666659E-2</v>
          </cell>
          <cell r="CV33">
            <v>2.6814750000000002E-2</v>
          </cell>
          <cell r="CW33">
            <v>2.5502833333333332E-2</v>
          </cell>
          <cell r="CX33">
            <v>2.3478166666666668E-2</v>
          </cell>
          <cell r="CY33">
            <v>2.3094833333333332E-2</v>
          </cell>
          <cell r="CZ33">
            <v>2.363941666666667E-2</v>
          </cell>
          <cell r="DA33">
            <v>2.4266166666666665E-2</v>
          </cell>
          <cell r="DB33">
            <v>2.6450999999999999E-2</v>
          </cell>
          <cell r="DC33">
            <v>2.6433083333333333E-2</v>
          </cell>
          <cell r="DD33">
            <v>2.647183333333333E-2</v>
          </cell>
          <cell r="DE33">
            <v>2.6902749999999996E-2</v>
          </cell>
          <cell r="DF33">
            <v>2.6578833333333329E-2</v>
          </cell>
          <cell r="DG33">
            <v>2.635733333333333E-2</v>
          </cell>
          <cell r="DH33">
            <v>2.4650083333333329E-2</v>
          </cell>
          <cell r="DI33">
            <v>2.1725750000000002E-2</v>
          </cell>
          <cell r="DJ33">
            <v>1.7768500000000003E-2</v>
          </cell>
          <cell r="DK33">
            <v>1.4444916666666667E-2</v>
          </cell>
          <cell r="DL33">
            <v>1.1449583333333332E-2</v>
          </cell>
          <cell r="DM33">
            <v>9.8430000000000011E-3</v>
          </cell>
          <cell r="DN33">
            <v>9.4266666666666683E-3</v>
          </cell>
          <cell r="DO33">
            <v>8.720916666666665E-3</v>
          </cell>
          <cell r="DP33">
            <v>1.0583249999999999E-2</v>
          </cell>
          <cell r="DQ33">
            <v>1.2446499999999997E-2</v>
          </cell>
          <cell r="DR33">
            <v>1.3478916666666667E-2</v>
          </cell>
          <cell r="DS33">
            <v>1.5768500000000001E-2</v>
          </cell>
          <cell r="DT33">
            <v>1.7502500000000001E-2</v>
          </cell>
          <cell r="DU33">
            <v>2.1873333333333331E-2</v>
          </cell>
          <cell r="DV33">
            <v>2.7469999999999998E-2</v>
          </cell>
          <cell r="DW33">
            <v>3.2375833333333333E-2</v>
          </cell>
          <cell r="DX33">
            <v>3.5592499999999999E-2</v>
          </cell>
          <cell r="DY33">
            <v>3.6296666666666672E-2</v>
          </cell>
          <cell r="DZ33">
            <v>3.7977500000000004E-2</v>
          </cell>
          <cell r="EA33">
            <v>3.9602499999999999E-2</v>
          </cell>
          <cell r="EB33">
            <v>4.0778333333333333E-2</v>
          </cell>
          <cell r="EC33">
            <v>4.2590833333333328E-2</v>
          </cell>
          <cell r="ED33">
            <v>4.2169999999999999E-2</v>
          </cell>
          <cell r="EE33">
            <v>4.2112500000000004E-2</v>
          </cell>
          <cell r="EF33">
            <v>4.2945833333333343E-2</v>
          </cell>
          <cell r="EG33">
            <v>4.2449166666666677E-2</v>
          </cell>
          <cell r="EH33">
            <v>4.3104166666666666E-2</v>
          </cell>
          <cell r="EI33">
            <v>4.2750000000000003E-2</v>
          </cell>
          <cell r="EJ33">
            <v>4.2535000000000003E-2</v>
          </cell>
          <cell r="EK33">
            <v>4.2880000000000001E-2</v>
          </cell>
          <cell r="EL33">
            <v>4.2999999999999997E-2</v>
          </cell>
          <cell r="EM33">
            <v>4.3249999999999997E-2</v>
          </cell>
          <cell r="EN33">
            <v>4.3499999999999997E-2</v>
          </cell>
          <cell r="EO33">
            <v>4.3749999999999997E-2</v>
          </cell>
          <cell r="EP33">
            <v>4.3999999999999997E-2</v>
          </cell>
          <cell r="EQ33">
            <v>4.4374999999999998E-2</v>
          </cell>
          <cell r="ER33">
            <v>4.4624999999999998E-2</v>
          </cell>
          <cell r="ES33">
            <v>4.4874999999999998E-2</v>
          </cell>
          <cell r="ET33">
            <v>4.4999999999999998E-2</v>
          </cell>
          <cell r="EU33">
            <v>4.4999999999999998E-2</v>
          </cell>
          <cell r="EV33">
            <v>4.4999999999999998E-2</v>
          </cell>
          <cell r="EW33">
            <v>4.4999999999999998E-2</v>
          </cell>
          <cell r="EX33">
            <v>4.4999999999999998E-2</v>
          </cell>
          <cell r="EY33">
            <v>4.4999999999999998E-2</v>
          </cell>
          <cell r="EZ33">
            <v>4.4999999999999998E-2</v>
          </cell>
          <cell r="FA33">
            <v>4.4999999999999998E-2</v>
          </cell>
          <cell r="FB33">
            <v>4.4999999999999998E-2</v>
          </cell>
          <cell r="FC33">
            <v>4.4999999999999998E-2</v>
          </cell>
          <cell r="FD33">
            <v>4.4999999999999998E-2</v>
          </cell>
          <cell r="FE33">
            <v>4.4999999999999998E-2</v>
          </cell>
          <cell r="FF33">
            <v>4.4999999999999998E-2</v>
          </cell>
          <cell r="FG33">
            <v>4.4999999999999998E-2</v>
          </cell>
          <cell r="FH33">
            <v>4.4999999999999998E-2</v>
          </cell>
          <cell r="FI33">
            <v>4.4999999999999998E-2</v>
          </cell>
          <cell r="FJ33">
            <v>4.4999999999999998E-2</v>
          </cell>
          <cell r="FK33">
            <v>4.4999999999999998E-2</v>
          </cell>
          <cell r="FL33">
            <v>4.4999999999999998E-2</v>
          </cell>
          <cell r="FM33">
            <v>4.4999999999999998E-2</v>
          </cell>
          <cell r="FN33">
            <v>4.4999999999999998E-2</v>
          </cell>
          <cell r="FO33">
            <v>4.4999999999999998E-2</v>
          </cell>
          <cell r="FP33">
            <v>4.4999999999999998E-2</v>
          </cell>
          <cell r="FQ33">
            <v>4.4999999999999998E-2</v>
          </cell>
          <cell r="FR33">
            <v>4.4999999999999998E-2</v>
          </cell>
          <cell r="FS33">
            <v>4.4999999999999998E-2</v>
          </cell>
          <cell r="FT33">
            <v>4.4999999999999998E-2</v>
          </cell>
          <cell r="FU33">
            <v>4.4999999999999998E-2</v>
          </cell>
        </row>
        <row r="34">
          <cell r="A34" t="str">
            <v>us_govt10y_avg_12m</v>
          </cell>
          <cell r="B34" t="str">
            <v>US 10 yr bond</v>
          </cell>
          <cell r="D34">
            <v>7.607499999999999E-2</v>
          </cell>
          <cell r="E34">
            <v>7.4181666666666646E-2</v>
          </cell>
          <cell r="F34">
            <v>7.1063333333333312E-2</v>
          </cell>
          <cell r="G34">
            <v>7.0135000000000003E-2</v>
          </cell>
          <cell r="H34">
            <v>6.7070000000000005E-2</v>
          </cell>
          <cell r="I34">
            <v>6.3667500000000002E-2</v>
          </cell>
          <cell r="J34">
            <v>6.1129166666666658E-2</v>
          </cell>
          <cell r="K34">
            <v>5.8295833333333345E-2</v>
          </cell>
          <cell r="L34">
            <v>5.8405833333333323E-2</v>
          </cell>
          <cell r="M34">
            <v>6.138416666666667E-2</v>
          </cell>
          <cell r="N34">
            <v>6.5776666666666678E-2</v>
          </cell>
          <cell r="O34">
            <v>7.1206666666666682E-2</v>
          </cell>
          <cell r="P34">
            <v>7.408333333333332E-2</v>
          </cell>
          <cell r="Q34">
            <v>7.2440833333333329E-2</v>
          </cell>
          <cell r="R34">
            <v>6.99375E-2</v>
          </cell>
          <cell r="S34">
            <v>6.4771666666666686E-2</v>
          </cell>
          <cell r="T34">
            <v>6.1468333333333333E-2</v>
          </cell>
          <cell r="U34">
            <v>6.2045000000000003E-2</v>
          </cell>
          <cell r="V34">
            <v>6.3336666666666652E-2</v>
          </cell>
          <cell r="W34">
            <v>6.4555833333333326E-2</v>
          </cell>
          <cell r="X34">
            <v>6.6173333333333334E-2</v>
          </cell>
          <cell r="Y34">
            <v>6.5879166666666669E-2</v>
          </cell>
          <cell r="Z34">
            <v>6.4216666666666672E-2</v>
          </cell>
          <cell r="AA34">
            <v>6.3064999999999982E-2</v>
          </cell>
          <cell r="AB34">
            <v>6.0414166666666665E-2</v>
          </cell>
          <cell r="AC34">
            <v>5.7734999999999995E-2</v>
          </cell>
          <cell r="AD34">
            <v>5.4735833333333331E-2</v>
          </cell>
          <cell r="AE34">
            <v>5.1804999999999997E-2</v>
          </cell>
          <cell r="AF34">
            <v>5.0475833333333317E-2</v>
          </cell>
          <cell r="AG34">
            <v>5.0534999999999997E-2</v>
          </cell>
          <cell r="AH34">
            <v>5.2941666666666672E-2</v>
          </cell>
          <cell r="AI34">
            <v>5.689583333333334E-2</v>
          </cell>
          <cell r="AJ34">
            <v>6.014499999999999E-2</v>
          </cell>
          <cell r="AK34">
            <v>6.1623333333333336E-2</v>
          </cell>
          <cell r="AL34">
            <v>6.1470000000000011E-2</v>
          </cell>
          <cell r="AM34">
            <v>5.9528333333333343E-2</v>
          </cell>
          <cell r="AN34">
            <v>5.6085000000000003E-2</v>
          </cell>
          <cell r="AO34">
            <v>5.4093333333333327E-2</v>
          </cell>
          <cell r="AP34">
            <v>5.1505000000000002E-2</v>
          </cell>
          <cell r="AQ34">
            <v>4.9570833333333335E-2</v>
          </cell>
          <cell r="AR34">
            <v>4.9869999999999991E-2</v>
          </cell>
          <cell r="AS34">
            <v>4.889333333333333E-2</v>
          </cell>
          <cell r="AT34">
            <v>4.7E-2</v>
          </cell>
          <cell r="AU34">
            <v>4.5265000000000007E-2</v>
          </cell>
          <cell r="AV34">
            <v>4.2068166666666663E-2</v>
          </cell>
          <cell r="AW34">
            <v>3.8561999999999992E-2</v>
          </cell>
          <cell r="AX34">
            <v>3.9097666666666663E-2</v>
          </cell>
          <cell r="AY34">
            <v>3.9898250000000003E-2</v>
          </cell>
          <cell r="AZ34">
            <v>4.0303749999999999E-2</v>
          </cell>
          <cell r="BA34">
            <v>4.2820916666666674E-2</v>
          </cell>
          <cell r="BB34">
            <v>4.2744999999999998E-2</v>
          </cell>
          <cell r="BC34">
            <v>4.2509416666666675E-2</v>
          </cell>
          <cell r="BD34">
            <v>4.3382833333333343E-2</v>
          </cell>
          <cell r="BE34">
            <v>4.2003499999999999E-2</v>
          </cell>
          <cell r="BF34">
            <v>4.1917083333333334E-2</v>
          </cell>
          <cell r="BG34">
            <v>4.2622083333333324E-2</v>
          </cell>
          <cell r="BH34">
            <v>4.3391666666666662E-2</v>
          </cell>
          <cell r="BI34">
            <v>4.6082083333333336E-2</v>
          </cell>
          <cell r="BJ34">
            <v>4.7517249999999997E-2</v>
          </cell>
          <cell r="BK34">
            <v>4.7784166666666669E-2</v>
          </cell>
          <cell r="BL34">
            <v>4.7874166666666662E-2</v>
          </cell>
          <cell r="BM34">
            <v>4.7222708333333335E-2</v>
          </cell>
          <cell r="BN34">
            <v>4.6818041666666671E-2</v>
          </cell>
          <cell r="BO34">
            <v>4.5721333333333343E-2</v>
          </cell>
          <cell r="BP34">
            <v>4.2803041666666666E-2</v>
          </cell>
          <cell r="BQ34">
            <v>4.048279166666667E-2</v>
          </cell>
          <cell r="BR34">
            <v>3.8598541666666673E-2</v>
          </cell>
          <cell r="BS34">
            <v>3.580279166666666E-2</v>
          </cell>
          <cell r="BT34">
            <v>3.4143208333333334E-2</v>
          </cell>
          <cell r="BU34">
            <v>3.2774875000000002E-2</v>
          </cell>
          <cell r="BV34">
            <v>3.1605333333333333E-2</v>
          </cell>
          <cell r="BW34">
            <v>3.2706958333333327E-2</v>
          </cell>
          <cell r="BX34">
            <v>3.4795416666666662E-2</v>
          </cell>
          <cell r="BY34">
            <v>3.4606374999999995E-2</v>
          </cell>
          <cell r="BZ34">
            <v>3.2687749999999995E-2</v>
          </cell>
          <cell r="CA34">
            <v>3.1253916666666673E-2</v>
          </cell>
          <cell r="CB34">
            <v>3.0614333333333334E-2</v>
          </cell>
          <cell r="CC34">
            <v>3.0299916666666663E-2</v>
          </cell>
          <cell r="CD34">
            <v>2.9515083333333331E-2</v>
          </cell>
          <cell r="CE34">
            <v>2.7338666666666671E-2</v>
          </cell>
          <cell r="CF34">
            <v>2.3769375000000002E-2</v>
          </cell>
          <cell r="CG34">
            <v>2.0114833333333332E-2</v>
          </cell>
          <cell r="CH34">
            <v>1.8208291666666664E-2</v>
          </cell>
          <cell r="CI34">
            <v>1.7371541666666667E-2</v>
          </cell>
          <cell r="CJ34">
            <v>1.7153249999999998E-2</v>
          </cell>
          <cell r="CK34">
            <v>1.812570833333333E-2</v>
          </cell>
          <cell r="CL34">
            <v>2.0897791666666669E-2</v>
          </cell>
          <cell r="CM34">
            <v>2.3619083333333336E-2</v>
          </cell>
          <cell r="CN34">
            <v>2.5557833333333332E-2</v>
          </cell>
          <cell r="CO34">
            <v>2.6688833333333335E-2</v>
          </cell>
          <cell r="CP34">
            <v>2.6195125000000003E-2</v>
          </cell>
          <cell r="CQ34">
            <v>2.4805374999999998E-2</v>
          </cell>
          <cell r="CR34">
            <v>2.272895833333333E-2</v>
          </cell>
          <cell r="CS34">
            <v>2.1773833333333333E-2</v>
          </cell>
          <cell r="CT34">
            <v>2.0979375000000001E-2</v>
          </cell>
          <cell r="CU34">
            <v>2.0932875000000004E-2</v>
          </cell>
          <cell r="CV34">
            <v>2.0824375000000003E-2</v>
          </cell>
          <cell r="CW34">
            <v>1.9697333333333338E-2</v>
          </cell>
          <cell r="CX34">
            <v>1.8187458333333337E-2</v>
          </cell>
          <cell r="CY34">
            <v>1.8219708333333334E-2</v>
          </cell>
          <cell r="CZ34">
            <v>1.9747749999999998E-2</v>
          </cell>
          <cell r="DA34">
            <v>2.1111541666666667E-2</v>
          </cell>
          <cell r="DB34">
            <v>2.2879791666666666E-2</v>
          </cell>
          <cell r="DC34">
            <v>2.3329083333333327E-2</v>
          </cell>
          <cell r="DD34">
            <v>2.4202666666666671E-2</v>
          </cell>
          <cell r="DE34">
            <v>2.5776875000000001E-2</v>
          </cell>
          <cell r="DF34">
            <v>2.755316666666667E-2</v>
          </cell>
          <cell r="DG34">
            <v>2.890204166666667E-2</v>
          </cell>
          <cell r="DH34">
            <v>2.8435333333333333E-2</v>
          </cell>
          <cell r="DI34">
            <v>2.6733833333333335E-2</v>
          </cell>
          <cell r="DJ34">
            <v>2.3654833333333333E-2</v>
          </cell>
          <cell r="DK34">
            <v>2.0798000000000001E-2</v>
          </cell>
          <cell r="DL34">
            <v>1.7101416666666668E-2</v>
          </cell>
          <cell r="DM34">
            <v>1.3192500000000001E-2</v>
          </cell>
          <cell r="DN34">
            <v>1.0474124999999999E-2</v>
          </cell>
          <cell r="DO34">
            <v>8.1843750000000007E-3</v>
          </cell>
          <cell r="DP34">
            <v>8.9563749999999991E-3</v>
          </cell>
          <cell r="DQ34">
            <v>1.1229208333333334E-2</v>
          </cell>
          <cell r="DR34">
            <v>1.3002375E-2</v>
          </cell>
          <cell r="DS34">
            <v>1.4623833333333334E-2</v>
          </cell>
          <cell r="DT34">
            <v>1.610075E-2</v>
          </cell>
          <cell r="DU34">
            <v>1.9488583333333337E-2</v>
          </cell>
          <cell r="DV34">
            <v>2.4060000000000002E-2</v>
          </cell>
          <cell r="DW34">
            <v>2.9911500000000008E-2</v>
          </cell>
          <cell r="DX34">
            <v>3.4109666666666663E-2</v>
          </cell>
          <cell r="DY34">
            <v>3.5991583333333334E-2</v>
          </cell>
          <cell r="DZ34">
            <v>3.8568416666666674E-2</v>
          </cell>
          <cell r="EA34">
            <v>3.9677666666666667E-2</v>
          </cell>
          <cell r="EB34">
            <v>4.087441666666667E-2</v>
          </cell>
          <cell r="EC34">
            <v>4.2963416666666671E-2</v>
          </cell>
          <cell r="ED34">
            <v>4.2255666666666664E-2</v>
          </cell>
          <cell r="EE34">
            <v>4.2319500000000003E-2</v>
          </cell>
          <cell r="EF34">
            <v>4.2731083333333329E-2</v>
          </cell>
          <cell r="EG34">
            <v>4.2188416666666673E-2</v>
          </cell>
          <cell r="EH34">
            <v>4.2970416666666671E-2</v>
          </cell>
          <cell r="EI34">
            <v>4.2355000000000004E-2</v>
          </cell>
          <cell r="EJ34">
            <v>4.2841749999999998E-2</v>
          </cell>
          <cell r="EK34">
            <v>4.3209499999999998E-2</v>
          </cell>
          <cell r="EL34">
            <v>4.3999999999999997E-2</v>
          </cell>
          <cell r="EM34">
            <v>4.4249999999999998E-2</v>
          </cell>
          <cell r="EN34">
            <v>4.4499999999999998E-2</v>
          </cell>
          <cell r="EO34">
            <v>4.4749999999999998E-2</v>
          </cell>
          <cell r="EP34">
            <v>4.4999999999999998E-2</v>
          </cell>
          <cell r="EQ34">
            <v>4.5249999999999999E-2</v>
          </cell>
          <cell r="ER34">
            <v>4.5499999999999999E-2</v>
          </cell>
          <cell r="ES34">
            <v>4.5749999999999999E-2</v>
          </cell>
          <cell r="ET34">
            <v>4.5874999999999999E-2</v>
          </cell>
          <cell r="EU34">
            <v>4.5999999999999999E-2</v>
          </cell>
          <cell r="EV34">
            <v>4.5999999999999999E-2</v>
          </cell>
          <cell r="EW34">
            <v>4.5999999999999999E-2</v>
          </cell>
          <cell r="EX34">
            <v>4.5999999999999999E-2</v>
          </cell>
          <cell r="EY34">
            <v>4.5999999999999999E-2</v>
          </cell>
          <cell r="EZ34">
            <v>4.5999999999999999E-2</v>
          </cell>
          <cell r="FA34">
            <v>4.5999999999999999E-2</v>
          </cell>
          <cell r="FB34">
            <v>4.5999999999999999E-2</v>
          </cell>
          <cell r="FC34">
            <v>4.5999999999999999E-2</v>
          </cell>
          <cell r="FD34">
            <v>4.5999999999999999E-2</v>
          </cell>
          <cell r="FE34">
            <v>4.5999999999999999E-2</v>
          </cell>
          <cell r="FF34">
            <v>4.5999999999999999E-2</v>
          </cell>
          <cell r="FG34">
            <v>4.5999999999999999E-2</v>
          </cell>
          <cell r="FH34">
            <v>4.5999999999999999E-2</v>
          </cell>
          <cell r="FI34">
            <v>4.5999999999999999E-2</v>
          </cell>
          <cell r="FJ34">
            <v>4.5999999999999999E-2</v>
          </cell>
          <cell r="FK34">
            <v>4.5999999999999999E-2</v>
          </cell>
          <cell r="FL34">
            <v>4.5999999999999999E-2</v>
          </cell>
          <cell r="FM34">
            <v>4.5999999999999999E-2</v>
          </cell>
          <cell r="FN34">
            <v>4.5999999999999999E-2</v>
          </cell>
          <cell r="FO34">
            <v>4.5999999999999999E-2</v>
          </cell>
          <cell r="FP34">
            <v>4.5999999999999999E-2</v>
          </cell>
          <cell r="FQ34">
            <v>4.5999999999999999E-2</v>
          </cell>
          <cell r="FR34">
            <v>4.5999999999999999E-2</v>
          </cell>
          <cell r="FS34">
            <v>4.5999999999999999E-2</v>
          </cell>
          <cell r="FT34">
            <v>4.5999999999999999E-2</v>
          </cell>
          <cell r="FU34">
            <v>4.5999999999999999E-2</v>
          </cell>
        </row>
        <row r="36">
          <cell r="B36" t="str">
            <v>Period end exchange rates</v>
          </cell>
        </row>
        <row r="37">
          <cell r="A37" t="str">
            <v>peaudgbp</v>
          </cell>
          <cell r="B37" t="str">
            <v>AUD/GBP</v>
          </cell>
          <cell r="D37">
            <v>0.44290000000000002</v>
          </cell>
          <cell r="E37">
            <v>0.39250000000000002</v>
          </cell>
          <cell r="F37">
            <v>0.39929999999999999</v>
          </cell>
          <cell r="G37">
            <v>0.45579999999999998</v>
          </cell>
          <cell r="H37">
            <v>0.46539999999999998</v>
          </cell>
          <cell r="I37">
            <v>0.44679999999999997</v>
          </cell>
          <cell r="J37">
            <v>0.43169999999999997</v>
          </cell>
          <cell r="K37">
            <v>0.46</v>
          </cell>
          <cell r="L37">
            <v>0.47270000000000001</v>
          </cell>
          <cell r="M37">
            <v>0.47120000000000001</v>
          </cell>
          <cell r="N37">
            <v>0.46920000000000001</v>
          </cell>
          <cell r="O37">
            <v>0.4955</v>
          </cell>
          <cell r="P37">
            <v>0.45279999999999998</v>
          </cell>
          <cell r="Q37">
            <v>0.44469999999999998</v>
          </cell>
          <cell r="R37">
            <v>0.47710000000000002</v>
          </cell>
          <cell r="S37">
            <v>0.4793</v>
          </cell>
          <cell r="T37">
            <v>0.51190000000000002</v>
          </cell>
          <cell r="U37">
            <v>0.50729999999999997</v>
          </cell>
          <cell r="V37">
            <v>0.50539999999999996</v>
          </cell>
          <cell r="W37">
            <v>0.4632</v>
          </cell>
          <cell r="X37">
            <v>0.4793</v>
          </cell>
          <cell r="Y37">
            <v>0.45269999999999999</v>
          </cell>
          <cell r="Z37">
            <v>0.44840000000000002</v>
          </cell>
          <cell r="AA37">
            <v>0.39510000000000001</v>
          </cell>
          <cell r="AB37">
            <v>0.39560000000000001</v>
          </cell>
          <cell r="AC37">
            <v>0.37</v>
          </cell>
          <cell r="AD37">
            <v>0.34939999999999999</v>
          </cell>
          <cell r="AE37">
            <v>0.36830000000000002</v>
          </cell>
          <cell r="AF37">
            <v>0.39360000000000001</v>
          </cell>
          <cell r="AG37">
            <v>0.42259999999999998</v>
          </cell>
          <cell r="AH37">
            <v>0.39600000000000002</v>
          </cell>
          <cell r="AI37">
            <v>0.40670000000000001</v>
          </cell>
          <cell r="AJ37">
            <v>0.38100000000000001</v>
          </cell>
          <cell r="AK37">
            <v>0.39340000000000003</v>
          </cell>
          <cell r="AL37">
            <v>0.3679</v>
          </cell>
          <cell r="AM37">
            <v>0.37419999999999998</v>
          </cell>
          <cell r="AN37">
            <v>0.34320000000000001</v>
          </cell>
          <cell r="AO37">
            <v>0.36120000000000002</v>
          </cell>
          <cell r="AP37">
            <v>0.33360000000000001</v>
          </cell>
          <cell r="AQ37">
            <v>0.34970000000000001</v>
          </cell>
          <cell r="AR37">
            <v>0.374</v>
          </cell>
          <cell r="AS37">
            <v>0.36749999999999999</v>
          </cell>
          <cell r="AT37">
            <v>0.3458</v>
          </cell>
          <cell r="AU37">
            <v>0.34860000000000002</v>
          </cell>
          <cell r="AV37">
            <v>0.3821</v>
          </cell>
          <cell r="AW37">
            <v>0.40689999999999998</v>
          </cell>
          <cell r="AX37">
            <v>0.40949999999999998</v>
          </cell>
          <cell r="AY37">
            <v>0.42149999999999999</v>
          </cell>
          <cell r="AZ37">
            <v>0.4153</v>
          </cell>
          <cell r="BA37">
            <v>0.38390000000000002</v>
          </cell>
          <cell r="BB37">
            <v>0.40189999999999998</v>
          </cell>
          <cell r="BC37">
            <v>0.40720767956457504</v>
          </cell>
          <cell r="BD37">
            <v>0.40895617792675232</v>
          </cell>
          <cell r="BE37">
            <v>0.42536908457987377</v>
          </cell>
          <cell r="BF37">
            <v>0.43181633496417127</v>
          </cell>
          <cell r="BG37">
            <v>0.42630000000000001</v>
          </cell>
          <cell r="BH37">
            <v>0.4123</v>
          </cell>
          <cell r="BI37">
            <v>0.4022</v>
          </cell>
          <cell r="BJ37">
            <v>0.39840000000000003</v>
          </cell>
          <cell r="BK37">
            <v>0.40230000000000005</v>
          </cell>
          <cell r="BL37">
            <v>0.41100000000000003</v>
          </cell>
          <cell r="BM37">
            <v>0.42285000000000006</v>
          </cell>
          <cell r="BN37">
            <v>0.43380000000000002</v>
          </cell>
          <cell r="BO37">
            <v>0.44090000000000001</v>
          </cell>
          <cell r="BP37">
            <v>0.46030000000000004</v>
          </cell>
          <cell r="BQ37">
            <v>0.48110000000000003</v>
          </cell>
          <cell r="BR37">
            <v>0.44480000000000003</v>
          </cell>
          <cell r="BS37">
            <v>0.48000000000000004</v>
          </cell>
          <cell r="BT37">
            <v>0.4829</v>
          </cell>
          <cell r="BU37">
            <v>0.4899</v>
          </cell>
          <cell r="BV37">
            <v>0.55230000000000001</v>
          </cell>
          <cell r="BW37">
            <v>0.5555000000000001</v>
          </cell>
          <cell r="BX37">
            <v>0.60430000000000006</v>
          </cell>
          <cell r="BY37">
            <v>0.5625</v>
          </cell>
          <cell r="BZ37">
            <v>0.61529999999999996</v>
          </cell>
          <cell r="CA37">
            <v>0.65539999999999998</v>
          </cell>
          <cell r="CB37">
            <v>0.64420000000000011</v>
          </cell>
          <cell r="CC37">
            <v>0.66769999999999996</v>
          </cell>
          <cell r="CD37">
            <v>0.62000000000000011</v>
          </cell>
          <cell r="CE37">
            <v>0.65769999999999995</v>
          </cell>
          <cell r="CF37">
            <v>0.64695000000000014</v>
          </cell>
          <cell r="CG37">
            <v>0.65254999999999996</v>
          </cell>
          <cell r="CH37">
            <v>0.64250000000000007</v>
          </cell>
          <cell r="CI37">
            <v>0.63965000000000005</v>
          </cell>
          <cell r="CJ37">
            <v>0.68535000000000013</v>
          </cell>
          <cell r="CK37">
            <v>0.6008</v>
          </cell>
          <cell r="CL37">
            <v>0.57620000000000005</v>
          </cell>
          <cell r="CM37">
            <v>0.53849999999999998</v>
          </cell>
          <cell r="CN37">
            <v>0.55610000000000004</v>
          </cell>
          <cell r="CO37">
            <v>0.5514</v>
          </cell>
          <cell r="CP37">
            <v>0.53964999999999996</v>
          </cell>
          <cell r="CQ37">
            <v>0.52445000000000008</v>
          </cell>
          <cell r="CR37">
            <v>0.51324999999999998</v>
          </cell>
          <cell r="CS37">
            <v>0.49070000000000003</v>
          </cell>
          <cell r="CT37">
            <v>0.46399999999999997</v>
          </cell>
          <cell r="CU37">
            <v>0.49470000000000003</v>
          </cell>
          <cell r="CV37">
            <v>0.53310000000000002</v>
          </cell>
          <cell r="CW37">
            <v>0.55984999999999996</v>
          </cell>
          <cell r="CX37">
            <v>0.59014999999999995</v>
          </cell>
          <cell r="CY37">
            <v>0.58390000000000009</v>
          </cell>
          <cell r="CZ37">
            <v>0.60759999999999992</v>
          </cell>
          <cell r="DA37">
            <v>0.59</v>
          </cell>
          <cell r="DB37">
            <v>0.58485000000000009</v>
          </cell>
          <cell r="DC37">
            <v>0.57755000000000001</v>
          </cell>
          <cell r="DD37">
            <v>0.54744999999999999</v>
          </cell>
          <cell r="DE37">
            <v>0.56089999999999995</v>
          </cell>
          <cell r="DF37">
            <v>0.55400000000000005</v>
          </cell>
          <cell r="DG37">
            <v>0.55309999999999993</v>
          </cell>
          <cell r="DH37">
            <v>0.54459999999999997</v>
          </cell>
          <cell r="DI37">
            <v>0.55320000000000003</v>
          </cell>
          <cell r="DJ37">
            <v>0.54895000000000005</v>
          </cell>
          <cell r="DK37">
            <v>0.52905000000000002</v>
          </cell>
          <cell r="DL37">
            <v>0.49456</v>
          </cell>
          <cell r="DM37">
            <v>0.55671000000000004</v>
          </cell>
          <cell r="DN37">
            <v>0.55445999999999995</v>
          </cell>
          <cell r="DO37">
            <v>0.56304500000000002</v>
          </cell>
          <cell r="DP37">
            <v>0.55100000000000005</v>
          </cell>
          <cell r="DQ37">
            <v>0.54215000000000002</v>
          </cell>
          <cell r="DR37">
            <v>0.53649999999999998</v>
          </cell>
          <cell r="DS37">
            <v>0.53720000000000001</v>
          </cell>
          <cell r="DT37">
            <v>0.56950000000000001</v>
          </cell>
          <cell r="DU37">
            <v>0.56679999999999997</v>
          </cell>
          <cell r="DV37">
            <v>0.57299999999999995</v>
          </cell>
          <cell r="DW37">
            <v>0.56340000000000001</v>
          </cell>
          <cell r="DX37">
            <v>0.54200000000000004</v>
          </cell>
          <cell r="DY37">
            <v>0.52480000000000004</v>
          </cell>
          <cell r="DZ37">
            <v>0.52731499999999998</v>
          </cell>
          <cell r="EA37">
            <v>0.53495000000000004</v>
          </cell>
          <cell r="EB37">
            <v>0.51600000000000001</v>
          </cell>
          <cell r="EC37">
            <v>0.52739999999999998</v>
          </cell>
          <cell r="ED37">
            <v>0.51688535224444543</v>
          </cell>
          <cell r="EE37">
            <v>0.49451459683461196</v>
          </cell>
          <cell r="EF37">
            <v>0.48359173251574089</v>
          </cell>
          <cell r="EG37">
            <v>0.47917734832838982</v>
          </cell>
          <cell r="EH37">
            <v>0.49187544729923488</v>
          </cell>
          <cell r="EI37">
            <v>0.47857142857142865</v>
          </cell>
          <cell r="EJ37">
            <v>0.47535211267605654</v>
          </cell>
          <cell r="EK37">
            <v>0.47222222222222227</v>
          </cell>
          <cell r="EL37">
            <v>0.47499999999999992</v>
          </cell>
          <cell r="EM37">
            <v>0.4779411764705882</v>
          </cell>
          <cell r="EN37">
            <v>0.48523985239852396</v>
          </cell>
          <cell r="EO37">
            <v>0.49259259259259253</v>
          </cell>
          <cell r="EP37">
            <v>0.49999999999999983</v>
          </cell>
          <cell r="EQ37">
            <v>0.5074626865671642</v>
          </cell>
          <cell r="ER37">
            <v>0.51401869158878488</v>
          </cell>
          <cell r="ES37">
            <v>0.52059925093632919</v>
          </cell>
          <cell r="ET37">
            <v>0.52720450281425824</v>
          </cell>
          <cell r="EU37">
            <v>0.53383458646616533</v>
          </cell>
          <cell r="EV37">
            <v>0.54614220877458386</v>
          </cell>
          <cell r="EW37">
            <v>0.55859969558599676</v>
          </cell>
          <cell r="EX37">
            <v>0.57120980091883578</v>
          </cell>
          <cell r="EY37">
            <v>0.58397534668721063</v>
          </cell>
          <cell r="EZ37">
            <v>0.59689922480620106</v>
          </cell>
          <cell r="FA37">
            <v>0.60998439937597437</v>
          </cell>
          <cell r="FB37">
            <v>0.62323390894819397</v>
          </cell>
          <cell r="FC37">
            <v>0.6366508688783562</v>
          </cell>
          <cell r="FD37">
            <v>0.6366508688783562</v>
          </cell>
          <cell r="FE37">
            <v>0.6366508688783562</v>
          </cell>
          <cell r="FF37">
            <v>0.6366508688783562</v>
          </cell>
          <cell r="FG37">
            <v>0.6366508688783562</v>
          </cell>
          <cell r="FH37">
            <v>0.6366508688783562</v>
          </cell>
          <cell r="FI37">
            <v>0.6366508688783562</v>
          </cell>
          <cell r="FJ37">
            <v>0.6366508688783562</v>
          </cell>
          <cell r="FK37">
            <v>0.6366508688783562</v>
          </cell>
          <cell r="FL37">
            <v>0.6366508688783562</v>
          </cell>
          <cell r="FM37">
            <v>0.6366508688783562</v>
          </cell>
          <cell r="FN37">
            <v>0.6366508688783562</v>
          </cell>
          <cell r="FO37">
            <v>0.6366508688783562</v>
          </cell>
          <cell r="FP37">
            <v>0.6366508688783562</v>
          </cell>
          <cell r="FQ37">
            <v>0.6366508688783562</v>
          </cell>
          <cell r="FR37">
            <v>0.6366508688783562</v>
          </cell>
          <cell r="FS37">
            <v>0.6366508688783562</v>
          </cell>
          <cell r="FT37">
            <v>0.6366508688783562</v>
          </cell>
          <cell r="FU37">
            <v>0.6366508688783562</v>
          </cell>
        </row>
        <row r="38">
          <cell r="A38" t="str">
            <v>peaudusd</v>
          </cell>
          <cell r="B38" t="str">
            <v>AUD/USD</v>
          </cell>
          <cell r="D38">
            <v>0.76929999999999998</v>
          </cell>
          <cell r="E38">
            <v>0.74780000000000002</v>
          </cell>
          <cell r="F38">
            <v>0.71319999999999995</v>
          </cell>
          <cell r="G38">
            <v>0.6885</v>
          </cell>
          <cell r="H38">
            <v>0.70479999999999998</v>
          </cell>
          <cell r="I38">
            <v>0.66649999999999998</v>
          </cell>
          <cell r="J38">
            <v>0.64610000000000001</v>
          </cell>
          <cell r="K38">
            <v>0.67930000000000001</v>
          </cell>
          <cell r="L38">
            <v>0.70169999999999999</v>
          </cell>
          <cell r="M38">
            <v>0.72770000000000001</v>
          </cell>
          <cell r="N38">
            <v>0.73950000000000005</v>
          </cell>
          <cell r="O38">
            <v>0.77639999999999998</v>
          </cell>
          <cell r="P38">
            <v>0.73450000000000004</v>
          </cell>
          <cell r="Q38">
            <v>0.70909999999999995</v>
          </cell>
          <cell r="R38">
            <v>0.75539999999999996</v>
          </cell>
          <cell r="S38">
            <v>0.74370000000000003</v>
          </cell>
          <cell r="T38">
            <v>0.78149999999999997</v>
          </cell>
          <cell r="U38">
            <v>0.7873</v>
          </cell>
          <cell r="V38">
            <v>0.79139999999999999</v>
          </cell>
          <cell r="W38">
            <v>0.79430000000000001</v>
          </cell>
          <cell r="X38">
            <v>0.78559999999999997</v>
          </cell>
          <cell r="Y38">
            <v>0.74550000000000005</v>
          </cell>
          <cell r="Z38">
            <v>0.72570000000000001</v>
          </cell>
          <cell r="AA38">
            <v>0.65029999999999999</v>
          </cell>
          <cell r="AB38">
            <v>0.66220000000000001</v>
          </cell>
          <cell r="AC38">
            <v>0.62</v>
          </cell>
          <cell r="AD38">
            <v>0.59360000000000002</v>
          </cell>
          <cell r="AE38">
            <v>0.61260000000000003</v>
          </cell>
          <cell r="AF38">
            <v>0.63439999999999996</v>
          </cell>
          <cell r="AG38">
            <v>0.66669999999999996</v>
          </cell>
          <cell r="AH38">
            <v>0.65249999999999997</v>
          </cell>
          <cell r="AI38">
            <v>0.65710000000000002</v>
          </cell>
          <cell r="AJ38">
            <v>0.60770000000000002</v>
          </cell>
          <cell r="AK38">
            <v>0.59670000000000001</v>
          </cell>
          <cell r="AL38">
            <v>0.54279999999999995</v>
          </cell>
          <cell r="AM38">
            <v>0.55879999999999996</v>
          </cell>
          <cell r="AN38">
            <v>0.48570000000000002</v>
          </cell>
          <cell r="AO38">
            <v>0.51139999999999997</v>
          </cell>
          <cell r="AP38">
            <v>0.49180000000000001</v>
          </cell>
          <cell r="AQ38">
            <v>0.50880000000000003</v>
          </cell>
          <cell r="AR38">
            <v>0.5333</v>
          </cell>
          <cell r="AS38">
            <v>0.56359999999999999</v>
          </cell>
          <cell r="AT38">
            <v>0.54279999999999995</v>
          </cell>
          <cell r="AU38">
            <v>0.56169999999999998</v>
          </cell>
          <cell r="AV38">
            <v>0.60470000000000002</v>
          </cell>
          <cell r="AW38">
            <v>0.67359999999999998</v>
          </cell>
          <cell r="AX38">
            <v>0.68100000000000005</v>
          </cell>
          <cell r="AY38">
            <v>0.75280000000000002</v>
          </cell>
          <cell r="AZ38">
            <v>0.76680000000000004</v>
          </cell>
          <cell r="BA38">
            <v>0.69889999999999997</v>
          </cell>
          <cell r="BB38">
            <v>0.72789999999999999</v>
          </cell>
          <cell r="BC38">
            <v>0.78095000000000003</v>
          </cell>
          <cell r="BD38">
            <v>0.77300000000000002</v>
          </cell>
          <cell r="BE38">
            <v>0.76215000000000011</v>
          </cell>
          <cell r="BF38">
            <v>0.76235000000000008</v>
          </cell>
          <cell r="BG38">
            <v>0.73440000000000005</v>
          </cell>
          <cell r="BH38">
            <v>0.71625000000000005</v>
          </cell>
          <cell r="BI38">
            <v>0.74345000000000006</v>
          </cell>
          <cell r="BJ38">
            <v>0.74595000000000011</v>
          </cell>
          <cell r="BK38">
            <v>0.78910000000000002</v>
          </cell>
          <cell r="BL38">
            <v>0.80889999999999995</v>
          </cell>
          <cell r="BM38">
            <v>0.84940000000000004</v>
          </cell>
          <cell r="BN38">
            <v>0.88780000000000003</v>
          </cell>
          <cell r="BO38">
            <v>0.87519999999999998</v>
          </cell>
          <cell r="BP38">
            <v>0.91335000000000011</v>
          </cell>
          <cell r="BQ38">
            <v>0.95860000000000012</v>
          </cell>
          <cell r="BR38">
            <v>0.79220000000000002</v>
          </cell>
          <cell r="BS38">
            <v>0.70265</v>
          </cell>
          <cell r="BT38">
            <v>0.69140000000000001</v>
          </cell>
          <cell r="BU38">
            <v>0.80659999999999998</v>
          </cell>
          <cell r="BV38">
            <v>0.88260000000000005</v>
          </cell>
          <cell r="BW38">
            <v>0.8972500000000001</v>
          </cell>
          <cell r="BX38">
            <v>0.91749999999999998</v>
          </cell>
          <cell r="BY38">
            <v>0.8407</v>
          </cell>
          <cell r="BZ38">
            <v>0.96720000000000006</v>
          </cell>
          <cell r="CA38">
            <v>1.0231000000000001</v>
          </cell>
          <cell r="CB38">
            <v>1.0327</v>
          </cell>
          <cell r="CC38">
            <v>1.07185</v>
          </cell>
          <cell r="CD38">
            <v>0.96635000000000004</v>
          </cell>
          <cell r="CE38">
            <v>1.0216000000000001</v>
          </cell>
          <cell r="CF38">
            <v>1.03552</v>
          </cell>
          <cell r="CG38">
            <v>1.0244</v>
          </cell>
          <cell r="CH38">
            <v>1.0382</v>
          </cell>
          <cell r="CI38">
            <v>1.0393950000000001</v>
          </cell>
          <cell r="CJ38">
            <v>1.0416500000000002</v>
          </cell>
          <cell r="CK38">
            <v>0.91368000000000005</v>
          </cell>
          <cell r="CL38">
            <v>0.93254999999999999</v>
          </cell>
          <cell r="CM38">
            <v>0.89200500000000016</v>
          </cell>
          <cell r="CN38">
            <v>0.92656500000000008</v>
          </cell>
          <cell r="CO38">
            <v>0.94323500000000005</v>
          </cell>
          <cell r="CP38">
            <v>0.87499500000000008</v>
          </cell>
          <cell r="CQ38">
            <v>0.81657500000000005</v>
          </cell>
          <cell r="CR38">
            <v>0.76062000000000007</v>
          </cell>
          <cell r="CS38">
            <v>0.77070499999999997</v>
          </cell>
          <cell r="CT38">
            <v>0.70178499999999999</v>
          </cell>
          <cell r="CU38">
            <v>0.72909000000000002</v>
          </cell>
          <cell r="CV38">
            <v>0.76578499999999994</v>
          </cell>
          <cell r="CW38">
            <v>0.74522500000000003</v>
          </cell>
          <cell r="CX38">
            <v>0.76595499999999994</v>
          </cell>
          <cell r="CY38">
            <v>0.720275</v>
          </cell>
          <cell r="CZ38">
            <v>0.76302000000000003</v>
          </cell>
          <cell r="DA38">
            <v>0.76865000000000006</v>
          </cell>
          <cell r="DB38">
            <v>0.78353499999999998</v>
          </cell>
          <cell r="DC38">
            <v>0.78042</v>
          </cell>
          <cell r="DD38">
            <v>0.768015</v>
          </cell>
          <cell r="DE38">
            <v>0.74069000000000007</v>
          </cell>
          <cell r="DF38">
            <v>0.7218</v>
          </cell>
          <cell r="DG38">
            <v>0.70534999999999992</v>
          </cell>
          <cell r="DH38">
            <v>0.70962999999999998</v>
          </cell>
          <cell r="DI38">
            <v>0.70218999999999998</v>
          </cell>
          <cell r="DJ38">
            <v>0.67495499999999997</v>
          </cell>
          <cell r="DK38">
            <v>0.70155999999999996</v>
          </cell>
          <cell r="DL38">
            <v>0.61394499999999996</v>
          </cell>
          <cell r="DM38">
            <v>0.69040000000000001</v>
          </cell>
          <cell r="DN38">
            <v>0.71655500000000005</v>
          </cell>
          <cell r="DO38">
            <v>0.76947500000000002</v>
          </cell>
          <cell r="DP38">
            <v>0.75973500000000005</v>
          </cell>
          <cell r="DQ38">
            <v>0.74981500000000001</v>
          </cell>
          <cell r="DR38">
            <v>0.72255999999999998</v>
          </cell>
          <cell r="DS38">
            <v>0.72650000000000003</v>
          </cell>
          <cell r="DT38">
            <v>0.74817</v>
          </cell>
          <cell r="DU38">
            <v>0.69035000000000002</v>
          </cell>
          <cell r="DV38">
            <v>0.64005500000000004</v>
          </cell>
          <cell r="DW38">
            <v>0.68155500000000002</v>
          </cell>
          <cell r="DX38">
            <v>0.66854999999999998</v>
          </cell>
          <cell r="DY38">
            <v>0.66629000000000005</v>
          </cell>
          <cell r="DZ38">
            <v>0.64303500000000002</v>
          </cell>
          <cell r="EA38">
            <v>0.68108000000000002</v>
          </cell>
          <cell r="EB38">
            <v>0.65139999999999998</v>
          </cell>
          <cell r="EC38">
            <v>0.66700000000000004</v>
          </cell>
          <cell r="ED38">
            <v>0.69131000000000009</v>
          </cell>
          <cell r="EE38">
            <v>0.61888500000000002</v>
          </cell>
          <cell r="EF38">
            <v>0.62470000000000003</v>
          </cell>
          <cell r="EG38">
            <v>0.6580649999999999</v>
          </cell>
          <cell r="EH38">
            <v>0.6613150000000001</v>
          </cell>
          <cell r="EI38">
            <v>0.67</v>
          </cell>
          <cell r="EJ38">
            <v>0.67500000000000016</v>
          </cell>
          <cell r="EK38">
            <v>0.68</v>
          </cell>
          <cell r="EL38">
            <v>0.66500000000000004</v>
          </cell>
          <cell r="EM38">
            <v>0.65</v>
          </cell>
          <cell r="EN38">
            <v>0.65749999999999997</v>
          </cell>
          <cell r="EO38">
            <v>0.66499999999999981</v>
          </cell>
          <cell r="EP38">
            <v>0.67249999999999965</v>
          </cell>
          <cell r="EQ38">
            <v>0.68</v>
          </cell>
          <cell r="ER38">
            <v>0.68749999999999989</v>
          </cell>
          <cell r="ES38">
            <v>0.69499999999999973</v>
          </cell>
          <cell r="ET38">
            <v>0.70249999999999957</v>
          </cell>
          <cell r="EU38">
            <v>0.71</v>
          </cell>
          <cell r="EV38">
            <v>0.72199999999999998</v>
          </cell>
          <cell r="EW38">
            <v>0.73399999999999999</v>
          </cell>
          <cell r="EX38">
            <v>0.746</v>
          </cell>
          <cell r="EY38">
            <v>0.75800000000000001</v>
          </cell>
          <cell r="EZ38">
            <v>0.77</v>
          </cell>
          <cell r="FA38">
            <v>0.78200000000000003</v>
          </cell>
          <cell r="FB38">
            <v>0.79400000000000004</v>
          </cell>
          <cell r="FC38">
            <v>0.80600000000000005</v>
          </cell>
          <cell r="FD38">
            <v>0.80600000000000005</v>
          </cell>
          <cell r="FE38">
            <v>0.80600000000000005</v>
          </cell>
          <cell r="FF38">
            <v>0.80600000000000005</v>
          </cell>
          <cell r="FG38">
            <v>0.80600000000000005</v>
          </cell>
          <cell r="FH38">
            <v>0.80600000000000005</v>
          </cell>
          <cell r="FI38">
            <v>0.80600000000000005</v>
          </cell>
          <cell r="FJ38">
            <v>0.80600000000000005</v>
          </cell>
          <cell r="FK38">
            <v>0.80600000000000005</v>
          </cell>
          <cell r="FL38">
            <v>0.80600000000000005</v>
          </cell>
          <cell r="FM38">
            <v>0.80600000000000005</v>
          </cell>
          <cell r="FN38">
            <v>0.80600000000000005</v>
          </cell>
          <cell r="FO38">
            <v>0.80600000000000005</v>
          </cell>
          <cell r="FP38">
            <v>0.80600000000000005</v>
          </cell>
          <cell r="FQ38">
            <v>0.80600000000000005</v>
          </cell>
          <cell r="FR38">
            <v>0.80600000000000005</v>
          </cell>
          <cell r="FS38">
            <v>0.80600000000000005</v>
          </cell>
          <cell r="FT38">
            <v>0.80600000000000005</v>
          </cell>
          <cell r="FU38">
            <v>0.80600000000000005</v>
          </cell>
        </row>
        <row r="39">
          <cell r="A39" t="str">
            <v>peaudnzd</v>
          </cell>
          <cell r="B39" t="str">
            <v>AUD/NZD</v>
          </cell>
          <cell r="N39">
            <v>1.2287999999999999</v>
          </cell>
          <cell r="O39">
            <v>1.2081999999999999</v>
          </cell>
          <cell r="P39">
            <v>1.1214999999999999</v>
          </cell>
          <cell r="Q39">
            <v>1.0593999999999999</v>
          </cell>
          <cell r="R39">
            <v>1.1480999999999999</v>
          </cell>
          <cell r="S39">
            <v>1.1378999999999999</v>
          </cell>
          <cell r="T39">
            <v>1.147</v>
          </cell>
          <cell r="U39">
            <v>1.149</v>
          </cell>
          <cell r="V39">
            <v>1.1309</v>
          </cell>
          <cell r="W39">
            <v>1.1236999999999999</v>
          </cell>
          <cell r="X39">
            <v>1.1304000000000001</v>
          </cell>
          <cell r="Y39">
            <v>1.1087</v>
          </cell>
          <cell r="Z39">
            <v>1.1307</v>
          </cell>
          <cell r="AA39">
            <v>1.1160000000000001</v>
          </cell>
          <cell r="AB39">
            <v>1.1992</v>
          </cell>
          <cell r="AC39">
            <v>1.2</v>
          </cell>
          <cell r="AD39">
            <v>1.1858</v>
          </cell>
          <cell r="AE39">
            <v>1.1584000000000001</v>
          </cell>
          <cell r="AF39">
            <v>1.1852</v>
          </cell>
          <cell r="AG39">
            <v>1.2486999999999999</v>
          </cell>
          <cell r="AH39">
            <v>1.2593000000000001</v>
          </cell>
          <cell r="AI39">
            <v>1.2574000000000001</v>
          </cell>
          <cell r="AJ39">
            <v>1.2242</v>
          </cell>
          <cell r="AK39">
            <v>1.2715000000000001</v>
          </cell>
          <cell r="AL39">
            <v>1.3319000000000001</v>
          </cell>
          <cell r="AM39">
            <v>1.2605999999999999</v>
          </cell>
          <cell r="AN39">
            <v>1.2042999999999999</v>
          </cell>
          <cell r="AO39">
            <v>1.2589999999999999</v>
          </cell>
          <cell r="AP39">
            <v>1.2101999999999999</v>
          </cell>
          <cell r="AQ39">
            <v>1.2213000000000001</v>
          </cell>
          <cell r="AR39">
            <v>1.2103999999999999</v>
          </cell>
          <cell r="AS39">
            <v>1.1569</v>
          </cell>
          <cell r="AT39">
            <v>1.1569</v>
          </cell>
          <cell r="AU39">
            <v>1.0717000000000001</v>
          </cell>
          <cell r="AV39">
            <v>1.0896999999999999</v>
          </cell>
          <cell r="AW39">
            <v>1.1473</v>
          </cell>
          <cell r="AX39">
            <v>1.1429</v>
          </cell>
          <cell r="AY39">
            <v>1.1444000000000001</v>
          </cell>
          <cell r="AZ39">
            <v>1.1469</v>
          </cell>
          <cell r="BA39">
            <v>1.0985</v>
          </cell>
          <cell r="BB39">
            <v>1.0740000000000001</v>
          </cell>
          <cell r="BC39">
            <v>1.0876074450760309</v>
          </cell>
          <cell r="BD39">
            <v>1.0860132008395653</v>
          </cell>
          <cell r="BE39">
            <v>1.093674281730447</v>
          </cell>
          <cell r="BF39">
            <v>1.101686434698377</v>
          </cell>
          <cell r="BG39">
            <v>1.0750500000000001</v>
          </cell>
          <cell r="BH39">
            <v>1.1625000000000001</v>
          </cell>
          <cell r="BI39">
            <v>1.2204999999999999</v>
          </cell>
          <cell r="BJ39">
            <v>1.14195</v>
          </cell>
          <cell r="BK39">
            <v>1.11975</v>
          </cell>
          <cell r="BL39">
            <v>1.1316999999999999</v>
          </cell>
          <cell r="BM39">
            <v>1.0992000000000002</v>
          </cell>
          <cell r="BN39">
            <v>1.1714500000000001</v>
          </cell>
          <cell r="BO39">
            <v>1.1425000000000001</v>
          </cell>
          <cell r="BP39">
            <v>1.1613500000000001</v>
          </cell>
          <cell r="BQ39">
            <v>1.2578499999999999</v>
          </cell>
          <cell r="BR39">
            <v>1.1830500000000002</v>
          </cell>
          <cell r="BS39">
            <v>1.2135</v>
          </cell>
          <cell r="BT39">
            <v>1.2361</v>
          </cell>
          <cell r="BU39">
            <v>1.24875</v>
          </cell>
          <cell r="BV39">
            <v>1.2210000000000001</v>
          </cell>
          <cell r="BW39">
            <v>1.2419500000000001</v>
          </cell>
          <cell r="BX39">
            <v>1.29095</v>
          </cell>
          <cell r="BY39">
            <v>1.2273499999999999</v>
          </cell>
          <cell r="BZ39">
            <v>1.3169</v>
          </cell>
          <cell r="CA39">
            <v>1.3116500000000002</v>
          </cell>
          <cell r="CB39">
            <v>1.3553500000000001</v>
          </cell>
          <cell r="CC39">
            <v>1.2928999999999999</v>
          </cell>
          <cell r="CD39">
            <v>1.26875</v>
          </cell>
          <cell r="CE39">
            <v>1.3138000000000001</v>
          </cell>
          <cell r="CF39">
            <v>1.2652650000000001</v>
          </cell>
          <cell r="CG39">
            <v>1.2788000000000002</v>
          </cell>
          <cell r="CH39">
            <v>1.251255</v>
          </cell>
          <cell r="CI39">
            <v>1.2544650000000002</v>
          </cell>
          <cell r="CJ39">
            <v>1.2447050000000002</v>
          </cell>
          <cell r="CK39">
            <v>1.180525</v>
          </cell>
          <cell r="CL39">
            <v>1.1225800000000001</v>
          </cell>
          <cell r="CM39">
            <v>1.0842450000000001</v>
          </cell>
          <cell r="CN39">
            <v>1.0681500000000002</v>
          </cell>
          <cell r="CO39">
            <v>1.0769850000000001</v>
          </cell>
          <cell r="CP39">
            <v>1.1203449999999999</v>
          </cell>
          <cell r="CQ39">
            <v>1.0474600000000001</v>
          </cell>
          <cell r="CR39">
            <v>1.01752</v>
          </cell>
          <cell r="CS39">
            <v>1.1388799999999999</v>
          </cell>
          <cell r="CT39">
            <v>1.0964800000000001</v>
          </cell>
          <cell r="CU39">
            <v>1.0676600000000001</v>
          </cell>
          <cell r="CV39">
            <v>1.1082999999999998</v>
          </cell>
          <cell r="CW39">
            <v>1.0442749999999998</v>
          </cell>
          <cell r="CX39">
            <v>1.0513699999999999</v>
          </cell>
          <cell r="CY39">
            <v>1.039955</v>
          </cell>
          <cell r="CZ39">
            <v>1.0889</v>
          </cell>
          <cell r="DA39">
            <v>1.048395</v>
          </cell>
          <cell r="DB39">
            <v>1.0868</v>
          </cell>
          <cell r="DC39">
            <v>1.1006749999999998</v>
          </cell>
          <cell r="DD39">
            <v>1.0607899999999999</v>
          </cell>
          <cell r="DE39">
            <v>1.0929150000000001</v>
          </cell>
          <cell r="DF39">
            <v>1.0909249999999999</v>
          </cell>
          <cell r="DG39">
            <v>1.050125</v>
          </cell>
          <cell r="DH39">
            <v>1.0423849999999999</v>
          </cell>
          <cell r="DI39">
            <v>1.0453600000000001</v>
          </cell>
          <cell r="DJ39">
            <v>1.0775299999999999</v>
          </cell>
          <cell r="DK39">
            <v>1.0426950000000001</v>
          </cell>
          <cell r="DL39">
            <v>1.0289950000000001</v>
          </cell>
          <cell r="DM39">
            <v>1.0695299999999999</v>
          </cell>
          <cell r="DN39">
            <v>1.0822799999999999</v>
          </cell>
          <cell r="DO39">
            <v>1.07067</v>
          </cell>
          <cell r="DP39">
            <v>1.08761</v>
          </cell>
          <cell r="DQ39">
            <v>1.0743149999999999</v>
          </cell>
          <cell r="DR39">
            <v>1.04783</v>
          </cell>
          <cell r="DS39">
            <v>1.0624</v>
          </cell>
          <cell r="DT39">
            <v>1.076495</v>
          </cell>
          <cell r="DU39">
            <v>1.10666</v>
          </cell>
          <cell r="DV39">
            <v>1.1437850000000001</v>
          </cell>
          <cell r="DW39">
            <v>1.0745499999999999</v>
          </cell>
          <cell r="DX39">
            <v>1.0678650000000001</v>
          </cell>
          <cell r="DY39">
            <v>1.0892550000000001</v>
          </cell>
          <cell r="DZ39">
            <v>1.07311</v>
          </cell>
          <cell r="EA39">
            <v>1.077985</v>
          </cell>
          <cell r="EB39">
            <v>1.0948199999999999</v>
          </cell>
          <cell r="EC39">
            <v>1.0949</v>
          </cell>
          <cell r="ED39">
            <v>1.088935</v>
          </cell>
          <cell r="EE39">
            <v>1.1061000000000001</v>
          </cell>
          <cell r="EF39">
            <v>1.1002000000000001</v>
          </cell>
          <cell r="EG39">
            <v>1.0792999999999999</v>
          </cell>
          <cell r="EH39">
            <v>1.1414</v>
          </cell>
          <cell r="EI39">
            <v>1.0806451612903227</v>
          </cell>
          <cell r="EJ39">
            <v>1.08</v>
          </cell>
          <cell r="EK39">
            <v>1.0793650793650795</v>
          </cell>
          <cell r="EL39">
            <v>1.0991735537190082</v>
          </cell>
          <cell r="EM39">
            <v>1.1206896551724139</v>
          </cell>
          <cell r="EN39">
            <v>1.1239316239316237</v>
          </cell>
          <cell r="EO39">
            <v>1.1271186440677958</v>
          </cell>
          <cell r="EP39">
            <v>1.130252100840335</v>
          </cell>
          <cell r="EQ39">
            <v>1.1333333333333335</v>
          </cell>
          <cell r="ER39">
            <v>1.1410788381742736</v>
          </cell>
          <cell r="ES39">
            <v>1.1487603305785117</v>
          </cell>
          <cell r="ET39">
            <v>1.1563786008230443</v>
          </cell>
          <cell r="EU39">
            <v>1.1639344262295082</v>
          </cell>
          <cell r="EV39">
            <v>1.1701782820097246</v>
          </cell>
          <cell r="EW39">
            <v>1.1762820512820518</v>
          </cell>
          <cell r="EX39">
            <v>1.1822503961965141</v>
          </cell>
          <cell r="EY39">
            <v>1.1880877742946716</v>
          </cell>
          <cell r="EZ39">
            <v>1.1937984496124041</v>
          </cell>
          <cell r="FA39">
            <v>1.199386503067486</v>
          </cell>
          <cell r="FB39">
            <v>1.2048558421851303</v>
          </cell>
          <cell r="FC39">
            <v>1.2102102102102119</v>
          </cell>
          <cell r="FD39">
            <v>1.2102102102102119</v>
          </cell>
          <cell r="FE39">
            <v>1.2102102102102119</v>
          </cell>
          <cell r="FF39">
            <v>1.2102102102102119</v>
          </cell>
          <cell r="FG39">
            <v>1.2102102102102119</v>
          </cell>
          <cell r="FH39">
            <v>1.2102102102102119</v>
          </cell>
          <cell r="FI39">
            <v>1.2102102102102119</v>
          </cell>
          <cell r="FJ39">
            <v>1.2102102102102119</v>
          </cell>
          <cell r="FK39">
            <v>1.2102102102102119</v>
          </cell>
          <cell r="FL39">
            <v>1.2102102102102119</v>
          </cell>
          <cell r="FM39">
            <v>1.2102102102102119</v>
          </cell>
          <cell r="FN39">
            <v>1.2102102102102119</v>
          </cell>
          <cell r="FO39">
            <v>1.2102102102102119</v>
          </cell>
          <cell r="FP39">
            <v>1.2102102102102119</v>
          </cell>
          <cell r="FQ39">
            <v>1.2102102102102119</v>
          </cell>
          <cell r="FR39">
            <v>1.2102102102102119</v>
          </cell>
          <cell r="FS39">
            <v>1.2102102102102119</v>
          </cell>
          <cell r="FT39">
            <v>1.2102102102102119</v>
          </cell>
          <cell r="FU39">
            <v>1.2102102102102119</v>
          </cell>
        </row>
        <row r="40">
          <cell r="A40" t="str">
            <v>peaudeur</v>
          </cell>
          <cell r="B40" t="str">
            <v>AUD/EUR</v>
          </cell>
          <cell r="W40">
            <v>0.62370000000000003</v>
          </cell>
          <cell r="X40">
            <v>0.67220000000000002</v>
          </cell>
          <cell r="Y40">
            <v>0.66979999999999995</v>
          </cell>
          <cell r="Z40">
            <v>0.64980000000000004</v>
          </cell>
          <cell r="AA40">
            <v>0.59640000000000004</v>
          </cell>
          <cell r="AB40">
            <v>0.62419999999999998</v>
          </cell>
          <cell r="AC40">
            <v>0.57199999999999995</v>
          </cell>
          <cell r="AD40">
            <v>0.5071</v>
          </cell>
          <cell r="AE40">
            <v>0.51849999999999996</v>
          </cell>
          <cell r="AF40">
            <v>0.58850000000000002</v>
          </cell>
          <cell r="AG40">
            <v>0.64419999999999999</v>
          </cell>
          <cell r="AH40">
            <v>0.61060000000000003</v>
          </cell>
          <cell r="AI40">
            <v>0.6502</v>
          </cell>
          <cell r="AJ40">
            <v>0.63600000000000001</v>
          </cell>
          <cell r="AK40">
            <v>0.62580000000000002</v>
          </cell>
          <cell r="AL40">
            <v>0.61439999999999995</v>
          </cell>
          <cell r="AM40">
            <v>0.59309999999999996</v>
          </cell>
          <cell r="AN40">
            <v>0.55330000000000001</v>
          </cell>
          <cell r="AO40">
            <v>0.60189999999999999</v>
          </cell>
          <cell r="AP40">
            <v>0.53990000000000005</v>
          </cell>
          <cell r="AQ40">
            <v>0.5716</v>
          </cell>
          <cell r="AR40">
            <v>0.61180000000000001</v>
          </cell>
          <cell r="AS40">
            <v>0.56830000000000003</v>
          </cell>
          <cell r="AT40">
            <v>0.54959999999999998</v>
          </cell>
          <cell r="AU40">
            <v>0.5353</v>
          </cell>
          <cell r="AV40">
            <v>0.55359999999999998</v>
          </cell>
          <cell r="AW40">
            <v>0.5857</v>
          </cell>
          <cell r="AX40">
            <v>0.58450000000000002</v>
          </cell>
          <cell r="AY40">
            <v>0.59740000000000004</v>
          </cell>
          <cell r="AZ40">
            <v>0.62250000000000005</v>
          </cell>
          <cell r="BA40">
            <v>0.57289999999999996</v>
          </cell>
          <cell r="BB40">
            <v>0.58540000000000003</v>
          </cell>
          <cell r="BC40">
            <v>0.5765849955333322</v>
          </cell>
          <cell r="BD40">
            <v>0.59633855806730685</v>
          </cell>
          <cell r="BE40">
            <v>0.62964368411584326</v>
          </cell>
          <cell r="BF40">
            <v>0.63371368617271795</v>
          </cell>
          <cell r="BG40">
            <v>0.61990000000000012</v>
          </cell>
          <cell r="BH40">
            <v>0.59129999999999994</v>
          </cell>
          <cell r="BI40">
            <v>0.58119999999999994</v>
          </cell>
          <cell r="BJ40">
            <v>0.58860000000000001</v>
          </cell>
          <cell r="BK40">
            <v>0.59719999999999995</v>
          </cell>
          <cell r="BL40">
            <v>0.60549999999999993</v>
          </cell>
          <cell r="BM40">
            <v>0.62729999999999997</v>
          </cell>
          <cell r="BN40">
            <v>0.62230000000000008</v>
          </cell>
          <cell r="BO40">
            <v>0.60000000000000009</v>
          </cell>
          <cell r="BP40">
            <v>0.57905000000000006</v>
          </cell>
          <cell r="BQ40">
            <v>0.60860000000000003</v>
          </cell>
          <cell r="BR40">
            <v>0.5616000000000001</v>
          </cell>
          <cell r="BS40">
            <v>0.50279999999999991</v>
          </cell>
          <cell r="BT40">
            <v>0.52200000000000002</v>
          </cell>
          <cell r="BU40">
            <v>0.57450000000000001</v>
          </cell>
          <cell r="BV40">
            <v>0.6028</v>
          </cell>
          <cell r="BW40">
            <v>0.62620000000000009</v>
          </cell>
          <cell r="BX40">
            <v>0.67910000000000004</v>
          </cell>
          <cell r="BY40">
            <v>0.68720000000000003</v>
          </cell>
          <cell r="BZ40">
            <v>0.70940000000000003</v>
          </cell>
          <cell r="CA40">
            <v>0.76439999999999997</v>
          </cell>
          <cell r="CB40">
            <v>0.72940000000000005</v>
          </cell>
          <cell r="CC40">
            <v>0.73930000000000007</v>
          </cell>
          <cell r="CD40">
            <v>0.72160000000000002</v>
          </cell>
          <cell r="CE40">
            <v>0.78930000000000011</v>
          </cell>
          <cell r="CF40">
            <v>0.77625000000000011</v>
          </cell>
          <cell r="CG40">
            <v>0.80980000000000008</v>
          </cell>
          <cell r="CH40">
            <v>0.80754999999999999</v>
          </cell>
          <cell r="CI40">
            <v>0.78775000000000006</v>
          </cell>
          <cell r="CJ40">
            <v>0.81269999999999998</v>
          </cell>
          <cell r="CK40">
            <v>0.70220000000000005</v>
          </cell>
          <cell r="CL40">
            <v>0.68955000000000011</v>
          </cell>
          <cell r="CM40">
            <v>0.64880000000000004</v>
          </cell>
          <cell r="CN40">
            <v>0.67280000000000006</v>
          </cell>
          <cell r="CO40">
            <v>0.68890000000000007</v>
          </cell>
          <cell r="CP40">
            <v>0.69270000000000009</v>
          </cell>
          <cell r="CQ40">
            <v>0.67510000000000003</v>
          </cell>
          <cell r="CR40">
            <v>0.70840000000000003</v>
          </cell>
          <cell r="CS40">
            <v>0.69209999999999994</v>
          </cell>
          <cell r="CT40">
            <v>0.62790000000000001</v>
          </cell>
          <cell r="CU40">
            <v>0.67149999999999999</v>
          </cell>
          <cell r="CV40">
            <v>0.67300000000000004</v>
          </cell>
          <cell r="CW40">
            <v>0.67125000000000001</v>
          </cell>
          <cell r="CX40">
            <v>0.68140000000000001</v>
          </cell>
          <cell r="CY40">
            <v>0.68470000000000009</v>
          </cell>
          <cell r="CZ40">
            <v>0.71575</v>
          </cell>
          <cell r="DA40">
            <v>0.67320000000000002</v>
          </cell>
          <cell r="DB40">
            <v>0.6633</v>
          </cell>
          <cell r="DC40">
            <v>0.6500999999999999</v>
          </cell>
          <cell r="DD40">
            <v>0.62314999999999998</v>
          </cell>
          <cell r="DE40">
            <v>0.63385000000000002</v>
          </cell>
          <cell r="DF40">
            <v>0.62204999999999999</v>
          </cell>
          <cell r="DG40">
            <v>0.61509999999999998</v>
          </cell>
          <cell r="DH40">
            <v>0.63270000000000004</v>
          </cell>
          <cell r="DI40">
            <v>0.61765000000000003</v>
          </cell>
          <cell r="DJ40">
            <v>0.61924999999999997</v>
          </cell>
          <cell r="DK40">
            <v>0.62575000000000003</v>
          </cell>
          <cell r="DL40">
            <v>0.55639499999999997</v>
          </cell>
          <cell r="DM40">
            <v>0.61461999999999994</v>
          </cell>
          <cell r="DN40">
            <v>0.61126000000000003</v>
          </cell>
          <cell r="DO40">
            <v>0.62980000000000003</v>
          </cell>
          <cell r="DP40">
            <v>0.64749999999999996</v>
          </cell>
          <cell r="DQ40">
            <v>0.63229999999999997</v>
          </cell>
          <cell r="DR40">
            <v>0.62439999999999996</v>
          </cell>
          <cell r="DS40">
            <v>0.63934000000000002</v>
          </cell>
          <cell r="DT40">
            <v>0.67630000000000001</v>
          </cell>
          <cell r="DU40">
            <v>0.65869999999999995</v>
          </cell>
          <cell r="DV40">
            <v>0.65288999999999997</v>
          </cell>
          <cell r="DW40">
            <v>0.63680000000000003</v>
          </cell>
          <cell r="DX40">
            <v>0.61660000000000004</v>
          </cell>
          <cell r="DY40">
            <v>0.61070000000000002</v>
          </cell>
          <cell r="DZ40">
            <v>0.60853000000000002</v>
          </cell>
          <cell r="EA40">
            <v>0.61714000000000002</v>
          </cell>
          <cell r="EB40">
            <v>0.60350000000000004</v>
          </cell>
          <cell r="EC40">
            <v>0.62260000000000004</v>
          </cell>
          <cell r="ED40">
            <v>0.62090000000000001</v>
          </cell>
          <cell r="EE40">
            <v>0.59771255405562906</v>
          </cell>
          <cell r="EF40">
            <v>0.57760565129369223</v>
          </cell>
          <cell r="EG40">
            <v>0.55828183183434665</v>
          </cell>
          <cell r="EH40">
            <v>0.56361843032267156</v>
          </cell>
          <cell r="EI40">
            <v>0.55833333333333335</v>
          </cell>
          <cell r="EJ40">
            <v>0.55102040816326547</v>
          </cell>
          <cell r="EK40">
            <v>0.54400000000000004</v>
          </cell>
          <cell r="EL40">
            <v>0.53200000000000003</v>
          </cell>
          <cell r="EM40">
            <v>0.52</v>
          </cell>
          <cell r="EN40">
            <v>0.52600000000000002</v>
          </cell>
          <cell r="EO40">
            <v>0.53199999999999981</v>
          </cell>
          <cell r="EP40">
            <v>0.5379999999999997</v>
          </cell>
          <cell r="EQ40">
            <v>0.54400000000000004</v>
          </cell>
          <cell r="ER40">
            <v>0.54999999999999993</v>
          </cell>
          <cell r="ES40">
            <v>0.55599999999999983</v>
          </cell>
          <cell r="ET40">
            <v>0.56199999999999961</v>
          </cell>
          <cell r="EU40">
            <v>0.56799999999999995</v>
          </cell>
          <cell r="EV40">
            <v>0.5799196787148595</v>
          </cell>
          <cell r="EW40">
            <v>0.59193548387096784</v>
          </cell>
          <cell r="EX40">
            <v>0.60404858299595154</v>
          </cell>
          <cell r="EY40">
            <v>0.6162601626016263</v>
          </cell>
          <cell r="EZ40">
            <v>0.62857142857142889</v>
          </cell>
          <cell r="FA40">
            <v>0.64098360655737741</v>
          </cell>
          <cell r="FB40">
            <v>0.65349794238683179</v>
          </cell>
          <cell r="FC40">
            <v>0.66611570247933938</v>
          </cell>
          <cell r="FD40">
            <v>0.66611570247933938</v>
          </cell>
          <cell r="FE40">
            <v>0.66611570247933938</v>
          </cell>
          <cell r="FF40">
            <v>0.66611570247933938</v>
          </cell>
          <cell r="FG40">
            <v>0.66611570247933938</v>
          </cell>
          <cell r="FH40">
            <v>0.66611570247933938</v>
          </cell>
          <cell r="FI40">
            <v>0.66611570247933938</v>
          </cell>
          <cell r="FJ40">
            <v>0.66611570247933938</v>
          </cell>
          <cell r="FK40">
            <v>0.66611570247933938</v>
          </cell>
          <cell r="FL40">
            <v>0.66611570247933938</v>
          </cell>
          <cell r="FM40">
            <v>0.66611570247933938</v>
          </cell>
          <cell r="FN40">
            <v>0.66611570247933938</v>
          </cell>
          <cell r="FO40">
            <v>0.66611570247933938</v>
          </cell>
          <cell r="FP40">
            <v>0.66611570247933938</v>
          </cell>
          <cell r="FQ40">
            <v>0.66611570247933938</v>
          </cell>
          <cell r="FR40">
            <v>0.66611570247933938</v>
          </cell>
          <cell r="FS40">
            <v>0.66611570247933938</v>
          </cell>
          <cell r="FT40">
            <v>0.66611570247933938</v>
          </cell>
          <cell r="FU40">
            <v>0.66611570247933938</v>
          </cell>
        </row>
        <row r="41">
          <cell r="A41" t="str">
            <v>peaudkrw</v>
          </cell>
          <cell r="B41" t="str">
            <v>AUD/KRW</v>
          </cell>
          <cell r="BH41">
            <v>696.60175000000004</v>
          </cell>
          <cell r="BI41">
            <v>706.84545000000003</v>
          </cell>
          <cell r="BJ41">
            <v>706.46199999999999</v>
          </cell>
          <cell r="BK41">
            <v>733.07389999999998</v>
          </cell>
          <cell r="BL41">
            <v>761.09401000000003</v>
          </cell>
          <cell r="BM41">
            <v>784.71819000000005</v>
          </cell>
          <cell r="BN41">
            <v>812.51455999999996</v>
          </cell>
          <cell r="BO41">
            <v>819.27472</v>
          </cell>
          <cell r="BP41">
            <v>904.21</v>
          </cell>
          <cell r="BQ41">
            <v>1003.07</v>
          </cell>
          <cell r="BR41">
            <v>955.27</v>
          </cell>
          <cell r="BS41">
            <v>885.36</v>
          </cell>
          <cell r="BT41">
            <v>950.01</v>
          </cell>
          <cell r="BU41">
            <v>1027.8900000000001</v>
          </cell>
          <cell r="BV41">
            <v>1037.67</v>
          </cell>
          <cell r="BW41">
            <v>1045.32</v>
          </cell>
          <cell r="BX41">
            <v>1040.1200000000001</v>
          </cell>
          <cell r="BY41">
            <v>1029.1100000000001</v>
          </cell>
          <cell r="BZ41">
            <v>1102.75</v>
          </cell>
          <cell r="CA41">
            <v>1146.1200000000001</v>
          </cell>
          <cell r="CB41">
            <v>1133.04</v>
          </cell>
          <cell r="CC41">
            <v>1143.6500000000001</v>
          </cell>
          <cell r="CD41">
            <v>1141.42</v>
          </cell>
          <cell r="CE41">
            <v>1183.76</v>
          </cell>
          <cell r="CF41">
            <v>1173.05</v>
          </cell>
          <cell r="CG41">
            <v>1173.9100000000001</v>
          </cell>
          <cell r="CH41">
            <v>1153.6600000000001</v>
          </cell>
          <cell r="CI41">
            <v>1105.79</v>
          </cell>
          <cell r="CJ41">
            <v>1156.9000000000001</v>
          </cell>
          <cell r="CK41">
            <v>1043.6100000000001</v>
          </cell>
          <cell r="CL41">
            <v>1004.02</v>
          </cell>
          <cell r="CM41">
            <v>942.69</v>
          </cell>
          <cell r="CN41">
            <v>985.55000000000007</v>
          </cell>
          <cell r="CO41">
            <v>954.55000000000007</v>
          </cell>
          <cell r="CP41">
            <v>926.44</v>
          </cell>
          <cell r="CQ41">
            <v>891.9</v>
          </cell>
          <cell r="CR41">
            <v>843.49</v>
          </cell>
          <cell r="CS41">
            <v>861.86</v>
          </cell>
          <cell r="CT41">
            <v>831.52</v>
          </cell>
          <cell r="CU41">
            <v>857.49</v>
          </cell>
          <cell r="CV41">
            <v>873.15</v>
          </cell>
          <cell r="CW41">
            <v>858.69</v>
          </cell>
          <cell r="CX41">
            <v>841.48</v>
          </cell>
          <cell r="CY41">
            <v>869.26</v>
          </cell>
          <cell r="CZ41">
            <v>852.16</v>
          </cell>
          <cell r="DA41">
            <v>879.84</v>
          </cell>
          <cell r="DB41">
            <v>896.7</v>
          </cell>
          <cell r="DC41">
            <v>832.08</v>
          </cell>
          <cell r="DD41">
            <v>814.21</v>
          </cell>
          <cell r="DE41">
            <v>824.89</v>
          </cell>
          <cell r="DF41">
            <v>800.6</v>
          </cell>
          <cell r="DG41">
            <v>784.77</v>
          </cell>
          <cell r="DH41">
            <v>806.59</v>
          </cell>
          <cell r="DI41">
            <v>812</v>
          </cell>
          <cell r="DJ41">
            <v>808.71</v>
          </cell>
          <cell r="DK41">
            <v>809.77</v>
          </cell>
          <cell r="DL41">
            <v>748.19</v>
          </cell>
          <cell r="DM41">
            <v>828.69</v>
          </cell>
          <cell r="DN41">
            <v>834.76</v>
          </cell>
          <cell r="DO41">
            <v>834.74</v>
          </cell>
          <cell r="DP41">
            <v>856.69309999999996</v>
          </cell>
          <cell r="DQ41">
            <v>847.84400000000005</v>
          </cell>
          <cell r="DR41">
            <v>856.58069999999998</v>
          </cell>
          <cell r="DS41">
            <v>864.17809999999997</v>
          </cell>
          <cell r="DT41">
            <v>909.10929999999996</v>
          </cell>
          <cell r="DU41">
            <v>889.3605</v>
          </cell>
          <cell r="DV41">
            <v>922.4556</v>
          </cell>
          <cell r="DW41">
            <v>858.94330000000002</v>
          </cell>
          <cell r="DX41">
            <v>873.38610000000006</v>
          </cell>
          <cell r="DY41">
            <v>877.01859999999999</v>
          </cell>
          <cell r="DZ41">
            <v>869.74429999999995</v>
          </cell>
          <cell r="EA41">
            <v>881.66840000000002</v>
          </cell>
          <cell r="EB41">
            <v>876.94410000000005</v>
          </cell>
          <cell r="EC41">
            <v>921.27700000000004</v>
          </cell>
          <cell r="ED41">
            <v>911.86300000000006</v>
          </cell>
          <cell r="EE41">
            <v>914.59400000000005</v>
          </cell>
          <cell r="EF41">
            <v>920.21</v>
          </cell>
          <cell r="EG41">
            <v>890.14599999999996</v>
          </cell>
          <cell r="EH41">
            <v>928.70299999999997</v>
          </cell>
          <cell r="EI41">
            <v>897.80000000000007</v>
          </cell>
          <cell r="EJ41">
            <v>894.37500000000023</v>
          </cell>
          <cell r="EK41">
            <v>890.80000000000007</v>
          </cell>
          <cell r="EL41">
            <v>864.50000000000023</v>
          </cell>
          <cell r="EM41">
            <v>838.5</v>
          </cell>
          <cell r="EN41">
            <v>844.88749999999982</v>
          </cell>
          <cell r="EO41">
            <v>851.19999999999948</v>
          </cell>
          <cell r="EP41">
            <v>857.43749999999909</v>
          </cell>
          <cell r="EQ41">
            <v>863.6</v>
          </cell>
          <cell r="ER41">
            <v>869.68749999999966</v>
          </cell>
          <cell r="ES41">
            <v>875.69999999999936</v>
          </cell>
          <cell r="ET41">
            <v>881.63749999999902</v>
          </cell>
          <cell r="EU41">
            <v>887.5</v>
          </cell>
          <cell r="EV41">
            <v>897.51820000000009</v>
          </cell>
          <cell r="EW41">
            <v>907.37080000000014</v>
          </cell>
          <cell r="EX41">
            <v>917.05780000000027</v>
          </cell>
          <cell r="EY41">
            <v>926.57920000000047</v>
          </cell>
          <cell r="EZ41">
            <v>935.93500000000051</v>
          </cell>
          <cell r="FA41">
            <v>945.12520000000063</v>
          </cell>
          <cell r="FB41">
            <v>954.14980000000082</v>
          </cell>
          <cell r="FC41">
            <v>963.00880000000097</v>
          </cell>
          <cell r="FD41">
            <v>963.00880000000097</v>
          </cell>
          <cell r="FE41">
            <v>963.00880000000097</v>
          </cell>
          <cell r="FF41">
            <v>963.00880000000097</v>
          </cell>
          <cell r="FG41">
            <v>963.00880000000097</v>
          </cell>
          <cell r="FH41">
            <v>963.00880000000097</v>
          </cell>
          <cell r="FI41">
            <v>963.00880000000097</v>
          </cell>
          <cell r="FJ41">
            <v>963.00880000000097</v>
          </cell>
          <cell r="FK41">
            <v>963.00880000000097</v>
          </cell>
          <cell r="FL41">
            <v>963.00880000000097</v>
          </cell>
          <cell r="FM41">
            <v>963.00880000000097</v>
          </cell>
          <cell r="FN41">
            <v>963.00880000000097</v>
          </cell>
          <cell r="FO41">
            <v>963.00880000000097</v>
          </cell>
          <cell r="FP41">
            <v>963.00880000000097</v>
          </cell>
          <cell r="FQ41">
            <v>963.00880000000097</v>
          </cell>
          <cell r="FR41">
            <v>963.00880000000097</v>
          </cell>
          <cell r="FS41">
            <v>963.00880000000097</v>
          </cell>
          <cell r="FT41">
            <v>963.00880000000097</v>
          </cell>
          <cell r="FU41">
            <v>963.00880000000097</v>
          </cell>
        </row>
        <row r="43">
          <cell r="B43" t="str">
            <v>Average exchange rates (6mo)</v>
          </cell>
        </row>
        <row r="44">
          <cell r="A44" t="str">
            <v>avaudgbp6m</v>
          </cell>
          <cell r="B44" t="str">
            <v>AUD/GBP</v>
          </cell>
          <cell r="D44">
            <v>0.43013333333333331</v>
          </cell>
          <cell r="E44">
            <v>0.42045000000000005</v>
          </cell>
          <cell r="F44">
            <v>0.39601666666666668</v>
          </cell>
          <cell r="G44">
            <v>0.41606666666666658</v>
          </cell>
          <cell r="H44">
            <v>0.46021666666666666</v>
          </cell>
          <cell r="I44">
            <v>0.45633333333333331</v>
          </cell>
          <cell r="J44">
            <v>0.44600000000000001</v>
          </cell>
          <cell r="K44">
            <v>0.45011666666666666</v>
          </cell>
          <cell r="L44">
            <v>0.46278333333333332</v>
          </cell>
          <cell r="M44">
            <v>0.47554999999999997</v>
          </cell>
          <cell r="N44">
            <v>0.47700000000000004</v>
          </cell>
          <cell r="O44">
            <v>0.47875000000000001</v>
          </cell>
          <cell r="P44">
            <v>0.47310000000000002</v>
          </cell>
          <cell r="Q44">
            <v>0.45770000000000005</v>
          </cell>
          <cell r="R44">
            <v>0.4620333333333333</v>
          </cell>
          <cell r="S44">
            <v>0.47816666666666663</v>
          </cell>
          <cell r="T44">
            <v>0.49140000000000006</v>
          </cell>
          <cell r="U44">
            <v>0.50803333333333334</v>
          </cell>
          <cell r="V44">
            <v>0.50881666666666658</v>
          </cell>
          <cell r="W44">
            <v>0.49053333333333327</v>
          </cell>
          <cell r="X44">
            <v>0.47793333333333332</v>
          </cell>
          <cell r="Y44">
            <v>0.47160000000000002</v>
          </cell>
          <cell r="Z44">
            <v>0.45855000000000001</v>
          </cell>
          <cell r="AA44">
            <v>0.42860000000000004</v>
          </cell>
          <cell r="AB44">
            <v>0.40736666666666665</v>
          </cell>
          <cell r="AC44">
            <v>0.39460000000000001</v>
          </cell>
          <cell r="AD44">
            <v>0.36625000000000002</v>
          </cell>
          <cell r="AE44">
            <v>0.36309999999999998</v>
          </cell>
          <cell r="AF44">
            <v>0.38068333333333343</v>
          </cell>
          <cell r="AG44">
            <v>0.40028333333333332</v>
          </cell>
          <cell r="AH44">
            <v>0.40589999999999998</v>
          </cell>
          <cell r="AI44">
            <v>0.39813333333333328</v>
          </cell>
          <cell r="AJ44">
            <v>0.39306666666666668</v>
          </cell>
          <cell r="AK44">
            <v>0.38626666666666676</v>
          </cell>
          <cell r="AL44">
            <v>0.38423333333333337</v>
          </cell>
          <cell r="AM44">
            <v>0.3762166666666667</v>
          </cell>
          <cell r="AN44">
            <v>0.36446666666666666</v>
          </cell>
          <cell r="AO44">
            <v>0.35986666666666672</v>
          </cell>
          <cell r="AP44">
            <v>0.3553</v>
          </cell>
          <cell r="AQ44">
            <v>0.35293333333333338</v>
          </cell>
          <cell r="AR44">
            <v>0.36024999999999996</v>
          </cell>
          <cell r="AS44">
            <v>0.37103333333333333</v>
          </cell>
          <cell r="AT44">
            <v>0.36246666666666666</v>
          </cell>
          <cell r="AU44">
            <v>0.35183333333333328</v>
          </cell>
          <cell r="AV44">
            <v>0.3646833333333333</v>
          </cell>
          <cell r="AW44">
            <v>0.3873166666666667</v>
          </cell>
          <cell r="AX44">
            <v>0.40351666666666669</v>
          </cell>
          <cell r="AY44">
            <v>0.41371666666666668</v>
          </cell>
          <cell r="AZ44">
            <v>0.41794999999999999</v>
          </cell>
          <cell r="BA44">
            <v>0.40460000000000002</v>
          </cell>
          <cell r="BB44">
            <v>0.39306666666666668</v>
          </cell>
          <cell r="BC44">
            <v>0.39970127992742915</v>
          </cell>
          <cell r="BD44">
            <v>0.40873496357119143</v>
          </cell>
          <cell r="BE44">
            <v>0.41397928541599532</v>
          </cell>
          <cell r="BF44">
            <v>0.42197566743199477</v>
          </cell>
          <cell r="BG44">
            <v>0.42607173232642831</v>
          </cell>
          <cell r="BH44">
            <v>0.42287500000000006</v>
          </cell>
          <cell r="BI44">
            <v>0.41375000000000006</v>
          </cell>
          <cell r="BJ44">
            <v>0.40504999999999997</v>
          </cell>
          <cell r="BK44">
            <v>0.40313333333333329</v>
          </cell>
          <cell r="BL44">
            <v>0.40276666666666672</v>
          </cell>
          <cell r="BM44">
            <v>0.41059166666666669</v>
          </cell>
          <cell r="BN44">
            <v>0.41915000000000008</v>
          </cell>
          <cell r="BO44">
            <v>0.42968333333333336</v>
          </cell>
          <cell r="BP44">
            <v>0.44974166666666671</v>
          </cell>
          <cell r="BQ44">
            <v>0.46956666666666674</v>
          </cell>
          <cell r="BR44">
            <v>0.47146666666666665</v>
          </cell>
          <cell r="BS44">
            <v>0.45171666666666671</v>
          </cell>
          <cell r="BT44">
            <v>0.44776666666666665</v>
          </cell>
          <cell r="BU44">
            <v>0.47376666666666667</v>
          </cell>
          <cell r="BV44">
            <v>0.50773333333333337</v>
          </cell>
          <cell r="BW44">
            <v>0.53836666666666666</v>
          </cell>
          <cell r="BX44">
            <v>0.56736666666666669</v>
          </cell>
          <cell r="BY44">
            <v>0.58238333333333336</v>
          </cell>
          <cell r="BZ44">
            <v>0.58693333333333342</v>
          </cell>
          <cell r="CA44">
            <v>0.60946666666666671</v>
          </cell>
          <cell r="CB44">
            <v>0.62970000000000004</v>
          </cell>
          <cell r="CC44">
            <v>0.64436666666666664</v>
          </cell>
          <cell r="CD44">
            <v>0.65368333333333339</v>
          </cell>
          <cell r="CE44">
            <v>0.65274166666666666</v>
          </cell>
          <cell r="CF44">
            <v>0.66037500000000005</v>
          </cell>
          <cell r="CG44">
            <v>0.65360833333333324</v>
          </cell>
          <cell r="CH44">
            <v>0.64831666666666665</v>
          </cell>
          <cell r="CI44">
            <v>0.64960000000000007</v>
          </cell>
          <cell r="CJ44">
            <v>0.65846666666666676</v>
          </cell>
          <cell r="CK44">
            <v>0.65252500000000013</v>
          </cell>
          <cell r="CL44">
            <v>0.60670000000000002</v>
          </cell>
          <cell r="CM44">
            <v>0.57101666666666662</v>
          </cell>
          <cell r="CN44">
            <v>0.5512083333333333</v>
          </cell>
          <cell r="CO44">
            <v>0.54669166666666669</v>
          </cell>
          <cell r="CP44">
            <v>0.55169999999999997</v>
          </cell>
          <cell r="CQ44">
            <v>0.54515000000000002</v>
          </cell>
          <cell r="CR44">
            <v>0.52556666666666674</v>
          </cell>
          <cell r="CS44">
            <v>0.50682499999999997</v>
          </cell>
          <cell r="CT44">
            <v>0.48345833333333332</v>
          </cell>
          <cell r="CU44">
            <v>0.47205000000000003</v>
          </cell>
          <cell r="CV44">
            <v>0.49680000000000007</v>
          </cell>
          <cell r="CW44">
            <v>0.52059166666666667</v>
          </cell>
          <cell r="CX44">
            <v>0.55289166666666667</v>
          </cell>
          <cell r="CY44">
            <v>0.58884166666666671</v>
          </cell>
          <cell r="CZ44">
            <v>0.60416666666666663</v>
          </cell>
          <cell r="DA44">
            <v>0.59565833333333329</v>
          </cell>
          <cell r="DB44">
            <v>0.59161666666666657</v>
          </cell>
          <cell r="DC44">
            <v>0.58635000000000004</v>
          </cell>
          <cell r="DD44">
            <v>0.56539166666666663</v>
          </cell>
          <cell r="DE44">
            <v>0.55941666666666656</v>
          </cell>
          <cell r="DF44">
            <v>0.55873333333333319</v>
          </cell>
          <cell r="DG44">
            <v>0.55929166666666663</v>
          </cell>
          <cell r="DH44">
            <v>0.55251666666666666</v>
          </cell>
          <cell r="DI44">
            <v>0.54626666666666668</v>
          </cell>
          <cell r="DJ44">
            <v>0.55148333333333333</v>
          </cell>
          <cell r="DK44">
            <v>0.54169999999999996</v>
          </cell>
          <cell r="DL44">
            <v>0.51550499999999999</v>
          </cell>
          <cell r="DM44">
            <v>0.52044000000000012</v>
          </cell>
          <cell r="DN44">
            <v>0.54434833333333332</v>
          </cell>
          <cell r="DO44">
            <v>0.55150333333333323</v>
          </cell>
          <cell r="DP44">
            <v>0.55310666666666675</v>
          </cell>
          <cell r="DQ44">
            <v>0.55104750000000002</v>
          </cell>
          <cell r="DR44">
            <v>0.54023083333333333</v>
          </cell>
          <cell r="DS44">
            <v>0.53651666666666664</v>
          </cell>
          <cell r="DT44">
            <v>0.54311516000000004</v>
          </cell>
          <cell r="DU44">
            <v>0.55569513166666662</v>
          </cell>
          <cell r="DV44">
            <v>0.57232997166666666</v>
          </cell>
          <cell r="DW44">
            <v>0.57008647999999995</v>
          </cell>
          <cell r="DX44">
            <v>0.55977064666666676</v>
          </cell>
          <cell r="DY44">
            <v>0.54135583333333337</v>
          </cell>
          <cell r="DZ44">
            <v>0.52269397833333331</v>
          </cell>
          <cell r="EA44">
            <v>0.52366564500000001</v>
          </cell>
          <cell r="EB44">
            <v>0.5213241666666667</v>
          </cell>
          <cell r="EC44">
            <v>0.51933930389027638</v>
          </cell>
          <cell r="ED44">
            <v>0.51813936259768389</v>
          </cell>
          <cell r="EE44">
            <v>0.50953183593891371</v>
          </cell>
          <cell r="EF44">
            <v>0.49908289931746297</v>
          </cell>
          <cell r="EG44">
            <v>0.48596063161291175</v>
          </cell>
          <cell r="EH44">
            <v>0.48330326825596615</v>
          </cell>
          <cell r="EI44">
            <v>0.48522343793533174</v>
          </cell>
          <cell r="EJ44">
            <v>0.47696177062374256</v>
          </cell>
          <cell r="EK44">
            <v>0.4737871674491394</v>
          </cell>
          <cell r="EL44">
            <v>0.47361111111111109</v>
          </cell>
          <cell r="EM44">
            <v>0.47647058823529409</v>
          </cell>
          <cell r="EN44">
            <v>0.48159051443455608</v>
          </cell>
          <cell r="EO44">
            <v>0.48891622249555822</v>
          </cell>
          <cell r="EP44">
            <v>0.49629629629629618</v>
          </cell>
          <cell r="EQ44">
            <v>0.50373134328358204</v>
          </cell>
          <cell r="ER44">
            <v>0.51074068907797454</v>
          </cell>
          <cell r="ES44">
            <v>0.51730897126255704</v>
          </cell>
          <cell r="ET44">
            <v>0.52390187687529366</v>
          </cell>
          <cell r="EU44">
            <v>0.53051954464021178</v>
          </cell>
          <cell r="EV44">
            <v>0.53998839762037454</v>
          </cell>
          <cell r="EW44">
            <v>0.55237095218029031</v>
          </cell>
          <cell r="EX44">
            <v>0.56490474825241632</v>
          </cell>
          <cell r="EY44">
            <v>0.5775925738030232</v>
          </cell>
          <cell r="EZ44">
            <v>0.59043728574670584</v>
          </cell>
          <cell r="FA44">
            <v>0.60344181209108771</v>
          </cell>
          <cell r="FB44">
            <v>0.61660915416208417</v>
          </cell>
          <cell r="FC44">
            <v>0.62994238891327514</v>
          </cell>
          <cell r="FD44">
            <v>0.6366508688783562</v>
          </cell>
          <cell r="FE44">
            <v>0.6366508688783562</v>
          </cell>
          <cell r="FF44">
            <v>0.6366508688783562</v>
          </cell>
          <cell r="FG44">
            <v>0.6366508688783562</v>
          </cell>
          <cell r="FH44">
            <v>0.6366508688783562</v>
          </cell>
          <cell r="FI44">
            <v>0.6366508688783562</v>
          </cell>
          <cell r="FJ44">
            <v>0.6366508688783562</v>
          </cell>
          <cell r="FK44">
            <v>0.6366508688783562</v>
          </cell>
          <cell r="FL44">
            <v>0.6366508688783562</v>
          </cell>
          <cell r="FM44">
            <v>0.6366508688783562</v>
          </cell>
          <cell r="FN44">
            <v>0.6366508688783562</v>
          </cell>
          <cell r="FO44">
            <v>0.6366508688783562</v>
          </cell>
          <cell r="FP44">
            <v>0.6366508688783562</v>
          </cell>
          <cell r="FQ44">
            <v>0.6366508688783562</v>
          </cell>
          <cell r="FR44">
            <v>0.6366508688783562</v>
          </cell>
          <cell r="FS44">
            <v>0.6366508688783562</v>
          </cell>
          <cell r="FT44">
            <v>0.6366508688783562</v>
          </cell>
          <cell r="FU44">
            <v>0.6366508688783562</v>
          </cell>
        </row>
        <row r="45">
          <cell r="A45" t="str">
            <v>avaudusd6m</v>
          </cell>
          <cell r="B45" t="str">
            <v>AUD/USD</v>
          </cell>
          <cell r="D45">
            <v>0.76591666666666669</v>
          </cell>
          <cell r="E45">
            <v>0.75543333333333329</v>
          </cell>
          <cell r="F45">
            <v>0.73860000000000003</v>
          </cell>
          <cell r="G45">
            <v>0.70606666666666662</v>
          </cell>
          <cell r="H45">
            <v>0.69081666666666663</v>
          </cell>
          <cell r="I45">
            <v>0.68800000000000006</v>
          </cell>
          <cell r="J45">
            <v>0.67613333333333336</v>
          </cell>
          <cell r="K45">
            <v>0.66883333333333328</v>
          </cell>
          <cell r="L45">
            <v>0.68813333333333337</v>
          </cell>
          <cell r="M45">
            <v>0.71724999999999994</v>
          </cell>
          <cell r="N45">
            <v>0.73353333333333337</v>
          </cell>
          <cell r="O45">
            <v>0.75159999999999993</v>
          </cell>
          <cell r="P45">
            <v>0.75296666666666656</v>
          </cell>
          <cell r="Q45">
            <v>0.73076666666666679</v>
          </cell>
          <cell r="R45">
            <v>0.73326666666666673</v>
          </cell>
          <cell r="S45">
            <v>0.74860000000000004</v>
          </cell>
          <cell r="T45">
            <v>0.75626666666666675</v>
          </cell>
          <cell r="U45">
            <v>0.77726666666666666</v>
          </cell>
          <cell r="V45">
            <v>0.78780000000000017</v>
          </cell>
          <cell r="W45">
            <v>0.79259999999999986</v>
          </cell>
          <cell r="X45">
            <v>0.78793333333333326</v>
          </cell>
          <cell r="Y45">
            <v>0.7687666666666666</v>
          </cell>
          <cell r="Z45">
            <v>0.74843333333333339</v>
          </cell>
          <cell r="AA45">
            <v>0.70613333333333328</v>
          </cell>
          <cell r="AB45">
            <v>0.67661666666666676</v>
          </cell>
          <cell r="AC45">
            <v>0.65331666666666666</v>
          </cell>
          <cell r="AD45">
            <v>0.61011666666666664</v>
          </cell>
          <cell r="AE45">
            <v>0.60543333333333327</v>
          </cell>
          <cell r="AF45">
            <v>0.62458333333333327</v>
          </cell>
          <cell r="AG45">
            <v>0.64336666666666675</v>
          </cell>
          <cell r="AH45">
            <v>0.6534833333333333</v>
          </cell>
          <cell r="AI45">
            <v>0.64583333333333337</v>
          </cell>
          <cell r="AJ45">
            <v>0.63206666666666667</v>
          </cell>
          <cell r="AK45">
            <v>0.60246666666666682</v>
          </cell>
          <cell r="AL45">
            <v>0.5755499999999999</v>
          </cell>
          <cell r="AM45">
            <v>0.55108333333333326</v>
          </cell>
          <cell r="AN45">
            <v>0.5282</v>
          </cell>
          <cell r="AO45">
            <v>0.51556666666666673</v>
          </cell>
          <cell r="AP45">
            <v>0.51034999999999997</v>
          </cell>
          <cell r="AQ45">
            <v>0.51078333333333326</v>
          </cell>
          <cell r="AR45">
            <v>0.51544999999999996</v>
          </cell>
          <cell r="AS45">
            <v>0.53808333333333336</v>
          </cell>
          <cell r="AT45">
            <v>0.55108333333333326</v>
          </cell>
          <cell r="AU45">
            <v>0.55226666666666668</v>
          </cell>
          <cell r="AV45">
            <v>0.57945000000000002</v>
          </cell>
          <cell r="AW45">
            <v>0.62565000000000004</v>
          </cell>
          <cell r="AX45">
            <v>0.65515000000000001</v>
          </cell>
          <cell r="AY45">
            <v>0.69371666666666665</v>
          </cell>
          <cell r="AZ45">
            <v>0.74820000000000009</v>
          </cell>
          <cell r="BA45">
            <v>0.73981666666666668</v>
          </cell>
          <cell r="BB45">
            <v>0.71161666666666668</v>
          </cell>
          <cell r="BC45">
            <v>0.73957499999999998</v>
          </cell>
          <cell r="BD45">
            <v>0.77383333333333326</v>
          </cell>
          <cell r="BE45">
            <v>0.77331666666666665</v>
          </cell>
          <cell r="BF45">
            <v>0.76233333333333331</v>
          </cell>
          <cell r="BG45">
            <v>0.74909999999999999</v>
          </cell>
          <cell r="BH45">
            <v>0.73948333333333327</v>
          </cell>
          <cell r="BI45">
            <v>0.74530833333333335</v>
          </cell>
          <cell r="BJ45">
            <v>0.75514999999999999</v>
          </cell>
          <cell r="BK45">
            <v>0.77126666666666666</v>
          </cell>
          <cell r="BL45">
            <v>0.78757500000000003</v>
          </cell>
          <cell r="BM45">
            <v>0.81351666666666678</v>
          </cell>
          <cell r="BN45">
            <v>0.84425000000000017</v>
          </cell>
          <cell r="BO45">
            <v>0.87514999999999998</v>
          </cell>
          <cell r="BP45">
            <v>0.90540833333333337</v>
          </cell>
          <cell r="BQ45">
            <v>0.93301666666666672</v>
          </cell>
          <cell r="BR45">
            <v>0.90845000000000009</v>
          </cell>
          <cell r="BS45">
            <v>0.7695249999999999</v>
          </cell>
          <cell r="BT45">
            <v>0.66523333333333323</v>
          </cell>
          <cell r="BU45">
            <v>0.71681666666666677</v>
          </cell>
          <cell r="BV45">
            <v>0.81616666666666671</v>
          </cell>
          <cell r="BW45">
            <v>0.87919999999999998</v>
          </cell>
          <cell r="BX45">
            <v>0.90160833333333346</v>
          </cell>
          <cell r="BY45">
            <v>0.88474166666666665</v>
          </cell>
          <cell r="BZ45">
            <v>0.89578333333333326</v>
          </cell>
          <cell r="CA45">
            <v>0.95485000000000009</v>
          </cell>
          <cell r="CB45">
            <v>1.0023416666666667</v>
          </cell>
          <cell r="CC45">
            <v>1.0473833333333333</v>
          </cell>
          <cell r="CD45">
            <v>1.0621333333333334</v>
          </cell>
          <cell r="CE45">
            <v>1.0400666666666669</v>
          </cell>
          <cell r="CF45">
            <v>1.0457675000000002</v>
          </cell>
          <cell r="CG45">
            <v>1.03528</v>
          </cell>
          <cell r="CH45">
            <v>1.02691</v>
          </cell>
          <cell r="CI45">
            <v>1.0400941666666668</v>
          </cell>
          <cell r="CJ45">
            <v>1.0375666666666667</v>
          </cell>
          <cell r="CK45">
            <v>1.0023833333333334</v>
          </cell>
          <cell r="CL45">
            <v>0.93839750000000011</v>
          </cell>
          <cell r="CM45">
            <v>0.91166666666666674</v>
          </cell>
          <cell r="CN45">
            <v>0.90715749999999995</v>
          </cell>
          <cell r="CO45">
            <v>0.91630500000000004</v>
          </cell>
          <cell r="CP45">
            <v>0.92359333333333338</v>
          </cell>
          <cell r="CQ45">
            <v>0.88087416666666674</v>
          </cell>
          <cell r="CR45">
            <v>0.81090916666666679</v>
          </cell>
          <cell r="CS45">
            <v>0.77406499999999989</v>
          </cell>
          <cell r="CT45">
            <v>0.74485000000000001</v>
          </cell>
          <cell r="CU45">
            <v>0.71812416666666667</v>
          </cell>
          <cell r="CV45">
            <v>0.72562250000000006</v>
          </cell>
          <cell r="CW45">
            <v>0.73626000000000003</v>
          </cell>
          <cell r="CX45">
            <v>0.75117749999999994</v>
          </cell>
          <cell r="CY45">
            <v>0.74953416666666672</v>
          </cell>
          <cell r="CZ45">
            <v>0.75116583333333331</v>
          </cell>
          <cell r="DA45">
            <v>0.75802000000000003</v>
          </cell>
          <cell r="DB45">
            <v>0.7731608333333333</v>
          </cell>
          <cell r="DC45">
            <v>0.78017499999999995</v>
          </cell>
          <cell r="DD45">
            <v>0.77541249999999995</v>
          </cell>
          <cell r="DE45">
            <v>0.76671333333333347</v>
          </cell>
          <cell r="DF45">
            <v>0.73905916666666671</v>
          </cell>
          <cell r="DG45">
            <v>0.72130833333333344</v>
          </cell>
          <cell r="DH45">
            <v>0.71508833333333321</v>
          </cell>
          <cell r="DI45">
            <v>0.70790083333333331</v>
          </cell>
          <cell r="DJ45">
            <v>0.68903999999999987</v>
          </cell>
          <cell r="DK45">
            <v>0.6834391666666666</v>
          </cell>
          <cell r="DL45">
            <v>0.66678333333333339</v>
          </cell>
          <cell r="DM45">
            <v>0.65699666666666656</v>
          </cell>
          <cell r="DN45">
            <v>0.69616416666666669</v>
          </cell>
          <cell r="DO45">
            <v>0.72918833333333344</v>
          </cell>
          <cell r="DP45">
            <v>0.75027750000000015</v>
          </cell>
          <cell r="DQ45">
            <v>0.76499833333333334</v>
          </cell>
          <cell r="DR45">
            <v>0.74726083333333326</v>
          </cell>
          <cell r="DS45">
            <v>0.72988416666666656</v>
          </cell>
          <cell r="DT45">
            <v>0.72863749999999994</v>
          </cell>
          <cell r="DU45">
            <v>0.71583833333333347</v>
          </cell>
          <cell r="DV45">
            <v>0.68958916666666659</v>
          </cell>
          <cell r="DW45">
            <v>0.67064666666666672</v>
          </cell>
          <cell r="DX45">
            <v>0.67451166666666662</v>
          </cell>
          <cell r="DY45">
            <v>0.6707791666666667</v>
          </cell>
          <cell r="DZ45">
            <v>0.65682916666666669</v>
          </cell>
          <cell r="EA45">
            <v>0.65627000000000002</v>
          </cell>
          <cell r="EB45">
            <v>0.65541250000000006</v>
          </cell>
          <cell r="EC45">
            <v>0.65625999999999995</v>
          </cell>
          <cell r="ED45">
            <v>0.6669075000000001</v>
          </cell>
          <cell r="EE45">
            <v>0.65835750000000004</v>
          </cell>
          <cell r="EF45">
            <v>0.63169416666666667</v>
          </cell>
          <cell r="EG45">
            <v>0.63387583333333331</v>
          </cell>
          <cell r="EH45">
            <v>0.64980000000000004</v>
          </cell>
          <cell r="EI45">
            <v>0.66565750000000001</v>
          </cell>
          <cell r="EJ45">
            <v>0.6725000000000001</v>
          </cell>
          <cell r="EK45">
            <v>0.6775000000000001</v>
          </cell>
          <cell r="EL45">
            <v>0.6725000000000001</v>
          </cell>
          <cell r="EM45">
            <v>0.65749999999999997</v>
          </cell>
          <cell r="EN45">
            <v>0.65375000000000005</v>
          </cell>
          <cell r="EO45">
            <v>0.66124999999999989</v>
          </cell>
          <cell r="EP45">
            <v>0.66874999999999973</v>
          </cell>
          <cell r="EQ45">
            <v>0.6762499999999998</v>
          </cell>
          <cell r="ER45">
            <v>0.68374999999999997</v>
          </cell>
          <cell r="ES45">
            <v>0.69124999999999981</v>
          </cell>
          <cell r="ET45">
            <v>0.69874999999999965</v>
          </cell>
          <cell r="EU45">
            <v>0.70624999999999982</v>
          </cell>
          <cell r="EV45">
            <v>0.71599999999999997</v>
          </cell>
          <cell r="EW45">
            <v>0.72799999999999998</v>
          </cell>
          <cell r="EX45">
            <v>0.74</v>
          </cell>
          <cell r="EY45">
            <v>0.752</v>
          </cell>
          <cell r="EZ45">
            <v>0.76400000000000001</v>
          </cell>
          <cell r="FA45">
            <v>0.77600000000000002</v>
          </cell>
          <cell r="FB45">
            <v>0.78800000000000003</v>
          </cell>
          <cell r="FC45">
            <v>0.8</v>
          </cell>
          <cell r="FD45">
            <v>0.80600000000000005</v>
          </cell>
          <cell r="FE45">
            <v>0.80600000000000005</v>
          </cell>
          <cell r="FF45">
            <v>0.80600000000000005</v>
          </cell>
          <cell r="FG45">
            <v>0.80600000000000005</v>
          </cell>
          <cell r="FH45">
            <v>0.80600000000000005</v>
          </cell>
          <cell r="FI45">
            <v>0.80600000000000005</v>
          </cell>
          <cell r="FJ45">
            <v>0.80600000000000005</v>
          </cell>
          <cell r="FK45">
            <v>0.80600000000000005</v>
          </cell>
          <cell r="FL45">
            <v>0.80600000000000005</v>
          </cell>
          <cell r="FM45">
            <v>0.80600000000000005</v>
          </cell>
          <cell r="FN45">
            <v>0.80600000000000005</v>
          </cell>
          <cell r="FO45">
            <v>0.80600000000000005</v>
          </cell>
          <cell r="FP45">
            <v>0.80600000000000005</v>
          </cell>
          <cell r="FQ45">
            <v>0.80600000000000005</v>
          </cell>
          <cell r="FR45">
            <v>0.80600000000000005</v>
          </cell>
          <cell r="FS45">
            <v>0.80600000000000005</v>
          </cell>
          <cell r="FT45">
            <v>0.80600000000000005</v>
          </cell>
          <cell r="FU45">
            <v>0.80600000000000005</v>
          </cell>
        </row>
        <row r="46">
          <cell r="A46" t="str">
            <v>avaudnzd6m</v>
          </cell>
          <cell r="B46" t="str">
            <v>AUD/NZD</v>
          </cell>
          <cell r="P46">
            <v>1.1849333333333334</v>
          </cell>
          <cell r="Q46">
            <v>1.1157833333333336</v>
          </cell>
          <cell r="R46">
            <v>1.1028499999999999</v>
          </cell>
          <cell r="S46">
            <v>1.13815</v>
          </cell>
          <cell r="T46">
            <v>1.1371166666666668</v>
          </cell>
          <cell r="U46">
            <v>1.1435333333333333</v>
          </cell>
          <cell r="V46">
            <v>1.1451666666666667</v>
          </cell>
          <cell r="W46">
            <v>1.1316666666666666</v>
          </cell>
          <cell r="X46">
            <v>1.1243166666666669</v>
          </cell>
          <cell r="Y46">
            <v>1.1157000000000001</v>
          </cell>
          <cell r="Z46">
            <v>1.1264333333333334</v>
          </cell>
          <cell r="AA46">
            <v>1.1279166666666667</v>
          </cell>
          <cell r="AB46">
            <v>1.1461333333333334</v>
          </cell>
          <cell r="AC46">
            <v>1.17815</v>
          </cell>
          <cell r="AD46">
            <v>1.1772</v>
          </cell>
          <cell r="AE46">
            <v>1.1761166666666665</v>
          </cell>
          <cell r="AF46">
            <v>1.1777333333333333</v>
          </cell>
          <cell r="AG46">
            <v>1.1969333333333332</v>
          </cell>
          <cell r="AH46">
            <v>1.22875</v>
          </cell>
          <cell r="AI46">
            <v>1.2477333333333334</v>
          </cell>
          <cell r="AJ46">
            <v>1.2559166666666668</v>
          </cell>
          <cell r="AK46">
            <v>1.2498166666666668</v>
          </cell>
          <cell r="AL46">
            <v>1.2809000000000001</v>
          </cell>
          <cell r="AM46">
            <v>1.3032333333333335</v>
          </cell>
          <cell r="AN46">
            <v>1.2541166666666668</v>
          </cell>
          <cell r="AO46">
            <v>1.2332666666666665</v>
          </cell>
          <cell r="AP46">
            <v>1.2305166666666665</v>
          </cell>
          <cell r="AQ46">
            <v>1.2242500000000001</v>
          </cell>
          <cell r="AR46">
            <v>1.2256500000000001</v>
          </cell>
          <cell r="AS46">
            <v>1.1996</v>
          </cell>
          <cell r="AT46">
            <v>1.1734833333333334</v>
          </cell>
          <cell r="AU46">
            <v>1.1396666666666668</v>
          </cell>
          <cell r="AV46">
            <v>1.0986999999999998</v>
          </cell>
          <cell r="AW46">
            <v>1.1085</v>
          </cell>
          <cell r="AX46">
            <v>1.1290833333333332</v>
          </cell>
          <cell r="AY46">
            <v>1.1349500000000001</v>
          </cell>
          <cell r="AZ46">
            <v>1.1394500000000001</v>
          </cell>
          <cell r="BA46">
            <v>1.1313333333333333</v>
          </cell>
          <cell r="BB46">
            <v>1.1056833333333334</v>
          </cell>
          <cell r="BC46">
            <v>1.0858679075126718</v>
          </cell>
          <cell r="BD46">
            <v>1.0885739975741309</v>
          </cell>
          <cell r="BE46">
            <v>1.0837552996882867</v>
          </cell>
          <cell r="BF46">
            <v>1.0887787561161619</v>
          </cell>
          <cell r="BG46">
            <v>1.0816128798226676</v>
          </cell>
          <cell r="BH46">
            <v>1.0961833333333333</v>
          </cell>
          <cell r="BI46">
            <v>1.1634833333333334</v>
          </cell>
          <cell r="BJ46">
            <v>1.1898666666666669</v>
          </cell>
          <cell r="BK46">
            <v>1.1617249999999999</v>
          </cell>
          <cell r="BL46">
            <v>1.134225</v>
          </cell>
          <cell r="BM46">
            <v>1.1204166666666666</v>
          </cell>
          <cell r="BN46">
            <v>1.1332250000000001</v>
          </cell>
          <cell r="BO46">
            <v>1.1603083333333333</v>
          </cell>
          <cell r="BP46">
            <v>1.1615416666666665</v>
          </cell>
          <cell r="BQ46">
            <v>1.1912750000000001</v>
          </cell>
          <cell r="BR46">
            <v>1.2291833333333333</v>
          </cell>
          <cell r="BS46">
            <v>1.2067083333333335</v>
          </cell>
          <cell r="BT46">
            <v>1.2189250000000003</v>
          </cell>
          <cell r="BU46">
            <v>1.2582250000000001</v>
          </cell>
          <cell r="BV46">
            <v>1.2502166666666668</v>
          </cell>
          <cell r="BW46">
            <v>1.2484083333333336</v>
          </cell>
          <cell r="BX46">
            <v>1.2681166666666668</v>
          </cell>
          <cell r="BY46">
            <v>1.2627916666666668</v>
          </cell>
          <cell r="BZ46">
            <v>1.26345</v>
          </cell>
          <cell r="CA46">
            <v>1.2873166666666669</v>
          </cell>
          <cell r="CB46">
            <v>1.3143833333333335</v>
          </cell>
          <cell r="CC46">
            <v>1.3237916666666667</v>
          </cell>
          <cell r="CD46">
            <v>1.2859916666666666</v>
          </cell>
          <cell r="CE46">
            <v>1.2849750000000002</v>
          </cell>
          <cell r="CF46">
            <v>1.2957366666666668</v>
          </cell>
          <cell r="CG46">
            <v>1.2805058333333335</v>
          </cell>
          <cell r="CH46">
            <v>1.2799858333333336</v>
          </cell>
          <cell r="CI46">
            <v>1.2704325000000001</v>
          </cell>
          <cell r="CJ46">
            <v>1.2522433333333334</v>
          </cell>
          <cell r="CK46">
            <v>1.2203066666666669</v>
          </cell>
          <cell r="CL46">
            <v>1.1660441666666668</v>
          </cell>
          <cell r="CM46">
            <v>1.1243716666666668</v>
          </cell>
          <cell r="CN46">
            <v>1.0934133333333336</v>
          </cell>
          <cell r="CO46">
            <v>1.0775591666666668</v>
          </cell>
          <cell r="CP46">
            <v>1.0969308333333334</v>
          </cell>
          <cell r="CQ46">
            <v>1.0987066666666669</v>
          </cell>
          <cell r="CR46">
            <v>1.0636366666666668</v>
          </cell>
          <cell r="CS46">
            <v>1.0621050000000001</v>
          </cell>
          <cell r="CT46">
            <v>1.0964725</v>
          </cell>
          <cell r="CU46">
            <v>1.0909158333333335</v>
          </cell>
          <cell r="CV46">
            <v>1.0839325</v>
          </cell>
          <cell r="CW46">
            <v>1.0812633333333332</v>
          </cell>
          <cell r="CX46">
            <v>1.0575216666666665</v>
          </cell>
          <cell r="CY46">
            <v>1.0480633333333333</v>
          </cell>
          <cell r="CZ46">
            <v>1.0562933333333333</v>
          </cell>
          <cell r="DA46">
            <v>1.0632491666666666</v>
          </cell>
          <cell r="DB46">
            <v>1.0745333333333333</v>
          </cell>
          <cell r="DC46">
            <v>1.0974933333333332</v>
          </cell>
          <cell r="DD46">
            <v>1.0929333333333333</v>
          </cell>
          <cell r="DE46">
            <v>1.0793308333333334</v>
          </cell>
          <cell r="DF46">
            <v>1.0852108333333332</v>
          </cell>
          <cell r="DG46">
            <v>1.0774999999999999</v>
          </cell>
          <cell r="DH46">
            <v>1.0556358333333333</v>
          </cell>
          <cell r="DI46">
            <v>1.049625833333333</v>
          </cell>
          <cell r="DJ46">
            <v>1.0584658333333332</v>
          </cell>
          <cell r="DK46">
            <v>1.0599866666666666</v>
          </cell>
          <cell r="DL46">
            <v>1.0460108333333336</v>
          </cell>
          <cell r="DM46">
            <v>1.0519516666666668</v>
          </cell>
          <cell r="DN46">
            <v>1.0769741666666666</v>
          </cell>
          <cell r="DO46">
            <v>1.0725783333333334</v>
          </cell>
          <cell r="DP46">
            <v>1.0657683333333332</v>
          </cell>
          <cell r="DQ46">
            <v>1.0715524999999999</v>
          </cell>
          <cell r="DR46">
            <v>1.0591124999999999</v>
          </cell>
          <cell r="DS46">
            <v>1.0492458333333332</v>
          </cell>
          <cell r="DT46">
            <v>1.0634899999999998</v>
          </cell>
          <cell r="DU46">
            <v>1.0878975000000002</v>
          </cell>
          <cell r="DV46">
            <v>1.1149333333333333</v>
          </cell>
          <cell r="DW46">
            <v>1.1070683333333333</v>
          </cell>
          <cell r="DX46">
            <v>1.0844141666666667</v>
          </cell>
          <cell r="DY46">
            <v>1.0809275000000003</v>
          </cell>
          <cell r="DZ46">
            <v>1.0794616666666668</v>
          </cell>
          <cell r="EA46">
            <v>1.0800666666666665</v>
          </cell>
          <cell r="EB46">
            <v>1.0790216666666668</v>
          </cell>
          <cell r="EC46">
            <v>1.085572145290689</v>
          </cell>
          <cell r="ED46">
            <v>1.091355478624022</v>
          </cell>
          <cell r="EE46">
            <v>1.0966149999999999</v>
          </cell>
          <cell r="EF46">
            <v>1.1034091666666668</v>
          </cell>
          <cell r="EG46">
            <v>1.0913666666666666</v>
          </cell>
          <cell r="EH46">
            <v>1.0963766666666666</v>
          </cell>
          <cell r="EI46">
            <v>1.1110225806451615</v>
          </cell>
          <cell r="EJ46">
            <v>1.0803225806451615</v>
          </cell>
          <cell r="EK46">
            <v>1.0796825396825398</v>
          </cell>
          <cell r="EL46">
            <v>1.089269316542044</v>
          </cell>
          <cell r="EM46">
            <v>1.109931604445711</v>
          </cell>
          <cell r="EN46">
            <v>1.1223106395520188</v>
          </cell>
          <cell r="EO46">
            <v>1.1255251339997097</v>
          </cell>
          <cell r="EP46">
            <v>1.1286853724540653</v>
          </cell>
          <cell r="EQ46">
            <v>1.1317927170868343</v>
          </cell>
          <cell r="ER46">
            <v>1.1372060857538036</v>
          </cell>
          <cell r="ES46">
            <v>1.1449195843763926</v>
          </cell>
          <cell r="ET46">
            <v>1.1525694657007781</v>
          </cell>
          <cell r="EU46">
            <v>1.1601565135262764</v>
          </cell>
          <cell r="EV46">
            <v>1.1670563541196164</v>
          </cell>
          <cell r="EW46">
            <v>1.1732301666458882</v>
          </cell>
          <cell r="EX46">
            <v>1.1792662237392828</v>
          </cell>
          <cell r="EY46">
            <v>1.1851690852455929</v>
          </cell>
          <cell r="EZ46">
            <v>1.1909431119535379</v>
          </cell>
          <cell r="FA46">
            <v>1.1965924763399451</v>
          </cell>
          <cell r="FB46">
            <v>1.2021211726263081</v>
          </cell>
          <cell r="FC46">
            <v>1.2075330261976711</v>
          </cell>
          <cell r="FD46">
            <v>1.2102102102102119</v>
          </cell>
          <cell r="FE46">
            <v>1.2102102102102119</v>
          </cell>
          <cell r="FF46">
            <v>1.2102102102102119</v>
          </cell>
          <cell r="FG46">
            <v>1.2102102102102119</v>
          </cell>
          <cell r="FH46">
            <v>1.2102102102102119</v>
          </cell>
          <cell r="FI46">
            <v>1.2102102102102119</v>
          </cell>
          <cell r="FJ46">
            <v>1.2102102102102119</v>
          </cell>
          <cell r="FK46">
            <v>1.2102102102102119</v>
          </cell>
          <cell r="FL46">
            <v>1.2102102102102119</v>
          </cell>
          <cell r="FM46">
            <v>1.2102102102102119</v>
          </cell>
          <cell r="FN46">
            <v>1.2102102102102119</v>
          </cell>
          <cell r="FO46">
            <v>1.2102102102102119</v>
          </cell>
          <cell r="FP46">
            <v>1.2102102102102119</v>
          </cell>
          <cell r="FQ46">
            <v>1.2102102102102119</v>
          </cell>
          <cell r="FR46">
            <v>1.2102102102102119</v>
          </cell>
          <cell r="FS46">
            <v>1.2102102102102119</v>
          </cell>
          <cell r="FT46">
            <v>1.2102102102102119</v>
          </cell>
          <cell r="FU46">
            <v>1.2102102102102119</v>
          </cell>
        </row>
        <row r="47">
          <cell r="A47" t="str">
            <v>avaudeur6m</v>
          </cell>
          <cell r="B47" t="str">
            <v>AUD/EUR</v>
          </cell>
          <cell r="Y47">
            <v>0.66721666666666657</v>
          </cell>
          <cell r="Z47">
            <v>0.67401666666666671</v>
          </cell>
          <cell r="AA47">
            <v>0.64116666666666666</v>
          </cell>
          <cell r="AB47">
            <v>0.61976666666666669</v>
          </cell>
          <cell r="AC47">
            <v>0.60470000000000002</v>
          </cell>
          <cell r="AD47">
            <v>0.54988333333333339</v>
          </cell>
          <cell r="AE47">
            <v>0.5269166666666667</v>
          </cell>
          <cell r="AF47">
            <v>0.55000000000000016</v>
          </cell>
          <cell r="AG47">
            <v>0.59931666666666661</v>
          </cell>
          <cell r="AH47">
            <v>0.61950000000000005</v>
          </cell>
          <cell r="AI47">
            <v>0.61855000000000004</v>
          </cell>
          <cell r="AJ47">
            <v>0.63641666666666674</v>
          </cell>
          <cell r="AK47">
            <v>0.63498333333333334</v>
          </cell>
          <cell r="AL47">
            <v>0.62798333333333334</v>
          </cell>
          <cell r="AM47">
            <v>0.61683333333333323</v>
          </cell>
          <cell r="AN47">
            <v>0.58700000000000008</v>
          </cell>
          <cell r="AO47">
            <v>0.58169999999999999</v>
          </cell>
          <cell r="AP47">
            <v>0.58021666666666671</v>
          </cell>
          <cell r="AQ47">
            <v>0.56915000000000004</v>
          </cell>
          <cell r="AR47">
            <v>0.58535000000000004</v>
          </cell>
          <cell r="AS47">
            <v>0.59561666666666657</v>
          </cell>
          <cell r="AT47">
            <v>0.57331666666666659</v>
          </cell>
          <cell r="AU47">
            <v>0.55398333333333327</v>
          </cell>
          <cell r="AV47">
            <v>0.5533499999999999</v>
          </cell>
          <cell r="AW47">
            <v>0.56046666666666667</v>
          </cell>
          <cell r="AX47">
            <v>0.57533333333333336</v>
          </cell>
          <cell r="AY47">
            <v>0.59378333333333333</v>
          </cell>
          <cell r="AZ47">
            <v>0.61093333333333333</v>
          </cell>
          <cell r="BA47">
            <v>0.60263333333333335</v>
          </cell>
          <cell r="BB47">
            <v>0.58500000000000008</v>
          </cell>
          <cell r="BC47">
            <v>0.58201416592222199</v>
          </cell>
          <cell r="BD47">
            <v>0.58894770046276346</v>
          </cell>
          <cell r="BE47">
            <v>0.60682627655617816</v>
          </cell>
          <cell r="BF47">
            <v>0.62012625002605015</v>
          </cell>
          <cell r="BG47">
            <v>0.62319184134374694</v>
          </cell>
          <cell r="BH47">
            <v>0.61787499999999995</v>
          </cell>
          <cell r="BI47">
            <v>0.60124999999999995</v>
          </cell>
          <cell r="BJ47">
            <v>0.59242499999999987</v>
          </cell>
          <cell r="BK47">
            <v>0.59734166666666666</v>
          </cell>
          <cell r="BL47">
            <v>0.59936666666666671</v>
          </cell>
          <cell r="BM47">
            <v>0.60796666666666666</v>
          </cell>
          <cell r="BN47">
            <v>0.61603333333333332</v>
          </cell>
          <cell r="BO47">
            <v>0.6156166666666667</v>
          </cell>
          <cell r="BP47">
            <v>0.60719166666666669</v>
          </cell>
          <cell r="BQ47">
            <v>0.60369166666666674</v>
          </cell>
          <cell r="BR47">
            <v>0.5961833333333334</v>
          </cell>
          <cell r="BS47">
            <v>0.54858333333333331</v>
          </cell>
          <cell r="BT47">
            <v>0.51068333333333327</v>
          </cell>
          <cell r="BU47">
            <v>0.53534999999999999</v>
          </cell>
          <cell r="BV47">
            <v>0.5779333333333333</v>
          </cell>
          <cell r="BW47">
            <v>0.60424999999999995</v>
          </cell>
          <cell r="BX47">
            <v>0.63693333333333335</v>
          </cell>
          <cell r="BY47">
            <v>0.67391666666666661</v>
          </cell>
          <cell r="BZ47">
            <v>0.6958000000000002</v>
          </cell>
          <cell r="CA47">
            <v>0.71899999999999997</v>
          </cell>
          <cell r="CB47">
            <v>0.73403333333333343</v>
          </cell>
          <cell r="CC47">
            <v>0.73611666666666675</v>
          </cell>
          <cell r="CD47">
            <v>0.74203333333333343</v>
          </cell>
          <cell r="CE47">
            <v>0.75752499999999989</v>
          </cell>
          <cell r="CF47">
            <v>0.78455833333333347</v>
          </cell>
          <cell r="CG47">
            <v>0.79631666666666678</v>
          </cell>
          <cell r="CH47">
            <v>0.81110833333333332</v>
          </cell>
          <cell r="CI47">
            <v>0.81224166666666664</v>
          </cell>
          <cell r="CJ47">
            <v>0.7923583333333335</v>
          </cell>
          <cell r="CK47">
            <v>0.76488333333333347</v>
          </cell>
          <cell r="CL47">
            <v>0.71085833333333337</v>
          </cell>
          <cell r="CM47">
            <v>0.67557499999999993</v>
          </cell>
          <cell r="CN47">
            <v>0.66390000000000005</v>
          </cell>
          <cell r="CO47">
            <v>0.66830833333333339</v>
          </cell>
          <cell r="CP47">
            <v>0.68989166666666668</v>
          </cell>
          <cell r="CQ47">
            <v>0.69309999999999994</v>
          </cell>
          <cell r="CR47">
            <v>0.69254166666666661</v>
          </cell>
          <cell r="CS47">
            <v>0.69777500000000003</v>
          </cell>
          <cell r="CT47">
            <v>0.66984999999999995</v>
          </cell>
          <cell r="CU47">
            <v>0.65520833333333328</v>
          </cell>
          <cell r="CV47">
            <v>0.66465000000000007</v>
          </cell>
          <cell r="CW47">
            <v>0.66154999999999997</v>
          </cell>
          <cell r="CX47">
            <v>0.67013333333333325</v>
          </cell>
          <cell r="CY47">
            <v>0.68501666666666672</v>
          </cell>
          <cell r="CZ47">
            <v>0.7028916666666668</v>
          </cell>
          <cell r="DA47">
            <v>0.69393333333333329</v>
          </cell>
          <cell r="DB47">
            <v>0.67124166666666663</v>
          </cell>
          <cell r="DC47">
            <v>0.65820000000000001</v>
          </cell>
          <cell r="DD47">
            <v>0.64193333333333324</v>
          </cell>
          <cell r="DE47">
            <v>0.63550833333333323</v>
          </cell>
          <cell r="DF47">
            <v>0.63022499999999992</v>
          </cell>
          <cell r="DG47">
            <v>0.62721666666666664</v>
          </cell>
          <cell r="DH47">
            <v>0.62974999999999992</v>
          </cell>
          <cell r="DI47">
            <v>0.62656666666666672</v>
          </cell>
          <cell r="DJ47">
            <v>0.61958333333333337</v>
          </cell>
          <cell r="DK47">
            <v>0.61799999999999999</v>
          </cell>
          <cell r="DL47">
            <v>0.60111166666666671</v>
          </cell>
          <cell r="DM47">
            <v>0.59311916666666675</v>
          </cell>
          <cell r="DN47">
            <v>0.60758166666666669</v>
          </cell>
          <cell r="DO47">
            <v>0.61414500000000005</v>
          </cell>
          <cell r="DP47">
            <v>0.62740407999999992</v>
          </cell>
          <cell r="DQ47">
            <v>0.63697491333333334</v>
          </cell>
          <cell r="DR47">
            <v>0.62820833333333337</v>
          </cell>
          <cell r="DS47">
            <v>0.63016831000000006</v>
          </cell>
          <cell r="DT47">
            <v>0.6452016433333333</v>
          </cell>
          <cell r="DU47">
            <v>0.65831500000000009</v>
          </cell>
          <cell r="DV47">
            <v>0.66909666666666656</v>
          </cell>
          <cell r="DW47">
            <v>0.65897166666666662</v>
          </cell>
          <cell r="DX47">
            <v>0.63972333333333331</v>
          </cell>
          <cell r="DY47">
            <v>0.6202333333333333</v>
          </cell>
          <cell r="DZ47">
            <v>0.60609416666666671</v>
          </cell>
          <cell r="EA47">
            <v>0.60669735666666658</v>
          </cell>
          <cell r="EB47">
            <v>0.60580985666666665</v>
          </cell>
          <cell r="EC47">
            <v>0.60912758377300014</v>
          </cell>
          <cell r="ED47">
            <v>0.61338758377300007</v>
          </cell>
          <cell r="EE47">
            <v>0.60936404125994015</v>
          </cell>
          <cell r="EF47">
            <v>0.59908164980888889</v>
          </cell>
          <cell r="EG47">
            <v>0.57760712023099603</v>
          </cell>
          <cell r="EH47">
            <v>0.56260719728353303</v>
          </cell>
          <cell r="EI47">
            <v>0.5609758818280024</v>
          </cell>
          <cell r="EJ47">
            <v>0.55467687074829941</v>
          </cell>
          <cell r="EK47">
            <v>0.54751020408163276</v>
          </cell>
          <cell r="EL47">
            <v>0.53800000000000003</v>
          </cell>
          <cell r="EM47">
            <v>0.52600000000000002</v>
          </cell>
          <cell r="EN47">
            <v>0.52300000000000002</v>
          </cell>
          <cell r="EO47">
            <v>0.52899999999999991</v>
          </cell>
          <cell r="EP47">
            <v>0.5349999999999997</v>
          </cell>
          <cell r="EQ47">
            <v>0.54099999999999993</v>
          </cell>
          <cell r="ER47">
            <v>0.54699999999999993</v>
          </cell>
          <cell r="ES47">
            <v>0.55299999999999994</v>
          </cell>
          <cell r="ET47">
            <v>0.55899999999999972</v>
          </cell>
          <cell r="EU47">
            <v>0.56499999999999972</v>
          </cell>
          <cell r="EV47">
            <v>0.57395983935742967</v>
          </cell>
          <cell r="EW47">
            <v>0.58592758129291367</v>
          </cell>
          <cell r="EX47">
            <v>0.59799203343345964</v>
          </cell>
          <cell r="EY47">
            <v>0.61015437279878892</v>
          </cell>
          <cell r="EZ47">
            <v>0.6224157955865276</v>
          </cell>
          <cell r="FA47">
            <v>0.63477751756440315</v>
          </cell>
          <cell r="FB47">
            <v>0.6472407744721046</v>
          </cell>
          <cell r="FC47">
            <v>0.65980682243308553</v>
          </cell>
          <cell r="FD47">
            <v>0.66611570247933938</v>
          </cell>
          <cell r="FE47">
            <v>0.66611570247933938</v>
          </cell>
          <cell r="FF47">
            <v>0.66611570247933938</v>
          </cell>
          <cell r="FG47">
            <v>0.66611570247933938</v>
          </cell>
          <cell r="FH47">
            <v>0.66611570247933938</v>
          </cell>
          <cell r="FI47">
            <v>0.66611570247933938</v>
          </cell>
          <cell r="FJ47">
            <v>0.66611570247933938</v>
          </cell>
          <cell r="FK47">
            <v>0.66611570247933938</v>
          </cell>
          <cell r="FL47">
            <v>0.66611570247933938</v>
          </cell>
          <cell r="FM47">
            <v>0.66611570247933938</v>
          </cell>
          <cell r="FN47">
            <v>0.66611570247933938</v>
          </cell>
          <cell r="FO47">
            <v>0.66611570247933938</v>
          </cell>
          <cell r="FP47">
            <v>0.66611570247933938</v>
          </cell>
          <cell r="FQ47">
            <v>0.66611570247933938</v>
          </cell>
          <cell r="FR47">
            <v>0.66611570247933938</v>
          </cell>
          <cell r="FS47">
            <v>0.66611570247933938</v>
          </cell>
          <cell r="FT47">
            <v>0.66611570247933938</v>
          </cell>
          <cell r="FU47">
            <v>0.66611570247933938</v>
          </cell>
        </row>
        <row r="48">
          <cell r="A48" t="str">
            <v>avaudkrw6m</v>
          </cell>
          <cell r="B48" t="str">
            <v>AUD/KRW</v>
          </cell>
          <cell r="BI48">
            <v>714.40261250000003</v>
          </cell>
          <cell r="BJ48">
            <v>718.58150833333332</v>
          </cell>
          <cell r="BK48">
            <v>728.41542833333335</v>
          </cell>
          <cell r="BL48">
            <v>738.6734183333333</v>
          </cell>
          <cell r="BM48">
            <v>760.32897416666674</v>
          </cell>
          <cell r="BN48">
            <v>781.79451833333326</v>
          </cell>
          <cell r="BO48">
            <v>806.50066666666669</v>
          </cell>
          <cell r="BP48">
            <v>849.72891416666664</v>
          </cell>
          <cell r="BQ48">
            <v>926.05636500000003</v>
          </cell>
          <cell r="BR48">
            <v>962.67499999999984</v>
          </cell>
          <cell r="BS48">
            <v>923.68999999999994</v>
          </cell>
          <cell r="BT48">
            <v>917.59000000000015</v>
          </cell>
          <cell r="BU48">
            <v>961.8033333333334</v>
          </cell>
          <cell r="BV48">
            <v>1012.2866666666667</v>
          </cell>
          <cell r="BW48">
            <v>1047.5783333333334</v>
          </cell>
          <cell r="BX48">
            <v>1047.07</v>
          </cell>
          <cell r="BY48">
            <v>1029.5150000000001</v>
          </cell>
          <cell r="BZ48">
            <v>1052.105</v>
          </cell>
          <cell r="CA48">
            <v>1100.2366666666667</v>
          </cell>
          <cell r="CB48">
            <v>1125.9549999999999</v>
          </cell>
          <cell r="CC48">
            <v>1143.9483333333335</v>
          </cell>
          <cell r="CD48">
            <v>1151.2416666666668</v>
          </cell>
          <cell r="CE48">
            <v>1158.2366666666667</v>
          </cell>
          <cell r="CF48">
            <v>1180.0116666666668</v>
          </cell>
          <cell r="CG48">
            <v>1179.2683333333332</v>
          </cell>
          <cell r="CH48">
            <v>1169.6233333333332</v>
          </cell>
          <cell r="CI48">
            <v>1146.4983333333334</v>
          </cell>
          <cell r="CJ48">
            <v>1128.2766666666666</v>
          </cell>
          <cell r="CK48">
            <v>1112.32</v>
          </cell>
          <cell r="CL48">
            <v>1044.8916666666667</v>
          </cell>
          <cell r="CM48">
            <v>984.78666666666652</v>
          </cell>
          <cell r="CN48">
            <v>965.66666666666686</v>
          </cell>
          <cell r="CO48">
            <v>958.15833333333342</v>
          </cell>
          <cell r="CP48">
            <v>948.98833333333334</v>
          </cell>
          <cell r="CQ48">
            <v>934.77166666666653</v>
          </cell>
          <cell r="CR48">
            <v>890.12166666666656</v>
          </cell>
          <cell r="CS48">
            <v>854.06833333333327</v>
          </cell>
          <cell r="CT48">
            <v>847.26499999999999</v>
          </cell>
          <cell r="CU48">
            <v>838.50833333333321</v>
          </cell>
          <cell r="CV48">
            <v>854.04</v>
          </cell>
          <cell r="CW48">
            <v>867.40333333333331</v>
          </cell>
          <cell r="CX48">
            <v>852.7883333333333</v>
          </cell>
          <cell r="CY48">
            <v>856.02166666666665</v>
          </cell>
          <cell r="CZ48">
            <v>867.56666666666661</v>
          </cell>
          <cell r="DA48">
            <v>859.73500000000001</v>
          </cell>
          <cell r="DB48">
            <v>874.58333333333337</v>
          </cell>
          <cell r="DC48">
            <v>865.78666666666675</v>
          </cell>
          <cell r="DD48">
            <v>837.85</v>
          </cell>
          <cell r="DE48">
            <v>827.3516666666668</v>
          </cell>
          <cell r="DF48">
            <v>812.68166666666673</v>
          </cell>
          <cell r="DG48">
            <v>806.57999999999993</v>
          </cell>
          <cell r="DH48">
            <v>803.95833333333337</v>
          </cell>
          <cell r="DI48">
            <v>811.51833333333343</v>
          </cell>
          <cell r="DJ48">
            <v>815.37833333333344</v>
          </cell>
          <cell r="DK48">
            <v>808.36666666666679</v>
          </cell>
          <cell r="DL48">
            <v>790.31499999999994</v>
          </cell>
          <cell r="DM48">
            <v>794.64333333333343</v>
          </cell>
          <cell r="DN48">
            <v>833.96833333333336</v>
          </cell>
          <cell r="DO48">
            <v>835.51333333333332</v>
          </cell>
          <cell r="DP48">
            <v>837.93086666666659</v>
          </cell>
          <cell r="DQ48">
            <v>857.56773333333331</v>
          </cell>
          <cell r="DR48">
            <v>852.8529666666667</v>
          </cell>
          <cell r="DS48">
            <v>856.76523333333341</v>
          </cell>
          <cell r="DT48">
            <v>870.52895000000001</v>
          </cell>
          <cell r="DU48">
            <v>884.37440000000004</v>
          </cell>
          <cell r="DV48">
            <v>904.20989999999995</v>
          </cell>
          <cell r="DW48">
            <v>901.64645000000007</v>
          </cell>
          <cell r="DX48">
            <v>882.03249999999991</v>
          </cell>
          <cell r="DY48">
            <v>875.90038333333348</v>
          </cell>
          <cell r="DZ48">
            <v>868.18615</v>
          </cell>
          <cell r="EA48">
            <v>864.41311666666661</v>
          </cell>
          <cell r="EB48">
            <v>870.00238333333311</v>
          </cell>
          <cell r="EC48">
            <v>893.34000908206451</v>
          </cell>
          <cell r="ED48">
            <v>908.49844241539779</v>
          </cell>
          <cell r="EE48">
            <v>906.67599999999993</v>
          </cell>
          <cell r="EF48">
            <v>908.92283333333341</v>
          </cell>
          <cell r="EG48">
            <v>902.94166666666661</v>
          </cell>
          <cell r="EH48">
            <v>903.89867366666658</v>
          </cell>
          <cell r="EI48">
            <v>913.25150000000008</v>
          </cell>
          <cell r="EJ48">
            <v>896.08750000000009</v>
          </cell>
          <cell r="EK48">
            <v>892.58750000000009</v>
          </cell>
          <cell r="EL48">
            <v>877.65000000000009</v>
          </cell>
          <cell r="EM48">
            <v>851.50000000000011</v>
          </cell>
          <cell r="EN48">
            <v>841.69374999999991</v>
          </cell>
          <cell r="EO48">
            <v>848.04374999999959</v>
          </cell>
          <cell r="EP48">
            <v>854.31874999999923</v>
          </cell>
          <cell r="EQ48">
            <v>860.5187499999995</v>
          </cell>
          <cell r="ER48">
            <v>866.64374999999984</v>
          </cell>
          <cell r="ES48">
            <v>872.69374999999945</v>
          </cell>
          <cell r="ET48">
            <v>878.66874999999914</v>
          </cell>
          <cell r="EU48">
            <v>884.56874999999945</v>
          </cell>
          <cell r="EV48">
            <v>892.50909999999999</v>
          </cell>
          <cell r="EW48">
            <v>902.44450000000006</v>
          </cell>
          <cell r="EX48">
            <v>912.21430000000021</v>
          </cell>
          <cell r="EY48">
            <v>921.81850000000031</v>
          </cell>
          <cell r="EZ48">
            <v>931.25710000000049</v>
          </cell>
          <cell r="FA48">
            <v>940.53010000000063</v>
          </cell>
          <cell r="FB48">
            <v>949.63750000000073</v>
          </cell>
          <cell r="FC48">
            <v>958.5793000000009</v>
          </cell>
          <cell r="FD48">
            <v>963.00880000000097</v>
          </cell>
          <cell r="FE48">
            <v>963.00880000000097</v>
          </cell>
          <cell r="FF48">
            <v>963.00880000000097</v>
          </cell>
          <cell r="FG48">
            <v>963.00880000000097</v>
          </cell>
          <cell r="FH48">
            <v>963.00880000000097</v>
          </cell>
          <cell r="FI48">
            <v>963.00880000000097</v>
          </cell>
          <cell r="FJ48">
            <v>963.00880000000097</v>
          </cell>
          <cell r="FK48">
            <v>963.00880000000097</v>
          </cell>
          <cell r="FL48">
            <v>963.00880000000097</v>
          </cell>
          <cell r="FM48">
            <v>963.00880000000097</v>
          </cell>
          <cell r="FN48">
            <v>963.00880000000097</v>
          </cell>
          <cell r="FO48">
            <v>963.00880000000097</v>
          </cell>
          <cell r="FP48">
            <v>963.00880000000097</v>
          </cell>
          <cell r="FQ48">
            <v>963.00880000000097</v>
          </cell>
          <cell r="FR48">
            <v>963.00880000000097</v>
          </cell>
          <cell r="FS48">
            <v>963.00880000000097</v>
          </cell>
          <cell r="FT48">
            <v>963.00880000000097</v>
          </cell>
          <cell r="FU48">
            <v>963.00880000000097</v>
          </cell>
        </row>
        <row r="50">
          <cell r="B50" t="str">
            <v>Average exchange rates (12mo)</v>
          </cell>
        </row>
        <row r="51">
          <cell r="A51" t="str">
            <v>avaudgbp12m</v>
          </cell>
          <cell r="B51" t="str">
            <v>AUD/GBP</v>
          </cell>
          <cell r="D51">
            <v>0.4449999999999999</v>
          </cell>
          <cell r="E51">
            <v>0.43307500000000004</v>
          </cell>
          <cell r="F51">
            <v>0.41307500000000003</v>
          </cell>
          <cell r="G51">
            <v>0.4182583333333334</v>
          </cell>
          <cell r="H51">
            <v>0.4281166666666667</v>
          </cell>
          <cell r="I51">
            <v>0.43619999999999992</v>
          </cell>
          <cell r="J51">
            <v>0.45310833333333328</v>
          </cell>
          <cell r="K51">
            <v>0.45322499999999999</v>
          </cell>
          <cell r="L51">
            <v>0.45439166666666669</v>
          </cell>
          <cell r="M51">
            <v>0.46283333333333326</v>
          </cell>
          <cell r="N51">
            <v>0.4698916666666666</v>
          </cell>
          <cell r="O51">
            <v>0.47715000000000002</v>
          </cell>
          <cell r="P51">
            <v>0.47505000000000003</v>
          </cell>
          <cell r="Q51">
            <v>0.46822500000000006</v>
          </cell>
          <cell r="R51">
            <v>0.46756666666666669</v>
          </cell>
          <cell r="S51">
            <v>0.46793333333333337</v>
          </cell>
          <cell r="T51">
            <v>0.47671666666666668</v>
          </cell>
          <cell r="U51">
            <v>0.49309999999999993</v>
          </cell>
          <cell r="V51">
            <v>0.50010833333333338</v>
          </cell>
          <cell r="W51">
            <v>0.49928333333333325</v>
          </cell>
          <cell r="X51">
            <v>0.49337499999999995</v>
          </cell>
          <cell r="Y51">
            <v>0.4810666666666667</v>
          </cell>
          <cell r="Z51">
            <v>0.46824166666666667</v>
          </cell>
          <cell r="AA51">
            <v>0.4501</v>
          </cell>
          <cell r="AB51">
            <v>0.43295833333333333</v>
          </cell>
          <cell r="AC51">
            <v>0.41159999999999997</v>
          </cell>
          <cell r="AD51">
            <v>0.38680833333333337</v>
          </cell>
          <cell r="AE51">
            <v>0.37884999999999996</v>
          </cell>
          <cell r="AF51">
            <v>0.37346666666666667</v>
          </cell>
          <cell r="AG51">
            <v>0.38169166666666671</v>
          </cell>
          <cell r="AH51">
            <v>0.39329166666666676</v>
          </cell>
          <cell r="AI51">
            <v>0.39920833333333322</v>
          </cell>
          <cell r="AJ51">
            <v>0.39948333333333336</v>
          </cell>
          <cell r="AK51">
            <v>0.39219999999999994</v>
          </cell>
          <cell r="AL51">
            <v>0.38865</v>
          </cell>
          <cell r="AM51">
            <v>0.38124166666666676</v>
          </cell>
          <cell r="AN51">
            <v>0.37435000000000002</v>
          </cell>
          <cell r="AO51">
            <v>0.36804166666666666</v>
          </cell>
          <cell r="AP51">
            <v>0.35988333333333333</v>
          </cell>
          <cell r="AQ51">
            <v>0.35640000000000005</v>
          </cell>
          <cell r="AR51">
            <v>0.35777499999999995</v>
          </cell>
          <cell r="AS51">
            <v>0.36198333333333332</v>
          </cell>
          <cell r="AT51">
            <v>0.36135833333333328</v>
          </cell>
          <cell r="AU51">
            <v>0.36143333333333333</v>
          </cell>
          <cell r="AV51">
            <v>0.36357499999999998</v>
          </cell>
          <cell r="AW51">
            <v>0.36957499999999999</v>
          </cell>
          <cell r="AX51">
            <v>0.38409999999999994</v>
          </cell>
          <cell r="AY51">
            <v>0.40051666666666669</v>
          </cell>
          <cell r="AZ51">
            <v>0.41073333333333339</v>
          </cell>
          <cell r="BA51">
            <v>0.40915833333333329</v>
          </cell>
          <cell r="BB51">
            <v>0.40550833333333336</v>
          </cell>
          <cell r="BC51">
            <v>0.40215063996371464</v>
          </cell>
          <cell r="BD51">
            <v>0.400900815118929</v>
          </cell>
          <cell r="BE51">
            <v>0.40684028267171218</v>
          </cell>
          <cell r="BF51">
            <v>0.41535531550159305</v>
          </cell>
          <cell r="BG51">
            <v>0.42002550887121187</v>
          </cell>
          <cell r="BH51">
            <v>0.42242533371599739</v>
          </cell>
          <cell r="BI51">
            <v>0.4199108661632141</v>
          </cell>
          <cell r="BJ51">
            <v>0.41396250000000001</v>
          </cell>
          <cell r="BK51">
            <v>0.40844166666666676</v>
          </cell>
          <cell r="BL51">
            <v>0.40390833333333331</v>
          </cell>
          <cell r="BM51">
            <v>0.40686249999999996</v>
          </cell>
          <cell r="BN51">
            <v>0.41095833333333331</v>
          </cell>
          <cell r="BO51">
            <v>0.42013750000000005</v>
          </cell>
          <cell r="BP51">
            <v>0.43444583333333336</v>
          </cell>
          <cell r="BQ51">
            <v>0.449625</v>
          </cell>
          <cell r="BR51">
            <v>0.4606041666666667</v>
          </cell>
          <cell r="BS51">
            <v>0.46064166666666667</v>
          </cell>
          <cell r="BT51">
            <v>0.45961666666666673</v>
          </cell>
          <cell r="BU51">
            <v>0.46274166666666677</v>
          </cell>
          <cell r="BV51">
            <v>0.47774999999999995</v>
          </cell>
          <cell r="BW51">
            <v>0.50606666666666678</v>
          </cell>
          <cell r="BX51">
            <v>0.53755000000000008</v>
          </cell>
          <cell r="BY51">
            <v>0.56037499999999996</v>
          </cell>
          <cell r="BZ51">
            <v>0.57715000000000005</v>
          </cell>
          <cell r="CA51">
            <v>0.59592499999999993</v>
          </cell>
          <cell r="CB51">
            <v>0.60831666666666662</v>
          </cell>
          <cell r="CC51">
            <v>0.62691666666666668</v>
          </cell>
          <cell r="CD51">
            <v>0.64169166666666666</v>
          </cell>
          <cell r="CE51">
            <v>0.64855416666666665</v>
          </cell>
          <cell r="CF51">
            <v>0.65702916666666666</v>
          </cell>
          <cell r="CG51">
            <v>0.65317499999999995</v>
          </cell>
          <cell r="CH51">
            <v>0.65434583333333329</v>
          </cell>
          <cell r="CI51">
            <v>0.65160416666666654</v>
          </cell>
          <cell r="CJ51">
            <v>0.6533916666666667</v>
          </cell>
          <cell r="CK51">
            <v>0.65106249999999999</v>
          </cell>
          <cell r="CL51">
            <v>0.63258333333333339</v>
          </cell>
          <cell r="CM51">
            <v>0.61177083333333337</v>
          </cell>
          <cell r="CN51">
            <v>0.57895416666666666</v>
          </cell>
          <cell r="CO51">
            <v>0.55885416666666665</v>
          </cell>
          <cell r="CP51">
            <v>0.55145416666666669</v>
          </cell>
          <cell r="CQ51">
            <v>0.5459208333333333</v>
          </cell>
          <cell r="CR51">
            <v>0.53863333333333341</v>
          </cell>
          <cell r="CS51">
            <v>0.52598750000000016</v>
          </cell>
          <cell r="CT51">
            <v>0.50451250000000003</v>
          </cell>
          <cell r="CU51">
            <v>0.48943750000000003</v>
          </cell>
          <cell r="CV51">
            <v>0.49012916666666667</v>
          </cell>
          <cell r="CW51">
            <v>0.49632083333333332</v>
          </cell>
          <cell r="CX51">
            <v>0.52484583333333334</v>
          </cell>
          <cell r="CY51">
            <v>0.55471666666666664</v>
          </cell>
          <cell r="CZ51">
            <v>0.57852916666666665</v>
          </cell>
          <cell r="DA51">
            <v>0.59224999999999994</v>
          </cell>
          <cell r="DB51">
            <v>0.59789166666666671</v>
          </cell>
          <cell r="DC51">
            <v>0.59100416666666666</v>
          </cell>
          <cell r="DD51">
            <v>0.57850416666666649</v>
          </cell>
          <cell r="DE51">
            <v>0.5728833333333333</v>
          </cell>
          <cell r="DF51">
            <v>0.56206250000000002</v>
          </cell>
          <cell r="DG51">
            <v>0.5593541666666666</v>
          </cell>
          <cell r="DH51">
            <v>0.55562499999999992</v>
          </cell>
          <cell r="DI51">
            <v>0.55277916666666671</v>
          </cell>
          <cell r="DJ51">
            <v>0.55200000000000005</v>
          </cell>
          <cell r="DK51">
            <v>0.54398333333333337</v>
          </cell>
          <cell r="DL51">
            <v>0.5334941666666666</v>
          </cell>
          <cell r="DM51">
            <v>0.53106999999999993</v>
          </cell>
          <cell r="DN51">
            <v>0.52992666666666655</v>
          </cell>
          <cell r="DO51">
            <v>0.53597166666666662</v>
          </cell>
          <cell r="DP51">
            <v>0.54872750000000003</v>
          </cell>
          <cell r="DQ51">
            <v>0.55127541666666657</v>
          </cell>
          <cell r="DR51">
            <v>0.54666875000000015</v>
          </cell>
          <cell r="DS51">
            <v>0.54378208333333344</v>
          </cell>
          <cell r="DT51">
            <v>0.54167299666666657</v>
          </cell>
          <cell r="DU51">
            <v>0.54610589916666652</v>
          </cell>
          <cell r="DV51">
            <v>0.55772256583333346</v>
          </cell>
          <cell r="DW51">
            <v>0.56289080583333329</v>
          </cell>
          <cell r="DX51">
            <v>0.56605030916666654</v>
          </cell>
          <cell r="DY51">
            <v>0.55572115666666666</v>
          </cell>
          <cell r="DZ51">
            <v>0.54123231250000003</v>
          </cell>
          <cell r="EA51">
            <v>0.53251073916666669</v>
          </cell>
          <cell r="EB51">
            <v>0.52200907250000006</v>
          </cell>
          <cell r="EC51">
            <v>0.5215024744451382</v>
          </cell>
          <cell r="ED51">
            <v>0.5197317646321753</v>
          </cell>
          <cell r="EE51">
            <v>0.51443556991459494</v>
          </cell>
          <cell r="EF51">
            <v>0.50861113095757338</v>
          </cell>
          <cell r="EG51">
            <v>0.49774623377591282</v>
          </cell>
          <cell r="EH51">
            <v>0.49119308378671461</v>
          </cell>
          <cell r="EI51">
            <v>0.48330398917869855</v>
          </cell>
          <cell r="EJ51">
            <v>0.48124408421877746</v>
          </cell>
          <cell r="EK51">
            <v>0.47950530269223557</v>
          </cell>
          <cell r="EL51">
            <v>0.47528644086742683</v>
          </cell>
          <cell r="EM51">
            <v>0.47512887784221669</v>
          </cell>
          <cell r="EN51">
            <v>0.47760081277283356</v>
          </cell>
          <cell r="EO51">
            <v>0.48269340536542615</v>
          </cell>
          <cell r="EP51">
            <v>0.48894340536542613</v>
          </cell>
          <cell r="EQ51">
            <v>0.49632378288957013</v>
          </cell>
          <cell r="ER51">
            <v>0.50351849268713533</v>
          </cell>
          <cell r="ES51">
            <v>0.51052015727306954</v>
          </cell>
          <cell r="ET51">
            <v>0.51732128297663404</v>
          </cell>
          <cell r="EU51">
            <v>0.52391425795138447</v>
          </cell>
          <cell r="EV51">
            <v>0.5319451372478341</v>
          </cell>
          <cell r="EW51">
            <v>0.5414452484102511</v>
          </cell>
          <cell r="EX51">
            <v>0.55244657293639543</v>
          </cell>
          <cell r="EY51">
            <v>0.5649817629916567</v>
          </cell>
          <cell r="EZ51">
            <v>0.57767101699956114</v>
          </cell>
          <cell r="FA51">
            <v>0.5905171929470554</v>
          </cell>
          <cell r="FB51">
            <v>0.60352321995439495</v>
          </cell>
          <cell r="FC51">
            <v>0.61669210050218137</v>
          </cell>
          <cell r="FD51">
            <v>0.62663001152022024</v>
          </cell>
          <cell r="FE51">
            <v>0.63329662889581573</v>
          </cell>
          <cell r="FF51">
            <v>0.6366508688783562</v>
          </cell>
          <cell r="FG51">
            <v>0.6366508688783562</v>
          </cell>
          <cell r="FH51">
            <v>0.6366508688783562</v>
          </cell>
          <cell r="FI51">
            <v>0.6366508688783562</v>
          </cell>
          <cell r="FJ51">
            <v>0.6366508688783562</v>
          </cell>
          <cell r="FK51">
            <v>0.6366508688783562</v>
          </cell>
          <cell r="FL51">
            <v>0.6366508688783562</v>
          </cell>
          <cell r="FM51">
            <v>0.6366508688783562</v>
          </cell>
          <cell r="FN51">
            <v>0.6366508688783562</v>
          </cell>
          <cell r="FO51">
            <v>0.6366508688783562</v>
          </cell>
          <cell r="FP51">
            <v>0.6366508688783562</v>
          </cell>
          <cell r="FQ51">
            <v>0.6366508688783562</v>
          </cell>
          <cell r="FR51">
            <v>0.6366508688783562</v>
          </cell>
          <cell r="FS51">
            <v>0.6366508688783562</v>
          </cell>
          <cell r="FT51">
            <v>0.6366508688783562</v>
          </cell>
          <cell r="FU51">
            <v>0.6366508688783562</v>
          </cell>
        </row>
        <row r="52">
          <cell r="A52" t="str">
            <v>avaudusd12m</v>
          </cell>
          <cell r="B52" t="str">
            <v>AUD/USD</v>
          </cell>
          <cell r="D52">
            <v>0.77221666666666666</v>
          </cell>
          <cell r="E52">
            <v>0.7680583333333334</v>
          </cell>
          <cell r="F52">
            <v>0.75225833333333336</v>
          </cell>
          <cell r="G52">
            <v>0.7307499999999999</v>
          </cell>
          <cell r="H52">
            <v>0.71470833333333339</v>
          </cell>
          <cell r="I52">
            <v>0.69703333333333328</v>
          </cell>
          <cell r="J52">
            <v>0.68347499999999994</v>
          </cell>
          <cell r="K52">
            <v>0.67841666666666667</v>
          </cell>
          <cell r="L52">
            <v>0.68213333333333326</v>
          </cell>
          <cell r="M52">
            <v>0.69304166666666667</v>
          </cell>
          <cell r="N52">
            <v>0.71083333333333332</v>
          </cell>
          <cell r="O52">
            <v>0.73442499999999999</v>
          </cell>
          <cell r="P52">
            <v>0.74325000000000008</v>
          </cell>
          <cell r="Q52">
            <v>0.74118333333333331</v>
          </cell>
          <cell r="R52">
            <v>0.74311666666666654</v>
          </cell>
          <cell r="S52">
            <v>0.73968333333333336</v>
          </cell>
          <cell r="T52">
            <v>0.74476666666666669</v>
          </cell>
          <cell r="U52">
            <v>0.76293333333333335</v>
          </cell>
          <cell r="V52">
            <v>0.77203333333333335</v>
          </cell>
          <cell r="W52">
            <v>0.78493333333333337</v>
          </cell>
          <cell r="X52">
            <v>0.78786666666666683</v>
          </cell>
          <cell r="Y52">
            <v>0.78068333333333317</v>
          </cell>
          <cell r="Z52">
            <v>0.76818333333333333</v>
          </cell>
          <cell r="AA52">
            <v>0.73744999999999994</v>
          </cell>
          <cell r="AB52">
            <v>0.71252499999999996</v>
          </cell>
          <cell r="AC52">
            <v>0.67972499999999991</v>
          </cell>
          <cell r="AD52">
            <v>0.64336666666666675</v>
          </cell>
          <cell r="AE52">
            <v>0.62937500000000002</v>
          </cell>
          <cell r="AF52">
            <v>0.61734999999999995</v>
          </cell>
          <cell r="AG52">
            <v>0.62439999999999996</v>
          </cell>
          <cell r="AH52">
            <v>0.63903333333333323</v>
          </cell>
          <cell r="AI52">
            <v>0.64459999999999995</v>
          </cell>
          <cell r="AJ52">
            <v>0.64277499999999999</v>
          </cell>
          <cell r="AK52">
            <v>0.62414999999999998</v>
          </cell>
          <cell r="AL52">
            <v>0.60380833333333328</v>
          </cell>
          <cell r="AM52">
            <v>0.57677499999999993</v>
          </cell>
          <cell r="AN52">
            <v>0.55187499999999989</v>
          </cell>
          <cell r="AO52">
            <v>0.53332499999999994</v>
          </cell>
          <cell r="AP52">
            <v>0.51927499999999993</v>
          </cell>
          <cell r="AQ52">
            <v>0.51317500000000005</v>
          </cell>
          <cell r="AR52">
            <v>0.51289999999999991</v>
          </cell>
          <cell r="AS52">
            <v>0.52443333333333342</v>
          </cell>
          <cell r="AT52">
            <v>0.53326666666666667</v>
          </cell>
          <cell r="AU52">
            <v>0.54517500000000008</v>
          </cell>
          <cell r="AV52">
            <v>0.5652666666666667</v>
          </cell>
          <cell r="AW52">
            <v>0.58895833333333336</v>
          </cell>
          <cell r="AX52">
            <v>0.61730000000000007</v>
          </cell>
          <cell r="AY52">
            <v>0.65968333333333329</v>
          </cell>
          <cell r="AZ52">
            <v>0.70167499999999994</v>
          </cell>
          <cell r="BA52">
            <v>0.71676666666666655</v>
          </cell>
          <cell r="BB52">
            <v>0.72990833333333327</v>
          </cell>
          <cell r="BC52">
            <v>0.73969583333333355</v>
          </cell>
          <cell r="BD52">
            <v>0.74272500000000008</v>
          </cell>
          <cell r="BE52">
            <v>0.75644583333333337</v>
          </cell>
          <cell r="BF52">
            <v>0.76808333333333323</v>
          </cell>
          <cell r="BG52">
            <v>0.76120833333333338</v>
          </cell>
          <cell r="BH52">
            <v>0.7509083333333334</v>
          </cell>
          <cell r="BI52">
            <v>0.74720416666666667</v>
          </cell>
          <cell r="BJ52">
            <v>0.74731666666666674</v>
          </cell>
          <cell r="BK52">
            <v>0.75828749999999989</v>
          </cell>
          <cell r="BL52">
            <v>0.77136249999999995</v>
          </cell>
          <cell r="BM52">
            <v>0.79239166666666661</v>
          </cell>
          <cell r="BN52">
            <v>0.81591250000000004</v>
          </cell>
          <cell r="BO52">
            <v>0.84433333333333349</v>
          </cell>
          <cell r="BP52">
            <v>0.87482916666666666</v>
          </cell>
          <cell r="BQ52">
            <v>0.90408333333333335</v>
          </cell>
          <cell r="BR52">
            <v>0.90692916666666668</v>
          </cell>
          <cell r="BS52">
            <v>0.85127083333333331</v>
          </cell>
          <cell r="BT52">
            <v>0.78684166666666666</v>
          </cell>
          <cell r="BU52">
            <v>0.74317083333333323</v>
          </cell>
          <cell r="BV52">
            <v>0.74069999999999991</v>
          </cell>
          <cell r="BW52">
            <v>0.79800833333333332</v>
          </cell>
          <cell r="BX52">
            <v>0.85888750000000014</v>
          </cell>
          <cell r="BY52">
            <v>0.88197083333333337</v>
          </cell>
          <cell r="BZ52">
            <v>0.89869583333333347</v>
          </cell>
          <cell r="CA52">
            <v>0.91979583333333315</v>
          </cell>
          <cell r="CB52">
            <v>0.94906250000000003</v>
          </cell>
          <cell r="CC52">
            <v>1.0011166666666667</v>
          </cell>
          <cell r="CD52">
            <v>1.0322375000000001</v>
          </cell>
          <cell r="CE52">
            <v>1.043725</v>
          </cell>
          <cell r="CF52">
            <v>1.0539504166666667</v>
          </cell>
          <cell r="CG52">
            <v>1.0376733333333334</v>
          </cell>
          <cell r="CH52">
            <v>1.0363387500000001</v>
          </cell>
          <cell r="CI52">
            <v>1.0376870833333334</v>
          </cell>
          <cell r="CJ52">
            <v>1.0322383333333336</v>
          </cell>
          <cell r="CK52">
            <v>1.02123875</v>
          </cell>
          <cell r="CL52">
            <v>0.98798208333333337</v>
          </cell>
          <cell r="CM52">
            <v>0.95702500000000013</v>
          </cell>
          <cell r="CN52">
            <v>0.92277750000000003</v>
          </cell>
          <cell r="CO52">
            <v>0.91398583333333361</v>
          </cell>
          <cell r="CP52">
            <v>0.91537541666666666</v>
          </cell>
          <cell r="CQ52">
            <v>0.89858958333333339</v>
          </cell>
          <cell r="CR52">
            <v>0.86725125000000014</v>
          </cell>
          <cell r="CS52">
            <v>0.82746958333333342</v>
          </cell>
          <cell r="CT52">
            <v>0.77787958333333329</v>
          </cell>
          <cell r="CU52">
            <v>0.74609458333333334</v>
          </cell>
          <cell r="CV52">
            <v>0.73523624999999992</v>
          </cell>
          <cell r="CW52">
            <v>0.72719208333333329</v>
          </cell>
          <cell r="CX52">
            <v>0.73839999999999995</v>
          </cell>
          <cell r="CY52">
            <v>0.74289708333333326</v>
          </cell>
          <cell r="CZ52">
            <v>0.75117166666666668</v>
          </cell>
          <cell r="DA52">
            <v>0.75377708333333349</v>
          </cell>
          <cell r="DB52">
            <v>0.76216333333333341</v>
          </cell>
          <cell r="DC52">
            <v>0.76909749999999999</v>
          </cell>
          <cell r="DD52">
            <v>0.77428666666666668</v>
          </cell>
          <cell r="DE52">
            <v>0.77344416666666671</v>
          </cell>
          <cell r="DF52">
            <v>0.75723583333333322</v>
          </cell>
          <cell r="DG52">
            <v>0.74401083333333329</v>
          </cell>
          <cell r="DH52">
            <v>0.72707375000000007</v>
          </cell>
          <cell r="DI52">
            <v>0.71460458333333332</v>
          </cell>
          <cell r="DJ52">
            <v>0.7020641666666666</v>
          </cell>
          <cell r="DK52">
            <v>0.6956699999999999</v>
          </cell>
          <cell r="DL52">
            <v>0.67791166666666658</v>
          </cell>
          <cell r="DM52">
            <v>0.67021791666666664</v>
          </cell>
          <cell r="DN52">
            <v>0.68147374999999999</v>
          </cell>
          <cell r="DO52">
            <v>0.69309249999999978</v>
          </cell>
          <cell r="DP52">
            <v>0.72322083333333342</v>
          </cell>
          <cell r="DQ52">
            <v>0.74709333333333339</v>
          </cell>
          <cell r="DR52">
            <v>0.7487691666666666</v>
          </cell>
          <cell r="DS52">
            <v>0.74744124999999995</v>
          </cell>
          <cell r="DT52">
            <v>0.73794916666666666</v>
          </cell>
          <cell r="DU52">
            <v>0.7228612499999999</v>
          </cell>
          <cell r="DV52">
            <v>0.70911333333333326</v>
          </cell>
          <cell r="DW52">
            <v>0.69324250000000009</v>
          </cell>
          <cell r="DX52">
            <v>0.68205041666666677</v>
          </cell>
          <cell r="DY52">
            <v>0.67071291666666666</v>
          </cell>
          <cell r="DZ52">
            <v>0.6656704166666666</v>
          </cell>
          <cell r="EA52">
            <v>0.66352458333333331</v>
          </cell>
          <cell r="EB52">
            <v>0.65612083333333326</v>
          </cell>
          <cell r="EC52">
            <v>0.65626499999999999</v>
          </cell>
          <cell r="ED52">
            <v>0.66116000000000008</v>
          </cell>
          <cell r="EE52">
            <v>0.65730874999999989</v>
          </cell>
          <cell r="EF52">
            <v>0.64930083333333333</v>
          </cell>
          <cell r="EG52">
            <v>0.64611666666666667</v>
          </cell>
          <cell r="EH52">
            <v>0.64074708333333341</v>
          </cell>
          <cell r="EI52">
            <v>0.65351999999999999</v>
          </cell>
          <cell r="EJ52">
            <v>0.6660950000000001</v>
          </cell>
          <cell r="EK52">
            <v>0.67157875000000011</v>
          </cell>
          <cell r="EL52">
            <v>0.6725000000000001</v>
          </cell>
          <cell r="EM52">
            <v>0.66750000000000009</v>
          </cell>
          <cell r="EN52">
            <v>0.66312499999999996</v>
          </cell>
          <cell r="EO52">
            <v>0.65937499999999993</v>
          </cell>
          <cell r="EP52">
            <v>0.66124999999999989</v>
          </cell>
          <cell r="EQ52">
            <v>0.66874999999999984</v>
          </cell>
          <cell r="ER52">
            <v>0.67624999999999991</v>
          </cell>
          <cell r="ES52">
            <v>0.68374999999999986</v>
          </cell>
          <cell r="ET52">
            <v>0.69124999999999981</v>
          </cell>
          <cell r="EU52">
            <v>0.69874999999999976</v>
          </cell>
          <cell r="EV52">
            <v>0.70737499999999975</v>
          </cell>
          <cell r="EW52">
            <v>0.7171249999999999</v>
          </cell>
          <cell r="EX52">
            <v>0.72799999999999998</v>
          </cell>
          <cell r="EY52">
            <v>0.74</v>
          </cell>
          <cell r="EZ52">
            <v>0.752</v>
          </cell>
          <cell r="FA52">
            <v>0.76400000000000001</v>
          </cell>
          <cell r="FB52">
            <v>0.77600000000000002</v>
          </cell>
          <cell r="FC52">
            <v>0.78800000000000003</v>
          </cell>
          <cell r="FD52">
            <v>0.79700000000000004</v>
          </cell>
          <cell r="FE52">
            <v>0.80300000000000005</v>
          </cell>
          <cell r="FF52">
            <v>0.80600000000000005</v>
          </cell>
          <cell r="FG52">
            <v>0.80600000000000005</v>
          </cell>
          <cell r="FH52">
            <v>0.80600000000000005</v>
          </cell>
          <cell r="FI52">
            <v>0.80600000000000005</v>
          </cell>
          <cell r="FJ52">
            <v>0.80600000000000005</v>
          </cell>
          <cell r="FK52">
            <v>0.80600000000000005</v>
          </cell>
          <cell r="FL52">
            <v>0.80600000000000005</v>
          </cell>
          <cell r="FM52">
            <v>0.80600000000000005</v>
          </cell>
          <cell r="FN52">
            <v>0.80600000000000005</v>
          </cell>
          <cell r="FO52">
            <v>0.80600000000000005</v>
          </cell>
          <cell r="FP52">
            <v>0.80600000000000005</v>
          </cell>
          <cell r="FQ52">
            <v>0.80600000000000005</v>
          </cell>
          <cell r="FR52">
            <v>0.80600000000000005</v>
          </cell>
          <cell r="FS52">
            <v>0.80600000000000005</v>
          </cell>
          <cell r="FT52">
            <v>0.80600000000000005</v>
          </cell>
          <cell r="FU52">
            <v>0.80600000000000005</v>
          </cell>
        </row>
        <row r="53">
          <cell r="A53" t="str">
            <v>avaudnzd12m</v>
          </cell>
          <cell r="B53" t="str">
            <v>AUD/NZD</v>
          </cell>
          <cell r="R53">
            <v>1.1438916666666665</v>
          </cell>
          <cell r="S53">
            <v>1.1269666666666669</v>
          </cell>
          <cell r="T53">
            <v>1.1199833333333331</v>
          </cell>
          <cell r="U53">
            <v>1.1408416666666668</v>
          </cell>
          <cell r="V53">
            <v>1.1411416666666667</v>
          </cell>
          <cell r="W53">
            <v>1.1376000000000002</v>
          </cell>
          <cell r="X53">
            <v>1.1347416666666665</v>
          </cell>
          <cell r="Y53">
            <v>1.1236833333333334</v>
          </cell>
          <cell r="Z53">
            <v>1.125375</v>
          </cell>
          <cell r="AA53">
            <v>1.1218083333333333</v>
          </cell>
          <cell r="AB53">
            <v>1.1362833333333333</v>
          </cell>
          <cell r="AC53">
            <v>1.1530333333333331</v>
          </cell>
          <cell r="AD53">
            <v>1.1616666666666666</v>
          </cell>
          <cell r="AE53">
            <v>1.1771333333333334</v>
          </cell>
          <cell r="AF53">
            <v>1.1774666666666669</v>
          </cell>
          <cell r="AG53">
            <v>1.1865250000000001</v>
          </cell>
          <cell r="AH53">
            <v>1.2032416666666665</v>
          </cell>
          <cell r="AI53">
            <v>1.2223333333333333</v>
          </cell>
          <cell r="AJ53">
            <v>1.2423333333333335</v>
          </cell>
          <cell r="AK53">
            <v>1.248775</v>
          </cell>
          <cell r="AL53">
            <v>1.2684083333333334</v>
          </cell>
          <cell r="AM53">
            <v>1.2765250000000001</v>
          </cell>
          <cell r="AN53">
            <v>1.2675083333333332</v>
          </cell>
          <cell r="AO53">
            <v>1.2682499999999999</v>
          </cell>
          <cell r="AP53">
            <v>1.2423166666666667</v>
          </cell>
          <cell r="AQ53">
            <v>1.2287583333333332</v>
          </cell>
          <cell r="AR53">
            <v>1.2280833333333332</v>
          </cell>
          <cell r="AS53">
            <v>1.2119250000000001</v>
          </cell>
          <cell r="AT53">
            <v>1.1995666666666669</v>
          </cell>
          <cell r="AU53">
            <v>1.1696333333333333</v>
          </cell>
          <cell r="AV53">
            <v>1.1360916666666665</v>
          </cell>
          <cell r="AW53">
            <v>1.1240833333333335</v>
          </cell>
          <cell r="AX53">
            <v>1.1138916666666665</v>
          </cell>
          <cell r="AY53">
            <v>1.1217249999999999</v>
          </cell>
          <cell r="AZ53">
            <v>1.1342666666666668</v>
          </cell>
          <cell r="BA53">
            <v>1.1331416666666667</v>
          </cell>
          <cell r="BB53">
            <v>1.1225666666666665</v>
          </cell>
          <cell r="BC53">
            <v>1.1086006204230026</v>
          </cell>
          <cell r="BD53">
            <v>1.097128665453732</v>
          </cell>
          <cell r="BE53">
            <v>1.0848116036004793</v>
          </cell>
          <cell r="BF53">
            <v>1.0886763768451464</v>
          </cell>
          <cell r="BG53">
            <v>1.0826840897554773</v>
          </cell>
          <cell r="BH53">
            <v>1.0924810447247475</v>
          </cell>
          <cell r="BI53">
            <v>1.1225481065780005</v>
          </cell>
          <cell r="BJ53">
            <v>1.143025</v>
          </cell>
          <cell r="BK53">
            <v>1.1626041666666667</v>
          </cell>
          <cell r="BL53">
            <v>1.1620458333333332</v>
          </cell>
          <cell r="BM53">
            <v>1.1410708333333333</v>
          </cell>
          <cell r="BN53">
            <v>1.1337249999999999</v>
          </cell>
          <cell r="BO53">
            <v>1.1403624999999999</v>
          </cell>
          <cell r="BP53">
            <v>1.1473833333333336</v>
          </cell>
          <cell r="BQ53">
            <v>1.1757916666666668</v>
          </cell>
          <cell r="BR53">
            <v>1.1953625000000001</v>
          </cell>
          <cell r="BS53">
            <v>1.1989916666666669</v>
          </cell>
          <cell r="BT53">
            <v>1.2240541666666667</v>
          </cell>
          <cell r="BU53">
            <v>1.2324666666666668</v>
          </cell>
          <cell r="BV53">
            <v>1.2345708333333334</v>
          </cell>
          <cell r="BW53">
            <v>1.2533166666666669</v>
          </cell>
          <cell r="BX53">
            <v>1.259166666666667</v>
          </cell>
          <cell r="BY53">
            <v>1.2556</v>
          </cell>
          <cell r="BZ53">
            <v>1.2657833333333335</v>
          </cell>
          <cell r="CA53">
            <v>1.2750541666666668</v>
          </cell>
          <cell r="CB53">
            <v>1.2889166666666667</v>
          </cell>
          <cell r="CC53">
            <v>1.3055541666666668</v>
          </cell>
          <cell r="CD53">
            <v>1.3001875000000001</v>
          </cell>
          <cell r="CE53">
            <v>1.3043833333333335</v>
          </cell>
          <cell r="CF53">
            <v>1.2908641666666665</v>
          </cell>
          <cell r="CG53">
            <v>1.2827404166666667</v>
          </cell>
          <cell r="CH53">
            <v>1.28786125</v>
          </cell>
          <cell r="CI53">
            <v>1.2754691666666669</v>
          </cell>
          <cell r="CJ53">
            <v>1.2661145833333334</v>
          </cell>
          <cell r="CK53">
            <v>1.2453695833333334</v>
          </cell>
          <cell r="CL53">
            <v>1.20914375</v>
          </cell>
          <cell r="CM53">
            <v>1.1723391666666669</v>
          </cell>
          <cell r="CN53">
            <v>1.1297287500000002</v>
          </cell>
          <cell r="CO53">
            <v>1.1009654166666667</v>
          </cell>
          <cell r="CP53">
            <v>1.0951720833333336</v>
          </cell>
          <cell r="CQ53">
            <v>1.0881329166666667</v>
          </cell>
          <cell r="CR53">
            <v>1.0802837499999998</v>
          </cell>
          <cell r="CS53">
            <v>1.0804058333333335</v>
          </cell>
          <cell r="CT53">
            <v>1.0800545833333335</v>
          </cell>
          <cell r="CU53">
            <v>1.0765104166666668</v>
          </cell>
          <cell r="CV53">
            <v>1.0902025000000002</v>
          </cell>
          <cell r="CW53">
            <v>1.0860895833333333</v>
          </cell>
          <cell r="CX53">
            <v>1.0707270833333336</v>
          </cell>
          <cell r="CY53">
            <v>1.0646633333333335</v>
          </cell>
          <cell r="CZ53">
            <v>1.0569075000000001</v>
          </cell>
          <cell r="DA53">
            <v>1.05565625</v>
          </cell>
          <cell r="DB53">
            <v>1.0654133333333333</v>
          </cell>
          <cell r="DC53">
            <v>1.0803712499999998</v>
          </cell>
          <cell r="DD53">
            <v>1.0837333333333332</v>
          </cell>
          <cell r="DE53">
            <v>1.0884120833333333</v>
          </cell>
          <cell r="DF53">
            <v>1.0890720833333334</v>
          </cell>
          <cell r="DG53">
            <v>1.0784154166666666</v>
          </cell>
          <cell r="DH53">
            <v>1.0704233333333333</v>
          </cell>
          <cell r="DI53">
            <v>1.0635629166666667</v>
          </cell>
          <cell r="DJ53">
            <v>1.0570508333333335</v>
          </cell>
          <cell r="DK53">
            <v>1.0548062499999999</v>
          </cell>
          <cell r="DL53">
            <v>1.0522383333333332</v>
          </cell>
          <cell r="DM53">
            <v>1.0559691666666666</v>
          </cell>
          <cell r="DN53">
            <v>1.0614925000000002</v>
          </cell>
          <cell r="DO53">
            <v>1.062265</v>
          </cell>
          <cell r="DP53">
            <v>1.0713712499999999</v>
          </cell>
          <cell r="DQ53">
            <v>1.0720654166666668</v>
          </cell>
          <cell r="DR53">
            <v>1.0624404166666666</v>
          </cell>
          <cell r="DS53">
            <v>1.0603991666666666</v>
          </cell>
          <cell r="DT53">
            <v>1.0613012499999999</v>
          </cell>
          <cell r="DU53">
            <v>1.0685716666666665</v>
          </cell>
          <cell r="DV53">
            <v>1.0892116666666665</v>
          </cell>
          <cell r="DW53">
            <v>1.0974829166666666</v>
          </cell>
          <cell r="DX53">
            <v>1.09967375</v>
          </cell>
          <cell r="DY53">
            <v>1.0939979166666665</v>
          </cell>
          <cell r="DZ53">
            <v>1.0819379166666667</v>
          </cell>
          <cell r="EA53">
            <v>1.0804970833333336</v>
          </cell>
          <cell r="EB53">
            <v>1.0792416666666667</v>
          </cell>
          <cell r="EC53">
            <v>1.082819405978678</v>
          </cell>
          <cell r="ED53">
            <v>1.0851885726453443</v>
          </cell>
          <cell r="EE53">
            <v>1.0910935726453443</v>
          </cell>
          <cell r="EF53">
            <v>1.0973823226453445</v>
          </cell>
          <cell r="EG53">
            <v>1.0939908333333332</v>
          </cell>
          <cell r="EH53">
            <v>1.0998929166666667</v>
          </cell>
          <cell r="EI53">
            <v>1.1003862903225807</v>
          </cell>
          <cell r="EJ53">
            <v>1.0953362903225807</v>
          </cell>
          <cell r="EK53">
            <v>1.0953525601638505</v>
          </cell>
          <cell r="EL53">
            <v>1.0847959485936027</v>
          </cell>
          <cell r="EM53">
            <v>1.0948070720641254</v>
          </cell>
          <cell r="EN53">
            <v>1.1057899780470313</v>
          </cell>
          <cell r="EO53">
            <v>1.1177283692227105</v>
          </cell>
          <cell r="EP53">
            <v>1.1254980060030422</v>
          </cell>
          <cell r="EQ53">
            <v>1.128658925543272</v>
          </cell>
          <cell r="ER53">
            <v>1.1329457291039344</v>
          </cell>
          <cell r="ES53">
            <v>1.1383561507316133</v>
          </cell>
          <cell r="ET53">
            <v>1.1448877757272906</v>
          </cell>
          <cell r="EU53">
            <v>1.1525380489513344</v>
          </cell>
          <cell r="EV53">
            <v>1.1598129099101973</v>
          </cell>
          <cell r="EW53">
            <v>1.1666933400860824</v>
          </cell>
          <cell r="EX53">
            <v>1.1731612889294496</v>
          </cell>
          <cell r="EY53">
            <v>1.1791996259457405</v>
          </cell>
          <cell r="EZ53">
            <v>1.1851046678464103</v>
          </cell>
          <cell r="FA53">
            <v>1.190880780792769</v>
          </cell>
          <cell r="FB53">
            <v>1.1965321422899229</v>
          </cell>
          <cell r="FC53">
            <v>1.2020627512688082</v>
          </cell>
          <cell r="FD53">
            <v>1.2061656914182599</v>
          </cell>
          <cell r="FE53">
            <v>1.2088716182039416</v>
          </cell>
          <cell r="FF53">
            <v>1.2102102102102119</v>
          </cell>
          <cell r="FG53">
            <v>1.2102102102102119</v>
          </cell>
          <cell r="FH53">
            <v>1.2102102102102119</v>
          </cell>
          <cell r="FI53">
            <v>1.2102102102102119</v>
          </cell>
          <cell r="FJ53">
            <v>1.2102102102102119</v>
          </cell>
          <cell r="FK53">
            <v>1.2102102102102119</v>
          </cell>
          <cell r="FL53">
            <v>1.2102102102102119</v>
          </cell>
          <cell r="FM53">
            <v>1.2102102102102119</v>
          </cell>
          <cell r="FN53">
            <v>1.2102102102102119</v>
          </cell>
          <cell r="FO53">
            <v>1.2102102102102119</v>
          </cell>
          <cell r="FP53">
            <v>1.2102102102102119</v>
          </cell>
          <cell r="FQ53">
            <v>1.2102102102102119</v>
          </cell>
          <cell r="FR53">
            <v>1.2102102102102119</v>
          </cell>
          <cell r="FS53">
            <v>1.2102102102102119</v>
          </cell>
          <cell r="FT53">
            <v>1.2102102102102119</v>
          </cell>
          <cell r="FU53">
            <v>1.2102102102102119</v>
          </cell>
        </row>
        <row r="54">
          <cell r="A54" t="str">
            <v>avaudeur12m</v>
          </cell>
          <cell r="B54" t="str">
            <v>AUD/EUR</v>
          </cell>
          <cell r="AA54">
            <v>0.65419166666666662</v>
          </cell>
          <cell r="AB54">
            <v>0.64689166666666675</v>
          </cell>
          <cell r="AC54">
            <v>0.62293333333333345</v>
          </cell>
          <cell r="AD54">
            <v>0.58482500000000004</v>
          </cell>
          <cell r="AE54">
            <v>0.56580833333333336</v>
          </cell>
          <cell r="AF54">
            <v>0.54994166666666666</v>
          </cell>
          <cell r="AG54">
            <v>0.5631166666666666</v>
          </cell>
          <cell r="AH54">
            <v>0.58474999999999999</v>
          </cell>
          <cell r="AI54">
            <v>0.60893333333333344</v>
          </cell>
          <cell r="AJ54">
            <v>0.6279583333333334</v>
          </cell>
          <cell r="AK54">
            <v>0.62676666666666681</v>
          </cell>
          <cell r="AL54">
            <v>0.63219999999999998</v>
          </cell>
          <cell r="AM54">
            <v>0.62590833333333329</v>
          </cell>
          <cell r="AN54">
            <v>0.60749166666666665</v>
          </cell>
          <cell r="AO54">
            <v>0.59926666666666661</v>
          </cell>
          <cell r="AP54">
            <v>0.5836083333333334</v>
          </cell>
          <cell r="AQ54">
            <v>0.57542499999999996</v>
          </cell>
          <cell r="AR54">
            <v>0.58278333333333332</v>
          </cell>
          <cell r="AS54">
            <v>0.58238333333333336</v>
          </cell>
          <cell r="AT54">
            <v>0.57933333333333337</v>
          </cell>
          <cell r="AU54">
            <v>0.57479999999999998</v>
          </cell>
          <cell r="AV54">
            <v>0.56333333333333335</v>
          </cell>
          <cell r="AW54">
            <v>0.55722499999999997</v>
          </cell>
          <cell r="AX54">
            <v>0.56434166666666663</v>
          </cell>
          <cell r="AY54">
            <v>0.577125</v>
          </cell>
          <cell r="AZ54">
            <v>0.59313333333333329</v>
          </cell>
          <cell r="BA54">
            <v>0.59820833333333334</v>
          </cell>
          <cell r="BB54">
            <v>0.59796666666666665</v>
          </cell>
          <cell r="BC54">
            <v>0.59232374962777767</v>
          </cell>
          <cell r="BD54">
            <v>0.58697385023138182</v>
          </cell>
          <cell r="BE54">
            <v>0.59442022123920013</v>
          </cell>
          <cell r="BF54">
            <v>0.60453697524440686</v>
          </cell>
          <cell r="BG54">
            <v>0.61500905894996249</v>
          </cell>
          <cell r="BH54">
            <v>0.61900062501302511</v>
          </cell>
          <cell r="BI54">
            <v>0.6122209206718735</v>
          </cell>
          <cell r="BJ54">
            <v>0.60514999999999997</v>
          </cell>
          <cell r="BK54">
            <v>0.59929583333333336</v>
          </cell>
          <cell r="BL54">
            <v>0.59589583333333318</v>
          </cell>
          <cell r="BM54">
            <v>0.6026541666666666</v>
          </cell>
          <cell r="BN54">
            <v>0.60770000000000002</v>
          </cell>
          <cell r="BO54">
            <v>0.61179166666666662</v>
          </cell>
          <cell r="BP54">
            <v>0.61161250000000011</v>
          </cell>
          <cell r="BQ54">
            <v>0.60965416666666672</v>
          </cell>
          <cell r="BR54">
            <v>0.60168750000000004</v>
          </cell>
          <cell r="BS54">
            <v>0.57613750000000008</v>
          </cell>
          <cell r="BT54">
            <v>0.55343333333333344</v>
          </cell>
          <cell r="BU54">
            <v>0.54196666666666671</v>
          </cell>
          <cell r="BV54">
            <v>0.54430833333333328</v>
          </cell>
          <cell r="BW54">
            <v>0.56979999999999997</v>
          </cell>
          <cell r="BX54">
            <v>0.60743333333333338</v>
          </cell>
          <cell r="BY54">
            <v>0.63908333333333334</v>
          </cell>
          <cell r="BZ54">
            <v>0.66636666666666666</v>
          </cell>
          <cell r="CA54">
            <v>0.69645833333333329</v>
          </cell>
          <cell r="CB54">
            <v>0.71491666666666676</v>
          </cell>
          <cell r="CC54">
            <v>0.72755833333333342</v>
          </cell>
          <cell r="CD54">
            <v>0.73803333333333343</v>
          </cell>
          <cell r="CE54">
            <v>0.74682083333333349</v>
          </cell>
          <cell r="CF54">
            <v>0.76329583333333328</v>
          </cell>
          <cell r="CG54">
            <v>0.77692083333333317</v>
          </cell>
          <cell r="CH54">
            <v>0.79783333333333351</v>
          </cell>
          <cell r="CI54">
            <v>0.80427916666666677</v>
          </cell>
          <cell r="CJ54">
            <v>0.8017333333333333</v>
          </cell>
          <cell r="CK54">
            <v>0.78856250000000017</v>
          </cell>
          <cell r="CL54">
            <v>0.75160833333333354</v>
          </cell>
          <cell r="CM54">
            <v>0.72022916666666681</v>
          </cell>
          <cell r="CN54">
            <v>0.68737916666666676</v>
          </cell>
          <cell r="CO54">
            <v>0.67194166666666666</v>
          </cell>
          <cell r="CP54">
            <v>0.67689583333333347</v>
          </cell>
          <cell r="CQ54">
            <v>0.68070416666666678</v>
          </cell>
          <cell r="CR54">
            <v>0.6912166666666667</v>
          </cell>
          <cell r="CS54">
            <v>0.69543750000000004</v>
          </cell>
          <cell r="CT54">
            <v>0.68119583333333322</v>
          </cell>
          <cell r="CU54">
            <v>0.67649166666666671</v>
          </cell>
          <cell r="CV54">
            <v>0.66725000000000001</v>
          </cell>
          <cell r="CW54">
            <v>0.65837916666666663</v>
          </cell>
          <cell r="CX54">
            <v>0.66739166666666661</v>
          </cell>
          <cell r="CY54">
            <v>0.67328333333333334</v>
          </cell>
          <cell r="CZ54">
            <v>0.68651250000000008</v>
          </cell>
          <cell r="DA54">
            <v>0.68947499999999995</v>
          </cell>
          <cell r="DB54">
            <v>0.6870666666666666</v>
          </cell>
          <cell r="DC54">
            <v>0.6760666666666667</v>
          </cell>
          <cell r="DD54">
            <v>0.65658749999999999</v>
          </cell>
          <cell r="DE54">
            <v>0.64685416666666662</v>
          </cell>
          <cell r="DF54">
            <v>0.63607916666666664</v>
          </cell>
          <cell r="DG54">
            <v>0.63136249999999994</v>
          </cell>
          <cell r="DH54">
            <v>0.62998750000000003</v>
          </cell>
          <cell r="DI54">
            <v>0.62689166666666651</v>
          </cell>
          <cell r="DJ54">
            <v>0.62466666666666659</v>
          </cell>
          <cell r="DK54">
            <v>0.6222833333333333</v>
          </cell>
          <cell r="DL54">
            <v>0.61034750000000004</v>
          </cell>
          <cell r="DM54">
            <v>0.60555958333333326</v>
          </cell>
          <cell r="DN54">
            <v>0.6043466666666667</v>
          </cell>
          <cell r="DO54">
            <v>0.6036320833333334</v>
          </cell>
          <cell r="DP54">
            <v>0.61749287333333336</v>
          </cell>
          <cell r="DQ54">
            <v>0.62555995666666664</v>
          </cell>
          <cell r="DR54">
            <v>0.62780620666666653</v>
          </cell>
          <cell r="DS54">
            <v>0.63357161166666665</v>
          </cell>
          <cell r="DT54">
            <v>0.63670498833333333</v>
          </cell>
          <cell r="DU54">
            <v>0.64424165499999997</v>
          </cell>
          <cell r="DV54">
            <v>0.65714915500000004</v>
          </cell>
          <cell r="DW54">
            <v>0.65864333333333336</v>
          </cell>
          <cell r="DX54">
            <v>0.65440999999999994</v>
          </cell>
          <cell r="DY54">
            <v>0.63960249999999996</v>
          </cell>
          <cell r="DZ54">
            <v>0.6229087499999999</v>
          </cell>
          <cell r="EA54">
            <v>0.61346534500000005</v>
          </cell>
          <cell r="EB54">
            <v>0.60595201166666668</v>
          </cell>
          <cell r="EC54">
            <v>0.60791247021983341</v>
          </cell>
          <cell r="ED54">
            <v>0.6095987202198333</v>
          </cell>
          <cell r="EE54">
            <v>0.60924581251647014</v>
          </cell>
          <cell r="EF54">
            <v>0.60623461679094448</v>
          </cell>
          <cell r="EG54">
            <v>0.59348558074546809</v>
          </cell>
          <cell r="EH54">
            <v>0.58084442354621091</v>
          </cell>
          <cell r="EI54">
            <v>0.56445981169601089</v>
          </cell>
          <cell r="EJ54">
            <v>0.5578135009134042</v>
          </cell>
          <cell r="EK54">
            <v>0.55424304295481752</v>
          </cell>
          <cell r="EL54">
            <v>0.54633843537414972</v>
          </cell>
          <cell r="EM54">
            <v>0.53675510204081633</v>
          </cell>
          <cell r="EN54">
            <v>0.53049999999999997</v>
          </cell>
          <cell r="EO54">
            <v>0.52749999999999997</v>
          </cell>
          <cell r="EP54">
            <v>0.52899999999999991</v>
          </cell>
          <cell r="EQ54">
            <v>0.53499999999999992</v>
          </cell>
          <cell r="ER54">
            <v>0.54099999999999981</v>
          </cell>
          <cell r="ES54">
            <v>0.54699999999999993</v>
          </cell>
          <cell r="ET54">
            <v>0.55299999999999983</v>
          </cell>
          <cell r="EU54">
            <v>0.55899999999999983</v>
          </cell>
          <cell r="EV54">
            <v>0.56647991967871469</v>
          </cell>
          <cell r="EW54">
            <v>0.5754637906464567</v>
          </cell>
          <cell r="EX54">
            <v>0.58597593639544465</v>
          </cell>
          <cell r="EY54">
            <v>0.59804097704585135</v>
          </cell>
          <cell r="EZ54">
            <v>0.61020391450999367</v>
          </cell>
          <cell r="FA54">
            <v>0.62246594518159604</v>
          </cell>
          <cell r="FB54">
            <v>0.6348282850293161</v>
          </cell>
          <cell r="FC54">
            <v>0.64729216999874439</v>
          </cell>
          <cell r="FD54">
            <v>0.65667823847572193</v>
          </cell>
          <cell r="FE54">
            <v>0.66296126245621245</v>
          </cell>
          <cell r="FF54">
            <v>0.66611570247933938</v>
          </cell>
          <cell r="FG54">
            <v>0.66611570247933938</v>
          </cell>
          <cell r="FH54">
            <v>0.66611570247933938</v>
          </cell>
          <cell r="FI54">
            <v>0.66611570247933938</v>
          </cell>
          <cell r="FJ54">
            <v>0.66611570247933938</v>
          </cell>
          <cell r="FK54">
            <v>0.66611570247933938</v>
          </cell>
          <cell r="FL54">
            <v>0.66611570247933938</v>
          </cell>
          <cell r="FM54">
            <v>0.66611570247933938</v>
          </cell>
          <cell r="FN54">
            <v>0.66611570247933938</v>
          </cell>
          <cell r="FO54">
            <v>0.66611570247933938</v>
          </cell>
          <cell r="FP54">
            <v>0.66611570247933938</v>
          </cell>
          <cell r="FQ54">
            <v>0.66611570247933938</v>
          </cell>
          <cell r="FR54">
            <v>0.66611570247933938</v>
          </cell>
          <cell r="FS54">
            <v>0.66611570247933938</v>
          </cell>
          <cell r="FT54">
            <v>0.66611570247933938</v>
          </cell>
          <cell r="FU54">
            <v>0.66611570247933938</v>
          </cell>
        </row>
        <row r="55">
          <cell r="A55" t="str">
            <v>avaudkrw12m</v>
          </cell>
          <cell r="B55" t="str">
            <v>AUD/KRW</v>
          </cell>
          <cell r="BK55">
            <v>721.40902041666675</v>
          </cell>
          <cell r="BL55">
            <v>728.62746333333337</v>
          </cell>
          <cell r="BM55">
            <v>744.3722012500001</v>
          </cell>
          <cell r="BN55">
            <v>760.23396833333334</v>
          </cell>
          <cell r="BO55">
            <v>783.41482041666666</v>
          </cell>
          <cell r="BP55">
            <v>815.76171625000006</v>
          </cell>
          <cell r="BQ55">
            <v>866.27851583333324</v>
          </cell>
          <cell r="BR55">
            <v>906.20195708333347</v>
          </cell>
          <cell r="BS55">
            <v>924.8731825000001</v>
          </cell>
          <cell r="BT55">
            <v>940.13250000000005</v>
          </cell>
          <cell r="BU55">
            <v>942.74666666666656</v>
          </cell>
          <cell r="BV55">
            <v>964.93833333333339</v>
          </cell>
          <cell r="BW55">
            <v>1004.6908333333334</v>
          </cell>
          <cell r="BX55">
            <v>1029.6783333333335</v>
          </cell>
          <cell r="BY55">
            <v>1038.5466666666669</v>
          </cell>
          <cell r="BZ55">
            <v>1049.5875000000003</v>
          </cell>
          <cell r="CA55">
            <v>1064.8758333333333</v>
          </cell>
          <cell r="CB55">
            <v>1089.03</v>
          </cell>
          <cell r="CC55">
            <v>1122.0925</v>
          </cell>
          <cell r="CD55">
            <v>1138.5983333333331</v>
          </cell>
          <cell r="CE55">
            <v>1151.0925</v>
          </cell>
          <cell r="CF55">
            <v>1165.6266666666668</v>
          </cell>
          <cell r="CG55">
            <v>1168.7524999999998</v>
          </cell>
          <cell r="CH55">
            <v>1174.8174999999999</v>
          </cell>
          <cell r="CI55">
            <v>1162.8833333333332</v>
          </cell>
          <cell r="CJ55">
            <v>1148.95</v>
          </cell>
          <cell r="CK55">
            <v>1129.4091666666666</v>
          </cell>
          <cell r="CL55">
            <v>1086.5841666666668</v>
          </cell>
          <cell r="CM55">
            <v>1048.5533333333335</v>
          </cell>
          <cell r="CN55">
            <v>1005.2791666666667</v>
          </cell>
          <cell r="CO55">
            <v>971.47249999999985</v>
          </cell>
          <cell r="CP55">
            <v>957.32750000000021</v>
          </cell>
          <cell r="CQ55">
            <v>946.46500000000003</v>
          </cell>
          <cell r="CR55">
            <v>919.55499999999995</v>
          </cell>
          <cell r="CS55">
            <v>894.42</v>
          </cell>
          <cell r="CT55">
            <v>868.69333333333327</v>
          </cell>
          <cell r="CU55">
            <v>846.28833333333341</v>
          </cell>
          <cell r="CV55">
            <v>850.65250000000003</v>
          </cell>
          <cell r="CW55">
            <v>852.95583333333343</v>
          </cell>
          <cell r="CX55">
            <v>853.41416666666657</v>
          </cell>
          <cell r="CY55">
            <v>861.71249999999998</v>
          </cell>
          <cell r="CZ55">
            <v>860.17750000000012</v>
          </cell>
          <cell r="DA55">
            <v>857.87833333333344</v>
          </cell>
          <cell r="DB55">
            <v>871.07499999999993</v>
          </cell>
          <cell r="DC55">
            <v>862.76083333333338</v>
          </cell>
          <cell r="DD55">
            <v>856.21666666666658</v>
          </cell>
          <cell r="DE55">
            <v>846.56916666666666</v>
          </cell>
          <cell r="DF55">
            <v>825.26583333333349</v>
          </cell>
          <cell r="DG55">
            <v>816.96583333333331</v>
          </cell>
          <cell r="DH55">
            <v>808.32000000000016</v>
          </cell>
          <cell r="DI55">
            <v>809.04916666666668</v>
          </cell>
          <cell r="DJ55">
            <v>809.66833333333341</v>
          </cell>
          <cell r="DK55">
            <v>809.94250000000011</v>
          </cell>
          <cell r="DL55">
            <v>802.84666666666669</v>
          </cell>
          <cell r="DM55">
            <v>801.50500000000011</v>
          </cell>
          <cell r="DN55">
            <v>812.14166666666677</v>
          </cell>
          <cell r="DO55">
            <v>815.07833333333338</v>
          </cell>
          <cell r="DP55">
            <v>835.94960000000003</v>
          </cell>
          <cell r="DQ55">
            <v>846.54053333333343</v>
          </cell>
          <cell r="DR55">
            <v>845.39191666666659</v>
          </cell>
          <cell r="DS55">
            <v>857.1664833333333</v>
          </cell>
          <cell r="DT55">
            <v>861.69095833333324</v>
          </cell>
          <cell r="DU55">
            <v>870.56981666666661</v>
          </cell>
          <cell r="DV55">
            <v>887.36942499999986</v>
          </cell>
          <cell r="DW55">
            <v>893.01042500000005</v>
          </cell>
          <cell r="DX55">
            <v>893.12119999999993</v>
          </cell>
          <cell r="DY55">
            <v>888.77341666666678</v>
          </cell>
          <cell r="DZ55">
            <v>875.10932500000001</v>
          </cell>
          <cell r="EA55">
            <v>870.1567500000001</v>
          </cell>
          <cell r="EB55">
            <v>869.09426666666661</v>
          </cell>
          <cell r="EC55">
            <v>878.87656287436539</v>
          </cell>
          <cell r="ED55">
            <v>889.25041287436545</v>
          </cell>
          <cell r="EE55">
            <v>900.00800454103228</v>
          </cell>
          <cell r="EF55">
            <v>908.7106378743656</v>
          </cell>
          <cell r="EG55">
            <v>904.80883333333338</v>
          </cell>
          <cell r="EH55">
            <v>906.41075349999994</v>
          </cell>
          <cell r="EI55">
            <v>909.21475000000009</v>
          </cell>
          <cell r="EJ55">
            <v>902.75600000000009</v>
          </cell>
          <cell r="EK55">
            <v>902.9195000000002</v>
          </cell>
          <cell r="EL55">
            <v>886.86875000000009</v>
          </cell>
          <cell r="EM55">
            <v>872.04375000000005</v>
          </cell>
          <cell r="EN55">
            <v>859.671875</v>
          </cell>
          <cell r="EO55">
            <v>849.7718749999998</v>
          </cell>
          <cell r="EP55">
            <v>848.00624999999957</v>
          </cell>
          <cell r="EQ55">
            <v>854.28124999999955</v>
          </cell>
          <cell r="ER55">
            <v>860.48124999999948</v>
          </cell>
          <cell r="ES55">
            <v>866.60624999999948</v>
          </cell>
          <cell r="ET55">
            <v>872.65624999999955</v>
          </cell>
          <cell r="EU55">
            <v>878.63124999999945</v>
          </cell>
          <cell r="EV55">
            <v>885.58892499999956</v>
          </cell>
          <cell r="EW55">
            <v>893.50662499999976</v>
          </cell>
          <cell r="EX55">
            <v>902.36170000000016</v>
          </cell>
          <cell r="EY55">
            <v>912.1315000000003</v>
          </cell>
          <cell r="EZ55">
            <v>921.73570000000029</v>
          </cell>
          <cell r="FA55">
            <v>931.17430000000036</v>
          </cell>
          <cell r="FB55">
            <v>940.44730000000072</v>
          </cell>
          <cell r="FC55">
            <v>949.55470000000071</v>
          </cell>
          <cell r="FD55">
            <v>956.32315000000085</v>
          </cell>
          <cell r="FE55">
            <v>960.79405000000099</v>
          </cell>
          <cell r="FF55">
            <v>963.00880000000097</v>
          </cell>
          <cell r="FG55">
            <v>963.00880000000097</v>
          </cell>
          <cell r="FH55">
            <v>963.00880000000097</v>
          </cell>
          <cell r="FI55">
            <v>963.00880000000097</v>
          </cell>
          <cell r="FJ55">
            <v>963.00880000000097</v>
          </cell>
          <cell r="FK55">
            <v>963.00880000000097</v>
          </cell>
          <cell r="FL55">
            <v>963.00880000000097</v>
          </cell>
          <cell r="FM55">
            <v>963.00880000000097</v>
          </cell>
          <cell r="FN55">
            <v>963.00880000000097</v>
          </cell>
          <cell r="FO55">
            <v>963.00880000000097</v>
          </cell>
          <cell r="FP55">
            <v>963.00880000000097</v>
          </cell>
          <cell r="FQ55">
            <v>963.00880000000097</v>
          </cell>
          <cell r="FR55">
            <v>963.00880000000097</v>
          </cell>
          <cell r="FS55">
            <v>963.00880000000097</v>
          </cell>
          <cell r="FT55">
            <v>963.00880000000097</v>
          </cell>
          <cell r="FU55">
            <v>963.00880000000097</v>
          </cell>
        </row>
        <row r="57">
          <cell r="B57" t="str">
            <v>Market performance (3mo)</v>
          </cell>
        </row>
        <row r="58">
          <cell r="A58" t="str">
            <v>3MoASX200AIg</v>
          </cell>
          <cell r="B58" t="str">
            <v>ASX-200 Accumulation Index return</v>
          </cell>
          <cell r="F58">
            <v>-0.10137305841186262</v>
          </cell>
          <cell r="G58">
            <v>6.7358662198597319E-2</v>
          </cell>
          <cell r="H58">
            <v>7.8164379138083939E-2</v>
          </cell>
          <cell r="I58">
            <v>4.7472266912245153E-2</v>
          </cell>
          <cell r="J58">
            <v>0.11349478544594561</v>
          </cell>
          <cell r="K58">
            <v>0.11369381742804328</v>
          </cell>
          <cell r="L58">
            <v>-5.6472592884779245E-2</v>
          </cell>
          <cell r="M58">
            <v>-1.4877994991172816E-2</v>
          </cell>
          <cell r="N58">
            <v>2.6236357426732582E-2</v>
          </cell>
          <cell r="O58">
            <v>-4.3453302632797557E-2</v>
          </cell>
          <cell r="P58">
            <v>1.4561625313571414E-2</v>
          </cell>
          <cell r="Q58">
            <v>7.387623764562723E-2</v>
          </cell>
          <cell r="R58">
            <v>6.3882412022607582E-2</v>
          </cell>
          <cell r="S58">
            <v>4.4805634518949367E-2</v>
          </cell>
          <cell r="T58">
            <v>1.3026839583972771E-2</v>
          </cell>
          <cell r="U58">
            <v>1.519670334829093E-2</v>
          </cell>
          <cell r="V58">
            <v>3.0130536363572435E-2</v>
          </cell>
          <cell r="W58">
            <v>7.9411805924158418E-2</v>
          </cell>
          <cell r="X58">
            <v>5.8948979533048895E-3</v>
          </cell>
          <cell r="Y58">
            <v>0.14079514002176219</v>
          </cell>
          <cell r="Z58">
            <v>2.2776827508393049E-2</v>
          </cell>
          <cell r="AA58">
            <v>-3.9990661452154463E-2</v>
          </cell>
          <cell r="AB58">
            <v>5.5343417613101353E-2</v>
          </cell>
          <cell r="AC58">
            <v>-1.5424489002431985E-2</v>
          </cell>
          <cell r="AD58">
            <v>-3.2283001104202236E-2</v>
          </cell>
          <cell r="AE58">
            <v>9.1977945243786774E-2</v>
          </cell>
          <cell r="AF58">
            <v>6.4120490448528855E-2</v>
          </cell>
          <cell r="AG58">
            <v>2.1001635312234868E-2</v>
          </cell>
          <cell r="AH58">
            <v>-2.1254773198823962E-2</v>
          </cell>
          <cell r="AI58">
            <v>0.11666426186975443</v>
          </cell>
          <cell r="AJ58">
            <v>1.4293053710177972E-2</v>
          </cell>
          <cell r="AK58">
            <v>6.3849919557752211E-2</v>
          </cell>
          <cell r="AL58">
            <v>5.5221269516252391E-3</v>
          </cell>
          <cell r="AM58">
            <v>-1.9739995033059121E-2</v>
          </cell>
          <cell r="AN58">
            <v>-9.1598732586745113E-3</v>
          </cell>
          <cell r="AO58">
            <v>0.11673982834305185</v>
          </cell>
          <cell r="AP58">
            <v>-0.11835865483901242</v>
          </cell>
          <cell r="AQ58">
            <v>0.13124021104807992</v>
          </cell>
          <cell r="AR58">
            <v>6.9354809980346488E-3</v>
          </cell>
          <cell r="AS58">
            <v>-5.0953714035343885E-2</v>
          </cell>
          <cell r="AT58">
            <v>-6.5680536101894504E-2</v>
          </cell>
          <cell r="AU58">
            <v>2.1715251664748303E-2</v>
          </cell>
          <cell r="AV58">
            <v>-2.7889513657180953E-2</v>
          </cell>
          <cell r="AW58">
            <v>5.9123793565416083E-2</v>
          </cell>
          <cell r="AX58">
            <v>5.93968436948209E-2</v>
          </cell>
          <cell r="AY58">
            <v>5.0777061106247023E-2</v>
          </cell>
          <cell r="AZ58">
            <v>4.6709636228290385E-2</v>
          </cell>
          <cell r="BA58">
            <v>4.3675476813211045E-2</v>
          </cell>
          <cell r="BB58">
            <v>5.1558191539877285E-2</v>
          </cell>
          <cell r="BC58">
            <v>0.11419978379683027</v>
          </cell>
          <cell r="BD58">
            <v>2.7387801707146275E-2</v>
          </cell>
          <cell r="BE58">
            <v>4.9686590334564462E-2</v>
          </cell>
          <cell r="BF58">
            <v>9.979742730765008E-2</v>
          </cell>
          <cell r="BG58">
            <v>3.5607377124214024E-2</v>
          </cell>
          <cell r="BH58">
            <v>9.0307696712247587E-2</v>
          </cell>
          <cell r="BI58">
            <v>-2.0183757433597238E-3</v>
          </cell>
          <cell r="BJ58">
            <v>2.9045734588334149E-2</v>
          </cell>
          <cell r="BK58">
            <v>0.10940691995857099</v>
          </cell>
          <cell r="BL58">
            <v>6.8915920057318392E-2</v>
          </cell>
          <cell r="BM58">
            <v>5.4322477512655398E-2</v>
          </cell>
          <cell r="BN58">
            <v>5.8922942280971169E-2</v>
          </cell>
          <cell r="BO58">
            <v>-2.734866637067157E-2</v>
          </cell>
          <cell r="BP58">
            <v>-0.1439344710670144</v>
          </cell>
          <cell r="BQ58">
            <v>-1.7876275704718725E-2</v>
          </cell>
          <cell r="BR58">
            <v>-0.10439957645872611</v>
          </cell>
          <cell r="BS58">
            <v>-0.18252180321548406</v>
          </cell>
          <cell r="BT58">
            <v>-1.9806603483353391E-2</v>
          </cell>
          <cell r="BU58">
            <v>0.11285713374862126</v>
          </cell>
          <cell r="BV58">
            <v>0.21500966580907299</v>
          </cell>
          <cell r="BW58">
            <v>3.3935187999267757E-2</v>
          </cell>
          <cell r="BX58">
            <v>1.3614285091707812E-2</v>
          </cell>
          <cell r="BY58">
            <v>-0.11142929562643988</v>
          </cell>
          <cell r="BZ58">
            <v>8.0365919208558415E-2</v>
          </cell>
          <cell r="CA58">
            <v>4.3802974683393892E-2</v>
          </cell>
          <cell r="CB58">
            <v>3.2258360904893202E-2</v>
          </cell>
          <cell r="CC58">
            <v>-4.0170773863490217E-2</v>
          </cell>
          <cell r="CD58">
            <v>-0.11582426962763082</v>
          </cell>
          <cell r="CE58">
            <v>2.1154746061187391E-2</v>
          </cell>
          <cell r="CF58">
            <v>8.3979409168563071E-2</v>
          </cell>
          <cell r="CG58">
            <v>-4.6838848940895739E-2</v>
          </cell>
          <cell r="CH58">
            <v>8.8361734001106029E-2</v>
          </cell>
          <cell r="CI58">
            <v>6.9430165067436933E-2</v>
          </cell>
          <cell r="CJ58">
            <v>8.1498090896543682E-2</v>
          </cell>
          <cell r="CK58">
            <v>-2.4841468188896876E-2</v>
          </cell>
          <cell r="CL58">
            <v>0.10199866616133857</v>
          </cell>
          <cell r="CM58">
            <v>3.4228776855606657E-2</v>
          </cell>
          <cell r="CN58">
            <v>2.0896893734981603E-2</v>
          </cell>
          <cell r="CO58">
            <v>9.2913475980813676E-3</v>
          </cell>
          <cell r="CP58">
            <v>-5.9702885351921031E-3</v>
          </cell>
          <cell r="CQ58">
            <v>3.1117543426175009E-2</v>
          </cell>
          <cell r="CR58">
            <v>0.10325723358210759</v>
          </cell>
          <cell r="CS58">
            <v>-6.5461636442562976E-2</v>
          </cell>
          <cell r="CT58">
            <v>-6.5786536505705762E-2</v>
          </cell>
          <cell r="CU58">
            <v>6.4783875477170572E-2</v>
          </cell>
          <cell r="CV58">
            <v>-2.7465038179009249E-2</v>
          </cell>
          <cell r="CW58">
            <v>3.9427310175444097E-2</v>
          </cell>
          <cell r="CX58">
            <v>5.143262813171412E-2</v>
          </cell>
          <cell r="CY58">
            <v>5.1841399692300394E-2</v>
          </cell>
          <cell r="CZ58">
            <v>4.8158027452311014E-2</v>
          </cell>
          <cell r="DA58">
            <v>-1.5785679216924309E-2</v>
          </cell>
          <cell r="DB58">
            <v>6.8047844094052401E-3</v>
          </cell>
          <cell r="DC58">
            <v>7.6378102518869229E-2</v>
          </cell>
          <cell r="DD58">
            <v>-3.8612761843862531E-2</v>
          </cell>
          <cell r="DE58">
            <v>8.474258789032918E-2</v>
          </cell>
          <cell r="DF58">
            <v>1.5291930507370433E-2</v>
          </cell>
          <cell r="DG58">
            <v>-8.2358862854275627E-2</v>
          </cell>
          <cell r="DH58">
            <v>0.10886554016882609</v>
          </cell>
          <cell r="DI58">
            <v>7.9729968953993424E-2</v>
          </cell>
          <cell r="DJ58">
            <v>2.3654995358830533E-2</v>
          </cell>
          <cell r="DK58">
            <v>6.8166705670353878E-3</v>
          </cell>
          <cell r="DL58">
            <v>-0.2309836854284365</v>
          </cell>
          <cell r="DM58">
            <v>0.16480373951138105</v>
          </cell>
          <cell r="DN58">
            <v>-4.3886372269199558E-3</v>
          </cell>
          <cell r="DO58">
            <v>0.1370032915705679</v>
          </cell>
          <cell r="DP58">
            <v>4.2555441694224205E-2</v>
          </cell>
          <cell r="DQ58">
            <v>8.2869187804724978E-2</v>
          </cell>
          <cell r="DR58">
            <v>1.7113530549660805E-2</v>
          </cell>
          <cell r="DS58">
            <v>2.0938152974717683E-2</v>
          </cell>
          <cell r="DT58">
            <v>2.2426415464591454E-2</v>
          </cell>
          <cell r="DU58">
            <v>-0.11902911045192098</v>
          </cell>
          <cell r="DV58">
            <v>3.8649494454481292E-3</v>
          </cell>
          <cell r="DW58">
            <v>9.3999652919359189E-2</v>
          </cell>
          <cell r="DX58">
            <v>3.4627665716804756E-2</v>
          </cell>
          <cell r="DY58">
            <v>1.0141160481879075E-2</v>
          </cell>
          <cell r="DZ58">
            <v>-7.6606645989021338E-3</v>
          </cell>
          <cell r="EA58">
            <v>8.3957812482639227E-2</v>
          </cell>
          <cell r="EB58">
            <v>5.3278087768471538E-2</v>
          </cell>
          <cell r="EC58">
            <v>-1.0527194940382012E-2</v>
          </cell>
          <cell r="ED58">
            <v>7.7862652772300089E-2</v>
          </cell>
          <cell r="EE58">
            <v>-7.9546413602259447E-3</v>
          </cell>
          <cell r="EF58">
            <v>-2.8014442821112984E-2</v>
          </cell>
          <cell r="EG58">
            <v>9.5044100066280959E-2</v>
          </cell>
          <cell r="EH58">
            <v>4.7106268391733819E-2</v>
          </cell>
          <cell r="EI58">
            <v>2.5000000000000001E-2</v>
          </cell>
          <cell r="EJ58">
            <v>2.5000000000000001E-2</v>
          </cell>
          <cell r="EK58">
            <v>2.5000000000000001E-2</v>
          </cell>
          <cell r="EL58">
            <v>2.5000000000000001E-2</v>
          </cell>
          <cell r="EM58">
            <v>2.5000000000000001E-2</v>
          </cell>
          <cell r="EN58">
            <v>2.5000000000000001E-2</v>
          </cell>
          <cell r="EO58">
            <v>2.5000000000000001E-2</v>
          </cell>
          <cell r="EP58">
            <v>2.5000000000000001E-2</v>
          </cell>
          <cell r="EQ58">
            <v>2.5000000000000001E-2</v>
          </cell>
          <cell r="ER58">
            <v>2.5000000000000001E-2</v>
          </cell>
          <cell r="ES58">
            <v>2.5000000000000001E-2</v>
          </cell>
          <cell r="ET58">
            <v>2.5000000000000001E-2</v>
          </cell>
          <cell r="EU58">
            <v>2.5000000000000001E-2</v>
          </cell>
          <cell r="EV58">
            <v>2.5000000000000001E-2</v>
          </cell>
          <cell r="EW58">
            <v>2.5000000000000001E-2</v>
          </cell>
          <cell r="EX58">
            <v>2.5000000000000001E-2</v>
          </cell>
          <cell r="EY58">
            <v>2.5000000000000001E-2</v>
          </cell>
          <cell r="EZ58">
            <v>2.5000000000000001E-2</v>
          </cell>
          <cell r="FA58">
            <v>2.5000000000000001E-2</v>
          </cell>
          <cell r="FB58">
            <v>2.5000000000000001E-2</v>
          </cell>
          <cell r="FC58">
            <v>2.5000000000000001E-2</v>
          </cell>
          <cell r="FD58">
            <v>2.5000000000000001E-2</v>
          </cell>
          <cell r="FE58">
            <v>2.5000000000000001E-2</v>
          </cell>
          <cell r="FF58">
            <v>2.5000000000000001E-2</v>
          </cell>
          <cell r="FG58">
            <v>2.5000000000000001E-2</v>
          </cell>
          <cell r="FH58">
            <v>2.5000000000000001E-2</v>
          </cell>
          <cell r="FI58">
            <v>2.5000000000000001E-2</v>
          </cell>
          <cell r="FJ58">
            <v>2.5000000000000001E-2</v>
          </cell>
          <cell r="FK58">
            <v>2.5000000000000001E-2</v>
          </cell>
          <cell r="FL58">
            <v>2.5000000000000001E-2</v>
          </cell>
          <cell r="FM58">
            <v>2.5000000000000001E-2</v>
          </cell>
          <cell r="FN58">
            <v>2.5000000000000001E-2</v>
          </cell>
          <cell r="FO58">
            <v>2.5000000000000001E-2</v>
          </cell>
          <cell r="FP58">
            <v>2.5000000000000001E-2</v>
          </cell>
          <cell r="FQ58">
            <v>2.5000000000000001E-2</v>
          </cell>
          <cell r="FR58">
            <v>2.5000000000000001E-2</v>
          </cell>
          <cell r="FS58">
            <v>2.5000000000000001E-2</v>
          </cell>
          <cell r="FT58">
            <v>2.5000000000000001E-2</v>
          </cell>
          <cell r="FU58">
            <v>2.5000000000000001E-2</v>
          </cell>
        </row>
        <row r="59">
          <cell r="A59" t="str">
            <v>3MoFIg</v>
          </cell>
          <cell r="B59" t="str">
            <v>Fixed income return</v>
          </cell>
          <cell r="D59">
            <v>-4.7406211978894275E-3</v>
          </cell>
          <cell r="E59">
            <v>7.2024424076971405E-2</v>
          </cell>
          <cell r="F59">
            <v>1.0150784647381395E-2</v>
          </cell>
          <cell r="G59">
            <v>2.4461003942304327E-2</v>
          </cell>
          <cell r="H59">
            <v>6.4225683422020285E-2</v>
          </cell>
          <cell r="I59">
            <v>3.4517776573657288E-2</v>
          </cell>
          <cell r="J59">
            <v>3.311702822072049E-2</v>
          </cell>
          <cell r="K59">
            <v>2.2678787452877991E-2</v>
          </cell>
          <cell r="L59">
            <v>-3.0240263086853014E-2</v>
          </cell>
          <cell r="M59">
            <v>-3.5055219816372607E-2</v>
          </cell>
          <cell r="N59">
            <v>6.6614913348161942E-4</v>
          </cell>
          <cell r="O59">
            <v>1.7879701218713073E-2</v>
          </cell>
          <cell r="P59">
            <v>4.1547794382705172E-2</v>
          </cell>
          <cell r="Q59">
            <v>5.4594717533398729E-2</v>
          </cell>
          <cell r="R59">
            <v>4.2077676093316363E-2</v>
          </cell>
          <cell r="S59">
            <v>3.6235046407313565E-2</v>
          </cell>
          <cell r="T59">
            <v>-9.9164658634537384E-3</v>
          </cell>
          <cell r="U59">
            <v>2.3280946114117462E-2</v>
          </cell>
          <cell r="V59">
            <v>6.886218127276611E-2</v>
          </cell>
          <cell r="W59">
            <v>3.3521946344181819E-2</v>
          </cell>
          <cell r="X59">
            <v>-3.8133291954380866E-3</v>
          </cell>
          <cell r="Y59">
            <v>6.1464931443903303E-2</v>
          </cell>
          <cell r="Z59">
            <v>4.8594691170892546E-2</v>
          </cell>
          <cell r="AA59">
            <v>1.2154205166062138E-2</v>
          </cell>
          <cell r="AB59">
            <v>2.6830152678352093E-2</v>
          </cell>
          <cell r="AC59">
            <v>1.7444145431916525E-2</v>
          </cell>
          <cell r="AD59">
            <v>3.3770616552796673E-2</v>
          </cell>
          <cell r="AE59">
            <v>1.4232586125228819E-2</v>
          </cell>
          <cell r="AF59">
            <v>-2.556334983701003E-4</v>
          </cell>
          <cell r="AG59">
            <v>-1.4677196834687267E-2</v>
          </cell>
          <cell r="AH59">
            <v>1.4543515496255655E-2</v>
          </cell>
          <cell r="AI59">
            <v>-1.1594275749451488E-2</v>
          </cell>
          <cell r="AJ59">
            <v>3.0191702226207262E-2</v>
          </cell>
          <cell r="AK59">
            <v>2.7728861092428225E-2</v>
          </cell>
          <cell r="AL59">
            <v>1.1828163653605728E-2</v>
          </cell>
          <cell r="AM59">
            <v>4.5895998055759835E-2</v>
          </cell>
          <cell r="AN59">
            <v>2.8017849083382673E-2</v>
          </cell>
          <cell r="AO59">
            <v>-1.2742405933753975E-2</v>
          </cell>
          <cell r="AP59">
            <v>4.2552079763308104E-2</v>
          </cell>
          <cell r="AQ59">
            <v>-3.1059984274653951E-3</v>
          </cell>
          <cell r="AR59">
            <v>-2.7334803911367445E-3</v>
          </cell>
          <cell r="AS59">
            <v>2.4546247444821478E-2</v>
          </cell>
          <cell r="AT59">
            <v>3.8406870026462148E-2</v>
          </cell>
          <cell r="AU59">
            <v>2.5571457468116066E-2</v>
          </cell>
          <cell r="AV59">
            <v>9.3005174268261381E-3</v>
          </cell>
          <cell r="AW59">
            <v>2.1700752449281158E-2</v>
          </cell>
          <cell r="AX59">
            <v>-2.3346880883693411E-3</v>
          </cell>
          <cell r="AY59">
            <v>1.6370437404564786E-3</v>
          </cell>
          <cell r="AZ59">
            <v>2.0264478381021078E-2</v>
          </cell>
          <cell r="BA59">
            <v>3.6548510711391646E-3</v>
          </cell>
          <cell r="BB59">
            <v>2.5998098836938155E-2</v>
          </cell>
          <cell r="BC59">
            <v>1.8063429305124723E-2</v>
          </cell>
          <cell r="BD59">
            <v>-3.3242500548225085E-4</v>
          </cell>
          <cell r="BE59">
            <v>3.2280522028958369E-2</v>
          </cell>
          <cell r="BF59">
            <v>6.5659124661481272E-3</v>
          </cell>
          <cell r="BG59">
            <v>1.8440118866601463E-2</v>
          </cell>
          <cell r="BH59">
            <v>8.6715558990781982E-3</v>
          </cell>
          <cell r="BI59">
            <v>1.1173172557921163E-4</v>
          </cell>
          <cell r="BJ59">
            <v>1.9883716952011854E-2</v>
          </cell>
          <cell r="BK59">
            <v>2.6479638730860788E-3</v>
          </cell>
          <cell r="BL59">
            <v>1.4002805038475286E-2</v>
          </cell>
          <cell r="BM59">
            <v>2.8703489675163674E-3</v>
          </cell>
          <cell r="BN59">
            <v>1.483594713016223E-2</v>
          </cell>
          <cell r="BO59">
            <v>2.5466440302757132E-3</v>
          </cell>
          <cell r="BP59">
            <v>2.2112927456247711E-2</v>
          </cell>
          <cell r="BQ59">
            <v>4.1224707170608443E-3</v>
          </cell>
          <cell r="BR59">
            <v>5.3249175059349341E-2</v>
          </cell>
          <cell r="BS59">
            <v>6.338388515496729E-2</v>
          </cell>
          <cell r="BT59">
            <v>2.7682008205447417E-3</v>
          </cell>
          <cell r="BU59">
            <v>-1.3258164481938506E-2</v>
          </cell>
          <cell r="BV59">
            <v>1.7633571107029677E-2</v>
          </cell>
          <cell r="BW59">
            <v>1.0349797386242088E-2</v>
          </cell>
          <cell r="BX59">
            <v>1.2553588948949868E-2</v>
          </cell>
          <cell r="BY59">
            <v>3.600521845055038E-2</v>
          </cell>
          <cell r="BZ59">
            <v>1.2763088075998352E-2</v>
          </cell>
          <cell r="CA59">
            <v>-1.9281657441698741E-3</v>
          </cell>
          <cell r="CB59">
            <v>2.0402768877064714E-2</v>
          </cell>
          <cell r="CC59">
            <v>2.3301758442302534E-2</v>
          </cell>
          <cell r="CD59">
            <v>4.631714159429956E-2</v>
          </cell>
          <cell r="CE59">
            <v>1.9400605545980776E-2</v>
          </cell>
          <cell r="CF59">
            <v>7.843133247519507E-3</v>
          </cell>
          <cell r="CG59">
            <v>4.5691438486235025E-2</v>
          </cell>
          <cell r="CH59">
            <v>1.9842057938989965E-2</v>
          </cell>
          <cell r="CI59">
            <v>2.0788741485022744E-3</v>
          </cell>
          <cell r="CJ59">
            <v>1.6346802648128378E-3</v>
          </cell>
          <cell r="CK59">
            <v>4.0473004032770543E-3</v>
          </cell>
          <cell r="CL59">
            <v>1.03549373798002E-2</v>
          </cell>
          <cell r="CM59">
            <v>3.6949952275564524E-3</v>
          </cell>
          <cell r="CN59">
            <v>1.4517531912989767E-2</v>
          </cell>
          <cell r="CO59">
            <v>3.1149573074711556E-2</v>
          </cell>
          <cell r="CP59">
            <v>9.7097417037388389E-3</v>
          </cell>
          <cell r="CQ59">
            <v>3.959256283285062E-2</v>
          </cell>
          <cell r="CR59">
            <v>2.6687782848157093E-2</v>
          </cell>
          <cell r="CS59">
            <v>-1.9879524695589845E-2</v>
          </cell>
          <cell r="CT59">
            <v>2.2002474251316295E-2</v>
          </cell>
          <cell r="CU59">
            <v>-2.4844800598924355E-3</v>
          </cell>
          <cell r="CV59">
            <v>2.0511563348071471E-2</v>
          </cell>
          <cell r="CW59">
            <v>2.8650137591583524E-2</v>
          </cell>
          <cell r="CX59">
            <v>9.3288954729460194E-3</v>
          </cell>
          <cell r="CY59">
            <v>-2.8648837633279745E-2</v>
          </cell>
          <cell r="CZ59">
            <v>1.2295351537542576E-2</v>
          </cell>
          <cell r="DA59">
            <v>1.0104783569503839E-2</v>
          </cell>
          <cell r="DB59">
            <v>-7.0145061874471448E-4</v>
          </cell>
          <cell r="DC59">
            <v>1.4432538184959709E-2</v>
          </cell>
          <cell r="DD59">
            <v>8.672572096035891E-3</v>
          </cell>
          <cell r="DE59">
            <v>8.1571468651848722E-3</v>
          </cell>
          <cell r="DF59">
            <v>5.4290269217991405E-3</v>
          </cell>
          <cell r="DG59">
            <v>2.2427095924253626E-2</v>
          </cell>
          <cell r="DH59">
            <v>3.4338874563020871E-2</v>
          </cell>
          <cell r="DI59">
            <v>3.0513227269436172E-2</v>
          </cell>
          <cell r="DJ59">
            <v>1.9758496779586965E-2</v>
          </cell>
          <cell r="DK59">
            <v>-1.3205720786201081E-2</v>
          </cell>
          <cell r="DL59">
            <v>2.9869809259696511E-2</v>
          </cell>
          <cell r="DM59">
            <v>5.2598695685854846E-3</v>
          </cell>
          <cell r="DN59">
            <v>1.0233975220604652E-2</v>
          </cell>
          <cell r="DO59">
            <v>-1.0303410461541818E-3</v>
          </cell>
          <cell r="DP59">
            <v>-3.2166898417059331E-2</v>
          </cell>
          <cell r="DQ59">
            <v>1.5224932608919772E-2</v>
          </cell>
          <cell r="DR59">
            <v>3.105062740017539E-3</v>
          </cell>
          <cell r="DS59">
            <v>-1.4575419545912682E-2</v>
          </cell>
          <cell r="DT59">
            <v>-5.8819408377136062E-2</v>
          </cell>
          <cell r="DU59">
            <v>-3.805093785096314E-2</v>
          </cell>
          <cell r="DV59">
            <v>-6.44987795071994E-3</v>
          </cell>
          <cell r="DW59">
            <v>3.7890734154637506E-3</v>
          </cell>
          <cell r="DX59">
            <v>4.5976040044242605E-2</v>
          </cell>
          <cell r="DY59">
            <v>-2.9489086586415025E-2</v>
          </cell>
          <cell r="DZ59">
            <v>-2.8224229497852971E-3</v>
          </cell>
          <cell r="EA59">
            <v>3.7856109848143582E-2</v>
          </cell>
          <cell r="EB59">
            <v>1.0259837568803221E-2</v>
          </cell>
          <cell r="EC59">
            <v>-8.3854139366149605E-3</v>
          </cell>
          <cell r="ED59">
            <v>3.0205582832367739E-2</v>
          </cell>
          <cell r="EE59">
            <v>-2.6442544452786043E-3</v>
          </cell>
          <cell r="EF59">
            <v>1.293069505799882E-2</v>
          </cell>
          <cell r="EG59">
            <v>2.6274125342319543E-2</v>
          </cell>
          <cell r="EH59">
            <v>3.9874039069125455E-3</v>
          </cell>
          <cell r="EI59">
            <v>1.4468749999999999E-2</v>
          </cell>
          <cell r="EJ59">
            <v>1.4312500000000002E-2</v>
          </cell>
          <cell r="EK59">
            <v>1.4468750000000002E-2</v>
          </cell>
          <cell r="EL59">
            <v>1.4781249999999999E-2</v>
          </cell>
          <cell r="EM59">
            <v>1.509375E-2</v>
          </cell>
          <cell r="EN59">
            <v>1.509375E-2</v>
          </cell>
          <cell r="EO59">
            <v>1.4781249999999999E-2</v>
          </cell>
          <cell r="EP59">
            <v>1.4468749999999999E-2</v>
          </cell>
          <cell r="EQ59">
            <v>1.4156250000000002E-2</v>
          </cell>
          <cell r="ER59">
            <v>1.4000000000000002E-2</v>
          </cell>
          <cell r="ES59">
            <v>1.4000000000000002E-2</v>
          </cell>
          <cell r="ET59">
            <v>1.4000000000000002E-2</v>
          </cell>
          <cell r="EU59">
            <v>1.4000000000000002E-2</v>
          </cell>
          <cell r="EV59">
            <v>1.4000000000000002E-2</v>
          </cell>
          <cell r="EW59">
            <v>1.4000000000000002E-2</v>
          </cell>
          <cell r="EX59">
            <v>1.4000000000000002E-2</v>
          </cell>
          <cell r="EY59">
            <v>1.4000000000000002E-2</v>
          </cell>
          <cell r="EZ59">
            <v>1.4000000000000002E-2</v>
          </cell>
          <cell r="FA59">
            <v>1.4000000000000002E-2</v>
          </cell>
          <cell r="FB59">
            <v>1.4000000000000002E-2</v>
          </cell>
          <cell r="FC59">
            <v>1.4000000000000002E-2</v>
          </cell>
          <cell r="FD59">
            <v>1.4000000000000002E-2</v>
          </cell>
          <cell r="FE59">
            <v>1.4000000000000002E-2</v>
          </cell>
          <cell r="FF59">
            <v>1.4000000000000002E-2</v>
          </cell>
          <cell r="FG59">
            <v>1.4000000000000002E-2</v>
          </cell>
          <cell r="FH59">
            <v>1.4000000000000002E-2</v>
          </cell>
          <cell r="FI59">
            <v>1.4000000000000002E-2</v>
          </cell>
          <cell r="FJ59">
            <v>1.4000000000000002E-2</v>
          </cell>
          <cell r="FK59">
            <v>1.4000000000000002E-2</v>
          </cell>
          <cell r="FL59">
            <v>1.4000000000000002E-2</v>
          </cell>
          <cell r="FM59">
            <v>1.4000000000000002E-2</v>
          </cell>
          <cell r="FN59">
            <v>1.4000000000000002E-2</v>
          </cell>
          <cell r="FO59">
            <v>1.4000000000000002E-2</v>
          </cell>
          <cell r="FP59">
            <v>1.4000000000000002E-2</v>
          </cell>
          <cell r="FQ59">
            <v>1.4000000000000002E-2</v>
          </cell>
          <cell r="FR59">
            <v>1.4000000000000002E-2</v>
          </cell>
          <cell r="FS59">
            <v>1.4000000000000002E-2</v>
          </cell>
          <cell r="FT59">
            <v>1.4000000000000002E-2</v>
          </cell>
          <cell r="FU59">
            <v>1.4000000000000002E-2</v>
          </cell>
        </row>
        <row r="60">
          <cell r="A60" t="str">
            <v>3MoCashg</v>
          </cell>
          <cell r="B60" t="str">
            <v>Cash return</v>
          </cell>
          <cell r="D60">
            <v>1.8749999999999999E-2</v>
          </cell>
          <cell r="E60">
            <v>1.7041666666666667E-2</v>
          </cell>
          <cell r="F60">
            <v>1.3708333333333333E-2</v>
          </cell>
          <cell r="G60">
            <v>1.4291666666666664E-2</v>
          </cell>
          <cell r="H60">
            <v>1.3833333333333335E-2</v>
          </cell>
          <cell r="I60">
            <v>1.2958333333333334E-2</v>
          </cell>
          <cell r="J60">
            <v>1.1791666666666666E-2</v>
          </cell>
          <cell r="K60">
            <v>1.1916666666666666E-2</v>
          </cell>
          <cell r="L60">
            <v>1.1833333333333333E-2</v>
          </cell>
          <cell r="M60">
            <v>1.1541666666666667E-2</v>
          </cell>
          <cell r="N60">
            <v>1.2958333333333334E-2</v>
          </cell>
          <cell r="O60">
            <v>1.6916666666666667E-2</v>
          </cell>
          <cell r="P60">
            <v>1.8624999999999999E-2</v>
          </cell>
          <cell r="Q60">
            <v>1.8558333333333333E-2</v>
          </cell>
          <cell r="R60">
            <v>1.8500000000000003E-2</v>
          </cell>
          <cell r="S60">
            <v>1.8583333333333334E-2</v>
          </cell>
          <cell r="T60">
            <v>1.8499999999999999E-2</v>
          </cell>
          <cell r="U60">
            <v>1.8083333333333333E-2</v>
          </cell>
          <cell r="V60">
            <v>1.7500000000000002E-2</v>
          </cell>
          <cell r="W60">
            <v>1.6308333333333334E-2</v>
          </cell>
          <cell r="X60">
            <v>1.5075E-2</v>
          </cell>
          <cell r="Y60">
            <v>1.4241666666666666E-2</v>
          </cell>
          <cell r="Z60">
            <v>1.2458333333333333E-2</v>
          </cell>
          <cell r="AA60">
            <v>1.2450000000000001E-2</v>
          </cell>
          <cell r="AB60">
            <v>1.2450000000000001E-2</v>
          </cell>
          <cell r="AC60">
            <v>1.2433333333333334E-2</v>
          </cell>
          <cell r="AD60">
            <v>1.2458333333333333E-2</v>
          </cell>
          <cell r="AE60">
            <v>1.2233333333333334E-2</v>
          </cell>
          <cell r="AF60">
            <v>1.1816666666666666E-2</v>
          </cell>
          <cell r="AG60">
            <v>1.1883333333333334E-2</v>
          </cell>
          <cell r="AH60">
            <v>1.1899999999999999E-2</v>
          </cell>
          <cell r="AI60">
            <v>1.2266666666666665E-2</v>
          </cell>
          <cell r="AJ60">
            <v>1.3333333333333332E-2</v>
          </cell>
          <cell r="AK60">
            <v>1.4791666666666668E-2</v>
          </cell>
          <cell r="AL60">
            <v>1.5416666666666667E-2</v>
          </cell>
          <cell r="AM60">
            <v>1.5625E-2</v>
          </cell>
          <cell r="AN60">
            <v>1.4583333333333332E-2</v>
          </cell>
          <cell r="AO60">
            <v>1.2500000000000001E-2</v>
          </cell>
          <cell r="AP60">
            <v>1.2291666666666668E-2</v>
          </cell>
          <cell r="AQ60">
            <v>1.1041666666666667E-2</v>
          </cell>
          <cell r="AR60">
            <v>1.0625000000000001E-2</v>
          </cell>
          <cell r="AS60">
            <v>1.125E-2</v>
          </cell>
          <cell r="AT60">
            <v>1.1875E-2</v>
          </cell>
          <cell r="AU60">
            <v>1.1875E-2</v>
          </cell>
          <cell r="AV60">
            <v>1.1875E-2</v>
          </cell>
          <cell r="AW60">
            <v>1.1875E-2</v>
          </cell>
          <cell r="AX60">
            <v>1.1875E-2</v>
          </cell>
          <cell r="AY60">
            <v>1.2500000000000001E-2</v>
          </cell>
          <cell r="AZ60">
            <v>1.3125E-2</v>
          </cell>
          <cell r="BA60">
            <v>1.3125E-2</v>
          </cell>
          <cell r="BB60">
            <v>1.3125E-2</v>
          </cell>
          <cell r="BC60">
            <v>1.3125E-2</v>
          </cell>
          <cell r="BD60">
            <v>1.3333333333333332E-2</v>
          </cell>
          <cell r="BE60">
            <v>1.375E-2</v>
          </cell>
          <cell r="BF60">
            <v>1.375E-2</v>
          </cell>
          <cell r="BG60">
            <v>1.375E-2</v>
          </cell>
          <cell r="BH60">
            <v>1.375E-2</v>
          </cell>
          <cell r="BI60">
            <v>1.4166666666666668E-2</v>
          </cell>
          <cell r="BJ60">
            <v>1.4791666666666668E-2</v>
          </cell>
          <cell r="BK60">
            <v>1.5416666666666667E-2</v>
          </cell>
          <cell r="BL60">
            <v>1.5625E-2</v>
          </cell>
          <cell r="BM60">
            <v>1.5625E-2</v>
          </cell>
          <cell r="BN60">
            <v>1.6041666666666666E-2</v>
          </cell>
          <cell r="BO60">
            <v>1.6666666666666666E-2</v>
          </cell>
          <cell r="BP60">
            <v>1.7500000000000002E-2</v>
          </cell>
          <cell r="BQ60">
            <v>1.8124999999999999E-2</v>
          </cell>
          <cell r="BR60">
            <v>1.7916666666666668E-2</v>
          </cell>
          <cell r="BS60">
            <v>1.2916666666666667E-2</v>
          </cell>
          <cell r="BT60">
            <v>8.9583333333333338E-3</v>
          </cell>
          <cell r="BU60">
            <v>7.4999999999999997E-3</v>
          </cell>
          <cell r="BV60">
            <v>7.4999999999999997E-3</v>
          </cell>
          <cell r="BW60">
            <v>8.7500000000000008E-3</v>
          </cell>
          <cell r="BX60">
            <v>9.5833333333333343E-3</v>
          </cell>
          <cell r="BY60">
            <v>1.1041666666666667E-2</v>
          </cell>
          <cell r="BZ60">
            <v>1.125E-2</v>
          </cell>
          <cell r="CA60">
            <v>1.1666666666666667E-2</v>
          </cell>
          <cell r="CB60">
            <v>1.1875E-2</v>
          </cell>
          <cell r="CC60">
            <v>1.1875E-2</v>
          </cell>
          <cell r="CD60">
            <v>1.1875E-2</v>
          </cell>
          <cell r="CE60">
            <v>1.125E-2</v>
          </cell>
          <cell r="CF60">
            <v>1.0625000000000001E-2</v>
          </cell>
          <cell r="CG60">
            <v>9.5833333333333343E-3</v>
          </cell>
          <cell r="CH60">
            <v>8.7500000000000008E-3</v>
          </cell>
          <cell r="CI60">
            <v>7.9166666666666656E-3</v>
          </cell>
          <cell r="CJ60">
            <v>7.4999999999999997E-3</v>
          </cell>
          <cell r="CK60">
            <v>7.0833333333333338E-3</v>
          </cell>
          <cell r="CL60">
            <v>6.4583333333333333E-3</v>
          </cell>
          <cell r="CM60">
            <v>6.2500000000000003E-3</v>
          </cell>
          <cell r="CN60">
            <v>6.2500000000000003E-3</v>
          </cell>
          <cell r="CO60">
            <v>6.2500000000000003E-3</v>
          </cell>
          <cell r="CP60">
            <v>6.2500000000000003E-3</v>
          </cell>
          <cell r="CQ60">
            <v>6.2500000000000003E-3</v>
          </cell>
          <cell r="CR60">
            <v>5.8333333333333336E-3</v>
          </cell>
          <cell r="CS60">
            <v>5.2083333333333339E-3</v>
          </cell>
          <cell r="CT60">
            <v>5.0000000000000001E-3</v>
          </cell>
          <cell r="CU60">
            <v>5.0000000000000001E-3</v>
          </cell>
          <cell r="CV60">
            <v>5.0000000000000001E-3</v>
          </cell>
          <cell r="CW60">
            <v>4.5833333333333334E-3</v>
          </cell>
          <cell r="CX60">
            <v>3.9583333333333328E-3</v>
          </cell>
          <cell r="CY60">
            <v>3.7499999999999999E-3</v>
          </cell>
          <cell r="CZ60">
            <v>3.7499999999999999E-3</v>
          </cell>
          <cell r="DA60">
            <v>3.7499999999999999E-3</v>
          </cell>
          <cell r="DB60">
            <v>3.7499999999999999E-3</v>
          </cell>
          <cell r="DC60">
            <v>3.7499999999999999E-3</v>
          </cell>
          <cell r="DD60">
            <v>3.7499999999999999E-3</v>
          </cell>
          <cell r="DE60">
            <v>3.7499999999999999E-3</v>
          </cell>
          <cell r="DF60">
            <v>3.7499999999999999E-3</v>
          </cell>
          <cell r="DG60">
            <v>3.7499999999999999E-3</v>
          </cell>
          <cell r="DH60">
            <v>3.7499999999999999E-3</v>
          </cell>
          <cell r="DI60">
            <v>3.5416666666666669E-3</v>
          </cell>
          <cell r="DJ60">
            <v>2.5000000000000001E-3</v>
          </cell>
          <cell r="DK60">
            <v>1.8749999999999999E-3</v>
          </cell>
          <cell r="DL60">
            <v>1.4583333333333334E-3</v>
          </cell>
          <cell r="DM60">
            <v>6.2500000000000001E-4</v>
          </cell>
          <cell r="DN60">
            <v>6.2500000000000001E-4</v>
          </cell>
          <cell r="DO60">
            <v>3.7500000000000001E-4</v>
          </cell>
          <cell r="DP60">
            <v>2.5000000000000006E-4</v>
          </cell>
          <cell r="DQ60">
            <v>2.5000000000000006E-4</v>
          </cell>
          <cell r="DR60">
            <v>2.5000000000000006E-4</v>
          </cell>
          <cell r="DS60">
            <v>2.5000000000000006E-4</v>
          </cell>
          <cell r="DT60">
            <v>2.5000000000000006E-4</v>
          </cell>
          <cell r="DU60">
            <v>1.0833333333333333E-3</v>
          </cell>
          <cell r="DV60">
            <v>4.6250000000000006E-3</v>
          </cell>
          <cell r="DW60">
            <v>7.1250000000000003E-3</v>
          </cell>
          <cell r="DX60">
            <v>8.3750000000000005E-3</v>
          </cell>
          <cell r="DY60">
            <v>9.6249999999999999E-3</v>
          </cell>
          <cell r="DZ60">
            <v>1.0249999999999999E-2</v>
          </cell>
          <cell r="EA60">
            <v>1.0666666666666666E-2</v>
          </cell>
          <cell r="EB60">
            <v>1.0874999999999999E-2</v>
          </cell>
          <cell r="EC60">
            <v>1.0874999999999999E-2</v>
          </cell>
          <cell r="ED60">
            <v>1.0874999999999999E-2</v>
          </cell>
          <cell r="EE60">
            <v>1.0874999999999999E-2</v>
          </cell>
          <cell r="EF60">
            <v>1.0458333333333332E-2</v>
          </cell>
          <cell r="EG60">
            <v>9.8333333333333328E-3</v>
          </cell>
          <cell r="EH60">
            <v>9.208333333333334E-3</v>
          </cell>
          <cell r="EI60">
            <v>9.4687499999999997E-3</v>
          </cell>
          <cell r="EJ60">
            <v>9.3125000000000013E-3</v>
          </cell>
          <cell r="EK60">
            <v>9.4687500000000015E-3</v>
          </cell>
          <cell r="EL60">
            <v>9.78125E-3</v>
          </cell>
          <cell r="EM60">
            <v>1.0093749999999999E-2</v>
          </cell>
          <cell r="EN60">
            <v>1.0093749999999999E-2</v>
          </cell>
          <cell r="EO60">
            <v>9.78125E-3</v>
          </cell>
          <cell r="EP60">
            <v>9.4687499999999997E-3</v>
          </cell>
          <cell r="EQ60">
            <v>9.1562500000000012E-3</v>
          </cell>
          <cell r="ER60">
            <v>9.0000000000000011E-3</v>
          </cell>
          <cell r="ES60">
            <v>9.0000000000000011E-3</v>
          </cell>
          <cell r="ET60">
            <v>9.0000000000000011E-3</v>
          </cell>
          <cell r="EU60">
            <v>9.0000000000000011E-3</v>
          </cell>
          <cell r="EV60">
            <v>9.0000000000000011E-3</v>
          </cell>
          <cell r="EW60">
            <v>9.0000000000000011E-3</v>
          </cell>
          <cell r="EX60">
            <v>9.0000000000000011E-3</v>
          </cell>
          <cell r="EY60">
            <v>9.0000000000000011E-3</v>
          </cell>
          <cell r="EZ60">
            <v>9.0000000000000011E-3</v>
          </cell>
          <cell r="FA60">
            <v>9.0000000000000011E-3</v>
          </cell>
          <cell r="FB60">
            <v>9.0000000000000011E-3</v>
          </cell>
          <cell r="FC60">
            <v>9.0000000000000011E-3</v>
          </cell>
          <cell r="FD60">
            <v>9.0000000000000011E-3</v>
          </cell>
          <cell r="FE60">
            <v>9.0000000000000011E-3</v>
          </cell>
          <cell r="FF60">
            <v>9.0000000000000011E-3</v>
          </cell>
          <cell r="FG60">
            <v>9.0000000000000011E-3</v>
          </cell>
          <cell r="FH60">
            <v>9.0000000000000011E-3</v>
          </cell>
          <cell r="FI60">
            <v>9.0000000000000011E-3</v>
          </cell>
          <cell r="FJ60">
            <v>9.0000000000000011E-3</v>
          </cell>
          <cell r="FK60">
            <v>9.0000000000000011E-3</v>
          </cell>
          <cell r="FL60">
            <v>9.0000000000000011E-3</v>
          </cell>
          <cell r="FM60">
            <v>9.0000000000000011E-3</v>
          </cell>
          <cell r="FN60">
            <v>9.0000000000000011E-3</v>
          </cell>
          <cell r="FO60">
            <v>9.0000000000000011E-3</v>
          </cell>
          <cell r="FP60">
            <v>9.0000000000000011E-3</v>
          </cell>
          <cell r="FQ60">
            <v>9.0000000000000011E-3</v>
          </cell>
          <cell r="FR60">
            <v>9.0000000000000011E-3</v>
          </cell>
          <cell r="FS60">
            <v>9.0000000000000011E-3</v>
          </cell>
          <cell r="FT60">
            <v>9.0000000000000011E-3</v>
          </cell>
          <cell r="FU60">
            <v>9.0000000000000011E-3</v>
          </cell>
        </row>
        <row r="62">
          <cell r="B62" t="str">
            <v>Market performance (6mo)</v>
          </cell>
        </row>
        <row r="63">
          <cell r="A63" t="str">
            <v>6MoASX200AIg</v>
          </cell>
          <cell r="B63" t="str">
            <v>ASX-200 Accumulation Index return</v>
          </cell>
          <cell r="G63">
            <v>-4.0842749810868655E-2</v>
          </cell>
          <cell r="H63">
            <v>0.15078808934700638</v>
          </cell>
          <cell r="I63">
            <v>0.12934728631980197</v>
          </cell>
          <cell r="J63">
            <v>0.16635490710602863</v>
          </cell>
          <cell r="K63">
            <v>0.24009225828951508</v>
          </cell>
          <cell r="L63">
            <v>5.0800639878133769E-2</v>
          </cell>
          <cell r="M63">
            <v>-7.051038892187389E-2</v>
          </cell>
          <cell r="N63">
            <v>1.0968018041177974E-2</v>
          </cell>
          <cell r="O63">
            <v>-1.8357001585311061E-2</v>
          </cell>
          <cell r="P63">
            <v>-2.952442803080213E-2</v>
          </cell>
          <cell r="Q63">
            <v>8.9513621051370507E-2</v>
          </cell>
          <cell r="R63">
            <v>0.14247804192019276</v>
          </cell>
          <cell r="S63">
            <v>0.11155033854683083</v>
          </cell>
          <cell r="T63">
            <v>5.8416149916258764E-2</v>
          </cell>
          <cell r="U63">
            <v>2.8421507948987124E-2</v>
          </cell>
          <cell r="V63">
            <v>4.5785124534705401E-2</v>
          </cell>
          <cell r="W63">
            <v>0.11193506259382581</v>
          </cell>
          <cell r="X63">
            <v>8.5774828369673983E-2</v>
          </cell>
          <cell r="Y63">
            <v>0.14752001095781653</v>
          </cell>
          <cell r="Z63">
            <v>0.16677883414845085</v>
          </cell>
          <cell r="AA63">
            <v>-1.8124694341603798E-2</v>
          </cell>
          <cell r="AB63">
            <v>1.3139536283576225E-2</v>
          </cell>
          <cell r="AC63">
            <v>3.9065284674339118E-2</v>
          </cell>
          <cell r="AD63">
            <v>-4.7209541311136964E-2</v>
          </cell>
          <cell r="AE63">
            <v>5.6725620031717217E-2</v>
          </cell>
          <cell r="AF63">
            <v>0.1619961066517952</v>
          </cell>
          <cell r="AG63">
            <v>8.646876091720547E-2</v>
          </cell>
          <cell r="AH63">
            <v>-6.9952288195496148E-4</v>
          </cell>
          <cell r="AI63">
            <v>9.2929816244480712E-2</v>
          </cell>
          <cell r="AJ63">
            <v>0.13262480414089528</v>
          </cell>
          <cell r="AK63">
            <v>7.9055583597559709E-2</v>
          </cell>
          <cell r="AL63">
            <v>6.9724633871026453E-2</v>
          </cell>
          <cell r="AM63">
            <v>-1.4326874840030701E-2</v>
          </cell>
          <cell r="AN63">
            <v>-2.8719052439103998E-2</v>
          </cell>
          <cell r="AO63">
            <v>0.1065106330525154</v>
          </cell>
          <cell r="AP63">
            <v>-1.5435995544781478E-2</v>
          </cell>
          <cell r="AQ63">
            <v>-2.6518586313712955E-3</v>
          </cell>
          <cell r="AR63">
            <v>0.13908590603601678</v>
          </cell>
          <cell r="AS63">
            <v>-4.4371621552780634E-2</v>
          </cell>
          <cell r="AT63">
            <v>-0.11328758288301444</v>
          </cell>
          <cell r="AU63">
            <v>-4.5391553808074366E-2</v>
          </cell>
          <cell r="AV63">
            <v>-6.7798898003056385E-3</v>
          </cell>
          <cell r="AW63">
            <v>2.9585346060128082E-2</v>
          </cell>
          <cell r="AX63">
            <v>0.12203240398528671</v>
          </cell>
          <cell r="AY63">
            <v>0.11318990196287813</v>
          </cell>
          <cell r="AZ63">
            <v>9.9858475387551979E-2</v>
          </cell>
          <cell r="BA63">
            <v>9.2425178675543673E-2</v>
          </cell>
          <cell r="BB63">
            <v>9.7485496952219197E-2</v>
          </cell>
          <cell r="BC63">
            <v>0.17164590966351725</v>
          </cell>
          <cell r="BD63">
            <v>0.14471526653760303</v>
          </cell>
          <cell r="BE63">
            <v>7.8435198525297789E-2</v>
          </cell>
          <cell r="BF63">
            <v>0.15444261152929317</v>
          </cell>
          <cell r="BG63">
            <v>0.13895832906203398</v>
          </cell>
          <cell r="BH63">
            <v>0.12913069405051369</v>
          </cell>
          <cell r="BI63">
            <v>8.8107046104405118E-2</v>
          </cell>
          <cell r="BJ63">
            <v>2.696873363883312E-2</v>
          </cell>
          <cell r="BK63">
            <v>0.14163045890614878</v>
          </cell>
          <cell r="BL63">
            <v>0.18586271856547154</v>
          </cell>
          <cell r="BM63">
            <v>0.12698208108755127</v>
          </cell>
          <cell r="BN63">
            <v>0.11644626000066417</v>
          </cell>
          <cell r="BO63">
            <v>2.9962812020279062E-2</v>
          </cell>
          <cell r="BP63">
            <v>-0.16734672160923514</v>
          </cell>
          <cell r="BQ63">
            <v>-0.15923773448352629</v>
          </cell>
          <cell r="BR63">
            <v>-0.12040957655121275</v>
          </cell>
          <cell r="BS63">
            <v>-0.26786618072403068</v>
          </cell>
          <cell r="BT63">
            <v>-0.19871326971548176</v>
          </cell>
          <cell r="BU63">
            <v>9.0815213766841207E-2</v>
          </cell>
          <cell r="BV63">
            <v>0.35213217416915521</v>
          </cell>
          <cell r="BW63">
            <v>0.25624124723923147</v>
          </cell>
          <cell r="BX63">
            <v>4.8011476415038334E-2</v>
          </cell>
          <cell r="BY63">
            <v>-9.9332040732958551E-2</v>
          </cell>
          <cell r="BZ63">
            <v>-4.0018494187662575E-2</v>
          </cell>
          <cell r="CA63">
            <v>0.12768916021645249</v>
          </cell>
          <cell r="CB63">
            <v>7.747434775433204E-2</v>
          </cell>
          <cell r="CC63">
            <v>-9.208256279714222E-3</v>
          </cell>
          <cell r="CD63">
            <v>-0.1513422929480055</v>
          </cell>
          <cell r="CE63">
            <v>-9.7119756578138428E-2</v>
          </cell>
          <cell r="CF63">
            <v>0.10691071830508016</v>
          </cell>
          <cell r="CG63">
            <v>3.320706136747531E-2</v>
          </cell>
          <cell r="CH63">
            <v>3.7384123149176718E-2</v>
          </cell>
          <cell r="CI63">
            <v>0.16392686884588456</v>
          </cell>
          <cell r="CJ63">
            <v>0.15658668186760871</v>
          </cell>
          <cell r="CK63">
            <v>5.4632090475184469E-2</v>
          </cell>
          <cell r="CL63">
            <v>7.4623401351684882E-2</v>
          </cell>
          <cell r="CM63">
            <v>0.13971873260055134</v>
          </cell>
          <cell r="CN63">
            <v>5.5840945703218292E-2</v>
          </cell>
          <cell r="CO63">
            <v>3.0382401636474876E-2</v>
          </cell>
          <cell r="CP63">
            <v>3.2655870368478723E-3</v>
          </cell>
          <cell r="CQ63">
            <v>2.4961474178222254E-2</v>
          </cell>
          <cell r="CR63">
            <v>0.13758788845834058</v>
          </cell>
          <cell r="CS63">
            <v>3.1036209654727864E-2</v>
          </cell>
          <cell r="CT63">
            <v>-0.12694167861271677</v>
          </cell>
          <cell r="CU63">
            <v>-5.2645678175951005E-3</v>
          </cell>
          <cell r="CV63">
            <v>3.553954568479667E-2</v>
          </cell>
          <cell r="CW63">
            <v>1.0879399417170754E-2</v>
          </cell>
          <cell r="CX63">
            <v>9.288778848964574E-2</v>
          </cell>
          <cell r="CY63">
            <v>0.10594036725621603</v>
          </cell>
          <cell r="CZ63">
            <v>0.10249600669415937</v>
          </cell>
          <cell r="DA63">
            <v>3.1612141062304699E-2</v>
          </cell>
          <cell r="DB63">
            <v>-9.0883129513462668E-3</v>
          </cell>
          <cell r="DC63">
            <v>8.3702623449514846E-2</v>
          </cell>
          <cell r="DD63">
            <v>3.481617119235958E-2</v>
          </cell>
          <cell r="DE63">
            <v>4.285768068222473E-2</v>
          </cell>
          <cell r="DF63">
            <v>0.10133039616273321</v>
          </cell>
          <cell r="DG63">
            <v>-6.8326358354338756E-2</v>
          </cell>
          <cell r="DH63">
            <v>1.7540635222229595E-2</v>
          </cell>
          <cell r="DI63">
            <v>0.19727535526063966</v>
          </cell>
          <cell r="DJ63">
            <v>0.10527097635839035</v>
          </cell>
          <cell r="DK63">
            <v>3.0632914236491837E-2</v>
          </cell>
          <cell r="DL63">
            <v>-0.2257415545513265</v>
          </cell>
          <cell r="DM63">
            <v>-0.10424692104178235</v>
          </cell>
          <cell r="DN63">
            <v>0.15969183845810586</v>
          </cell>
          <cell r="DO63">
            <v>0.13201339659805078</v>
          </cell>
          <cell r="DP63">
            <v>0.18538896885114009</v>
          </cell>
          <cell r="DQ63">
            <v>0.12895116438882104</v>
          </cell>
          <cell r="DR63">
            <v>0.10140090273150747</v>
          </cell>
          <cell r="DS63">
            <v>3.8410009244964849E-2</v>
          </cell>
          <cell r="DT63">
            <v>4.3834136156981396E-2</v>
          </cell>
          <cell r="DU63">
            <v>-9.9272091270705007E-2</v>
          </cell>
          <cell r="DV63">
            <v>-0.11562420250090621</v>
          </cell>
          <cell r="DW63">
            <v>9.8227906271230334E-2</v>
          </cell>
          <cell r="DX63">
            <v>0.13188230719495131</v>
          </cell>
          <cell r="DY63">
            <v>4.5119990913830899E-2</v>
          </cell>
          <cell r="DZ63">
            <v>2.4028078538818054E-3</v>
          </cell>
          <cell r="EA63">
            <v>7.5653975241849913E-2</v>
          </cell>
          <cell r="EB63">
            <v>0.14170901195340968</v>
          </cell>
          <cell r="EC63">
            <v>4.2190024012100258E-2</v>
          </cell>
          <cell r="ED63">
            <v>6.6515782507608812E-2</v>
          </cell>
          <cell r="EE63">
            <v>6.9288641933914707E-2</v>
          </cell>
          <cell r="EF63">
            <v>-3.5746239335790464E-2</v>
          </cell>
          <cell r="EG63">
            <v>6.4367049738376814E-2</v>
          </cell>
          <cell r="EH63">
            <v>0.14662754134478773</v>
          </cell>
          <cell r="EI63">
            <v>7.3283925101527148E-2</v>
          </cell>
          <cell r="EJ63">
            <v>5.062499999999992E-2</v>
          </cell>
          <cell r="EK63">
            <v>5.062499999999992E-2</v>
          </cell>
          <cell r="EL63">
            <v>5.062499999999992E-2</v>
          </cell>
          <cell r="EM63">
            <v>5.062499999999992E-2</v>
          </cell>
          <cell r="EN63">
            <v>5.062499999999992E-2</v>
          </cell>
          <cell r="EO63">
            <v>5.062499999999992E-2</v>
          </cell>
          <cell r="EP63">
            <v>5.062499999999992E-2</v>
          </cell>
          <cell r="EQ63">
            <v>5.062499999999992E-2</v>
          </cell>
          <cell r="ER63">
            <v>5.062499999999992E-2</v>
          </cell>
          <cell r="ES63">
            <v>5.062499999999992E-2</v>
          </cell>
          <cell r="ET63">
            <v>5.062499999999992E-2</v>
          </cell>
          <cell r="EU63">
            <v>5.062499999999992E-2</v>
          </cell>
          <cell r="EV63">
            <v>5.062499999999992E-2</v>
          </cell>
          <cell r="EW63">
            <v>5.062499999999992E-2</v>
          </cell>
          <cell r="EX63">
            <v>5.062499999999992E-2</v>
          </cell>
          <cell r="EY63">
            <v>5.062499999999992E-2</v>
          </cell>
          <cell r="EZ63">
            <v>5.062499999999992E-2</v>
          </cell>
          <cell r="FA63">
            <v>5.062499999999992E-2</v>
          </cell>
          <cell r="FB63">
            <v>5.062499999999992E-2</v>
          </cell>
          <cell r="FC63">
            <v>5.062499999999992E-2</v>
          </cell>
          <cell r="FD63">
            <v>5.062499999999992E-2</v>
          </cell>
          <cell r="FE63">
            <v>5.062499999999992E-2</v>
          </cell>
          <cell r="FF63">
            <v>5.062499999999992E-2</v>
          </cell>
          <cell r="FG63">
            <v>5.062499999999992E-2</v>
          </cell>
          <cell r="FH63">
            <v>5.062499999999992E-2</v>
          </cell>
          <cell r="FI63">
            <v>5.062499999999992E-2</v>
          </cell>
          <cell r="FJ63">
            <v>5.062499999999992E-2</v>
          </cell>
          <cell r="FK63">
            <v>5.062499999999992E-2</v>
          </cell>
          <cell r="FL63">
            <v>5.062499999999992E-2</v>
          </cell>
          <cell r="FM63">
            <v>5.062499999999992E-2</v>
          </cell>
          <cell r="FN63">
            <v>5.062499999999992E-2</v>
          </cell>
          <cell r="FO63">
            <v>5.062499999999992E-2</v>
          </cell>
          <cell r="FP63">
            <v>5.062499999999992E-2</v>
          </cell>
          <cell r="FQ63">
            <v>5.062499999999992E-2</v>
          </cell>
          <cell r="FR63">
            <v>5.062499999999992E-2</v>
          </cell>
          <cell r="FS63">
            <v>5.062499999999992E-2</v>
          </cell>
          <cell r="FT63">
            <v>5.062499999999992E-2</v>
          </cell>
          <cell r="FU63">
            <v>5.062499999999992E-2</v>
          </cell>
        </row>
        <row r="64">
          <cell r="A64" t="str">
            <v>6MoFIg</v>
          </cell>
          <cell r="B64" t="str">
            <v>Fixed income return</v>
          </cell>
          <cell r="D64">
            <v>7.0084114493313532E-2</v>
          </cell>
          <cell r="E64">
            <v>6.6942362367536923E-2</v>
          </cell>
          <cell r="F64">
            <v>8.2906313142509833E-2</v>
          </cell>
          <cell r="G64">
            <v>3.4860086972962723E-2</v>
          </cell>
          <cell r="H64">
            <v>9.0257712059707659E-2</v>
          </cell>
          <cell r="I64">
            <v>0.10096038778632919</v>
          </cell>
          <cell r="J64">
            <v>6.8777930975284063E-2</v>
          </cell>
          <cell r="K64">
            <v>5.6546869717686965E-2</v>
          </cell>
          <cell r="L64">
            <v>-8.2472881330408754E-3</v>
          </cell>
          <cell r="M64">
            <v>-6.4235403833410976E-2</v>
          </cell>
          <cell r="N64">
            <v>-3.4412422687195687E-2</v>
          </cell>
          <cell r="O64">
            <v>1.8557760899668541E-2</v>
          </cell>
          <cell r="P64">
            <v>6.017035775127777E-2</v>
          </cell>
          <cell r="Q64">
            <v>9.8410802014563536E-2</v>
          </cell>
          <cell r="R64">
            <v>9.8969612467491461E-2</v>
          </cell>
          <cell r="S64">
            <v>7.9837409046583208E-2</v>
          </cell>
          <cell r="T64">
            <v>2.5959256943101083E-2</v>
          </cell>
          <cell r="U64">
            <v>1.3133615543254207E-2</v>
          </cell>
          <cell r="V64">
            <v>9.3746304118395477E-2</v>
          </cell>
          <cell r="W64">
            <v>0.10469252196271706</v>
          </cell>
          <cell r="X64">
            <v>2.9580786932061676E-2</v>
          </cell>
          <cell r="Y64">
            <v>5.7417216230894574E-2</v>
          </cell>
          <cell r="Z64">
            <v>0.11304649197615246</v>
          </cell>
          <cell r="AA64">
            <v>6.1339526183427084E-2</v>
          </cell>
          <cell r="AB64">
            <v>3.9310457024703815E-2</v>
          </cell>
          <cell r="AC64">
            <v>4.4742327195550491E-2</v>
          </cell>
          <cell r="AD64">
            <v>5.1803861531185769E-2</v>
          </cell>
          <cell r="AE64">
            <v>4.8483845886615251E-2</v>
          </cell>
          <cell r="AF64">
            <v>1.3973314301076734E-2</v>
          </cell>
          <cell r="AG64">
            <v>-1.4929078349884217E-2</v>
          </cell>
          <cell r="AH64">
            <v>-3.471393780384302E-4</v>
          </cell>
          <cell r="AI64">
            <v>2.7806182177743111E-3</v>
          </cell>
          <cell r="AJ64">
            <v>1.8247375555799694E-2</v>
          </cell>
          <cell r="AK64">
            <v>5.8757744835809866E-2</v>
          </cell>
          <cell r="AL64">
            <v>3.9885006252963207E-2</v>
          </cell>
          <cell r="AM64">
            <v>5.8267027085414647E-2</v>
          </cell>
          <cell r="AN64">
            <v>7.519975428619996E-2</v>
          </cell>
          <cell r="AO64">
            <v>1.4918428343217549E-2</v>
          </cell>
          <cell r="AP64">
            <v>2.9267457955884479E-2</v>
          </cell>
          <cell r="AQ64">
            <v>3.9313914643012593E-2</v>
          </cell>
          <cell r="AR64">
            <v>-5.8309886328057337E-3</v>
          </cell>
          <cell r="AS64">
            <v>2.1745670367618208E-2</v>
          </cell>
          <cell r="AT64">
            <v>6.3895862006534188E-2</v>
          </cell>
          <cell r="AU64">
            <v>6.4960447137943245E-2</v>
          </cell>
          <cell r="AV64">
            <v>3.5109802680753699E-2</v>
          </cell>
          <cell r="AW64">
            <v>3.1203098102437155E-2</v>
          </cell>
          <cell r="AX64">
            <v>1.9315399872659844E-2</v>
          </cell>
          <cell r="AY64">
            <v>-7.0146633443379791E-4</v>
          </cell>
          <cell r="AZ64">
            <v>2.1934695958964801E-2</v>
          </cell>
          <cell r="BA64">
            <v>2.3993393102677008E-2</v>
          </cell>
          <cell r="BB64">
            <v>2.9747969087458914E-2</v>
          </cell>
          <cell r="BC64">
            <v>4.4531142962471515E-2</v>
          </cell>
          <cell r="BD64">
            <v>1.7724999564056709E-2</v>
          </cell>
          <cell r="BE64">
            <v>3.1937366170763593E-2</v>
          </cell>
          <cell r="BF64">
            <v>3.9058385577110277E-2</v>
          </cell>
          <cell r="BG64">
            <v>2.5127107539093085E-2</v>
          </cell>
          <cell r="BH64">
            <v>2.7271579287217129E-2</v>
          </cell>
          <cell r="BI64">
            <v>8.7842565125615391E-3</v>
          </cell>
          <cell r="BJ64">
            <v>1.9997670319596983E-2</v>
          </cell>
          <cell r="BK64">
            <v>2.2584332189249601E-2</v>
          </cell>
          <cell r="BL64">
            <v>1.668784783342514E-2</v>
          </cell>
          <cell r="BM64">
            <v>1.6913346942976082E-2</v>
          </cell>
          <cell r="BN64">
            <v>1.7748880443205994E-2</v>
          </cell>
          <cell r="BO64">
            <v>1.7420373036630465E-2</v>
          </cell>
          <cell r="BP64">
            <v>2.4715885241221702E-2</v>
          </cell>
          <cell r="BQ64">
            <v>2.6326558069215356E-2</v>
          </cell>
          <cell r="BR64">
            <v>5.7591163941300039E-2</v>
          </cell>
          <cell r="BS64">
            <v>0.12000819981087506</v>
          </cell>
          <cell r="BT64">
            <v>6.6327545298407342E-2</v>
          </cell>
          <cell r="BU64">
            <v>-1.0526664923191542E-2</v>
          </cell>
          <cell r="BV64">
            <v>4.1416178389501734E-3</v>
          </cell>
          <cell r="BW64">
            <v>2.8165872381425539E-2</v>
          </cell>
          <cell r="BX64">
            <v>2.3033313437283987E-2</v>
          </cell>
          <cell r="BY64">
            <v>4.901080211194575E-2</v>
          </cell>
          <cell r="BZ64">
            <v>4.9227844300828494E-2</v>
          </cell>
          <cell r="CA64">
            <v>1.0810312982610482E-2</v>
          </cell>
          <cell r="CB64">
            <v>1.8435263212859931E-2</v>
          </cell>
          <cell r="CC64">
            <v>4.4179947711294743E-2</v>
          </cell>
          <cell r="CD64">
            <v>7.0698170881770439E-2</v>
          </cell>
          <cell r="CE64">
            <v>6.6616327734368763E-2</v>
          </cell>
          <cell r="CF64">
            <v>2.7395900327880085E-2</v>
          </cell>
          <cell r="CG64">
            <v>5.3892935774072948E-2</v>
          </cell>
          <cell r="CH64">
            <v>6.6440108594984615E-2</v>
          </cell>
          <cell r="CI64">
            <v>2.1962181228794675E-2</v>
          </cell>
          <cell r="CJ64">
            <v>3.7169527078586562E-3</v>
          </cell>
          <cell r="CK64">
            <v>5.6885967101847346E-3</v>
          </cell>
          <cell r="CL64">
            <v>1.4444147325310297E-2</v>
          </cell>
          <cell r="CM64">
            <v>1.4088194051556702E-2</v>
          </cell>
          <cell r="CN64">
            <v>1.8266169351680794E-2</v>
          </cell>
          <cell r="CO64">
            <v>4.6119319908889622E-2</v>
          </cell>
          <cell r="CP64">
            <v>4.1161769087187494E-2</v>
          </cell>
          <cell r="CQ64">
            <v>4.9686738095085392E-2</v>
          </cell>
          <cell r="CR64">
            <v>6.7336983400292816E-2</v>
          </cell>
          <cell r="CS64">
            <v>6.2777177143666929E-3</v>
          </cell>
          <cell r="CT64">
            <v>1.6855508254831619E-3</v>
          </cell>
          <cell r="CU64">
            <v>1.94633294828781E-2</v>
          </cell>
          <cell r="CV64">
            <v>1.7976122718043497E-2</v>
          </cell>
          <cell r="CW64">
            <v>4.9749360051795755E-2</v>
          </cell>
          <cell r="CX64">
            <v>3.8246307203407159E-2</v>
          </cell>
          <cell r="CY64">
            <v>-1.9587204172035855E-2</v>
          </cell>
          <cell r="CZ64">
            <v>-1.6705733625580366E-2</v>
          </cell>
          <cell r="DA64">
            <v>2.2524376973244165E-2</v>
          </cell>
          <cell r="DB64">
            <v>9.3962449440720963E-3</v>
          </cell>
          <cell r="DC64">
            <v>1.3720963853375068E-2</v>
          </cell>
          <cell r="DD64">
            <v>2.3230277508933472E-2</v>
          </cell>
          <cell r="DE64">
            <v>1.6900462405507133E-2</v>
          </cell>
          <cell r="DF64">
            <v>1.3630459156920294E-2</v>
          </cell>
          <cell r="DG64">
            <v>2.7977880153603252E-2</v>
          </cell>
          <cell r="DH64">
            <v>5.7536091721030358E-2</v>
          </cell>
          <cell r="DI64">
            <v>6.5899891716175274E-2</v>
          </cell>
          <cell r="DJ64">
            <v>5.0874619551761091E-2</v>
          </cell>
          <cell r="DK64">
            <v>6.2918508017597574E-3</v>
          </cell>
          <cell r="DL64">
            <v>1.6269636112474783E-2</v>
          </cell>
          <cell r="DM64">
            <v>3.528679012902658E-2</v>
          </cell>
          <cell r="DN64">
            <v>1.554767416401881E-2</v>
          </cell>
          <cell r="DO64">
            <v>9.193089689715217E-3</v>
          </cell>
          <cell r="DP64">
            <v>-3.3164096587447012E-2</v>
          </cell>
          <cell r="DQ64">
            <v>-1.7431704668777415E-2</v>
          </cell>
          <cell r="DR64">
            <v>1.8377269719900502E-2</v>
          </cell>
          <cell r="DS64">
            <v>-1.1515614398047158E-2</v>
          </cell>
          <cell r="DT64">
            <v>-7.2537510368509639E-2</v>
          </cell>
          <cell r="DU64">
            <v>-9.4632212575510355E-2</v>
          </cell>
          <cell r="DV64">
            <v>-4.4255391896633862E-2</v>
          </cell>
          <cell r="DW64">
            <v>-2.6852435963321541E-3</v>
          </cell>
          <cell r="DX64">
            <v>4.9939320050786273E-2</v>
          </cell>
          <cell r="DY64">
            <v>1.513116203206244E-2</v>
          </cell>
          <cell r="DZ64">
            <v>-3.2228278861450521E-2</v>
          </cell>
          <cell r="EA64">
            <v>3.4926840945133319E-2</v>
          </cell>
          <cell r="EB64">
            <v>4.8504344954975354E-2</v>
          </cell>
          <cell r="EC64">
            <v>1.7883906472513367E-3</v>
          </cell>
          <cell r="ED64">
            <v>2.1566882580506874E-2</v>
          </cell>
          <cell r="EE64">
            <v>2.7481457140412502E-2</v>
          </cell>
          <cell r="EF64">
            <v>1.0252248564832644E-2</v>
          </cell>
          <cell r="EG64">
            <v>3.9544563103035557E-2</v>
          </cell>
          <cell r="EH64">
            <v>3.0366294799272664E-2</v>
          </cell>
          <cell r="EI64">
            <v>1.8513846657190802E-2</v>
          </cell>
          <cell r="EJ64">
            <v>2.8988333984375059E-2</v>
          </cell>
          <cell r="EK64">
            <v>2.8988333984375059E-2</v>
          </cell>
          <cell r="EL64">
            <v>2.9463866210937439E-2</v>
          </cell>
          <cell r="EM64">
            <v>3.0098104492187305E-2</v>
          </cell>
          <cell r="EN64">
            <v>3.0415321289062325E-2</v>
          </cell>
          <cell r="EO64">
            <v>3.0098104492187305E-2</v>
          </cell>
          <cell r="EP64">
            <v>2.9463866210937439E-2</v>
          </cell>
          <cell r="EQ64">
            <v>2.8829823242187524E-2</v>
          </cell>
          <cell r="ER64">
            <v>2.8354437499999996E-2</v>
          </cell>
          <cell r="ES64">
            <v>2.819600000000011E-2</v>
          </cell>
          <cell r="ET64">
            <v>2.819600000000011E-2</v>
          </cell>
          <cell r="EU64">
            <v>2.819600000000011E-2</v>
          </cell>
          <cell r="EV64">
            <v>2.819600000000011E-2</v>
          </cell>
          <cell r="EW64">
            <v>2.819600000000011E-2</v>
          </cell>
          <cell r="EX64">
            <v>2.819600000000011E-2</v>
          </cell>
          <cell r="EY64">
            <v>2.819600000000011E-2</v>
          </cell>
          <cell r="EZ64">
            <v>2.819600000000011E-2</v>
          </cell>
          <cell r="FA64">
            <v>2.819600000000011E-2</v>
          </cell>
          <cell r="FB64">
            <v>2.819600000000011E-2</v>
          </cell>
          <cell r="FC64">
            <v>2.819600000000011E-2</v>
          </cell>
          <cell r="FD64">
            <v>2.819600000000011E-2</v>
          </cell>
          <cell r="FE64">
            <v>2.819600000000011E-2</v>
          </cell>
          <cell r="FF64">
            <v>2.819600000000011E-2</v>
          </cell>
          <cell r="FG64">
            <v>2.819600000000011E-2</v>
          </cell>
          <cell r="FH64">
            <v>2.819600000000011E-2</v>
          </cell>
          <cell r="FI64">
            <v>2.819600000000011E-2</v>
          </cell>
          <cell r="FJ64">
            <v>2.819600000000011E-2</v>
          </cell>
          <cell r="FK64">
            <v>2.819600000000011E-2</v>
          </cell>
          <cell r="FL64">
            <v>2.819600000000011E-2</v>
          </cell>
          <cell r="FM64">
            <v>2.819600000000011E-2</v>
          </cell>
          <cell r="FN64">
            <v>2.819600000000011E-2</v>
          </cell>
          <cell r="FO64">
            <v>2.819600000000011E-2</v>
          </cell>
          <cell r="FP64">
            <v>2.819600000000011E-2</v>
          </cell>
          <cell r="FQ64">
            <v>2.819600000000011E-2</v>
          </cell>
          <cell r="FR64">
            <v>2.819600000000011E-2</v>
          </cell>
          <cell r="FS64">
            <v>2.819600000000011E-2</v>
          </cell>
          <cell r="FT64">
            <v>2.819600000000011E-2</v>
          </cell>
          <cell r="FU64">
            <v>2.819600000000011E-2</v>
          </cell>
        </row>
        <row r="65">
          <cell r="A65" t="str">
            <v>6MoCashg</v>
          </cell>
          <cell r="B65" t="str">
            <v>Cash return</v>
          </cell>
          <cell r="D65">
            <v>4.0791666666666664E-2</v>
          </cell>
          <cell r="E65">
            <v>3.5791666666666673E-2</v>
          </cell>
          <cell r="F65">
            <v>3.0749999999999996E-2</v>
          </cell>
          <cell r="G65">
            <v>2.8000000000000004E-2</v>
          </cell>
          <cell r="H65">
            <v>2.8125000000000001E-2</v>
          </cell>
          <cell r="I65">
            <v>2.6791666666666668E-2</v>
          </cell>
          <cell r="J65">
            <v>2.4750000000000001E-2</v>
          </cell>
          <cell r="K65">
            <v>2.3708333333333331E-2</v>
          </cell>
          <cell r="L65">
            <v>2.375E-2</v>
          </cell>
          <cell r="M65">
            <v>2.3375E-2</v>
          </cell>
          <cell r="N65">
            <v>2.4499999999999997E-2</v>
          </cell>
          <cell r="O65">
            <v>2.9875000000000002E-2</v>
          </cell>
          <cell r="P65">
            <v>3.5541666666666673E-2</v>
          </cell>
          <cell r="Q65">
            <v>3.7183333333333332E-2</v>
          </cell>
          <cell r="R65">
            <v>3.7058333333333332E-2</v>
          </cell>
          <cell r="S65">
            <v>3.7083333333333336E-2</v>
          </cell>
          <cell r="T65">
            <v>3.7083333333333336E-2</v>
          </cell>
          <cell r="U65">
            <v>3.6583333333333329E-2</v>
          </cell>
          <cell r="V65">
            <v>3.5583333333333328E-2</v>
          </cell>
          <cell r="W65">
            <v>3.3808333333333336E-2</v>
          </cell>
          <cell r="X65">
            <v>3.1383333333333339E-2</v>
          </cell>
          <cell r="Y65">
            <v>2.9316666666666668E-2</v>
          </cell>
          <cell r="Z65">
            <v>2.6699999999999998E-2</v>
          </cell>
          <cell r="AA65">
            <v>2.4908333333333331E-2</v>
          </cell>
          <cell r="AB65">
            <v>2.4900000000000002E-2</v>
          </cell>
          <cell r="AC65">
            <v>2.4883333333333337E-2</v>
          </cell>
          <cell r="AD65">
            <v>2.4891666666666673E-2</v>
          </cell>
          <cell r="AE65">
            <v>2.4691666666666667E-2</v>
          </cell>
          <cell r="AF65">
            <v>2.4049999999999998E-2</v>
          </cell>
          <cell r="AG65">
            <v>2.3699999999999995E-2</v>
          </cell>
          <cell r="AH65">
            <v>2.3783333333333333E-2</v>
          </cell>
          <cell r="AI65">
            <v>2.4166666666666666E-2</v>
          </cell>
          <cell r="AJ65">
            <v>2.5600000000000001E-2</v>
          </cell>
          <cell r="AK65">
            <v>2.8125000000000001E-2</v>
          </cell>
          <cell r="AL65">
            <v>3.0208333333333334E-2</v>
          </cell>
          <cell r="AM65">
            <v>3.1041666666666665E-2</v>
          </cell>
          <cell r="AN65">
            <v>3.0208333333333334E-2</v>
          </cell>
          <cell r="AO65">
            <v>2.7083333333333334E-2</v>
          </cell>
          <cell r="AP65">
            <v>2.4791666666666667E-2</v>
          </cell>
          <cell r="AQ65">
            <v>2.3333333333333334E-2</v>
          </cell>
          <cell r="AR65">
            <v>2.1666666666666664E-2</v>
          </cell>
          <cell r="AS65">
            <v>2.1874999999999999E-2</v>
          </cell>
          <cell r="AT65">
            <v>2.3125E-2</v>
          </cell>
          <cell r="AU65">
            <v>2.375E-2</v>
          </cell>
          <cell r="AV65">
            <v>2.375E-2</v>
          </cell>
          <cell r="AW65">
            <v>2.375E-2</v>
          </cell>
          <cell r="AX65">
            <v>2.375E-2</v>
          </cell>
          <cell r="AY65">
            <v>2.4375000000000001E-2</v>
          </cell>
          <cell r="AZ65">
            <v>2.5624999999999998E-2</v>
          </cell>
          <cell r="BA65">
            <v>2.6249999999999999E-2</v>
          </cell>
          <cell r="BB65">
            <v>2.6249999999999999E-2</v>
          </cell>
          <cell r="BC65">
            <v>2.6249999999999999E-2</v>
          </cell>
          <cell r="BD65">
            <v>2.6458333333333334E-2</v>
          </cell>
          <cell r="BE65">
            <v>2.7083333333333334E-2</v>
          </cell>
          <cell r="BF65">
            <v>2.75E-2</v>
          </cell>
          <cell r="BG65">
            <v>2.75E-2</v>
          </cell>
          <cell r="BH65">
            <v>2.75E-2</v>
          </cell>
          <cell r="BI65">
            <v>2.7916666666666666E-2</v>
          </cell>
          <cell r="BJ65">
            <v>2.8958333333333336E-2</v>
          </cell>
          <cell r="BK65">
            <v>3.0208333333333334E-2</v>
          </cell>
          <cell r="BL65">
            <v>3.1041666666666665E-2</v>
          </cell>
          <cell r="BM65">
            <v>3.125E-2</v>
          </cell>
          <cell r="BN65">
            <v>3.1666666666666662E-2</v>
          </cell>
          <cell r="BO65">
            <v>3.2708333333333332E-2</v>
          </cell>
          <cell r="BP65">
            <v>3.4166666666666665E-2</v>
          </cell>
          <cell r="BQ65">
            <v>3.5624999999999997E-2</v>
          </cell>
          <cell r="BR65">
            <v>3.6041666666666666E-2</v>
          </cell>
          <cell r="BS65">
            <v>3.0833333333333334E-2</v>
          </cell>
          <cell r="BT65">
            <v>2.1874999999999999E-2</v>
          </cell>
          <cell r="BU65">
            <v>1.6458333333333332E-2</v>
          </cell>
          <cell r="BV65">
            <v>1.4999999999999999E-2</v>
          </cell>
          <cell r="BW65">
            <v>1.6250000000000001E-2</v>
          </cell>
          <cell r="BX65">
            <v>1.8333333333333333E-2</v>
          </cell>
          <cell r="BY65">
            <v>2.0625000000000001E-2</v>
          </cell>
          <cell r="BZ65">
            <v>2.2291666666666664E-2</v>
          </cell>
          <cell r="CA65">
            <v>2.2916666666666665E-2</v>
          </cell>
          <cell r="CB65">
            <v>2.3541666666666666E-2</v>
          </cell>
          <cell r="CC65">
            <v>2.375E-2</v>
          </cell>
          <cell r="CD65">
            <v>2.375E-2</v>
          </cell>
          <cell r="CE65">
            <v>2.3125E-2</v>
          </cell>
          <cell r="CF65">
            <v>2.1874999999999999E-2</v>
          </cell>
          <cell r="CG65">
            <v>2.0208333333333335E-2</v>
          </cell>
          <cell r="CH65">
            <v>1.8333333333333333E-2</v>
          </cell>
          <cell r="CI65">
            <v>1.6666666666666666E-2</v>
          </cell>
          <cell r="CJ65">
            <v>1.5416666666666667E-2</v>
          </cell>
          <cell r="CK65">
            <v>1.4583333333333332E-2</v>
          </cell>
          <cell r="CL65">
            <v>1.3541666666666667E-2</v>
          </cell>
          <cell r="CM65">
            <v>1.2708333333333332E-2</v>
          </cell>
          <cell r="CN65">
            <v>1.2500000000000001E-2</v>
          </cell>
          <cell r="CO65">
            <v>1.2500000000000001E-2</v>
          </cell>
          <cell r="CP65">
            <v>1.2500000000000001E-2</v>
          </cell>
          <cell r="CQ65">
            <v>1.2500000000000001E-2</v>
          </cell>
          <cell r="CR65">
            <v>1.2083333333333333E-2</v>
          </cell>
          <cell r="CS65">
            <v>1.1041666666666667E-2</v>
          </cell>
          <cell r="CT65">
            <v>1.0208333333333333E-2</v>
          </cell>
          <cell r="CU65">
            <v>0.01</v>
          </cell>
          <cell r="CV65">
            <v>0.01</v>
          </cell>
          <cell r="CW65">
            <v>9.5833333333333343E-3</v>
          </cell>
          <cell r="CX65">
            <v>8.5416666666666662E-3</v>
          </cell>
          <cell r="CY65">
            <v>7.7083333333333335E-3</v>
          </cell>
          <cell r="CZ65">
            <v>7.4999999999999997E-3</v>
          </cell>
          <cell r="DA65">
            <v>7.4999999999999997E-3</v>
          </cell>
          <cell r="DB65">
            <v>7.4999999999999997E-3</v>
          </cell>
          <cell r="DC65">
            <v>7.4999999999999997E-3</v>
          </cell>
          <cell r="DD65">
            <v>7.4999999999999997E-3</v>
          </cell>
          <cell r="DE65">
            <v>7.4999999999999997E-3</v>
          </cell>
          <cell r="DF65">
            <v>7.4999999999999997E-3</v>
          </cell>
          <cell r="DG65">
            <v>7.4999999999999997E-3</v>
          </cell>
          <cell r="DH65">
            <v>7.4999999999999997E-3</v>
          </cell>
          <cell r="DI65">
            <v>7.2916666666666659E-3</v>
          </cell>
          <cell r="DJ65">
            <v>6.0416666666666665E-3</v>
          </cell>
          <cell r="DK65">
            <v>4.3750000000000004E-3</v>
          </cell>
          <cell r="DL65">
            <v>3.3333333333333331E-3</v>
          </cell>
          <cell r="DM65">
            <v>2.0833333333333333E-3</v>
          </cell>
          <cell r="DN65">
            <v>1.25E-3</v>
          </cell>
          <cell r="DO65">
            <v>1.0000000000000002E-3</v>
          </cell>
          <cell r="DP65">
            <v>6.249999999999999E-4</v>
          </cell>
          <cell r="DQ65">
            <v>5.0000000000000001E-4</v>
          </cell>
          <cell r="DR65">
            <v>5.0000000000000001E-4</v>
          </cell>
          <cell r="DS65">
            <v>5.0000000000000001E-4</v>
          </cell>
          <cell r="DT65">
            <v>5.0000000000000001E-4</v>
          </cell>
          <cell r="DU65">
            <v>1.3333333333333333E-3</v>
          </cell>
          <cell r="DV65">
            <v>5.7083333333333326E-3</v>
          </cell>
          <cell r="DW65">
            <v>1.175E-2</v>
          </cell>
          <cell r="DX65">
            <v>1.55E-2</v>
          </cell>
          <cell r="DY65">
            <v>1.8000000000000002E-2</v>
          </cell>
          <cell r="DZ65">
            <v>1.9875E-2</v>
          </cell>
          <cell r="EA65">
            <v>2.0916666666666667E-2</v>
          </cell>
          <cell r="EB65">
            <v>2.1541666666666667E-2</v>
          </cell>
          <cell r="EC65">
            <v>2.1750000000000002E-2</v>
          </cell>
          <cell r="ED65">
            <v>2.1750000000000002E-2</v>
          </cell>
          <cell r="EE65">
            <v>2.1750000000000002E-2</v>
          </cell>
          <cell r="EF65">
            <v>2.1333333333333333E-2</v>
          </cell>
          <cell r="EG65">
            <v>2.0291666666666666E-2</v>
          </cell>
          <cell r="EH65">
            <v>1.9041666666666669E-2</v>
          </cell>
          <cell r="EI65">
            <v>1.8764274739583087E-2</v>
          </cell>
          <cell r="EJ65">
            <v>1.8869427734375055E-2</v>
          </cell>
          <cell r="EK65">
            <v>1.8869427734375055E-2</v>
          </cell>
          <cell r="EL65">
            <v>1.934261621093758E-2</v>
          </cell>
          <cell r="EM65">
            <v>1.9973729492187564E-2</v>
          </cell>
          <cell r="EN65">
            <v>2.0289383789062532E-2</v>
          </cell>
          <cell r="EO65">
            <v>1.9973729492187564E-2</v>
          </cell>
          <cell r="EP65">
            <v>1.934261621093758E-2</v>
          </cell>
          <cell r="EQ65">
            <v>1.8711698242187325E-2</v>
          </cell>
          <cell r="ER65">
            <v>1.8238656249999874E-2</v>
          </cell>
          <cell r="ES65">
            <v>1.8080999999999792E-2</v>
          </cell>
          <cell r="ET65">
            <v>1.8080999999999792E-2</v>
          </cell>
          <cell r="EU65">
            <v>1.8080999999999792E-2</v>
          </cell>
          <cell r="EV65">
            <v>1.8080999999999792E-2</v>
          </cell>
          <cell r="EW65">
            <v>1.8080999999999792E-2</v>
          </cell>
          <cell r="EX65">
            <v>1.8080999999999792E-2</v>
          </cell>
          <cell r="EY65">
            <v>1.8080999999999792E-2</v>
          </cell>
          <cell r="EZ65">
            <v>1.8080999999999792E-2</v>
          </cell>
          <cell r="FA65">
            <v>1.8080999999999792E-2</v>
          </cell>
          <cell r="FB65">
            <v>1.8080999999999792E-2</v>
          </cell>
          <cell r="FC65">
            <v>1.8080999999999792E-2</v>
          </cell>
          <cell r="FD65">
            <v>1.8080999999999792E-2</v>
          </cell>
          <cell r="FE65">
            <v>1.8080999999999792E-2</v>
          </cell>
          <cell r="FF65">
            <v>1.8080999999999792E-2</v>
          </cell>
          <cell r="FG65">
            <v>1.8080999999999792E-2</v>
          </cell>
          <cell r="FH65">
            <v>1.8080999999999792E-2</v>
          </cell>
          <cell r="FI65">
            <v>1.8080999999999792E-2</v>
          </cell>
          <cell r="FJ65">
            <v>1.8080999999999792E-2</v>
          </cell>
          <cell r="FK65">
            <v>1.8080999999999792E-2</v>
          </cell>
          <cell r="FL65">
            <v>1.8080999999999792E-2</v>
          </cell>
          <cell r="FM65">
            <v>1.8080999999999792E-2</v>
          </cell>
          <cell r="FN65">
            <v>1.8080999999999792E-2</v>
          </cell>
          <cell r="FO65">
            <v>1.8080999999999792E-2</v>
          </cell>
          <cell r="FP65">
            <v>1.8080999999999792E-2</v>
          </cell>
          <cell r="FQ65">
            <v>1.8080999999999792E-2</v>
          </cell>
          <cell r="FR65">
            <v>1.8080999999999792E-2</v>
          </cell>
          <cell r="FS65">
            <v>1.8080999999999792E-2</v>
          </cell>
          <cell r="FT65">
            <v>1.8080999999999792E-2</v>
          </cell>
          <cell r="FU65">
            <v>1.8080999999999792E-2</v>
          </cell>
        </row>
        <row r="67">
          <cell r="B67" t="str">
            <v>Market performance (12mo)</v>
          </cell>
        </row>
        <row r="68">
          <cell r="A68" t="str">
            <v>12MoASX200AIg</v>
          </cell>
          <cell r="B68" t="str">
            <v>ASX-200 Accumulation Index return</v>
          </cell>
          <cell r="I68">
            <v>8.3221637655058966E-2</v>
          </cell>
          <cell r="J68">
            <v>0.34222733504905195</v>
          </cell>
          <cell r="K68">
            <v>0.40049482668545894</v>
          </cell>
          <cell r="L68">
            <v>0.22560648271201611</v>
          </cell>
          <cell r="M68">
            <v>0.15265287085851664</v>
          </cell>
          <cell r="N68">
            <v>6.2325840253998566E-2</v>
          </cell>
          <cell r="O68">
            <v>-8.7573031185965267E-2</v>
          </cell>
          <cell r="P68">
            <v>-1.8880234448921396E-2</v>
          </cell>
          <cell r="Q68">
            <v>6.9513417782512521E-2</v>
          </cell>
          <cell r="R68">
            <v>0.10874703119474827</v>
          </cell>
          <cell r="S68">
            <v>0.21104923433103462</v>
          </cell>
          <cell r="T68">
            <v>0.20921721049303632</v>
          </cell>
          <cell r="U68">
            <v>0.14314227532953883</v>
          </cell>
          <cell r="V68">
            <v>0.10687586514971791</v>
          </cell>
          <cell r="W68">
            <v>0.14353793381409363</v>
          </cell>
          <cell r="X68">
            <v>0.13548716410322781</v>
          </cell>
          <cell r="Y68">
            <v>0.27596773521204732</v>
          </cell>
          <cell r="Z68">
            <v>0.26685908839290251</v>
          </cell>
          <cell r="AA68">
            <v>0.12672156150833236</v>
          </cell>
          <cell r="AB68">
            <v>0.18210976697465298</v>
          </cell>
          <cell r="AC68">
            <v>2.0232543988645268E-2</v>
          </cell>
          <cell r="AD68">
            <v>-3.4690316508549479E-2</v>
          </cell>
          <cell r="AE68">
            <v>9.8006907200923532E-2</v>
          </cell>
          <cell r="AF68">
            <v>0.10713880345143689</v>
          </cell>
          <cell r="AG68">
            <v>0.14809937502532544</v>
          </cell>
          <cell r="AH68">
            <v>0.16118326378644965</v>
          </cell>
          <cell r="AI68">
            <v>0.18743410322461007</v>
          </cell>
          <cell r="AJ68">
            <v>0.13183250717372896</v>
          </cell>
          <cell r="AK68">
            <v>0.17933202069886178</v>
          </cell>
          <cell r="AL68">
            <v>0.21159665392286223</v>
          </cell>
          <cell r="AM68">
            <v>6.3596089305921089E-2</v>
          </cell>
          <cell r="AN68">
            <v>3.9003156015483098E-2</v>
          </cell>
          <cell r="AO68">
            <v>9.0657793703608824E-2</v>
          </cell>
          <cell r="AP68">
            <v>-4.3711740818385018E-2</v>
          </cell>
          <cell r="AQ68">
            <v>0.10357632327955102</v>
          </cell>
          <cell r="AR68">
            <v>0.12150298106532142</v>
          </cell>
          <cell r="AS68">
            <v>-4.6905812916549279E-2</v>
          </cell>
          <cell r="AT68">
            <v>1.0041617045087881E-2</v>
          </cell>
          <cell r="AU68">
            <v>-8.7749078513590484E-2</v>
          </cell>
          <cell r="AV68">
            <v>-0.11929939535563028</v>
          </cell>
          <cell r="AW68">
            <v>-1.7149132575565051E-2</v>
          </cell>
          <cell r="AX68">
            <v>0.11442514793389445</v>
          </cell>
          <cell r="AY68">
            <v>0.14612401044308987</v>
          </cell>
          <cell r="AZ68">
            <v>0.2340768491826872</v>
          </cell>
          <cell r="BA68">
            <v>0.21607667755160787</v>
          </cell>
          <cell r="BB68">
            <v>0.20707872543781769</v>
          </cell>
          <cell r="BC68">
            <v>0.27993549220863745</v>
          </cell>
          <cell r="BD68">
            <v>0.25630840316481351</v>
          </cell>
          <cell r="BE68">
            <v>0.2635441891893282</v>
          </cell>
          <cell r="BF68">
            <v>0.32150808175912138</v>
          </cell>
          <cell r="BG68">
            <v>0.22829275171405627</v>
          </cell>
          <cell r="BH68">
            <v>0.30351658719755847</v>
          </cell>
          <cell r="BI68">
            <v>0.23930858307169878</v>
          </cell>
          <cell r="BJ68">
            <v>0.15958191898179286</v>
          </cell>
          <cell r="BK68">
            <v>0.24221614638318598</v>
          </cell>
          <cell r="BL68">
            <v>0.2178439343546863</v>
          </cell>
          <cell r="BM68">
            <v>0.2865970704109877</v>
          </cell>
          <cell r="BN68">
            <v>0.3239519970166409</v>
          </cell>
          <cell r="BO68">
            <v>0.16074963333340045</v>
          </cell>
          <cell r="BP68">
            <v>-7.0387361463338793E-2</v>
          </cell>
          <cell r="BQ68">
            <v>-0.13404613276811228</v>
          </cell>
          <cell r="BR68">
            <v>-0.26760615027424617</v>
          </cell>
          <cell r="BS68">
            <v>-0.38444951144430756</v>
          </cell>
          <cell r="BT68">
            <v>-0.29519586560514643</v>
          </cell>
          <cell r="BU68">
            <v>-0.20137729142054972</v>
          </cell>
          <cell r="BV68">
            <v>8.3445568752499089E-2</v>
          </cell>
          <cell r="BW68">
            <v>0.37032706464998538</v>
          </cell>
          <cell r="BX68">
            <v>0.41705003615929215</v>
          </cell>
          <cell r="BY68">
            <v>0.1314562404980415</v>
          </cell>
          <cell r="BZ68">
            <v>6.0716352375194127E-3</v>
          </cell>
          <cell r="CA68">
            <v>1.56734946197159E-2</v>
          </cell>
          <cell r="CB68">
            <v>3.4355446831369818E-2</v>
          </cell>
          <cell r="CC68">
            <v>0.1173051094253237</v>
          </cell>
          <cell r="CD68">
            <v>-8.559309062746534E-2</v>
          </cell>
          <cell r="CE68">
            <v>-0.10543370924945773</v>
          </cell>
          <cell r="CF68">
            <v>-6.0611687891934614E-2</v>
          </cell>
          <cell r="CG68">
            <v>-6.713775692734758E-2</v>
          </cell>
          <cell r="CH68">
            <v>0.14829160491334092</v>
          </cell>
          <cell r="CI68">
            <v>0.20257745980690323</v>
          </cell>
          <cell r="CJ68">
            <v>0.19982466081524522</v>
          </cell>
          <cell r="CK68">
            <v>0.22751462685117119</v>
          </cell>
          <cell r="CL68">
            <v>0.24289511402662889</v>
          </cell>
          <cell r="CM68">
            <v>0.20198394951624721</v>
          </cell>
          <cell r="CN68">
            <v>0.13463138835797217</v>
          </cell>
          <cell r="CO68">
            <v>0.17434612488703549</v>
          </cell>
          <cell r="CP68">
            <v>5.9288886208479941E-2</v>
          </cell>
          <cell r="CQ68">
            <v>5.6102265348618507E-2</v>
          </cell>
          <cell r="CR68">
            <v>0.14130278072016522</v>
          </cell>
          <cell r="CS68">
            <v>5.6772393378836439E-2</v>
          </cell>
          <cell r="CT68">
            <v>-6.8194276720573432E-3</v>
          </cell>
          <cell r="CU68">
            <v>2.560824960660435E-2</v>
          </cell>
          <cell r="CV68">
            <v>-9.5913582514281503E-2</v>
          </cell>
          <cell r="CW68">
            <v>5.557556263529273E-3</v>
          </cell>
          <cell r="CX68">
            <v>0.13172852397702983</v>
          </cell>
          <cell r="CY68">
            <v>0.1179723342431689</v>
          </cell>
          <cell r="CZ68">
            <v>0.20490442257464525</v>
          </cell>
          <cell r="DA68">
            <v>0.1409015101524167</v>
          </cell>
          <cell r="DB68">
            <v>9.2476177957713221E-2</v>
          </cell>
          <cell r="DC68">
            <v>0.11796078365159059</v>
          </cell>
          <cell r="DD68">
            <v>2.5411437981449625E-2</v>
          </cell>
          <cell r="DE68">
            <v>0.13014760443980355</v>
          </cell>
          <cell r="DF68">
            <v>0.13967450377488411</v>
          </cell>
          <cell r="DG68">
            <v>-2.839698692064363E-2</v>
          </cell>
          <cell r="DH68">
            <v>0.12064843090097721</v>
          </cell>
          <cell r="DI68">
            <v>0.11546989028828293</v>
          </cell>
          <cell r="DJ68">
            <v>0.12465813137641035</v>
          </cell>
          <cell r="DK68">
            <v>0.23395138853580419</v>
          </cell>
          <cell r="DL68">
            <v>-0.14423461204521515</v>
          </cell>
          <cell r="DM68">
            <v>-7.680739379698176E-2</v>
          </cell>
          <cell r="DN68">
            <v>-0.10209879995591276</v>
          </cell>
          <cell r="DO68">
            <v>1.4004485424653934E-2</v>
          </cell>
          <cell r="DP68">
            <v>0.37468591257493711</v>
          </cell>
          <cell r="DQ68">
            <v>0.27798784219311368</v>
          </cell>
          <cell r="DR68">
            <v>0.30558848038061659</v>
          </cell>
          <cell r="DS68">
            <v>0.1723141890501094</v>
          </cell>
          <cell r="DT68">
            <v>0.14967985986526267</v>
          </cell>
          <cell r="DU68">
            <v>-6.4675123969214932E-2</v>
          </cell>
          <cell r="DV68">
            <v>-7.6858353379391842E-2</v>
          </cell>
          <cell r="DW68">
            <v>-1.0795474676162486E-2</v>
          </cell>
          <cell r="DX68">
            <v>1.0093181006494145E-3</v>
          </cell>
          <cell r="DY68">
            <v>0.14777993942350376</v>
          </cell>
          <cell r="DZ68">
            <v>0.13460200289234914</v>
          </cell>
          <cell r="EA68">
            <v>0.12418747283118826</v>
          </cell>
          <cell r="EB68">
            <v>0.1444523193341789</v>
          </cell>
          <cell r="EC68">
            <v>0.12103584228601472</v>
          </cell>
          <cell r="ED68">
            <v>0.21765068027947976</v>
          </cell>
          <cell r="EE68">
            <v>0.11440195541297271</v>
          </cell>
          <cell r="EF68">
            <v>2.8391854090694002E-2</v>
          </cell>
          <cell r="EG68">
            <v>0.13811559713395649</v>
          </cell>
          <cell r="EH68">
            <v>0.10563991882286781</v>
          </cell>
          <cell r="EI68">
            <v>0.14236804489193777</v>
          </cell>
          <cell r="EJ68">
            <v>0.2046755606253674</v>
          </cell>
          <cell r="EK68">
            <v>0.12761892380979178</v>
          </cell>
          <cell r="EL68">
            <v>0.10381289062499977</v>
          </cell>
          <cell r="EM68">
            <v>0.10381289062499977</v>
          </cell>
          <cell r="EN68">
            <v>0.10381289062499977</v>
          </cell>
          <cell r="EO68">
            <v>0.10381289062499977</v>
          </cell>
          <cell r="EP68">
            <v>0.10381289062499977</v>
          </cell>
          <cell r="EQ68">
            <v>0.10381289062499977</v>
          </cell>
          <cell r="ER68">
            <v>0.10381289062499977</v>
          </cell>
          <cell r="ES68">
            <v>0.10381289062499977</v>
          </cell>
          <cell r="ET68">
            <v>0.10381289062499977</v>
          </cell>
          <cell r="EU68">
            <v>0.10381289062499977</v>
          </cell>
          <cell r="EV68">
            <v>0.10381289062499977</v>
          </cell>
          <cell r="EW68">
            <v>0.10381289062499977</v>
          </cell>
          <cell r="EX68">
            <v>0.10381289062499977</v>
          </cell>
          <cell r="EY68">
            <v>0.10381289062499977</v>
          </cell>
          <cell r="EZ68">
            <v>0.10381289062499977</v>
          </cell>
          <cell r="FA68">
            <v>0.10381289062499977</v>
          </cell>
          <cell r="FB68">
            <v>0.10381289062499977</v>
          </cell>
          <cell r="FC68">
            <v>0.10381289062499977</v>
          </cell>
          <cell r="FD68">
            <v>0.10381289062499977</v>
          </cell>
          <cell r="FE68">
            <v>0.10381289062499977</v>
          </cell>
          <cell r="FF68">
            <v>0.10381289062499977</v>
          </cell>
          <cell r="FG68">
            <v>0.10381289062499977</v>
          </cell>
          <cell r="FH68">
            <v>0.10381289062499977</v>
          </cell>
          <cell r="FI68">
            <v>0.10381289062499977</v>
          </cell>
          <cell r="FJ68">
            <v>0.10381289062499977</v>
          </cell>
          <cell r="FK68">
            <v>0.10381289062499977</v>
          </cell>
          <cell r="FL68">
            <v>0.10381289062499977</v>
          </cell>
          <cell r="FM68">
            <v>0.10381289062499977</v>
          </cell>
          <cell r="FN68">
            <v>0.10381289062499977</v>
          </cell>
          <cell r="FO68">
            <v>0.10381289062499977</v>
          </cell>
          <cell r="FP68">
            <v>0.10381289062499977</v>
          </cell>
          <cell r="FQ68">
            <v>0.10381289062499977</v>
          </cell>
          <cell r="FR68">
            <v>0.10381289062499977</v>
          </cell>
          <cell r="FS68">
            <v>0.10381289062499977</v>
          </cell>
          <cell r="FT68">
            <v>0.10381289062499977</v>
          </cell>
          <cell r="FU68">
            <v>0.10381289062499977</v>
          </cell>
        </row>
        <row r="69">
          <cell r="A69" t="str">
            <v>12MoFIg</v>
          </cell>
          <cell r="B69" t="str">
            <v>Fixed income return</v>
          </cell>
          <cell r="D69">
            <v>0.18626021880259658</v>
          </cell>
          <cell r="E69">
            <v>0.22120484014113462</v>
          </cell>
          <cell r="F69">
            <v>0.15880084317832144</v>
          </cell>
          <cell r="G69">
            <v>0.1041360659148076</v>
          </cell>
          <cell r="H69">
            <v>0.18064695934176611</v>
          </cell>
          <cell r="I69">
            <v>0.13933996265834736</v>
          </cell>
          <cell r="J69">
            <v>0.1652433817250214</v>
          </cell>
          <cell r="K69">
            <v>0.1632162513988169</v>
          </cell>
          <cell r="L69">
            <v>5.9963411428295421E-2</v>
          </cell>
          <cell r="M69">
            <v>-1.1320845127554935E-2</v>
          </cell>
          <cell r="N69">
            <v>-4.2375901654979294E-2</v>
          </cell>
          <cell r="O69">
            <v>-4.6869708199376629E-2</v>
          </cell>
          <cell r="P69">
            <v>2.368732727990519E-2</v>
          </cell>
          <cell r="Q69">
            <v>0.11879484704796273</v>
          </cell>
          <cell r="R69">
            <v>0.1650950072074433</v>
          </cell>
          <cell r="S69">
            <v>0.18610507451618563</v>
          </cell>
          <cell r="T69">
            <v>0.12749804701019518</v>
          </cell>
          <cell r="U69">
            <v>9.4019578426224548E-2</v>
          </cell>
          <cell r="V69">
            <v>0.12213914545757198</v>
          </cell>
          <cell r="W69">
            <v>0.11920112883968305</v>
          </cell>
          <cell r="X69">
            <v>0.12610018049825156</v>
          </cell>
          <cell r="Y69">
            <v>0.1681208913649026</v>
          </cell>
          <cell r="Z69">
            <v>0.14597128310077756</v>
          </cell>
          <cell r="AA69">
            <v>0.12227868725269619</v>
          </cell>
          <cell r="AB69">
            <v>0.15680085826547829</v>
          </cell>
          <cell r="AC69">
            <v>0.10882632652949663</v>
          </cell>
          <cell r="AD69">
            <v>9.3150752028324776E-2</v>
          </cell>
          <cell r="AE69">
            <v>9.5395453178523257E-2</v>
          </cell>
          <cell r="AF69">
            <v>6.6501047471447139E-2</v>
          </cell>
          <cell r="AG69">
            <v>3.2830948402785998E-2</v>
          </cell>
          <cell r="AH69">
            <v>1.3621324235402632E-2</v>
          </cell>
          <cell r="AI69">
            <v>-1.2189972199344257E-2</v>
          </cell>
          <cell r="AJ69">
            <v>1.7893901795160039E-2</v>
          </cell>
          <cell r="AK69">
            <v>6.170174590930988E-2</v>
          </cell>
          <cell r="AL69">
            <v>5.8860178496906279E-2</v>
          </cell>
          <cell r="AM69">
            <v>0.12044841103105043</v>
          </cell>
          <cell r="AN69">
            <v>0.11808410320908959</v>
          </cell>
          <cell r="AO69">
            <v>7.4054707896978211E-2</v>
          </cell>
          <cell r="AP69">
            <v>0.10666811788894881</v>
          </cell>
          <cell r="AQ69">
            <v>5.4818844804723321E-2</v>
          </cell>
          <cell r="AR69">
            <v>2.3265811108426959E-2</v>
          </cell>
          <cell r="AS69">
            <v>6.1914492439318458E-2</v>
          </cell>
          <cell r="AT69">
            <v>5.7692297328685083E-2</v>
          </cell>
          <cell r="AU69">
            <v>8.811872597595638E-2</v>
          </cell>
          <cell r="AV69">
            <v>0.10124903579445398</v>
          </cell>
          <cell r="AW69">
            <v>9.819051244520359E-2</v>
          </cell>
          <cell r="AX69">
            <v>5.5103362431642378E-2</v>
          </cell>
          <cell r="AY69">
            <v>3.0479743845154506E-2</v>
          </cell>
          <cell r="AZ69">
            <v>4.1673773255157309E-2</v>
          </cell>
          <cell r="BA69">
            <v>2.3275096210732871E-2</v>
          </cell>
          <cell r="BB69">
            <v>5.2335177703753955E-2</v>
          </cell>
          <cell r="BC69">
            <v>6.9592989283558726E-2</v>
          </cell>
          <cell r="BD69">
            <v>4.8000251390622362E-2</v>
          </cell>
          <cell r="BE69">
            <v>7.789071655203017E-2</v>
          </cell>
          <cell r="BF69">
            <v>5.7475695008494032E-2</v>
          </cell>
          <cell r="BG69">
            <v>5.7866967344144982E-2</v>
          </cell>
          <cell r="BH69">
            <v>6.7395148723424336E-2</v>
          </cell>
          <cell r="BI69">
            <v>3.4132087009696832E-2</v>
          </cell>
          <cell r="BJ69">
            <v>4.7814617658494596E-2</v>
          </cell>
          <cell r="BK69">
            <v>3.1566975268926267E-2</v>
          </cell>
          <cell r="BL69">
            <v>3.7019236232338493E-2</v>
          </cell>
          <cell r="BM69">
            <v>3.9879655778017886E-2</v>
          </cell>
          <cell r="BN69">
            <v>3.473291889268082E-2</v>
          </cell>
          <cell r="BO69">
            <v>3.4628356792651305E-2</v>
          </cell>
          <cell r="BP69">
            <v>4.2903444976622129E-2</v>
          </cell>
          <cell r="BQ69">
            <v>4.4205549568182123E-2</v>
          </cell>
          <cell r="BR69">
            <v>8.3730465781403307E-2</v>
          </cell>
          <cell r="BS69">
            <v>0.14949416072119348</v>
          </cell>
          <cell r="BT69">
            <v>0.12773858977481178</v>
          </cell>
          <cell r="BU69">
            <v>0.10821824878023921</v>
          </cell>
          <cell r="BV69">
            <v>7.0743866482179119E-2</v>
          </cell>
          <cell r="BW69">
            <v>1.7342714757405231E-2</v>
          </cell>
          <cell r="BX69">
            <v>2.7270326458056049E-2</v>
          </cell>
          <cell r="BY69">
            <v>7.8557106490967588E-2</v>
          </cell>
          <cell r="BZ69">
            <v>7.3395038105735333E-2</v>
          </cell>
          <cell r="CA69">
            <v>6.0350937204915134E-2</v>
          </cell>
          <cell r="CB69">
            <v>6.8570635780775824E-2</v>
          </cell>
          <cell r="CC69">
            <v>5.5467859756219706E-2</v>
          </cell>
          <cell r="CD69">
            <v>9.043677348350343E-2</v>
          </cell>
          <cell r="CE69">
            <v>0.11373938132168625</v>
          </cell>
          <cell r="CF69">
            <v>0.10003091125249108</v>
          </cell>
          <cell r="CG69">
            <v>0.1240994129805346</v>
          </cell>
          <cell r="CH69">
            <v>9.5656195515706491E-2</v>
          </cell>
          <cell r="CI69">
            <v>7.7038723425289612E-2</v>
          </cell>
          <cell r="CJ69">
            <v>7.0404016044395723E-2</v>
          </cell>
          <cell r="CK69">
            <v>2.7775711930865921E-2</v>
          </cell>
          <cell r="CL69">
            <v>1.8214788245682456E-2</v>
          </cell>
          <cell r="CM69">
            <v>1.985693281607559E-2</v>
          </cell>
          <cell r="CN69">
            <v>3.2974155918175763E-2</v>
          </cell>
          <cell r="CO69">
            <v>6.0857251888848385E-2</v>
          </cell>
          <cell r="CP69">
            <v>6.0179806283829684E-2</v>
          </cell>
          <cell r="CQ69">
            <v>9.8097576573411546E-2</v>
          </cell>
          <cell r="CR69">
            <v>0.11127046184923106</v>
          </cell>
          <cell r="CS69">
            <v>5.6276375125360767E-2</v>
          </cell>
          <cell r="CT69">
            <v>6.9136034133731927E-2</v>
          </cell>
          <cell r="CU69">
            <v>2.5863232485519916E-2</v>
          </cell>
          <cell r="CV69">
            <v>1.9691973212013103E-2</v>
          </cell>
          <cell r="CW69">
            <v>7.0180977720924353E-2</v>
          </cell>
          <cell r="CX69">
            <v>5.6909950233251072E-2</v>
          </cell>
          <cell r="CY69">
            <v>2.91877050069973E-2</v>
          </cell>
          <cell r="CZ69">
            <v>2.0901640957524448E-2</v>
          </cell>
          <cell r="DA69">
            <v>2.4959832305855301E-3</v>
          </cell>
          <cell r="DB69">
            <v>-7.4664598466247512E-3</v>
          </cell>
          <cell r="DC69">
            <v>3.6554396988888849E-2</v>
          </cell>
          <cell r="DD69">
            <v>3.2844799830598292E-2</v>
          </cell>
          <cell r="DE69">
            <v>3.0853316892653471E-2</v>
          </cell>
          <cell r="DF69">
            <v>3.7177376014643215E-2</v>
          </cell>
          <cell r="DG69">
            <v>4.5351181670832075E-2</v>
          </cell>
          <cell r="DH69">
            <v>7.1950794226202763E-2</v>
          </cell>
          <cell r="DI69">
            <v>9.5721511142349058E-2</v>
          </cell>
          <cell r="DJ69">
            <v>0.11133783804959396</v>
          </cell>
          <cell r="DK69">
            <v>7.260637480446519E-2</v>
          </cell>
          <cell r="DL69">
            <v>6.7971967211703621E-2</v>
          </cell>
          <cell r="DM69">
            <v>4.1800660149551083E-2</v>
          </cell>
          <cell r="DN69">
            <v>3.2070265277537535E-2</v>
          </cell>
          <cell r="DO69">
            <v>4.4804274445260139E-2</v>
          </cell>
          <cell r="DP69">
            <v>-1.8132046991113926E-2</v>
          </cell>
          <cell r="DQ69">
            <v>-8.3988662035268113E-3</v>
          </cell>
          <cell r="DR69">
            <v>-1.539629241555085E-2</v>
          </cell>
          <cell r="DS69">
            <v>-2.874658227755833E-2</v>
          </cell>
          <cell r="DT69">
            <v>-5.5493282041461311E-2</v>
          </cell>
          <cell r="DU69">
            <v>-0.10505807890390395</v>
          </cell>
          <cell r="DV69">
            <v>-0.11358272631657895</v>
          </cell>
          <cell r="DW69">
            <v>-9.7063345629017417E-2</v>
          </cell>
          <cell r="DX69">
            <v>3.4738439742534322E-3</v>
          </cell>
          <cell r="DY69">
            <v>1.2405287579778657E-2</v>
          </cell>
          <cell r="DZ69">
            <v>1.6101582856587804E-2</v>
          </cell>
          <cell r="EA69">
            <v>5.0586486666804431E-2</v>
          </cell>
          <cell r="EB69">
            <v>1.4712854538323938E-2</v>
          </cell>
          <cell r="EC69">
            <v>3.6777694428068886E-2</v>
          </cell>
          <cell r="ED69">
            <v>7.1117315047770635E-2</v>
          </cell>
          <cell r="EE69">
            <v>2.931899536858662E-2</v>
          </cell>
          <cell r="EF69">
            <v>3.2040240186323343E-2</v>
          </cell>
          <cell r="EG69">
            <v>6.8112762459500376E-2</v>
          </cell>
          <cell r="EH69">
            <v>4.0929866166380391E-2</v>
          </cell>
          <cell r="EI69">
            <v>5.8790531737641372E-2</v>
          </cell>
          <cell r="EJ69">
            <v>6.0234897079156857E-2</v>
          </cell>
          <cell r="EK69">
            <v>4.8038866211800091E-2</v>
          </cell>
          <cell r="EL69">
            <v>5.9306308589506029E-2</v>
          </cell>
          <cell r="EM69">
            <v>5.9958932381878549E-2</v>
          </cell>
          <cell r="EN69">
            <v>6.0775340457223326E-2</v>
          </cell>
          <cell r="EO69">
            <v>6.110210487839729E-2</v>
          </cell>
          <cell r="EP69">
            <v>6.0775340457223326E-2</v>
          </cell>
          <cell r="EQ69">
            <v>5.9795650766809594E-2</v>
          </cell>
          <cell r="ER69">
            <v>5.8653735063923795E-2</v>
          </cell>
          <cell r="ES69">
            <v>5.7838708938324102E-2</v>
          </cell>
          <cell r="ET69">
            <v>5.7349919219749967E-2</v>
          </cell>
          <cell r="EU69">
            <v>5.718701441600027E-2</v>
          </cell>
          <cell r="EV69">
            <v>5.718701441600027E-2</v>
          </cell>
          <cell r="EW69">
            <v>5.718701441600027E-2</v>
          </cell>
          <cell r="EX69">
            <v>5.718701441600027E-2</v>
          </cell>
          <cell r="EY69">
            <v>5.718701441600027E-2</v>
          </cell>
          <cell r="EZ69">
            <v>5.718701441600027E-2</v>
          </cell>
          <cell r="FA69">
            <v>5.718701441600027E-2</v>
          </cell>
          <cell r="FB69">
            <v>5.718701441600027E-2</v>
          </cell>
          <cell r="FC69">
            <v>5.718701441600027E-2</v>
          </cell>
          <cell r="FD69">
            <v>5.718701441600027E-2</v>
          </cell>
          <cell r="FE69">
            <v>5.718701441600027E-2</v>
          </cell>
          <cell r="FF69">
            <v>5.718701441600027E-2</v>
          </cell>
          <cell r="FG69">
            <v>5.718701441600027E-2</v>
          </cell>
          <cell r="FH69">
            <v>5.718701441600027E-2</v>
          </cell>
          <cell r="FI69">
            <v>5.718701441600027E-2</v>
          </cell>
          <cell r="FJ69">
            <v>5.718701441600027E-2</v>
          </cell>
          <cell r="FK69">
            <v>5.718701441600027E-2</v>
          </cell>
          <cell r="FL69">
            <v>5.718701441600027E-2</v>
          </cell>
          <cell r="FM69">
            <v>5.718701441600027E-2</v>
          </cell>
          <cell r="FN69">
            <v>5.718701441600027E-2</v>
          </cell>
          <cell r="FO69">
            <v>5.718701441600027E-2</v>
          </cell>
          <cell r="FP69">
            <v>5.718701441600027E-2</v>
          </cell>
          <cell r="FQ69">
            <v>5.718701441600027E-2</v>
          </cell>
          <cell r="FR69">
            <v>5.718701441600027E-2</v>
          </cell>
          <cell r="FS69">
            <v>5.718701441600027E-2</v>
          </cell>
          <cell r="FT69">
            <v>5.718701441600027E-2</v>
          </cell>
          <cell r="FU69">
            <v>5.718701441600027E-2</v>
          </cell>
        </row>
        <row r="70">
          <cell r="A70" t="str">
            <v>12MoCashg</v>
          </cell>
          <cell r="B70" t="str">
            <v>Cash return</v>
          </cell>
          <cell r="D70">
            <v>9.3208333333333351E-2</v>
          </cell>
          <cell r="E70">
            <v>8.3291666666666681E-2</v>
          </cell>
          <cell r="F70">
            <v>7.154166666666667E-2</v>
          </cell>
          <cell r="G70">
            <v>6.3791666666666663E-2</v>
          </cell>
          <cell r="H70">
            <v>5.8875000000000004E-2</v>
          </cell>
          <cell r="I70">
            <v>5.4791666666666676E-2</v>
          </cell>
          <cell r="J70">
            <v>5.2875000000000005E-2</v>
          </cell>
          <cell r="K70">
            <v>5.0499999999999996E-2</v>
          </cell>
          <cell r="L70">
            <v>4.8500000000000008E-2</v>
          </cell>
          <cell r="M70">
            <v>4.7083333333333338E-2</v>
          </cell>
          <cell r="N70">
            <v>4.8250000000000001E-2</v>
          </cell>
          <cell r="O70">
            <v>5.3249999999999999E-2</v>
          </cell>
          <cell r="P70">
            <v>6.0041666666666674E-2</v>
          </cell>
          <cell r="Q70">
            <v>6.7058333333333345E-2</v>
          </cell>
          <cell r="R70">
            <v>7.2600000000000026E-2</v>
          </cell>
          <cell r="S70">
            <v>7.4266666666666661E-2</v>
          </cell>
          <cell r="T70">
            <v>7.4141666666666675E-2</v>
          </cell>
          <cell r="U70">
            <v>7.3666666666666672E-2</v>
          </cell>
          <cell r="V70">
            <v>7.2666666666666657E-2</v>
          </cell>
          <cell r="W70">
            <v>7.0391666666666672E-2</v>
          </cell>
          <cell r="X70">
            <v>6.696666666666666E-2</v>
          </cell>
          <cell r="Y70">
            <v>6.3125000000000014E-2</v>
          </cell>
          <cell r="Z70">
            <v>5.8083333333333348E-2</v>
          </cell>
          <cell r="AA70">
            <v>5.4225000000000023E-2</v>
          </cell>
          <cell r="AB70">
            <v>5.1600000000000007E-2</v>
          </cell>
          <cell r="AC70">
            <v>4.9791666666666679E-2</v>
          </cell>
          <cell r="AD70">
            <v>4.9791666666666679E-2</v>
          </cell>
          <cell r="AE70">
            <v>4.9575000000000008E-2</v>
          </cell>
          <cell r="AF70">
            <v>4.8941666666666668E-2</v>
          </cell>
          <cell r="AG70">
            <v>4.8391666666666666E-2</v>
          </cell>
          <cell r="AH70">
            <v>4.7833333333333325E-2</v>
          </cell>
          <cell r="AI70">
            <v>4.7866666666666662E-2</v>
          </cell>
          <cell r="AJ70">
            <v>4.9383333333333335E-2</v>
          </cell>
          <cell r="AK70">
            <v>5.2291666666666667E-2</v>
          </cell>
          <cell r="AL70">
            <v>5.5808333333333335E-2</v>
          </cell>
          <cell r="AM70">
            <v>5.9166666666666673E-2</v>
          </cell>
          <cell r="AN70">
            <v>6.0416666666666667E-2</v>
          </cell>
          <cell r="AO70">
            <v>5.8125000000000003E-2</v>
          </cell>
          <cell r="AP70">
            <v>5.5E-2</v>
          </cell>
          <cell r="AQ70">
            <v>5.0416666666666672E-2</v>
          </cell>
          <cell r="AR70">
            <v>4.6458333333333331E-2</v>
          </cell>
          <cell r="AS70">
            <v>4.520833333333333E-2</v>
          </cell>
          <cell r="AT70">
            <v>4.4791666666666667E-2</v>
          </cell>
          <cell r="AU70">
            <v>4.5624999999999999E-2</v>
          </cell>
          <cell r="AV70">
            <v>4.6875E-2</v>
          </cell>
          <cell r="AW70">
            <v>4.7500000000000001E-2</v>
          </cell>
          <cell r="AX70">
            <v>4.7500000000000001E-2</v>
          </cell>
          <cell r="AY70">
            <v>4.8125000000000001E-2</v>
          </cell>
          <cell r="AZ70">
            <v>4.9375000000000002E-2</v>
          </cell>
          <cell r="BA70">
            <v>5.0625000000000003E-2</v>
          </cell>
          <cell r="BB70">
            <v>5.1874999999999998E-2</v>
          </cell>
          <cell r="BC70">
            <v>5.2499999999999998E-2</v>
          </cell>
          <cell r="BD70">
            <v>5.2708333333333329E-2</v>
          </cell>
          <cell r="BE70">
            <v>5.333333333333333E-2</v>
          </cell>
          <cell r="BF70">
            <v>5.395833333333333E-2</v>
          </cell>
          <cell r="BG70">
            <v>5.4583333333333331E-2</v>
          </cell>
          <cell r="BH70">
            <v>5.5E-2</v>
          </cell>
          <cell r="BI70">
            <v>5.541666666666667E-2</v>
          </cell>
          <cell r="BJ70">
            <v>5.6458333333333333E-2</v>
          </cell>
          <cell r="BK70">
            <v>5.8125000000000003E-2</v>
          </cell>
          <cell r="BL70">
            <v>0.06</v>
          </cell>
          <cell r="BM70">
            <v>6.145833333333333E-2</v>
          </cell>
          <cell r="BN70">
            <v>6.2708333333333324E-2</v>
          </cell>
          <cell r="BO70">
            <v>6.3958333333333325E-2</v>
          </cell>
          <cell r="BP70">
            <v>6.5833333333333327E-2</v>
          </cell>
          <cell r="BQ70">
            <v>6.8333333333333329E-2</v>
          </cell>
          <cell r="BR70">
            <v>7.0208333333333331E-2</v>
          </cell>
          <cell r="BS70">
            <v>6.6458333333333328E-2</v>
          </cell>
          <cell r="BT70">
            <v>5.7916666666666672E-2</v>
          </cell>
          <cell r="BU70">
            <v>4.7291666666666669E-2</v>
          </cell>
          <cell r="BV70">
            <v>3.6874999999999998E-2</v>
          </cell>
          <cell r="BW70">
            <v>3.2708333333333332E-2</v>
          </cell>
          <cell r="BX70">
            <v>3.3333333333333333E-2</v>
          </cell>
          <cell r="BY70">
            <v>3.6874999999999998E-2</v>
          </cell>
          <cell r="BZ70">
            <v>4.0625000000000001E-2</v>
          </cell>
          <cell r="CA70">
            <v>4.3541666666666673E-2</v>
          </cell>
          <cell r="CB70">
            <v>4.583333333333333E-2</v>
          </cell>
          <cell r="CC70">
            <v>4.6666666666666669E-2</v>
          </cell>
          <cell r="CD70">
            <v>4.7291666666666669E-2</v>
          </cell>
          <cell r="CE70">
            <v>4.6875E-2</v>
          </cell>
          <cell r="CF70">
            <v>4.5624999999999999E-2</v>
          </cell>
          <cell r="CG70">
            <v>4.3333333333333328E-2</v>
          </cell>
          <cell r="CH70">
            <v>4.0208333333333332E-2</v>
          </cell>
          <cell r="CI70">
            <v>3.6874999999999998E-2</v>
          </cell>
          <cell r="CJ70">
            <v>3.3750000000000002E-2</v>
          </cell>
          <cell r="CK70">
            <v>3.125E-2</v>
          </cell>
          <cell r="CL70">
            <v>2.8958333333333336E-2</v>
          </cell>
          <cell r="CM70">
            <v>2.7291666666666665E-2</v>
          </cell>
          <cell r="CN70">
            <v>2.6041666666666664E-2</v>
          </cell>
          <cell r="CO70">
            <v>2.5208333333333336E-2</v>
          </cell>
          <cell r="CP70">
            <v>2.5000000000000001E-2</v>
          </cell>
          <cell r="CQ70">
            <v>2.5000000000000001E-2</v>
          </cell>
          <cell r="CR70">
            <v>2.4583333333333336E-2</v>
          </cell>
          <cell r="CS70">
            <v>2.3541666666666666E-2</v>
          </cell>
          <cell r="CT70">
            <v>2.2291666666666664E-2</v>
          </cell>
          <cell r="CU70">
            <v>2.1041666666666667E-2</v>
          </cell>
          <cell r="CV70">
            <v>2.0208333333333335E-2</v>
          </cell>
          <cell r="CW70">
            <v>1.9583333333333331E-2</v>
          </cell>
          <cell r="CX70">
            <v>1.8541666666666668E-2</v>
          </cell>
          <cell r="CY70">
            <v>1.7291666666666667E-2</v>
          </cell>
          <cell r="CZ70">
            <v>1.6041666666666666E-2</v>
          </cell>
          <cell r="DA70">
            <v>1.5208333333333332E-2</v>
          </cell>
          <cell r="DB70">
            <v>1.4999999999999999E-2</v>
          </cell>
          <cell r="DC70">
            <v>1.4999999999999999E-2</v>
          </cell>
          <cell r="DD70">
            <v>1.4999999999999999E-2</v>
          </cell>
          <cell r="DE70">
            <v>1.4999999999999999E-2</v>
          </cell>
          <cell r="DF70">
            <v>1.4999999999999999E-2</v>
          </cell>
          <cell r="DG70">
            <v>1.4999999999999999E-2</v>
          </cell>
          <cell r="DH70">
            <v>1.4999999999999999E-2</v>
          </cell>
          <cell r="DI70">
            <v>1.4791666666666668E-2</v>
          </cell>
          <cell r="DJ70">
            <v>1.3541666666666667E-2</v>
          </cell>
          <cell r="DK70">
            <v>1.1666666666666667E-2</v>
          </cell>
          <cell r="DL70">
            <v>9.3749999999999997E-3</v>
          </cell>
          <cell r="DM70">
            <v>6.4583333333333333E-3</v>
          </cell>
          <cell r="DN70">
            <v>4.5833333333333334E-3</v>
          </cell>
          <cell r="DO70">
            <v>3.0833333333333333E-3</v>
          </cell>
          <cell r="DP70">
            <v>1.8750000000000004E-3</v>
          </cell>
          <cell r="DQ70">
            <v>1.5000000000000005E-3</v>
          </cell>
          <cell r="DR70">
            <v>1.1250000000000001E-3</v>
          </cell>
          <cell r="DS70">
            <v>1E-3</v>
          </cell>
          <cell r="DT70">
            <v>1E-3</v>
          </cell>
          <cell r="DU70">
            <v>1.8333333333333333E-3</v>
          </cell>
          <cell r="DV70">
            <v>6.2083333333333322E-3</v>
          </cell>
          <cell r="DW70">
            <v>1.3083333333333334E-2</v>
          </cell>
          <cell r="DX70">
            <v>2.1208333333333336E-2</v>
          </cell>
          <cell r="DY70">
            <v>2.9750000000000002E-2</v>
          </cell>
          <cell r="DZ70">
            <v>3.5375000000000011E-2</v>
          </cell>
          <cell r="EA70">
            <v>3.8916666666666676E-2</v>
          </cell>
          <cell r="EB70">
            <v>4.1416666666666678E-2</v>
          </cell>
          <cell r="EC70">
            <v>4.2666666666666672E-2</v>
          </cell>
          <cell r="ED70">
            <v>4.3291666666666673E-2</v>
          </cell>
          <cell r="EE70">
            <v>4.3500000000000004E-2</v>
          </cell>
          <cell r="EF70">
            <v>4.3083333333333342E-2</v>
          </cell>
          <cell r="EG70">
            <v>4.2041666666666672E-2</v>
          </cell>
          <cell r="EH70">
            <v>4.0375000000000008E-2</v>
          </cell>
          <cell r="EI70">
            <v>3.9541469815511432E-2</v>
          </cell>
          <cell r="EJ70">
            <v>3.8362656965735376E-2</v>
          </cell>
          <cell r="EK70">
            <v>3.7987773600144603E-2</v>
          </cell>
          <cell r="EL70">
            <v>3.8577028044098682E-2</v>
          </cell>
          <cell r="EM70">
            <v>3.9220050071801404E-2</v>
          </cell>
          <cell r="EN70">
            <v>4.0024449763788494E-2</v>
          </cell>
          <cell r="EO70">
            <v>4.0346408854202265E-2</v>
          </cell>
          <cell r="EP70">
            <v>4.0024449763788272E-2</v>
          </cell>
          <cell r="EQ70">
            <v>3.9059170133403764E-2</v>
          </cell>
          <cell r="ER70">
            <v>3.7934055788984455E-2</v>
          </cell>
          <cell r="ES70">
            <v>3.7131024458104234E-2</v>
          </cell>
          <cell r="ET70">
            <v>3.6649429393655897E-2</v>
          </cell>
          <cell r="EU70">
            <v>3.6488922560999448E-2</v>
          </cell>
          <cell r="EV70">
            <v>3.6488922560999448E-2</v>
          </cell>
          <cell r="EW70">
            <v>3.6488922560999448E-2</v>
          </cell>
          <cell r="EX70">
            <v>3.6488922560999448E-2</v>
          </cell>
          <cell r="EY70">
            <v>3.6488922560999448E-2</v>
          </cell>
          <cell r="EZ70">
            <v>3.6488922560999448E-2</v>
          </cell>
          <cell r="FA70">
            <v>3.6488922560999448E-2</v>
          </cell>
          <cell r="FB70">
            <v>3.6488922560999448E-2</v>
          </cell>
          <cell r="FC70">
            <v>3.6488922560999448E-2</v>
          </cell>
          <cell r="FD70">
            <v>3.6488922560999448E-2</v>
          </cell>
          <cell r="FE70">
            <v>3.6488922560999448E-2</v>
          </cell>
          <cell r="FF70">
            <v>3.6488922560999448E-2</v>
          </cell>
          <cell r="FG70">
            <v>3.6488922560999448E-2</v>
          </cell>
          <cell r="FH70">
            <v>3.6488922560999448E-2</v>
          </cell>
          <cell r="FI70">
            <v>3.6488922560999448E-2</v>
          </cell>
          <cell r="FJ70">
            <v>3.6488922560999448E-2</v>
          </cell>
          <cell r="FK70">
            <v>3.6488922560999448E-2</v>
          </cell>
          <cell r="FL70">
            <v>3.6488922560999448E-2</v>
          </cell>
          <cell r="FM70">
            <v>3.6488922560999448E-2</v>
          </cell>
          <cell r="FN70">
            <v>3.6488922560999448E-2</v>
          </cell>
          <cell r="FO70">
            <v>3.6488922560999448E-2</v>
          </cell>
          <cell r="FP70">
            <v>3.6488922560999448E-2</v>
          </cell>
          <cell r="FQ70">
            <v>3.6488922560999448E-2</v>
          </cell>
          <cell r="FR70">
            <v>3.6488922560999448E-2</v>
          </cell>
          <cell r="FS70">
            <v>3.6488922560999448E-2</v>
          </cell>
          <cell r="FT70">
            <v>3.6488922560999448E-2</v>
          </cell>
          <cell r="FU70">
            <v>3.6488922560999448E-2</v>
          </cell>
        </row>
        <row r="72">
          <cell r="B72" t="str">
            <v>Miscellaneous</v>
          </cell>
        </row>
        <row r="73">
          <cell r="A73" t="str">
            <v>ASS_TXCorpRate</v>
          </cell>
          <cell r="B73" t="str">
            <v>Corporate tax rate</v>
          </cell>
          <cell r="D73">
            <v>0.33</v>
          </cell>
          <cell r="E73">
            <v>0.33</v>
          </cell>
          <cell r="F73">
            <v>0.33</v>
          </cell>
          <cell r="G73">
            <v>0.33</v>
          </cell>
          <cell r="H73">
            <v>0.33</v>
          </cell>
          <cell r="I73">
            <v>0.33</v>
          </cell>
          <cell r="J73">
            <v>0.33</v>
          </cell>
          <cell r="K73">
            <v>0.33</v>
          </cell>
          <cell r="L73">
            <v>0.33</v>
          </cell>
          <cell r="M73">
            <v>0.33</v>
          </cell>
          <cell r="N73">
            <v>0.33</v>
          </cell>
          <cell r="O73">
            <v>0.33</v>
          </cell>
          <cell r="P73">
            <v>0.33</v>
          </cell>
          <cell r="Q73">
            <v>0.33</v>
          </cell>
          <cell r="R73">
            <v>0.33</v>
          </cell>
          <cell r="S73">
            <v>0.36</v>
          </cell>
          <cell r="T73">
            <v>0.36</v>
          </cell>
          <cell r="U73">
            <v>0.36</v>
          </cell>
          <cell r="V73">
            <v>0.36</v>
          </cell>
          <cell r="W73">
            <v>0.36</v>
          </cell>
          <cell r="X73">
            <v>0.36</v>
          </cell>
          <cell r="Y73">
            <v>0.36</v>
          </cell>
          <cell r="Z73">
            <v>0.36</v>
          </cell>
          <cell r="AA73">
            <v>0.36</v>
          </cell>
          <cell r="AB73">
            <v>0.36</v>
          </cell>
          <cell r="AC73">
            <v>0.36</v>
          </cell>
          <cell r="AD73">
            <v>0.36</v>
          </cell>
          <cell r="AE73">
            <v>0.36</v>
          </cell>
          <cell r="AF73">
            <v>0.36</v>
          </cell>
          <cell r="AG73">
            <v>0.36</v>
          </cell>
          <cell r="AH73">
            <v>0.36</v>
          </cell>
          <cell r="AI73">
            <v>0.36</v>
          </cell>
          <cell r="AJ73">
            <v>0.36</v>
          </cell>
          <cell r="AK73">
            <v>0.36</v>
          </cell>
          <cell r="AL73">
            <v>0.36</v>
          </cell>
          <cell r="AM73">
            <v>0.34</v>
          </cell>
          <cell r="AN73">
            <v>0.34</v>
          </cell>
          <cell r="AO73">
            <v>0.34</v>
          </cell>
          <cell r="AP73">
            <v>0.34</v>
          </cell>
          <cell r="AQ73">
            <v>0.3</v>
          </cell>
          <cell r="AR73">
            <v>0.3</v>
          </cell>
          <cell r="AS73">
            <v>0.3</v>
          </cell>
          <cell r="AT73">
            <v>0.3</v>
          </cell>
          <cell r="AU73">
            <v>0.3</v>
          </cell>
          <cell r="AV73">
            <v>0.3</v>
          </cell>
          <cell r="AW73">
            <v>0.3</v>
          </cell>
          <cell r="AX73">
            <v>0.3</v>
          </cell>
          <cell r="AY73">
            <v>0.3</v>
          </cell>
          <cell r="AZ73">
            <v>0.3</v>
          </cell>
          <cell r="BA73">
            <v>0.3</v>
          </cell>
          <cell r="BB73">
            <v>0.3</v>
          </cell>
          <cell r="BC73">
            <v>0.3</v>
          </cell>
          <cell r="BD73">
            <v>0.3</v>
          </cell>
          <cell r="BE73">
            <v>0.3</v>
          </cell>
          <cell r="BF73">
            <v>0.3</v>
          </cell>
          <cell r="BG73">
            <v>0.3</v>
          </cell>
          <cell r="BH73">
            <v>0.3</v>
          </cell>
          <cell r="BI73">
            <v>0.3</v>
          </cell>
          <cell r="BJ73">
            <v>0.3</v>
          </cell>
          <cell r="BK73">
            <v>0.3</v>
          </cell>
          <cell r="BL73">
            <v>0.3</v>
          </cell>
          <cell r="BM73">
            <v>0.3</v>
          </cell>
          <cell r="BN73">
            <v>0.3</v>
          </cell>
          <cell r="BO73">
            <v>0.3</v>
          </cell>
          <cell r="BP73">
            <v>0.3</v>
          </cell>
          <cell r="BQ73">
            <v>0.3</v>
          </cell>
          <cell r="BR73">
            <v>0.3</v>
          </cell>
          <cell r="BS73">
            <v>0.3</v>
          </cell>
          <cell r="BT73">
            <v>0.3</v>
          </cell>
          <cell r="BU73">
            <v>0.3</v>
          </cell>
          <cell r="BV73">
            <v>0.3</v>
          </cell>
          <cell r="BW73">
            <v>0.3</v>
          </cell>
          <cell r="BX73">
            <v>0.3</v>
          </cell>
          <cell r="BY73">
            <v>0.3</v>
          </cell>
          <cell r="BZ73">
            <v>0.3</v>
          </cell>
          <cell r="CA73">
            <v>0.3</v>
          </cell>
          <cell r="CB73">
            <v>0.3</v>
          </cell>
          <cell r="CC73">
            <v>0.3</v>
          </cell>
          <cell r="CD73">
            <v>0.3</v>
          </cell>
          <cell r="CE73">
            <v>0.3</v>
          </cell>
          <cell r="CF73">
            <v>0.3</v>
          </cell>
          <cell r="CG73">
            <v>0.3</v>
          </cell>
          <cell r="CH73">
            <v>0.3</v>
          </cell>
          <cell r="CI73">
            <v>0.3</v>
          </cell>
          <cell r="CJ73">
            <v>0.3</v>
          </cell>
          <cell r="CK73">
            <v>0.3</v>
          </cell>
          <cell r="CL73">
            <v>0.3</v>
          </cell>
          <cell r="CM73">
            <v>0.3</v>
          </cell>
          <cell r="CN73">
            <v>0.3</v>
          </cell>
          <cell r="CO73">
            <v>0.3</v>
          </cell>
          <cell r="CP73">
            <v>0.3</v>
          </cell>
          <cell r="CQ73">
            <v>0.3</v>
          </cell>
          <cell r="CR73">
            <v>0.3</v>
          </cell>
          <cell r="CS73">
            <v>0.3</v>
          </cell>
          <cell r="CT73">
            <v>0.3</v>
          </cell>
          <cell r="CU73">
            <v>0.3</v>
          </cell>
          <cell r="CV73">
            <v>0.3</v>
          </cell>
          <cell r="CW73">
            <v>0.3</v>
          </cell>
          <cell r="CX73">
            <v>0.3</v>
          </cell>
          <cell r="CY73">
            <v>0.3</v>
          </cell>
          <cell r="CZ73">
            <v>0.3</v>
          </cell>
          <cell r="DA73">
            <v>0.3</v>
          </cell>
          <cell r="DB73">
            <v>0.3</v>
          </cell>
          <cell r="DC73">
            <v>0.3</v>
          </cell>
          <cell r="DD73">
            <v>0.3</v>
          </cell>
          <cell r="DE73">
            <v>0.3</v>
          </cell>
          <cell r="DF73">
            <v>0.3</v>
          </cell>
          <cell r="DG73">
            <v>0.3</v>
          </cell>
          <cell r="DH73">
            <v>0.3</v>
          </cell>
          <cell r="DI73">
            <v>0.3</v>
          </cell>
          <cell r="DJ73">
            <v>0.3</v>
          </cell>
          <cell r="DK73">
            <v>0.3</v>
          </cell>
          <cell r="DL73">
            <v>0.3</v>
          </cell>
          <cell r="DM73">
            <v>0.3</v>
          </cell>
          <cell r="DN73">
            <v>0.3</v>
          </cell>
          <cell r="DO73">
            <v>0.3</v>
          </cell>
          <cell r="DP73">
            <v>0.3</v>
          </cell>
          <cell r="DQ73">
            <v>0.3</v>
          </cell>
          <cell r="DR73">
            <v>0.3</v>
          </cell>
          <cell r="DS73">
            <v>0.3</v>
          </cell>
          <cell r="DT73">
            <v>0.3</v>
          </cell>
          <cell r="DU73">
            <v>0.3</v>
          </cell>
          <cell r="DV73">
            <v>0.3</v>
          </cell>
          <cell r="DW73">
            <v>0.3</v>
          </cell>
          <cell r="DX73">
            <v>0.3</v>
          </cell>
          <cell r="DY73">
            <v>0.3</v>
          </cell>
          <cell r="DZ73">
            <v>0.3</v>
          </cell>
          <cell r="EA73">
            <v>0.3</v>
          </cell>
          <cell r="EB73">
            <v>0.3</v>
          </cell>
          <cell r="EC73">
            <v>0.3</v>
          </cell>
          <cell r="ED73">
            <v>0.3</v>
          </cell>
          <cell r="EE73">
            <v>0.3</v>
          </cell>
          <cell r="EF73">
            <v>0.3</v>
          </cell>
          <cell r="EG73">
            <v>0.3</v>
          </cell>
          <cell r="EH73">
            <v>0.3</v>
          </cell>
          <cell r="EI73">
            <v>0.3</v>
          </cell>
          <cell r="EJ73">
            <v>0.3</v>
          </cell>
          <cell r="EK73">
            <v>0.3</v>
          </cell>
          <cell r="EL73">
            <v>0.3</v>
          </cell>
          <cell r="EM73">
            <v>0.3</v>
          </cell>
          <cell r="EN73">
            <v>0.3</v>
          </cell>
          <cell r="EO73">
            <v>0.3</v>
          </cell>
          <cell r="EP73">
            <v>0.3</v>
          </cell>
          <cell r="EQ73">
            <v>0.3</v>
          </cell>
          <cell r="ER73">
            <v>0.3</v>
          </cell>
          <cell r="ES73">
            <v>0.3</v>
          </cell>
          <cell r="ET73">
            <v>0.3</v>
          </cell>
          <cell r="EU73">
            <v>0.3</v>
          </cell>
          <cell r="EV73">
            <v>0.3</v>
          </cell>
          <cell r="EW73">
            <v>0.3</v>
          </cell>
          <cell r="EX73">
            <v>0.3</v>
          </cell>
          <cell r="EY73">
            <v>0.3</v>
          </cell>
          <cell r="EZ73">
            <v>0.3</v>
          </cell>
          <cell r="FA73">
            <v>0.3</v>
          </cell>
          <cell r="FB73">
            <v>0.3</v>
          </cell>
          <cell r="FC73">
            <v>0.3</v>
          </cell>
          <cell r="FD73">
            <v>0.3</v>
          </cell>
          <cell r="FE73">
            <v>0.3</v>
          </cell>
          <cell r="FF73">
            <v>0.3</v>
          </cell>
          <cell r="FG73">
            <v>0.3</v>
          </cell>
          <cell r="FH73">
            <v>0.3</v>
          </cell>
          <cell r="FI73">
            <v>0.3</v>
          </cell>
          <cell r="FJ73">
            <v>0.3</v>
          </cell>
          <cell r="FK73">
            <v>0.3</v>
          </cell>
          <cell r="FL73">
            <v>0.3</v>
          </cell>
          <cell r="FM73">
            <v>0.3</v>
          </cell>
          <cell r="FN73">
            <v>0.3</v>
          </cell>
          <cell r="FO73">
            <v>0.3</v>
          </cell>
          <cell r="FP73">
            <v>0.3</v>
          </cell>
          <cell r="FQ73">
            <v>0.3</v>
          </cell>
          <cell r="FR73">
            <v>0.3</v>
          </cell>
          <cell r="FS73">
            <v>0.3</v>
          </cell>
          <cell r="FT73">
            <v>0.3</v>
          </cell>
          <cell r="FU73">
            <v>0.3</v>
          </cell>
        </row>
        <row r="74">
          <cell r="A74" t="str">
            <v>ASS_TXFrankingValued</v>
          </cell>
          <cell r="B74" t="str">
            <v>Proportion of franking credits valued</v>
          </cell>
          <cell r="D74">
            <v>0.6</v>
          </cell>
          <cell r="E74">
            <v>0.6</v>
          </cell>
          <cell r="F74">
            <v>0.6</v>
          </cell>
          <cell r="G74">
            <v>0.6</v>
          </cell>
          <cell r="H74">
            <v>0.6</v>
          </cell>
          <cell r="I74">
            <v>0.6</v>
          </cell>
          <cell r="J74">
            <v>0.6</v>
          </cell>
          <cell r="K74">
            <v>0.6</v>
          </cell>
          <cell r="L74">
            <v>0.6</v>
          </cell>
          <cell r="M74">
            <v>0.6</v>
          </cell>
          <cell r="N74">
            <v>0.6</v>
          </cell>
          <cell r="O74">
            <v>0.6</v>
          </cell>
          <cell r="P74">
            <v>0.6</v>
          </cell>
          <cell r="Q74">
            <v>0.6</v>
          </cell>
          <cell r="R74">
            <v>0.6</v>
          </cell>
          <cell r="S74">
            <v>0.6</v>
          </cell>
          <cell r="T74">
            <v>0.6</v>
          </cell>
          <cell r="U74">
            <v>0.6</v>
          </cell>
          <cell r="V74">
            <v>0.6</v>
          </cell>
          <cell r="W74">
            <v>0.6</v>
          </cell>
          <cell r="X74">
            <v>0.6</v>
          </cell>
          <cell r="Y74">
            <v>0.6</v>
          </cell>
          <cell r="Z74">
            <v>0.6</v>
          </cell>
          <cell r="AA74">
            <v>0.6</v>
          </cell>
          <cell r="AB74">
            <v>0.6</v>
          </cell>
          <cell r="AC74">
            <v>0.6</v>
          </cell>
          <cell r="AD74">
            <v>0.6</v>
          </cell>
          <cell r="AE74">
            <v>0.6</v>
          </cell>
          <cell r="AF74">
            <v>0.6</v>
          </cell>
          <cell r="AG74">
            <v>0.6</v>
          </cell>
          <cell r="AH74">
            <v>0.6</v>
          </cell>
          <cell r="AI74">
            <v>0.6</v>
          </cell>
          <cell r="AJ74">
            <v>0.6</v>
          </cell>
          <cell r="AK74">
            <v>0.6</v>
          </cell>
          <cell r="AL74">
            <v>0.6</v>
          </cell>
          <cell r="AM74">
            <v>0.6</v>
          </cell>
          <cell r="AN74">
            <v>0.6</v>
          </cell>
          <cell r="AO74">
            <v>0.6</v>
          </cell>
          <cell r="AP74">
            <v>0.6</v>
          </cell>
          <cell r="AQ74">
            <v>0.6</v>
          </cell>
          <cell r="AR74">
            <v>0.6</v>
          </cell>
          <cell r="AS74">
            <v>0.6</v>
          </cell>
          <cell r="AT74">
            <v>0.6</v>
          </cell>
          <cell r="AU74">
            <v>0.6</v>
          </cell>
          <cell r="AV74">
            <v>0.6</v>
          </cell>
          <cell r="AW74">
            <v>0.6</v>
          </cell>
          <cell r="AX74">
            <v>0.6</v>
          </cell>
          <cell r="AY74">
            <v>0.6</v>
          </cell>
          <cell r="AZ74">
            <v>0.6</v>
          </cell>
          <cell r="BA74">
            <v>0.6</v>
          </cell>
          <cell r="BB74">
            <v>0.6</v>
          </cell>
          <cell r="BC74">
            <v>0.6</v>
          </cell>
          <cell r="BD74">
            <v>0.6</v>
          </cell>
          <cell r="BE74">
            <v>0.6</v>
          </cell>
          <cell r="BF74">
            <v>0.6</v>
          </cell>
          <cell r="BG74">
            <v>0.6</v>
          </cell>
          <cell r="BH74">
            <v>0.6</v>
          </cell>
          <cell r="BI74">
            <v>0.6</v>
          </cell>
          <cell r="BJ74">
            <v>0.6</v>
          </cell>
          <cell r="BK74">
            <v>0.6</v>
          </cell>
          <cell r="BL74">
            <v>0.6</v>
          </cell>
          <cell r="BM74">
            <v>0.6</v>
          </cell>
          <cell r="BN74">
            <v>0.6</v>
          </cell>
          <cell r="BO74">
            <v>0.6</v>
          </cell>
          <cell r="BP74">
            <v>0.6</v>
          </cell>
          <cell r="BQ74">
            <v>0.6</v>
          </cell>
          <cell r="BR74">
            <v>0.6</v>
          </cell>
          <cell r="BS74">
            <v>0.6</v>
          </cell>
          <cell r="BT74">
            <v>0.6</v>
          </cell>
          <cell r="BU74">
            <v>0.6</v>
          </cell>
          <cell r="BV74">
            <v>0.6</v>
          </cell>
          <cell r="BW74">
            <v>0.6</v>
          </cell>
          <cell r="BX74">
            <v>0.6</v>
          </cell>
          <cell r="BY74">
            <v>0.6</v>
          </cell>
          <cell r="BZ74">
            <v>0.6</v>
          </cell>
          <cell r="CA74">
            <v>0.6</v>
          </cell>
          <cell r="CB74">
            <v>0.6</v>
          </cell>
          <cell r="CC74">
            <v>0.6</v>
          </cell>
          <cell r="CD74">
            <v>0.6</v>
          </cell>
          <cell r="CE74">
            <v>0.6</v>
          </cell>
          <cell r="CF74">
            <v>0.6</v>
          </cell>
          <cell r="CG74">
            <v>0.6</v>
          </cell>
          <cell r="CH74">
            <v>0.6</v>
          </cell>
          <cell r="CI74">
            <v>0.6</v>
          </cell>
          <cell r="CJ74">
            <v>0.6</v>
          </cell>
          <cell r="CK74">
            <v>0.6</v>
          </cell>
          <cell r="CL74">
            <v>0.6</v>
          </cell>
          <cell r="CM74">
            <v>0.6</v>
          </cell>
          <cell r="CN74">
            <v>0.6</v>
          </cell>
          <cell r="CO74">
            <v>0.6</v>
          </cell>
          <cell r="CP74">
            <v>0.6</v>
          </cell>
          <cell r="CQ74">
            <v>0.6</v>
          </cell>
          <cell r="CR74">
            <v>0.6</v>
          </cell>
          <cell r="CS74">
            <v>0.6</v>
          </cell>
          <cell r="CT74">
            <v>0.6</v>
          </cell>
          <cell r="CU74">
            <v>0.6</v>
          </cell>
          <cell r="CV74">
            <v>0.6</v>
          </cell>
          <cell r="CW74">
            <v>0.6</v>
          </cell>
          <cell r="CX74">
            <v>0.6</v>
          </cell>
          <cell r="CY74">
            <v>0.6</v>
          </cell>
          <cell r="CZ74">
            <v>0.6</v>
          </cell>
          <cell r="DA74">
            <v>0.6</v>
          </cell>
          <cell r="DB74">
            <v>0.6</v>
          </cell>
          <cell r="DC74">
            <v>0.6</v>
          </cell>
          <cell r="DD74">
            <v>0.6</v>
          </cell>
          <cell r="DE74">
            <v>0.6</v>
          </cell>
          <cell r="DF74">
            <v>0.6</v>
          </cell>
          <cell r="DG74">
            <v>0.6</v>
          </cell>
          <cell r="DH74">
            <v>0.6</v>
          </cell>
          <cell r="DI74">
            <v>0.6</v>
          </cell>
          <cell r="DJ74">
            <v>0.6</v>
          </cell>
          <cell r="DK74">
            <v>0.6</v>
          </cell>
          <cell r="DL74">
            <v>0.6</v>
          </cell>
          <cell r="DM74">
            <v>0.6</v>
          </cell>
          <cell r="DN74">
            <v>0.6</v>
          </cell>
          <cell r="DO74">
            <v>0.6</v>
          </cell>
          <cell r="DP74">
            <v>0.6</v>
          </cell>
          <cell r="DQ74">
            <v>0.6</v>
          </cell>
          <cell r="DR74">
            <v>0.6</v>
          </cell>
          <cell r="DS74">
            <v>0.6</v>
          </cell>
          <cell r="DT74">
            <v>0.6</v>
          </cell>
          <cell r="DU74">
            <v>0.6</v>
          </cell>
          <cell r="DV74">
            <v>0.6</v>
          </cell>
          <cell r="DW74">
            <v>0.6</v>
          </cell>
          <cell r="DX74">
            <v>0.6</v>
          </cell>
          <cell r="DY74">
            <v>0.6</v>
          </cell>
          <cell r="DZ74">
            <v>0.6</v>
          </cell>
          <cell r="EA74">
            <v>0.6</v>
          </cell>
          <cell r="EB74">
            <v>0.6</v>
          </cell>
          <cell r="EC74">
            <v>0.6</v>
          </cell>
          <cell r="ED74">
            <v>0.6</v>
          </cell>
          <cell r="EE74">
            <v>0.6</v>
          </cell>
          <cell r="EF74">
            <v>0.6</v>
          </cell>
          <cell r="EG74">
            <v>0.6</v>
          </cell>
          <cell r="EH74">
            <v>0.6</v>
          </cell>
          <cell r="EI74">
            <v>0.6</v>
          </cell>
          <cell r="EJ74">
            <v>0.6</v>
          </cell>
          <cell r="EK74">
            <v>0.6</v>
          </cell>
          <cell r="EL74">
            <v>0.6</v>
          </cell>
          <cell r="EM74">
            <v>0.6</v>
          </cell>
          <cell r="EN74">
            <v>0.6</v>
          </cell>
          <cell r="EO74">
            <v>0.6</v>
          </cell>
          <cell r="EP74">
            <v>0.6</v>
          </cell>
          <cell r="EQ74">
            <v>0.6</v>
          </cell>
          <cell r="ER74">
            <v>0.6</v>
          </cell>
          <cell r="ES74">
            <v>0.6</v>
          </cell>
          <cell r="ET74">
            <v>0.6</v>
          </cell>
          <cell r="EU74">
            <v>0.6</v>
          </cell>
          <cell r="EV74">
            <v>0.6</v>
          </cell>
          <cell r="EW74">
            <v>0.6</v>
          </cell>
          <cell r="EX74">
            <v>0.6</v>
          </cell>
          <cell r="EY74">
            <v>0.6</v>
          </cell>
          <cell r="EZ74">
            <v>0.6</v>
          </cell>
          <cell r="FA74">
            <v>0.6</v>
          </cell>
          <cell r="FB74">
            <v>0.6</v>
          </cell>
          <cell r="FC74">
            <v>0.6</v>
          </cell>
          <cell r="FD74">
            <v>0.6</v>
          </cell>
          <cell r="FE74">
            <v>0.6</v>
          </cell>
          <cell r="FF74">
            <v>0.6</v>
          </cell>
          <cell r="FG74">
            <v>0.6</v>
          </cell>
          <cell r="FH74">
            <v>0.6</v>
          </cell>
          <cell r="FI74">
            <v>0.6</v>
          </cell>
          <cell r="FJ74">
            <v>0.6</v>
          </cell>
          <cell r="FK74">
            <v>0.6</v>
          </cell>
          <cell r="FL74">
            <v>0.6</v>
          </cell>
          <cell r="FM74">
            <v>0.6</v>
          </cell>
          <cell r="FN74">
            <v>0.6</v>
          </cell>
          <cell r="FO74">
            <v>0.6</v>
          </cell>
          <cell r="FP74">
            <v>0.6</v>
          </cell>
          <cell r="FQ74">
            <v>0.6</v>
          </cell>
          <cell r="FR74">
            <v>0.6</v>
          </cell>
          <cell r="FS74">
            <v>0.6</v>
          </cell>
          <cell r="FT74">
            <v>0.6</v>
          </cell>
          <cell r="FU74">
            <v>0.6</v>
          </cell>
        </row>
        <row r="75">
          <cell r="A75" t="str">
            <v>au_cpi_yoy</v>
          </cell>
          <cell r="B75" t="str">
            <v>Cost inflation (6mo)</v>
          </cell>
          <cell r="D75">
            <v>1.7000000000000001E-2</v>
          </cell>
          <cell r="E75">
            <v>1.2E-2</v>
          </cell>
          <cell r="F75">
            <v>8.0000000000000002E-3</v>
          </cell>
          <cell r="G75">
            <v>3.0000000000000001E-3</v>
          </cell>
          <cell r="H75">
            <v>1.2E-2</v>
          </cell>
          <cell r="I75">
            <v>1.8000000000000002E-2</v>
          </cell>
          <cell r="J75">
            <v>2.2000000000000002E-2</v>
          </cell>
          <cell r="K75">
            <v>1.8000000000000002E-2</v>
          </cell>
          <cell r="L75">
            <v>1.4999999999999999E-2</v>
          </cell>
          <cell r="M75">
            <v>1.8000000000000002E-2</v>
          </cell>
          <cell r="N75">
            <v>0.02</v>
          </cell>
          <cell r="O75">
            <v>2.6000000000000002E-2</v>
          </cell>
          <cell r="P75">
            <v>3.7000000000000005E-2</v>
          </cell>
          <cell r="Q75">
            <v>4.4999999999999998E-2</v>
          </cell>
          <cell r="R75">
            <v>5.0999999999999997E-2</v>
          </cell>
          <cell r="S75">
            <v>5.0999999999999997E-2</v>
          </cell>
          <cell r="T75">
            <v>3.7999999999999999E-2</v>
          </cell>
          <cell r="U75">
            <v>3.1E-2</v>
          </cell>
          <cell r="V75">
            <v>2.1000000000000001E-2</v>
          </cell>
          <cell r="W75">
            <v>1.4999999999999999E-2</v>
          </cell>
          <cell r="X75">
            <v>1.3999999999999999E-2</v>
          </cell>
          <cell r="Y75">
            <v>3.0000000000000001E-3</v>
          </cell>
          <cell r="Z75">
            <v>-4.0000000000000001E-3</v>
          </cell>
          <cell r="AA75">
            <v>-3.0000000000000001E-3</v>
          </cell>
          <cell r="AB75">
            <v>-1E-3</v>
          </cell>
          <cell r="AC75">
            <v>6.9999999999999993E-3</v>
          </cell>
          <cell r="AD75">
            <v>1.3999999999999999E-2</v>
          </cell>
          <cell r="AE75">
            <v>1.4999999999999999E-2</v>
          </cell>
          <cell r="AF75">
            <v>1.2E-2</v>
          </cell>
          <cell r="AG75">
            <v>0.01</v>
          </cell>
          <cell r="AH75">
            <v>1.8000000000000002E-2</v>
          </cell>
          <cell r="AI75">
            <v>1.9E-2</v>
          </cell>
          <cell r="AJ75">
            <v>2.7999999999999997E-2</v>
          </cell>
          <cell r="AK75">
            <v>3.1E-2</v>
          </cell>
          <cell r="AL75">
            <v>6.0999999999999999E-2</v>
          </cell>
          <cell r="AM75">
            <v>5.7999999999999996E-2</v>
          </cell>
          <cell r="AN75">
            <v>0.06</v>
          </cell>
          <cell r="AO75">
            <v>6.0999999999999999E-2</v>
          </cell>
          <cell r="AP75">
            <v>2.5000000000000001E-2</v>
          </cell>
          <cell r="AQ75">
            <v>3.1E-2</v>
          </cell>
          <cell r="AR75">
            <v>0.03</v>
          </cell>
          <cell r="AS75">
            <v>2.7999999999999997E-2</v>
          </cell>
          <cell r="AT75">
            <v>3.2000000000000001E-2</v>
          </cell>
          <cell r="AU75">
            <v>2.8999999999999998E-2</v>
          </cell>
          <cell r="AV75">
            <v>3.3000000000000002E-2</v>
          </cell>
          <cell r="AW75">
            <v>2.6000000000000002E-2</v>
          </cell>
          <cell r="AX75">
            <v>2.6000000000000002E-2</v>
          </cell>
          <cell r="AY75">
            <v>2.4E-2</v>
          </cell>
          <cell r="AZ75">
            <v>0.02</v>
          </cell>
          <cell r="BA75">
            <v>2.5000000000000001E-2</v>
          </cell>
          <cell r="BB75">
            <v>2.3E-2</v>
          </cell>
          <cell r="BC75">
            <v>2.5000000000000001E-2</v>
          </cell>
          <cell r="BD75">
            <v>2.4E-2</v>
          </cell>
          <cell r="BE75">
            <v>2.5000000000000001E-2</v>
          </cell>
          <cell r="BF75">
            <v>3.1E-2</v>
          </cell>
          <cell r="BG75">
            <v>2.7999999999999997E-2</v>
          </cell>
          <cell r="BH75">
            <v>2.8999999999999998E-2</v>
          </cell>
          <cell r="BI75">
            <v>0.04</v>
          </cell>
          <cell r="BJ75">
            <v>0.04</v>
          </cell>
          <cell r="BK75">
            <v>3.3000000000000002E-2</v>
          </cell>
          <cell r="BL75">
            <v>2.5000000000000001E-2</v>
          </cell>
          <cell r="BM75">
            <v>2.1000000000000001E-2</v>
          </cell>
          <cell r="BN75">
            <v>1.8000000000000002E-2</v>
          </cell>
          <cell r="BO75">
            <v>2.8999999999999998E-2</v>
          </cell>
          <cell r="BP75">
            <v>4.2999999999999997E-2</v>
          </cell>
          <cell r="BQ75">
            <v>4.4000000000000004E-2</v>
          </cell>
          <cell r="BR75">
            <v>0.05</v>
          </cell>
          <cell r="BS75">
            <v>3.7000000000000005E-2</v>
          </cell>
          <cell r="BT75">
            <v>2.4E-2</v>
          </cell>
          <cell r="BU75">
            <v>1.3999999999999999E-2</v>
          </cell>
          <cell r="BV75">
            <v>1.2E-2</v>
          </cell>
          <cell r="BW75">
            <v>2.1000000000000001E-2</v>
          </cell>
          <cell r="BX75">
            <v>2.8999999999999998E-2</v>
          </cell>
          <cell r="BY75">
            <v>3.1E-2</v>
          </cell>
          <cell r="BZ75">
            <v>2.8999999999999998E-2</v>
          </cell>
          <cell r="CA75">
            <v>2.7999999999999997E-2</v>
          </cell>
          <cell r="CB75">
            <v>3.3000000000000002E-2</v>
          </cell>
          <cell r="CC75">
            <v>3.5000000000000003E-2</v>
          </cell>
          <cell r="CD75">
            <v>3.4000000000000002E-2</v>
          </cell>
          <cell r="CE75">
            <v>0.03</v>
          </cell>
          <cell r="CF75">
            <v>1.6E-2</v>
          </cell>
          <cell r="CG75">
            <v>1.2E-2</v>
          </cell>
          <cell r="CH75">
            <v>0.02</v>
          </cell>
          <cell r="CI75">
            <v>2.2000000000000002E-2</v>
          </cell>
          <cell r="CJ75">
            <v>2.5000000000000001E-2</v>
          </cell>
          <cell r="CK75">
            <v>2.4E-2</v>
          </cell>
          <cell r="CL75">
            <v>2.2000000000000002E-2</v>
          </cell>
          <cell r="CM75">
            <v>2.7000000000000003E-2</v>
          </cell>
          <cell r="CN75">
            <v>2.8999999999999998E-2</v>
          </cell>
          <cell r="CO75">
            <v>0.03</v>
          </cell>
          <cell r="CP75">
            <v>2.3E-2</v>
          </cell>
          <cell r="CQ75">
            <v>1.7000000000000001E-2</v>
          </cell>
          <cell r="CR75">
            <v>1.3000000000000001E-2</v>
          </cell>
          <cell r="CS75">
            <v>1.4999999999999999E-2</v>
          </cell>
          <cell r="CT75">
            <v>1.4999999999999999E-2</v>
          </cell>
          <cell r="CU75">
            <v>1.7000000000000001E-2</v>
          </cell>
          <cell r="CV75">
            <v>1.3000000000000001E-2</v>
          </cell>
          <cell r="CW75">
            <v>0.01</v>
          </cell>
          <cell r="CX75">
            <v>1.3000000000000001E-2</v>
          </cell>
          <cell r="CY75">
            <v>1.4999999999999999E-2</v>
          </cell>
          <cell r="CZ75">
            <v>2.1000000000000001E-2</v>
          </cell>
          <cell r="DA75">
            <v>1.9E-2</v>
          </cell>
          <cell r="DB75">
            <v>1.8000000000000002E-2</v>
          </cell>
          <cell r="DC75">
            <v>1.9E-2</v>
          </cell>
          <cell r="DD75">
            <v>1.9E-2</v>
          </cell>
          <cell r="DE75">
            <v>2.1000000000000001E-2</v>
          </cell>
          <cell r="DF75">
            <v>1.9E-2</v>
          </cell>
          <cell r="DG75">
            <v>1.8000000000000002E-2</v>
          </cell>
          <cell r="DH75">
            <v>1.3000000000000001E-2</v>
          </cell>
          <cell r="DI75">
            <v>1.6E-2</v>
          </cell>
          <cell r="DJ75">
            <v>1.7000000000000001E-2</v>
          </cell>
          <cell r="DK75">
            <v>1.8000000000000002E-2</v>
          </cell>
          <cell r="DL75">
            <v>2.2000000000000002E-2</v>
          </cell>
          <cell r="DM75">
            <v>-3.0000000000000001E-3</v>
          </cell>
          <cell r="DN75">
            <v>6.9999999999999993E-3</v>
          </cell>
          <cell r="DO75">
            <v>9.0000000000000011E-3</v>
          </cell>
          <cell r="DP75">
            <v>1.1000000000000001E-2</v>
          </cell>
          <cell r="DQ75">
            <v>3.7999999999999999E-2</v>
          </cell>
          <cell r="DR75">
            <v>0.03</v>
          </cell>
          <cell r="DS75">
            <v>3.5000000000000003E-2</v>
          </cell>
          <cell r="DT75">
            <v>5.0999999999999997E-2</v>
          </cell>
          <cell r="DU75">
            <v>6.0999999999999999E-2</v>
          </cell>
          <cell r="DV75">
            <v>7.2999999999999995E-2</v>
          </cell>
          <cell r="DW75">
            <v>7.8E-2</v>
          </cell>
          <cell r="DX75">
            <v>7.0000000000000007E-2</v>
          </cell>
          <cell r="DY75">
            <v>0.06</v>
          </cell>
          <cell r="DZ75">
            <v>5.4000000000000006E-2</v>
          </cell>
          <cell r="EA75">
            <v>4.0999999999999995E-2</v>
          </cell>
          <cell r="EB75">
            <v>3.6000000000000004E-2</v>
          </cell>
          <cell r="EC75">
            <v>3.7999999999999999E-2</v>
          </cell>
          <cell r="ED75">
            <v>2.7999999999999997E-2</v>
          </cell>
          <cell r="EE75">
            <v>2.4E-2</v>
          </cell>
          <cell r="EF75">
            <v>2.4E-2</v>
          </cell>
          <cell r="EG75">
            <v>2.1000000000000001E-2</v>
          </cell>
          <cell r="EH75">
            <v>3.2000000000000001E-2</v>
          </cell>
          <cell r="EI75">
            <v>2.9000000000000001E-2</v>
          </cell>
          <cell r="EJ75">
            <v>2.8000000000000001E-2</v>
          </cell>
          <cell r="EK75">
            <v>2.7E-2</v>
          </cell>
          <cell r="EL75">
            <v>2.5000000000000001E-2</v>
          </cell>
          <cell r="EM75">
            <v>2.5000000000000001E-2</v>
          </cell>
          <cell r="EN75">
            <v>2.5000000000000001E-2</v>
          </cell>
          <cell r="EO75">
            <v>2.5000000000000001E-2</v>
          </cell>
          <cell r="EP75">
            <v>2.5000000000000001E-2</v>
          </cell>
          <cell r="EQ75">
            <v>2.5000000000000001E-2</v>
          </cell>
          <cell r="ER75">
            <v>2.5000000000000001E-2</v>
          </cell>
          <cell r="ES75">
            <v>2.5000000000000001E-2</v>
          </cell>
          <cell r="ET75">
            <v>2.5000000000000001E-2</v>
          </cell>
          <cell r="EU75">
            <v>2.5000000000000001E-2</v>
          </cell>
          <cell r="EV75">
            <v>2.5000000000000001E-2</v>
          </cell>
          <cell r="EW75">
            <v>2.5000000000000001E-2</v>
          </cell>
          <cell r="EX75">
            <v>2.5000000000000001E-2</v>
          </cell>
          <cell r="EY75">
            <v>2.5000000000000001E-2</v>
          </cell>
          <cell r="EZ75">
            <v>2.5000000000000001E-2</v>
          </cell>
          <cell r="FA75">
            <v>2.5000000000000001E-2</v>
          </cell>
          <cell r="FB75">
            <v>2.5000000000000001E-2</v>
          </cell>
          <cell r="FC75">
            <v>2.5000000000000001E-2</v>
          </cell>
          <cell r="FD75">
            <v>2.5000000000000001E-2</v>
          </cell>
          <cell r="FE75">
            <v>2.5000000000000001E-2</v>
          </cell>
          <cell r="FF75">
            <v>2.5000000000000001E-2</v>
          </cell>
          <cell r="FG75">
            <v>2.5000000000000001E-2</v>
          </cell>
          <cell r="FH75">
            <v>2.5000000000000001E-2</v>
          </cell>
          <cell r="FI75">
            <v>2.5000000000000001E-2</v>
          </cell>
          <cell r="FJ75">
            <v>2.5000000000000001E-2</v>
          </cell>
          <cell r="FK75">
            <v>2.5000000000000001E-2</v>
          </cell>
          <cell r="FL75">
            <v>2.5000000000000001E-2</v>
          </cell>
          <cell r="FM75">
            <v>2.5000000000000001E-2</v>
          </cell>
          <cell r="FN75">
            <v>2.5000000000000001E-2</v>
          </cell>
          <cell r="FO75">
            <v>2.5000000000000001E-2</v>
          </cell>
          <cell r="FP75">
            <v>2.5000000000000001E-2</v>
          </cell>
          <cell r="FQ75">
            <v>2.5000000000000001E-2</v>
          </cell>
          <cell r="FR75">
            <v>2.5000000000000001E-2</v>
          </cell>
          <cell r="FS75">
            <v>2.5000000000000001E-2</v>
          </cell>
          <cell r="FT75">
            <v>2.5000000000000001E-2</v>
          </cell>
          <cell r="FU75">
            <v>2.5000000000000001E-2</v>
          </cell>
        </row>
        <row r="76">
          <cell r="B76" t="str">
            <v>Target capital ratio</v>
          </cell>
        </row>
        <row r="78">
          <cell r="B78" t="str">
            <v>System volume growth (3mo)</v>
          </cell>
        </row>
        <row r="79">
          <cell r="A79" t="str">
            <v>3MoSystemAUHCg</v>
          </cell>
          <cell r="B79" t="str">
            <v>Australian housing</v>
          </cell>
          <cell r="D79">
            <v>2.6447229839134057E-2</v>
          </cell>
          <cell r="E79">
            <v>2.9699747226410445E-2</v>
          </cell>
          <cell r="F79">
            <v>3.0280888960947827E-2</v>
          </cell>
          <cell r="G79">
            <v>4.0256851649135728E-2</v>
          </cell>
          <cell r="H79">
            <v>3.6990675750982582E-2</v>
          </cell>
          <cell r="I79">
            <v>4.3286017484811312E-2</v>
          </cell>
          <cell r="J79">
            <v>4.3305734203385349E-2</v>
          </cell>
          <cell r="K79">
            <v>4.4990967918923097E-2</v>
          </cell>
          <cell r="L79">
            <v>5.2440319656710699E-2</v>
          </cell>
          <cell r="M79">
            <v>5.4486523131771714E-2</v>
          </cell>
          <cell r="N79">
            <v>4.8363271200830171E-2</v>
          </cell>
          <cell r="O79">
            <v>3.8632002322383174E-2</v>
          </cell>
          <cell r="P79">
            <v>3.4939791092913008E-2</v>
          </cell>
          <cell r="Q79">
            <v>2.291655634283285E-2</v>
          </cell>
          <cell r="R79">
            <v>2.5682333994439643E-2</v>
          </cell>
          <cell r="S79">
            <v>3.4556798308364556E-2</v>
          </cell>
          <cell r="T79">
            <v>2.938906939873287E-2</v>
          </cell>
          <cell r="U79">
            <v>2.4945338180931254E-2</v>
          </cell>
          <cell r="V79">
            <v>2.9897744297113782E-2</v>
          </cell>
          <cell r="W79">
            <v>2.4047289403414496E-2</v>
          </cell>
          <cell r="X79">
            <v>2.7852791595463833E-2</v>
          </cell>
          <cell r="Y79">
            <v>3.1821132719278111E-2</v>
          </cell>
          <cell r="Z79">
            <v>3.2354577453088007E-2</v>
          </cell>
          <cell r="AA79">
            <v>2.4624665549273672E-2</v>
          </cell>
          <cell r="AB79">
            <v>2.6980135985570364E-2</v>
          </cell>
          <cell r="AC79">
            <v>3.2058004561756448E-2</v>
          </cell>
          <cell r="AD79">
            <v>2.5036127881891357E-2</v>
          </cell>
          <cell r="AE79">
            <v>3.1017372478267191E-2</v>
          </cell>
          <cell r="AF79">
            <v>2.6833572261108607E-2</v>
          </cell>
          <cell r="AG79">
            <v>3.1987354993422201E-2</v>
          </cell>
          <cell r="AH79">
            <v>4.0396350068920173E-2</v>
          </cell>
          <cell r="AI79">
            <v>3.7562748925881628E-2</v>
          </cell>
          <cell r="AJ79">
            <v>4.5118593548579389E-2</v>
          </cell>
          <cell r="AK79">
            <v>3.6816127749241145E-2</v>
          </cell>
          <cell r="AL79">
            <v>2.8888128549387604E-2</v>
          </cell>
          <cell r="AM79">
            <v>2.4207846519223919E-2</v>
          </cell>
          <cell r="AN79">
            <v>3.1190159883006663E-2</v>
          </cell>
          <cell r="AO79">
            <v>3.5461230769255447E-2</v>
          </cell>
          <cell r="AP79">
            <v>3.9620780591983928E-2</v>
          </cell>
          <cell r="AQ79">
            <v>4.5551036045328619E-2</v>
          </cell>
          <cell r="AR79">
            <v>4.6652003813565157E-2</v>
          </cell>
          <cell r="AS79">
            <v>3.7199715282480783E-2</v>
          </cell>
          <cell r="AT79">
            <v>5.029540588427861E-2</v>
          </cell>
          <cell r="AU79">
            <v>3.863271308267846E-2</v>
          </cell>
          <cell r="AV79">
            <v>4.0629589485216444E-2</v>
          </cell>
          <cell r="AW79">
            <v>4.9230125247588852E-2</v>
          </cell>
          <cell r="AX79">
            <v>5.1496581805683173E-2</v>
          </cell>
          <cell r="AY79">
            <v>5.3368963164418304E-2</v>
          </cell>
          <cell r="AZ79">
            <v>4.9340464123147409E-2</v>
          </cell>
          <cell r="BA79">
            <v>3.88224453418895E-2</v>
          </cell>
          <cell r="BB79">
            <v>3.9213280212258228E-2</v>
          </cell>
          <cell r="BC79">
            <v>3.9594943562812679E-2</v>
          </cell>
          <cell r="BD79">
            <v>3.0374399978352784E-2</v>
          </cell>
          <cell r="BE79">
            <v>3.0084557033081216E-2</v>
          </cell>
          <cell r="BF79">
            <v>2.7235043439624906E-2</v>
          </cell>
          <cell r="BG79">
            <v>3.4017042836049338E-2</v>
          </cell>
          <cell r="BH79">
            <v>3.1311352639842971E-2</v>
          </cell>
          <cell r="BI79">
            <v>3.7788386373634353E-2</v>
          </cell>
          <cell r="BJ79">
            <v>3.4643243523051703E-2</v>
          </cell>
          <cell r="BK79">
            <v>2.6461412092120273E-2</v>
          </cell>
          <cell r="BL79">
            <v>2.9672814817619519E-2</v>
          </cell>
          <cell r="BM79">
            <v>3.3106727642933098E-2</v>
          </cell>
          <cell r="BN79">
            <v>2.4824547276508513E-2</v>
          </cell>
          <cell r="BO79">
            <v>2.582545540586989E-2</v>
          </cell>
          <cell r="BP79">
            <v>2.3743776312179055E-2</v>
          </cell>
          <cell r="BQ79">
            <v>1.831913977676991E-2</v>
          </cell>
          <cell r="BR79">
            <v>1.4252091707782633E-2</v>
          </cell>
          <cell r="BS79">
            <v>1.5179229217876511E-2</v>
          </cell>
          <cell r="BT79">
            <v>1.5602906729651256E-2</v>
          </cell>
          <cell r="BU79">
            <v>1.86591540210157E-2</v>
          </cell>
          <cell r="BV79">
            <v>2.0126061748432456E-2</v>
          </cell>
          <cell r="BW79">
            <v>2.0330963610193376E-2</v>
          </cell>
          <cell r="BX79">
            <v>2.0804579076316498E-2</v>
          </cell>
          <cell r="BY79">
            <v>1.6654876483758629E-2</v>
          </cell>
          <cell r="BZ79">
            <v>1.6417439755721741E-2</v>
          </cell>
          <cell r="CA79">
            <v>1.6099562828890246E-2</v>
          </cell>
          <cell r="CB79">
            <v>1.3874515514932906E-2</v>
          </cell>
          <cell r="CC79">
            <v>1.2874893423024281E-2</v>
          </cell>
          <cell r="CD79">
            <v>1.4117079490260975E-2</v>
          </cell>
          <cell r="CE79">
            <v>1.2033844482276956E-2</v>
          </cell>
          <cell r="CF79">
            <v>1.2671585225877635E-2</v>
          </cell>
          <cell r="CG79">
            <v>1.0511839749008267E-2</v>
          </cell>
          <cell r="CH79">
            <v>1.0948943778810394E-2</v>
          </cell>
          <cell r="CI79">
            <v>1.0413041118869426E-2</v>
          </cell>
          <cell r="CJ79">
            <v>1.1696654920734018E-2</v>
          </cell>
          <cell r="CK79">
            <v>1.236705212389988E-2</v>
          </cell>
          <cell r="CL79">
            <v>1.3715365173011307E-2</v>
          </cell>
          <cell r="CM79">
            <v>1.5459305434951442E-2</v>
          </cell>
          <cell r="CN79">
            <v>1.6056410775546759E-2</v>
          </cell>
          <cell r="CO79">
            <v>1.7591517781401445E-2</v>
          </cell>
          <cell r="CP79">
            <v>1.6767735304895837E-2</v>
          </cell>
          <cell r="CQ79">
            <v>1.8066652452652487E-2</v>
          </cell>
          <cell r="CR79">
            <v>1.7709830246990022E-2</v>
          </cell>
          <cell r="CS79">
            <v>1.8428902295341443E-2</v>
          </cell>
          <cell r="CT79">
            <v>1.8422998645567956E-2</v>
          </cell>
          <cell r="CU79">
            <v>1.740981089241922E-2</v>
          </cell>
          <cell r="CV79">
            <v>1.4678292334081799E-2</v>
          </cell>
          <cell r="CW79">
            <v>1.5034039791709253E-2</v>
          </cell>
          <cell r="CX79">
            <v>1.5695774485765979E-2</v>
          </cell>
          <cell r="CY79">
            <v>1.6399665223218118E-2</v>
          </cell>
          <cell r="CZ79">
            <v>1.6182874876405906E-2</v>
          </cell>
          <cell r="DA79">
            <v>1.656090922296638E-2</v>
          </cell>
          <cell r="DB79">
            <v>1.5097382999058384E-2</v>
          </cell>
          <cell r="DC79">
            <v>1.4123135642750473E-2</v>
          </cell>
          <cell r="DD79">
            <v>1.4284023489936626E-2</v>
          </cell>
          <cell r="DE79">
            <v>1.1564482508253704E-2</v>
          </cell>
          <cell r="DF79">
            <v>1.1551878275877225E-2</v>
          </cell>
          <cell r="DG79">
            <v>8.5994129128383889E-3</v>
          </cell>
          <cell r="DH79">
            <v>7.217563496257684E-3</v>
          </cell>
          <cell r="DI79">
            <v>6.6964133421609784E-3</v>
          </cell>
          <cell r="DJ79">
            <v>7.1032794091028251E-3</v>
          </cell>
          <cell r="DK79">
            <v>8.4080760718614478E-3</v>
          </cell>
          <cell r="DL79">
            <v>9.1588501667563271E-3</v>
          </cell>
          <cell r="DM79">
            <v>6.1953918543238284E-3</v>
          </cell>
          <cell r="DN79">
            <v>8.5322536625993539E-3</v>
          </cell>
          <cell r="DO79">
            <v>1.1141216695968792E-2</v>
          </cell>
          <cell r="DP79">
            <v>1.4877459989031339E-2</v>
          </cell>
          <cell r="DQ79">
            <v>1.8153101511475311E-2</v>
          </cell>
          <cell r="DR79">
            <v>1.9199616605253489E-2</v>
          </cell>
          <cell r="DS79">
            <v>2.0259671468420004E-2</v>
          </cell>
          <cell r="DT79">
            <v>1.9659809868530997E-2</v>
          </cell>
          <cell r="DU79">
            <v>1.7920095050807605E-2</v>
          </cell>
          <cell r="DV79">
            <v>1.4334107727999035E-2</v>
          </cell>
          <cell r="DW79">
            <v>1.1192207210688476E-2</v>
          </cell>
          <cell r="DX79">
            <v>1.0292721503670554E-2</v>
          </cell>
          <cell r="DY79">
            <v>9.8884239455618861E-3</v>
          </cell>
          <cell r="DZ79">
            <v>1.0014575228990186E-2</v>
          </cell>
          <cell r="EA79">
            <v>1.0868333633207827E-2</v>
          </cell>
          <cell r="EB79">
            <v>1.1826271872425798E-2</v>
          </cell>
          <cell r="EC79">
            <v>1.3540649167885999E-2</v>
          </cell>
          <cell r="ED79">
            <v>1.4035116400460179E-2</v>
          </cell>
          <cell r="EE79">
            <v>1.4539856975503973E-2</v>
          </cell>
          <cell r="EF79">
            <v>1.376264507416991E-2</v>
          </cell>
          <cell r="EG79">
            <v>1.5822689132960255E-2</v>
          </cell>
          <cell r="EH79">
            <v>1.7622229961168134E-2</v>
          </cell>
          <cell r="EI79">
            <v>1.6E-2</v>
          </cell>
          <cell r="EJ79">
            <v>1.6E-2</v>
          </cell>
          <cell r="EK79">
            <v>1.4500000000000001E-2</v>
          </cell>
          <cell r="EL79">
            <v>1.4500000000000001E-2</v>
          </cell>
          <cell r="EM79">
            <v>1.4500000000000001E-2</v>
          </cell>
          <cell r="EN79">
            <v>1.4500000000000001E-2</v>
          </cell>
          <cell r="EO79">
            <v>1.4500000000000001E-2</v>
          </cell>
          <cell r="EP79">
            <v>1.4500000000000001E-2</v>
          </cell>
          <cell r="EQ79">
            <v>1.4500000000000001E-2</v>
          </cell>
          <cell r="ER79">
            <v>1.4500000000000001E-2</v>
          </cell>
          <cell r="ES79">
            <v>1.4500000000000001E-2</v>
          </cell>
          <cell r="ET79">
            <v>1.4500000000000001E-2</v>
          </cell>
          <cell r="EU79">
            <v>1.4500000000000001E-2</v>
          </cell>
          <cell r="EV79">
            <v>1.2500000000000001E-2</v>
          </cell>
          <cell r="EW79">
            <v>1.2500000000000001E-2</v>
          </cell>
          <cell r="EX79">
            <v>1.2500000000000001E-2</v>
          </cell>
          <cell r="EY79">
            <v>1.2500000000000001E-2</v>
          </cell>
          <cell r="EZ79">
            <v>0.01</v>
          </cell>
          <cell r="FA79">
            <v>0.01</v>
          </cell>
          <cell r="FB79">
            <v>0.01</v>
          </cell>
          <cell r="FC79">
            <v>0.01</v>
          </cell>
          <cell r="FD79">
            <v>0.01</v>
          </cell>
          <cell r="FE79">
            <v>0.01</v>
          </cell>
          <cell r="FF79">
            <v>0.01</v>
          </cell>
          <cell r="FG79">
            <v>0.01</v>
          </cell>
          <cell r="FH79">
            <v>0.01</v>
          </cell>
          <cell r="FI79">
            <v>0.01</v>
          </cell>
          <cell r="FJ79">
            <v>0.01</v>
          </cell>
          <cell r="FK79">
            <v>0.01</v>
          </cell>
          <cell r="FL79">
            <v>0.01</v>
          </cell>
          <cell r="FM79">
            <v>0.01</v>
          </cell>
          <cell r="FN79">
            <v>0.01</v>
          </cell>
          <cell r="FO79">
            <v>0.01</v>
          </cell>
          <cell r="FP79">
            <v>0.01</v>
          </cell>
          <cell r="FQ79">
            <v>0.01</v>
          </cell>
          <cell r="FR79">
            <v>0.01</v>
          </cell>
          <cell r="FS79">
            <v>0.01</v>
          </cell>
          <cell r="FT79">
            <v>0.01</v>
          </cell>
          <cell r="FU79">
            <v>0.01</v>
          </cell>
        </row>
        <row r="80">
          <cell r="A80" t="str">
            <v>3MoSystemAUBCg</v>
          </cell>
          <cell r="B80" t="str">
            <v>Australian business</v>
          </cell>
          <cell r="D80">
            <v>-1.6185188420262731E-2</v>
          </cell>
          <cell r="E80">
            <v>-1.3975016183885858E-2</v>
          </cell>
          <cell r="F80">
            <v>-1.2749160530807657E-2</v>
          </cell>
          <cell r="G80">
            <v>-2.7672379657232238E-2</v>
          </cell>
          <cell r="H80">
            <v>5.3688021109987716E-4</v>
          </cell>
          <cell r="I80">
            <v>-7.4825150068072999E-3</v>
          </cell>
          <cell r="J80">
            <v>-4.3470938319585262E-3</v>
          </cell>
          <cell r="K80">
            <v>-3.219192286038064E-3</v>
          </cell>
          <cell r="L80">
            <v>-2.2820778708827483E-3</v>
          </cell>
          <cell r="M80">
            <v>6.5897567417878555E-3</v>
          </cell>
          <cell r="N80">
            <v>8.6630665567979381E-3</v>
          </cell>
          <cell r="O80">
            <v>1.076617413626102E-2</v>
          </cell>
          <cell r="P80">
            <v>1.0294732180073041E-2</v>
          </cell>
          <cell r="Q80">
            <v>2.5473399166718647E-2</v>
          </cell>
          <cell r="R80">
            <v>2.3693185065090328E-2</v>
          </cell>
          <cell r="S80">
            <v>3.8891785309081772E-2</v>
          </cell>
          <cell r="T80">
            <v>4.3683836214568617E-2</v>
          </cell>
          <cell r="U80">
            <v>2.1908447643912865E-2</v>
          </cell>
          <cell r="V80">
            <v>2.4572256523677005E-2</v>
          </cell>
          <cell r="W80">
            <v>1.9034499056178822E-2</v>
          </cell>
          <cell r="X80">
            <v>1.5700038719529408E-2</v>
          </cell>
          <cell r="Y80">
            <v>3.0519016342077654E-2</v>
          </cell>
          <cell r="Z80">
            <v>3.2880066600138314E-2</v>
          </cell>
          <cell r="AA80">
            <v>3.2128876197894618E-2</v>
          </cell>
          <cell r="AB80">
            <v>1.3320604754656351E-2</v>
          </cell>
          <cell r="AC80">
            <v>2.1570005566274864E-2</v>
          </cell>
          <cell r="AD80">
            <v>2.219431274861372E-2</v>
          </cell>
          <cell r="AE80">
            <v>2.3257539860125798E-2</v>
          </cell>
          <cell r="AF80">
            <v>2.0474695309051327E-2</v>
          </cell>
          <cell r="AG80">
            <v>1.5283037699135527E-2</v>
          </cell>
          <cell r="AH80">
            <v>1.3723127554112313E-2</v>
          </cell>
          <cell r="AI80">
            <v>2.0465232023075597E-2</v>
          </cell>
          <cell r="AJ80">
            <v>2.3628927902352492E-2</v>
          </cell>
          <cell r="AK80">
            <v>2.6053617447861388E-2</v>
          </cell>
          <cell r="AL80">
            <v>2.1557690161388532E-2</v>
          </cell>
          <cell r="AM80">
            <v>1.1868295038063081E-2</v>
          </cell>
          <cell r="AN80">
            <v>2.407332776740434E-2</v>
          </cell>
          <cell r="AO80">
            <v>4.6628311540206635E-3</v>
          </cell>
          <cell r="AP80">
            <v>-6.6273127248671626E-3</v>
          </cell>
          <cell r="AQ80">
            <v>-1.3048917517000103E-4</v>
          </cell>
          <cell r="AR80">
            <v>6.8454099165877746E-3</v>
          </cell>
          <cell r="AS80">
            <v>1.7680345780443973E-2</v>
          </cell>
          <cell r="AT80">
            <v>2.245837932909911E-2</v>
          </cell>
          <cell r="AU80">
            <v>3.5105546589593306E-3</v>
          </cell>
          <cell r="AV80">
            <v>3.2325924009051654E-2</v>
          </cell>
          <cell r="AW80">
            <v>4.9230846606087564E-3</v>
          </cell>
          <cell r="AX80">
            <v>2.3727470451093691E-2</v>
          </cell>
          <cell r="AY80">
            <v>2.5994260126582125E-2</v>
          </cell>
          <cell r="AZ80">
            <v>4.9032050715676068E-3</v>
          </cell>
          <cell r="BA80">
            <v>2.8803664452951905E-2</v>
          </cell>
          <cell r="BB80">
            <v>2.348102192559276E-2</v>
          </cell>
          <cell r="BC80">
            <v>2.0880719770479006E-2</v>
          </cell>
          <cell r="BD80">
            <v>3.1282244473737952E-2</v>
          </cell>
          <cell r="BE80">
            <v>3.510426998224303E-2</v>
          </cell>
          <cell r="BF80">
            <v>3.7830102177404124E-2</v>
          </cell>
          <cell r="BG80">
            <v>4.0307250495885016E-2</v>
          </cell>
          <cell r="BH80">
            <v>4.281286289794739E-2</v>
          </cell>
          <cell r="BI80">
            <v>3.7298399069120691E-2</v>
          </cell>
          <cell r="BJ80">
            <v>3.2633031966955661E-2</v>
          </cell>
          <cell r="BK80">
            <v>3.9126635082594508E-2</v>
          </cell>
          <cell r="BL80">
            <v>4.9683851472470897E-2</v>
          </cell>
          <cell r="BM80">
            <v>5.9384848333800866E-2</v>
          </cell>
          <cell r="BN80">
            <v>5.7487334445244009E-2</v>
          </cell>
          <cell r="BO80">
            <v>5.5065590761410377E-2</v>
          </cell>
          <cell r="BP80">
            <v>2.8990350120147168E-2</v>
          </cell>
          <cell r="BQ80">
            <v>1.7234595633705663E-2</v>
          </cell>
          <cell r="BR80">
            <v>3.0646844846142551E-2</v>
          </cell>
          <cell r="BS80">
            <v>9.9816150591440778E-3</v>
          </cell>
          <cell r="BT80">
            <v>-7.4273639894085752E-3</v>
          </cell>
          <cell r="BU80">
            <v>-2.0595892035167873E-2</v>
          </cell>
          <cell r="BV80">
            <v>-2.172569314832884E-2</v>
          </cell>
          <cell r="BW80">
            <v>-1.7535116010381824E-2</v>
          </cell>
          <cell r="BX80">
            <v>-3.1933054230249835E-3</v>
          </cell>
          <cell r="BY80">
            <v>5.6839256576002306E-4</v>
          </cell>
          <cell r="BZ80">
            <v>-1.5274507015876293E-2</v>
          </cell>
          <cell r="CA80">
            <v>-3.7371996432624677E-3</v>
          </cell>
          <cell r="CB80">
            <v>1.0553344316363233E-2</v>
          </cell>
          <cell r="CC80">
            <v>-1.7379487764082047E-2</v>
          </cell>
          <cell r="CD80">
            <v>9.4369449846674058E-3</v>
          </cell>
          <cell r="CE80">
            <v>7.3147710935710375E-3</v>
          </cell>
          <cell r="CF80">
            <v>1.0597871313788865E-2</v>
          </cell>
          <cell r="CG80">
            <v>1.6329791497455615E-2</v>
          </cell>
          <cell r="CH80">
            <v>5.6316378019938274E-3</v>
          </cell>
          <cell r="CI80">
            <v>-4.7639492011808393E-4</v>
          </cell>
          <cell r="CJ80">
            <v>-1.1629029768621679E-3</v>
          </cell>
          <cell r="CK80">
            <v>8.5609709835079428E-3</v>
          </cell>
          <cell r="CL80">
            <v>3.3502401759331057E-3</v>
          </cell>
          <cell r="CM80">
            <v>5.2326602224701535E-3</v>
          </cell>
          <cell r="CN80">
            <v>8.5217742669665419E-3</v>
          </cell>
          <cell r="CO80">
            <v>1.7105342128643342E-2</v>
          </cell>
          <cell r="CP80">
            <v>6.4406898397313395E-3</v>
          </cell>
          <cell r="CQ80">
            <v>1.3799119470677024E-2</v>
          </cell>
          <cell r="CR80">
            <v>1.6031091346346615E-2</v>
          </cell>
          <cell r="CS80">
            <v>7.9852320714137726E-3</v>
          </cell>
          <cell r="CT80">
            <v>2.4464608312284808E-2</v>
          </cell>
          <cell r="CU80">
            <v>1.4625306017883588E-2</v>
          </cell>
          <cell r="CV80">
            <v>1.690005403770134E-2</v>
          </cell>
          <cell r="CW80">
            <v>9.0478299971326059E-3</v>
          </cell>
          <cell r="CX80">
            <v>7.658183791715123E-3</v>
          </cell>
          <cell r="CY80">
            <v>2.0954107486579998E-2</v>
          </cell>
          <cell r="CZ80">
            <v>-4.2089148627615369E-3</v>
          </cell>
          <cell r="DA80">
            <v>1.6773753627359778E-2</v>
          </cell>
          <cell r="DB80">
            <v>7.575881990204536E-3</v>
          </cell>
          <cell r="DC80">
            <v>1.0652603465132415E-2</v>
          </cell>
          <cell r="DD80">
            <v>3.2899417534322239E-3</v>
          </cell>
          <cell r="DE80">
            <v>9.4406446807069333E-3</v>
          </cell>
          <cell r="DF80">
            <v>1.9804406377684547E-2</v>
          </cell>
          <cell r="DG80">
            <v>1.4507869713494159E-2</v>
          </cell>
          <cell r="DH80">
            <v>3.9786720022763067E-3</v>
          </cell>
          <cell r="DI80">
            <v>1.5845213765428579E-3</v>
          </cell>
          <cell r="DJ80">
            <v>9.8992068534480282E-3</v>
          </cell>
          <cell r="DK80">
            <v>3.1972498366434898E-3</v>
          </cell>
          <cell r="DL80">
            <v>3.3644789764252225E-2</v>
          </cell>
          <cell r="DM80">
            <v>-1.5864765281707771E-2</v>
          </cell>
          <cell r="DN80">
            <v>-1.0157051292571273E-2</v>
          </cell>
          <cell r="DO80">
            <v>-4.6629811837131108E-3</v>
          </cell>
          <cell r="DP80">
            <v>6.7863344558858341E-3</v>
          </cell>
          <cell r="DQ80">
            <v>1.5376486272493439E-2</v>
          </cell>
          <cell r="DR80">
            <v>2.3826566835390972E-2</v>
          </cell>
          <cell r="DS80">
            <v>2.8310838061026633E-2</v>
          </cell>
          <cell r="DT80">
            <v>2.151456801128826E-2</v>
          </cell>
          <cell r="DU80">
            <v>4.0632413208641083E-2</v>
          </cell>
          <cell r="DV80">
            <v>3.6878990034217685E-2</v>
          </cell>
          <cell r="DW80">
            <v>1.2428800854181743E-2</v>
          </cell>
          <cell r="DX80">
            <v>1.111438617579541E-2</v>
          </cell>
          <cell r="DY80">
            <v>1.8601492035993816E-2</v>
          </cell>
          <cell r="DZ80">
            <v>2.2663837769799411E-2</v>
          </cell>
          <cell r="EA80">
            <v>9.903617940928422E-3</v>
          </cell>
          <cell r="EB80">
            <v>2.3785555620031928E-2</v>
          </cell>
          <cell r="EC80">
            <v>1.9776880951135833E-2</v>
          </cell>
          <cell r="ED80">
            <v>2.039362421424995E-2</v>
          </cell>
          <cell r="EE80">
            <v>2.6510332698320038E-2</v>
          </cell>
          <cell r="EF80">
            <v>1.6063878104000118E-2</v>
          </cell>
          <cell r="EG80">
            <v>2.0918096188802027E-2</v>
          </cell>
          <cell r="EH80">
            <v>2.7792547654543975E-2</v>
          </cell>
          <cell r="EI80">
            <v>2.5000000000000001E-2</v>
          </cell>
          <cell r="EJ80">
            <v>0.02</v>
          </cell>
          <cell r="EK80">
            <v>0.02</v>
          </cell>
          <cell r="EL80">
            <v>1.4999999999999999E-2</v>
          </cell>
          <cell r="EM80">
            <v>1.4999999999999999E-2</v>
          </cell>
          <cell r="EN80">
            <v>1.4999999999999999E-2</v>
          </cell>
          <cell r="EO80">
            <v>1.4999999999999999E-2</v>
          </cell>
          <cell r="EP80">
            <v>0.01</v>
          </cell>
          <cell r="EQ80">
            <v>0.01</v>
          </cell>
          <cell r="ER80">
            <v>0.01</v>
          </cell>
          <cell r="ES80">
            <v>0.01</v>
          </cell>
          <cell r="ET80">
            <v>0.01</v>
          </cell>
          <cell r="EU80">
            <v>0.01</v>
          </cell>
          <cell r="EV80">
            <v>0.01</v>
          </cell>
          <cell r="EW80">
            <v>0.01</v>
          </cell>
          <cell r="EX80">
            <v>0.01</v>
          </cell>
          <cell r="EY80">
            <v>0.01</v>
          </cell>
          <cell r="EZ80">
            <v>0.01</v>
          </cell>
          <cell r="FA80">
            <v>0.01</v>
          </cell>
          <cell r="FB80">
            <v>0.01</v>
          </cell>
          <cell r="FC80">
            <v>0.01</v>
          </cell>
          <cell r="FD80">
            <v>0.01</v>
          </cell>
          <cell r="FE80">
            <v>0.01</v>
          </cell>
          <cell r="FF80">
            <v>0.01</v>
          </cell>
          <cell r="FG80">
            <v>0.01</v>
          </cell>
          <cell r="FH80">
            <v>0.01</v>
          </cell>
          <cell r="FI80">
            <v>0.01</v>
          </cell>
          <cell r="FJ80">
            <v>0.01</v>
          </cell>
          <cell r="FK80">
            <v>0.01</v>
          </cell>
          <cell r="FL80">
            <v>0.01</v>
          </cell>
          <cell r="FM80">
            <v>0.01</v>
          </cell>
          <cell r="FN80">
            <v>0.01</v>
          </cell>
          <cell r="FO80">
            <v>0.01</v>
          </cell>
          <cell r="FP80">
            <v>0.01</v>
          </cell>
          <cell r="FQ80">
            <v>0.01</v>
          </cell>
          <cell r="FR80">
            <v>0.01</v>
          </cell>
          <cell r="FS80">
            <v>0.01</v>
          </cell>
          <cell r="FT80">
            <v>0.01</v>
          </cell>
          <cell r="FU80">
            <v>0.01</v>
          </cell>
        </row>
        <row r="81">
          <cell r="A81" t="str">
            <v>3MoSystemAUPCg</v>
          </cell>
          <cell r="B81" t="str">
            <v>Australian personal</v>
          </cell>
          <cell r="D81">
            <v>-6.7645561521026965E-3</v>
          </cell>
          <cell r="E81">
            <v>-1.3028540048630632E-2</v>
          </cell>
          <cell r="F81">
            <v>-2.4133734517317595E-4</v>
          </cell>
          <cell r="G81">
            <v>1.8767509439492347E-3</v>
          </cell>
          <cell r="H81">
            <v>-6.9641152944610596E-5</v>
          </cell>
          <cell r="I81">
            <v>-6.8909607149497676E-3</v>
          </cell>
          <cell r="J81">
            <v>6.6657605185600488E-3</v>
          </cell>
          <cell r="K81">
            <v>8.1939007528322172E-3</v>
          </cell>
          <cell r="L81">
            <v>9.8774160141295031E-3</v>
          </cell>
          <cell r="M81">
            <v>1.5592956314465223E-2</v>
          </cell>
          <cell r="N81">
            <v>1.4792323293824516E-2</v>
          </cell>
          <cell r="O81">
            <v>2.4267692393810991E-2</v>
          </cell>
          <cell r="P81">
            <v>2.4979874094333665E-2</v>
          </cell>
          <cell r="Q81">
            <v>3.3558414111374057E-2</v>
          </cell>
          <cell r="R81">
            <v>2.5628287424976248E-2</v>
          </cell>
          <cell r="S81">
            <v>1.5419369870144806E-2</v>
          </cell>
          <cell r="T81">
            <v>2.3213283288271214E-2</v>
          </cell>
          <cell r="U81">
            <v>3.6110943050731814E-2</v>
          </cell>
          <cell r="V81">
            <v>3.6362446184882602E-2</v>
          </cell>
          <cell r="W81">
            <v>1.492212179705632E-2</v>
          </cell>
          <cell r="X81">
            <v>1.8574865109723726E-2</v>
          </cell>
          <cell r="Y81">
            <v>1.4858585877375319E-2</v>
          </cell>
          <cell r="Z81">
            <v>2.4440227032610062E-2</v>
          </cell>
          <cell r="AA81">
            <v>4.0653172330398224E-2</v>
          </cell>
          <cell r="AB81">
            <v>2.6028040032864519E-2</v>
          </cell>
          <cell r="AC81">
            <v>2.1842200379640131E-2</v>
          </cell>
          <cell r="AD81">
            <v>3.3499801377963045E-2</v>
          </cell>
          <cell r="AE81">
            <v>3.8418120231812125E-2</v>
          </cell>
          <cell r="AF81">
            <v>4.6486716991239074E-2</v>
          </cell>
          <cell r="AG81">
            <v>3.5082559689550763E-2</v>
          </cell>
          <cell r="AH81">
            <v>3.7442188266877841E-2</v>
          </cell>
          <cell r="AI81">
            <v>3.5691517138008111E-2</v>
          </cell>
          <cell r="AJ81">
            <v>3.8012510434905389E-2</v>
          </cell>
          <cell r="AK81">
            <v>4.0943452050115736E-2</v>
          </cell>
          <cell r="AL81">
            <v>1.2320694952614009E-2</v>
          </cell>
          <cell r="AM81">
            <v>4.4369480793924998E-2</v>
          </cell>
          <cell r="AN81">
            <v>2.4231543605863326E-2</v>
          </cell>
          <cell r="AO81">
            <v>2.193293815942976E-2</v>
          </cell>
          <cell r="AP81">
            <v>1.4163177397873428E-2</v>
          </cell>
          <cell r="AQ81">
            <v>2.230557964899349E-2</v>
          </cell>
          <cell r="AR81">
            <v>2.2421691444482583E-2</v>
          </cell>
          <cell r="AS81">
            <v>3.0984346658995188E-2</v>
          </cell>
          <cell r="AT81">
            <v>2.5925554860771749E-2</v>
          </cell>
          <cell r="AU81">
            <v>1.4808491338694774E-2</v>
          </cell>
          <cell r="AV81">
            <v>3.2130798151041029E-2</v>
          </cell>
          <cell r="AW81">
            <v>4.5617309502319348E-2</v>
          </cell>
          <cell r="AX81">
            <v>3.592347561415643E-2</v>
          </cell>
          <cell r="AY81">
            <v>2.5447160693798487E-2</v>
          </cell>
          <cell r="AZ81">
            <v>3.2024826012033492E-2</v>
          </cell>
          <cell r="BA81">
            <v>1.906975253188814E-2</v>
          </cell>
          <cell r="BB81">
            <v>3.2861313371904233E-2</v>
          </cell>
          <cell r="BC81">
            <v>4.2416576091019564E-2</v>
          </cell>
          <cell r="BD81">
            <v>2.6458623715435392E-2</v>
          </cell>
          <cell r="BE81">
            <v>2.6647719023921823E-2</v>
          </cell>
          <cell r="BF81">
            <v>2.7961166940273952E-2</v>
          </cell>
          <cell r="BG81">
            <v>1.4692801626090546E-2</v>
          </cell>
          <cell r="BH81">
            <v>2.7616706829205029E-2</v>
          </cell>
          <cell r="BI81">
            <v>2.3728785809644881E-2</v>
          </cell>
          <cell r="BJ81">
            <v>4.1353201401598927E-2</v>
          </cell>
          <cell r="BK81">
            <v>1.7239516190927118E-2</v>
          </cell>
          <cell r="BL81">
            <v>3.055020583769319E-2</v>
          </cell>
          <cell r="BM81">
            <v>6.3617121121336995E-2</v>
          </cell>
          <cell r="BN81">
            <v>2.726030871279983E-3</v>
          </cell>
          <cell r="BO81">
            <v>3.4186964902543915E-2</v>
          </cell>
          <cell r="BP81">
            <v>-1.2593255594068875E-3</v>
          </cell>
          <cell r="BQ81">
            <v>-2.5180458074304246E-3</v>
          </cell>
          <cell r="BR81">
            <v>-9.0032756105109524E-3</v>
          </cell>
          <cell r="BS81">
            <v>-3.8165701177244049E-2</v>
          </cell>
          <cell r="BT81">
            <v>-1.8470953300682824E-2</v>
          </cell>
          <cell r="BU81">
            <v>-6.7021760637849814E-3</v>
          </cell>
          <cell r="BV81">
            <v>7.681749174972774E-3</v>
          </cell>
          <cell r="BW81">
            <v>1.5465785844542612E-2</v>
          </cell>
          <cell r="BX81">
            <v>6.8820800456987907E-3</v>
          </cell>
          <cell r="BY81">
            <v>-6.1737005099626874E-4</v>
          </cell>
          <cell r="BZ81">
            <v>6.1801458061188086E-3</v>
          </cell>
          <cell r="CA81">
            <v>1.5014868104223922E-4</v>
          </cell>
          <cell r="CB81">
            <v>4.4564951850580847E-3</v>
          </cell>
          <cell r="CC81">
            <v>-4.2376007087958634E-3</v>
          </cell>
          <cell r="CD81">
            <v>-7.488182406725219E-3</v>
          </cell>
          <cell r="CE81">
            <v>-2.0557071337733435E-3</v>
          </cell>
          <cell r="CF81">
            <v>1.0722573174581917E-4</v>
          </cell>
          <cell r="CG81">
            <v>-2.3635374651831409E-3</v>
          </cell>
          <cell r="CH81">
            <v>-2.9421162143937751E-3</v>
          </cell>
          <cell r="CI81">
            <v>1.8934862800845664E-3</v>
          </cell>
          <cell r="CJ81">
            <v>2.8048147290078429E-3</v>
          </cell>
          <cell r="CK81">
            <v>9.1998997416742334E-4</v>
          </cell>
          <cell r="CL81">
            <v>1.2521428109004695E-3</v>
          </cell>
          <cell r="CM81">
            <v>1.7386736482840615E-3</v>
          </cell>
          <cell r="CN81">
            <v>-5.9026105531434503E-5</v>
          </cell>
          <cell r="CO81">
            <v>4.2254002138548685E-3</v>
          </cell>
          <cell r="CP81">
            <v>5.1452587566918062E-3</v>
          </cell>
          <cell r="CQ81">
            <v>1.5063739592153791E-3</v>
          </cell>
          <cell r="CR81">
            <v>2.5105645616121386E-3</v>
          </cell>
          <cell r="CS81">
            <v>-2.0136278072913072E-4</v>
          </cell>
          <cell r="CT81">
            <v>1.0731065833224918E-4</v>
          </cell>
          <cell r="CU81">
            <v>-2.5902831874339283E-3</v>
          </cell>
          <cell r="CV81">
            <v>-2.0664909982917035E-3</v>
          </cell>
          <cell r="CW81">
            <v>-1.745697423246706E-3</v>
          </cell>
          <cell r="CX81">
            <v>-2.9718443328926591E-3</v>
          </cell>
          <cell r="CY81">
            <v>-2.0822518501839582E-3</v>
          </cell>
          <cell r="CZ81">
            <v>-3.6114206232222834E-3</v>
          </cell>
          <cell r="DA81">
            <v>-7.5557384317559428E-4</v>
          </cell>
          <cell r="DB81">
            <v>-2.3852330378942854E-3</v>
          </cell>
          <cell r="DC81">
            <v>-5.4740293016534158E-3</v>
          </cell>
          <cell r="DD81">
            <v>-2.9319491783386109E-3</v>
          </cell>
          <cell r="DE81">
            <v>-2.092858337949588E-3</v>
          </cell>
          <cell r="DF81">
            <v>-3.5114091365253675E-3</v>
          </cell>
          <cell r="DG81">
            <v>-1.3175979690661199E-2</v>
          </cell>
          <cell r="DH81">
            <v>-9.7701918606212246E-3</v>
          </cell>
          <cell r="DI81">
            <v>-8.5617373582483891E-3</v>
          </cell>
          <cell r="DJ81">
            <v>-1.1813693312713314E-2</v>
          </cell>
          <cell r="DK81">
            <v>-2.0028085081412517E-2</v>
          </cell>
          <cell r="DL81">
            <v>-2.8375602963418012E-2</v>
          </cell>
          <cell r="DM81">
            <v>-5.2138717756465613E-2</v>
          </cell>
          <cell r="DN81">
            <v>-3.5437306247879996E-2</v>
          </cell>
          <cell r="DO81">
            <v>-1.4660048299211303E-2</v>
          </cell>
          <cell r="DP81">
            <v>-9.1728158767581114E-3</v>
          </cell>
          <cell r="DQ81">
            <v>-4.4242547559977252E-3</v>
          </cell>
          <cell r="DR81">
            <v>-2.6835944232908582E-2</v>
          </cell>
          <cell r="DS81">
            <v>3.462640991646726E-3</v>
          </cell>
          <cell r="DT81">
            <v>-4.1128835061170488E-3</v>
          </cell>
          <cell r="DU81">
            <v>3.036288291313749E-4</v>
          </cell>
          <cell r="DV81">
            <v>-2.5038234511063351E-3</v>
          </cell>
          <cell r="DW81">
            <v>2.3849367865460547E-3</v>
          </cell>
          <cell r="DX81">
            <v>-1.4616947458955254E-3</v>
          </cell>
          <cell r="DY81">
            <v>5.7269859986144311E-3</v>
          </cell>
          <cell r="DZ81">
            <v>1.2268011716026983E-2</v>
          </cell>
          <cell r="EA81">
            <v>2.0883937539231123E-3</v>
          </cell>
          <cell r="EB81">
            <v>1.2006069995250002E-2</v>
          </cell>
          <cell r="EC81">
            <v>2.0676718806080796E-3</v>
          </cell>
          <cell r="ED81">
            <v>7.1824532097750637E-3</v>
          </cell>
          <cell r="EE81">
            <v>4.7914949579488386E-3</v>
          </cell>
          <cell r="EF81">
            <v>8.6686088097078784E-3</v>
          </cell>
          <cell r="EG81">
            <v>1.6221147207199804E-2</v>
          </cell>
          <cell r="EH81">
            <v>1.3932006493184046E-2</v>
          </cell>
          <cell r="EI81">
            <v>1.2E-2</v>
          </cell>
          <cell r="EJ81">
            <v>0.01</v>
          </cell>
          <cell r="EK81">
            <v>0.01</v>
          </cell>
          <cell r="EL81">
            <v>7.4999999999999997E-3</v>
          </cell>
          <cell r="EM81">
            <v>5.0000000000000001E-3</v>
          </cell>
          <cell r="EN81">
            <v>5.0000000000000001E-3</v>
          </cell>
          <cell r="EO81">
            <v>5.0000000000000001E-3</v>
          </cell>
          <cell r="EP81">
            <v>5.0000000000000001E-3</v>
          </cell>
          <cell r="EQ81">
            <v>5.0000000000000001E-3</v>
          </cell>
          <cell r="ER81">
            <v>5.0000000000000001E-3</v>
          </cell>
          <cell r="ES81">
            <v>5.0000000000000001E-3</v>
          </cell>
          <cell r="ET81">
            <v>5.0000000000000001E-3</v>
          </cell>
          <cell r="EU81">
            <v>5.0000000000000001E-3</v>
          </cell>
          <cell r="EV81">
            <v>5.0000000000000001E-3</v>
          </cell>
          <cell r="EW81">
            <v>5.0000000000000001E-3</v>
          </cell>
          <cell r="EX81">
            <v>5.0000000000000001E-3</v>
          </cell>
          <cell r="EY81">
            <v>5.0000000000000001E-3</v>
          </cell>
          <cell r="EZ81">
            <v>5.0000000000000001E-3</v>
          </cell>
          <cell r="FA81">
            <v>5.0000000000000001E-3</v>
          </cell>
          <cell r="FB81">
            <v>5.0000000000000001E-3</v>
          </cell>
          <cell r="FC81">
            <v>5.0000000000000001E-3</v>
          </cell>
          <cell r="FD81">
            <v>5.0000000000000001E-3</v>
          </cell>
          <cell r="FE81">
            <v>5.0000000000000001E-3</v>
          </cell>
          <cell r="FF81">
            <v>5.0000000000000001E-3</v>
          </cell>
          <cell r="FG81">
            <v>5.0000000000000001E-3</v>
          </cell>
          <cell r="FH81">
            <v>5.0000000000000001E-3</v>
          </cell>
          <cell r="FI81">
            <v>5.0000000000000001E-3</v>
          </cell>
          <cell r="FJ81">
            <v>5.0000000000000001E-3</v>
          </cell>
          <cell r="FK81">
            <v>5.0000000000000001E-3</v>
          </cell>
          <cell r="FL81">
            <v>5.0000000000000001E-3</v>
          </cell>
          <cell r="FM81">
            <v>5.0000000000000001E-3</v>
          </cell>
          <cell r="FN81">
            <v>5.0000000000000001E-3</v>
          </cell>
          <cell r="FO81">
            <v>5.0000000000000001E-3</v>
          </cell>
          <cell r="FP81">
            <v>5.0000000000000001E-3</v>
          </cell>
          <cell r="FQ81">
            <v>5.0000000000000001E-3</v>
          </cell>
          <cell r="FR81">
            <v>5.0000000000000001E-3</v>
          </cell>
          <cell r="FS81">
            <v>5.0000000000000001E-3</v>
          </cell>
          <cell r="FT81">
            <v>5.0000000000000001E-3</v>
          </cell>
          <cell r="FU81">
            <v>5.0000000000000001E-3</v>
          </cell>
        </row>
        <row r="82">
          <cell r="A82" t="str">
            <v>3MoSystemNZHCg</v>
          </cell>
          <cell r="B82" t="str">
            <v>New Zealand housing</v>
          </cell>
          <cell r="AD82">
            <v>3.5239091386321197E-2</v>
          </cell>
          <cell r="AE82">
            <v>2.7001755258263094E-2</v>
          </cell>
          <cell r="AF82">
            <v>2.9438525382823766E-2</v>
          </cell>
          <cell r="AG82">
            <v>2.5834864688995873E-2</v>
          </cell>
          <cell r="AH82">
            <v>2.4302481157728817E-2</v>
          </cell>
          <cell r="AI82">
            <v>2.1014197511517896E-2</v>
          </cell>
          <cell r="AJ82">
            <v>1.7375869318984272E-2</v>
          </cell>
          <cell r="AK82">
            <v>1.4704546471917102E-2</v>
          </cell>
          <cell r="AL82">
            <v>1.2166210889234419E-2</v>
          </cell>
          <cell r="AM82">
            <v>2.137167292236053E-2</v>
          </cell>
          <cell r="AN82">
            <v>1.6238109465056105E-2</v>
          </cell>
          <cell r="AO82">
            <v>1.9695290028259205E-2</v>
          </cell>
          <cell r="AP82">
            <v>1.3859000307493874E-2</v>
          </cell>
          <cell r="AQ82">
            <v>2.0587856457434883E-2</v>
          </cell>
          <cell r="AR82">
            <v>2.2382215727853261E-2</v>
          </cell>
          <cell r="AS82">
            <v>2.282024879355582E-2</v>
          </cell>
          <cell r="AT82">
            <v>1.8841848321830001E-2</v>
          </cell>
          <cell r="AU82">
            <v>2.9450740535814202E-2</v>
          </cell>
          <cell r="AV82">
            <v>3.3874577710194309E-2</v>
          </cell>
          <cell r="AW82">
            <v>3.5798591812386205E-2</v>
          </cell>
          <cell r="AX82">
            <v>3.8843777249805811E-2</v>
          </cell>
          <cell r="AY82">
            <v>4.5546414241751432E-2</v>
          </cell>
          <cell r="AZ82">
            <v>3.9911326765093902E-2</v>
          </cell>
          <cell r="BA82">
            <v>3.8127121402333986E-2</v>
          </cell>
          <cell r="BB82">
            <v>3.4070428437227074E-2</v>
          </cell>
          <cell r="BC82">
            <v>3.9779406600653822E-2</v>
          </cell>
          <cell r="BD82">
            <v>3.8994672095326921E-2</v>
          </cell>
          <cell r="BE82">
            <v>3.8294072412040858E-2</v>
          </cell>
          <cell r="BF82">
            <v>3.6928093674248208E-2</v>
          </cell>
          <cell r="BG82">
            <v>3.8130676955879572E-2</v>
          </cell>
          <cell r="BH82">
            <v>3.0575280209643507E-2</v>
          </cell>
          <cell r="BI82">
            <v>3.2754789139979312E-2</v>
          </cell>
          <cell r="BJ82">
            <v>2.9643439113220538E-2</v>
          </cell>
          <cell r="BK82">
            <v>3.5019966685748694E-2</v>
          </cell>
          <cell r="BL82">
            <v>3.7402435067966033E-2</v>
          </cell>
          <cell r="BM82">
            <v>3.4738658221793228E-2</v>
          </cell>
          <cell r="BN82">
            <v>2.3797776428347017E-2</v>
          </cell>
          <cell r="BO82">
            <v>2.6665514166128501E-2</v>
          </cell>
          <cell r="BP82">
            <v>2.2531961574812742E-2</v>
          </cell>
          <cell r="BQ82">
            <v>1.0119595216191435E-2</v>
          </cell>
          <cell r="BR82">
            <v>7.1394548841894334E-3</v>
          </cell>
          <cell r="BS82">
            <v>3.8721799996541684E-3</v>
          </cell>
          <cell r="BT82">
            <v>8.9948006825515403E-3</v>
          </cell>
          <cell r="BU82">
            <v>9.9690274128765299E-3</v>
          </cell>
          <cell r="BV82">
            <v>7.7059127179313069E-3</v>
          </cell>
          <cell r="BW82">
            <v>8.1211675645962433E-3</v>
          </cell>
          <cell r="BX82">
            <v>7.7143457323394227E-3</v>
          </cell>
          <cell r="BY82">
            <v>5.0832399196958367E-3</v>
          </cell>
          <cell r="BZ82">
            <v>4.1358427061646275E-3</v>
          </cell>
          <cell r="CA82">
            <v>7.1883583659637651E-4</v>
          </cell>
          <cell r="CB82">
            <v>4.8877309187034257E-3</v>
          </cell>
          <cell r="CC82">
            <v>4.6385181574191137E-3</v>
          </cell>
          <cell r="CD82">
            <v>1.7492394047196047E-3</v>
          </cell>
          <cell r="CE82">
            <v>4.9927257453852292E-4</v>
          </cell>
          <cell r="CF82">
            <v>7.4361694481206442E-3</v>
          </cell>
          <cell r="CG82">
            <v>8.6564888549467423E-3</v>
          </cell>
          <cell r="CH82">
            <v>7.7920106024964575E-3</v>
          </cell>
          <cell r="CI82">
            <v>1.2181269008535001E-2</v>
          </cell>
          <cell r="CJ82">
            <v>1.5450460882436845E-2</v>
          </cell>
          <cell r="CK82">
            <v>1.5217753195503558E-2</v>
          </cell>
          <cell r="CL82">
            <v>1.3979488143628149E-2</v>
          </cell>
          <cell r="CM82">
            <v>1.266528092071173E-2</v>
          </cell>
          <cell r="CN82">
            <v>1.3450254935826189E-2</v>
          </cell>
          <cell r="CO82">
            <v>1.1956233157998319E-2</v>
          </cell>
          <cell r="CP82">
            <v>8.1373374943352061E-3</v>
          </cell>
          <cell r="CQ82">
            <v>1.1669710366424058E-2</v>
          </cell>
          <cell r="CR82">
            <v>1.6504007996298808E-2</v>
          </cell>
          <cell r="CS82">
            <v>1.625792686094929E-2</v>
          </cell>
          <cell r="CT82">
            <v>2.0479060784661662E-2</v>
          </cell>
          <cell r="CU82">
            <v>1.872686806414392E-2</v>
          </cell>
          <cell r="CV82">
            <v>1.9147827819268048E-2</v>
          </cell>
          <cell r="CW82">
            <v>2.6525457800229191E-2</v>
          </cell>
          <cell r="CX82">
            <v>2.1673282686397455E-2</v>
          </cell>
          <cell r="CY82">
            <v>2.0530868746022835E-2</v>
          </cell>
          <cell r="CZ82">
            <v>1.5633680726142796E-2</v>
          </cell>
          <cell r="DA82">
            <v>1.5411028613622646E-2</v>
          </cell>
          <cell r="DB82">
            <v>1.2656618484831572E-2</v>
          </cell>
          <cell r="DC82">
            <v>1.4149102456601836E-2</v>
          </cell>
          <cell r="DD82">
            <v>1.4396657972200355E-2</v>
          </cell>
          <cell r="DE82">
            <v>1.6075327707032239E-2</v>
          </cell>
          <cell r="DF82">
            <v>1.3650254157308694E-2</v>
          </cell>
          <cell r="DG82">
            <v>1.5199479123549242E-2</v>
          </cell>
          <cell r="DH82">
            <v>1.6038424121477046E-2</v>
          </cell>
          <cell r="DI82">
            <v>1.6872378181166159E-2</v>
          </cell>
          <cell r="DJ82">
            <v>1.6722487565495436E-2</v>
          </cell>
          <cell r="DK82">
            <v>1.8214072516431257E-2</v>
          </cell>
          <cell r="DL82">
            <v>1.7093244278614694E-2</v>
          </cell>
          <cell r="DM82">
            <v>8.7493555480746554E-3</v>
          </cell>
          <cell r="DN82">
            <v>2.2570460222097521E-2</v>
          </cell>
          <cell r="DO82">
            <v>3.2327077673137694E-2</v>
          </cell>
          <cell r="DP82">
            <v>3.1215699139902409E-2</v>
          </cell>
          <cell r="DQ82">
            <v>2.8107227428765258E-2</v>
          </cell>
          <cell r="DR82">
            <v>1.9542568721011788E-2</v>
          </cell>
          <cell r="DS82">
            <v>2.22090136801667E-2</v>
          </cell>
          <cell r="DT82">
            <v>1.4432118979465836E-2</v>
          </cell>
          <cell r="DU82">
            <v>1.125522792159539E-2</v>
          </cell>
          <cell r="DV82">
            <v>8.1912972107702764E-3</v>
          </cell>
          <cell r="DW82">
            <v>1.0590677024320039E-2</v>
          </cell>
          <cell r="DX82">
            <v>5.0558516500758266E-3</v>
          </cell>
          <cell r="DY82">
            <v>7.4675173361620217E-3</v>
          </cell>
          <cell r="DZ82">
            <v>7.5857510717813881E-3</v>
          </cell>
          <cell r="EA82">
            <v>8.3075850845406585E-3</v>
          </cell>
          <cell r="EB82">
            <v>7.7333975311018044E-3</v>
          </cell>
          <cell r="EC82">
            <v>7.8944233399713681E-3</v>
          </cell>
          <cell r="ED82">
            <v>8.7668355330803305E-3</v>
          </cell>
          <cell r="EE82">
            <v>1.3490614763723263E-2</v>
          </cell>
          <cell r="EF82">
            <v>1.1211848199267127E-2</v>
          </cell>
          <cell r="EG82">
            <v>1.466530718198622E-2</v>
          </cell>
          <cell r="EH82">
            <v>1.3575066398347824E-2</v>
          </cell>
          <cell r="EI82">
            <v>0.01</v>
          </cell>
          <cell r="EJ82">
            <v>0.01</v>
          </cell>
          <cell r="EK82">
            <v>0.01</v>
          </cell>
          <cell r="EL82">
            <v>0.01</v>
          </cell>
          <cell r="EM82">
            <v>0.01</v>
          </cell>
          <cell r="EN82">
            <v>0.01</v>
          </cell>
          <cell r="EO82">
            <v>0.01</v>
          </cell>
          <cell r="EP82">
            <v>0.01</v>
          </cell>
          <cell r="EQ82">
            <v>0.01</v>
          </cell>
          <cell r="ER82">
            <v>0.01</v>
          </cell>
          <cell r="ES82">
            <v>0.01</v>
          </cell>
          <cell r="ET82">
            <v>0.01</v>
          </cell>
          <cell r="EU82">
            <v>0.01</v>
          </cell>
          <cell r="EV82">
            <v>0.01</v>
          </cell>
          <cell r="EW82">
            <v>0.01</v>
          </cell>
          <cell r="EX82">
            <v>0.01</v>
          </cell>
          <cell r="EY82">
            <v>0.01</v>
          </cell>
          <cell r="EZ82">
            <v>0.01</v>
          </cell>
          <cell r="FA82">
            <v>0.01</v>
          </cell>
          <cell r="FB82">
            <v>0.01</v>
          </cell>
          <cell r="FC82">
            <v>0.01</v>
          </cell>
          <cell r="FD82">
            <v>0.01</v>
          </cell>
          <cell r="FE82">
            <v>0.01</v>
          </cell>
          <cell r="FF82">
            <v>0.01</v>
          </cell>
          <cell r="FG82">
            <v>0.01</v>
          </cell>
          <cell r="FH82">
            <v>0.01</v>
          </cell>
          <cell r="FI82">
            <v>0.01</v>
          </cell>
          <cell r="FJ82">
            <v>0.01</v>
          </cell>
          <cell r="FK82">
            <v>0.01</v>
          </cell>
          <cell r="FL82">
            <v>0.01</v>
          </cell>
          <cell r="FM82">
            <v>0.01</v>
          </cell>
          <cell r="FN82">
            <v>0.01</v>
          </cell>
          <cell r="FO82">
            <v>0.01</v>
          </cell>
          <cell r="FP82">
            <v>0.01</v>
          </cell>
          <cell r="FQ82">
            <v>0.01</v>
          </cell>
          <cell r="FR82">
            <v>0.01</v>
          </cell>
          <cell r="FS82">
            <v>0.01</v>
          </cell>
          <cell r="FT82">
            <v>0.01</v>
          </cell>
          <cell r="FU82">
            <v>0.01</v>
          </cell>
        </row>
        <row r="83">
          <cell r="A83" t="str">
            <v>3MoSystemNZNHCg</v>
          </cell>
          <cell r="B83" t="str">
            <v>New Zealand non-housing</v>
          </cell>
          <cell r="AD83">
            <v>-4.0964974245727426E-4</v>
          </cell>
          <cell r="AE83">
            <v>3.5417887269958426E-2</v>
          </cell>
          <cell r="AF83">
            <v>-4.6013829804907314E-3</v>
          </cell>
          <cell r="AG83">
            <v>3.6858207659979492E-2</v>
          </cell>
          <cell r="AH83">
            <v>5.514441685772864E-3</v>
          </cell>
          <cell r="AI83">
            <v>4.8490246283048322E-2</v>
          </cell>
          <cell r="AJ83">
            <v>2.5340089186090431E-2</v>
          </cell>
          <cell r="AK83">
            <v>7.1985028262304684E-3</v>
          </cell>
          <cell r="AL83">
            <v>-2.6497165658915578E-2</v>
          </cell>
          <cell r="AM83">
            <v>3.8754559762570917E-2</v>
          </cell>
          <cell r="AN83">
            <v>-1.0746815404893195E-2</v>
          </cell>
          <cell r="AO83">
            <v>1.6504553502485253E-2</v>
          </cell>
          <cell r="AP83">
            <v>3.1779186049862629E-2</v>
          </cell>
          <cell r="AQ83">
            <v>2.1774311957921455E-2</v>
          </cell>
          <cell r="AR83">
            <v>3.003607732533764E-2</v>
          </cell>
          <cell r="AS83">
            <v>-1.7945890426257494E-3</v>
          </cell>
          <cell r="AT83">
            <v>1.8704816325698648E-3</v>
          </cell>
          <cell r="AU83">
            <v>4.3277834099623824E-2</v>
          </cell>
          <cell r="AV83">
            <v>4.024714082384806E-3</v>
          </cell>
          <cell r="AW83">
            <v>7.5467709884025069E-4</v>
          </cell>
          <cell r="AX83">
            <v>-1.679906113136953E-3</v>
          </cell>
          <cell r="AY83">
            <v>2.8705576898551799E-2</v>
          </cell>
          <cell r="AZ83">
            <v>2.1095084125759556E-2</v>
          </cell>
          <cell r="BA83">
            <v>2.27102501013976E-2</v>
          </cell>
          <cell r="BB83">
            <v>2.6470775503186772E-3</v>
          </cell>
          <cell r="BC83">
            <v>5.8131253606096722E-2</v>
          </cell>
          <cell r="BD83">
            <v>3.379922145454306E-2</v>
          </cell>
          <cell r="BE83">
            <v>4.6827201564767496E-2</v>
          </cell>
          <cell r="BF83">
            <v>2.0501942146461172E-2</v>
          </cell>
          <cell r="BG83">
            <v>3.73806730788242E-2</v>
          </cell>
          <cell r="BH83">
            <v>2.4077205870123519E-2</v>
          </cell>
          <cell r="BI83">
            <v>3.3255577080520959E-2</v>
          </cell>
          <cell r="BJ83">
            <v>3.395583554060444E-2</v>
          </cell>
          <cell r="BK83">
            <v>4.8788081738548872E-2</v>
          </cell>
          <cell r="BL83">
            <v>1.740020998989511E-2</v>
          </cell>
          <cell r="BM83">
            <v>5.6478040908155336E-2</v>
          </cell>
          <cell r="BN83">
            <v>4.0433124097072115E-2</v>
          </cell>
          <cell r="BO83">
            <v>3.6951696714470295E-2</v>
          </cell>
          <cell r="BP83">
            <v>2.5466087870328336E-2</v>
          </cell>
          <cell r="BQ83">
            <v>4.3500200854179161E-2</v>
          </cell>
          <cell r="BR83">
            <v>3.948378940641617E-2</v>
          </cell>
          <cell r="BS83">
            <v>2.5202511821592166E-2</v>
          </cell>
          <cell r="BT83">
            <v>-1.2653180001456432E-2</v>
          </cell>
          <cell r="BU83">
            <v>-9.150627180029125E-3</v>
          </cell>
          <cell r="BV83">
            <v>2.0633350192700295E-3</v>
          </cell>
          <cell r="BW83">
            <v>-1.5532845161635556E-2</v>
          </cell>
          <cell r="BX83">
            <v>-1.2977897103463754E-2</v>
          </cell>
          <cell r="BY83">
            <v>1.4035198436634921E-3</v>
          </cell>
          <cell r="BZ83">
            <v>3.3102702556473407E-3</v>
          </cell>
          <cell r="CA83">
            <v>1.3794570608388623E-2</v>
          </cell>
          <cell r="CB83">
            <v>-5.9930147424540614E-3</v>
          </cell>
          <cell r="CC83">
            <v>2.4731182698880527E-3</v>
          </cell>
          <cell r="CD83">
            <v>4.392159776205995E-3</v>
          </cell>
          <cell r="CE83">
            <v>4.5717544640815344E-2</v>
          </cell>
          <cell r="CF83">
            <v>5.7605602971897429E-3</v>
          </cell>
          <cell r="CG83">
            <v>8.3056602416826664E-3</v>
          </cell>
          <cell r="CH83">
            <v>3.4947574644086377E-3</v>
          </cell>
          <cell r="CI83">
            <v>2.9219748987315164E-2</v>
          </cell>
          <cell r="CJ83">
            <v>-5.3553985420229377E-4</v>
          </cell>
          <cell r="CK83">
            <v>5.8104070424711551E-3</v>
          </cell>
          <cell r="CL83">
            <v>4.3408767605304099E-3</v>
          </cell>
          <cell r="CM83">
            <v>2.0480361330088348E-2</v>
          </cell>
          <cell r="CN83">
            <v>-8.194489562166507E-3</v>
          </cell>
          <cell r="CO83">
            <v>9.0575348489698726E-3</v>
          </cell>
          <cell r="CP83">
            <v>1.2199744754418873E-2</v>
          </cell>
          <cell r="CQ83">
            <v>1.9618493569592665E-2</v>
          </cell>
          <cell r="CR83">
            <v>1.8564469488178359E-2</v>
          </cell>
          <cell r="CS83">
            <v>2.3713014564618939E-2</v>
          </cell>
          <cell r="CT83">
            <v>1.9840304674945131E-3</v>
          </cell>
          <cell r="CU83">
            <v>2.9411809305129655E-2</v>
          </cell>
          <cell r="CV83">
            <v>1.7638333641751602E-2</v>
          </cell>
          <cell r="CW83">
            <v>3.4704413919521837E-3</v>
          </cell>
          <cell r="CX83">
            <v>1.7845976237601535E-2</v>
          </cell>
          <cell r="CY83">
            <v>5.7649919448639064E-3</v>
          </cell>
          <cell r="CZ83">
            <v>7.1230724522672872E-3</v>
          </cell>
          <cell r="DA83">
            <v>1.0227855274735909E-2</v>
          </cell>
          <cell r="DB83">
            <v>8.8586191939656889E-3</v>
          </cell>
          <cell r="DC83">
            <v>9.8033800401595705E-3</v>
          </cell>
          <cell r="DD83">
            <v>3.6584728948212408E-3</v>
          </cell>
          <cell r="DE83">
            <v>2.7257175310466675E-2</v>
          </cell>
          <cell r="DF83">
            <v>6.1704111084119884E-3</v>
          </cell>
          <cell r="DG83">
            <v>7.8563416712187362E-3</v>
          </cell>
          <cell r="DH83">
            <v>1.528740002114537E-2</v>
          </cell>
          <cell r="DI83">
            <v>1.0040175416835995E-2</v>
          </cell>
          <cell r="DJ83">
            <v>2.1675969843331089E-2</v>
          </cell>
          <cell r="DK83">
            <v>-9.5654585387903168E-3</v>
          </cell>
          <cell r="DL83">
            <v>3.3999563668910326E-2</v>
          </cell>
          <cell r="DM83">
            <v>-3.0159356925694714E-2</v>
          </cell>
          <cell r="DN83">
            <v>-2.3989241977821929E-2</v>
          </cell>
          <cell r="DO83">
            <v>-2.4860266549520116E-4</v>
          </cell>
          <cell r="DP83">
            <v>-1.8174439425215461E-2</v>
          </cell>
          <cell r="DQ83">
            <v>4.2092905465134223E-3</v>
          </cell>
          <cell r="DR83">
            <v>-1.007855289731352E-3</v>
          </cell>
          <cell r="DS83">
            <v>9.7318180959558021E-3</v>
          </cell>
          <cell r="DT83">
            <v>1.0579873164848763E-3</v>
          </cell>
          <cell r="DU83">
            <v>2.5864697571158057E-2</v>
          </cell>
          <cell r="DV83">
            <v>2.962100130042078E-2</v>
          </cell>
          <cell r="DW83">
            <v>-1.7723602179476883E-2</v>
          </cell>
          <cell r="DX83">
            <v>-2.7174162879948227E-3</v>
          </cell>
          <cell r="DY83">
            <v>7.2690970976576619E-3</v>
          </cell>
          <cell r="DZ83">
            <v>2.0374535458564935E-3</v>
          </cell>
          <cell r="EA83">
            <v>8.0364049321719477E-3</v>
          </cell>
          <cell r="EB83">
            <v>4.2875159272743879E-3</v>
          </cell>
          <cell r="EC83">
            <v>-6.3414979508158442E-4</v>
          </cell>
          <cell r="ED83">
            <v>1.1930741286855451E-2</v>
          </cell>
          <cell r="EE83">
            <v>2.0184659842902741E-2</v>
          </cell>
          <cell r="EF83">
            <v>-6.7891334024909877E-3</v>
          </cell>
          <cell r="EG83">
            <v>-2.4940836368274599E-3</v>
          </cell>
          <cell r="EH83">
            <v>2.7138886126540696E-2</v>
          </cell>
          <cell r="EI83">
            <v>6.0000000000000001E-3</v>
          </cell>
          <cell r="EJ83">
            <v>6.0000000000000001E-3</v>
          </cell>
          <cell r="EK83">
            <v>6.0000000000000001E-3</v>
          </cell>
          <cell r="EL83">
            <v>6.0000000000000001E-3</v>
          </cell>
          <cell r="EM83">
            <v>6.0000000000000001E-3</v>
          </cell>
          <cell r="EN83">
            <v>6.0000000000000001E-3</v>
          </cell>
          <cell r="EO83">
            <v>6.0000000000000001E-3</v>
          </cell>
          <cell r="EP83">
            <v>6.0000000000000001E-3</v>
          </cell>
          <cell r="EQ83">
            <v>6.0000000000000001E-3</v>
          </cell>
          <cell r="ER83">
            <v>6.0000000000000001E-3</v>
          </cell>
          <cell r="ES83">
            <v>6.0000000000000001E-3</v>
          </cell>
          <cell r="ET83">
            <v>6.0000000000000001E-3</v>
          </cell>
          <cell r="EU83">
            <v>6.0000000000000001E-3</v>
          </cell>
          <cell r="EV83">
            <v>6.0000000000000001E-3</v>
          </cell>
          <cell r="EW83">
            <v>6.0000000000000001E-3</v>
          </cell>
          <cell r="EX83">
            <v>6.0000000000000001E-3</v>
          </cell>
          <cell r="EY83">
            <v>6.0000000000000001E-3</v>
          </cell>
          <cell r="EZ83">
            <v>6.0000000000000001E-3</v>
          </cell>
          <cell r="FA83">
            <v>6.0000000000000001E-3</v>
          </cell>
          <cell r="FB83">
            <v>6.0000000000000001E-3</v>
          </cell>
          <cell r="FC83">
            <v>6.0000000000000001E-3</v>
          </cell>
          <cell r="FD83">
            <v>6.0000000000000001E-3</v>
          </cell>
          <cell r="FE83">
            <v>6.0000000000000001E-3</v>
          </cell>
          <cell r="FF83">
            <v>6.0000000000000001E-3</v>
          </cell>
          <cell r="FG83">
            <v>6.0000000000000001E-3</v>
          </cell>
          <cell r="FH83">
            <v>6.0000000000000001E-3</v>
          </cell>
          <cell r="FI83">
            <v>6.0000000000000001E-3</v>
          </cell>
          <cell r="FJ83">
            <v>6.0000000000000001E-3</v>
          </cell>
          <cell r="FK83">
            <v>6.0000000000000001E-3</v>
          </cell>
          <cell r="FL83">
            <v>6.0000000000000001E-3</v>
          </cell>
          <cell r="FM83">
            <v>6.0000000000000001E-3</v>
          </cell>
          <cell r="FN83">
            <v>6.0000000000000001E-3</v>
          </cell>
          <cell r="FO83">
            <v>6.0000000000000001E-3</v>
          </cell>
          <cell r="FP83">
            <v>6.0000000000000001E-3</v>
          </cell>
          <cell r="FQ83">
            <v>6.0000000000000001E-3</v>
          </cell>
          <cell r="FR83">
            <v>6.0000000000000001E-3</v>
          </cell>
          <cell r="FS83">
            <v>6.0000000000000001E-3</v>
          </cell>
          <cell r="FT83">
            <v>6.0000000000000001E-3</v>
          </cell>
          <cell r="FU83">
            <v>6.0000000000000001E-3</v>
          </cell>
        </row>
        <row r="84">
          <cell r="A84" t="str">
            <v>3MoSystemUKHCg</v>
          </cell>
          <cell r="B84" t="str">
            <v>UK housing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 t="e">
            <v>#REF!</v>
          </cell>
          <cell r="R84" t="e">
            <v>#REF!</v>
          </cell>
          <cell r="S84" t="e">
            <v>#REF!</v>
          </cell>
          <cell r="T84" t="e">
            <v>#REF!</v>
          </cell>
          <cell r="U84" t="e">
            <v>#REF!</v>
          </cell>
          <cell r="V84" t="e">
            <v>#REF!</v>
          </cell>
          <cell r="W84" t="e">
            <v>#REF!</v>
          </cell>
          <cell r="X84" t="e">
            <v>#REF!</v>
          </cell>
          <cell r="Y84" t="e">
            <v>#REF!</v>
          </cell>
          <cell r="Z84" t="e">
            <v>#REF!</v>
          </cell>
          <cell r="AA84" t="e">
            <v>#REF!</v>
          </cell>
          <cell r="AB84" t="e">
            <v>#REF!</v>
          </cell>
          <cell r="AC84" t="e">
            <v>#REF!</v>
          </cell>
          <cell r="AD84" t="e">
            <v>#REF!</v>
          </cell>
          <cell r="AE84" t="e">
            <v>#REF!</v>
          </cell>
          <cell r="AF84" t="e">
            <v>#REF!</v>
          </cell>
          <cell r="AG84" t="e">
            <v>#REF!</v>
          </cell>
          <cell r="AH84" t="e">
            <v>#REF!</v>
          </cell>
          <cell r="AI84" t="e">
            <v>#REF!</v>
          </cell>
          <cell r="AJ84" t="e">
            <v>#REF!</v>
          </cell>
          <cell r="AK84" t="e">
            <v>#REF!</v>
          </cell>
          <cell r="AL84" t="e">
            <v>#REF!</v>
          </cell>
          <cell r="AM84" t="e">
            <v>#REF!</v>
          </cell>
          <cell r="AN84" t="e">
            <v>#REF!</v>
          </cell>
          <cell r="AO84" t="e">
            <v>#REF!</v>
          </cell>
          <cell r="AP84" t="e">
            <v>#REF!</v>
          </cell>
          <cell r="AQ84" t="e">
            <v>#REF!</v>
          </cell>
          <cell r="AR84" t="e">
            <v>#REF!</v>
          </cell>
          <cell r="AS84" t="e">
            <v>#REF!</v>
          </cell>
          <cell r="AT84" t="e">
            <v>#REF!</v>
          </cell>
          <cell r="AU84" t="e">
            <v>#REF!</v>
          </cell>
          <cell r="AV84" t="e">
            <v>#REF!</v>
          </cell>
          <cell r="AW84" t="e">
            <v>#REF!</v>
          </cell>
          <cell r="AX84" t="e">
            <v>#REF!</v>
          </cell>
          <cell r="AY84" t="e">
            <v>#REF!</v>
          </cell>
          <cell r="AZ84" t="e">
            <v>#REF!</v>
          </cell>
          <cell r="BA84" t="e">
            <v>#REF!</v>
          </cell>
          <cell r="BB84" t="e">
            <v>#REF!</v>
          </cell>
          <cell r="BC84" t="e">
            <v>#REF!</v>
          </cell>
          <cell r="BD84" t="e">
            <v>#REF!</v>
          </cell>
          <cell r="BE84" t="e">
            <v>#REF!</v>
          </cell>
          <cell r="BF84" t="e">
            <v>#REF!</v>
          </cell>
          <cell r="BG84" t="e">
            <v>#REF!</v>
          </cell>
          <cell r="BH84" t="e">
            <v>#REF!</v>
          </cell>
          <cell r="BI84" t="e">
            <v>#REF!</v>
          </cell>
          <cell r="BJ84" t="e">
            <v>#REF!</v>
          </cell>
          <cell r="BK84" t="e">
            <v>#REF!</v>
          </cell>
          <cell r="BL84" t="e">
            <v>#REF!</v>
          </cell>
          <cell r="BM84" t="e">
            <v>#REF!</v>
          </cell>
          <cell r="BN84" t="e">
            <v>#REF!</v>
          </cell>
          <cell r="BO84" t="e">
            <v>#REF!</v>
          </cell>
          <cell r="BP84" t="e">
            <v>#REF!</v>
          </cell>
          <cell r="BQ84" t="e">
            <v>#REF!</v>
          </cell>
          <cell r="BR84" t="e">
            <v>#REF!</v>
          </cell>
          <cell r="BS84" t="e">
            <v>#REF!</v>
          </cell>
          <cell r="BT84" t="e">
            <v>#REF!</v>
          </cell>
          <cell r="BU84" t="e">
            <v>#REF!</v>
          </cell>
          <cell r="BV84" t="e">
            <v>#REF!</v>
          </cell>
          <cell r="BW84" t="e">
            <v>#REF!</v>
          </cell>
          <cell r="BX84" t="e">
            <v>#REF!</v>
          </cell>
          <cell r="BY84" t="e">
            <v>#REF!</v>
          </cell>
          <cell r="BZ84" t="e">
            <v>#REF!</v>
          </cell>
          <cell r="CA84" t="e">
            <v>#REF!</v>
          </cell>
          <cell r="CB84" t="e">
            <v>#REF!</v>
          </cell>
          <cell r="CC84" t="e">
            <v>#REF!</v>
          </cell>
          <cell r="CD84" t="e">
            <v>#REF!</v>
          </cell>
          <cell r="CE84" t="e">
            <v>#REF!</v>
          </cell>
          <cell r="CF84" t="e">
            <v>#REF!</v>
          </cell>
          <cell r="CG84" t="e">
            <v>#REF!</v>
          </cell>
          <cell r="CH84" t="e">
            <v>#REF!</v>
          </cell>
          <cell r="CI84" t="e">
            <v>#REF!</v>
          </cell>
          <cell r="CJ84" t="e">
            <v>#REF!</v>
          </cell>
          <cell r="CK84" t="e">
            <v>#REF!</v>
          </cell>
          <cell r="CL84" t="e">
            <v>#REF!</v>
          </cell>
          <cell r="CM84" t="e">
            <v>#REF!</v>
          </cell>
          <cell r="CN84" t="e">
            <v>#REF!</v>
          </cell>
          <cell r="CO84" t="e">
            <v>#REF!</v>
          </cell>
          <cell r="CP84" t="e">
            <v>#REF!</v>
          </cell>
          <cell r="CQ84" t="e">
            <v>#REF!</v>
          </cell>
          <cell r="CR84" t="e">
            <v>#REF!</v>
          </cell>
          <cell r="CS84" t="e">
            <v>#REF!</v>
          </cell>
          <cell r="CT84" t="e">
            <v>#REF!</v>
          </cell>
          <cell r="CU84" t="e">
            <v>#REF!</v>
          </cell>
          <cell r="CV84" t="e">
            <v>#REF!</v>
          </cell>
          <cell r="CW84" t="e">
            <v>#REF!</v>
          </cell>
        </row>
        <row r="85">
          <cell r="A85" t="str">
            <v>3MoSystemUKNHCg</v>
          </cell>
          <cell r="B85" t="str">
            <v>UK non-housing</v>
          </cell>
          <cell r="AA85" t="e">
            <v>#REF!</v>
          </cell>
          <cell r="AB85" t="e">
            <v>#REF!</v>
          </cell>
          <cell r="AC85" t="e">
            <v>#REF!</v>
          </cell>
          <cell r="AD85" t="e">
            <v>#REF!</v>
          </cell>
          <cell r="AE85" t="e">
            <v>#REF!</v>
          </cell>
          <cell r="AF85" t="e">
            <v>#REF!</v>
          </cell>
          <cell r="AG85" t="e">
            <v>#REF!</v>
          </cell>
          <cell r="AH85" t="e">
            <v>#REF!</v>
          </cell>
          <cell r="AI85" t="e">
            <v>#REF!</v>
          </cell>
          <cell r="AJ85" t="e">
            <v>#REF!</v>
          </cell>
          <cell r="AK85" t="e">
            <v>#REF!</v>
          </cell>
          <cell r="AL85" t="e">
            <v>#REF!</v>
          </cell>
          <cell r="AM85" t="e">
            <v>#REF!</v>
          </cell>
          <cell r="AN85" t="e">
            <v>#REF!</v>
          </cell>
          <cell r="AO85" t="e">
            <v>#REF!</v>
          </cell>
          <cell r="AP85" t="e">
            <v>#REF!</v>
          </cell>
          <cell r="AQ85" t="e">
            <v>#REF!</v>
          </cell>
          <cell r="AR85" t="e">
            <v>#REF!</v>
          </cell>
          <cell r="AS85" t="e">
            <v>#REF!</v>
          </cell>
          <cell r="AT85" t="e">
            <v>#REF!</v>
          </cell>
          <cell r="AU85" t="e">
            <v>#REF!</v>
          </cell>
          <cell r="AV85" t="e">
            <v>#REF!</v>
          </cell>
          <cell r="AW85" t="e">
            <v>#REF!</v>
          </cell>
          <cell r="AX85" t="e">
            <v>#REF!</v>
          </cell>
          <cell r="AY85" t="e">
            <v>#REF!</v>
          </cell>
          <cell r="AZ85" t="e">
            <v>#REF!</v>
          </cell>
          <cell r="BA85" t="e">
            <v>#REF!</v>
          </cell>
          <cell r="BB85" t="e">
            <v>#REF!</v>
          </cell>
          <cell r="BC85" t="e">
            <v>#REF!</v>
          </cell>
          <cell r="BD85" t="e">
            <v>#REF!</v>
          </cell>
          <cell r="BE85" t="e">
            <v>#REF!</v>
          </cell>
          <cell r="BF85" t="e">
            <v>#REF!</v>
          </cell>
          <cell r="BG85" t="e">
            <v>#REF!</v>
          </cell>
          <cell r="BH85" t="e">
            <v>#REF!</v>
          </cell>
          <cell r="BI85" t="e">
            <v>#REF!</v>
          </cell>
          <cell r="BJ85" t="e">
            <v>#REF!</v>
          </cell>
          <cell r="BK85" t="e">
            <v>#REF!</v>
          </cell>
          <cell r="BL85" t="e">
            <v>#REF!</v>
          </cell>
          <cell r="BM85" t="e">
            <v>#REF!</v>
          </cell>
          <cell r="BN85" t="e">
            <v>#REF!</v>
          </cell>
          <cell r="BO85" t="e">
            <v>#REF!</v>
          </cell>
          <cell r="BP85" t="e">
            <v>#REF!</v>
          </cell>
          <cell r="BQ85" t="e">
            <v>#REF!</v>
          </cell>
          <cell r="BR85" t="e">
            <v>#REF!</v>
          </cell>
          <cell r="BS85" t="e">
            <v>#REF!</v>
          </cell>
          <cell r="BT85" t="e">
            <v>#REF!</v>
          </cell>
          <cell r="BU85" t="e">
            <v>#REF!</v>
          </cell>
          <cell r="BV85" t="e">
            <v>#REF!</v>
          </cell>
          <cell r="BW85" t="e">
            <v>#REF!</v>
          </cell>
          <cell r="BX85" t="e">
            <v>#REF!</v>
          </cell>
          <cell r="BY85" t="e">
            <v>#REF!</v>
          </cell>
          <cell r="BZ85" t="e">
            <v>#REF!</v>
          </cell>
          <cell r="CA85" t="e">
            <v>#REF!</v>
          </cell>
          <cell r="CB85" t="e">
            <v>#REF!</v>
          </cell>
          <cell r="CC85" t="e">
            <v>#REF!</v>
          </cell>
          <cell r="CD85" t="e">
            <v>#REF!</v>
          </cell>
          <cell r="CE85" t="e">
            <v>#REF!</v>
          </cell>
          <cell r="CF85" t="e">
            <v>#REF!</v>
          </cell>
          <cell r="CG85" t="e">
            <v>#REF!</v>
          </cell>
          <cell r="CH85" t="e">
            <v>#REF!</v>
          </cell>
          <cell r="CI85" t="e">
            <v>#REF!</v>
          </cell>
          <cell r="CJ85" t="e">
            <v>#REF!</v>
          </cell>
          <cell r="CK85" t="e">
            <v>#REF!</v>
          </cell>
          <cell r="CL85" t="e">
            <v>#REF!</v>
          </cell>
          <cell r="CM85" t="e">
            <v>#REF!</v>
          </cell>
          <cell r="CN85" t="e">
            <v>#REF!</v>
          </cell>
          <cell r="CO85" t="e">
            <v>#REF!</v>
          </cell>
          <cell r="CP85" t="e">
            <v>#REF!</v>
          </cell>
          <cell r="CQ85" t="e">
            <v>#REF!</v>
          </cell>
          <cell r="CR85" t="e">
            <v>#REF!</v>
          </cell>
          <cell r="CS85" t="e">
            <v>#REF!</v>
          </cell>
          <cell r="CT85" t="e">
            <v>#REF!</v>
          </cell>
          <cell r="CU85" t="e">
            <v>#REF!</v>
          </cell>
          <cell r="CV85" t="e">
            <v>#REF!</v>
          </cell>
          <cell r="CW85" t="e">
            <v>#REF!</v>
          </cell>
        </row>
        <row r="87">
          <cell r="B87" t="str">
            <v>System volume growth (6mo)</v>
          </cell>
        </row>
        <row r="88">
          <cell r="A88" t="str">
            <v>6MoSystemAUHCg</v>
          </cell>
          <cell r="B88" t="str">
            <v>Australian housing</v>
          </cell>
          <cell r="D88">
            <v>6.2807456476395185E-2</v>
          </cell>
          <cell r="E88">
            <v>5.6932453106605774E-2</v>
          </cell>
          <cell r="F88">
            <v>6.0879970935289185E-2</v>
          </cell>
          <cell r="G88">
            <v>7.1756753864788081E-2</v>
          </cell>
          <cell r="H88">
            <v>7.8736655546226997E-2</v>
          </cell>
          <cell r="I88">
            <v>8.1877872273125943E-2</v>
          </cell>
          <cell r="J88">
            <v>8.8466284456117025E-2</v>
          </cell>
          <cell r="K88">
            <v>9.024506902055851E-2</v>
          </cell>
          <cell r="L88">
            <v>9.9790628314966767E-2</v>
          </cell>
          <cell r="M88">
            <v>0.10978413347849525</v>
          </cell>
          <cell r="N88">
            <v>0.10548494082761417</v>
          </cell>
          <cell r="O88">
            <v>8.8863643528561909E-2</v>
          </cell>
          <cell r="P88">
            <v>7.4921587505941245E-2</v>
          </cell>
          <cell r="Q88">
            <v>5.8657047126933426E-2</v>
          </cell>
          <cell r="R88">
            <v>4.9187440991271592E-2</v>
          </cell>
          <cell r="S88">
            <v>6.1126631538737985E-2</v>
          </cell>
          <cell r="T88">
            <v>6.4961459850779946E-2</v>
          </cell>
          <cell r="U88">
            <v>5.5067527854638421E-2</v>
          </cell>
          <cell r="V88">
            <v>5.5588891820383735E-2</v>
          </cell>
          <cell r="W88">
            <v>5.4663993410150269E-2</v>
          </cell>
          <cell r="X88">
            <v>5.2569865139067584E-2</v>
          </cell>
          <cell r="Y88">
            <v>6.0560231692703637E-2</v>
          </cell>
          <cell r="Z88">
            <v>6.5205269475576921E-2</v>
          </cell>
          <cell r="AA88">
            <v>5.7775963651132134E-2</v>
          </cell>
          <cell r="AB88">
            <v>5.2269178359962698E-2</v>
          </cell>
          <cell r="AC88">
            <v>5.9903069869829073E-2</v>
          </cell>
          <cell r="AD88">
            <v>5.7896740745494002E-2</v>
          </cell>
          <cell r="AE88">
            <v>5.68300552640848E-2</v>
          </cell>
          <cell r="AF88">
            <v>5.8683251645121004E-2</v>
          </cell>
          <cell r="AG88">
            <v>5.9679262256188581E-2</v>
          </cell>
          <cell r="AH88">
            <v>7.3675877452435534E-2</v>
          </cell>
          <cell r="AI88">
            <v>7.9476496949962616E-2</v>
          </cell>
          <cell r="AJ88">
            <v>8.4376120875815364E-2</v>
          </cell>
          <cell r="AK88">
            <v>8.3595813201770883E-2</v>
          </cell>
          <cell r="AL88">
            <v>6.676780532973936E-2</v>
          </cell>
          <cell r="AM88">
            <v>5.379529445076292E-2</v>
          </cell>
          <cell r="AN88">
            <v>5.6153053005588482E-2</v>
          </cell>
          <cell r="AO88">
            <v>6.7757432109603499E-2</v>
          </cell>
          <cell r="AP88">
            <v>7.6487013005069882E-2</v>
          </cell>
          <cell r="AQ88">
            <v>8.6976584242201907E-2</v>
          </cell>
          <cell r="AR88">
            <v>9.4328086966191993E-2</v>
          </cell>
          <cell r="AS88">
            <v>8.5587160355268033E-2</v>
          </cell>
          <cell r="AT88">
            <v>8.9366095945671464E-2</v>
          </cell>
          <cell r="AU88">
            <v>9.0871166951861149E-2</v>
          </cell>
          <cell r="AV88">
            <v>8.0831933841144052E-2</v>
          </cell>
          <cell r="AW88">
            <v>9.1859914511920771E-2</v>
          </cell>
          <cell r="AX88">
            <v>0.10326189022538834</v>
          </cell>
          <cell r="AY88">
            <v>0.10761386414758235</v>
          </cell>
          <cell r="AZ88">
            <v>0.1053426766998693</v>
          </cell>
          <cell r="BA88">
            <v>9.007842693660105E-2</v>
          </cell>
          <cell r="BB88">
            <v>7.9558080981864343E-2</v>
          </cell>
          <cell r="BC88">
            <v>8.0360871391988109E-2</v>
          </cell>
          <cell r="BD88">
            <v>7.117201619406277E-2</v>
          </cell>
          <cell r="BE88">
            <v>6.1372757379928089E-2</v>
          </cell>
          <cell r="BF88">
            <v>5.8138954690363898E-2</v>
          </cell>
          <cell r="BG88">
            <v>6.2178541915001606E-2</v>
          </cell>
          <cell r="BH88">
            <v>6.6393515099896439E-2</v>
          </cell>
          <cell r="BI88">
            <v>7.0282944504912681E-2</v>
          </cell>
          <cell r="BJ88">
            <v>7.374074216817128E-2</v>
          </cell>
          <cell r="BK88">
            <v>6.2021364758243047E-2</v>
          </cell>
          <cell r="BL88">
            <v>5.6919411490562011E-2</v>
          </cell>
          <cell r="BM88">
            <v>6.3761912259118647E-2</v>
          </cell>
          <cell r="BN88">
            <v>5.875313444498409E-2</v>
          </cell>
          <cell r="BO88">
            <v>5.1291107921038748E-2</v>
          </cell>
          <cell r="BP88">
            <v>5.0182425554365917E-2</v>
          </cell>
          <cell r="BQ88">
            <v>4.2497881646039959E-2</v>
          </cell>
          <cell r="BR88">
            <v>3.2832317544658762E-2</v>
          </cell>
          <cell r="BS88">
            <v>2.964765669252567E-2</v>
          </cell>
          <cell r="BT88">
            <v>3.1018976045242397E-2</v>
          </cell>
          <cell r="BU88">
            <v>3.4553197790511136E-2</v>
          </cell>
          <cell r="BV88">
            <v>3.9160751055448806E-2</v>
          </cell>
          <cell r="BW88">
            <v>4.0866207587649583E-2</v>
          </cell>
          <cell r="BX88">
            <v>4.1558519826635942E-2</v>
          </cell>
          <cell r="BY88">
            <v>3.7805953254887781E-2</v>
          </cell>
          <cell r="BZ88">
            <v>3.3345746670791376E-2</v>
          </cell>
          <cell r="CA88">
            <v>3.2781316187448839E-2</v>
          </cell>
          <cell r="CB88">
            <v>3.0197451978076328E-2</v>
          </cell>
          <cell r="CC88">
            <v>2.69280418465081E-2</v>
          </cell>
          <cell r="CD88">
            <v>2.717372880716673E-2</v>
          </cell>
          <cell r="CE88">
            <v>2.632080671166781E-2</v>
          </cell>
          <cell r="CF88">
            <v>2.4857917594106382E-2</v>
          </cell>
          <cell r="CG88">
            <v>2.3316626648146155E-2</v>
          </cell>
          <cell r="CH88">
            <v>2.1575877070242555E-2</v>
          </cell>
          <cell r="CI88">
            <v>2.1475996699456879E-2</v>
          </cell>
          <cell r="CJ88">
            <v>2.2231493788246182E-2</v>
          </cell>
          <cell r="CK88">
            <v>2.4208360185713929E-2</v>
          </cell>
          <cell r="CL88">
            <v>2.6252035932903928E-2</v>
          </cell>
          <cell r="CM88">
            <v>2.9386700627324291E-2</v>
          </cell>
          <cell r="CN88">
            <v>3.1763937168866496E-2</v>
          </cell>
          <cell r="CO88">
            <v>3.3930385192611823E-2</v>
          </cell>
          <cell r="CP88">
            <v>3.4654223000067041E-2</v>
          </cell>
          <cell r="CQ88">
            <v>3.5137324603719877E-2</v>
          </cell>
          <cell r="CR88">
            <v>3.6096440047710399E-2</v>
          </cell>
          <cell r="CS88">
            <v>3.6465105273620457E-2</v>
          </cell>
          <cell r="CT88">
            <v>3.7191416582935677E-2</v>
          </cell>
          <cell r="CU88">
            <v>3.6153550460477746E-2</v>
          </cell>
          <cell r="CV88">
            <v>3.234364952026092E-2</v>
          </cell>
          <cell r="CW88">
            <v>2.9933006156816155E-2</v>
          </cell>
          <cell r="CX88">
            <v>3.0965785175655736E-2</v>
          </cell>
          <cell r="CY88">
            <v>3.2352845155969812E-2</v>
          </cell>
          <cell r="CZ88">
            <v>3.284793382994633E-2</v>
          </cell>
          <cell r="DA88">
            <v>3.3011787221167266E-2</v>
          </cell>
          <cell r="DB88">
            <v>3.1908318611376663E-2</v>
          </cell>
          <cell r="DC88">
            <v>2.9433741029755378E-2</v>
          </cell>
          <cell r="DD88">
            <v>2.8608894333959745E-2</v>
          </cell>
          <cell r="DE88">
            <v>2.6013693337987087E-2</v>
          </cell>
          <cell r="DF88">
            <v>2.3249952278389774E-2</v>
          </cell>
          <cell r="DG88">
            <v>2.0250630559928595E-2</v>
          </cell>
          <cell r="DH88">
            <v>1.5879043217825073E-2</v>
          </cell>
          <cell r="DI88">
            <v>1.3962308626912945E-2</v>
          </cell>
          <cell r="DJ88">
            <v>1.3847259246271948E-2</v>
          </cell>
          <cell r="DK88">
            <v>1.5571080394595649E-2</v>
          </cell>
          <cell r="DL88">
            <v>1.7643934547550755E-2</v>
          </cell>
          <cell r="DM88">
            <v>1.5410984686798246E-2</v>
          </cell>
          <cell r="DN88">
            <v>1.4780506171763408E-2</v>
          </cell>
          <cell r="DO88">
            <v>1.9768530045528143E-2</v>
          </cell>
          <cell r="DP88">
            <v>2.6184429690623512E-2</v>
          </cell>
          <cell r="DQ88">
            <v>3.3300633541920144E-2</v>
          </cell>
          <cell r="DR88">
            <v>3.7701250705945322E-2</v>
          </cell>
          <cell r="DS88">
            <v>3.9848265998415622E-2</v>
          </cell>
          <cell r="DT88">
            <v>4.0317782626018817E-2</v>
          </cell>
          <cell r="DU88">
            <v>3.7932210580863712E-2</v>
          </cell>
          <cell r="DV88">
            <v>3.2511071351760901E-2</v>
          </cell>
          <cell r="DW88">
            <v>2.5686745242559317E-2</v>
          </cell>
          <cell r="DX88">
            <v>2.1600126986190293E-2</v>
          </cell>
          <cell r="DY88">
            <v>2.0282924243014255E-2</v>
          </cell>
          <cell r="DZ88">
            <v>2.0002027540050982E-2</v>
          </cell>
          <cell r="EA88">
            <v>2.0991750606981663E-2</v>
          </cell>
          <cell r="EB88">
            <v>2.2823137373980007E-2</v>
          </cell>
          <cell r="EC88">
            <v>2.5527056438700235E-2</v>
          </cell>
          <cell r="ED88">
            <v>2.7765810155555126E-2</v>
          </cell>
          <cell r="EE88">
            <v>2.8779041961061624E-2</v>
          </cell>
          <cell r="EF88">
            <v>2.8502608940657259E-2</v>
          </cell>
          <cell r="EG88">
            <v>2.9803096261785678E-2</v>
          </cell>
          <cell r="EH88">
            <v>3.3723750160633559E-2</v>
          </cell>
          <cell r="EI88">
            <v>3.3904185640546869E-2</v>
          </cell>
          <cell r="EJ88">
            <v>3.2256000000000062E-2</v>
          </cell>
          <cell r="EK88">
            <v>3.0731999999999982E-2</v>
          </cell>
          <cell r="EL88">
            <v>2.9210249999999993E-2</v>
          </cell>
          <cell r="EM88">
            <v>2.9210249999999993E-2</v>
          </cell>
          <cell r="EN88">
            <v>2.9210249999999993E-2</v>
          </cell>
          <cell r="EO88">
            <v>2.9210249999999993E-2</v>
          </cell>
          <cell r="EP88">
            <v>2.9210249999999993E-2</v>
          </cell>
          <cell r="EQ88">
            <v>2.9210249999999993E-2</v>
          </cell>
          <cell r="ER88">
            <v>2.9210249999999993E-2</v>
          </cell>
          <cell r="ES88">
            <v>2.9210249999999993E-2</v>
          </cell>
          <cell r="ET88">
            <v>2.9210249999999993E-2</v>
          </cell>
          <cell r="EU88">
            <v>2.9210249999999993E-2</v>
          </cell>
          <cell r="EV88">
            <v>2.7181249999999935E-2</v>
          </cell>
          <cell r="EW88">
            <v>2.5156249999999991E-2</v>
          </cell>
          <cell r="EX88">
            <v>2.5156249999999991E-2</v>
          </cell>
          <cell r="EY88">
            <v>2.5156249999999991E-2</v>
          </cell>
          <cell r="EZ88">
            <v>2.2624999999999895E-2</v>
          </cell>
          <cell r="FA88">
            <v>2.0100000000000007E-2</v>
          </cell>
          <cell r="FB88">
            <v>2.0100000000000007E-2</v>
          </cell>
          <cell r="FC88">
            <v>2.0100000000000007E-2</v>
          </cell>
          <cell r="FD88">
            <v>2.0100000000000007E-2</v>
          </cell>
          <cell r="FE88">
            <v>2.0100000000000007E-2</v>
          </cell>
          <cell r="FF88">
            <v>2.0100000000000007E-2</v>
          </cell>
          <cell r="FG88">
            <v>2.0100000000000007E-2</v>
          </cell>
          <cell r="FH88">
            <v>2.0100000000000007E-2</v>
          </cell>
          <cell r="FI88">
            <v>2.0100000000000007E-2</v>
          </cell>
          <cell r="FJ88">
            <v>2.0100000000000007E-2</v>
          </cell>
          <cell r="FK88">
            <v>2.0100000000000007E-2</v>
          </cell>
          <cell r="FL88">
            <v>2.0100000000000007E-2</v>
          </cell>
          <cell r="FM88">
            <v>2.0100000000000007E-2</v>
          </cell>
          <cell r="FN88">
            <v>2.0100000000000007E-2</v>
          </cell>
          <cell r="FO88">
            <v>2.0100000000000007E-2</v>
          </cell>
          <cell r="FP88">
            <v>2.0100000000000007E-2</v>
          </cell>
          <cell r="FQ88">
            <v>2.0100000000000007E-2</v>
          </cell>
          <cell r="FR88">
            <v>2.0100000000000007E-2</v>
          </cell>
          <cell r="FS88">
            <v>2.0100000000000007E-2</v>
          </cell>
          <cell r="FT88">
            <v>2.0100000000000007E-2</v>
          </cell>
          <cell r="FU88">
            <v>2.0100000000000007E-2</v>
          </cell>
        </row>
        <row r="89">
          <cell r="A89" t="str">
            <v>6MoSystemAUBCg</v>
          </cell>
          <cell r="B89" t="str">
            <v>Australian business</v>
          </cell>
          <cell r="D89">
            <v>-3.3295841711464158E-2</v>
          </cell>
          <cell r="E89">
            <v>-2.993401633403614E-2</v>
          </cell>
          <cell r="F89">
            <v>-2.6546006989944582E-2</v>
          </cell>
          <cell r="G89">
            <v>-4.0068740577520308E-2</v>
          </cell>
          <cell r="H89">
            <v>-2.7150356199164283E-2</v>
          </cell>
          <cell r="I89">
            <v>-6.9496520099436854E-3</v>
          </cell>
          <cell r="J89">
            <v>-1.1797081643932228E-2</v>
          </cell>
          <cell r="K89">
            <v>-7.5522919870660843E-3</v>
          </cell>
          <cell r="L89">
            <v>-5.493923709442794E-3</v>
          </cell>
          <cell r="M89">
            <v>4.2926405328702621E-3</v>
          </cell>
          <cell r="N89">
            <v>1.5309910799833126E-2</v>
          </cell>
          <cell r="O89">
            <v>1.9522508776163461E-2</v>
          </cell>
          <cell r="P89">
            <v>2.1171741195670668E-2</v>
          </cell>
          <cell r="Q89">
            <v>3.6030373168929097E-2</v>
          </cell>
          <cell r="R89">
            <v>4.9770130192503093E-2</v>
          </cell>
          <cell r="S89">
            <v>6.3506440641011741E-2</v>
          </cell>
          <cell r="T89">
            <v>8.4274563903184538E-2</v>
          </cell>
          <cell r="U89">
            <v>6.6549328897073545E-2</v>
          </cell>
          <cell r="V89">
            <v>4.701904416313174E-2</v>
          </cell>
          <cell r="W89">
            <v>4.4074476173463717E-2</v>
          </cell>
          <cell r="X89">
            <v>3.5033380147897253E-2</v>
          </cell>
          <cell r="Y89">
            <v>4.6698204799859422E-2</v>
          </cell>
          <cell r="Z89">
            <v>6.4402550232113942E-2</v>
          </cell>
          <cell r="AA89">
            <v>6.6065342387207515E-2</v>
          </cell>
          <cell r="AB89">
            <v>4.5877457013594469E-2</v>
          </cell>
          <cell r="AC89">
            <v>3.5177935839635577E-2</v>
          </cell>
          <cell r="AD89">
            <v>4.4243049764415732E-2</v>
          </cell>
          <cell r="AE89">
            <v>4.5968037722158295E-2</v>
          </cell>
          <cell r="AF89">
            <v>4.4208426211451046E-2</v>
          </cell>
          <cell r="AG89">
            <v>3.6070648548473416E-2</v>
          </cell>
          <cell r="AH89">
            <v>2.9215896329007451E-2</v>
          </cell>
          <cell r="AI89">
            <v>3.4469206566665189E-2</v>
          </cell>
          <cell r="AJ89">
            <v>4.4577731417406063E-2</v>
          </cell>
          <cell r="AK89">
            <v>5.0298164398484779E-2</v>
          </cell>
          <cell r="AL89">
            <v>4.817296342177424E-2</v>
          </cell>
          <cell r="AM89">
            <v>3.3681838226626182E-2</v>
          </cell>
          <cell r="AN89">
            <v>3.6227332161959058E-2</v>
          </cell>
          <cell r="AO89">
            <v>2.8848408784119872E-2</v>
          </cell>
          <cell r="AP89">
            <v>-1.9953836110875312E-3</v>
          </cell>
          <cell r="AQ89">
            <v>-6.7569371074661655E-3</v>
          </cell>
          <cell r="AR89">
            <v>6.7140274895243213E-3</v>
          </cell>
          <cell r="AS89">
            <v>2.4646784911365627E-2</v>
          </cell>
          <cell r="AT89">
            <v>4.0535797021749698E-2</v>
          </cell>
          <cell r="AU89">
            <v>2.6047775356244696E-2</v>
          </cell>
          <cell r="AV89">
            <v>3.5949960591146191E-2</v>
          </cell>
          <cell r="AW89">
            <v>3.7408151930289568E-2</v>
          </cell>
          <cell r="AX89">
            <v>2.8767367457515292E-2</v>
          </cell>
          <cell r="AY89">
            <v>5.0338508616727173E-2</v>
          </cell>
          <cell r="AZ89">
            <v>3.1024920386234056E-2</v>
          </cell>
          <cell r="BA89">
            <v>3.3848099798144959E-2</v>
          </cell>
          <cell r="BB89">
            <v>5.2961025855101873E-2</v>
          </cell>
          <cell r="BC89">
            <v>4.4852042334824427E-2</v>
          </cell>
          <cell r="BD89">
            <v>5.2816160024864667E-2</v>
          </cell>
          <cell r="BE89">
            <v>6.7484654811637679E-2</v>
          </cell>
          <cell r="BF89">
            <v>7.4262370279938761E-2</v>
          </cell>
          <cell r="BG89">
            <v>7.9662180078038825E-2</v>
          </cell>
          <cell r="BH89">
            <v>8.48457821831059E-2</v>
          </cell>
          <cell r="BI89">
            <v>8.1708113212727293E-2</v>
          </cell>
          <cell r="BJ89">
            <v>7.114859088521519E-2</v>
          </cell>
          <cell r="BK89">
            <v>7.303648778295968E-2</v>
          </cell>
          <cell r="BL89">
            <v>9.0754448481126668E-2</v>
          </cell>
          <cell r="BM89">
            <v>0.11201916779060372</v>
          </cell>
          <cell r="BN89">
            <v>0.12028605941619031</v>
          </cell>
          <cell r="BO89">
            <v>0.11571849923918066</v>
          </cell>
          <cell r="BP89">
            <v>8.565231163730358E-2</v>
          </cell>
          <cell r="BQ89">
            <v>4.6724582715452989E-2</v>
          </cell>
          <cell r="BR89">
            <v>4.8409626458220556E-2</v>
          </cell>
          <cell r="BS89">
            <v>4.0934364913318255E-2</v>
          </cell>
          <cell r="BT89">
            <v>2.4801139814889517E-3</v>
          </cell>
          <cell r="BU89">
            <v>-2.787028283774462E-2</v>
          </cell>
          <cell r="BV89">
            <v>-4.1874125153024577E-2</v>
          </cell>
          <cell r="BW89">
            <v>-3.8879846608948831E-2</v>
          </cell>
          <cell r="BX89">
            <v>-2.0672426452357451E-2</v>
          </cell>
          <cell r="BY89">
            <v>-2.6267279083277417E-3</v>
          </cell>
          <cell r="BZ89">
            <v>-1.4714796366349758E-2</v>
          </cell>
          <cell r="CA89">
            <v>-1.8954622776967911E-2</v>
          </cell>
          <cell r="CB89">
            <v>6.7767047184863483E-3</v>
          </cell>
          <cell r="CC89">
            <v>-7.0095551661353284E-3</v>
          </cell>
          <cell r="CD89">
            <v>-8.1065520493061038E-3</v>
          </cell>
          <cell r="CE89">
            <v>1.682074517062393E-2</v>
          </cell>
          <cell r="CF89">
            <v>1.799016341009918E-2</v>
          </cell>
          <cell r="CG89">
            <v>2.7100723840115748E-2</v>
          </cell>
          <cell r="CH89">
            <v>2.2053392770545299E-2</v>
          </cell>
          <cell r="CI89">
            <v>5.1525599982349402E-3</v>
          </cell>
          <cell r="CJ89">
            <v>-1.6387438959093448E-3</v>
          </cell>
          <cell r="CK89">
            <v>7.3881124280041899E-3</v>
          </cell>
          <cell r="CL89">
            <v>1.193989246837468E-2</v>
          </cell>
          <cell r="CM89">
            <v>8.6004310669076656E-3</v>
          </cell>
          <cell r="CN89">
            <v>1.3799026038668227E-2</v>
          </cell>
          <cell r="CO89">
            <v>2.5772884259989581E-2</v>
          </cell>
          <cell r="CP89">
            <v>2.3656202171627783E-2</v>
          </cell>
          <cell r="CQ89">
            <v>2.0328685158980342E-2</v>
          </cell>
          <cell r="CR89">
            <v>3.0051425761757233E-2</v>
          </cell>
          <cell r="CS89">
            <v>2.4144335402519035E-2</v>
          </cell>
          <cell r="CT89">
            <v>3.2645195958608708E-2</v>
          </cell>
          <cell r="CU89">
            <v>3.944771671334335E-2</v>
          </cell>
          <cell r="CV89">
            <v>3.1772528517604925E-2</v>
          </cell>
          <cell r="CW89">
            <v>2.610079285070932E-2</v>
          </cell>
          <cell r="CX89">
            <v>1.677530373388203E-2</v>
          </cell>
          <cell r="CY89">
            <v>2.8772761684618731E-2</v>
          </cell>
          <cell r="CZ89">
            <v>1.665699856938252E-2</v>
          </cell>
          <cell r="DA89">
            <v>1.249423946365158E-2</v>
          </cell>
          <cell r="DB89">
            <v>2.447671159557796E-2</v>
          </cell>
          <cell r="DC89">
            <v>1.8309188322077397E-2</v>
          </cell>
          <cell r="DD89">
            <v>1.3977591663487221E-2</v>
          </cell>
          <cell r="DE89">
            <v>1.2761645605253502E-2</v>
          </cell>
          <cell r="DF89">
            <v>2.9432017422115431E-2</v>
          </cell>
          <cell r="DG89">
            <v>3.4599595838659347E-2</v>
          </cell>
          <cell r="DH89">
            <v>1.8544263770812197E-2</v>
          </cell>
          <cell r="DI89">
            <v>5.5694976696569753E-3</v>
          </cell>
          <cell r="DJ89">
            <v>1.1499413734860964E-2</v>
          </cell>
          <cell r="DK89">
            <v>1.3128106927586813E-2</v>
          </cell>
          <cell r="DL89">
            <v>3.6949610399473309E-2</v>
          </cell>
          <cell r="DM89">
            <v>1.7246257789982122E-2</v>
          </cell>
          <cell r="DN89">
            <v>-2.5860677339568094E-2</v>
          </cell>
          <cell r="DO89">
            <v>-1.4772670337225069E-2</v>
          </cell>
          <cell r="DP89">
            <v>2.0917087222984687E-3</v>
          </cell>
          <cell r="DQ89">
            <v>2.2267170706980366E-2</v>
          </cell>
          <cell r="DR89">
            <v>3.9569421985749642E-2</v>
          </cell>
          <cell r="DS89">
            <v>5.2811954971644592E-2</v>
          </cell>
          <cell r="DT89">
            <v>5.0434501523235475E-2</v>
          </cell>
          <cell r="DU89">
            <v>6.302117003736929E-2</v>
          </cell>
          <cell r="DV89">
            <v>7.900988560464639E-2</v>
          </cell>
          <cell r="DW89">
            <v>4.9766152511238282E-2</v>
          </cell>
          <cell r="DX89">
            <v>2.3681325522372454E-2</v>
          </cell>
          <cell r="DY89">
            <v>2.9922622377723362E-2</v>
          </cell>
          <cell r="DZ89">
            <v>4.1686911003573357E-2</v>
          </cell>
          <cell r="EA89">
            <v>3.279190970107515E-2</v>
          </cell>
          <cell r="EB89">
            <v>3.3924736616333773E-2</v>
          </cell>
          <cell r="EC89">
            <v>4.4032840673021933E-2</v>
          </cell>
          <cell r="ED89">
            <v>4.0573827443633359E-2</v>
          </cell>
          <cell r="EE89">
            <v>4.7444598675414174E-2</v>
          </cell>
          <cell r="EF89">
            <v>4.300006955528235E-2</v>
          </cell>
          <cell r="EG89">
            <v>3.7318000040146959E-2</v>
          </cell>
          <cell r="EH89">
            <v>4.9292011028515548E-2</v>
          </cell>
          <cell r="EI89">
            <v>5.348736134590748E-2</v>
          </cell>
          <cell r="EJ89">
            <v>4.5499999999999874E-2</v>
          </cell>
          <cell r="EK89">
            <v>4.0399999999999991E-2</v>
          </cell>
          <cell r="EL89">
            <v>3.5299999999999887E-2</v>
          </cell>
          <cell r="EM89">
            <v>3.0224999999999724E-2</v>
          </cell>
          <cell r="EN89">
            <v>3.0224999999999724E-2</v>
          </cell>
          <cell r="EO89">
            <v>3.0224999999999724E-2</v>
          </cell>
          <cell r="EP89">
            <v>2.5150000000000006E-2</v>
          </cell>
          <cell r="EQ89">
            <v>2.0100000000000007E-2</v>
          </cell>
          <cell r="ER89">
            <v>2.0100000000000007E-2</v>
          </cell>
          <cell r="ES89">
            <v>2.0100000000000007E-2</v>
          </cell>
          <cell r="ET89">
            <v>2.0100000000000007E-2</v>
          </cell>
          <cell r="EU89">
            <v>2.0100000000000007E-2</v>
          </cell>
          <cell r="EV89">
            <v>2.0100000000000007E-2</v>
          </cell>
          <cell r="EW89">
            <v>2.0100000000000007E-2</v>
          </cell>
          <cell r="EX89">
            <v>2.0100000000000007E-2</v>
          </cell>
          <cell r="EY89">
            <v>2.0100000000000007E-2</v>
          </cell>
          <cell r="EZ89">
            <v>2.0100000000000007E-2</v>
          </cell>
          <cell r="FA89">
            <v>2.0100000000000007E-2</v>
          </cell>
          <cell r="FB89">
            <v>2.0100000000000007E-2</v>
          </cell>
          <cell r="FC89">
            <v>2.0100000000000007E-2</v>
          </cell>
          <cell r="FD89">
            <v>2.0100000000000007E-2</v>
          </cell>
          <cell r="FE89">
            <v>2.0100000000000007E-2</v>
          </cell>
          <cell r="FF89">
            <v>2.0100000000000007E-2</v>
          </cell>
          <cell r="FG89">
            <v>2.0100000000000007E-2</v>
          </cell>
          <cell r="FH89">
            <v>2.0100000000000007E-2</v>
          </cell>
          <cell r="FI89">
            <v>2.0100000000000007E-2</v>
          </cell>
          <cell r="FJ89">
            <v>2.0100000000000007E-2</v>
          </cell>
          <cell r="FK89">
            <v>2.0100000000000007E-2</v>
          </cell>
          <cell r="FL89">
            <v>2.0100000000000007E-2</v>
          </cell>
          <cell r="FM89">
            <v>2.0100000000000007E-2</v>
          </cell>
          <cell r="FN89">
            <v>2.0100000000000007E-2</v>
          </cell>
          <cell r="FO89">
            <v>2.0100000000000007E-2</v>
          </cell>
          <cell r="FP89">
            <v>2.0100000000000007E-2</v>
          </cell>
          <cell r="FQ89">
            <v>2.0100000000000007E-2</v>
          </cell>
          <cell r="FR89">
            <v>2.0100000000000007E-2</v>
          </cell>
          <cell r="FS89">
            <v>2.0100000000000007E-2</v>
          </cell>
          <cell r="FT89">
            <v>2.0100000000000007E-2</v>
          </cell>
          <cell r="FU89">
            <v>2.0100000000000007E-2</v>
          </cell>
        </row>
        <row r="90">
          <cell r="A90" t="str">
            <v>6MoSystemAUPCg</v>
          </cell>
          <cell r="B90" t="str">
            <v>Australian personal</v>
          </cell>
          <cell r="D90">
            <v>-2.3835661488468163E-2</v>
          </cell>
          <cell r="E90">
            <v>-1.9704963909994544E-2</v>
          </cell>
          <cell r="F90">
            <v>-1.3266733120537055E-2</v>
          </cell>
          <cell r="G90">
            <v>1.6349606686858476E-3</v>
          </cell>
          <cell r="H90">
            <v>1.806979091905081E-3</v>
          </cell>
          <cell r="I90">
            <v>-6.9601219734453101E-3</v>
          </cell>
          <cell r="J90">
            <v>-2.7113369025844047E-4</v>
          </cell>
          <cell r="K90">
            <v>1.4914279851523604E-2</v>
          </cell>
          <cell r="L90">
            <v>1.8152251333475977E-2</v>
          </cell>
          <cell r="M90">
            <v>2.5624390445002865E-2</v>
          </cell>
          <cell r="N90">
            <v>3.0615935659199955E-2</v>
          </cell>
          <cell r="O90">
            <v>3.9418991239119627E-2</v>
          </cell>
          <cell r="P90">
            <v>4.9853770388701868E-2</v>
          </cell>
          <cell r="Q90">
            <v>5.9376573165015323E-2</v>
          </cell>
          <cell r="R90">
            <v>6.0046746218723079E-2</v>
          </cell>
          <cell r="S90">
            <v>4.144282933806509E-2</v>
          </cell>
          <cell r="T90">
            <v>3.8990587359338358E-2</v>
          </cell>
          <cell r="U90">
            <v>6.0162479889846354E-2</v>
          </cell>
          <cell r="V90">
            <v>7.3786471458982206E-2</v>
          </cell>
          <cell r="W90">
            <v>5.1827172832748625E-2</v>
          </cell>
          <cell r="X90">
            <v>3.3774163306311111E-2</v>
          </cell>
          <cell r="Y90">
            <v>3.3709447215492627E-2</v>
          </cell>
          <cell r="Z90">
            <v>3.9661960122211903E-2</v>
          </cell>
          <cell r="AA90">
            <v>6.60869721243591E-2</v>
          </cell>
          <cell r="AB90">
            <v>6.7739334760141379E-2</v>
          </cell>
          <cell r="AC90">
            <v>4.8438750078392045E-2</v>
          </cell>
          <cell r="AD90">
            <v>5.6073711131978898E-2</v>
          </cell>
          <cell r="AE90">
            <v>7.3204921006855495E-2</v>
          </cell>
          <cell r="AF90">
            <v>8.6690769505602727E-2</v>
          </cell>
          <cell r="AG90">
            <v>8.3200149704406368E-2</v>
          </cell>
          <cell r="AH90">
            <v>7.3838315761208584E-2</v>
          </cell>
          <cell r="AI90">
            <v>7.4470073909097767E-2</v>
          </cell>
          <cell r="AJ90">
            <v>7.5060751740559706E-2</v>
          </cell>
          <cell r="AK90">
            <v>8.0512325883317359E-2</v>
          </cell>
          <cell r="AL90">
            <v>5.3768598785746358E-2</v>
          </cell>
          <cell r="AM90">
            <v>5.7236838584606931E-2</v>
          </cell>
          <cell r="AN90">
            <v>6.9676165408415702E-2</v>
          </cell>
          <cell r="AO90">
            <v>4.6695950712707823E-2</v>
          </cell>
          <cell r="AP90">
            <v>3.6406755651311906E-2</v>
          </cell>
          <cell r="AQ90">
            <v>3.6784674928397987E-2</v>
          </cell>
          <cell r="AR90">
            <v>4.5227399917856292E-2</v>
          </cell>
          <cell r="AS90">
            <v>5.4100759563874723E-2</v>
          </cell>
          <cell r="AT90">
            <v>5.771318789890012E-2</v>
          </cell>
          <cell r="AU90">
            <v>4.1117964554073128E-2</v>
          </cell>
          <cell r="AV90">
            <v>4.7415098135860756E-2</v>
          </cell>
          <cell r="AW90">
            <v>7.9213828217173043E-2</v>
          </cell>
          <cell r="AX90">
            <v>8.317951742196561E-2</v>
          </cell>
          <cell r="AY90">
            <v>6.2284786764588151E-2</v>
          </cell>
          <cell r="AZ90">
            <v>5.8286927599551008E-2</v>
          </cell>
          <cell r="BA90">
            <v>5.1705284050848066E-2</v>
          </cell>
          <cell r="BB90">
            <v>5.2557723017667479E-2</v>
          </cell>
          <cell r="BC90">
            <v>7.6671753862013858E-2</v>
          </cell>
          <cell r="BD90">
            <v>6.9997484032544577E-2</v>
          </cell>
          <cell r="BE90">
            <v>5.3811404709885879E-2</v>
          </cell>
          <cell r="BF90">
            <v>5.5353987284401107E-2</v>
          </cell>
          <cell r="BG90">
            <v>4.3064796445451581E-2</v>
          </cell>
          <cell r="BH90">
            <v>4.2715275250303053E-2</v>
          </cell>
          <cell r="BI90">
            <v>5.2000803559967945E-2</v>
          </cell>
          <cell r="BJ90">
            <v>6.606324846984557E-2</v>
          </cell>
          <cell r="BK90">
            <v>5.9305626777635512E-2</v>
          </cell>
          <cell r="BL90">
            <v>4.8316392796795116E-2</v>
          </cell>
          <cell r="BM90">
            <v>9.6110843104088448E-2</v>
          </cell>
          <cell r="BN90">
            <v>6.6516574228735692E-2</v>
          </cell>
          <cell r="BO90">
            <v>3.7006190495543434E-2</v>
          </cell>
          <cell r="BP90">
            <v>3.2884586824436735E-2</v>
          </cell>
          <cell r="BQ90">
            <v>-3.7742003273921743E-3</v>
          </cell>
          <cell r="BR90">
            <v>-1.1498650757536977E-2</v>
          </cell>
          <cell r="BS90">
            <v>-4.6825360461187786E-2</v>
          </cell>
          <cell r="BT90">
            <v>-5.5931697593794238E-2</v>
          </cell>
          <cell r="BU90">
            <v>-2.504933378338059E-2</v>
          </cell>
          <cell r="BV90">
            <v>9.2808867573945797E-4</v>
          </cell>
          <cell r="BW90">
            <v>2.3266339307167039E-2</v>
          </cell>
          <cell r="BX90">
            <v>2.2454302666393255E-2</v>
          </cell>
          <cell r="BY90">
            <v>6.2604612045937813E-3</v>
          </cell>
          <cell r="BZ90">
            <v>5.5589603181911418E-3</v>
          </cell>
          <cell r="CA90">
            <v>6.3312224279026275E-3</v>
          </cell>
          <cell r="CB90">
            <v>4.6073130029744558E-3</v>
          </cell>
          <cell r="CC90">
            <v>2.0000962910726727E-4</v>
          </cell>
          <cell r="CD90">
            <v>-1.1694051188446686E-2</v>
          </cell>
          <cell r="CE90">
            <v>-9.528496030505873E-3</v>
          </cell>
          <cell r="CF90">
            <v>-1.9487018267291267E-3</v>
          </cell>
          <cell r="CG90">
            <v>-2.256565165471569E-3</v>
          </cell>
          <cell r="CH90">
            <v>-5.298699877677393E-3</v>
          </cell>
          <cell r="CI90">
            <v>-1.0542007909956075E-3</v>
          </cell>
          <cell r="CJ90">
            <v>4.7036118872998411E-3</v>
          </cell>
          <cell r="CK90">
            <v>3.7273851046053519E-3</v>
          </cell>
          <cell r="CL90">
            <v>2.1732847439002168E-3</v>
          </cell>
          <cell r="CM90">
            <v>2.9929935268935282E-3</v>
          </cell>
          <cell r="CN90">
            <v>1.6795449156183917E-3</v>
          </cell>
          <cell r="CO90">
            <v>4.1661246994046941E-3</v>
          </cell>
          <cell r="CP90">
            <v>9.3923997479976595E-3</v>
          </cell>
          <cell r="CQ90">
            <v>6.6593833997117269E-3</v>
          </cell>
          <cell r="CR90">
            <v>4.0207203699058613E-3</v>
          </cell>
          <cell r="CS90">
            <v>2.3086962466216665E-3</v>
          </cell>
          <cell r="CT90">
            <v>-9.4073730769528296E-5</v>
          </cell>
          <cell r="CU90">
            <v>-2.4832504940958122E-3</v>
          </cell>
          <cell r="CV90">
            <v>-4.6514213888356748E-3</v>
          </cell>
          <cell r="CW90">
            <v>-3.8085809535275406E-3</v>
          </cell>
          <cell r="CX90">
            <v>-4.7123538151451205E-3</v>
          </cell>
          <cell r="CY90">
            <v>-5.0479080547159993E-3</v>
          </cell>
          <cell r="CZ90">
            <v>-5.6861525861319206E-3</v>
          </cell>
          <cell r="DA90">
            <v>-4.3642657714382249E-3</v>
          </cell>
          <cell r="DB90">
            <v>-3.1390046613766209E-3</v>
          </cell>
          <cell r="DC90">
            <v>-7.8462055040069423E-3</v>
          </cell>
          <cell r="DD90">
            <v>-8.3899289042788094E-3</v>
          </cell>
          <cell r="DE90">
            <v>-5.0186713620039569E-3</v>
          </cell>
          <cell r="DF90">
            <v>-5.596918592585487E-3</v>
          </cell>
          <cell r="DG90">
            <v>-1.6641122571718125E-2</v>
          </cell>
          <cell r="DH90">
            <v>-2.2817439701753095E-2</v>
          </cell>
          <cell r="DI90">
            <v>-1.8248279402219292E-2</v>
          </cell>
          <cell r="DJ90">
            <v>-2.0274284931587339E-2</v>
          </cell>
          <cell r="DK90">
            <v>-3.1605172739333165E-2</v>
          </cell>
          <cell r="DL90">
            <v>-4.7835379054442795E-2</v>
          </cell>
          <cell r="DM90">
            <v>-7.9034853165804386E-2</v>
          </cell>
          <cell r="DN90">
            <v>-8.5728368295838062E-2</v>
          </cell>
          <cell r="DO90">
            <v>-4.9577841925903421E-2</v>
          </cell>
          <cell r="DP90">
            <v>-2.369839025217646E-2</v>
          </cell>
          <cell r="DQ90">
            <v>-1.3556487758487279E-2</v>
          </cell>
          <cell r="DR90">
            <v>-3.1141469935002219E-2</v>
          </cell>
          <cell r="DS90">
            <v>-2.3466226481812402E-2</v>
          </cell>
          <cell r="DT90">
            <v>-6.6448395349250067E-4</v>
          </cell>
          <cell r="DU90">
            <v>-3.8105034669889681E-3</v>
          </cell>
          <cell r="DV90">
            <v>-2.2009548549577485E-3</v>
          </cell>
          <cell r="DW90">
            <v>-1.2485812521589867E-4</v>
          </cell>
          <cell r="DX90">
            <v>9.1975599108029549E-4</v>
          </cell>
          <cell r="DY90">
            <v>4.2569201473749985E-3</v>
          </cell>
          <cell r="DZ90">
            <v>1.8065256445970235E-2</v>
          </cell>
          <cell r="EA90">
            <v>1.4382025908990848E-2</v>
          </cell>
          <cell r="EB90">
            <v>1.4119537150760308E-2</v>
          </cell>
          <cell r="EC90">
            <v>1.4098566489183728E-2</v>
          </cell>
          <cell r="ED90">
            <v>9.2649760469187825E-3</v>
          </cell>
          <cell r="EE90">
            <v>1.2008362856064325E-2</v>
          </cell>
          <cell r="EF90">
            <v>1.3501639363060702E-2</v>
          </cell>
          <cell r="EG90">
            <v>2.5030370796491619E-2</v>
          </cell>
          <cell r="EH90">
            <v>3.0379146828601433E-2</v>
          </cell>
          <cell r="EI90">
            <v>2.6099190571102326E-2</v>
          </cell>
          <cell r="EJ90">
            <v>2.2119999999999918E-2</v>
          </cell>
          <cell r="EK90">
            <v>2.0100000000000007E-2</v>
          </cell>
          <cell r="EL90">
            <v>1.7575000000000118E-2</v>
          </cell>
          <cell r="EM90">
            <v>1.2537499999999868E-2</v>
          </cell>
          <cell r="EN90">
            <v>1.0024999999999729E-2</v>
          </cell>
          <cell r="EO90">
            <v>1.0024999999999729E-2</v>
          </cell>
          <cell r="EP90">
            <v>1.0024999999999729E-2</v>
          </cell>
          <cell r="EQ90">
            <v>1.0024999999999729E-2</v>
          </cell>
          <cell r="ER90">
            <v>1.0024999999999729E-2</v>
          </cell>
          <cell r="ES90">
            <v>1.0024999999999729E-2</v>
          </cell>
          <cell r="ET90">
            <v>1.0024999999999729E-2</v>
          </cell>
          <cell r="EU90">
            <v>1.0024999999999729E-2</v>
          </cell>
          <cell r="EV90">
            <v>1.0024999999999729E-2</v>
          </cell>
          <cell r="EW90">
            <v>1.0024999999999729E-2</v>
          </cell>
          <cell r="EX90">
            <v>1.0024999999999729E-2</v>
          </cell>
          <cell r="EY90">
            <v>1.0024999999999729E-2</v>
          </cell>
          <cell r="EZ90">
            <v>1.0024999999999729E-2</v>
          </cell>
          <cell r="FA90">
            <v>1.0024999999999729E-2</v>
          </cell>
          <cell r="FB90">
            <v>1.0024999999999729E-2</v>
          </cell>
          <cell r="FC90">
            <v>1.0024999999999729E-2</v>
          </cell>
          <cell r="FD90">
            <v>1.0024999999999729E-2</v>
          </cell>
          <cell r="FE90">
            <v>1.0024999999999729E-2</v>
          </cell>
          <cell r="FF90">
            <v>1.0024999999999729E-2</v>
          </cell>
          <cell r="FG90">
            <v>1.0024999999999729E-2</v>
          </cell>
          <cell r="FH90">
            <v>1.0024999999999729E-2</v>
          </cell>
          <cell r="FI90">
            <v>1.0024999999999729E-2</v>
          </cell>
          <cell r="FJ90">
            <v>1.0024999999999729E-2</v>
          </cell>
          <cell r="FK90">
            <v>1.0024999999999729E-2</v>
          </cell>
          <cell r="FL90">
            <v>1.0024999999999729E-2</v>
          </cell>
          <cell r="FM90">
            <v>1.0024999999999729E-2</v>
          </cell>
          <cell r="FN90">
            <v>1.0024999999999729E-2</v>
          </cell>
          <cell r="FO90">
            <v>1.0024999999999729E-2</v>
          </cell>
          <cell r="FP90">
            <v>1.0024999999999729E-2</v>
          </cell>
          <cell r="FQ90">
            <v>1.0024999999999729E-2</v>
          </cell>
          <cell r="FR90">
            <v>1.0024999999999729E-2</v>
          </cell>
          <cell r="FS90">
            <v>1.0024999999999729E-2</v>
          </cell>
          <cell r="FT90">
            <v>1.0024999999999729E-2</v>
          </cell>
          <cell r="FU90">
            <v>1.0024999999999729E-2</v>
          </cell>
        </row>
        <row r="91">
          <cell r="A91" t="str">
            <v>6MoSystemNZHCg</v>
          </cell>
          <cell r="B91" t="str">
            <v>New Zealand housing</v>
          </cell>
          <cell r="AE91">
            <v>6.3192363965721476E-2</v>
          </cell>
          <cell r="AF91">
            <v>5.7235172498638187E-2</v>
          </cell>
          <cell r="AG91">
            <v>5.6033930391728548E-2</v>
          </cell>
          <cell r="AH91">
            <v>5.0765197159041708E-2</v>
          </cell>
          <cell r="AI91">
            <v>4.5827375808315196E-2</v>
          </cell>
          <cell r="AJ91">
            <v>3.875520678030564E-2</v>
          </cell>
          <cell r="AK91">
            <v>3.2335920068792268E-2</v>
          </cell>
          <cell r="AL91">
            <v>2.7049655974559439E-2</v>
          </cell>
          <cell r="AM91">
            <v>3.3797896091424251E-2</v>
          </cell>
          <cell r="AN91">
            <v>3.7956817951781519E-2</v>
          </cell>
          <cell r="AO91">
            <v>3.6253213768740356E-2</v>
          </cell>
          <cell r="AP91">
            <v>3.382724736631082E-2</v>
          </cell>
          <cell r="AQ91">
            <v>3.4732183873902978E-2</v>
          </cell>
          <cell r="AR91">
            <v>4.3430874029892541E-2</v>
          </cell>
          <cell r="AS91">
            <v>4.5713232252869718E-2</v>
          </cell>
          <cell r="AT91">
            <v>4.2092072781820589E-2</v>
          </cell>
          <cell r="AU91">
            <v>4.8847495243785621E-2</v>
          </cell>
          <cell r="AV91">
            <v>6.4322949644911587E-2</v>
          </cell>
          <cell r="AW91">
            <v>7.088583170284446E-2</v>
          </cell>
          <cell r="AX91">
            <v>7.6032921588409019E-2</v>
          </cell>
          <cell r="AY91">
            <v>8.6159386260891355E-2</v>
          </cell>
          <cell r="AZ91">
            <v>8.727555882862624E-2</v>
          </cell>
          <cell r="BA91">
            <v>7.9560152168328901E-2</v>
          </cell>
          <cell r="BB91">
            <v>7.3496557200816826E-2</v>
          </cell>
          <cell r="BC91">
            <v>7.5205136463744049E-2</v>
          </cell>
          <cell r="BD91">
            <v>8.0325263612520015E-2</v>
          </cell>
          <cell r="BE91">
            <v>7.8782009304269929E-2</v>
          </cell>
          <cell r="BF91">
            <v>7.6636293179489279E-2</v>
          </cell>
          <cell r="BG91">
            <v>7.6466863840616961E-2</v>
          </cell>
          <cell r="BH91">
            <v>6.9871813298032492E-2</v>
          </cell>
          <cell r="BI91">
            <v>6.4331556205785567E-2</v>
          </cell>
          <cell r="BJ91">
            <v>6.3369192850737166E-2</v>
          </cell>
          <cell r="BK91">
            <v>6.5701518049165131E-2</v>
          </cell>
          <cell r="BL91">
            <v>7.3732233783760925E-2</v>
          </cell>
          <cell r="BM91">
            <v>7.3440403698248335E-2</v>
          </cell>
          <cell r="BN91">
            <v>5.9363137471923455E-2</v>
          </cell>
          <cell r="BO91">
            <v>5.1097870538947987E-2</v>
          </cell>
          <cell r="BP91">
            <v>4.9798302081505152E-2</v>
          </cell>
          <cell r="BQ91">
            <v>3.2879571121567919E-2</v>
          </cell>
          <cell r="BR91">
            <v>1.733129849387316E-2</v>
          </cell>
          <cell r="BS91">
            <v>1.1039280138254837E-2</v>
          </cell>
          <cell r="BT91">
            <v>1.2901810169509753E-2</v>
          </cell>
          <cell r="BU91">
            <v>1.9053497510005846E-2</v>
          </cell>
          <cell r="BV91">
            <v>1.7751760585934306E-2</v>
          </cell>
          <cell r="BW91">
            <v>1.5889661290948043E-2</v>
          </cell>
          <cell r="BX91">
            <v>1.5898162791279091E-2</v>
          </cell>
          <cell r="BY91">
            <v>1.283679952221628E-2</v>
          </cell>
          <cell r="BZ91">
            <v>9.240106106606083E-3</v>
          </cell>
          <cell r="CA91">
            <v>4.8576515347127369E-3</v>
          </cell>
          <cell r="CB91">
            <v>5.6100802314438258E-3</v>
          </cell>
          <cell r="CC91">
            <v>9.54892090473769E-3</v>
          </cell>
          <cell r="CD91">
            <v>6.3958714408791639E-3</v>
          </cell>
          <cell r="CE91">
            <v>2.2493853265190822E-3</v>
          </cell>
          <cell r="CF91">
            <v>7.9391546981242289E-3</v>
          </cell>
          <cell r="CG91">
            <v>1.6157029421018487E-2</v>
          </cell>
          <cell r="CH91">
            <v>1.6515950910381383E-2</v>
          </cell>
          <cell r="CI91">
            <v>2.0068196188298026E-2</v>
          </cell>
          <cell r="CJ91">
            <v>2.7819936111286747E-2</v>
          </cell>
          <cell r="CK91">
            <v>3.0903335378405838E-2</v>
          </cell>
          <cell r="CL91">
            <v>2.9409977739500937E-2</v>
          </cell>
          <cell r="CM91">
            <v>2.6821823208806661E-2</v>
          </cell>
          <cell r="CN91">
            <v>2.6285887113755235E-2</v>
          </cell>
          <cell r="CO91">
            <v>2.5567302477871756E-2</v>
          </cell>
          <cell r="CP91">
            <v>2.0190862556701106E-2</v>
          </cell>
          <cell r="CQ91">
            <v>1.9902008232472124E-2</v>
          </cell>
          <cell r="CR91">
            <v>2.836631535592482E-2</v>
          </cell>
          <cell r="CS91">
            <v>3.3030255812164233E-2</v>
          </cell>
          <cell r="CT91">
            <v>3.7069934718028996E-2</v>
          </cell>
          <cell r="CU91">
            <v>3.9589437518197768E-2</v>
          </cell>
          <cell r="CV91">
            <v>3.8233274728698419E-2</v>
          </cell>
          <cell r="CW91">
            <v>4.6181190518283177E-2</v>
          </cell>
          <cell r="CX91">
            <v>4.877363423191694E-2</v>
          </cell>
          <cell r="CY91">
            <v>4.2649122754550017E-2</v>
          </cell>
          <cell r="CZ91">
            <v>3.6485522519171143E-2</v>
          </cell>
          <cell r="DA91">
            <v>3.12856404407722E-2</v>
          </cell>
          <cell r="DB91">
            <v>2.826269860807562E-2</v>
          </cell>
          <cell r="DC91">
            <v>2.6984800733129255E-2</v>
          </cell>
          <cell r="DD91">
            <v>2.8749460217483591E-2</v>
          </cell>
          <cell r="DE91">
            <v>3.0703416674021655E-2</v>
          </cell>
          <cell r="DF91">
            <v>2.9945014173203832E-2</v>
          </cell>
          <cell r="DG91">
            <v>2.9057210033953007E-2</v>
          </cell>
          <cell r="DH91">
            <v>3.1481678937635316E-2</v>
          </cell>
          <cell r="DI91">
            <v>3.3181408659850753E-2</v>
          </cell>
          <cell r="DJ91">
            <v>3.3877013880996287E-2</v>
          </cell>
          <cell r="DK91">
            <v>3.5241144683099801E-2</v>
          </cell>
          <cell r="DL91">
            <v>3.5618654385877635E-2</v>
          </cell>
          <cell r="DM91">
            <v>2.5992154698353032E-2</v>
          </cell>
          <cell r="DN91">
            <v>3.1517292751539028E-2</v>
          </cell>
          <cell r="DO91">
            <v>5.562717491595337E-2</v>
          </cell>
          <cell r="DP91">
            <v>6.4551889143756869E-2</v>
          </cell>
          <cell r="DQ91">
            <v>6.0200313323740762E-2</v>
          </cell>
          <cell r="DR91">
            <v>4.8199083573360779E-2</v>
          </cell>
          <cell r="DS91">
            <v>4.2185603577249209E-2</v>
          </cell>
          <cell r="DT91">
            <v>3.6961655787481451E-2</v>
          </cell>
          <cell r="DU91">
            <v>2.5849783689566808E-2</v>
          </cell>
          <cell r="DV91">
            <v>1.9538720049446567E-2</v>
          </cell>
          <cell r="DW91">
            <v>1.8868725618259807E-2</v>
          </cell>
          <cell r="DX91">
            <v>1.5700073566304873E-2</v>
          </cell>
          <cell r="DY91">
            <v>1.256112364608386E-2</v>
          </cell>
          <cell r="DZ91">
            <v>1.5109915135579577E-2</v>
          </cell>
          <cell r="EA91">
            <v>1.5956355428780933E-2</v>
          </cell>
          <cell r="EB91">
            <v>1.6105228473624722E-2</v>
          </cell>
          <cell r="EC91">
            <v>1.5688871585039843E-2</v>
          </cell>
          <cell r="ED91">
            <v>1.6730467984101827E-2</v>
          </cell>
          <cell r="EE91">
            <v>2.2375720297677315E-2</v>
          </cell>
          <cell r="EF91">
            <v>2.4853717687836063E-2</v>
          </cell>
          <cell r="EG91">
            <v>2.6041580579173607E-2</v>
          </cell>
          <cell r="EH91">
            <v>2.8439456099081717E-2</v>
          </cell>
          <cell r="EI91">
            <v>2.3710817062331246E-2</v>
          </cell>
          <cell r="EJ91">
            <v>2.0100000000000007E-2</v>
          </cell>
          <cell r="EK91">
            <v>2.0100000000000007E-2</v>
          </cell>
          <cell r="EL91">
            <v>2.0100000000000007E-2</v>
          </cell>
          <cell r="EM91">
            <v>2.0100000000000007E-2</v>
          </cell>
          <cell r="EN91">
            <v>2.0100000000000007E-2</v>
          </cell>
          <cell r="EO91">
            <v>2.0100000000000007E-2</v>
          </cell>
          <cell r="EP91">
            <v>2.0100000000000007E-2</v>
          </cell>
          <cell r="EQ91">
            <v>2.0100000000000007E-2</v>
          </cell>
          <cell r="ER91">
            <v>2.0100000000000007E-2</v>
          </cell>
          <cell r="ES91">
            <v>2.0100000000000007E-2</v>
          </cell>
          <cell r="ET91">
            <v>2.0100000000000007E-2</v>
          </cell>
          <cell r="EU91">
            <v>2.0100000000000007E-2</v>
          </cell>
          <cell r="EV91">
            <v>2.0100000000000007E-2</v>
          </cell>
          <cell r="EW91">
            <v>2.0100000000000007E-2</v>
          </cell>
          <cell r="EX91">
            <v>2.0100000000000007E-2</v>
          </cell>
          <cell r="EY91">
            <v>2.0100000000000007E-2</v>
          </cell>
          <cell r="EZ91">
            <v>2.0100000000000007E-2</v>
          </cell>
          <cell r="FA91">
            <v>2.0100000000000007E-2</v>
          </cell>
          <cell r="FB91">
            <v>2.0100000000000007E-2</v>
          </cell>
          <cell r="FC91">
            <v>2.0100000000000007E-2</v>
          </cell>
          <cell r="FD91">
            <v>2.0100000000000007E-2</v>
          </cell>
          <cell r="FE91">
            <v>2.0100000000000007E-2</v>
          </cell>
          <cell r="FF91">
            <v>2.0100000000000007E-2</v>
          </cell>
          <cell r="FG91">
            <v>2.0100000000000007E-2</v>
          </cell>
          <cell r="FH91">
            <v>2.0100000000000007E-2</v>
          </cell>
          <cell r="FI91">
            <v>2.0100000000000007E-2</v>
          </cell>
          <cell r="FJ91">
            <v>2.0100000000000007E-2</v>
          </cell>
          <cell r="FK91">
            <v>2.0100000000000007E-2</v>
          </cell>
          <cell r="FL91">
            <v>2.0100000000000007E-2</v>
          </cell>
          <cell r="FM91">
            <v>2.0100000000000007E-2</v>
          </cell>
          <cell r="FN91">
            <v>2.0100000000000007E-2</v>
          </cell>
          <cell r="FO91">
            <v>2.0100000000000007E-2</v>
          </cell>
          <cell r="FP91">
            <v>2.0100000000000007E-2</v>
          </cell>
          <cell r="FQ91">
            <v>2.0100000000000007E-2</v>
          </cell>
          <cell r="FR91">
            <v>2.0100000000000007E-2</v>
          </cell>
          <cell r="FS91">
            <v>2.0100000000000007E-2</v>
          </cell>
          <cell r="FT91">
            <v>2.0100000000000007E-2</v>
          </cell>
          <cell r="FU91">
            <v>2.0100000000000007E-2</v>
          </cell>
        </row>
        <row r="92">
          <cell r="A92" t="str">
            <v>6MoSystemNZNHCg</v>
          </cell>
          <cell r="B92" t="str">
            <v>New Zealand non-housing</v>
          </cell>
          <cell r="AE92">
            <v>3.4993728599102658E-2</v>
          </cell>
          <cell r="AF92">
            <v>3.0653533025778668E-2</v>
          </cell>
          <cell r="AG92">
            <v>3.208722595007063E-2</v>
          </cell>
          <cell r="AH92">
            <v>4.2575901782535563E-2</v>
          </cell>
          <cell r="AI92">
            <v>5.4272084604277904E-2</v>
          </cell>
          <cell r="AJ92">
            <v>7.5059082634606478E-2</v>
          </cell>
          <cell r="AK92">
            <v>3.2721002715943914E-2</v>
          </cell>
          <cell r="AL92">
            <v>-1.9489402754567786E-2</v>
          </cell>
          <cell r="AM92">
            <v>1.1230508113588167E-2</v>
          </cell>
          <cell r="AN92">
            <v>2.7591256257811558E-2</v>
          </cell>
          <cell r="AO92">
            <v>5.5803667077607422E-3</v>
          </cell>
          <cell r="AP92">
            <v>4.880824082877333E-2</v>
          </cell>
          <cell r="AQ92">
            <v>5.424546791860263E-2</v>
          </cell>
          <cell r="AR92">
            <v>5.2464404200933235E-2</v>
          </cell>
          <cell r="AS92">
            <v>2.8187585867460285E-2</v>
          </cell>
          <cell r="AT92">
            <v>7.2535844101828673E-5</v>
          </cell>
          <cell r="AU92">
            <v>4.5229266125974332E-2</v>
          </cell>
          <cell r="AV92">
            <v>4.7476729090364378E-2</v>
          </cell>
          <cell r="AW92">
            <v>4.7824285407722655E-3</v>
          </cell>
          <cell r="AX92">
            <v>-9.2649680096856812E-4</v>
          </cell>
          <cell r="AY92">
            <v>2.6977448111301872E-2</v>
          </cell>
          <cell r="AZ92">
            <v>5.0406207583864715E-2</v>
          </cell>
          <cell r="BA92">
            <v>4.4284408863562996E-2</v>
          </cell>
          <cell r="BB92">
            <v>2.5417443444921917E-2</v>
          </cell>
          <cell r="BC92">
            <v>6.0932209092807943E-2</v>
          </cell>
          <cell r="BD92">
            <v>9.3895266174702355E-2</v>
          </cell>
          <cell r="BE92">
            <v>8.2209145975094669E-2</v>
          </cell>
          <cell r="BF92">
            <v>6.8289192288590206E-2</v>
          </cell>
          <cell r="BG92">
            <v>5.8648991622143098E-2</v>
          </cell>
          <cell r="BH92">
            <v>6.2357901110230429E-2</v>
          </cell>
          <cell r="BI92">
            <v>5.8133484326342133E-2</v>
          </cell>
          <cell r="BJ92">
            <v>6.8340633527279593E-2</v>
          </cell>
          <cell r="BK92">
            <v>8.440055735900899E-2</v>
          </cell>
          <cell r="BL92">
            <v>6.703721459569878E-2</v>
          </cell>
          <cell r="BM92">
            <v>7.4860980669670063E-2</v>
          </cell>
          <cell r="BN92">
            <v>9.9194748642026376E-2</v>
          </cell>
          <cell r="BO92">
            <v>7.8878893350396106E-2</v>
          </cell>
          <cell r="BP92">
            <v>6.3358799740287131E-2</v>
          </cell>
          <cell r="BQ92">
            <v>7.0074068661836852E-2</v>
          </cell>
          <cell r="BR92">
            <v>8.4701543030258453E-2</v>
          </cell>
          <cell r="BS92">
            <v>6.5681391897284946E-2</v>
          </cell>
          <cell r="BT92">
            <v>1.2230439901568246E-2</v>
          </cell>
          <cell r="BU92">
            <v>-2.1688022648650329E-2</v>
          </cell>
          <cell r="BV92">
            <v>-7.1061729702678322E-3</v>
          </cell>
          <cell r="BW92">
            <v>-1.3501559605736402E-2</v>
          </cell>
          <cell r="BX92">
            <v>-2.8309158598867623E-2</v>
          </cell>
          <cell r="BY92">
            <v>-1.1592591995913892E-2</v>
          </cell>
          <cell r="BZ92">
            <v>4.7184361293026722E-3</v>
          </cell>
          <cell r="CA92">
            <v>1.7150504620810247E-2</v>
          </cell>
          <cell r="CB92">
            <v>7.7188848009126509E-3</v>
          </cell>
          <cell r="CC92">
            <v>-3.5347179068171419E-3</v>
          </cell>
          <cell r="CD92">
            <v>6.8761403766810503E-3</v>
          </cell>
          <cell r="CE92">
            <v>5.0310503177659616E-2</v>
          </cell>
          <cell r="CF92">
            <v>5.1741463610547989E-2</v>
          </cell>
          <cell r="CG92">
            <v>1.411406579550234E-2</v>
          </cell>
          <cell r="CH92">
            <v>1.1829443974217702E-2</v>
          </cell>
          <cell r="CI92">
            <v>3.281662238760541E-2</v>
          </cell>
          <cell r="CJ92">
            <v>2.8668560793000397E-2</v>
          </cell>
          <cell r="CK92">
            <v>5.2717554837284908E-3</v>
          </cell>
          <cell r="CL92">
            <v>1.0176506063901192E-2</v>
          </cell>
          <cell r="CM92">
            <v>2.4910140815163739E-2</v>
          </cell>
          <cell r="CN92">
            <v>1.2118045660773014E-2</v>
          </cell>
          <cell r="CO92">
            <v>7.8882341202435313E-4</v>
          </cell>
          <cell r="CP92">
            <v>2.1367779216650451E-2</v>
          </cell>
          <cell r="CQ92">
            <v>3.2057578938026854E-2</v>
          </cell>
          <cell r="CR92">
            <v>3.8547169983047747E-2</v>
          </cell>
          <cell r="CS92">
            <v>4.2717703588154743E-2</v>
          </cell>
          <cell r="CT92">
            <v>2.5744092375485916E-2</v>
          </cell>
          <cell r="CU92">
            <v>3.1454193698389643E-2</v>
          </cell>
          <cell r="CV92">
            <v>4.7568918252412828E-2</v>
          </cell>
          <cell r="CW92">
            <v>2.1169987836859194E-2</v>
          </cell>
          <cell r="CX92">
            <v>2.137835104416852E-2</v>
          </cell>
          <cell r="CY92">
            <v>2.3713850091723554E-2</v>
          </cell>
          <cell r="CZ92">
            <v>1.292912885244113E-2</v>
          </cell>
          <cell r="DA92">
            <v>1.742378148115642E-2</v>
          </cell>
          <cell r="DB92">
            <v>1.9177079143751552E-2</v>
          </cell>
          <cell r="DC92">
            <v>1.8748843644714741E-2</v>
          </cell>
          <cell r="DD92">
            <v>1.3497718335135245E-2</v>
          </cell>
          <cell r="DE92">
            <v>3.1015367842350594E-2</v>
          </cell>
          <cell r="DF92">
            <v>3.3595774396198319E-2</v>
          </cell>
          <cell r="DG92">
            <v>1.4075229637550368E-2</v>
          </cell>
          <cell r="DH92">
            <v>2.3263844730194716E-2</v>
          </cell>
          <cell r="DI92">
            <v>2.5481063615860888E-2</v>
          </cell>
          <cell r="DJ92">
            <v>3.1933775799724229E-2</v>
          </cell>
          <cell r="DK92">
            <v>1.1903170713716493E-2</v>
          </cell>
          <cell r="DL92">
            <v>2.4108883713508167E-2</v>
          </cell>
          <cell r="DM92">
            <v>2.8148017672069425E-3</v>
          </cell>
          <cell r="DN92">
            <v>-5.3425098792330594E-2</v>
          </cell>
          <cell r="DO92">
            <v>-2.4231880853818222E-2</v>
          </cell>
          <cell r="DP92">
            <v>-1.8418523876625681E-2</v>
          </cell>
          <cell r="DQ92">
            <v>-1.4041650374762682E-2</v>
          </cell>
          <cell r="DR92">
            <v>3.1971929010388145E-3</v>
          </cell>
          <cell r="DS92">
            <v>8.7141545418776278E-3</v>
          </cell>
          <cell r="DT92">
            <v>1.0800101552552732E-2</v>
          </cell>
          <cell r="DU92">
            <v>2.6950049409617982E-2</v>
          </cell>
          <cell r="DV92">
            <v>5.6251837111969127E-2</v>
          </cell>
          <cell r="DW92">
            <v>1.1372408277737556E-2</v>
          </cell>
          <cell r="DX92">
            <v>-2.0392856062227294E-2</v>
          </cell>
          <cell r="DY92">
            <v>4.5319276468105407E-3</v>
          </cell>
          <cell r="DZ92">
            <v>9.3213610911708766E-3</v>
          </cell>
          <cell r="EA92">
            <v>1.0090232279753364E-2</v>
          </cell>
          <cell r="EB92">
            <v>1.2358377073591109E-2</v>
          </cell>
          <cell r="EC92">
            <v>3.6506472048463134E-3</v>
          </cell>
          <cell r="ED92">
            <v>1.1289025614631631E-2</v>
          </cell>
          <cell r="EE92">
            <v>3.235621908430697E-2</v>
          </cell>
          <cell r="EF92">
            <v>1.3258490092054487E-2</v>
          </cell>
          <cell r="EG92">
            <v>-9.2662843727909783E-3</v>
          </cell>
          <cell r="EH92">
            <v>2.4577115837903341E-2</v>
          </cell>
          <cell r="EI92">
            <v>3.3301719443299849E-2</v>
          </cell>
          <cell r="EJ92">
            <v>1.2035999999999936E-2</v>
          </cell>
          <cell r="EK92">
            <v>1.2035999999999936E-2</v>
          </cell>
          <cell r="EL92">
            <v>1.2035999999999936E-2</v>
          </cell>
          <cell r="EM92">
            <v>1.2035999999999936E-2</v>
          </cell>
          <cell r="EN92">
            <v>1.2035999999999936E-2</v>
          </cell>
          <cell r="EO92">
            <v>1.2035999999999936E-2</v>
          </cell>
          <cell r="EP92">
            <v>1.2035999999999936E-2</v>
          </cell>
          <cell r="EQ92">
            <v>1.2035999999999936E-2</v>
          </cell>
          <cell r="ER92">
            <v>1.2035999999999936E-2</v>
          </cell>
          <cell r="ES92">
            <v>1.2035999999999936E-2</v>
          </cell>
          <cell r="ET92">
            <v>1.2035999999999936E-2</v>
          </cell>
          <cell r="EU92">
            <v>1.2035999999999936E-2</v>
          </cell>
          <cell r="EV92">
            <v>1.2035999999999936E-2</v>
          </cell>
          <cell r="EW92">
            <v>1.2035999999999936E-2</v>
          </cell>
          <cell r="EX92">
            <v>1.2035999999999936E-2</v>
          </cell>
          <cell r="EY92">
            <v>1.2035999999999936E-2</v>
          </cell>
          <cell r="EZ92">
            <v>1.2035999999999936E-2</v>
          </cell>
          <cell r="FA92">
            <v>1.2035999999999936E-2</v>
          </cell>
          <cell r="FB92">
            <v>1.2035999999999936E-2</v>
          </cell>
          <cell r="FC92">
            <v>1.2035999999999936E-2</v>
          </cell>
          <cell r="FD92">
            <v>1.2035999999999936E-2</v>
          </cell>
          <cell r="FE92">
            <v>1.2035999999999936E-2</v>
          </cell>
          <cell r="FF92">
            <v>1.2035999999999936E-2</v>
          </cell>
          <cell r="FG92">
            <v>1.2035999999999936E-2</v>
          </cell>
          <cell r="FH92">
            <v>1.2035999999999936E-2</v>
          </cell>
          <cell r="FI92">
            <v>1.2035999999999936E-2</v>
          </cell>
          <cell r="FJ92">
            <v>1.2035999999999936E-2</v>
          </cell>
          <cell r="FK92">
            <v>1.2035999999999936E-2</v>
          </cell>
          <cell r="FL92">
            <v>1.2035999999999936E-2</v>
          </cell>
          <cell r="FM92">
            <v>1.2035999999999936E-2</v>
          </cell>
          <cell r="FN92">
            <v>1.2035999999999936E-2</v>
          </cell>
          <cell r="FO92">
            <v>1.2035999999999936E-2</v>
          </cell>
          <cell r="FP92">
            <v>1.2035999999999936E-2</v>
          </cell>
          <cell r="FQ92">
            <v>1.2035999999999936E-2</v>
          </cell>
          <cell r="FR92">
            <v>1.2035999999999936E-2</v>
          </cell>
          <cell r="FS92">
            <v>1.2035999999999936E-2</v>
          </cell>
          <cell r="FT92">
            <v>1.2035999999999936E-2</v>
          </cell>
          <cell r="FU92">
            <v>1.2035999999999936E-2</v>
          </cell>
        </row>
        <row r="93">
          <cell r="A93" t="str">
            <v>6MoSystemUKHCg</v>
          </cell>
          <cell r="B93" t="str">
            <v>UK housing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 t="e">
            <v>#REF!</v>
          </cell>
          <cell r="R93" t="e">
            <v>#REF!</v>
          </cell>
          <cell r="S93" t="e">
            <v>#REF!</v>
          </cell>
          <cell r="T93" t="e">
            <v>#REF!</v>
          </cell>
          <cell r="U93" t="e">
            <v>#REF!</v>
          </cell>
          <cell r="V93" t="e">
            <v>#REF!</v>
          </cell>
          <cell r="W93" t="e">
            <v>#REF!</v>
          </cell>
          <cell r="X93" t="e">
            <v>#REF!</v>
          </cell>
          <cell r="Y93" t="e">
            <v>#REF!</v>
          </cell>
          <cell r="Z93" t="e">
            <v>#REF!</v>
          </cell>
          <cell r="AA93" t="e">
            <v>#REF!</v>
          </cell>
          <cell r="AB93" t="e">
            <v>#REF!</v>
          </cell>
          <cell r="AC93" t="e">
            <v>#REF!</v>
          </cell>
          <cell r="AD93" t="e">
            <v>#REF!</v>
          </cell>
          <cell r="AE93" t="e">
            <v>#REF!</v>
          </cell>
          <cell r="AF93" t="e">
            <v>#REF!</v>
          </cell>
          <cell r="AG93" t="e">
            <v>#REF!</v>
          </cell>
          <cell r="AH93" t="e">
            <v>#REF!</v>
          </cell>
          <cell r="AI93" t="e">
            <v>#REF!</v>
          </cell>
          <cell r="AJ93" t="e">
            <v>#REF!</v>
          </cell>
          <cell r="AK93" t="e">
            <v>#REF!</v>
          </cell>
          <cell r="AL93" t="e">
            <v>#REF!</v>
          </cell>
          <cell r="AM93" t="e">
            <v>#REF!</v>
          </cell>
          <cell r="AN93" t="e">
            <v>#REF!</v>
          </cell>
          <cell r="AO93" t="e">
            <v>#REF!</v>
          </cell>
          <cell r="AP93" t="e">
            <v>#REF!</v>
          </cell>
          <cell r="AQ93" t="e">
            <v>#REF!</v>
          </cell>
          <cell r="AR93" t="e">
            <v>#REF!</v>
          </cell>
          <cell r="AS93" t="e">
            <v>#REF!</v>
          </cell>
          <cell r="AT93" t="e">
            <v>#REF!</v>
          </cell>
          <cell r="AU93" t="e">
            <v>#REF!</v>
          </cell>
          <cell r="AV93" t="e">
            <v>#REF!</v>
          </cell>
          <cell r="AW93" t="e">
            <v>#REF!</v>
          </cell>
          <cell r="AX93" t="e">
            <v>#REF!</v>
          </cell>
          <cell r="AY93" t="e">
            <v>#REF!</v>
          </cell>
          <cell r="AZ93" t="e">
            <v>#REF!</v>
          </cell>
          <cell r="BA93" t="e">
            <v>#REF!</v>
          </cell>
          <cell r="BB93" t="e">
            <v>#REF!</v>
          </cell>
          <cell r="BC93" t="e">
            <v>#REF!</v>
          </cell>
          <cell r="BD93" t="e">
            <v>#REF!</v>
          </cell>
          <cell r="BE93" t="e">
            <v>#REF!</v>
          </cell>
          <cell r="BF93" t="e">
            <v>#REF!</v>
          </cell>
          <cell r="BG93" t="e">
            <v>#REF!</v>
          </cell>
          <cell r="BH93" t="e">
            <v>#REF!</v>
          </cell>
          <cell r="BI93" t="e">
            <v>#REF!</v>
          </cell>
          <cell r="BJ93" t="e">
            <v>#REF!</v>
          </cell>
          <cell r="BK93" t="e">
            <v>#REF!</v>
          </cell>
          <cell r="BL93" t="e">
            <v>#REF!</v>
          </cell>
          <cell r="BM93" t="e">
            <v>#REF!</v>
          </cell>
          <cell r="BN93" t="e">
            <v>#REF!</v>
          </cell>
          <cell r="BO93" t="e">
            <v>#REF!</v>
          </cell>
          <cell r="BP93" t="e">
            <v>#REF!</v>
          </cell>
          <cell r="BQ93" t="e">
            <v>#REF!</v>
          </cell>
          <cell r="BR93" t="e">
            <v>#REF!</v>
          </cell>
          <cell r="BS93" t="e">
            <v>#REF!</v>
          </cell>
          <cell r="BT93" t="e">
            <v>#REF!</v>
          </cell>
          <cell r="BU93" t="e">
            <v>#REF!</v>
          </cell>
          <cell r="BV93" t="e">
            <v>#REF!</v>
          </cell>
          <cell r="BW93" t="e">
            <v>#REF!</v>
          </cell>
          <cell r="BX93" t="e">
            <v>#REF!</v>
          </cell>
          <cell r="BY93" t="e">
            <v>#REF!</v>
          </cell>
          <cell r="BZ93" t="e">
            <v>#REF!</v>
          </cell>
          <cell r="CA93" t="e">
            <v>#REF!</v>
          </cell>
          <cell r="CB93" t="e">
            <v>#REF!</v>
          </cell>
          <cell r="CC93" t="e">
            <v>#REF!</v>
          </cell>
          <cell r="CD93" t="e">
            <v>#REF!</v>
          </cell>
          <cell r="CE93" t="e">
            <v>#REF!</v>
          </cell>
          <cell r="CF93" t="e">
            <v>#REF!</v>
          </cell>
          <cell r="CG93" t="e">
            <v>#REF!</v>
          </cell>
          <cell r="CH93" t="e">
            <v>#REF!</v>
          </cell>
          <cell r="CI93" t="e">
            <v>#REF!</v>
          </cell>
          <cell r="CJ93" t="e">
            <v>#REF!</v>
          </cell>
          <cell r="CK93" t="e">
            <v>#REF!</v>
          </cell>
          <cell r="CL93" t="e">
            <v>#REF!</v>
          </cell>
          <cell r="CM93" t="e">
            <v>#REF!</v>
          </cell>
          <cell r="CN93" t="e">
            <v>#REF!</v>
          </cell>
          <cell r="CO93" t="e">
            <v>#REF!</v>
          </cell>
          <cell r="CP93" t="e">
            <v>#REF!</v>
          </cell>
          <cell r="CQ93" t="e">
            <v>#REF!</v>
          </cell>
          <cell r="CR93" t="e">
            <v>#REF!</v>
          </cell>
          <cell r="CS93" t="e">
            <v>#REF!</v>
          </cell>
          <cell r="CT93" t="e">
            <v>#REF!</v>
          </cell>
          <cell r="CU93" t="e">
            <v>#REF!</v>
          </cell>
          <cell r="CV93" t="e">
            <v>#REF!</v>
          </cell>
          <cell r="CW93" t="e">
            <v>#REF!</v>
          </cell>
        </row>
        <row r="94">
          <cell r="A94" t="str">
            <v>6MoSystemUKNHCg</v>
          </cell>
          <cell r="B94" t="str">
            <v>UK non-housing</v>
          </cell>
          <cell r="AA94" t="e">
            <v>#REF!</v>
          </cell>
          <cell r="AB94" t="e">
            <v>#REF!</v>
          </cell>
          <cell r="AC94" t="e">
            <v>#REF!</v>
          </cell>
          <cell r="AD94" t="e">
            <v>#REF!</v>
          </cell>
          <cell r="AE94" t="e">
            <v>#REF!</v>
          </cell>
          <cell r="AF94" t="e">
            <v>#REF!</v>
          </cell>
          <cell r="AG94" t="e">
            <v>#REF!</v>
          </cell>
          <cell r="AH94" t="e">
            <v>#REF!</v>
          </cell>
          <cell r="AI94" t="e">
            <v>#REF!</v>
          </cell>
          <cell r="AJ94" t="e">
            <v>#REF!</v>
          </cell>
          <cell r="AK94" t="e">
            <v>#REF!</v>
          </cell>
          <cell r="AL94" t="e">
            <v>#REF!</v>
          </cell>
          <cell r="AM94" t="e">
            <v>#REF!</v>
          </cell>
          <cell r="AN94" t="e">
            <v>#REF!</v>
          </cell>
          <cell r="AO94" t="e">
            <v>#REF!</v>
          </cell>
          <cell r="AP94" t="e">
            <v>#REF!</v>
          </cell>
          <cell r="AQ94" t="e">
            <v>#REF!</v>
          </cell>
          <cell r="AR94" t="e">
            <v>#REF!</v>
          </cell>
          <cell r="AS94" t="e">
            <v>#REF!</v>
          </cell>
          <cell r="AT94" t="e">
            <v>#REF!</v>
          </cell>
          <cell r="AU94" t="e">
            <v>#REF!</v>
          </cell>
          <cell r="AV94" t="e">
            <v>#REF!</v>
          </cell>
          <cell r="AW94" t="e">
            <v>#REF!</v>
          </cell>
          <cell r="AX94" t="e">
            <v>#REF!</v>
          </cell>
          <cell r="AY94" t="e">
            <v>#REF!</v>
          </cell>
          <cell r="AZ94" t="e">
            <v>#REF!</v>
          </cell>
          <cell r="BA94" t="e">
            <v>#REF!</v>
          </cell>
          <cell r="BB94" t="e">
            <v>#REF!</v>
          </cell>
          <cell r="BC94" t="e">
            <v>#REF!</v>
          </cell>
          <cell r="BD94" t="e">
            <v>#REF!</v>
          </cell>
          <cell r="BE94" t="e">
            <v>#REF!</v>
          </cell>
          <cell r="BF94" t="e">
            <v>#REF!</v>
          </cell>
          <cell r="BG94" t="e">
            <v>#REF!</v>
          </cell>
          <cell r="BH94" t="e">
            <v>#REF!</v>
          </cell>
          <cell r="BI94" t="e">
            <v>#REF!</v>
          </cell>
          <cell r="BJ94" t="e">
            <v>#REF!</v>
          </cell>
          <cell r="BK94" t="e">
            <v>#REF!</v>
          </cell>
          <cell r="BL94" t="e">
            <v>#REF!</v>
          </cell>
          <cell r="BM94" t="e">
            <v>#REF!</v>
          </cell>
          <cell r="BN94" t="e">
            <v>#REF!</v>
          </cell>
          <cell r="BO94" t="e">
            <v>#REF!</v>
          </cell>
          <cell r="BP94" t="e">
            <v>#REF!</v>
          </cell>
          <cell r="BQ94" t="e">
            <v>#REF!</v>
          </cell>
          <cell r="BR94" t="e">
            <v>#REF!</v>
          </cell>
          <cell r="BS94" t="e">
            <v>#REF!</v>
          </cell>
          <cell r="BT94" t="e">
            <v>#REF!</v>
          </cell>
          <cell r="BU94" t="e">
            <v>#REF!</v>
          </cell>
          <cell r="BV94" t="e">
            <v>#REF!</v>
          </cell>
          <cell r="BW94" t="e">
            <v>#REF!</v>
          </cell>
          <cell r="BX94" t="e">
            <v>#REF!</v>
          </cell>
          <cell r="BY94" t="e">
            <v>#REF!</v>
          </cell>
          <cell r="BZ94" t="e">
            <v>#REF!</v>
          </cell>
          <cell r="CA94" t="e">
            <v>#REF!</v>
          </cell>
          <cell r="CB94" t="e">
            <v>#REF!</v>
          </cell>
          <cell r="CC94" t="e">
            <v>#REF!</v>
          </cell>
          <cell r="CD94" t="e">
            <v>#REF!</v>
          </cell>
          <cell r="CE94" t="e">
            <v>#REF!</v>
          </cell>
          <cell r="CF94" t="e">
            <v>#REF!</v>
          </cell>
          <cell r="CG94" t="e">
            <v>#REF!</v>
          </cell>
          <cell r="CH94" t="e">
            <v>#REF!</v>
          </cell>
          <cell r="CI94" t="e">
            <v>#REF!</v>
          </cell>
          <cell r="CJ94" t="e">
            <v>#REF!</v>
          </cell>
          <cell r="CK94" t="e">
            <v>#REF!</v>
          </cell>
          <cell r="CL94" t="e">
            <v>#REF!</v>
          </cell>
          <cell r="CM94" t="e">
            <v>#REF!</v>
          </cell>
          <cell r="CN94" t="e">
            <v>#REF!</v>
          </cell>
          <cell r="CO94" t="e">
            <v>#REF!</v>
          </cell>
          <cell r="CP94" t="e">
            <v>#REF!</v>
          </cell>
          <cell r="CQ94" t="e">
            <v>#REF!</v>
          </cell>
          <cell r="CR94" t="e">
            <v>#REF!</v>
          </cell>
          <cell r="CS94" t="e">
            <v>#REF!</v>
          </cell>
          <cell r="CT94" t="e">
            <v>#REF!</v>
          </cell>
          <cell r="CU94" t="e">
            <v>#REF!</v>
          </cell>
          <cell r="CV94" t="e">
            <v>#REF!</v>
          </cell>
          <cell r="CW94" t="e">
            <v>#REF!</v>
          </cell>
        </row>
        <row r="96">
          <cell r="B96" t="str">
            <v>System volume growth (12mo)</v>
          </cell>
        </row>
        <row r="97">
          <cell r="A97" t="str">
            <v>12MoSystemAUHCg</v>
          </cell>
          <cell r="B97" t="str">
            <v>Australian housing</v>
          </cell>
          <cell r="D97">
            <v>0.11468739095120985</v>
          </cell>
          <cell r="E97">
            <v>0.12082280708391992</v>
          </cell>
          <cell r="F97">
            <v>0.12751114353648685</v>
          </cell>
          <cell r="G97">
            <v>0.13277449499588312</v>
          </cell>
          <cell r="H97">
            <v>0.1444101117827119</v>
          </cell>
          <cell r="I97">
            <v>0.15950991646558932</v>
          </cell>
          <cell r="J97">
            <v>0.17416847936902013</v>
          </cell>
          <cell r="K97">
            <v>0.17951201552822904</v>
          </cell>
          <cell r="L97">
            <v>0.19708501888165064</v>
          </cell>
          <cell r="M97">
            <v>0.20993667920218287</v>
          </cell>
          <cell r="N97">
            <v>0.21580197766553552</v>
          </cell>
          <cell r="O97">
            <v>0.20840359510958195</v>
          </cell>
          <cell r="P97">
            <v>0.1883096275583305</v>
          </cell>
          <cell r="Q97">
            <v>0.15273316958182104</v>
          </cell>
          <cell r="R97">
            <v>0.12779422966163367</v>
          </cell>
          <cell r="S97">
            <v>0.12336918637255012</v>
          </cell>
          <cell r="T97">
            <v>0.11734418881516895</v>
          </cell>
          <cell r="U97">
            <v>0.11956025187829609</v>
          </cell>
          <cell r="V97">
            <v>0.12416148723530294</v>
          </cell>
          <cell r="W97">
            <v>0.11274173224454787</v>
          </cell>
          <cell r="X97">
            <v>0.11108105750567931</v>
          </cell>
          <cell r="Y97">
            <v>0.11853468920902156</v>
          </cell>
          <cell r="Z97">
            <v>0.12120296683733243</v>
          </cell>
          <cell r="AA97">
            <v>0.12183512108881756</v>
          </cell>
          <cell r="AB97">
            <v>0.12088267369576776</v>
          </cell>
          <cell r="AC97">
            <v>0.12113999110835148</v>
          </cell>
          <cell r="AD97">
            <v>0.11319213417394348</v>
          </cell>
          <cell r="AE97">
            <v>0.12013741990510463</v>
          </cell>
          <cell r="AF97">
            <v>0.11997756139721538</v>
          </cell>
          <cell r="AG97">
            <v>0.11990089329241214</v>
          </cell>
          <cell r="AH97">
            <v>0.13668266915427263</v>
          </cell>
          <cell r="AI97">
            <v>0.14389885791083135</v>
          </cell>
          <cell r="AJ97">
            <v>0.16426848306980937</v>
          </cell>
          <cell r="AK97">
            <v>0.16971621254469427</v>
          </cell>
          <cell r="AL97">
            <v>0.15677753461866972</v>
          </cell>
          <cell r="AM97">
            <v>0.14188816903857382</v>
          </cell>
          <cell r="AN97">
            <v>0.12667007444707545</v>
          </cell>
          <cell r="AO97">
            <v>0.12519775757192986</v>
          </cell>
          <cell r="AP97">
            <v>0.13693504530617107</v>
          </cell>
          <cell r="AQ97">
            <v>0.16062732635372168</v>
          </cell>
          <cell r="AR97">
            <v>0.17802997358578843</v>
          </cell>
          <cell r="AS97">
            <v>0.18000782346016031</v>
          </cell>
          <cell r="AT97">
            <v>0.19212391578205579</v>
          </cell>
          <cell r="AU97">
            <v>0.18423573244470837</v>
          </cell>
          <cell r="AV97">
            <v>0.17742166414193772</v>
          </cell>
          <cell r="AW97">
            <v>0.19107849909157815</v>
          </cell>
          <cell r="AX97">
            <v>0.1924406823455429</v>
          </cell>
          <cell r="AY97">
            <v>0.20935917902039747</v>
          </cell>
          <cell r="AZ97">
            <v>0.21948245084268803</v>
          </cell>
          <cell r="BA97">
            <v>0.20738597868316647</v>
          </cell>
          <cell r="BB97">
            <v>0.19328161888546802</v>
          </cell>
          <cell r="BC97">
            <v>0.17767807921083389</v>
          </cell>
          <cell r="BD97">
            <v>0.15639240620393702</v>
          </cell>
          <cell r="BE97">
            <v>0.14666559703469684</v>
          </cell>
          <cell r="BF97">
            <v>0.13344883750915515</v>
          </cell>
          <cell r="BG97">
            <v>0.12736736786211655</v>
          </cell>
          <cell r="BH97">
            <v>0.12839251935638707</v>
          </cell>
          <cell r="BI97">
            <v>0.13683157743072272</v>
          </cell>
          <cell r="BJ97">
            <v>0.14503016434668781</v>
          </cell>
          <cell r="BK97">
            <v>0.13666335340057834</v>
          </cell>
          <cell r="BL97">
            <v>0.13485743330582256</v>
          </cell>
          <cell r="BM97">
            <v>0.12973787783526758</v>
          </cell>
          <cell r="BN97">
            <v>0.11901673977138059</v>
          </cell>
          <cell r="BO97">
            <v>0.11832343930309186</v>
          </cell>
          <cell r="BP97">
            <v>0.11188393479472092</v>
          </cell>
          <cell r="BQ97">
            <v>9.5968753001001161E-2</v>
          </cell>
          <cell r="BR97">
            <v>8.4662348429986878E-2</v>
          </cell>
          <cell r="BS97">
            <v>7.3405500943767077E-2</v>
          </cell>
          <cell r="BT97">
            <v>6.4869718461328718E-2</v>
          </cell>
          <cell r="BU97">
            <v>6.5225275828758811E-2</v>
          </cell>
          <cell r="BV97">
            <v>7.1394453499593835E-2</v>
          </cell>
          <cell r="BW97">
            <v>7.6831463531884969E-2</v>
          </cell>
          <cell r="BX97">
            <v>8.2346733731248248E-2</v>
          </cell>
          <cell r="BY97">
            <v>8.0217146776300444E-2</v>
          </cell>
          <cell r="BZ97">
            <v>7.6290066371579313E-2</v>
          </cell>
          <cell r="CA97">
            <v>7.1826598349752802E-2</v>
          </cell>
          <cell r="CB97">
            <v>6.4550155232632189E-2</v>
          </cell>
          <cell r="CC97">
            <v>6.0592094688036058E-2</v>
          </cell>
          <cell r="CD97">
            <v>5.8191758155962781E-2</v>
          </cell>
          <cell r="CE97">
            <v>5.3957616342741543E-2</v>
          </cell>
          <cell r="CF97">
            <v>5.2707128712686346E-2</v>
          </cell>
          <cell r="CG97">
            <v>5.0251145782987727E-2</v>
          </cell>
          <cell r="CH97">
            <v>4.6970126038581084E-2</v>
          </cell>
          <cell r="CI97">
            <v>4.5293371144541128E-2</v>
          </cell>
          <cell r="CJ97">
            <v>4.4287034835551964E-2</v>
          </cell>
          <cell r="CK97">
            <v>4.6204255548618178E-2</v>
          </cell>
          <cell r="CL97">
            <v>4.9067151694921707E-2</v>
          </cell>
          <cell r="CM97">
            <v>5.4306464646493913E-2</v>
          </cell>
          <cell r="CN97">
            <v>5.8849841121697777E-2</v>
          </cell>
          <cell r="CO97">
            <v>6.4314187891761465E-2</v>
          </cell>
          <cell r="CP97">
            <v>6.7518914730944068E-2</v>
          </cell>
          <cell r="CQ97">
            <v>7.0259932754773935E-2</v>
          </cell>
          <cell r="CR97">
            <v>7.2001557130699334E-2</v>
          </cell>
          <cell r="CS97">
            <v>7.2883716118048225E-2</v>
          </cell>
          <cell r="CT97">
            <v>7.463033436962152E-2</v>
          </cell>
          <cell r="CU97">
            <v>7.3936998757654582E-2</v>
          </cell>
          <cell r="CV97">
            <v>7.073797224631706E-2</v>
          </cell>
          <cell r="CW97">
            <v>6.7168741065817716E-2</v>
          </cell>
          <cell r="CX97">
            <v>6.4310981198757888E-2</v>
          </cell>
          <cell r="CY97">
            <v>6.325426922603028E-2</v>
          </cell>
          <cell r="CZ97">
            <v>6.4830881068044688E-2</v>
          </cell>
          <cell r="DA97">
            <v>6.6432657617425228E-2</v>
          </cell>
          <cell r="DB97">
            <v>6.5804374779694363E-2</v>
          </cell>
          <cell r="DC97">
            <v>6.3417188646919476E-2</v>
          </cell>
          <cell r="DD97">
            <v>6.1430074660863809E-2</v>
          </cell>
          <cell r="DE97">
            <v>5.6213114680680132E-2</v>
          </cell>
          <cell r="DF97">
            <v>5.2524002040351236E-2</v>
          </cell>
          <cell r="DG97">
            <v>4.6791117591202358E-2</v>
          </cell>
          <cell r="DH97">
            <v>3.9498182493255429E-2</v>
          </cell>
          <cell r="DI97">
            <v>3.4495684740608823E-2</v>
          </cell>
          <cell r="DJ97">
            <v>2.9946183692117101E-2</v>
          </cell>
          <cell r="DK97">
            <v>2.9750797251632433E-2</v>
          </cell>
          <cell r="DL97">
            <v>3.1735513929626924E-2</v>
          </cell>
          <cell r="DM97">
            <v>3.1222030762912079E-2</v>
          </cell>
          <cell r="DN97">
            <v>3.2685227002788642E-2</v>
          </cell>
          <cell r="DO97">
            <v>3.5484167246138343E-2</v>
          </cell>
          <cell r="DP97">
            <v>4.1351954987032924E-2</v>
          </cell>
          <cell r="DQ97">
            <v>5.3727468162157122E-2</v>
          </cell>
          <cell r="DR97">
            <v>6.4872866144927155E-2</v>
          </cell>
          <cell r="DS97">
            <v>7.447587204362982E-2</v>
          </cell>
          <cell r="DT97">
            <v>7.9539064162655881E-2</v>
          </cell>
          <cell r="DU97">
            <v>7.9292009396413121E-2</v>
          </cell>
          <cell r="DV97">
            <v>7.4139628285478931E-2</v>
          </cell>
          <cell r="DW97">
            <v>6.459331085310116E-2</v>
          </cell>
          <cell r="DX97">
            <v>5.4813441607606483E-2</v>
          </cell>
          <cell r="DY97">
            <v>4.6490671793377958E-2</v>
          </cell>
          <cell r="DZ97">
            <v>4.2034200861087667E-2</v>
          </cell>
          <cell r="EA97">
            <v>4.1700448937285417E-2</v>
          </cell>
          <cell r="EB97">
            <v>4.3281673936336196E-2</v>
          </cell>
          <cell r="EC97">
            <v>4.7054664648173761E-2</v>
          </cell>
          <cell r="ED97">
            <v>5.1222650429014971E-2</v>
          </cell>
          <cell r="EE97">
            <v>5.5040742628153172E-2</v>
          </cell>
          <cell r="EF97">
            <v>5.7059817124996526E-2</v>
          </cell>
          <cell r="EG97">
            <v>5.9439842780734997E-2</v>
          </cell>
          <cell r="EH97">
            <v>6.3187573964131438E-2</v>
          </cell>
          <cell r="EI97">
            <v>6.4717731610655527E-2</v>
          </cell>
          <cell r="EJ97">
            <v>6.7067543445814781E-2</v>
          </cell>
          <cell r="EK97">
            <v>6.5678129073652114E-2</v>
          </cell>
          <cell r="EL97">
            <v>6.240845582400012E-2</v>
          </cell>
          <cell r="EM97">
            <v>6.0839939402999921E-2</v>
          </cell>
          <cell r="EN97">
            <v>5.9273738705062362E-2</v>
          </cell>
          <cell r="EO97">
            <v>5.9273738705062362E-2</v>
          </cell>
          <cell r="EP97">
            <v>5.9273738705062362E-2</v>
          </cell>
          <cell r="EQ97">
            <v>5.9273738705062362E-2</v>
          </cell>
          <cell r="ER97">
            <v>5.9273738705062362E-2</v>
          </cell>
          <cell r="ES97">
            <v>5.9273738705062362E-2</v>
          </cell>
          <cell r="ET97">
            <v>5.9273738705062362E-2</v>
          </cell>
          <cell r="EU97">
            <v>5.9273738705062362E-2</v>
          </cell>
          <cell r="EV97">
            <v>5.7185471107812358E-2</v>
          </cell>
          <cell r="EW97">
            <v>5.5101320351562233E-2</v>
          </cell>
          <cell r="EX97">
            <v>5.3021278320312337E-2</v>
          </cell>
          <cell r="EY97">
            <v>5.0945336914062223E-2</v>
          </cell>
          <cell r="EZ97">
            <v>4.8350410156249746E-2</v>
          </cell>
          <cell r="FA97">
            <v>4.5761890624999912E-2</v>
          </cell>
          <cell r="FB97">
            <v>4.3179762500000107E-2</v>
          </cell>
          <cell r="FC97">
            <v>4.0604010000000024E-2</v>
          </cell>
          <cell r="FD97">
            <v>4.0604010000000024E-2</v>
          </cell>
          <cell r="FE97">
            <v>4.0604010000000024E-2</v>
          </cell>
          <cell r="FF97">
            <v>4.0604010000000024E-2</v>
          </cell>
          <cell r="FG97">
            <v>4.0604010000000024E-2</v>
          </cell>
          <cell r="FH97">
            <v>4.0604010000000024E-2</v>
          </cell>
          <cell r="FI97">
            <v>4.0604010000000024E-2</v>
          </cell>
          <cell r="FJ97">
            <v>4.0604010000000024E-2</v>
          </cell>
          <cell r="FK97">
            <v>4.0604010000000024E-2</v>
          </cell>
          <cell r="FL97">
            <v>4.0604010000000024E-2</v>
          </cell>
          <cell r="FM97">
            <v>4.0604010000000024E-2</v>
          </cell>
          <cell r="FN97">
            <v>4.0604010000000024E-2</v>
          </cell>
          <cell r="FO97">
            <v>4.0604010000000024E-2</v>
          </cell>
          <cell r="FP97">
            <v>4.0604010000000024E-2</v>
          </cell>
          <cell r="FQ97">
            <v>4.0604010000000024E-2</v>
          </cell>
          <cell r="FR97">
            <v>4.0604010000000024E-2</v>
          </cell>
          <cell r="FS97">
            <v>4.0604010000000024E-2</v>
          </cell>
          <cell r="FT97">
            <v>4.0604010000000024E-2</v>
          </cell>
          <cell r="FU97">
            <v>4.0604010000000024E-2</v>
          </cell>
        </row>
        <row r="98">
          <cell r="A98" t="str">
            <v>12MoSystemAUBCg</v>
          </cell>
          <cell r="B98" t="str">
            <v>Australian business</v>
          </cell>
          <cell r="D98">
            <v>-5.7930307969056398E-2</v>
          </cell>
          <cell r="E98">
            <v>-5.7336531936571289E-2</v>
          </cell>
          <cell r="F98">
            <v>-5.8957977054600159E-2</v>
          </cell>
          <cell r="G98">
            <v>-6.8803338576624795E-2</v>
          </cell>
          <cell r="H98">
            <v>-5.2975629643666311E-2</v>
          </cell>
          <cell r="I98">
            <v>-4.6739928783973594E-2</v>
          </cell>
          <cell r="J98">
            <v>-3.8627142874353093E-2</v>
          </cell>
          <cell r="K98">
            <v>-1.4449458195822107E-2</v>
          </cell>
          <cell r="L98">
            <v>-1.7226193086829045E-2</v>
          </cell>
          <cell r="M98">
            <v>-3.2920707288955908E-3</v>
          </cell>
          <cell r="N98">
            <v>9.7318756084576741E-3</v>
          </cell>
          <cell r="O98">
            <v>2.3898952421509856E-2</v>
          </cell>
          <cell r="P98">
            <v>3.6805789464686933E-2</v>
          </cell>
          <cell r="Q98">
            <v>5.625628522149162E-2</v>
          </cell>
          <cell r="R98">
            <v>7.1995591703884365E-2</v>
          </cell>
          <cell r="S98">
            <v>0.10182497456486717</v>
          </cell>
          <cell r="T98">
            <v>0.13823905011306525</v>
          </cell>
          <cell r="U98">
            <v>0.13428208054338664</v>
          </cell>
          <cell r="V98">
            <v>0.13525611750830913</v>
          </cell>
          <cell r="W98">
            <v>0.11355693188137161</v>
          </cell>
          <cell r="X98">
            <v>8.369966035938671E-2</v>
          </cell>
          <cell r="Y98">
            <v>9.283087988811832E-2</v>
          </cell>
          <cell r="Z98">
            <v>0.10169216940478677</v>
          </cell>
          <cell r="AA98">
            <v>0.1158486800760372</v>
          </cell>
          <cell r="AB98">
            <v>0.11323463247554821</v>
          </cell>
          <cell r="AC98">
            <v>0.10356732060256357</v>
          </cell>
          <cell r="AD98">
            <v>9.2150265391727229E-2</v>
          </cell>
          <cell r="AE98">
            <v>8.2763034243457767E-2</v>
          </cell>
          <cell r="AF98">
            <v>9.0407391576746723E-2</v>
          </cell>
          <cell r="AG98">
            <v>8.3696783203770497E-2</v>
          </cell>
          <cell r="AH98">
            <v>7.471591133752109E-2</v>
          </cell>
          <cell r="AI98">
            <v>7.1783181750949554E-2</v>
          </cell>
          <cell r="AJ98">
            <v>7.5096006126087245E-2</v>
          </cell>
          <cell r="AK98">
            <v>8.6501108783725744E-2</v>
          </cell>
          <cell r="AL98">
            <v>9.4898136264176744E-2</v>
          </cell>
          <cell r="AM98">
            <v>8.5674137261476879E-2</v>
          </cell>
          <cell r="AN98">
            <v>8.6145473530839775E-2</v>
          </cell>
          <cell r="AO98">
            <v>6.3501914448508279E-2</v>
          </cell>
          <cell r="AP98">
            <v>3.4159661126002216E-2</v>
          </cell>
          <cell r="AQ98">
            <v>2.1896544792848749E-2</v>
          </cell>
          <cell r="AR98">
            <v>4.7052468180195373E-3</v>
          </cell>
          <cell r="AS98">
            <v>1.7723311028352562E-2</v>
          </cell>
          <cell r="AT98">
            <v>4.752198296678789E-2</v>
          </cell>
          <cell r="AU98">
            <v>5.1336554184235439E-2</v>
          </cell>
          <cell r="AV98">
            <v>7.7943017918358448E-2</v>
          </cell>
          <cell r="AW98">
            <v>6.4430326424506523E-2</v>
          </cell>
          <cell r="AX98">
            <v>6.575151377507038E-2</v>
          </cell>
          <cell r="AY98">
            <v>8.962973112529582E-2</v>
          </cell>
          <cell r="AZ98">
            <v>6.068479312884012E-2</v>
          </cell>
          <cell r="BA98">
            <v>8.5890471278220706E-2</v>
          </cell>
          <cell r="BB98">
            <v>8.5629057852063539E-2</v>
          </cell>
          <cell r="BC98">
            <v>8.0218298538069721E-2</v>
          </cell>
          <cell r="BD98">
            <v>0.10857438389661045</v>
          </cell>
          <cell r="BE98">
            <v>0.11536352174102449</v>
          </cell>
          <cell r="BF98">
            <v>0.13100078353733391</v>
          </cell>
          <cell r="BG98">
            <v>0.15252280961378539</v>
          </cell>
          <cell r="BH98">
            <v>0.16540900135621772</v>
          </cell>
          <cell r="BI98">
            <v>0.1678793397193552</v>
          </cell>
          <cell r="BJ98">
            <v>0.16203103091320295</v>
          </cell>
          <cell r="BK98">
            <v>0.1607122746081171</v>
          </cell>
          <cell r="BL98">
            <v>0.16836009049233902</v>
          </cell>
          <cell r="BM98">
            <v>0.19323714215335919</v>
          </cell>
          <cell r="BN98">
            <v>0.22195700287960166</v>
          </cell>
          <cell r="BO98">
            <v>0.24070035701253456</v>
          </cell>
          <cell r="BP98">
            <v>0.2162411501002324</v>
          </cell>
          <cell r="BQ98">
            <v>0.16784998054404277</v>
          </cell>
          <cell r="BR98">
            <v>0.13820833450716874</v>
          </cell>
          <cell r="BS98">
            <v>8.9571588748068157E-2</v>
          </cell>
          <cell r="BT98">
            <v>5.1009801831127577E-2</v>
          </cell>
          <cell r="BU98">
            <v>1.1923229747655917E-2</v>
          </cell>
          <cell r="BV98">
            <v>-3.9497863774790254E-2</v>
          </cell>
          <cell r="BW98">
            <v>-6.5666537125014024E-2</v>
          </cell>
          <cell r="BX98">
            <v>-6.1680911832899366E-2</v>
          </cell>
          <cell r="BY98">
            <v>-4.140444773911723E-2</v>
          </cell>
          <cell r="BZ98">
            <v>-3.508303227306242E-2</v>
          </cell>
          <cell r="CA98">
            <v>-2.1531562048655584E-2</v>
          </cell>
          <cell r="CB98">
            <v>-8.0378094778308373E-3</v>
          </cell>
          <cell r="CC98">
            <v>-2.5831314469094702E-2</v>
          </cell>
          <cell r="CD98">
            <v>-1.3847830403430628E-3</v>
          </cell>
          <cell r="CE98">
            <v>9.693284063279517E-3</v>
          </cell>
          <cell r="CF98">
            <v>9.7377731647338983E-3</v>
          </cell>
          <cell r="CG98">
            <v>4.4377323380393241E-2</v>
          </cell>
          <cell r="CH98">
            <v>4.0440300320333744E-2</v>
          </cell>
          <cell r="CI98">
            <v>3.2392921943932285E-2</v>
          </cell>
          <cell r="CJ98">
            <v>2.0378509011848678E-2</v>
          </cell>
          <cell r="CK98">
            <v>1.2578740118798226E-2</v>
          </cell>
          <cell r="CL98">
            <v>1.0281582146564938E-2</v>
          </cell>
          <cell r="CM98">
            <v>1.6052084446563031E-2</v>
          </cell>
          <cell r="CN98">
            <v>2.5903677394112812E-2</v>
          </cell>
          <cell r="CO98">
            <v>3.4594973241370619E-2</v>
          </cell>
          <cell r="CP98">
            <v>3.7781660760038083E-2</v>
          </cell>
          <cell r="CQ98">
            <v>4.662549826872997E-2</v>
          </cell>
          <cell r="CR98">
            <v>5.4418530536750831E-2</v>
          </cell>
          <cell r="CS98">
            <v>4.4963843154270267E-2</v>
          </cell>
          <cell r="CT98">
            <v>6.3677656403194005E-2</v>
          </cell>
          <cell r="CU98">
            <v>6.4544491019052463E-2</v>
          </cell>
          <cell r="CV98">
            <v>6.5454944895771305E-2</v>
          </cell>
          <cell r="CW98">
            <v>6.6578126246421343E-2</v>
          </cell>
          <cell r="CX98">
            <v>4.9080826067763095E-2</v>
          </cell>
          <cell r="CY98">
            <v>5.5624546427801347E-2</v>
          </cell>
          <cell r="CZ98">
            <v>3.3711728513560635E-2</v>
          </cell>
          <cell r="DA98">
            <v>4.1626494922788471E-2</v>
          </cell>
          <cell r="DB98">
            <v>4.1541418714991396E-2</v>
          </cell>
          <cell r="DC98">
            <v>3.1032187169010017E-2</v>
          </cell>
          <cell r="DD98">
            <v>3.8796428739013233E-2</v>
          </cell>
          <cell r="DE98">
            <v>3.1304489300017169E-2</v>
          </cell>
          <cell r="DF98">
            <v>4.3820997806961692E-2</v>
          </cell>
          <cell r="DG98">
            <v>4.7802789224090869E-2</v>
          </cell>
          <cell r="DH98">
            <v>4.8522076287310645E-2</v>
          </cell>
          <cell r="DI98">
            <v>4.0361795876710849E-2</v>
          </cell>
          <cell r="DJ98">
            <v>3.0256925667182077E-2</v>
          </cell>
          <cell r="DK98">
            <v>1.8770721558183601E-2</v>
          </cell>
          <cell r="DL98">
            <v>4.8873922991659935E-2</v>
          </cell>
          <cell r="DM98">
            <v>3.0600775433936578E-2</v>
          </cell>
          <cell r="DN98">
            <v>1.0133391107541412E-2</v>
          </cell>
          <cell r="DO98">
            <v>2.2188141718748611E-3</v>
          </cell>
          <cell r="DP98">
            <v>-2.3823061621625397E-2</v>
          </cell>
          <cell r="DQ98">
            <v>7.1655547975584266E-3</v>
          </cell>
          <cell r="DR98">
            <v>4.1743898413151515E-2</v>
          </cell>
          <cell r="DS98">
            <v>7.6255098495347839E-2</v>
          </cell>
          <cell r="DT98">
            <v>9.1999587582399123E-2</v>
          </cell>
          <cell r="DU98">
            <v>0.11916139620328803</v>
          </cell>
          <cell r="DV98">
            <v>0.13342921132376007</v>
          </cell>
          <cell r="DW98">
            <v>0.1159236437081239</v>
          </cell>
          <cell r="DX98">
            <v>0.10456226994750818</v>
          </cell>
          <cell r="DY98">
            <v>8.1177908677747337E-2</v>
          </cell>
          <cell r="DZ98">
            <v>6.635543783544362E-2</v>
          </cell>
          <cell r="EA98">
            <v>6.3695752009828244E-2</v>
          </cell>
          <cell r="EB98">
            <v>7.7025865096051804E-2</v>
          </cell>
          <cell r="EC98">
            <v>7.8268671309328575E-2</v>
          </cell>
          <cell r="ED98">
            <v>7.5875020469508891E-2</v>
          </cell>
          <cell r="EE98">
            <v>9.3566559802706242E-2</v>
          </cell>
          <cell r="EF98">
            <v>8.5318574401115801E-2</v>
          </cell>
          <cell r="EG98">
            <v>8.65331362508346E-2</v>
          </cell>
          <cell r="EH98">
            <v>9.4411640486543824E-2</v>
          </cell>
          <cell r="EI98">
            <v>9.2801402738908134E-2</v>
          </cell>
          <cell r="EJ98">
            <v>9.7034797530312966E-2</v>
          </cell>
          <cell r="EK98">
            <v>9.6048250744282138E-2</v>
          </cell>
          <cell r="EL98">
            <v>8.2406149999999734E-2</v>
          </cell>
          <cell r="EM98">
            <v>7.1846089999999974E-2</v>
          </cell>
          <cell r="EN98">
            <v>6.6591942499999668E-2</v>
          </cell>
          <cell r="EO98">
            <v>6.136355062499943E-2</v>
          </cell>
          <cell r="EP98">
            <v>5.6135158749999636E-2</v>
          </cell>
          <cell r="EQ98">
            <v>5.093252249999991E-2</v>
          </cell>
          <cell r="ER98">
            <v>4.5755515000000191E-2</v>
          </cell>
          <cell r="ES98">
            <v>4.0604010000000024E-2</v>
          </cell>
          <cell r="ET98">
            <v>4.0604010000000024E-2</v>
          </cell>
          <cell r="EU98">
            <v>4.0604010000000024E-2</v>
          </cell>
          <cell r="EV98">
            <v>4.0604010000000024E-2</v>
          </cell>
          <cell r="EW98">
            <v>4.0604010000000024E-2</v>
          </cell>
          <cell r="EX98">
            <v>4.0604010000000024E-2</v>
          </cell>
          <cell r="EY98">
            <v>4.0604010000000024E-2</v>
          </cell>
          <cell r="EZ98">
            <v>4.0604010000000024E-2</v>
          </cell>
          <cell r="FA98">
            <v>4.0604010000000024E-2</v>
          </cell>
          <cell r="FB98">
            <v>4.0604010000000024E-2</v>
          </cell>
          <cell r="FC98">
            <v>4.0604010000000024E-2</v>
          </cell>
          <cell r="FD98">
            <v>4.0604010000000024E-2</v>
          </cell>
          <cell r="FE98">
            <v>4.0604010000000024E-2</v>
          </cell>
          <cell r="FF98">
            <v>4.0604010000000024E-2</v>
          </cell>
          <cell r="FG98">
            <v>4.0604010000000024E-2</v>
          </cell>
          <cell r="FH98">
            <v>4.0604010000000024E-2</v>
          </cell>
          <cell r="FI98">
            <v>4.0604010000000024E-2</v>
          </cell>
          <cell r="FJ98">
            <v>4.0604010000000024E-2</v>
          </cell>
          <cell r="FK98">
            <v>4.0604010000000024E-2</v>
          </cell>
          <cell r="FL98">
            <v>4.0604010000000024E-2</v>
          </cell>
          <cell r="FM98">
            <v>4.0604010000000024E-2</v>
          </cell>
          <cell r="FN98">
            <v>4.0604010000000024E-2</v>
          </cell>
          <cell r="FO98">
            <v>4.0604010000000024E-2</v>
          </cell>
          <cell r="FP98">
            <v>4.0604010000000024E-2</v>
          </cell>
          <cell r="FQ98">
            <v>4.0604010000000024E-2</v>
          </cell>
          <cell r="FR98">
            <v>4.0604010000000024E-2</v>
          </cell>
          <cell r="FS98">
            <v>4.0604010000000024E-2</v>
          </cell>
          <cell r="FT98">
            <v>4.0604010000000024E-2</v>
          </cell>
          <cell r="FU98">
            <v>4.0604010000000024E-2</v>
          </cell>
        </row>
        <row r="99">
          <cell r="A99" t="str">
            <v>12MoSystemAUPCg</v>
          </cell>
          <cell r="B99" t="str">
            <v>Australian personal</v>
          </cell>
          <cell r="D99">
            <v>-4.9203187174602474E-2</v>
          </cell>
          <cell r="E99">
            <v>-5.1446486942879129E-2</v>
          </cell>
          <cell r="F99">
            <v>-3.6786173249286236E-2</v>
          </cell>
          <cell r="G99">
            <v>-1.8102220082279685E-2</v>
          </cell>
          <cell r="H99">
            <v>-1.1483726737998468E-2</v>
          </cell>
          <cell r="I99">
            <v>-5.3365408304351103E-3</v>
          </cell>
          <cell r="J99">
            <v>1.5353554687371762E-3</v>
          </cell>
          <cell r="K99">
            <v>7.8503526711655169E-3</v>
          </cell>
          <cell r="L99">
            <v>1.7876195956326946E-2</v>
          </cell>
          <cell r="M99">
            <v>4.0920839626647831E-2</v>
          </cell>
          <cell r="N99">
            <v>4.9323935151570852E-2</v>
          </cell>
          <cell r="O99">
            <v>6.6053469306581958E-2</v>
          </cell>
          <cell r="P99">
            <v>8.1996025874490966E-2</v>
          </cell>
          <cell r="Q99">
            <v>0.10113612902153557</v>
          </cell>
          <cell r="R99">
            <v>0.11289407330600178</v>
          </cell>
          <cell r="S99">
            <v>0.10328013569143725</v>
          </cell>
          <cell r="T99">
            <v>0.10137859148214655</v>
          </cell>
          <cell r="U99">
            <v>0.10409861261454134</v>
          </cell>
          <cell r="V99">
            <v>0.11565403667967944</v>
          </cell>
          <cell r="W99">
            <v>0.11510770396589297</v>
          </cell>
          <cell r="X99">
            <v>0.11005271110214544</v>
          </cell>
          <cell r="Y99">
            <v>8.7283685395174823E-2</v>
          </cell>
          <cell r="Z99">
            <v>7.4775672946739258E-2</v>
          </cell>
          <cell r="AA99">
            <v>0.10202417463830947</v>
          </cell>
          <cell r="AB99">
            <v>0.1100879696763155</v>
          </cell>
          <cell r="AC99">
            <v>0.11772689252892053</v>
          </cell>
          <cell r="AD99">
            <v>0.12761144178173267</v>
          </cell>
          <cell r="AE99">
            <v>0.12518962595840688</v>
          </cell>
          <cell r="AF99">
            <v>0.14762555380464759</v>
          </cell>
          <cell r="AG99">
            <v>0.16249573109813142</v>
          </cell>
          <cell r="AH99">
            <v>0.1669301856791483</v>
          </cell>
          <cell r="AI99">
            <v>0.16386614491123885</v>
          </cell>
          <cell r="AJ99">
            <v>0.15444142699006091</v>
          </cell>
          <cell r="AK99">
            <v>0.16097815865153886</v>
          </cell>
          <cell r="AL99">
            <v>0.13286526197120097</v>
          </cell>
          <cell r="AM99">
            <v>0.14235743546857904</v>
          </cell>
          <cell r="AN99">
            <v>0.12719115397693637</v>
          </cell>
          <cell r="AO99">
            <v>0.10660551789081296</v>
          </cell>
          <cell r="AP99">
            <v>0.10861960418847216</v>
          </cell>
          <cell r="AQ99">
            <v>8.5198321008545186E-2</v>
          </cell>
          <cell r="AR99">
            <v>8.3280738466721585E-2</v>
          </cell>
          <cell r="AS99">
            <v>9.2875513346209151E-2</v>
          </cell>
          <cell r="AT99">
            <v>0.10555080524639404</v>
          </cell>
          <cell r="AU99">
            <v>9.7443237232043747E-2</v>
          </cell>
          <cell r="AV99">
            <v>0.10786476250272091</v>
          </cell>
          <cell r="AW99">
            <v>0.12358890415207213</v>
          </cell>
          <cell r="AX99">
            <v>0.13453858053928291</v>
          </cell>
          <cell r="AY99">
            <v>0.14643243138107409</v>
          </cell>
          <cell r="AZ99">
            <v>0.14631472353125607</v>
          </cell>
          <cell r="BA99">
            <v>0.11721052340714566</v>
          </cell>
          <cell r="BB99">
            <v>0.1139080788135467</v>
          </cell>
          <cell r="BC99">
            <v>0.13234137272497404</v>
          </cell>
          <cell r="BD99">
            <v>0.12623411542792828</v>
          </cell>
          <cell r="BE99">
            <v>0.13460897334878519</v>
          </cell>
          <cell r="BF99">
            <v>0.12922611115802329</v>
          </cell>
          <cell r="BG99">
            <v>9.9193578345612821E-2</v>
          </cell>
          <cell r="BH99">
            <v>0.10043372333775903</v>
          </cell>
          <cell r="BI99">
            <v>9.7305004025729711E-2</v>
          </cell>
          <cell r="BJ99">
            <v>0.11160043356246717</v>
          </cell>
          <cell r="BK99">
            <v>0.11439037058566835</v>
          </cell>
          <cell r="BL99">
            <v>0.11757157912914205</v>
          </cell>
          <cell r="BM99">
            <v>0.16111638367213854</v>
          </cell>
          <cell r="BN99">
            <v>0.11804680795346334</v>
          </cell>
          <cell r="BO99">
            <v>0.13667372976822922</v>
          </cell>
          <cell r="BP99">
            <v>0.10158853111366174</v>
          </cell>
          <cell r="BQ99">
            <v>3.3092321391867685E-2</v>
          </cell>
          <cell r="BR99">
            <v>2.1007807687699831E-2</v>
          </cell>
          <cell r="BS99">
            <v>-5.0422832497797006E-2</v>
          </cell>
          <cell r="BT99">
            <v>-6.6787209294423944E-2</v>
          </cell>
          <cell r="BU99">
            <v>-7.0701750160849119E-2</v>
          </cell>
          <cell r="BV99">
            <v>-5.5055518493206342E-2</v>
          </cell>
          <cell r="BW99">
            <v>-2.3658007754361332E-3</v>
          </cell>
          <cell r="BX99">
            <v>2.3403230926158702E-2</v>
          </cell>
          <cell r="BY99">
            <v>2.9672458526366352E-2</v>
          </cell>
          <cell r="BZ99">
            <v>2.8138085562079418E-2</v>
          </cell>
          <cell r="CA99">
            <v>1.2631320004883984E-2</v>
          </cell>
          <cell r="CB99">
            <v>1.0191885191322747E-2</v>
          </cell>
          <cell r="CC99">
            <v>6.5324983624595045E-3</v>
          </cell>
          <cell r="CD99">
            <v>-7.1406163395700828E-3</v>
          </cell>
          <cell r="CE99">
            <v>-9.3303921923558741E-3</v>
          </cell>
          <cell r="CF99">
            <v>-1.3619964796262929E-2</v>
          </cell>
          <cell r="CG99">
            <v>-1.1763559523755629E-2</v>
          </cell>
          <cell r="CH99">
            <v>-7.2370761182756205E-3</v>
          </cell>
          <cell r="CI99">
            <v>-3.3083870836847495E-3</v>
          </cell>
          <cell r="CJ99">
            <v>-6.2001101810937875E-4</v>
          </cell>
          <cell r="CK99">
            <v>2.6692549012838906E-3</v>
          </cell>
          <cell r="CL99">
            <v>6.8871189191561655E-3</v>
          </cell>
          <cell r="CM99">
            <v>6.7315346709895252E-3</v>
          </cell>
          <cell r="CN99">
            <v>3.8564797888602786E-3</v>
          </cell>
          <cell r="CO99">
            <v>7.1715874105555688E-3</v>
          </cell>
          <cell r="CP99">
            <v>1.1087719620858083E-2</v>
          </cell>
          <cell r="CQ99">
            <v>1.085325192078046E-2</v>
          </cell>
          <cell r="CR99">
            <v>1.345088433089292E-2</v>
          </cell>
          <cell r="CS99">
            <v>8.9834541397928458E-3</v>
          </cell>
          <cell r="CT99">
            <v>3.9262683949707888E-3</v>
          </cell>
          <cell r="CU99">
            <v>-1.8028731856911673E-4</v>
          </cell>
          <cell r="CV99">
            <v>-4.7450575430418862E-3</v>
          </cell>
          <cell r="CW99">
            <v>-6.2823737870887353E-3</v>
          </cell>
          <cell r="CX99">
            <v>-9.3418560606531864E-3</v>
          </cell>
          <cell r="CY99">
            <v>-8.8372636417711758E-3</v>
          </cell>
          <cell r="CZ99">
            <v>-1.037171123844427E-2</v>
          </cell>
          <cell r="DA99">
            <v>-9.390143413813612E-3</v>
          </cell>
          <cell r="DB99">
            <v>-8.8073083880352288E-3</v>
          </cell>
          <cell r="DC99">
            <v>-1.2176228349328411E-2</v>
          </cell>
          <cell r="DD99">
            <v>-1.1502597539716386E-2</v>
          </cell>
          <cell r="DE99">
            <v>-1.2825499339147561E-2</v>
          </cell>
          <cell r="DF99">
            <v>-1.3939889747789591E-2</v>
          </cell>
          <cell r="DG99">
            <v>-2.157627760843972E-2</v>
          </cell>
          <cell r="DH99">
            <v>-2.8286650941836466E-2</v>
          </cell>
          <cell r="DI99">
            <v>-3.4585730119682134E-2</v>
          </cell>
          <cell r="DJ99">
            <v>-4.2629117359417767E-2</v>
          </cell>
          <cell r="DK99">
            <v>-4.9276712118849882E-2</v>
          </cell>
          <cell r="DL99">
            <v>-6.7139835881269816E-2</v>
          </cell>
          <cell r="DM99">
            <v>-0.10814211571840449</v>
          </cell>
          <cell r="DN99">
            <v>-0.12946289835713043</v>
          </cell>
          <cell r="DO99">
            <v>-0.12469431763481664</v>
          </cell>
          <cell r="DP99">
            <v>-0.10739513422045732</v>
          </cell>
          <cell r="DQ99">
            <v>-6.2462228277229803E-2</v>
          </cell>
          <cell r="DR99">
            <v>-5.4101857479632705E-2</v>
          </cell>
          <cell r="DS99">
            <v>-3.6704594628261034E-2</v>
          </cell>
          <cell r="DT99">
            <v>-3.178526088143474E-2</v>
          </cell>
          <cell r="DU99">
            <v>-2.7187311811435522E-2</v>
          </cell>
          <cell r="DV99">
            <v>-2.8639763092666026E-3</v>
          </cell>
          <cell r="DW99">
            <v>-3.9348858198857695E-3</v>
          </cell>
          <cell r="DX99">
            <v>-1.283223205291173E-3</v>
          </cell>
          <cell r="DY99">
            <v>4.1315305110902756E-3</v>
          </cell>
          <cell r="DZ99">
            <v>1.9001628064897025E-2</v>
          </cell>
          <cell r="EA99">
            <v>1.8700169192217952E-2</v>
          </cell>
          <cell r="EB99">
            <v>3.2439866656257532E-2</v>
          </cell>
          <cell r="EC99">
            <v>2.8683358346701882E-2</v>
          </cell>
          <cell r="ED99">
            <v>2.351533037117437E-2</v>
          </cell>
          <cell r="EE99">
            <v>2.627623004740065E-2</v>
          </cell>
          <cell r="EF99">
            <v>2.2891707775272163E-2</v>
          </cell>
          <cell r="EG99">
            <v>3.7339307427501911E-2</v>
          </cell>
          <cell r="EH99">
            <v>4.4290954476299715E-2</v>
          </cell>
          <cell r="EI99">
            <v>5.1782833785076976E-2</v>
          </cell>
          <cell r="EJ99">
            <v>5.3171133556449979E-2</v>
          </cell>
          <cell r="EK99">
            <v>4.6723784301581528E-2</v>
          </cell>
          <cell r="EL99">
            <v>4.008375899999983E-2</v>
          </cell>
          <cell r="EM99">
            <v>3.2889503749999882E-2</v>
          </cell>
          <cell r="EN99">
            <v>2.7776189374999927E-2</v>
          </cell>
          <cell r="EO99">
            <v>2.2688188437499646E-2</v>
          </cell>
          <cell r="EP99">
            <v>2.0150500624999568E-2</v>
          </cell>
          <cell r="EQ99">
            <v>2.0150500624999568E-2</v>
          </cell>
          <cell r="ER99">
            <v>2.0150500624999568E-2</v>
          </cell>
          <cell r="ES99">
            <v>2.0150500624999568E-2</v>
          </cell>
          <cell r="ET99">
            <v>2.0150500624999568E-2</v>
          </cell>
          <cell r="EU99">
            <v>2.0150500624999568E-2</v>
          </cell>
          <cell r="EV99">
            <v>2.0150500624999568E-2</v>
          </cell>
          <cell r="EW99">
            <v>2.0150500624999568E-2</v>
          </cell>
          <cell r="EX99">
            <v>2.0150500624999568E-2</v>
          </cell>
          <cell r="EY99">
            <v>2.0150500624999568E-2</v>
          </cell>
          <cell r="EZ99">
            <v>2.0150500624999568E-2</v>
          </cell>
          <cell r="FA99">
            <v>2.0150500624999568E-2</v>
          </cell>
          <cell r="FB99">
            <v>2.0150500624999568E-2</v>
          </cell>
          <cell r="FC99">
            <v>2.0150500624999568E-2</v>
          </cell>
          <cell r="FD99">
            <v>2.0150500624999568E-2</v>
          </cell>
          <cell r="FE99">
            <v>2.0150500624999568E-2</v>
          </cell>
          <cell r="FF99">
            <v>2.0150500624999568E-2</v>
          </cell>
          <cell r="FG99">
            <v>2.0150500624999568E-2</v>
          </cell>
          <cell r="FH99">
            <v>2.0150500624999568E-2</v>
          </cell>
          <cell r="FI99">
            <v>2.0150500624999568E-2</v>
          </cell>
          <cell r="FJ99">
            <v>2.0150500624999568E-2</v>
          </cell>
          <cell r="FK99">
            <v>2.0150500624999568E-2</v>
          </cell>
          <cell r="FL99">
            <v>2.0150500624999568E-2</v>
          </cell>
          <cell r="FM99">
            <v>2.0150500624999568E-2</v>
          </cell>
          <cell r="FN99">
            <v>2.0150500624999568E-2</v>
          </cell>
          <cell r="FO99">
            <v>2.0150500624999568E-2</v>
          </cell>
          <cell r="FP99">
            <v>2.0150500624999568E-2</v>
          </cell>
          <cell r="FQ99">
            <v>2.0150500624999568E-2</v>
          </cell>
          <cell r="FR99">
            <v>2.0150500624999568E-2</v>
          </cell>
          <cell r="FS99">
            <v>2.0150500624999568E-2</v>
          </cell>
          <cell r="FT99">
            <v>2.0150500624999568E-2</v>
          </cell>
          <cell r="FU99">
            <v>2.0150500624999568E-2</v>
          </cell>
        </row>
        <row r="100">
          <cell r="A100" t="str">
            <v>12MoSystemNZHCg</v>
          </cell>
          <cell r="B100" t="str">
            <v>New Zealand housing</v>
          </cell>
          <cell r="AG100">
            <v>0.10400000000000001</v>
          </cell>
          <cell r="AH100">
            <v>0.111</v>
          </cell>
          <cell r="AI100">
            <v>0.10400000000000001</v>
          </cell>
          <cell r="AJ100">
            <v>9.0999999999999998E-2</v>
          </cell>
          <cell r="AK100">
            <v>0.08</v>
          </cell>
          <cell r="AL100">
            <v>6.7000000000000004E-2</v>
          </cell>
          <cell r="AM100">
            <v>6.7000000000000004E-2</v>
          </cell>
          <cell r="AN100">
            <v>6.6000000000000003E-2</v>
          </cell>
          <cell r="AO100">
            <v>7.0999999999999994E-2</v>
          </cell>
          <cell r="AP100">
            <v>7.2999999999999995E-2</v>
          </cell>
          <cell r="AQ100">
            <v>7.2000000000000008E-2</v>
          </cell>
          <cell r="AR100">
            <v>7.9000000000000001E-2</v>
          </cell>
          <cell r="AS100">
            <v>8.199999999999999E-2</v>
          </cell>
          <cell r="AT100">
            <v>8.6999999999999994E-2</v>
          </cell>
          <cell r="AU100">
            <v>9.6999999999999989E-2</v>
          </cell>
          <cell r="AV100">
            <v>0.109</v>
          </cell>
          <cell r="AW100">
            <v>0.12300000000000001</v>
          </cell>
          <cell r="AX100">
            <v>0.14499999999999999</v>
          </cell>
          <cell r="AY100">
            <v>0.16300000000000001</v>
          </cell>
          <cell r="AZ100">
            <v>0.17</v>
          </cell>
          <cell r="BA100">
            <v>0.17300000000000001</v>
          </cell>
          <cell r="BB100">
            <v>0.16699999999999998</v>
          </cell>
          <cell r="BC100">
            <v>0.161</v>
          </cell>
          <cell r="BD100">
            <v>0.16</v>
          </cell>
          <cell r="BE100">
            <v>0.16</v>
          </cell>
          <cell r="BF100">
            <v>0.16300000000000001</v>
          </cell>
          <cell r="BG100">
            <v>0.161</v>
          </cell>
          <cell r="BH100">
            <v>0.152</v>
          </cell>
          <cell r="BI100">
            <v>0.14599999999999999</v>
          </cell>
          <cell r="BJ100">
            <v>0.13800000000000001</v>
          </cell>
          <cell r="BK100">
            <v>0.13400000000000001</v>
          </cell>
          <cell r="BL100">
            <v>0.14199999999999999</v>
          </cell>
          <cell r="BM100">
            <v>0.14400000000000002</v>
          </cell>
          <cell r="BN100">
            <v>0.13800000000000001</v>
          </cell>
          <cell r="BO100">
            <v>0.128</v>
          </cell>
          <cell r="BP100">
            <v>0.11199999999999999</v>
          </cell>
          <cell r="BQ100">
            <v>8.5999999999999993E-2</v>
          </cell>
          <cell r="BR100">
            <v>6.8000000000000005E-2</v>
          </cell>
          <cell r="BS100">
            <v>4.4000000000000004E-2</v>
          </cell>
          <cell r="BT100">
            <v>0.03</v>
          </cell>
          <cell r="BU100">
            <v>0.03</v>
          </cell>
          <cell r="BV100">
            <v>3.1E-2</v>
          </cell>
          <cell r="BW100">
            <v>3.5000000000000003E-2</v>
          </cell>
          <cell r="BX100">
            <v>3.4000000000000002E-2</v>
          </cell>
          <cell r="BY100">
            <v>2.8999999999999998E-2</v>
          </cell>
          <cell r="BZ100">
            <v>2.5000000000000001E-2</v>
          </cell>
          <cell r="CA100">
            <v>1.8000000000000002E-2</v>
          </cell>
          <cell r="CB100">
            <v>1.4999999999999999E-2</v>
          </cell>
          <cell r="CC100">
            <v>1.3999999999999999E-2</v>
          </cell>
          <cell r="CD100">
            <v>1.2E-2</v>
          </cell>
          <cell r="CE100">
            <v>1.2E-2</v>
          </cell>
          <cell r="CF100">
            <v>1.3999999999999999E-2</v>
          </cell>
          <cell r="CG100">
            <v>1.8000000000000002E-2</v>
          </cell>
          <cell r="CH100">
            <v>2.5000000000000001E-2</v>
          </cell>
          <cell r="CI100">
            <v>3.7000000000000005E-2</v>
          </cell>
          <cell r="CJ100">
            <v>4.4999999999999998E-2</v>
          </cell>
          <cell r="CK100">
            <v>5.2000000000000005E-2</v>
          </cell>
          <cell r="CL100">
            <v>5.7999999999999996E-2</v>
          </cell>
          <cell r="CM100">
            <v>5.9000000000000004E-2</v>
          </cell>
          <cell r="CN100">
            <v>5.5999999999999994E-2</v>
          </cell>
          <cell r="CO100">
            <v>5.2999999999999999E-2</v>
          </cell>
          <cell r="CP100">
            <v>4.7E-2</v>
          </cell>
          <cell r="CQ100">
            <v>4.5999999999999999E-2</v>
          </cell>
          <cell r="CR100">
            <v>4.9000000000000002E-2</v>
          </cell>
          <cell r="CS100">
            <v>5.4000000000000006E-2</v>
          </cell>
          <cell r="CT100">
            <v>6.6000000000000003E-2</v>
          </cell>
          <cell r="CU100">
            <v>7.400000000000001E-2</v>
          </cell>
          <cell r="CV100">
            <v>7.6999999999999999E-2</v>
          </cell>
          <cell r="CW100">
            <v>8.8000000000000009E-2</v>
          </cell>
          <cell r="CX100">
            <v>9.0999999999999998E-2</v>
          </cell>
          <cell r="CY100">
            <v>9.3000000000000013E-2</v>
          </cell>
          <cell r="CZ100">
            <v>8.900000000000001E-2</v>
          </cell>
          <cell r="DA100">
            <v>7.6999999999999999E-2</v>
          </cell>
          <cell r="DB100">
            <v>6.6000000000000003E-2</v>
          </cell>
          <cell r="DC100">
            <v>5.9000000000000004E-2</v>
          </cell>
          <cell r="DD100">
            <v>5.7999999999999996E-2</v>
          </cell>
          <cell r="DE100">
            <v>5.9000000000000004E-2</v>
          </cell>
          <cell r="DF100">
            <v>0.06</v>
          </cell>
          <cell r="DG100">
            <v>6.0999999999999999E-2</v>
          </cell>
          <cell r="DH100">
            <v>6.2E-2</v>
          </cell>
          <cell r="DI100">
            <v>6.3E-2</v>
          </cell>
          <cell r="DJ100">
            <v>6.6000000000000003E-2</v>
          </cell>
          <cell r="DK100">
            <v>7.0000000000000007E-2</v>
          </cell>
          <cell r="DL100">
            <v>7.0999999999999994E-2</v>
          </cell>
          <cell r="DM100">
            <v>6.2E-2</v>
          </cell>
          <cell r="DN100">
            <v>6.8000000000000005E-2</v>
          </cell>
          <cell r="DO100">
            <v>8.3000000000000004E-2</v>
          </cell>
          <cell r="DP100">
            <v>9.8000000000000004E-2</v>
          </cell>
          <cell r="DQ100">
            <v>0.11900000000000001</v>
          </cell>
          <cell r="DR100">
            <v>0.11599999999999999</v>
          </cell>
          <cell r="DS100">
            <v>0.105</v>
          </cell>
          <cell r="DT100">
            <v>8.6999999999999994E-2</v>
          </cell>
          <cell r="DU100">
            <v>6.9000000000000006E-2</v>
          </cell>
          <cell r="DV100">
            <v>5.7000000000000002E-2</v>
          </cell>
          <cell r="DW100">
            <v>4.4000000000000004E-2</v>
          </cell>
          <cell r="DX100">
            <v>3.5000000000000003E-2</v>
          </cell>
          <cell r="DY100">
            <v>3.1E-2</v>
          </cell>
          <cell r="DZ100">
            <v>0.03</v>
          </cell>
          <cell r="EA100">
            <v>2.8999999999999998E-2</v>
          </cell>
          <cell r="EB100">
            <v>3.1E-2</v>
          </cell>
          <cell r="EC100">
            <v>3.2000000000000001E-2</v>
          </cell>
          <cell r="ED100">
            <v>3.3000000000000002E-2</v>
          </cell>
          <cell r="EE100">
            <v>3.7999999999999999E-2</v>
          </cell>
          <cell r="EF100">
            <v>4.2000000000000003E-2</v>
          </cell>
          <cell r="EG100">
            <v>4.9000000000000002E-2</v>
          </cell>
          <cell r="EH100">
            <v>5.4000000000000048E-2</v>
          </cell>
          <cell r="EI100">
            <v>5.0369864794631347E-2</v>
          </cell>
          <cell r="EJ100">
            <v>4.9111089166673283E-2</v>
          </cell>
          <cell r="EK100">
            <v>4.4287404485284121E-2</v>
          </cell>
          <cell r="EL100">
            <v>4.0604010000000024E-2</v>
          </cell>
          <cell r="EM100">
            <v>4.0604010000000024E-2</v>
          </cell>
          <cell r="EN100">
            <v>4.0604010000000024E-2</v>
          </cell>
          <cell r="EO100">
            <v>4.0604010000000024E-2</v>
          </cell>
          <cell r="EP100">
            <v>4.0604010000000024E-2</v>
          </cell>
          <cell r="EQ100">
            <v>4.0604010000000024E-2</v>
          </cell>
          <cell r="ER100">
            <v>4.0604010000000024E-2</v>
          </cell>
          <cell r="ES100">
            <v>4.0604010000000024E-2</v>
          </cell>
          <cell r="ET100">
            <v>4.0604010000000024E-2</v>
          </cell>
          <cell r="EU100">
            <v>4.0604010000000024E-2</v>
          </cell>
          <cell r="EV100">
            <v>4.0604010000000024E-2</v>
          </cell>
          <cell r="EW100">
            <v>4.0604010000000024E-2</v>
          </cell>
          <cell r="EX100">
            <v>4.0604010000000024E-2</v>
          </cell>
          <cell r="EY100">
            <v>4.0604010000000024E-2</v>
          </cell>
          <cell r="EZ100">
            <v>4.0604010000000024E-2</v>
          </cell>
          <cell r="FA100">
            <v>4.0604010000000024E-2</v>
          </cell>
          <cell r="FB100">
            <v>4.0604010000000024E-2</v>
          </cell>
          <cell r="FC100">
            <v>4.0604010000000024E-2</v>
          </cell>
          <cell r="FD100">
            <v>4.0604010000000024E-2</v>
          </cell>
          <cell r="FE100">
            <v>4.0604010000000024E-2</v>
          </cell>
          <cell r="FF100">
            <v>4.0604010000000024E-2</v>
          </cell>
          <cell r="FG100">
            <v>4.0604010000000024E-2</v>
          </cell>
          <cell r="FH100">
            <v>4.0604010000000024E-2</v>
          </cell>
          <cell r="FI100">
            <v>4.0604010000000024E-2</v>
          </cell>
          <cell r="FJ100">
            <v>4.0604010000000024E-2</v>
          </cell>
          <cell r="FK100">
            <v>4.0604010000000024E-2</v>
          </cell>
          <cell r="FL100">
            <v>4.0604010000000024E-2</v>
          </cell>
          <cell r="FM100">
            <v>4.0604010000000024E-2</v>
          </cell>
          <cell r="FN100">
            <v>4.0604010000000024E-2</v>
          </cell>
          <cell r="FO100">
            <v>4.0604010000000024E-2</v>
          </cell>
          <cell r="FP100">
            <v>4.0604010000000024E-2</v>
          </cell>
          <cell r="FQ100">
            <v>4.0604010000000024E-2</v>
          </cell>
          <cell r="FR100">
            <v>4.0604010000000024E-2</v>
          </cell>
          <cell r="FS100">
            <v>4.0604010000000024E-2</v>
          </cell>
          <cell r="FT100">
            <v>4.0604010000000024E-2</v>
          </cell>
          <cell r="FU100">
            <v>4.0604010000000024E-2</v>
          </cell>
        </row>
        <row r="101">
          <cell r="A101" t="str">
            <v>12MoSystemNZNHCg</v>
          </cell>
          <cell r="B101" t="str">
            <v>New Zealand non-housing</v>
          </cell>
          <cell r="AG101">
            <v>6.820380622556832E-2</v>
          </cell>
          <cell r="AH101">
            <v>7.4534536619707659E-2</v>
          </cell>
          <cell r="AI101">
            <v>8.8100751195827373E-2</v>
          </cell>
          <cell r="AJ101">
            <v>0.12083069254728042</v>
          </cell>
          <cell r="AK101">
            <v>8.8768924347958342E-2</v>
          </cell>
          <cell r="AL101">
            <v>5.4106823188184494E-2</v>
          </cell>
          <cell r="AM101">
            <v>4.4318984316018328E-2</v>
          </cell>
          <cell r="AN101">
            <v>7.5641163975308512E-3</v>
          </cell>
          <cell r="AO101">
            <v>1.687354517493711E-2</v>
          </cell>
          <cell r="AP101">
            <v>7.7746177766784497E-2</v>
          </cell>
          <cell r="AQ101">
            <v>6.0128544229583358E-2</v>
          </cell>
          <cell r="AR101">
            <v>0.10383334030488388</v>
          </cell>
          <cell r="AS101">
            <v>8.3962102570939154E-2</v>
          </cell>
          <cell r="AT101">
            <v>5.2540745594878979E-2</v>
          </cell>
          <cell r="AU101">
            <v>7.4691755816082894E-2</v>
          </cell>
          <cell r="AV101">
            <v>4.7552708699085899E-2</v>
          </cell>
          <cell r="AW101">
            <v>5.0228000399945794E-2</v>
          </cell>
          <cell r="AX101">
            <v>4.6506245251773271E-2</v>
          </cell>
          <cell r="AY101">
            <v>3.188889436987874E-2</v>
          </cell>
          <cell r="AZ101">
            <v>4.943300959282082E-2</v>
          </cell>
          <cell r="BA101">
            <v>7.2456537317121539E-2</v>
          </cell>
          <cell r="BB101">
            <v>7.7104847959322376E-2</v>
          </cell>
          <cell r="BC101">
            <v>0.10791496481679719</v>
          </cell>
          <cell r="BD101">
            <v>0.12169928723736569</v>
          </cell>
          <cell r="BE101">
            <v>0.14815053993979821</v>
          </cell>
          <cell r="BF101">
            <v>0.16859649035008517</v>
          </cell>
          <cell r="BG101">
            <v>0.14567962111079469</v>
          </cell>
          <cell r="BH101">
            <v>0.13490546409844995</v>
          </cell>
          <cell r="BI101">
            <v>0.12019194618370686</v>
          </cell>
          <cell r="BJ101">
            <v>0.13496011310481437</v>
          </cell>
          <cell r="BK101">
            <v>0.14744054016371555</v>
          </cell>
          <cell r="BL101">
            <v>0.13995921383835253</v>
          </cell>
          <cell r="BM101">
            <v>0.16557984652164115</v>
          </cell>
          <cell r="BN101">
            <v>0.1728817028892071</v>
          </cell>
          <cell r="BO101">
            <v>0.15964482533041502</v>
          </cell>
          <cell r="BP101">
            <v>0.16883840859681176</v>
          </cell>
          <cell r="BQ101">
            <v>0.15448032700083836</v>
          </cell>
          <cell r="BR101">
            <v>0.15342693087309311</v>
          </cell>
          <cell r="BS101">
            <v>0.1403580229247372</v>
          </cell>
          <cell r="BT101">
            <v>9.7967920063428485E-2</v>
          </cell>
          <cell r="BU101">
            <v>4.2568869733571324E-2</v>
          </cell>
          <cell r="BV101">
            <v>5.0373553098574941E-3</v>
          </cell>
          <cell r="BW101">
            <v>-3.4896760123865445E-2</v>
          </cell>
          <cell r="BX101">
            <v>-3.5214161791489063E-2</v>
          </cell>
          <cell r="BY101">
            <v>-2.4937633529832581E-2</v>
          </cell>
          <cell r="BZ101">
            <v>-2.372429742628801E-2</v>
          </cell>
          <cell r="CA101">
            <v>5.3590938223033735E-3</v>
          </cell>
          <cell r="CB101">
            <v>1.2473741995137733E-2</v>
          </cell>
          <cell r="CC101">
            <v>1.3555164518199048E-2</v>
          </cell>
          <cell r="CD101">
            <v>1.4648101313036177E-2</v>
          </cell>
          <cell r="CE101">
            <v>4.6597951834359552E-2</v>
          </cell>
          <cell r="CF101">
            <v>5.8973385554309976E-2</v>
          </cell>
          <cell r="CG101">
            <v>6.5134654725216512E-2</v>
          </cell>
          <cell r="CH101">
            <v>6.4182980329690498E-2</v>
          </cell>
          <cell r="CI101">
            <v>4.7393864150672593E-2</v>
          </cell>
          <cell r="CJ101">
            <v>4.0837137900940235E-2</v>
          </cell>
          <cell r="CK101">
            <v>3.82613790803632E-2</v>
          </cell>
          <cell r="CL101">
            <v>3.9136812639654961E-2</v>
          </cell>
          <cell r="CM101">
            <v>3.0313216470335025E-2</v>
          </cell>
          <cell r="CN101">
            <v>2.2417871089823738E-2</v>
          </cell>
          <cell r="CO101">
            <v>2.5718613929460066E-2</v>
          </cell>
          <cell r="CP101">
            <v>3.3744760601640111E-2</v>
          </cell>
          <cell r="CQ101">
            <v>3.2871690118850383E-2</v>
          </cell>
          <cell r="CR101">
            <v>6.0738616617322494E-2</v>
          </cell>
          <cell r="CS101">
            <v>7.6144708681010309E-2</v>
          </cell>
          <cell r="CT101">
            <v>6.5283624263390738E-2</v>
          </cell>
          <cell r="CU101">
            <v>7.5515548209556638E-2</v>
          </cell>
          <cell r="CV101">
            <v>7.4537629253590643E-2</v>
          </cell>
          <cell r="CW101">
            <v>5.3290066433262062E-2</v>
          </cell>
          <cell r="CX101">
            <v>6.9964214329772734E-2</v>
          </cell>
          <cell r="CY101">
            <v>4.5385859846589716E-2</v>
          </cell>
          <cell r="CZ101">
            <v>3.4583883351912537E-2</v>
          </cell>
          <cell r="DA101">
            <v>4.1550816514954958E-2</v>
          </cell>
          <cell r="DB101">
            <v>3.2354150923455727E-2</v>
          </cell>
          <cell r="DC101">
            <v>3.649930088056097E-2</v>
          </cell>
          <cell r="DD101">
            <v>3.2933644291659681E-2</v>
          </cell>
          <cell r="DE101">
            <v>5.034571376932484E-2</v>
          </cell>
          <cell r="DF101">
            <v>4.7546959031384395E-2</v>
          </cell>
          <cell r="DG101">
            <v>4.5527145904575184E-2</v>
          </cell>
          <cell r="DH101">
            <v>5.7641186005537026E-2</v>
          </cell>
          <cell r="DI101">
            <v>3.9914945075213648E-2</v>
          </cell>
          <cell r="DJ101">
            <v>5.5940522931772652E-2</v>
          </cell>
          <cell r="DK101">
            <v>3.7687539779764023E-2</v>
          </cell>
          <cell r="DL101">
            <v>5.6812547200521202E-2</v>
          </cell>
          <cell r="DM101">
            <v>1.4751477546883773E-2</v>
          </cell>
          <cell r="DN101">
            <v>-3.0604234572989553E-2</v>
          </cell>
          <cell r="DO101">
            <v>-2.1485287027661282E-2</v>
          </cell>
          <cell r="DP101">
            <v>-7.0859611211238738E-2</v>
          </cell>
          <cell r="DQ101">
            <v>-3.7933275629708718E-2</v>
          </cell>
          <cell r="DR101">
            <v>-1.5280218549372893E-2</v>
          </cell>
          <cell r="DS101">
            <v>-5.4498569442736899E-3</v>
          </cell>
          <cell r="DT101">
            <v>1.403182446160578E-2</v>
          </cell>
          <cell r="DU101">
            <v>3.5899050846962322E-2</v>
          </cell>
          <cell r="DV101">
            <v>6.7659464217848742E-2</v>
          </cell>
          <cell r="DW101">
            <v>3.8628944652346897E-2</v>
          </cell>
          <cell r="DX101">
            <v>3.4711845432281452E-2</v>
          </cell>
          <cell r="DY101">
            <v>1.5955874856032892E-2</v>
          </cell>
          <cell r="DZ101">
            <v>-1.1261584146092685E-2</v>
          </cell>
          <cell r="EA101">
            <v>1.4667888129195283E-2</v>
          </cell>
          <cell r="EB101">
            <v>2.179493505996577E-2</v>
          </cell>
          <cell r="EC101">
            <v>1.377771536286776E-2</v>
          </cell>
          <cell r="ED101">
            <v>2.3786916723561813E-2</v>
          </cell>
          <cell r="EE101">
            <v>3.6124987429912769E-2</v>
          </cell>
          <cell r="EF101">
            <v>2.4697191140946595E-2</v>
          </cell>
          <cell r="EG101">
            <v>2.279011278425247E-2</v>
          </cell>
          <cell r="EH101">
            <v>3.8161461376785777E-2</v>
          </cell>
          <cell r="EI101">
            <v>2.3726851868044463E-2</v>
          </cell>
          <cell r="EJ101">
            <v>3.6908926004128428E-2</v>
          </cell>
          <cell r="EK101">
            <v>4.5738538938519424E-2</v>
          </cell>
          <cell r="EL101">
            <v>2.4216865295999979E-2</v>
          </cell>
          <cell r="EM101">
            <v>2.4216865295999979E-2</v>
          </cell>
          <cell r="EN101">
            <v>2.4216865295999979E-2</v>
          </cell>
          <cell r="EO101">
            <v>2.4216865295999979E-2</v>
          </cell>
          <cell r="EP101">
            <v>2.4216865295999979E-2</v>
          </cell>
          <cell r="EQ101">
            <v>2.4216865295999979E-2</v>
          </cell>
          <cell r="ER101">
            <v>2.4216865295999979E-2</v>
          </cell>
          <cell r="ES101">
            <v>2.4216865295999979E-2</v>
          </cell>
          <cell r="ET101">
            <v>2.4216865295999979E-2</v>
          </cell>
          <cell r="EU101">
            <v>2.4216865295999979E-2</v>
          </cell>
          <cell r="EV101">
            <v>2.4216865295999979E-2</v>
          </cell>
          <cell r="EW101">
            <v>2.4216865295999979E-2</v>
          </cell>
          <cell r="EX101">
            <v>2.4216865295999979E-2</v>
          </cell>
          <cell r="EY101">
            <v>2.4216865295999979E-2</v>
          </cell>
          <cell r="EZ101">
            <v>2.4216865295999979E-2</v>
          </cell>
          <cell r="FA101">
            <v>2.4216865295999979E-2</v>
          </cell>
          <cell r="FB101">
            <v>2.4216865295999979E-2</v>
          </cell>
          <cell r="FC101">
            <v>2.4216865295999979E-2</v>
          </cell>
          <cell r="FD101">
            <v>2.4216865295999979E-2</v>
          </cell>
          <cell r="FE101">
            <v>2.4216865295999979E-2</v>
          </cell>
          <cell r="FF101">
            <v>2.4216865295999979E-2</v>
          </cell>
          <cell r="FG101">
            <v>2.4216865295999979E-2</v>
          </cell>
          <cell r="FH101">
            <v>2.4216865295999979E-2</v>
          </cell>
          <cell r="FI101">
            <v>2.4216865295999979E-2</v>
          </cell>
          <cell r="FJ101">
            <v>2.4216865295999979E-2</v>
          </cell>
          <cell r="FK101">
            <v>2.4216865295999979E-2</v>
          </cell>
          <cell r="FL101">
            <v>2.4216865295999979E-2</v>
          </cell>
          <cell r="FM101">
            <v>2.4216865295999979E-2</v>
          </cell>
          <cell r="FN101">
            <v>2.4216865295999979E-2</v>
          </cell>
          <cell r="FO101">
            <v>2.4216865295999979E-2</v>
          </cell>
          <cell r="FP101">
            <v>2.4216865295999979E-2</v>
          </cell>
          <cell r="FQ101">
            <v>2.4216865295999979E-2</v>
          </cell>
          <cell r="FR101">
            <v>2.4216865295999979E-2</v>
          </cell>
          <cell r="FS101">
            <v>2.4216865295999979E-2</v>
          </cell>
          <cell r="FT101">
            <v>2.4216865295999979E-2</v>
          </cell>
          <cell r="FU101">
            <v>2.4216865295999979E-2</v>
          </cell>
        </row>
        <row r="102">
          <cell r="A102" t="str">
            <v>12MoSystemUKHCg</v>
          </cell>
          <cell r="B102" t="str">
            <v>UK housing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 t="e">
            <v>#REF!</v>
          </cell>
          <cell r="R102" t="e">
            <v>#REF!</v>
          </cell>
          <cell r="S102" t="e">
            <v>#REF!</v>
          </cell>
          <cell r="T102" t="e">
            <v>#REF!</v>
          </cell>
          <cell r="U102" t="e">
            <v>#REF!</v>
          </cell>
          <cell r="V102" t="e">
            <v>#REF!</v>
          </cell>
          <cell r="W102" t="e">
            <v>#REF!</v>
          </cell>
          <cell r="X102" t="e">
            <v>#REF!</v>
          </cell>
          <cell r="Y102" t="e">
            <v>#REF!</v>
          </cell>
          <cell r="Z102" t="e">
            <v>#REF!</v>
          </cell>
          <cell r="AA102" t="e">
            <v>#REF!</v>
          </cell>
          <cell r="AB102" t="e">
            <v>#REF!</v>
          </cell>
          <cell r="AC102" t="e">
            <v>#REF!</v>
          </cell>
          <cell r="AD102" t="e">
            <v>#REF!</v>
          </cell>
          <cell r="AE102" t="e">
            <v>#REF!</v>
          </cell>
          <cell r="AF102" t="e">
            <v>#REF!</v>
          </cell>
          <cell r="AG102" t="e">
            <v>#REF!</v>
          </cell>
          <cell r="AH102" t="e">
            <v>#REF!</v>
          </cell>
          <cell r="AI102" t="e">
            <v>#REF!</v>
          </cell>
          <cell r="AJ102" t="e">
            <v>#REF!</v>
          </cell>
          <cell r="AK102" t="e">
            <v>#REF!</v>
          </cell>
          <cell r="AL102" t="e">
            <v>#REF!</v>
          </cell>
          <cell r="AM102" t="e">
            <v>#REF!</v>
          </cell>
          <cell r="AN102" t="e">
            <v>#REF!</v>
          </cell>
          <cell r="AO102" t="e">
            <v>#REF!</v>
          </cell>
          <cell r="AP102" t="e">
            <v>#REF!</v>
          </cell>
          <cell r="AQ102" t="e">
            <v>#REF!</v>
          </cell>
          <cell r="AR102" t="e">
            <v>#REF!</v>
          </cell>
          <cell r="AS102" t="e">
            <v>#REF!</v>
          </cell>
          <cell r="AT102" t="e">
            <v>#REF!</v>
          </cell>
          <cell r="AU102" t="e">
            <v>#REF!</v>
          </cell>
          <cell r="AV102" t="e">
            <v>#REF!</v>
          </cell>
          <cell r="AW102" t="e">
            <v>#REF!</v>
          </cell>
          <cell r="AX102" t="e">
            <v>#REF!</v>
          </cell>
          <cell r="AY102" t="e">
            <v>#REF!</v>
          </cell>
          <cell r="AZ102" t="e">
            <v>#REF!</v>
          </cell>
          <cell r="BA102" t="e">
            <v>#REF!</v>
          </cell>
          <cell r="BB102" t="e">
            <v>#REF!</v>
          </cell>
          <cell r="BC102" t="e">
            <v>#REF!</v>
          </cell>
          <cell r="BD102" t="e">
            <v>#REF!</v>
          </cell>
          <cell r="BE102" t="e">
            <v>#REF!</v>
          </cell>
          <cell r="BF102" t="e">
            <v>#REF!</v>
          </cell>
          <cell r="BG102" t="e">
            <v>#REF!</v>
          </cell>
          <cell r="BH102" t="e">
            <v>#REF!</v>
          </cell>
          <cell r="BI102" t="e">
            <v>#REF!</v>
          </cell>
          <cell r="BJ102" t="e">
            <v>#REF!</v>
          </cell>
          <cell r="BK102" t="e">
            <v>#REF!</v>
          </cell>
          <cell r="BL102" t="e">
            <v>#REF!</v>
          </cell>
          <cell r="BM102" t="e">
            <v>#REF!</v>
          </cell>
          <cell r="BN102" t="e">
            <v>#REF!</v>
          </cell>
          <cell r="BO102" t="e">
            <v>#REF!</v>
          </cell>
          <cell r="BP102" t="e">
            <v>#REF!</v>
          </cell>
          <cell r="BQ102" t="e">
            <v>#REF!</v>
          </cell>
          <cell r="BR102" t="e">
            <v>#REF!</v>
          </cell>
          <cell r="BS102" t="e">
            <v>#REF!</v>
          </cell>
          <cell r="BT102" t="e">
            <v>#REF!</v>
          </cell>
          <cell r="BU102" t="e">
            <v>#REF!</v>
          </cell>
          <cell r="BV102" t="e">
            <v>#REF!</v>
          </cell>
          <cell r="BW102" t="e">
            <v>#REF!</v>
          </cell>
          <cell r="BX102" t="e">
            <v>#REF!</v>
          </cell>
          <cell r="BY102" t="e">
            <v>#REF!</v>
          </cell>
          <cell r="BZ102" t="e">
            <v>#REF!</v>
          </cell>
          <cell r="CA102" t="e">
            <v>#REF!</v>
          </cell>
          <cell r="CB102" t="e">
            <v>#REF!</v>
          </cell>
          <cell r="CC102" t="e">
            <v>#REF!</v>
          </cell>
          <cell r="CD102" t="e">
            <v>#REF!</v>
          </cell>
          <cell r="CE102" t="e">
            <v>#REF!</v>
          </cell>
          <cell r="CF102" t="e">
            <v>#REF!</v>
          </cell>
          <cell r="CG102" t="e">
            <v>#REF!</v>
          </cell>
          <cell r="CH102" t="e">
            <v>#REF!</v>
          </cell>
          <cell r="CI102" t="e">
            <v>#REF!</v>
          </cell>
          <cell r="CJ102" t="e">
            <v>#REF!</v>
          </cell>
          <cell r="CK102" t="e">
            <v>#REF!</v>
          </cell>
          <cell r="CL102" t="e">
            <v>#REF!</v>
          </cell>
          <cell r="CM102" t="e">
            <v>#REF!</v>
          </cell>
          <cell r="CN102" t="e">
            <v>#REF!</v>
          </cell>
          <cell r="CO102" t="e">
            <v>#REF!</v>
          </cell>
          <cell r="CP102" t="e">
            <v>#REF!</v>
          </cell>
          <cell r="CQ102" t="e">
            <v>#REF!</v>
          </cell>
          <cell r="CR102" t="e">
            <v>#REF!</v>
          </cell>
          <cell r="CS102" t="e">
            <v>#REF!</v>
          </cell>
          <cell r="CT102" t="e">
            <v>#REF!</v>
          </cell>
          <cell r="CU102" t="e">
            <v>#REF!</v>
          </cell>
          <cell r="CV102" t="e">
            <v>#REF!</v>
          </cell>
          <cell r="CW102" t="e">
            <v>#REF!</v>
          </cell>
        </row>
        <row r="103">
          <cell r="A103" t="str">
            <v>12MoSystemUKNHCg</v>
          </cell>
          <cell r="B103" t="str">
            <v>UK non-housing</v>
          </cell>
          <cell r="AD103" t="e">
            <v>#REF!</v>
          </cell>
          <cell r="AE103" t="e">
            <v>#REF!</v>
          </cell>
          <cell r="AF103" t="e">
            <v>#REF!</v>
          </cell>
          <cell r="AG103" t="e">
            <v>#REF!</v>
          </cell>
          <cell r="AH103" t="e">
            <v>#REF!</v>
          </cell>
          <cell r="AI103" t="e">
            <v>#REF!</v>
          </cell>
          <cell r="AJ103" t="e">
            <v>#REF!</v>
          </cell>
          <cell r="AK103" t="e">
            <v>#REF!</v>
          </cell>
          <cell r="AL103" t="e">
            <v>#REF!</v>
          </cell>
          <cell r="AM103" t="e">
            <v>#REF!</v>
          </cell>
          <cell r="AN103" t="e">
            <v>#REF!</v>
          </cell>
          <cell r="AO103" t="e">
            <v>#REF!</v>
          </cell>
          <cell r="AP103" t="e">
            <v>#REF!</v>
          </cell>
          <cell r="AQ103" t="e">
            <v>#REF!</v>
          </cell>
          <cell r="AR103" t="e">
            <v>#REF!</v>
          </cell>
          <cell r="AS103" t="e">
            <v>#REF!</v>
          </cell>
          <cell r="AT103" t="e">
            <v>#REF!</v>
          </cell>
          <cell r="AU103" t="e">
            <v>#REF!</v>
          </cell>
          <cell r="AV103" t="e">
            <v>#REF!</v>
          </cell>
          <cell r="AW103" t="e">
            <v>#REF!</v>
          </cell>
          <cell r="AX103" t="e">
            <v>#REF!</v>
          </cell>
          <cell r="AY103" t="e">
            <v>#REF!</v>
          </cell>
          <cell r="AZ103" t="e">
            <v>#REF!</v>
          </cell>
          <cell r="BA103" t="e">
            <v>#REF!</v>
          </cell>
          <cell r="BB103" t="e">
            <v>#REF!</v>
          </cell>
          <cell r="BC103" t="e">
            <v>#REF!</v>
          </cell>
          <cell r="BD103" t="e">
            <v>#REF!</v>
          </cell>
          <cell r="BE103" t="e">
            <v>#REF!</v>
          </cell>
          <cell r="BF103" t="e">
            <v>#REF!</v>
          </cell>
          <cell r="BG103" t="e">
            <v>#REF!</v>
          </cell>
          <cell r="BH103" t="e">
            <v>#REF!</v>
          </cell>
          <cell r="BI103" t="e">
            <v>#REF!</v>
          </cell>
          <cell r="BJ103" t="e">
            <v>#REF!</v>
          </cell>
          <cell r="BK103" t="e">
            <v>#REF!</v>
          </cell>
          <cell r="BL103" t="e">
            <v>#REF!</v>
          </cell>
          <cell r="BM103" t="e">
            <v>#REF!</v>
          </cell>
          <cell r="BN103" t="e">
            <v>#REF!</v>
          </cell>
          <cell r="BO103" t="e">
            <v>#REF!</v>
          </cell>
          <cell r="BP103" t="e">
            <v>#REF!</v>
          </cell>
          <cell r="BQ103" t="e">
            <v>#REF!</v>
          </cell>
          <cell r="BR103" t="e">
            <v>#REF!</v>
          </cell>
          <cell r="BS103" t="e">
            <v>#REF!</v>
          </cell>
          <cell r="BT103" t="e">
            <v>#REF!</v>
          </cell>
          <cell r="BU103" t="e">
            <v>#REF!</v>
          </cell>
          <cell r="BV103" t="e">
            <v>#REF!</v>
          </cell>
          <cell r="BW103" t="e">
            <v>#REF!</v>
          </cell>
          <cell r="BX103" t="e">
            <v>#REF!</v>
          </cell>
          <cell r="BY103" t="e">
            <v>#REF!</v>
          </cell>
          <cell r="BZ103" t="e">
            <v>#REF!</v>
          </cell>
          <cell r="CA103" t="e">
            <v>#REF!</v>
          </cell>
          <cell r="CB103" t="e">
            <v>#REF!</v>
          </cell>
          <cell r="CC103" t="e">
            <v>#REF!</v>
          </cell>
          <cell r="CD103" t="e">
            <v>#REF!</v>
          </cell>
          <cell r="CE103" t="e">
            <v>#REF!</v>
          </cell>
          <cell r="CF103" t="e">
            <v>#REF!</v>
          </cell>
          <cell r="CG103" t="e">
            <v>#REF!</v>
          </cell>
          <cell r="CH103" t="e">
            <v>#REF!</v>
          </cell>
          <cell r="CI103" t="e">
            <v>#REF!</v>
          </cell>
          <cell r="CJ103" t="e">
            <v>#REF!</v>
          </cell>
          <cell r="CK103" t="e">
            <v>#REF!</v>
          </cell>
          <cell r="CL103" t="e">
            <v>#REF!</v>
          </cell>
          <cell r="CM103" t="e">
            <v>#REF!</v>
          </cell>
          <cell r="CN103" t="e">
            <v>#REF!</v>
          </cell>
          <cell r="CO103" t="e">
            <v>#REF!</v>
          </cell>
          <cell r="CP103" t="e">
            <v>#REF!</v>
          </cell>
          <cell r="CQ103" t="e">
            <v>#REF!</v>
          </cell>
          <cell r="CR103" t="e">
            <v>#REF!</v>
          </cell>
          <cell r="CS103" t="e">
            <v>#REF!</v>
          </cell>
          <cell r="CT103" t="e">
            <v>#REF!</v>
          </cell>
          <cell r="CU103" t="e">
            <v>#REF!</v>
          </cell>
          <cell r="CV103" t="e">
            <v>#REF!</v>
          </cell>
          <cell r="CW103" t="e">
            <v>#REF!</v>
          </cell>
        </row>
        <row r="105">
          <cell r="B105" t="str">
            <v>Net interest margins (6mo)</v>
          </cell>
        </row>
        <row r="106">
          <cell r="A106" t="str">
            <v>ASS_NIMAUHousing</v>
          </cell>
          <cell r="B106" t="str">
            <v>Australian housing</v>
          </cell>
          <cell r="D106">
            <v>2.9873641666666624E-2</v>
          </cell>
          <cell r="E106">
            <v>3.05678083333333E-2</v>
          </cell>
          <cell r="F106">
            <v>3.2933641666666638E-2</v>
          </cell>
          <cell r="G106">
            <v>3.296197499999997E-2</v>
          </cell>
          <cell r="H106">
            <v>3.2579474999999969E-2</v>
          </cell>
          <cell r="I106">
            <v>3.3996141666666639E-2</v>
          </cell>
          <cell r="J106">
            <v>3.6222461111111062E-2</v>
          </cell>
          <cell r="K106">
            <v>3.7214058333333279E-2</v>
          </cell>
          <cell r="L106">
            <v>3.6586072222222168E-2</v>
          </cell>
          <cell r="M106">
            <v>3.6077252777777735E-2</v>
          </cell>
          <cell r="N106">
            <v>3.3820863888888858E-2</v>
          </cell>
          <cell r="O106">
            <v>2.8043572222222184E-2</v>
          </cell>
          <cell r="P106">
            <v>2.3878711111111051E-2</v>
          </cell>
          <cell r="Q106">
            <v>2.5078433333333278E-2</v>
          </cell>
          <cell r="R106">
            <v>2.7042877777777728E-2</v>
          </cell>
          <cell r="S106">
            <v>2.8020169444444371E-2</v>
          </cell>
          <cell r="T106">
            <v>2.7832530555555492E-2</v>
          </cell>
          <cell r="U106">
            <v>2.5865655555555523E-2</v>
          </cell>
          <cell r="V106">
            <v>2.3577183333333303E-2</v>
          </cell>
          <cell r="W106">
            <v>2.2234822222222183E-2</v>
          </cell>
          <cell r="X106">
            <v>1.9095516666666632E-2</v>
          </cell>
          <cell r="Y106">
            <v>1.6000655555555555E-2</v>
          </cell>
          <cell r="Z106">
            <v>1.6487947222222233E-2</v>
          </cell>
          <cell r="AA106">
            <v>1.5968224999999975E-2</v>
          </cell>
          <cell r="AB106">
            <v>1.4596766666666646E-2</v>
          </cell>
          <cell r="AC106">
            <v>1.4256627777777742E-2</v>
          </cell>
          <cell r="AD106">
            <v>1.3597391666666566E-2</v>
          </cell>
          <cell r="AE106">
            <v>1.4363224999999931E-2</v>
          </cell>
          <cell r="AF106">
            <v>1.473079444444449E-2</v>
          </cell>
          <cell r="AG106">
            <v>1.36834333333333E-2</v>
          </cell>
          <cell r="AH106">
            <v>1.3169752777777707E-2</v>
          </cell>
          <cell r="AI106">
            <v>1.1590169444444447E-2</v>
          </cell>
          <cell r="AJ106">
            <v>1.0612252777777765E-2</v>
          </cell>
          <cell r="AK106">
            <v>1.1646627777777679E-2</v>
          </cell>
          <cell r="AL106">
            <v>1.1979058333333275E-2</v>
          </cell>
          <cell r="AM106">
            <v>1.3072877777777776E-2</v>
          </cell>
          <cell r="AN106">
            <v>1.6153849999999956E-2</v>
          </cell>
          <cell r="AO106">
            <v>1.6435933333333326E-2</v>
          </cell>
          <cell r="AP106">
            <v>1.5428502777777704E-2</v>
          </cell>
          <cell r="AQ106">
            <v>1.5919752777777671E-2</v>
          </cell>
          <cell r="AR106">
            <v>1.4608225000000013E-2</v>
          </cell>
          <cell r="AS106">
            <v>1.2329127777777829E-2</v>
          </cell>
          <cell r="AT106">
            <v>1.2194058333333356E-2</v>
          </cell>
          <cell r="AU106">
            <v>1.339829444444442E-2</v>
          </cell>
          <cell r="AV106">
            <v>1.4038988888888788E-2</v>
          </cell>
          <cell r="AW106">
            <v>1.4326245833333247E-2</v>
          </cell>
          <cell r="AX106">
            <v>1.399159305555555E-2</v>
          </cell>
          <cell r="AY106">
            <v>1.2691176388888933E-2</v>
          </cell>
          <cell r="AZ106">
            <v>1.1687204166666708E-2</v>
          </cell>
          <cell r="BA106">
            <v>2.9787097222221982E-3</v>
          </cell>
          <cell r="BB106">
            <v>6.9794333333333056E-3</v>
          </cell>
          <cell r="BC106">
            <v>9.817905555555546E-3</v>
          </cell>
          <cell r="BD106">
            <v>8.8399819444444153E-3</v>
          </cell>
          <cell r="BE106">
            <v>8.4945652777777235E-3</v>
          </cell>
          <cell r="BF106">
            <v>9.0907319444444041E-3</v>
          </cell>
          <cell r="BG106">
            <v>8.8003430555555311E-3</v>
          </cell>
          <cell r="BH106">
            <v>8.6306555555555331E-3</v>
          </cell>
          <cell r="BI106">
            <v>8.1543013888888613E-3</v>
          </cell>
          <cell r="BJ106">
            <v>7.5932944444444227E-3</v>
          </cell>
          <cell r="BK106">
            <v>7.6080930555555218E-3</v>
          </cell>
          <cell r="BL106">
            <v>8.0042944444444104E-3</v>
          </cell>
          <cell r="BM106">
            <v>8.3322527777777416E-3</v>
          </cell>
          <cell r="BN106">
            <v>7.3717180555555161E-3</v>
          </cell>
          <cell r="BO106">
            <v>5.800669444444408E-3</v>
          </cell>
          <cell r="BP106">
            <v>5.07039166666662E-3</v>
          </cell>
          <cell r="BQ106">
            <v>6.5584333333332905E-3</v>
          </cell>
          <cell r="BR106">
            <v>1.043110694444443E-2</v>
          </cell>
          <cell r="BS106">
            <v>1.5186329166666658E-2</v>
          </cell>
          <cell r="BT106">
            <v>1.8490780555555524E-2</v>
          </cell>
          <cell r="BU106">
            <v>1.7912606944444413E-2</v>
          </cell>
          <cell r="BV106">
            <v>1.6079843055555511E-2</v>
          </cell>
          <cell r="BW106">
            <v>1.5119099999999958E-2</v>
          </cell>
          <cell r="BX106">
            <v>1.5407926388888854E-2</v>
          </cell>
          <cell r="BY106">
            <v>1.6638620833333319E-2</v>
          </cell>
          <cell r="BZ106">
            <v>1.7582634722222209E-2</v>
          </cell>
          <cell r="CA106">
            <v>1.8763197222222194E-2</v>
          </cell>
          <cell r="CB106">
            <v>2.0047843055555539E-2</v>
          </cell>
          <cell r="CC106">
            <v>2.0380273611111093E-2</v>
          </cell>
          <cell r="CD106">
            <v>2.0428197222222177E-2</v>
          </cell>
          <cell r="CE106">
            <v>2.0964238888888844E-2</v>
          </cell>
          <cell r="CF106">
            <v>2.1541308333333276E-2</v>
          </cell>
          <cell r="CG106">
            <v>2.3648926388888832E-2</v>
          </cell>
          <cell r="CH106">
            <v>2.4829683333333352E-2</v>
          </cell>
          <cell r="CI106">
            <v>2.4509891666666665E-2</v>
          </cell>
          <cell r="CJ106">
            <v>2.4725933333333248E-2</v>
          </cell>
          <cell r="CK106">
            <v>2.3896943749999969E-2</v>
          </cell>
          <cell r="CL106">
            <v>2.3864336111111082E-2</v>
          </cell>
          <cell r="CM106">
            <v>2.3450377777777733E-2</v>
          </cell>
          <cell r="CN106">
            <v>2.2945099999999958E-2</v>
          </cell>
          <cell r="CO106">
            <v>2.2563849999999955E-2</v>
          </cell>
          <cell r="CP106">
            <v>2.2476488888888837E-2</v>
          </cell>
          <cell r="CQ106">
            <v>2.2263086111111042E-2</v>
          </cell>
          <cell r="CR106">
            <v>2.275336388888885E-2</v>
          </cell>
          <cell r="CS106">
            <v>2.3435030555555517E-2</v>
          </cell>
          <cell r="CT106">
            <v>2.3239197222222171E-2</v>
          </cell>
          <cell r="CU106">
            <v>2.3350794444444423E-2</v>
          </cell>
          <cell r="CV106">
            <v>2.357780833333328E-2</v>
          </cell>
          <cell r="CW106">
            <v>2.3983711111111066E-2</v>
          </cell>
          <cell r="CX106">
            <v>2.4674405555555532E-2</v>
          </cell>
          <cell r="CY106">
            <v>2.491537777777773E-2</v>
          </cell>
          <cell r="CZ106">
            <v>2.4835863888888823E-2</v>
          </cell>
          <cell r="DA106">
            <v>2.5169683333333182E-2</v>
          </cell>
          <cell r="DB106">
            <v>2.5204822222222079E-2</v>
          </cell>
          <cell r="DC106">
            <v>2.4891072222222196E-2</v>
          </cell>
          <cell r="DD106">
            <v>2.4386349999999956E-2</v>
          </cell>
          <cell r="DE106">
            <v>2.3145447222222105E-2</v>
          </cell>
          <cell r="DF106">
            <v>2.2852599999999938E-2</v>
          </cell>
          <cell r="DG106">
            <v>2.3711488888888865E-2</v>
          </cell>
          <cell r="DH106">
            <v>2.4508349999999936E-2</v>
          </cell>
          <cell r="DI106">
            <v>2.677534444444445E-2</v>
          </cell>
          <cell r="DJ106">
            <v>2.8899999999999999E-2</v>
          </cell>
          <cell r="DK106">
            <v>2.8250269273151052E-2</v>
          </cell>
          <cell r="DL106">
            <v>2.8065393242717618E-2</v>
          </cell>
          <cell r="DM106">
            <v>2.9505419585783208E-2</v>
          </cell>
          <cell r="DN106">
            <v>3.0314753095374888E-2</v>
          </cell>
          <cell r="DO106">
            <v>2.9879089617949012E-2</v>
          </cell>
          <cell r="DP106">
            <v>2.926148050862834E-2</v>
          </cell>
          <cell r="DQ106">
            <v>2.8448043234391363E-2</v>
          </cell>
          <cell r="DR106">
            <v>2.7664337659002766E-2</v>
          </cell>
          <cell r="DS106">
            <v>2.6836724461759387E-2</v>
          </cell>
          <cell r="DT106">
            <v>2.605436888822828E-2</v>
          </cell>
          <cell r="DU106">
            <v>2.2974869087428487E-2</v>
          </cell>
          <cell r="DV106">
            <v>2.0068221160826214E-2</v>
          </cell>
          <cell r="DW106">
            <v>2.0719381799387596E-2</v>
          </cell>
          <cell r="DX106">
            <v>2.1328954863088116E-2</v>
          </cell>
          <cell r="DY106">
            <v>2.0952050218593823E-2</v>
          </cell>
          <cell r="DZ106">
            <v>2.0941275720756852E-2</v>
          </cell>
          <cell r="EA106">
            <v>2.0858823983164562E-2</v>
          </cell>
          <cell r="EB106">
            <v>2.0868098554208837E-2</v>
          </cell>
          <cell r="EC106">
            <v>2.0805326121862575E-2</v>
          </cell>
          <cell r="ED106">
            <v>2.0805326121862575E-2</v>
          </cell>
          <cell r="EE106">
            <v>2.0805326121862575E-2</v>
          </cell>
        </row>
        <row r="107">
          <cell r="A107" t="str">
            <v>ASS_NIMAUSME</v>
          </cell>
          <cell r="B107" t="str">
            <v>Australian SME</v>
          </cell>
          <cell r="D107" t="e">
            <v>#N/A</v>
          </cell>
          <cell r="E107" t="e">
            <v>#N/A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>
            <v>1.2493572248074994E-2</v>
          </cell>
          <cell r="L107">
            <v>2.8154784951932903E-2</v>
          </cell>
          <cell r="M107">
            <v>2.7436075255752805E-2</v>
          </cell>
          <cell r="N107">
            <v>2.4953242247678871E-2</v>
          </cell>
          <cell r="O107">
            <v>1.8855555811574359E-2</v>
          </cell>
          <cell r="P107">
            <v>1.7883069443715746E-2</v>
          </cell>
          <cell r="Q107">
            <v>2.230756501304533E-2</v>
          </cell>
          <cell r="R107">
            <v>2.3176687153658851E-2</v>
          </cell>
          <cell r="S107">
            <v>2.2804066879256804E-2</v>
          </cell>
          <cell r="T107">
            <v>2.1979719480412524E-2</v>
          </cell>
          <cell r="U107">
            <v>2.1052610872657612E-2</v>
          </cell>
          <cell r="V107">
            <v>2.8417139575273337E-2</v>
          </cell>
          <cell r="W107">
            <v>3.6804373148386471E-2</v>
          </cell>
          <cell r="X107">
            <v>3.5606463972488595E-2</v>
          </cell>
          <cell r="Y107">
            <v>3.528072648721825E-2</v>
          </cell>
          <cell r="Z107">
            <v>3.5373163160989679E-2</v>
          </cell>
          <cell r="AA107">
            <v>3.3205536632767874E-2</v>
          </cell>
          <cell r="AB107">
            <v>3.2726332487140353E-2</v>
          </cell>
          <cell r="AC107">
            <v>3.2151400386331186E-2</v>
          </cell>
          <cell r="AD107">
            <v>3.1483297432153334E-2</v>
          </cell>
          <cell r="AE107">
            <v>3.1542806382124589E-2</v>
          </cell>
          <cell r="AF107">
            <v>3.1041885039925776E-2</v>
          </cell>
          <cell r="AG107">
            <v>3.0174814067284284E-2</v>
          </cell>
          <cell r="AH107">
            <v>2.867361648840222E-2</v>
          </cell>
          <cell r="AI107">
            <v>2.6702929290382926E-2</v>
          </cell>
          <cell r="AJ107">
            <v>2.5573899810224454E-2</v>
          </cell>
          <cell r="AK107">
            <v>2.5525672293044588E-2</v>
          </cell>
          <cell r="AL107">
            <v>2.4692790971263145E-2</v>
          </cell>
          <cell r="AM107">
            <v>2.483234891036884E-2</v>
          </cell>
          <cell r="AN107">
            <v>2.6952019230113478E-2</v>
          </cell>
          <cell r="AO107">
            <v>2.6515636183866487E-2</v>
          </cell>
          <cell r="AP107">
            <v>2.6197480827113595E-2</v>
          </cell>
          <cell r="AQ107">
            <v>2.6298422710389069E-2</v>
          </cell>
          <cell r="AR107">
            <v>2.3956810034853671E-2</v>
          </cell>
          <cell r="AS107">
            <v>2.2058940843833752E-2</v>
          </cell>
          <cell r="AT107">
            <v>2.1905802315802636E-2</v>
          </cell>
          <cell r="AU107">
            <v>2.254133001474401E-2</v>
          </cell>
          <cell r="AV107">
            <v>2.2440773840474493E-2</v>
          </cell>
          <cell r="AW107">
            <v>2.2587906391744017E-2</v>
          </cell>
          <cell r="AX107">
            <v>2.1877184802169825E-2</v>
          </cell>
          <cell r="AY107">
            <v>1.9929990342290704E-2</v>
          </cell>
          <cell r="AZ107">
            <v>1.9410123615064334E-2</v>
          </cell>
          <cell r="BA107">
            <v>1.9661709918541215E-2</v>
          </cell>
          <cell r="BB107">
            <v>1.9572953769419033E-2</v>
          </cell>
          <cell r="BC107">
            <v>1.9244571097848051E-2</v>
          </cell>
          <cell r="BD107">
            <v>1.7478928887580736E-2</v>
          </cell>
          <cell r="BE107">
            <v>1.6857532300595168E-2</v>
          </cell>
          <cell r="BF107">
            <v>1.7565141392041683E-2</v>
          </cell>
          <cell r="BG107">
            <v>1.7149227409423817E-2</v>
          </cell>
          <cell r="BH107">
            <v>1.687164535966923E-2</v>
          </cell>
          <cell r="BI107">
            <v>1.5897354058396207E-2</v>
          </cell>
          <cell r="BJ107">
            <v>1.4950871234944541E-2</v>
          </cell>
          <cell r="BK107">
            <v>1.4866969304818678E-2</v>
          </cell>
          <cell r="BL107">
            <v>1.4397025036505973E-2</v>
          </cell>
          <cell r="BM107">
            <v>1.4207438097186831E-2</v>
          </cell>
          <cell r="BN107">
            <v>1.3361674348231878E-2</v>
          </cell>
          <cell r="BO107">
            <v>1.2143238194871731E-2</v>
          </cell>
          <cell r="BP107">
            <v>1.1405160783031998E-2</v>
          </cell>
          <cell r="BQ107">
            <v>1.1687509333655033E-2</v>
          </cell>
          <cell r="BR107">
            <v>1.5099215944443412E-2</v>
          </cell>
          <cell r="BS107">
            <v>2.1997480030668592E-2</v>
          </cell>
          <cell r="BT107">
            <v>2.6671259436659489E-2</v>
          </cell>
          <cell r="BU107">
            <v>2.7080497684543237E-2</v>
          </cell>
          <cell r="BV107">
            <v>2.6726162840427059E-2</v>
          </cell>
          <cell r="BW107">
            <v>2.6171740771211427E-2</v>
          </cell>
          <cell r="BX107">
            <v>2.6313070915424119E-2</v>
          </cell>
          <cell r="BY107">
            <v>2.6545840605477822E-2</v>
          </cell>
          <cell r="BZ107">
            <v>2.6908276271163101E-2</v>
          </cell>
          <cell r="CA107">
            <v>2.8502241144599427E-2</v>
          </cell>
          <cell r="CB107">
            <v>3.0174631443157462E-2</v>
          </cell>
          <cell r="CC107">
            <v>3.0917115179291077E-2</v>
          </cell>
          <cell r="CD107">
            <v>3.1848487022388072E-2</v>
          </cell>
          <cell r="CE107">
            <v>3.23548112542974E-2</v>
          </cell>
          <cell r="CF107">
            <v>3.2633245474479433E-2</v>
          </cell>
          <cell r="CG107">
            <v>3.4073607247926296E-2</v>
          </cell>
          <cell r="CH107">
            <v>3.5312886781760033E-2</v>
          </cell>
          <cell r="CI107">
            <v>3.530143649481654E-2</v>
          </cell>
          <cell r="CJ107">
            <v>3.4819712298446825E-2</v>
          </cell>
          <cell r="CK107">
            <v>3.5320725378313433E-2</v>
          </cell>
          <cell r="CL107">
            <v>3.5718445803580634E-2</v>
          </cell>
          <cell r="CM107">
            <v>3.5629129458359943E-2</v>
          </cell>
          <cell r="CN107">
            <v>3.5222716312464986E-2</v>
          </cell>
          <cell r="CO107">
            <v>3.5403413111693149E-2</v>
          </cell>
          <cell r="CP107">
            <v>3.4965744055591941E-2</v>
          </cell>
          <cell r="CQ107">
            <v>3.4256548680391408E-2</v>
          </cell>
          <cell r="CR107">
            <v>3.476672874466824E-2</v>
          </cell>
          <cell r="CS107">
            <v>3.494003822147751E-2</v>
          </cell>
          <cell r="CT107">
            <v>3.3973478780346955E-2</v>
          </cell>
          <cell r="CU107">
            <v>3.2946400854567903E-2</v>
          </cell>
          <cell r="CV107">
            <v>3.2424799556296069E-2</v>
          </cell>
          <cell r="CW107">
            <v>3.3033057755038397E-2</v>
          </cell>
          <cell r="CX107">
            <v>3.3443217158303007E-2</v>
          </cell>
          <cell r="CY107">
            <v>3.3172997416979877E-2</v>
          </cell>
          <cell r="CZ107">
            <v>3.2738938233455986E-2</v>
          </cell>
          <cell r="DA107">
            <v>3.2888242512773447E-2</v>
          </cell>
          <cell r="DB107">
            <v>3.2837831902301939E-2</v>
          </cell>
          <cell r="DC107">
            <v>3.2556594473240219E-2</v>
          </cell>
          <cell r="DD107">
            <v>3.1513483474842729E-2</v>
          </cell>
          <cell r="DE107">
            <v>3.0373643242260773E-2</v>
          </cell>
          <cell r="DF107">
            <v>3.054692454897312E-2</v>
          </cell>
          <cell r="DG107">
            <v>3.0589779429510022E-2</v>
          </cell>
          <cell r="DH107">
            <v>3.1203907504882E-2</v>
          </cell>
          <cell r="DI107">
            <v>3.3323039406147892E-2</v>
          </cell>
          <cell r="DJ107">
            <v>3.4299999999999997E-2</v>
          </cell>
          <cell r="DK107">
            <v>3.3672120612451943E-2</v>
          </cell>
          <cell r="DL107">
            <v>3.3532435182180353E-2</v>
          </cell>
          <cell r="DM107">
            <v>3.4699984042093325E-2</v>
          </cell>
          <cell r="DN107">
            <v>3.4820726722394058E-2</v>
          </cell>
          <cell r="DO107">
            <v>3.4129720277799501E-2</v>
          </cell>
          <cell r="DP107">
            <v>3.3579290462787327E-2</v>
          </cell>
          <cell r="DQ107">
            <v>3.2712703587712798E-2</v>
          </cell>
          <cell r="DR107">
            <v>3.1926173758044803E-2</v>
          </cell>
          <cell r="DS107">
            <v>3.1015078852221999E-2</v>
          </cell>
          <cell r="DT107">
            <v>2.9990526851627366E-2</v>
          </cell>
          <cell r="DU107">
            <v>2.5428800563193955E-2</v>
          </cell>
          <cell r="DV107">
            <v>2.0490667115181705E-2</v>
          </cell>
          <cell r="DW107">
            <v>2.0634596626374107E-2</v>
          </cell>
          <cell r="DX107">
            <v>2.1599427785411147E-2</v>
          </cell>
          <cell r="DY107">
            <v>2.0650919426219706E-2</v>
          </cell>
          <cell r="DZ107">
            <v>2.0455563257273882E-2</v>
          </cell>
          <cell r="EA107">
            <v>2.0848663812578726E-2</v>
          </cell>
          <cell r="EB107">
            <v>2.1223941903063214E-2</v>
          </cell>
          <cell r="EC107">
            <v>2.1617185607577083E-2</v>
          </cell>
          <cell r="ED107">
            <v>2.1617185607577083E-2</v>
          </cell>
          <cell r="EE107">
            <v>2.1617185607577083E-2</v>
          </cell>
        </row>
        <row r="108">
          <cell r="A108" t="str">
            <v>ASS_NIMAUInsto</v>
          </cell>
          <cell r="B108" t="str">
            <v>Australian institutional</v>
          </cell>
          <cell r="D108" t="e">
            <v>#N/A</v>
          </cell>
          <cell r="E108" t="e">
            <v>#N/A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>
            <v>6.1947525053628518E-3</v>
          </cell>
          <cell r="L108">
            <v>1.3366348018432912E-2</v>
          </cell>
          <cell r="M108">
            <v>1.1878857619488767E-2</v>
          </cell>
          <cell r="N108">
            <v>1.0285122970384995E-2</v>
          </cell>
          <cell r="O108">
            <v>5.9028977429936916E-3</v>
          </cell>
          <cell r="P108">
            <v>6.0636236950549725E-3</v>
          </cell>
          <cell r="Q108">
            <v>1.0149000554201662E-2</v>
          </cell>
          <cell r="R108">
            <v>1.0230528052764573E-2</v>
          </cell>
          <cell r="S108">
            <v>9.8668981137028586E-3</v>
          </cell>
          <cell r="T108">
            <v>9.3056366501240301E-3</v>
          </cell>
          <cell r="U108">
            <v>8.4141929877692839E-3</v>
          </cell>
          <cell r="V108">
            <v>1.1802670879211767E-2</v>
          </cell>
          <cell r="W108">
            <v>1.645856367850497E-2</v>
          </cell>
          <cell r="X108">
            <v>1.5645207191782723E-2</v>
          </cell>
          <cell r="Y108">
            <v>1.6141856341443106E-2</v>
          </cell>
          <cell r="Z108">
            <v>1.7422514738054382E-2</v>
          </cell>
          <cell r="AA108">
            <v>1.4817926843355519E-2</v>
          </cell>
          <cell r="AB108">
            <v>1.3443762068712686E-2</v>
          </cell>
          <cell r="AC108">
            <v>1.2796997498259577E-2</v>
          </cell>
          <cell r="AD108">
            <v>1.2711671723974083E-2</v>
          </cell>
          <cell r="AE108">
            <v>1.3409286617566296E-2</v>
          </cell>
          <cell r="AF108">
            <v>1.2570723636901704E-2</v>
          </cell>
          <cell r="AG108">
            <v>1.1641537577916972E-2</v>
          </cell>
          <cell r="AH108">
            <v>1.1163735296157579E-2</v>
          </cell>
          <cell r="AI108">
            <v>1.0130437798989617E-2</v>
          </cell>
          <cell r="AJ108">
            <v>8.7701042148945474E-3</v>
          </cell>
          <cell r="AK108">
            <v>8.630446115322904E-3</v>
          </cell>
          <cell r="AL108">
            <v>8.2316549052307564E-3</v>
          </cell>
          <cell r="AM108">
            <v>8.9830520076338571E-3</v>
          </cell>
          <cell r="AN108">
            <v>1.2244813596300447E-2</v>
          </cell>
          <cell r="AO108">
            <v>1.2785930428537179E-2</v>
          </cell>
          <cell r="AP108">
            <v>1.2891318543784225E-2</v>
          </cell>
          <cell r="AQ108">
            <v>1.3069962220898651E-2</v>
          </cell>
          <cell r="AR108">
            <v>1.0406769744372324E-2</v>
          </cell>
          <cell r="AS108">
            <v>8.1472331093421779E-3</v>
          </cell>
          <cell r="AT108">
            <v>8.5330757236089239E-3</v>
          </cell>
          <cell r="AU108">
            <v>9.5459754879739789E-3</v>
          </cell>
          <cell r="AV108">
            <v>9.5590420089419204E-3</v>
          </cell>
          <cell r="AW108">
            <v>1.0117477787032952E-2</v>
          </cell>
          <cell r="AX108">
            <v>9.9834116614997137E-3</v>
          </cell>
          <cell r="AY108">
            <v>7.990918332989122E-3</v>
          </cell>
          <cell r="AZ108">
            <v>6.7679449546556303E-3</v>
          </cell>
          <cell r="BA108">
            <v>6.9542673185478965E-3</v>
          </cell>
          <cell r="BB108">
            <v>6.8904179019461942E-3</v>
          </cell>
          <cell r="BC108">
            <v>6.3877366173136496E-3</v>
          </cell>
          <cell r="BD108">
            <v>5.0977988134979502E-3</v>
          </cell>
          <cell r="BE108">
            <v>5.0320088258416773E-3</v>
          </cell>
          <cell r="BF108">
            <v>5.9190109459399676E-3</v>
          </cell>
          <cell r="BG108">
            <v>5.721484703329921E-3</v>
          </cell>
          <cell r="BH108">
            <v>5.8370913427853999E-3</v>
          </cell>
          <cell r="BI108">
            <v>4.8352217142259846E-3</v>
          </cell>
          <cell r="BJ108">
            <v>4.079538466653404E-3</v>
          </cell>
          <cell r="BK108">
            <v>4.088018902026952E-3</v>
          </cell>
          <cell r="BL108">
            <v>3.4812327419857236E-3</v>
          </cell>
          <cell r="BM108">
            <v>3.6484902544386688E-3</v>
          </cell>
          <cell r="BN108">
            <v>3.2702832531529002E-3</v>
          </cell>
          <cell r="BO108">
            <v>2.4376684944776017E-3</v>
          </cell>
          <cell r="BP108">
            <v>1.035647210948204E-3</v>
          </cell>
          <cell r="BQ108">
            <v>7.8174943656597606E-4</v>
          </cell>
          <cell r="BR108">
            <v>4.5806903803943533E-3</v>
          </cell>
          <cell r="BS108">
            <v>1.1146655179982173E-2</v>
          </cell>
          <cell r="BT108">
            <v>1.5647569322055493E-2</v>
          </cell>
          <cell r="BU108">
            <v>1.6357971911311359E-2</v>
          </cell>
          <cell r="BV108">
            <v>1.6003753693033168E-2</v>
          </cell>
          <cell r="BW108">
            <v>1.5066703239595164E-2</v>
          </cell>
          <cell r="BX108">
            <v>1.3883636615989264E-2</v>
          </cell>
          <cell r="BY108">
            <v>1.32574403600422E-2</v>
          </cell>
          <cell r="BZ108">
            <v>1.340749215056572E-2</v>
          </cell>
          <cell r="CA108">
            <v>1.4322394226318397E-2</v>
          </cell>
          <cell r="CB108">
            <v>1.524140746501404E-2</v>
          </cell>
          <cell r="CC108">
            <v>1.5404766536497111E-2</v>
          </cell>
          <cell r="CD108">
            <v>1.5814605414257471E-2</v>
          </cell>
          <cell r="CE108">
            <v>1.6743964406536388E-2</v>
          </cell>
          <cell r="CF108">
            <v>1.7551547542313944E-2</v>
          </cell>
          <cell r="CG108">
            <v>1.8806992692877139E-2</v>
          </cell>
          <cell r="CH108">
            <v>1.9849287805589394E-2</v>
          </cell>
          <cell r="CI108">
            <v>2.0035148886554693E-2</v>
          </cell>
          <cell r="CJ108">
            <v>1.9597128383604806E-2</v>
          </cell>
          <cell r="CK108">
            <v>1.9314497220474486E-2</v>
          </cell>
          <cell r="CL108">
            <v>1.9501090736962962E-2</v>
          </cell>
          <cell r="CM108">
            <v>1.8964537568443324E-2</v>
          </cell>
          <cell r="CN108">
            <v>1.8201204849672387E-2</v>
          </cell>
          <cell r="CO108">
            <v>1.9196195951896505E-2</v>
          </cell>
          <cell r="CP108">
            <v>1.8595218424045906E-2</v>
          </cell>
          <cell r="CQ108">
            <v>1.7900611008851347E-2</v>
          </cell>
          <cell r="CR108">
            <v>1.8149705688012246E-2</v>
          </cell>
          <cell r="CS108">
            <v>1.8113541812741746E-2</v>
          </cell>
          <cell r="CT108">
            <v>1.7107429014213277E-2</v>
          </cell>
          <cell r="CU108">
            <v>1.6024126926331178E-2</v>
          </cell>
          <cell r="CV108">
            <v>1.5709162814582817E-2</v>
          </cell>
          <cell r="CW108">
            <v>1.6361201619021576E-2</v>
          </cell>
          <cell r="CX108">
            <v>1.6469369285923269E-2</v>
          </cell>
          <cell r="CY108">
            <v>1.5947586731394653E-2</v>
          </cell>
          <cell r="CZ108">
            <v>1.5522141841090159E-2</v>
          </cell>
          <cell r="DA108">
            <v>1.5582303735037134E-2</v>
          </cell>
          <cell r="DB108">
            <v>1.5374235079751802E-2</v>
          </cell>
          <cell r="DC108">
            <v>1.4990216924481131E-2</v>
          </cell>
          <cell r="DD108">
            <v>1.4107791718530743E-2</v>
          </cell>
          <cell r="DE108">
            <v>1.3769765216046587E-2</v>
          </cell>
          <cell r="DF108">
            <v>1.4739378947506127E-2</v>
          </cell>
          <cell r="DG108">
            <v>1.4926457217797978E-2</v>
          </cell>
          <cell r="DH108">
            <v>1.5627528183324829E-2</v>
          </cell>
          <cell r="DI108">
            <v>1.7472537335659372E-2</v>
          </cell>
          <cell r="DJ108">
            <v>1.7399999999999999E-2</v>
          </cell>
          <cell r="DK108">
            <v>1.6816333333333336E-2</v>
          </cell>
          <cell r="DL108">
            <v>1.6623833333333334E-2</v>
          </cell>
          <cell r="DM108">
            <v>1.7353166666666666E-2</v>
          </cell>
          <cell r="DN108">
            <v>1.6908666666666666E-2</v>
          </cell>
          <cell r="DO108">
            <v>1.6255333333333333E-2</v>
          </cell>
          <cell r="DP108">
            <v>1.6063666666666667E-2</v>
          </cell>
          <cell r="DQ108">
            <v>1.5614500000000003E-2</v>
          </cell>
          <cell r="DR108">
            <v>1.52525E-2</v>
          </cell>
          <cell r="DS108">
            <v>1.4737166666666668E-2</v>
          </cell>
          <cell r="DT108">
            <v>1.4163666666666666E-2</v>
          </cell>
          <cell r="DU108">
            <v>1.0803166666666668E-2</v>
          </cell>
          <cell r="DV108">
            <v>7.9461666666666656E-3</v>
          </cell>
          <cell r="DW108">
            <v>9.9333333333333339E-3</v>
          </cell>
          <cell r="DX108">
            <v>1.1899499999999999E-2</v>
          </cell>
          <cell r="DY108">
            <v>1.2264333333333334E-2</v>
          </cell>
          <cell r="DZ108">
            <v>1.3303500000000001E-2</v>
          </cell>
          <cell r="EA108">
            <v>1.3824333333333334E-2</v>
          </cell>
          <cell r="EB108">
            <v>1.4035861321966568E-2</v>
          </cell>
          <cell r="EC108">
            <v>1.4453485514408504E-2</v>
          </cell>
          <cell r="ED108">
            <v>1.4453485514408504E-2</v>
          </cell>
          <cell r="EE108">
            <v>1.4453485514408504E-2</v>
          </cell>
        </row>
        <row r="109">
          <cell r="A109" t="str">
            <v>ASS_NIMAUPersonal</v>
          </cell>
          <cell r="B109" t="str">
            <v>Australian personal</v>
          </cell>
          <cell r="D109">
            <v>4.9896505725063683E-2</v>
          </cell>
          <cell r="E109">
            <v>5.0645544055657243E-2</v>
          </cell>
          <cell r="F109">
            <v>5.2829740652467816E-2</v>
          </cell>
          <cell r="G109">
            <v>5.2775710009410171E-2</v>
          </cell>
          <cell r="H109">
            <v>5.1933956911767082E-2</v>
          </cell>
          <cell r="I109">
            <v>5.2135341106150326E-2</v>
          </cell>
          <cell r="J109">
            <v>4.9004872993377552E-2</v>
          </cell>
          <cell r="K109">
            <v>4.3460129738482081E-2</v>
          </cell>
          <cell r="L109">
            <v>3.8877674699627912E-2</v>
          </cell>
          <cell r="M109">
            <v>3.4880678997188122E-2</v>
          </cell>
          <cell r="N109">
            <v>2.9959431317875179E-2</v>
          </cell>
          <cell r="O109">
            <v>1.9685032287483153E-2</v>
          </cell>
          <cell r="P109">
            <v>1.1999083499939271E-2</v>
          </cell>
          <cell r="Q109">
            <v>1.3897307181857922E-2</v>
          </cell>
          <cell r="R109">
            <v>1.6912246382950517E-2</v>
          </cell>
          <cell r="S109">
            <v>1.822255841123728E-2</v>
          </cell>
          <cell r="T109">
            <v>1.7429540249032531E-2</v>
          </cell>
          <cell r="U109">
            <v>1.4666523617908947E-2</v>
          </cell>
          <cell r="V109">
            <v>1.6368207651450188E-2</v>
          </cell>
          <cell r="W109">
            <v>2.1533232655971624E-2</v>
          </cell>
          <cell r="X109">
            <v>2.2237899204357703E-2</v>
          </cell>
          <cell r="Y109">
            <v>2.2883692151280347E-2</v>
          </cell>
          <cell r="Z109">
            <v>2.5444435381126354E-2</v>
          </cell>
          <cell r="AA109">
            <v>2.4085305949524585E-2</v>
          </cell>
          <cell r="AB109">
            <v>2.2181544602496509E-2</v>
          </cell>
          <cell r="AC109">
            <v>2.040628589746251E-2</v>
          </cell>
          <cell r="AD109">
            <v>1.7607193618867235E-2</v>
          </cell>
          <cell r="AE109">
            <v>1.8172045162823405E-2</v>
          </cell>
          <cell r="AF109">
            <v>1.8646231300562935E-2</v>
          </cell>
          <cell r="AG109">
            <v>1.6471887032980963E-2</v>
          </cell>
          <cell r="AH109">
            <v>1.5543819438844121E-2</v>
          </cell>
          <cell r="AI109">
            <v>1.3766328261544551E-2</v>
          </cell>
          <cell r="AJ109">
            <v>1.1665048506369693E-2</v>
          </cell>
          <cell r="AK109">
            <v>1.149211959175063E-2</v>
          </cell>
          <cell r="AL109">
            <v>1.0551065727938472E-2</v>
          </cell>
          <cell r="AM109">
            <v>1.1058168955816974E-2</v>
          </cell>
          <cell r="AN109">
            <v>1.573894388316343E-2</v>
          </cell>
          <cell r="AO109">
            <v>1.8635766098308963E-2</v>
          </cell>
          <cell r="AP109">
            <v>1.8730193848851322E-2</v>
          </cell>
          <cell r="AQ109">
            <v>2.095898584894347E-2</v>
          </cell>
          <cell r="AR109">
            <v>2.1581375229213023E-2</v>
          </cell>
          <cell r="AS109">
            <v>1.9173711396496998E-2</v>
          </cell>
          <cell r="AT109">
            <v>1.8717203925846228E-2</v>
          </cell>
          <cell r="AU109">
            <v>2.0128833264515748E-2</v>
          </cell>
          <cell r="AV109">
            <v>2.1694437593833563E-2</v>
          </cell>
          <cell r="AW109">
            <v>2.247326063061994E-2</v>
          </cell>
          <cell r="AX109">
            <v>2.1055072497303456E-2</v>
          </cell>
          <cell r="AY109">
            <v>1.7603788034111403E-2</v>
          </cell>
          <cell r="AZ109">
            <v>1.4999862262611366E-2</v>
          </cell>
          <cell r="BA109">
            <v>1.5193249894360321E-2</v>
          </cell>
          <cell r="BB109">
            <v>1.5766950521205317E-2</v>
          </cell>
          <cell r="BC109">
            <v>1.5666062258918416E-2</v>
          </cell>
          <cell r="BD109">
            <v>1.4347605755451902E-2</v>
          </cell>
          <cell r="BE109">
            <v>1.4007067780205176E-2</v>
          </cell>
          <cell r="BF109">
            <v>1.4931058796965616E-2</v>
          </cell>
          <cell r="BG109">
            <v>1.4801320878503013E-2</v>
          </cell>
          <cell r="BH109">
            <v>1.4859737964153887E-2</v>
          </cell>
          <cell r="BI109">
            <v>1.3926433757629177E-2</v>
          </cell>
          <cell r="BJ109">
            <v>1.2057686892376289E-2</v>
          </cell>
          <cell r="BK109">
            <v>1.1254514139820294E-2</v>
          </cell>
          <cell r="BL109">
            <v>1.0756606695925555E-2</v>
          </cell>
          <cell r="BM109">
            <v>9.7096577564007164E-3</v>
          </cell>
          <cell r="BN109">
            <v>8.6252253791488515E-3</v>
          </cell>
          <cell r="BO109">
            <v>8.0553150180827232E-3</v>
          </cell>
          <cell r="BP109">
            <v>7.9901286428591192E-3</v>
          </cell>
          <cell r="BQ109">
            <v>1.0201520200173654E-2</v>
          </cell>
          <cell r="BR109">
            <v>1.5817441263599179E-2</v>
          </cell>
          <cell r="BS109">
            <v>3.017232629464317E-2</v>
          </cell>
          <cell r="BT109">
            <v>4.6217900993245145E-2</v>
          </cell>
          <cell r="BU109">
            <v>5.0699940408169525E-2</v>
          </cell>
          <cell r="BV109">
            <v>4.9068265320456383E-2</v>
          </cell>
          <cell r="BW109">
            <v>4.6205490430322627E-2</v>
          </cell>
          <cell r="BX109">
            <v>4.4920333623463371E-2</v>
          </cell>
          <cell r="BY109">
            <v>4.5607568128101406E-2</v>
          </cell>
          <cell r="BZ109">
            <v>4.5912143564777935E-2</v>
          </cell>
          <cell r="CA109">
            <v>4.5919721677392111E-2</v>
          </cell>
          <cell r="CB109">
            <v>4.5818906078204741E-2</v>
          </cell>
          <cell r="CC109">
            <v>4.5852977655322924E-2</v>
          </cell>
          <cell r="CD109">
            <v>4.5951908405942099E-2</v>
          </cell>
          <cell r="CE109">
            <v>4.7479169678848201E-2</v>
          </cell>
          <cell r="CF109">
            <v>4.9110116765833503E-2</v>
          </cell>
          <cell r="CG109">
            <v>5.2863213445058982E-2</v>
          </cell>
          <cell r="CH109">
            <v>5.602576058690692E-2</v>
          </cell>
          <cell r="CI109">
            <v>5.719106706515209E-2</v>
          </cell>
          <cell r="CJ109">
            <v>5.949526133650658E-2</v>
          </cell>
          <cell r="CK109">
            <v>6.0971445207642042E-2</v>
          </cell>
          <cell r="CL109">
            <v>6.2473165828630009E-2</v>
          </cell>
          <cell r="CM109">
            <v>6.3403021973661502E-2</v>
          </cell>
          <cell r="CN109">
            <v>6.2953191456779869E-2</v>
          </cell>
          <cell r="CO109">
            <v>6.2475750323156554E-2</v>
          </cell>
          <cell r="CP109">
            <v>6.2076962662938634E-2</v>
          </cell>
          <cell r="CQ109">
            <v>6.0691182513120445E-2</v>
          </cell>
          <cell r="CR109">
            <v>6.1086688750458557E-2</v>
          </cell>
          <cell r="CS109">
            <v>6.3061193138813046E-2</v>
          </cell>
          <cell r="CT109">
            <v>6.3456004858359144E-2</v>
          </cell>
          <cell r="CU109">
            <v>6.2745247817979966E-2</v>
          </cell>
          <cell r="CV109">
            <v>6.1618824051398541E-2</v>
          </cell>
          <cell r="CW109">
            <v>6.2559540615919979E-2</v>
          </cell>
          <cell r="CX109">
            <v>6.472948790063851E-2</v>
          </cell>
          <cell r="CY109">
            <v>6.5622224154752523E-2</v>
          </cell>
          <cell r="CZ109">
            <v>6.6715858764929387E-2</v>
          </cell>
          <cell r="DA109">
            <v>6.6534907280107497E-2</v>
          </cell>
          <cell r="DB109">
            <v>6.4933720663044106E-2</v>
          </cell>
          <cell r="DC109">
            <v>6.3516017403794756E-2</v>
          </cell>
          <cell r="DD109">
            <v>6.2643651647930135E-2</v>
          </cell>
          <cell r="DE109">
            <v>6.0883479145981717E-2</v>
          </cell>
          <cell r="DF109">
            <v>6.0102091070292296E-2</v>
          </cell>
          <cell r="DG109">
            <v>5.991977299858231E-2</v>
          </cell>
          <cell r="DH109">
            <v>6.0771909715954614E-2</v>
          </cell>
          <cell r="DI109">
            <v>6.3927599172305755E-2</v>
          </cell>
          <cell r="DJ109">
            <v>6.7964945839474641E-2</v>
          </cell>
          <cell r="DK109">
            <v>6.5064945839474642E-2</v>
          </cell>
          <cell r="DL109">
            <v>6.4651928814098245E-2</v>
          </cell>
          <cell r="DM109">
            <v>6.7192655931039E-2</v>
          </cell>
          <cell r="DN109">
            <v>6.7364974378858841E-2</v>
          </cell>
          <cell r="DO109">
            <v>6.543315368452092E-2</v>
          </cell>
          <cell r="DP109">
            <v>6.4945367625723019E-2</v>
          </cell>
          <cell r="DQ109">
            <v>6.4049455243246622E-2</v>
          </cell>
          <cell r="DR109">
            <v>6.3182258410767342E-2</v>
          </cell>
          <cell r="DS109">
            <v>6.1699692125150675E-2</v>
          </cell>
          <cell r="DT109">
            <v>6.0273743392607299E-2</v>
          </cell>
          <cell r="DU109">
            <v>5.5344288326760784E-2</v>
          </cell>
          <cell r="DV109">
            <v>4.7778298419845988E-2</v>
          </cell>
          <cell r="DW109">
            <v>4.3797034590042229E-2</v>
          </cell>
          <cell r="DX109">
            <v>4.2396244113031729E-2</v>
          </cell>
          <cell r="DY109">
            <v>4.090926467368753E-2</v>
          </cell>
          <cell r="DZ109">
            <v>3.9998182793032432E-2</v>
          </cell>
          <cell r="EA109">
            <v>3.9797449907440212E-2</v>
          </cell>
          <cell r="EB109">
            <v>3.9969301790231088E-2</v>
          </cell>
          <cell r="EC109">
            <v>4.0862480625620173E-2</v>
          </cell>
          <cell r="ED109">
            <v>4.0862480625620173E-2</v>
          </cell>
          <cell r="EE109">
            <v>4.0862480625620173E-2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NZ"/>
      <sheetName val="CBA"/>
      <sheetName val="NAB"/>
      <sheetName val="WBC"/>
      <sheetName val="BEN"/>
      <sheetName val="BOQ"/>
      <sheetName val="JDO"/>
      <sheetName val="MQG - Divisional ROE Reco"/>
      <sheetName val="MQG - Consolidation Analysis"/>
      <sheetName val="MQG - Sum-of-the-Parts "/>
      <sheetName val="CBA 3Q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9">
          <cell r="C9">
            <v>-126.85810810810835</v>
          </cell>
          <cell r="D9">
            <v>-93.89285714285711</v>
          </cell>
          <cell r="F9">
            <v>-257.36619718309885</v>
          </cell>
          <cell r="G9">
            <v>-75.084507042253335</v>
          </cell>
        </row>
        <row r="16">
          <cell r="C16">
            <v>-272.51689189189187</v>
          </cell>
          <cell r="D16">
            <v>-209.73214285714289</v>
          </cell>
          <cell r="F16">
            <v>-248.13380281690141</v>
          </cell>
          <cell r="G16">
            <v>-184.41549295774649</v>
          </cell>
        </row>
        <row r="64">
          <cell r="C64">
            <v>-242.94299602297815</v>
          </cell>
          <cell r="D64">
            <v>-94.285714285714221</v>
          </cell>
          <cell r="F64">
            <v>-554.26437976438001</v>
          </cell>
          <cell r="G64">
            <v>-141.95104895104896</v>
          </cell>
        </row>
        <row r="71">
          <cell r="C71">
            <v>-132.05700397702162</v>
          </cell>
          <cell r="D71">
            <v>-190.71428571428572</v>
          </cell>
          <cell r="F71">
            <v>-171.98562023562022</v>
          </cell>
          <cell r="G71">
            <v>-124.79895104895107</v>
          </cell>
        </row>
        <row r="79">
          <cell r="D79">
            <v>0.1328358208955224</v>
          </cell>
        </row>
        <row r="91">
          <cell r="C91">
            <v>-133.31506849315065</v>
          </cell>
          <cell r="D91">
            <v>-74.285714285714221</v>
          </cell>
          <cell r="F91">
            <v>-348.09459459459458</v>
          </cell>
          <cell r="G91">
            <v>-72.048951048951039</v>
          </cell>
        </row>
        <row r="98">
          <cell r="C98">
            <v>-148.68493150684935</v>
          </cell>
          <cell r="D98">
            <v>-172.71428571428572</v>
          </cell>
          <cell r="F98">
            <v>-251.65540540540542</v>
          </cell>
          <cell r="G98">
            <v>-85.201048951048932</v>
          </cell>
        </row>
        <row r="106">
          <cell r="D106">
            <v>0.13</v>
          </cell>
        </row>
        <row r="146">
          <cell r="C146">
            <v>-333.06578947368439</v>
          </cell>
          <cell r="D146">
            <v>-68</v>
          </cell>
          <cell r="F146">
            <v>-449.90867308876523</v>
          </cell>
          <cell r="G146">
            <v>-170.90972222222194</v>
          </cell>
        </row>
        <row r="153">
          <cell r="C153">
            <v>-109.18421052631579</v>
          </cell>
          <cell r="D153">
            <v>-160.49999999999997</v>
          </cell>
          <cell r="F153">
            <v>-317.966326911235</v>
          </cell>
          <cell r="G153">
            <v>-132.46527777777783</v>
          </cell>
        </row>
        <row r="161">
          <cell r="D161">
            <v>0.1302608695652174</v>
          </cell>
        </row>
        <row r="173">
          <cell r="C173">
            <v>-80.355263157894797</v>
          </cell>
          <cell r="D173">
            <v>-93</v>
          </cell>
          <cell r="F173">
            <v>-474.79301252471987</v>
          </cell>
          <cell r="G173">
            <v>-136.42361111111109</v>
          </cell>
        </row>
        <row r="180">
          <cell r="C180">
            <v>-78.394736842105246</v>
          </cell>
          <cell r="D180">
            <v>-163.50000000000003</v>
          </cell>
          <cell r="F180">
            <v>-219.33198747528016</v>
          </cell>
          <cell r="G180">
            <v>-82.2013888888889</v>
          </cell>
        </row>
        <row r="188">
          <cell r="D188">
            <v>0.14000000000000001</v>
          </cell>
        </row>
        <row r="228">
          <cell r="C228">
            <v>-506.85637461735723</v>
          </cell>
          <cell r="D228">
            <v>-83.428571428571558</v>
          </cell>
          <cell r="F228">
            <v>-980.62110821681063</v>
          </cell>
          <cell r="G228">
            <v>-41.082762557077558</v>
          </cell>
        </row>
        <row r="235">
          <cell r="C235">
            <v>-127.14362538264257</v>
          </cell>
          <cell r="D235">
            <v>-161.57142857142861</v>
          </cell>
          <cell r="F235">
            <v>-683.12889178318846</v>
          </cell>
          <cell r="G235">
            <v>-41.167237442922371</v>
          </cell>
        </row>
        <row r="243">
          <cell r="D243">
            <v>0.13834862385321095</v>
          </cell>
        </row>
        <row r="255">
          <cell r="C255">
            <v>-519.40506329113941</v>
          </cell>
          <cell r="D255">
            <v>-51.785714285714221</v>
          </cell>
          <cell r="F255">
            <v>-692.63648124191468</v>
          </cell>
          <cell r="G255">
            <v>-255.95890410958896</v>
          </cell>
        </row>
        <row r="262">
          <cell r="C262">
            <v>-185.34493670886073</v>
          </cell>
          <cell r="D262">
            <v>-158.46428571428572</v>
          </cell>
          <cell r="F262">
            <v>-295.86351875808538</v>
          </cell>
          <cell r="G262">
            <v>-91.541095890410972</v>
          </cell>
        </row>
        <row r="270">
          <cell r="D270">
            <v>0.14499999999999999</v>
          </cell>
        </row>
      </sheetData>
      <sheetData sheetId="8">
        <row r="86">
          <cell r="C86">
            <v>0.10672718585762071</v>
          </cell>
          <cell r="D86">
            <v>8.2977335164835145E-2</v>
          </cell>
          <cell r="E86">
            <v>0.1229865220249835</v>
          </cell>
          <cell r="F86">
            <v>0.15211486626580967</v>
          </cell>
          <cell r="G86">
            <v>0.20091408591408599</v>
          </cell>
          <cell r="H86">
            <v>0.28805771774521766</v>
          </cell>
          <cell r="I86">
            <v>0.5384763936246717</v>
          </cell>
          <cell r="J86">
            <v>0.44266321363167338</v>
          </cell>
          <cell r="K86">
            <v>0.45569425082021003</v>
          </cell>
          <cell r="L86">
            <v>0.43037402943453806</v>
          </cell>
          <cell r="M86">
            <v>0.45298844575527103</v>
          </cell>
          <cell r="N86">
            <v>0.42507660734002273</v>
          </cell>
          <cell r="O86">
            <v>0.44528645377331338</v>
          </cell>
          <cell r="P86">
            <v>0.41162557891139351</v>
          </cell>
          <cell r="Q86">
            <v>0.42382441207130994</v>
          </cell>
          <cell r="T86">
            <v>0.10743362831858404</v>
          </cell>
          <cell r="U86">
            <v>0.16719298245614039</v>
          </cell>
          <cell r="V86">
            <v>0.42081784127239485</v>
          </cell>
          <cell r="W86">
            <v>0.44836656477785103</v>
          </cell>
          <cell r="X86">
            <v>0.44087396943150353</v>
          </cell>
          <cell r="Y86">
            <v>0.43410662259857619</v>
          </cell>
          <cell r="Z86">
            <v>0.41654584617943224</v>
          </cell>
        </row>
        <row r="87">
          <cell r="C87">
            <v>0.14401360544217681</v>
          </cell>
          <cell r="D87">
            <v>0.14038461538461539</v>
          </cell>
          <cell r="E87">
            <v>0.13061872909698999</v>
          </cell>
          <cell r="F87">
            <v>0.13035714285714289</v>
          </cell>
          <cell r="G87">
            <v>0.13320075446941121</v>
          </cell>
          <cell r="H87">
            <v>0.13537087912087914</v>
          </cell>
          <cell r="I87">
            <v>0.1168647029104344</v>
          </cell>
          <cell r="J87">
            <v>0.119132560166215</v>
          </cell>
          <cell r="K87">
            <v>0.11993080585599529</v>
          </cell>
          <cell r="L87">
            <v>0.12202139839078462</v>
          </cell>
          <cell r="M87">
            <v>0.12199238738470763</v>
          </cell>
          <cell r="N87">
            <v>0.12094445648486583</v>
          </cell>
          <cell r="O87">
            <v>0.1196630879982212</v>
          </cell>
          <cell r="P87">
            <v>0.11938438680107126</v>
          </cell>
          <cell r="Q87">
            <v>0.11806291294534074</v>
          </cell>
          <cell r="T87">
            <v>0.13500000000000001</v>
          </cell>
          <cell r="U87">
            <v>0.13250000000000001</v>
          </cell>
          <cell r="V87">
            <v>0.12609569587509828</v>
          </cell>
          <cell r="W87">
            <v>0.11923125176951511</v>
          </cell>
          <cell r="X87">
            <v>0.12169918614591087</v>
          </cell>
          <cell r="Y87">
            <v>0.11992729884868081</v>
          </cell>
          <cell r="Z87">
            <v>0.11832114281625844</v>
          </cell>
        </row>
        <row r="88">
          <cell r="C88">
            <v>0.53493147477522496</v>
          </cell>
          <cell r="D88">
            <v>0.14697181143324758</v>
          </cell>
          <cell r="E88">
            <v>0.22188394288003657</v>
          </cell>
          <cell r="F88">
            <v>0.14657504485310607</v>
          </cell>
          <cell r="G88">
            <v>0.15171373098055785</v>
          </cell>
          <cell r="H88">
            <v>0.10878017072213497</v>
          </cell>
          <cell r="I88">
            <v>0.19316842728913969</v>
          </cell>
          <cell r="J88">
            <v>0.13283696847897966</v>
          </cell>
          <cell r="K88">
            <v>0.15657054696439893</v>
          </cell>
          <cell r="L88">
            <v>0.13304249682248598</v>
          </cell>
          <cell r="M88">
            <v>0.17151147380485587</v>
          </cell>
          <cell r="N88">
            <v>0.14064301251186978</v>
          </cell>
          <cell r="O88">
            <v>0.1822064642917291</v>
          </cell>
          <cell r="P88">
            <v>0.15588196764663312</v>
          </cell>
          <cell r="Q88">
            <v>0.19081601196467374</v>
          </cell>
          <cell r="T88">
            <v>0.18239583333333331</v>
          </cell>
          <cell r="U88">
            <v>0.14451923076923076</v>
          </cell>
          <cell r="V88">
            <v>0.15163791317414971</v>
          </cell>
          <cell r="W88">
            <v>0.14459751759216932</v>
          </cell>
          <cell r="X88">
            <v>0.15211000332309332</v>
          </cell>
          <cell r="Y88">
            <v>0.16110132521141618</v>
          </cell>
          <cell r="Z88">
            <v>0.17292572739838888</v>
          </cell>
        </row>
        <row r="89">
          <cell r="C89">
            <v>5.980239639878198E-2</v>
          </cell>
          <cell r="D89">
            <v>9.5260989010989006E-2</v>
          </cell>
          <cell r="E89">
            <v>0.12613766184310746</v>
          </cell>
          <cell r="F89">
            <v>7.5206043956043966E-2</v>
          </cell>
          <cell r="G89">
            <v>0.12900422989708704</v>
          </cell>
          <cell r="H89">
            <v>0.14038461538461541</v>
          </cell>
          <cell r="I89">
            <v>0.10827443435992029</v>
          </cell>
          <cell r="J89">
            <v>0.11427799810754856</v>
          </cell>
          <cell r="K89">
            <v>0.1159487856576793</v>
          </cell>
          <cell r="L89">
            <v>0.12241086147436646</v>
          </cell>
          <cell r="M89">
            <v>0.12867488818987038</v>
          </cell>
          <cell r="N89">
            <v>0.13750229515893764</v>
          </cell>
          <cell r="O89">
            <v>0.14401034097047566</v>
          </cell>
          <cell r="P89">
            <v>0.152380671091014</v>
          </cell>
          <cell r="Q89">
            <v>0.15779923358633088</v>
          </cell>
          <cell r="T89">
            <v>0.11020833333333338</v>
          </cell>
          <cell r="U89">
            <v>0.10316666666666667</v>
          </cell>
          <cell r="V89">
            <v>0.12140662474313413</v>
          </cell>
          <cell r="W89">
            <v>0.11490386954354952</v>
          </cell>
          <cell r="X89">
            <v>0.12531793964757049</v>
          </cell>
          <cell r="Y89">
            <v>0.14041285383438823</v>
          </cell>
          <cell r="Z89">
            <v>0.15466286241064803</v>
          </cell>
        </row>
        <row r="90">
          <cell r="C90">
            <v>-6.696262994479027E-2</v>
          </cell>
          <cell r="D90">
            <v>-3.0334324362997225E-2</v>
          </cell>
          <cell r="E90">
            <v>-1.7654000928648147E-3</v>
          </cell>
          <cell r="F90">
            <v>-4.1880445530700201E-2</v>
          </cell>
          <cell r="G90">
            <v>-3.4595034595034595E-2</v>
          </cell>
          <cell r="H90">
            <v>-0.28800597277574835</v>
          </cell>
          <cell r="I90">
            <v>-0.14821101740440165</v>
          </cell>
          <cell r="J90">
            <v>-3.2131917384589981E-2</v>
          </cell>
          <cell r="K90">
            <v>-9.5838440833217239E-3</v>
          </cell>
          <cell r="L90">
            <v>-3.5462241405825948E-2</v>
          </cell>
          <cell r="M90">
            <v>-8.3174614845269081E-3</v>
          </cell>
          <cell r="N90">
            <v>-4.8478289338487711E-2</v>
          </cell>
          <cell r="O90">
            <v>-2.9552320358176728E-2</v>
          </cell>
          <cell r="P90">
            <v>-6.2739907822895041E-2</v>
          </cell>
          <cell r="Q90">
            <v>-4.6055953143674361E-2</v>
          </cell>
          <cell r="T90">
            <v>-1.5779864371413609E-2</v>
          </cell>
          <cell r="U90">
            <v>-3.5144039874968322E-2</v>
          </cell>
          <cell r="V90">
            <v>-0.18398028502023597</v>
          </cell>
          <cell r="W90">
            <v>-2.0816435373673729E-2</v>
          </cell>
          <cell r="X90">
            <v>-2.0984898241399343E-2</v>
          </cell>
          <cell r="Y90">
            <v>-3.7435958612221973E-2</v>
          </cell>
          <cell r="Z90">
            <v>-5.3075759232639338E-2</v>
          </cell>
        </row>
        <row r="91">
          <cell r="C91">
            <v>0.17893095864006986</v>
          </cell>
          <cell r="D91">
            <v>8.6246686480707685E-2</v>
          </cell>
          <cell r="E91">
            <v>0.12779220114549456</v>
          </cell>
          <cell r="F91">
            <v>9.82930113364896E-2</v>
          </cell>
          <cell r="G91">
            <v>0.12467829266292056</v>
          </cell>
          <cell r="H91">
            <v>9.4943816427861774E-2</v>
          </cell>
          <cell r="I91">
            <v>0.14277704169521949</v>
          </cell>
          <cell r="J91">
            <v>0.11923823278170595</v>
          </cell>
          <cell r="K91">
            <v>0.13569347438208459</v>
          </cell>
          <cell r="L91">
            <v>0.12525936402599008</v>
          </cell>
          <cell r="M91">
            <v>0.14456597440731472</v>
          </cell>
          <cell r="N91">
            <v>0.12718892605198384</v>
          </cell>
          <cell r="O91">
            <v>0.14476397605304159</v>
          </cell>
          <cell r="P91">
            <v>0.12845016155808295</v>
          </cell>
          <cell r="Q91">
            <v>0.14187707339124947</v>
          </cell>
          <cell r="T91">
            <v>0.10570862596794527</v>
          </cell>
          <cell r="U91">
            <v>0.10793613899501721</v>
          </cell>
          <cell r="V91">
            <v>0.11700030490155273</v>
          </cell>
          <cell r="W91">
            <v>0.12668551040000045</v>
          </cell>
          <cell r="X91">
            <v>0.13415585056000234</v>
          </cell>
          <cell r="Y91">
            <v>0.13504203234529774</v>
          </cell>
          <cell r="Z91">
            <v>0.13447766357066424</v>
          </cell>
        </row>
      </sheetData>
      <sheetData sheetId="9">
        <row r="13">
          <cell r="J13">
            <v>22168.839453381974</v>
          </cell>
          <cell r="K13">
            <v>58.809449425220357</v>
          </cell>
          <cell r="M13">
            <v>8.1578947368421062</v>
          </cell>
        </row>
        <row r="14">
          <cell r="J14">
            <v>15307.263104119715</v>
          </cell>
          <cell r="K14">
            <v>40.607074504431843</v>
          </cell>
          <cell r="M14">
            <v>1.6666666666666667</v>
          </cell>
        </row>
        <row r="17">
          <cell r="K17">
            <v>71.690287323197552</v>
          </cell>
          <cell r="M17">
            <v>2.192982456140351</v>
          </cell>
        </row>
        <row r="18">
          <cell r="K18">
            <v>34.180276607800216</v>
          </cell>
          <cell r="M18">
            <v>1.8421052631578951</v>
          </cell>
        </row>
        <row r="19">
          <cell r="J19">
            <v>39909.020702696493</v>
          </cell>
        </row>
        <row r="23">
          <cell r="J23">
            <v>3928.4165341639232</v>
          </cell>
          <cell r="K23">
            <v>10.421294897864726</v>
          </cell>
          <cell r="M23">
            <v>0.70387010225261737</v>
          </cell>
        </row>
        <row r="25">
          <cell r="M25">
            <v>2.2095692542011847</v>
          </cell>
        </row>
      </sheetData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_FDSCACHE__"/>
      <sheetName val="Cover Page"/>
      <sheetName val="Summary"/>
      <sheetName val="Group Model"/>
      <sheetName val="Divisional Model"/>
      <sheetName val="FinSum"/>
      <sheetName val="Group P&amp;L"/>
      <sheetName val="RIM"/>
      <sheetName val="Earnings Changes"/>
      <sheetName val="Old"/>
      <sheetName val="Dummy brokers ex-sheet"/>
    </sheetNames>
    <sheetDataSet>
      <sheetData sheetId="0"/>
      <sheetData sheetId="1"/>
      <sheetData sheetId="2"/>
      <sheetData sheetId="3">
        <row r="30">
          <cell r="BP30">
            <v>0.26038394912141399</v>
          </cell>
        </row>
        <row r="73">
          <cell r="R73">
            <v>5218</v>
          </cell>
          <cell r="S73">
            <v>5146</v>
          </cell>
          <cell r="T73">
            <v>5397</v>
          </cell>
          <cell r="U73">
            <v>5523</v>
          </cell>
          <cell r="V73">
            <v>5830</v>
          </cell>
          <cell r="W73">
            <v>6924</v>
          </cell>
          <cell r="X73">
            <v>6320</v>
          </cell>
          <cell r="Y73">
            <v>6005</v>
          </cell>
          <cell r="Z73">
            <v>5519</v>
          </cell>
          <cell r="AA73">
            <v>7255</v>
          </cell>
          <cell r="AB73">
            <v>7804</v>
          </cell>
          <cell r="AC73">
            <v>9520</v>
          </cell>
          <cell r="AD73">
            <v>8624</v>
          </cell>
          <cell r="AE73">
            <v>10498</v>
          </cell>
          <cell r="AF73">
            <v>7910</v>
          </cell>
          <cell r="AG73">
            <v>8977</v>
          </cell>
          <cell r="AH73">
            <v>8216</v>
          </cell>
          <cell r="AI73">
            <v>8992</v>
          </cell>
          <cell r="AJ73">
            <v>8691</v>
          </cell>
          <cell r="AK73">
            <v>9645.7412652496077</v>
          </cell>
          <cell r="AL73">
            <v>9061.4307877064239</v>
          </cell>
          <cell r="AM73">
            <v>9474.2899324760965</v>
          </cell>
          <cell r="AN73">
            <v>9475.8858716101477</v>
          </cell>
          <cell r="AO73">
            <v>9965.1150966245605</v>
          </cell>
          <cell r="AP73">
            <v>9869.9737206974532</v>
          </cell>
          <cell r="AQ73">
            <v>10358.088512754299</v>
          </cell>
          <cell r="AR73">
            <v>10281.497968523197</v>
          </cell>
          <cell r="AS73">
            <v>10773.688582995508</v>
          </cell>
          <cell r="BG73">
            <v>10364</v>
          </cell>
          <cell r="BH73">
            <v>10920</v>
          </cell>
          <cell r="BI73">
            <v>12754</v>
          </cell>
          <cell r="BJ73">
            <v>12325</v>
          </cell>
          <cell r="BK73">
            <v>12774</v>
          </cell>
          <cell r="BL73">
            <v>17324</v>
          </cell>
          <cell r="BM73">
            <v>19122</v>
          </cell>
          <cell r="BN73">
            <v>16887</v>
          </cell>
          <cell r="BO73">
            <v>17208</v>
          </cell>
          <cell r="BP73">
            <v>18336.741265249613</v>
          </cell>
          <cell r="BQ73">
            <v>18535.720720182526</v>
          </cell>
          <cell r="BR73">
            <v>19441.000968234708</v>
          </cell>
          <cell r="BS73">
            <v>20228.062233451754</v>
          </cell>
          <cell r="BT73">
            <v>21055.186551518702</v>
          </cell>
        </row>
        <row r="81">
          <cell r="R81">
            <v>1050</v>
          </cell>
          <cell r="S81">
            <v>1167</v>
          </cell>
          <cell r="T81">
            <v>1248</v>
          </cell>
          <cell r="U81">
            <v>1309</v>
          </cell>
          <cell r="V81">
            <v>1310</v>
          </cell>
          <cell r="W81">
            <v>1672</v>
          </cell>
          <cell r="X81">
            <v>1457</v>
          </cell>
          <cell r="Y81">
            <v>1274</v>
          </cell>
          <cell r="Z81">
            <v>985</v>
          </cell>
          <cell r="AA81">
            <v>2030</v>
          </cell>
          <cell r="AB81">
            <v>2043</v>
          </cell>
          <cell r="AC81">
            <v>2663</v>
          </cell>
          <cell r="AD81">
            <v>2305</v>
          </cell>
          <cell r="AE81">
            <v>2877</v>
          </cell>
          <cell r="AF81">
            <v>1415</v>
          </cell>
          <cell r="AG81">
            <v>2107</v>
          </cell>
          <cell r="AH81">
            <v>1612</v>
          </cell>
          <cell r="AI81">
            <v>2103</v>
          </cell>
          <cell r="AJ81">
            <v>1655</v>
          </cell>
          <cell r="AK81">
            <v>2533.9297868946937</v>
          </cell>
          <cell r="AL81">
            <v>2059.2813013944969</v>
          </cell>
          <cell r="AM81">
            <v>2348.1734035065929</v>
          </cell>
          <cell r="AN81">
            <v>2211.0239520021032</v>
          </cell>
          <cell r="AO81">
            <v>2566.1753099546604</v>
          </cell>
          <cell r="AP81">
            <v>2344.0123212241538</v>
          </cell>
          <cell r="AQ81">
            <v>2703.6335326550557</v>
          </cell>
          <cell r="AR81">
            <v>2484.5627929960929</v>
          </cell>
          <cell r="AS81">
            <v>2853.1475115203998</v>
          </cell>
          <cell r="BG81">
            <v>2217</v>
          </cell>
          <cell r="BH81">
            <v>2557</v>
          </cell>
          <cell r="BI81">
            <v>2982</v>
          </cell>
          <cell r="BJ81">
            <v>2731</v>
          </cell>
          <cell r="BK81">
            <v>3015</v>
          </cell>
          <cell r="BL81">
            <v>4706</v>
          </cell>
          <cell r="BM81">
            <v>5182</v>
          </cell>
          <cell r="BN81">
            <v>3522</v>
          </cell>
          <cell r="BO81">
            <v>3715</v>
          </cell>
          <cell r="BP81">
            <v>4188.9297868946987</v>
          </cell>
          <cell r="BQ81">
            <v>4407.4547049010944</v>
          </cell>
          <cell r="BR81">
            <v>4777.1992619567645</v>
          </cell>
          <cell r="BS81">
            <v>5047.6458538792122</v>
          </cell>
          <cell r="BT81">
            <v>5337.7103045164895</v>
          </cell>
        </row>
      </sheetData>
      <sheetData sheetId="4">
        <row r="12">
          <cell r="Q12">
            <v>1096</v>
          </cell>
        </row>
        <row r="29">
          <cell r="Q29">
            <v>-2290</v>
          </cell>
          <cell r="R29">
            <v>-2089</v>
          </cell>
          <cell r="S29">
            <v>-2261</v>
          </cell>
          <cell r="T29">
            <v>-2232</v>
          </cell>
          <cell r="U29">
            <v>-2454</v>
          </cell>
          <cell r="V29">
            <v>-2763</v>
          </cell>
          <cell r="W29">
            <v>-2776</v>
          </cell>
          <cell r="X29">
            <v>-2547</v>
          </cell>
          <cell r="Y29">
            <v>-2615</v>
          </cell>
          <cell r="Z29">
            <v>-2902</v>
          </cell>
          <cell r="AA29">
            <v>-3164</v>
          </cell>
          <cell r="AB29">
            <v>-3561</v>
          </cell>
          <cell r="AC29">
            <v>-3613</v>
          </cell>
          <cell r="AD29">
            <v>-4090</v>
          </cell>
          <cell r="AE29">
            <v>-3734</v>
          </cell>
          <cell r="AF29">
            <v>-3989</v>
          </cell>
          <cell r="AG29">
            <v>-3756</v>
          </cell>
          <cell r="AH29">
            <v>-3904</v>
          </cell>
          <cell r="AI29">
            <v>-3956</v>
          </cell>
          <cell r="AJ29">
            <v>-3930.0358010918389</v>
          </cell>
          <cell r="AK29">
            <v>-3882.9045688270653</v>
          </cell>
          <cell r="AL29">
            <v>-4006.6821613359616</v>
          </cell>
          <cell r="AM29">
            <v>-4037.2675706865839</v>
          </cell>
          <cell r="AN29">
            <v>-4150.2224071330911</v>
          </cell>
          <cell r="AO29">
            <v>-4164.7451244331096</v>
          </cell>
          <cell r="AP29">
            <v>-4264.2969135595649</v>
          </cell>
          <cell r="AQ29">
            <v>-4288.7512922560163</v>
          </cell>
          <cell r="AR29">
            <v>-4390.5766675650457</v>
          </cell>
          <cell r="BA29">
            <v>-4379</v>
          </cell>
          <cell r="BB29">
            <v>-4493</v>
          </cell>
          <cell r="BC29">
            <v>-5217</v>
          </cell>
          <cell r="BD29">
            <v>-5323</v>
          </cell>
          <cell r="BE29">
            <v>-5517</v>
          </cell>
          <cell r="BF29">
            <v>-6725</v>
          </cell>
          <cell r="BG29">
            <v>-7703</v>
          </cell>
          <cell r="BH29">
            <v>-7723</v>
          </cell>
          <cell r="BI29">
            <v>-7660</v>
          </cell>
          <cell r="BJ29">
            <v>-7886.0358010918389</v>
          </cell>
          <cell r="BK29">
            <v>-7889.5867301630269</v>
          </cell>
          <cell r="BL29">
            <v>-8187.489977819675</v>
          </cell>
          <cell r="BM29">
            <v>-8429.0420379926745</v>
          </cell>
          <cell r="BN29">
            <v>-8679.3279598210611</v>
          </cell>
        </row>
        <row r="30">
          <cell r="Q30">
            <v>-418</v>
          </cell>
          <cell r="R30">
            <v>-434</v>
          </cell>
          <cell r="S30">
            <v>-422</v>
          </cell>
          <cell r="T30">
            <v>-408</v>
          </cell>
          <cell r="U30">
            <v>-579</v>
          </cell>
          <cell r="V30">
            <v>-561</v>
          </cell>
          <cell r="W30">
            <v>-482</v>
          </cell>
          <cell r="X30">
            <v>-482</v>
          </cell>
          <cell r="Y30">
            <v>-471</v>
          </cell>
          <cell r="Z30">
            <v>-408</v>
          </cell>
          <cell r="AA30">
            <v>-498</v>
          </cell>
          <cell r="AB30">
            <v>-531</v>
          </cell>
          <cell r="AC30">
            <v>-500</v>
          </cell>
          <cell r="AD30">
            <v>-528</v>
          </cell>
          <cell r="AE30">
            <v>-529</v>
          </cell>
          <cell r="AF30">
            <v>-542</v>
          </cell>
          <cell r="AG30">
            <v>-580</v>
          </cell>
          <cell r="AH30">
            <v>-626</v>
          </cell>
          <cell r="AI30">
            <v>-628</v>
          </cell>
          <cell r="AJ30">
            <v>-612.92823991942123</v>
          </cell>
          <cell r="AK30">
            <v>-636.84404178513637</v>
          </cell>
          <cell r="AL30">
            <v>-609.1264160597309</v>
          </cell>
          <cell r="AM30">
            <v>-639.13903474557492</v>
          </cell>
          <cell r="AN30">
            <v>-615.41519883545072</v>
          </cell>
          <cell r="AO30">
            <v>-639.49372543372886</v>
          </cell>
          <cell r="AP30">
            <v>-618.08445508231262</v>
          </cell>
          <cell r="AQ30">
            <v>-641.14347608539344</v>
          </cell>
          <cell r="AR30">
            <v>-621.94462192894775</v>
          </cell>
          <cell r="BA30">
            <v>-852</v>
          </cell>
          <cell r="BB30">
            <v>-830</v>
          </cell>
          <cell r="BC30">
            <v>-1140</v>
          </cell>
          <cell r="BD30">
            <v>-964</v>
          </cell>
          <cell r="BE30">
            <v>-879</v>
          </cell>
          <cell r="BF30">
            <v>-1029</v>
          </cell>
          <cell r="BG30">
            <v>-1028</v>
          </cell>
          <cell r="BH30">
            <v>-1071</v>
          </cell>
          <cell r="BI30">
            <v>-1206</v>
          </cell>
          <cell r="BJ30">
            <v>-1240.9282399194212</v>
          </cell>
          <cell r="BK30">
            <v>-1245.9704578448673</v>
          </cell>
          <cell r="BL30">
            <v>-1254.5542335810255</v>
          </cell>
          <cell r="BM30">
            <v>-1257.5781805160414</v>
          </cell>
          <cell r="BN30">
            <v>-1263.0880980143411</v>
          </cell>
        </row>
        <row r="31">
          <cell r="Q31">
            <v>-1025</v>
          </cell>
          <cell r="R31">
            <v>-1004</v>
          </cell>
          <cell r="S31">
            <v>-1010</v>
          </cell>
          <cell r="T31">
            <v>-1123</v>
          </cell>
          <cell r="U31">
            <v>-1092</v>
          </cell>
          <cell r="V31">
            <v>-1438</v>
          </cell>
          <cell r="W31">
            <v>-1222</v>
          </cell>
          <cell r="X31">
            <v>-1362</v>
          </cell>
          <cell r="Y31">
            <v>-1180</v>
          </cell>
          <cell r="Z31">
            <v>-1291</v>
          </cell>
          <cell r="AA31">
            <v>-1407</v>
          </cell>
          <cell r="AB31">
            <v>-1624</v>
          </cell>
          <cell r="AC31">
            <v>-1483</v>
          </cell>
          <cell r="AD31">
            <v>-1916</v>
          </cell>
          <cell r="AE31">
            <v>-1656</v>
          </cell>
          <cell r="AF31">
            <v>-1611</v>
          </cell>
          <cell r="AG31">
            <v>-1583</v>
          </cell>
          <cell r="AH31">
            <v>-1691</v>
          </cell>
          <cell r="AI31">
            <v>-1655</v>
          </cell>
          <cell r="AJ31">
            <v>-1820.8159589887396</v>
          </cell>
          <cell r="AK31">
            <v>-1562.7088893877981</v>
          </cell>
          <cell r="AL31">
            <v>-1775.1392726043086</v>
          </cell>
          <cell r="AM31">
            <v>-1603.7307633178407</v>
          </cell>
          <cell r="AN31">
            <v>-1833.0160491564598</v>
          </cell>
          <cell r="AO31">
            <v>-1680.0029833675371</v>
          </cell>
          <cell r="AP31">
            <v>-1930.7285302746855</v>
          </cell>
          <cell r="AQ31">
            <v>-1765.0849244730834</v>
          </cell>
          <cell r="AR31">
            <v>-2022.0146811373593</v>
          </cell>
          <cell r="BA31">
            <v>-2029</v>
          </cell>
          <cell r="BB31">
            <v>-2133</v>
          </cell>
          <cell r="BC31">
            <v>-2530</v>
          </cell>
          <cell r="BD31">
            <v>-2584</v>
          </cell>
          <cell r="BE31">
            <v>-2471</v>
          </cell>
          <cell r="BF31">
            <v>-3031</v>
          </cell>
          <cell r="BG31">
            <v>-3399</v>
          </cell>
          <cell r="BH31">
            <v>-3267</v>
          </cell>
          <cell r="BI31">
            <v>-3274</v>
          </cell>
          <cell r="BJ31">
            <v>-3475.8159589887396</v>
          </cell>
          <cell r="BK31">
            <v>-3337.8481619921067</v>
          </cell>
          <cell r="BL31">
            <v>-3436.7468124743004</v>
          </cell>
          <cell r="BM31">
            <v>-3610.7315136422226</v>
          </cell>
          <cell r="BN31">
            <v>-3787.0996056104427</v>
          </cell>
        </row>
        <row r="81">
          <cell r="Q81">
            <v>465</v>
          </cell>
          <cell r="R81">
            <v>465</v>
          </cell>
          <cell r="S81">
            <v>450</v>
          </cell>
          <cell r="T81">
            <v>468</v>
          </cell>
          <cell r="U81">
            <v>494</v>
          </cell>
          <cell r="V81">
            <v>482</v>
          </cell>
          <cell r="W81">
            <v>514</v>
          </cell>
          <cell r="X81">
            <v>573</v>
          </cell>
          <cell r="Y81">
            <v>500</v>
          </cell>
          <cell r="Z81">
            <v>528</v>
          </cell>
          <cell r="AA81">
            <v>833</v>
          </cell>
          <cell r="AB81">
            <v>850</v>
          </cell>
          <cell r="AC81">
            <v>787</v>
          </cell>
          <cell r="AD81">
            <v>742</v>
          </cell>
          <cell r="AE81">
            <v>741</v>
          </cell>
          <cell r="AF81">
            <v>733</v>
          </cell>
          <cell r="AG81">
            <v>721</v>
          </cell>
          <cell r="AH81">
            <v>744</v>
          </cell>
          <cell r="AI81">
            <v>716</v>
          </cell>
          <cell r="AJ81">
            <v>492.69846812360322</v>
          </cell>
          <cell r="AK81">
            <v>270.1180949562696</v>
          </cell>
          <cell r="AL81">
            <v>268.36693197932027</v>
          </cell>
          <cell r="AM81">
            <v>269.70071975725375</v>
          </cell>
          <cell r="AN81">
            <v>268.05924346978918</v>
          </cell>
          <cell r="AO81">
            <v>267.22203282370134</v>
          </cell>
          <cell r="AP81">
            <v>263.86253005762944</v>
          </cell>
          <cell r="AQ81">
            <v>262.6954521409159</v>
          </cell>
          <cell r="AR81">
            <v>258.40812430496658</v>
          </cell>
          <cell r="BA81">
            <v>930</v>
          </cell>
          <cell r="BB81">
            <v>918</v>
          </cell>
          <cell r="BC81">
            <v>976</v>
          </cell>
          <cell r="BD81">
            <v>1087</v>
          </cell>
          <cell r="BE81">
            <v>1028</v>
          </cell>
          <cell r="BF81">
            <v>1683</v>
          </cell>
          <cell r="BG81">
            <v>1529</v>
          </cell>
          <cell r="BH81">
            <v>1474</v>
          </cell>
          <cell r="BI81">
            <v>1465</v>
          </cell>
          <cell r="BJ81">
            <v>1208.6984681236031</v>
          </cell>
          <cell r="BK81">
            <v>538.48502693558987</v>
          </cell>
          <cell r="BL81">
            <v>537.75996322704293</v>
          </cell>
          <cell r="BM81">
            <v>531.08456288133084</v>
          </cell>
          <cell r="BN81">
            <v>521.10357644588248</v>
          </cell>
        </row>
        <row r="82">
          <cell r="Q82">
            <v>325</v>
          </cell>
          <cell r="R82">
            <v>319</v>
          </cell>
          <cell r="S82">
            <v>325</v>
          </cell>
          <cell r="T82">
            <v>325</v>
          </cell>
          <cell r="U82">
            <v>385</v>
          </cell>
          <cell r="V82">
            <v>417</v>
          </cell>
          <cell r="W82">
            <v>436</v>
          </cell>
          <cell r="X82">
            <v>498</v>
          </cell>
          <cell r="Y82">
            <v>471</v>
          </cell>
          <cell r="Z82">
            <v>486</v>
          </cell>
          <cell r="AA82">
            <v>529</v>
          </cell>
          <cell r="AB82">
            <v>559</v>
          </cell>
          <cell r="AC82">
            <v>591</v>
          </cell>
          <cell r="AD82">
            <v>662</v>
          </cell>
          <cell r="AE82">
            <v>666</v>
          </cell>
          <cell r="AF82">
            <v>734</v>
          </cell>
          <cell r="AG82">
            <v>715</v>
          </cell>
          <cell r="AH82">
            <v>745</v>
          </cell>
          <cell r="AI82">
            <v>749</v>
          </cell>
          <cell r="AJ82">
            <v>768.39141297983952</v>
          </cell>
          <cell r="AK82">
            <v>800.94939467692905</v>
          </cell>
          <cell r="AL82">
            <v>827.83855719024109</v>
          </cell>
          <cell r="AM82">
            <v>846.19022108324975</v>
          </cell>
          <cell r="AN82">
            <v>852.9084851844824</v>
          </cell>
          <cell r="AO82">
            <v>862.4427092800762</v>
          </cell>
          <cell r="AP82">
            <v>861.7053968020781</v>
          </cell>
          <cell r="AQ82">
            <v>863.76197791008929</v>
          </cell>
          <cell r="AR82">
            <v>853.58068889701633</v>
          </cell>
          <cell r="BA82">
            <v>644</v>
          </cell>
          <cell r="BB82">
            <v>650</v>
          </cell>
          <cell r="BC82">
            <v>802</v>
          </cell>
          <cell r="BD82">
            <v>934</v>
          </cell>
          <cell r="BE82">
            <v>957</v>
          </cell>
          <cell r="BF82">
            <v>1088</v>
          </cell>
          <cell r="BG82">
            <v>1253</v>
          </cell>
          <cell r="BH82">
            <v>1400</v>
          </cell>
          <cell r="BI82">
            <v>1460</v>
          </cell>
          <cell r="BJ82">
            <v>1517.3914129798395</v>
          </cell>
          <cell r="BK82">
            <v>1628.7879518671702</v>
          </cell>
          <cell r="BL82">
            <v>1699.0987062677323</v>
          </cell>
          <cell r="BM82">
            <v>1724.1481060821543</v>
          </cell>
          <cell r="BN82">
            <v>1717.3426668071056</v>
          </cell>
        </row>
        <row r="83">
          <cell r="Q83">
            <v>5</v>
          </cell>
          <cell r="R83">
            <v>5</v>
          </cell>
          <cell r="S83">
            <v>7</v>
          </cell>
          <cell r="T83">
            <v>21</v>
          </cell>
          <cell r="U83">
            <v>3</v>
          </cell>
          <cell r="V83">
            <v>3</v>
          </cell>
          <cell r="W83">
            <v>4</v>
          </cell>
          <cell r="X83">
            <v>2</v>
          </cell>
          <cell r="Y83">
            <v>2</v>
          </cell>
          <cell r="Z83">
            <v>11</v>
          </cell>
          <cell r="AA83">
            <v>1</v>
          </cell>
          <cell r="AB83">
            <v>4</v>
          </cell>
          <cell r="AC83">
            <v>0</v>
          </cell>
          <cell r="AD83">
            <v>1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BA83">
            <v>10</v>
          </cell>
          <cell r="BB83">
            <v>28</v>
          </cell>
          <cell r="BC83">
            <v>6</v>
          </cell>
          <cell r="BD83">
            <v>6</v>
          </cell>
          <cell r="BE83">
            <v>13</v>
          </cell>
          <cell r="BF83">
            <v>5</v>
          </cell>
          <cell r="BG83">
            <v>1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</row>
        <row r="84">
          <cell r="Q84">
            <v>165</v>
          </cell>
          <cell r="R84">
            <v>89</v>
          </cell>
          <cell r="S84">
            <v>530</v>
          </cell>
          <cell r="T84">
            <v>37</v>
          </cell>
          <cell r="U84">
            <v>279</v>
          </cell>
          <cell r="V84">
            <v>480</v>
          </cell>
          <cell r="W84">
            <v>542</v>
          </cell>
          <cell r="X84">
            <v>273</v>
          </cell>
          <cell r="Y84">
            <v>411</v>
          </cell>
          <cell r="Z84">
            <v>229</v>
          </cell>
          <cell r="AA84">
            <v>176</v>
          </cell>
          <cell r="AB84">
            <v>213</v>
          </cell>
          <cell r="AC84">
            <v>237</v>
          </cell>
          <cell r="AD84">
            <v>454</v>
          </cell>
          <cell r="AE84">
            <v>236</v>
          </cell>
          <cell r="AF84">
            <v>395</v>
          </cell>
          <cell r="AG84">
            <v>403</v>
          </cell>
          <cell r="AH84">
            <v>434</v>
          </cell>
          <cell r="AI84">
            <v>756</v>
          </cell>
          <cell r="AJ84">
            <v>737.27088942157832</v>
          </cell>
          <cell r="AK84">
            <v>679.83598544359006</v>
          </cell>
          <cell r="AL84">
            <v>672.10877660667211</v>
          </cell>
          <cell r="AM84">
            <v>687.00819662123467</v>
          </cell>
          <cell r="AN84">
            <v>692.46264692048828</v>
          </cell>
          <cell r="AO84">
            <v>700.20332973494044</v>
          </cell>
          <cell r="AP84">
            <v>699.60471762239763</v>
          </cell>
          <cell r="AQ84">
            <v>701.27442266390869</v>
          </cell>
          <cell r="AR84">
            <v>693.00839827615744</v>
          </cell>
          <cell r="BA84">
            <v>254</v>
          </cell>
          <cell r="BB84">
            <v>567</v>
          </cell>
          <cell r="BC84">
            <v>759</v>
          </cell>
          <cell r="BD84">
            <v>815</v>
          </cell>
          <cell r="BE84">
            <v>640</v>
          </cell>
          <cell r="BF84">
            <v>389</v>
          </cell>
          <cell r="BG84">
            <v>691</v>
          </cell>
          <cell r="BH84">
            <v>631</v>
          </cell>
          <cell r="BI84">
            <v>837</v>
          </cell>
          <cell r="BJ84">
            <v>1493.2708894215784</v>
          </cell>
          <cell r="BK84">
            <v>1351.9447620502622</v>
          </cell>
          <cell r="BL84">
            <v>1379.4708435417228</v>
          </cell>
          <cell r="BM84">
            <v>1399.8080473573382</v>
          </cell>
          <cell r="BN84">
            <v>1394.2828209400661</v>
          </cell>
        </row>
        <row r="92">
          <cell r="W92">
            <v>52</v>
          </cell>
          <cell r="X92">
            <v>201</v>
          </cell>
          <cell r="Y92">
            <v>371</v>
          </cell>
          <cell r="Z92">
            <v>240</v>
          </cell>
          <cell r="AA92">
            <v>62</v>
          </cell>
          <cell r="AB92">
            <v>1498</v>
          </cell>
          <cell r="AC92">
            <v>877</v>
          </cell>
          <cell r="AD92">
            <v>271</v>
          </cell>
          <cell r="AE92">
            <v>49</v>
          </cell>
          <cell r="AF92">
            <v>298</v>
          </cell>
          <cell r="AG92">
            <v>171</v>
          </cell>
          <cell r="AH92">
            <v>435</v>
          </cell>
          <cell r="AI92">
            <v>7</v>
          </cell>
          <cell r="AJ92">
            <v>402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253</v>
          </cell>
          <cell r="BE92">
            <v>611</v>
          </cell>
          <cell r="BF92">
            <v>1560</v>
          </cell>
          <cell r="BG92">
            <v>1148</v>
          </cell>
          <cell r="BH92">
            <v>347</v>
          </cell>
          <cell r="BI92">
            <v>606</v>
          </cell>
          <cell r="BJ92">
            <v>409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</row>
        <row r="93">
          <cell r="W93">
            <v>0</v>
          </cell>
          <cell r="X93">
            <v>0</v>
          </cell>
          <cell r="Y93">
            <v>-72</v>
          </cell>
          <cell r="Z93">
            <v>-78</v>
          </cell>
          <cell r="AA93">
            <v>22</v>
          </cell>
          <cell r="AB93">
            <v>-48</v>
          </cell>
          <cell r="AC93">
            <v>-115</v>
          </cell>
          <cell r="AD93">
            <v>-74</v>
          </cell>
          <cell r="AE93">
            <v>-184</v>
          </cell>
          <cell r="AF93">
            <v>-198</v>
          </cell>
          <cell r="AG93">
            <v>-238</v>
          </cell>
          <cell r="AH93">
            <v>-331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-150</v>
          </cell>
          <cell r="BF93">
            <v>-26</v>
          </cell>
          <cell r="BG93">
            <v>-189</v>
          </cell>
          <cell r="BH93">
            <v>-382</v>
          </cell>
          <cell r="BI93">
            <v>-569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</row>
        <row r="158">
          <cell r="Q158">
            <v>498</v>
          </cell>
          <cell r="R158">
            <v>551</v>
          </cell>
          <cell r="S158">
            <v>787</v>
          </cell>
          <cell r="T158">
            <v>797</v>
          </cell>
          <cell r="U158">
            <v>834</v>
          </cell>
          <cell r="V158">
            <v>844</v>
          </cell>
          <cell r="W158">
            <v>838</v>
          </cell>
          <cell r="X158">
            <v>890</v>
          </cell>
          <cell r="Y158">
            <v>844</v>
          </cell>
          <cell r="Z158">
            <v>902</v>
          </cell>
          <cell r="AA158">
            <v>974</v>
          </cell>
          <cell r="AB158">
            <v>998</v>
          </cell>
          <cell r="AC158">
            <v>1197</v>
          </cell>
          <cell r="AD158">
            <v>1323</v>
          </cell>
          <cell r="AE158">
            <v>1360</v>
          </cell>
          <cell r="AF158">
            <v>1285</v>
          </cell>
          <cell r="AG158">
            <v>1326</v>
          </cell>
          <cell r="AH158">
            <v>1391</v>
          </cell>
          <cell r="AI158">
            <v>1456</v>
          </cell>
          <cell r="AJ158">
            <v>1535.528156705486</v>
          </cell>
          <cell r="AK158">
            <v>1614.2470304202898</v>
          </cell>
          <cell r="AL158">
            <v>1661.6202424829182</v>
          </cell>
          <cell r="AM158">
            <v>1706.9300738394261</v>
          </cell>
          <cell r="AN158">
            <v>1739.091354431567</v>
          </cell>
          <cell r="AO158">
            <v>1787.398188596103</v>
          </cell>
          <cell r="AP158">
            <v>1820.9298598537848</v>
          </cell>
          <cell r="AQ158">
            <v>1881.2319012757107</v>
          </cell>
          <cell r="AR158">
            <v>1921.4239151263753</v>
          </cell>
          <cell r="BA158">
            <v>1049</v>
          </cell>
          <cell r="BB158">
            <v>1584</v>
          </cell>
          <cell r="BC158">
            <v>1678</v>
          </cell>
          <cell r="BD158">
            <v>1728</v>
          </cell>
          <cell r="BE158">
            <v>1746</v>
          </cell>
          <cell r="BF158">
            <v>1972</v>
          </cell>
          <cell r="BG158">
            <v>2520</v>
          </cell>
          <cell r="BH158">
            <v>2645</v>
          </cell>
          <cell r="BI158">
            <v>2717</v>
          </cell>
          <cell r="BJ158">
            <v>2991.5281567054863</v>
          </cell>
          <cell r="BK158">
            <v>3275.8672729032078</v>
          </cell>
          <cell r="BL158">
            <v>3446.0214282709931</v>
          </cell>
          <cell r="BM158">
            <v>3608.3280484498878</v>
          </cell>
          <cell r="BN158">
            <v>3802.6558164020862</v>
          </cell>
        </row>
        <row r="166">
          <cell r="Q166">
            <v>256</v>
          </cell>
          <cell r="R166">
            <v>216</v>
          </cell>
          <cell r="S166">
            <v>248</v>
          </cell>
          <cell r="T166">
            <v>244</v>
          </cell>
          <cell r="U166">
            <v>244</v>
          </cell>
          <cell r="V166">
            <v>232</v>
          </cell>
          <cell r="W166">
            <v>226</v>
          </cell>
          <cell r="X166">
            <v>219</v>
          </cell>
          <cell r="Y166">
            <v>203</v>
          </cell>
          <cell r="Z166">
            <v>216</v>
          </cell>
          <cell r="AA166">
            <v>220</v>
          </cell>
          <cell r="AB166">
            <v>237</v>
          </cell>
          <cell r="AC166">
            <v>249</v>
          </cell>
          <cell r="AD166">
            <v>255</v>
          </cell>
          <cell r="AE166">
            <v>273</v>
          </cell>
          <cell r="AF166">
            <v>281</v>
          </cell>
          <cell r="AG166">
            <v>304</v>
          </cell>
          <cell r="AH166">
            <v>307</v>
          </cell>
          <cell r="AI166">
            <v>329</v>
          </cell>
          <cell r="AJ166">
            <v>336.608</v>
          </cell>
          <cell r="AK166">
            <v>346.34624000000002</v>
          </cell>
          <cell r="AL166">
            <v>356.37662720000003</v>
          </cell>
          <cell r="AM166">
            <v>366.70792601600004</v>
          </cell>
          <cell r="AN166">
            <v>377.34916379648007</v>
          </cell>
          <cell r="AO166">
            <v>388.30963871037449</v>
          </cell>
          <cell r="AP166">
            <v>399.5989278716857</v>
          </cell>
          <cell r="AQ166">
            <v>411.22689570783626</v>
          </cell>
          <cell r="AR166">
            <v>423.20370257907138</v>
          </cell>
          <cell r="BA166">
            <v>472</v>
          </cell>
          <cell r="BB166">
            <v>492</v>
          </cell>
          <cell r="BC166">
            <v>476</v>
          </cell>
          <cell r="BD166">
            <v>445</v>
          </cell>
          <cell r="BE166">
            <v>419</v>
          </cell>
          <cell r="BF166">
            <v>457</v>
          </cell>
          <cell r="BG166">
            <v>504</v>
          </cell>
          <cell r="BH166">
            <v>554</v>
          </cell>
          <cell r="BI166">
            <v>611</v>
          </cell>
          <cell r="BJ166">
            <v>665.60799999999995</v>
          </cell>
          <cell r="BK166">
            <v>702.72286720000011</v>
          </cell>
          <cell r="BL166">
            <v>744.05708981248017</v>
          </cell>
          <cell r="BM166">
            <v>787.90856658206019</v>
          </cell>
          <cell r="BN166">
            <v>834.43059828690764</v>
          </cell>
        </row>
        <row r="169">
          <cell r="Q169">
            <v>-32</v>
          </cell>
          <cell r="R169">
            <v>-6</v>
          </cell>
          <cell r="S169">
            <v>-34</v>
          </cell>
          <cell r="T169">
            <v>-33</v>
          </cell>
          <cell r="U169">
            <v>-28</v>
          </cell>
          <cell r="V169">
            <v>-39</v>
          </cell>
          <cell r="W169">
            <v>-42</v>
          </cell>
          <cell r="X169">
            <v>-106</v>
          </cell>
          <cell r="Y169">
            <v>-78</v>
          </cell>
          <cell r="Z169">
            <v>-37</v>
          </cell>
          <cell r="AA169">
            <v>-31</v>
          </cell>
          <cell r="AB169">
            <v>53</v>
          </cell>
          <cell r="AC169">
            <v>-9</v>
          </cell>
          <cell r="AD169">
            <v>-25</v>
          </cell>
          <cell r="AE169">
            <v>-23</v>
          </cell>
          <cell r="AF169">
            <v>38</v>
          </cell>
          <cell r="AG169">
            <v>-21</v>
          </cell>
          <cell r="AH169">
            <v>-24</v>
          </cell>
          <cell r="AI169">
            <v>-24</v>
          </cell>
          <cell r="AJ169">
            <v>-24</v>
          </cell>
          <cell r="AK169">
            <v>-17.77885799435667</v>
          </cell>
          <cell r="AL169">
            <v>-23.351804902210379</v>
          </cell>
          <cell r="AM169">
            <v>-27.961246978226573</v>
          </cell>
          <cell r="AN169">
            <v>-27.812583959754985</v>
          </cell>
          <cell r="AO169">
            <v>-34.12707874274146</v>
          </cell>
          <cell r="AP169">
            <v>-34.183713200890104</v>
          </cell>
          <cell r="AQ169">
            <v>-34.402899598671674</v>
          </cell>
          <cell r="AR169">
            <v>-34.558774535432939</v>
          </cell>
          <cell r="BA169">
            <v>-38</v>
          </cell>
          <cell r="BB169">
            <v>-67</v>
          </cell>
          <cell r="BC169">
            <v>-67</v>
          </cell>
          <cell r="BD169">
            <v>-148</v>
          </cell>
          <cell r="BE169">
            <v>-115</v>
          </cell>
          <cell r="BF169">
            <v>22</v>
          </cell>
          <cell r="BG169">
            <v>-34</v>
          </cell>
          <cell r="BH169">
            <v>15</v>
          </cell>
          <cell r="BI169">
            <v>-45</v>
          </cell>
          <cell r="BJ169">
            <v>-48</v>
          </cell>
          <cell r="BK169">
            <v>-41.130662896567046</v>
          </cell>
          <cell r="BL169">
            <v>-55.773830937981558</v>
          </cell>
          <cell r="BM169">
            <v>-68.310791943631557</v>
          </cell>
          <cell r="BN169">
            <v>-68.961674134104612</v>
          </cell>
        </row>
        <row r="238">
          <cell r="Q238">
            <v>447</v>
          </cell>
          <cell r="R238">
            <v>410</v>
          </cell>
          <cell r="S238">
            <v>436</v>
          </cell>
          <cell r="T238">
            <v>457</v>
          </cell>
          <cell r="U238">
            <v>611</v>
          </cell>
          <cell r="V238">
            <v>611</v>
          </cell>
          <cell r="W238">
            <v>283</v>
          </cell>
          <cell r="X238">
            <v>347</v>
          </cell>
          <cell r="Y238">
            <v>257</v>
          </cell>
          <cell r="Z238">
            <v>228</v>
          </cell>
          <cell r="AA238">
            <v>228</v>
          </cell>
          <cell r="AB238">
            <v>279</v>
          </cell>
          <cell r="AC238">
            <v>279</v>
          </cell>
          <cell r="AD238">
            <v>307</v>
          </cell>
          <cell r="AE238">
            <v>283</v>
          </cell>
          <cell r="AF238">
            <v>303</v>
          </cell>
          <cell r="AG238">
            <v>289</v>
          </cell>
          <cell r="AH238">
            <v>240</v>
          </cell>
          <cell r="AI238">
            <v>318</v>
          </cell>
          <cell r="AJ238">
            <v>349.74</v>
          </cell>
          <cell r="AK238">
            <v>356.73480000000001</v>
          </cell>
          <cell r="AL238">
            <v>363.86949600000003</v>
          </cell>
          <cell r="AM238">
            <v>371.14688592000005</v>
          </cell>
          <cell r="AN238">
            <v>378.56982363840007</v>
          </cell>
          <cell r="AO238">
            <v>386.14122011116808</v>
          </cell>
          <cell r="AP238">
            <v>393.86404451339138</v>
          </cell>
          <cell r="AQ238">
            <v>401.74132540365929</v>
          </cell>
          <cell r="AR238">
            <v>409.77615191173243</v>
          </cell>
          <cell r="BA238">
            <v>857</v>
          </cell>
          <cell r="BB238">
            <v>893</v>
          </cell>
          <cell r="BC238">
            <v>1222</v>
          </cell>
          <cell r="BD238">
            <v>630</v>
          </cell>
          <cell r="BE238">
            <v>485</v>
          </cell>
          <cell r="BF238">
            <v>507</v>
          </cell>
          <cell r="BG238">
            <v>586</v>
          </cell>
          <cell r="BH238">
            <v>586</v>
          </cell>
          <cell r="BI238">
            <v>529</v>
          </cell>
          <cell r="BJ238">
            <v>667.74</v>
          </cell>
          <cell r="BK238">
            <v>720.60429599999998</v>
          </cell>
          <cell r="BL238">
            <v>749.7167095584</v>
          </cell>
          <cell r="BM238">
            <v>780.00526462455946</v>
          </cell>
          <cell r="BN238">
            <v>811.51747731539172</v>
          </cell>
        </row>
        <row r="242">
          <cell r="Q242">
            <v>505</v>
          </cell>
          <cell r="R242">
            <v>627</v>
          </cell>
          <cell r="S242">
            <v>435</v>
          </cell>
          <cell r="T242">
            <v>658</v>
          </cell>
          <cell r="U242">
            <v>806</v>
          </cell>
          <cell r="V242">
            <v>1177</v>
          </cell>
          <cell r="W242">
            <v>1049</v>
          </cell>
          <cell r="X242">
            <v>689</v>
          </cell>
          <cell r="Y242">
            <v>1112</v>
          </cell>
          <cell r="Z242">
            <v>1559</v>
          </cell>
          <cell r="AA242">
            <v>1254</v>
          </cell>
          <cell r="AB242">
            <v>2070</v>
          </cell>
          <cell r="AC242">
            <v>1889</v>
          </cell>
          <cell r="AD242">
            <v>4232</v>
          </cell>
          <cell r="AE242">
            <v>1534</v>
          </cell>
          <cell r="AF242">
            <v>1982</v>
          </cell>
          <cell r="AG242">
            <v>1406</v>
          </cell>
          <cell r="AH242">
            <v>1614</v>
          </cell>
          <cell r="AI242">
            <v>1380</v>
          </cell>
          <cell r="AJ242">
            <v>1673.35</v>
          </cell>
          <cell r="AK242">
            <v>1516.6889999999999</v>
          </cell>
          <cell r="AL242">
            <v>1748.5114050000002</v>
          </cell>
          <cell r="AM242">
            <v>1642.4690987250001</v>
          </cell>
          <cell r="AN242">
            <v>1922.7540660119998</v>
          </cell>
          <cell r="AO242">
            <v>1737.4095231759898</v>
          </cell>
          <cell r="AP242">
            <v>2033.8474243082596</v>
          </cell>
          <cell r="AQ242">
            <v>1838.3691608127062</v>
          </cell>
          <cell r="AR242">
            <v>2151.9672033351553</v>
          </cell>
          <cell r="BA242">
            <v>1132</v>
          </cell>
          <cell r="BB242">
            <v>1093</v>
          </cell>
          <cell r="BC242">
            <v>1983</v>
          </cell>
          <cell r="BD242">
            <v>1738</v>
          </cell>
          <cell r="BE242">
            <v>2671</v>
          </cell>
          <cell r="BF242">
            <v>3324</v>
          </cell>
          <cell r="BG242">
            <v>6121</v>
          </cell>
          <cell r="BH242">
            <v>3516</v>
          </cell>
          <cell r="BI242">
            <v>3020</v>
          </cell>
          <cell r="BJ242">
            <v>3053.35</v>
          </cell>
          <cell r="BK242">
            <v>3265.200405</v>
          </cell>
          <cell r="BL242">
            <v>3565.2231647369999</v>
          </cell>
          <cell r="BM242">
            <v>3771.2569474842494</v>
          </cell>
          <cell r="BN242">
            <v>3990.3363641478618</v>
          </cell>
        </row>
        <row r="243">
          <cell r="Q243">
            <v>430</v>
          </cell>
          <cell r="R243">
            <v>498</v>
          </cell>
          <cell r="S243">
            <v>469</v>
          </cell>
          <cell r="T243">
            <v>398</v>
          </cell>
          <cell r="U243">
            <v>551</v>
          </cell>
          <cell r="V243">
            <v>406</v>
          </cell>
          <cell r="W243">
            <v>641</v>
          </cell>
          <cell r="X243">
            <v>578</v>
          </cell>
          <cell r="Y243">
            <v>625</v>
          </cell>
          <cell r="Z243">
            <v>560</v>
          </cell>
          <cell r="AA243">
            <v>624</v>
          </cell>
          <cell r="AB243">
            <v>784</v>
          </cell>
          <cell r="AC243">
            <v>885</v>
          </cell>
          <cell r="AD243">
            <v>633</v>
          </cell>
          <cell r="AE243">
            <v>829</v>
          </cell>
          <cell r="AF243">
            <v>811</v>
          </cell>
          <cell r="AG243">
            <v>863</v>
          </cell>
          <cell r="AH243">
            <v>1007</v>
          </cell>
          <cell r="AI243">
            <v>941</v>
          </cell>
          <cell r="AJ243">
            <v>1058.625</v>
          </cell>
          <cell r="AK243">
            <v>1042.745625</v>
          </cell>
          <cell r="AL243">
            <v>1063.6005375</v>
          </cell>
          <cell r="AM243">
            <v>1084.8725482499999</v>
          </cell>
          <cell r="AN243">
            <v>1106.5699992149998</v>
          </cell>
          <cell r="AO243">
            <v>1128.7013991992999</v>
          </cell>
          <cell r="AP243">
            <v>1151.275427183286</v>
          </cell>
          <cell r="AQ243">
            <v>1174.3009357269516</v>
          </cell>
          <cell r="AR243">
            <v>1197.7869544414907</v>
          </cell>
          <cell r="BA243">
            <v>928</v>
          </cell>
          <cell r="BB243">
            <v>867</v>
          </cell>
          <cell r="BC243">
            <v>957</v>
          </cell>
          <cell r="BD243">
            <v>1219</v>
          </cell>
          <cell r="BE243">
            <v>1185</v>
          </cell>
          <cell r="BF243">
            <v>1408</v>
          </cell>
          <cell r="BG243">
            <v>1518</v>
          </cell>
          <cell r="BH243">
            <v>1640</v>
          </cell>
          <cell r="BI243">
            <v>1870</v>
          </cell>
          <cell r="BJ243">
            <v>1999.625</v>
          </cell>
          <cell r="BK243">
            <v>2106.3461625</v>
          </cell>
          <cell r="BL243">
            <v>2191.4425474649997</v>
          </cell>
          <cell r="BM243">
            <v>2279.9768263825858</v>
          </cell>
          <cell r="BN243">
            <v>2372.0878901684423</v>
          </cell>
        </row>
        <row r="245">
          <cell r="Q245">
            <v>-41</v>
          </cell>
          <cell r="R245">
            <v>-88</v>
          </cell>
          <cell r="S245">
            <v>-56</v>
          </cell>
          <cell r="T245">
            <v>-32</v>
          </cell>
          <cell r="U245">
            <v>-18</v>
          </cell>
          <cell r="V245">
            <v>-147</v>
          </cell>
          <cell r="W245">
            <v>-32</v>
          </cell>
          <cell r="X245">
            <v>-211</v>
          </cell>
          <cell r="Y245">
            <v>-166</v>
          </cell>
          <cell r="Z245">
            <v>-71</v>
          </cell>
          <cell r="AA245">
            <v>-58</v>
          </cell>
          <cell r="AB245">
            <v>-7</v>
          </cell>
          <cell r="AC245">
            <v>-35</v>
          </cell>
          <cell r="AD245">
            <v>-22</v>
          </cell>
          <cell r="AE245">
            <v>-21</v>
          </cell>
          <cell r="AF245">
            <v>32</v>
          </cell>
          <cell r="AG245">
            <v>-16</v>
          </cell>
          <cell r="AH245">
            <v>-81</v>
          </cell>
          <cell r="AI245">
            <v>-68</v>
          </cell>
          <cell r="AJ245">
            <v>-60.2</v>
          </cell>
          <cell r="AK245">
            <v>-44.595302135844648</v>
          </cell>
          <cell r="AL245">
            <v>-58.574110629711029</v>
          </cell>
          <cell r="AM245">
            <v>-70.136127837051646</v>
          </cell>
          <cell r="AN245">
            <v>-69.76323143238541</v>
          </cell>
          <cell r="AO245">
            <v>-85.602089179709822</v>
          </cell>
          <cell r="AP245">
            <v>-85.744147278899334</v>
          </cell>
          <cell r="AQ245">
            <v>-86.293939826668108</v>
          </cell>
          <cell r="AR245">
            <v>-86.684926126377619</v>
          </cell>
          <cell r="BA245">
            <v>-129</v>
          </cell>
          <cell r="BB245">
            <v>-88</v>
          </cell>
          <cell r="BC245">
            <v>-165</v>
          </cell>
          <cell r="BD245">
            <v>-243</v>
          </cell>
          <cell r="BE245">
            <v>-237</v>
          </cell>
          <cell r="BF245">
            <v>-65</v>
          </cell>
          <cell r="BG245">
            <v>-57</v>
          </cell>
          <cell r="BH245">
            <v>11</v>
          </cell>
          <cell r="BI245">
            <v>-97</v>
          </cell>
          <cell r="BJ245">
            <v>-128.19999999999999</v>
          </cell>
          <cell r="BK245">
            <v>-103.16941276555568</v>
          </cell>
          <cell r="BL245">
            <v>-139.89935926943707</v>
          </cell>
          <cell r="BM245">
            <v>-171.34623645860916</v>
          </cell>
          <cell r="BN245">
            <v>-172.97886595304573</v>
          </cell>
        </row>
        <row r="315">
          <cell r="Q315">
            <v>416</v>
          </cell>
          <cell r="R315">
            <v>471</v>
          </cell>
          <cell r="S315">
            <v>422</v>
          </cell>
          <cell r="T315">
            <v>423</v>
          </cell>
          <cell r="U315">
            <v>526</v>
          </cell>
          <cell r="V315">
            <v>497</v>
          </cell>
          <cell r="W315">
            <v>415</v>
          </cell>
          <cell r="X315">
            <v>536</v>
          </cell>
          <cell r="Y315">
            <v>397.2456030150754</v>
          </cell>
          <cell r="Z315">
            <v>431.2952261306533</v>
          </cell>
          <cell r="AA315">
            <v>618</v>
          </cell>
          <cell r="AB315">
            <v>755</v>
          </cell>
          <cell r="AC315">
            <v>438</v>
          </cell>
          <cell r="AD315">
            <v>413.3743718592965</v>
          </cell>
          <cell r="AE315">
            <v>408</v>
          </cell>
          <cell r="AF315">
            <v>335</v>
          </cell>
          <cell r="AG315">
            <v>413</v>
          </cell>
          <cell r="AH315">
            <v>503</v>
          </cell>
          <cell r="AI315">
            <v>558</v>
          </cell>
          <cell r="AJ315">
            <v>440.125</v>
          </cell>
          <cell r="AK315">
            <v>513.36</v>
          </cell>
          <cell r="AL315">
            <v>510.54499999999996</v>
          </cell>
          <cell r="AM315">
            <v>528.76080000000002</v>
          </cell>
          <cell r="AN315">
            <v>530.96679999999992</v>
          </cell>
          <cell r="AO315">
            <v>549.91123200000004</v>
          </cell>
          <cell r="AP315">
            <v>552.20547199999999</v>
          </cell>
          <cell r="AQ315">
            <v>571.90768128000002</v>
          </cell>
          <cell r="AR315">
            <v>574.29369087999999</v>
          </cell>
          <cell r="BA315">
            <v>887</v>
          </cell>
          <cell r="BB315">
            <v>845</v>
          </cell>
          <cell r="BC315">
            <v>1023</v>
          </cell>
          <cell r="BD315">
            <v>951</v>
          </cell>
          <cell r="BE315">
            <v>828.54082914572871</v>
          </cell>
          <cell r="BF315">
            <v>1373</v>
          </cell>
          <cell r="BG315">
            <v>851.3743718592965</v>
          </cell>
          <cell r="BH315">
            <v>743</v>
          </cell>
          <cell r="BI315">
            <v>916</v>
          </cell>
          <cell r="BJ315">
            <v>998.125</v>
          </cell>
          <cell r="BK315">
            <v>1023.905</v>
          </cell>
          <cell r="BL315">
            <v>1059.7275999999999</v>
          </cell>
          <cell r="BM315">
            <v>1102.116704</v>
          </cell>
          <cell r="BN315">
            <v>1146.2013721600001</v>
          </cell>
        </row>
        <row r="319">
          <cell r="Q319">
            <v>11</v>
          </cell>
          <cell r="R319">
            <v>-8</v>
          </cell>
          <cell r="S319">
            <v>-54</v>
          </cell>
          <cell r="T319">
            <v>-11</v>
          </cell>
          <cell r="U319">
            <v>61</v>
          </cell>
          <cell r="V319">
            <v>26</v>
          </cell>
          <cell r="W319">
            <v>-20</v>
          </cell>
          <cell r="X319">
            <v>-39</v>
          </cell>
          <cell r="Y319">
            <v>6</v>
          </cell>
          <cell r="Z319">
            <v>63</v>
          </cell>
          <cell r="AA319">
            <v>158</v>
          </cell>
          <cell r="AB319">
            <v>256</v>
          </cell>
          <cell r="AC319">
            <v>154</v>
          </cell>
          <cell r="AD319">
            <v>256</v>
          </cell>
          <cell r="AE319">
            <v>334</v>
          </cell>
          <cell r="AF319">
            <v>356</v>
          </cell>
          <cell r="AG319">
            <v>322</v>
          </cell>
          <cell r="AH319">
            <v>490</v>
          </cell>
          <cell r="AI319">
            <v>497</v>
          </cell>
          <cell r="AJ319">
            <v>494.30496496980157</v>
          </cell>
          <cell r="AK319">
            <v>514.93640406565351</v>
          </cell>
          <cell r="AL319">
            <v>536.42896394590196</v>
          </cell>
          <cell r="AM319">
            <v>558.81858631106877</v>
          </cell>
          <cell r="AN319">
            <v>582.14271300644043</v>
          </cell>
          <cell r="AO319">
            <v>606.44034863553054</v>
          </cell>
          <cell r="AP319">
            <v>631.75212578692037</v>
          </cell>
          <cell r="AQ319">
            <v>658.12037298355563</v>
          </cell>
          <cell r="AR319">
            <v>685.58918546813004</v>
          </cell>
          <cell r="BA319">
            <v>3</v>
          </cell>
          <cell r="BB319">
            <v>-65</v>
          </cell>
          <cell r="BC319">
            <v>87</v>
          </cell>
          <cell r="BD319">
            <v>-59</v>
          </cell>
          <cell r="BE319">
            <v>69</v>
          </cell>
          <cell r="BF319">
            <v>414</v>
          </cell>
          <cell r="BG319">
            <v>410</v>
          </cell>
          <cell r="BH319">
            <v>690</v>
          </cell>
          <cell r="BI319">
            <v>812</v>
          </cell>
          <cell r="BJ319">
            <v>991.30496496980163</v>
          </cell>
          <cell r="BK319">
            <v>1051.3653680115553</v>
          </cell>
          <cell r="BL319">
            <v>1140.9612993175092</v>
          </cell>
          <cell r="BM319">
            <v>1238.1924744224509</v>
          </cell>
          <cell r="BN319">
            <v>1343.7095584516856</v>
          </cell>
        </row>
        <row r="321">
          <cell r="Q321">
            <v>-55</v>
          </cell>
          <cell r="R321">
            <v>3</v>
          </cell>
          <cell r="S321">
            <v>-18</v>
          </cell>
          <cell r="T321">
            <v>-38</v>
          </cell>
          <cell r="U321">
            <v>4</v>
          </cell>
          <cell r="V321">
            <v>-179</v>
          </cell>
          <cell r="W321">
            <v>-62</v>
          </cell>
          <cell r="X321">
            <v>-220</v>
          </cell>
          <cell r="Y321">
            <v>-119</v>
          </cell>
          <cell r="Z321">
            <v>-110</v>
          </cell>
          <cell r="AA321">
            <v>-137</v>
          </cell>
          <cell r="AB321">
            <v>-225</v>
          </cell>
          <cell r="AC321">
            <v>-195</v>
          </cell>
          <cell r="AD321">
            <v>-99</v>
          </cell>
          <cell r="AE321">
            <v>33</v>
          </cell>
          <cell r="AF321">
            <v>131</v>
          </cell>
          <cell r="AG321">
            <v>-42</v>
          </cell>
          <cell r="AH321">
            <v>-73</v>
          </cell>
          <cell r="AI321">
            <v>-13</v>
          </cell>
          <cell r="AJ321">
            <v>-17.7</v>
          </cell>
          <cell r="AK321">
            <v>-22.125</v>
          </cell>
          <cell r="AL321">
            <v>-29.060285178350679</v>
          </cell>
          <cell r="AM321">
            <v>-34.796531340181197</v>
          </cell>
          <cell r="AN321">
            <v>-34.611526809253064</v>
          </cell>
          <cell r="AO321">
            <v>-42.469635418811762</v>
          </cell>
          <cell r="AP321">
            <v>-42.540114489342415</v>
          </cell>
          <cell r="AQ321">
            <v>-42.812882236992834</v>
          </cell>
          <cell r="AR321">
            <v>-43.006861680269658</v>
          </cell>
          <cell r="BA321">
            <v>-52</v>
          </cell>
          <cell r="BB321">
            <v>-56</v>
          </cell>
          <cell r="BC321">
            <v>-175</v>
          </cell>
          <cell r="BD321">
            <v>-282</v>
          </cell>
          <cell r="BE321">
            <v>-229</v>
          </cell>
          <cell r="BF321">
            <v>-362</v>
          </cell>
          <cell r="BG321">
            <v>-294</v>
          </cell>
          <cell r="BH321">
            <v>164</v>
          </cell>
          <cell r="BI321">
            <v>-115</v>
          </cell>
          <cell r="BJ321">
            <v>-30.7</v>
          </cell>
          <cell r="BK321">
            <v>-51.185285178350682</v>
          </cell>
          <cell r="BL321">
            <v>-69.408058149434254</v>
          </cell>
          <cell r="BM321">
            <v>-85.009749908154177</v>
          </cell>
          <cell r="BN321">
            <v>-85.819743917262485</v>
          </cell>
        </row>
        <row r="322">
          <cell r="W322">
            <v>590</v>
          </cell>
          <cell r="X322">
            <v>827</v>
          </cell>
          <cell r="Y322">
            <v>123</v>
          </cell>
          <cell r="Z322">
            <v>998</v>
          </cell>
          <cell r="AA322">
            <v>418</v>
          </cell>
          <cell r="AB322">
            <v>725</v>
          </cell>
          <cell r="AC322">
            <v>693</v>
          </cell>
          <cell r="AD322">
            <v>184</v>
          </cell>
          <cell r="AE322">
            <v>253</v>
          </cell>
          <cell r="AF322">
            <v>430</v>
          </cell>
          <cell r="AG322">
            <v>309</v>
          </cell>
          <cell r="AH322">
            <v>303</v>
          </cell>
          <cell r="AI322">
            <v>292</v>
          </cell>
          <cell r="AJ322">
            <v>350</v>
          </cell>
          <cell r="AK322">
            <v>335.79999999999995</v>
          </cell>
          <cell r="AL322">
            <v>362.66399999999999</v>
          </cell>
          <cell r="AM322">
            <v>391.67712</v>
          </cell>
          <cell r="AN322">
            <v>423.01128960000005</v>
          </cell>
          <cell r="AO322">
            <v>456.85219276800007</v>
          </cell>
          <cell r="AP322">
            <v>479.69480240640007</v>
          </cell>
          <cell r="AQ322">
            <v>503.67954252672007</v>
          </cell>
          <cell r="AR322">
            <v>518.78992880252167</v>
          </cell>
          <cell r="BA322">
            <v>0</v>
          </cell>
          <cell r="BB322">
            <v>0</v>
          </cell>
          <cell r="BC322">
            <v>0</v>
          </cell>
          <cell r="BD322">
            <v>1417</v>
          </cell>
          <cell r="BE322">
            <v>1121</v>
          </cell>
          <cell r="BF322">
            <v>1143</v>
          </cell>
          <cell r="BG322">
            <v>877</v>
          </cell>
          <cell r="BH322">
            <v>683</v>
          </cell>
          <cell r="BI322">
            <v>612</v>
          </cell>
          <cell r="BJ322">
            <v>642</v>
          </cell>
          <cell r="BK322">
            <v>698.46399999999994</v>
          </cell>
          <cell r="BL322">
            <v>814.68840960000011</v>
          </cell>
          <cell r="BM322">
            <v>936.54699517440008</v>
          </cell>
          <cell r="BN322">
            <v>1022.4694713292417</v>
          </cell>
        </row>
        <row r="453">
          <cell r="Q453">
            <v>244</v>
          </cell>
          <cell r="R453">
            <v>180</v>
          </cell>
          <cell r="S453">
            <v>30</v>
          </cell>
          <cell r="T453">
            <v>83</v>
          </cell>
          <cell r="U453">
            <v>164</v>
          </cell>
          <cell r="V453">
            <v>-82</v>
          </cell>
          <cell r="W453">
            <v>-48</v>
          </cell>
          <cell r="X453">
            <v>179</v>
          </cell>
          <cell r="Y453">
            <v>189</v>
          </cell>
          <cell r="Z453">
            <v>260</v>
          </cell>
          <cell r="AA453">
            <v>399</v>
          </cell>
          <cell r="AB453">
            <v>489</v>
          </cell>
          <cell r="AC453">
            <v>234</v>
          </cell>
          <cell r="AD453">
            <v>274</v>
          </cell>
          <cell r="AE453">
            <v>273</v>
          </cell>
          <cell r="AF453">
            <v>541</v>
          </cell>
          <cell r="AG453">
            <v>343</v>
          </cell>
          <cell r="AH453">
            <v>447</v>
          </cell>
          <cell r="AI453">
            <v>610</v>
          </cell>
          <cell r="AJ453">
            <v>585.6</v>
          </cell>
          <cell r="AK453">
            <v>644.16000000000008</v>
          </cell>
          <cell r="AL453">
            <v>631.27680000000009</v>
          </cell>
          <cell r="AM453">
            <v>618.65126400000008</v>
          </cell>
          <cell r="AN453">
            <v>606.2782387200001</v>
          </cell>
          <cell r="AO453">
            <v>594.1526739456001</v>
          </cell>
          <cell r="AP453">
            <v>582.26962046668814</v>
          </cell>
          <cell r="AQ453">
            <v>570.62422805735434</v>
          </cell>
          <cell r="AR453">
            <v>559.21174349620719</v>
          </cell>
          <cell r="BA453">
            <v>424</v>
          </cell>
          <cell r="BB453">
            <v>113</v>
          </cell>
          <cell r="BC453">
            <v>82</v>
          </cell>
          <cell r="BD453">
            <v>131</v>
          </cell>
          <cell r="BE453">
            <v>449</v>
          </cell>
          <cell r="BF453">
            <v>888</v>
          </cell>
          <cell r="BG453">
            <v>508</v>
          </cell>
          <cell r="BH453">
            <v>814</v>
          </cell>
          <cell r="BI453">
            <v>790</v>
          </cell>
          <cell r="BJ453">
            <v>1195.5999999999999</v>
          </cell>
          <cell r="BK453">
            <v>1275.4368000000002</v>
          </cell>
          <cell r="BL453">
            <v>1224.9295027200001</v>
          </cell>
          <cell r="BM453">
            <v>1176.4222944122882</v>
          </cell>
          <cell r="BN453">
            <v>1129.8359715535616</v>
          </cell>
        </row>
        <row r="462">
          <cell r="Q462">
            <v>-156</v>
          </cell>
          <cell r="R462">
            <v>-96</v>
          </cell>
          <cell r="S462">
            <v>112</v>
          </cell>
          <cell r="T462">
            <v>118</v>
          </cell>
          <cell r="U462">
            <v>30</v>
          </cell>
          <cell r="V462">
            <v>203</v>
          </cell>
          <cell r="W462">
            <v>215</v>
          </cell>
          <cell r="X462">
            <v>150</v>
          </cell>
          <cell r="Y462">
            <v>-133</v>
          </cell>
          <cell r="Z462">
            <v>-61</v>
          </cell>
          <cell r="AA462">
            <v>-242</v>
          </cell>
          <cell r="AB462">
            <v>-667</v>
          </cell>
          <cell r="AC462">
            <v>-46</v>
          </cell>
          <cell r="AD462">
            <v>-34</v>
          </cell>
          <cell r="AE462">
            <v>180</v>
          </cell>
          <cell r="AF462">
            <v>-21</v>
          </cell>
          <cell r="AG462">
            <v>162</v>
          </cell>
          <cell r="AH462">
            <v>82</v>
          </cell>
          <cell r="AI462">
            <v>-180</v>
          </cell>
          <cell r="AJ462">
            <v>-45</v>
          </cell>
          <cell r="AK462">
            <v>-42.75</v>
          </cell>
          <cell r="AL462">
            <v>-40.612499999999997</v>
          </cell>
          <cell r="AM462">
            <v>-38.581874999999997</v>
          </cell>
          <cell r="AN462">
            <v>-36.652781249999997</v>
          </cell>
          <cell r="AO462">
            <v>-34.820142187499997</v>
          </cell>
          <cell r="AP462">
            <v>-33.079135078124992</v>
          </cell>
          <cell r="AQ462">
            <v>-31.425178324218741</v>
          </cell>
          <cell r="AR462">
            <v>-29.853919408007805</v>
          </cell>
          <cell r="BA462">
            <v>-252</v>
          </cell>
          <cell r="BB462">
            <v>230</v>
          </cell>
          <cell r="BC462">
            <v>233</v>
          </cell>
          <cell r="BD462">
            <v>365</v>
          </cell>
          <cell r="BE462">
            <v>-194</v>
          </cell>
          <cell r="BF462">
            <v>-909</v>
          </cell>
          <cell r="BG462">
            <v>-80</v>
          </cell>
          <cell r="BH462">
            <v>159</v>
          </cell>
          <cell r="BI462">
            <v>244</v>
          </cell>
          <cell r="BJ462">
            <v>-225</v>
          </cell>
          <cell r="BK462">
            <v>-83.362499999999997</v>
          </cell>
          <cell r="BL462">
            <v>-75.23465625</v>
          </cell>
          <cell r="BM462">
            <v>-67.899277265624988</v>
          </cell>
          <cell r="BN462">
            <v>-61.279097732226546</v>
          </cell>
        </row>
      </sheetData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NZ"/>
      <sheetName val="CBA"/>
      <sheetName val="NAB"/>
      <sheetName val="WBC"/>
      <sheetName val="BEN"/>
      <sheetName val="BOQ"/>
      <sheetName val="JDO"/>
      <sheetName val="MQG - Divisional ROE Reco"/>
      <sheetName val="MQG - Consolidation Analysis"/>
      <sheetName val="MQG - Sum-of-the-Parts "/>
      <sheetName val="ANZ (nic)"/>
      <sheetName val="NAB (nic)"/>
      <sheetName val="WBC (nic)"/>
      <sheetName val="BOQ (nic)"/>
      <sheetName val="BOQ (preFY25 result)"/>
      <sheetName val="ANZ (2)"/>
      <sheetName val="CBA 3Q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6">
          <cell r="C86">
            <v>0.10672718585762071</v>
          </cell>
          <cell r="D86">
            <v>8.2977335164835145E-2</v>
          </cell>
          <cell r="E86">
            <v>0.1229865220249835</v>
          </cell>
          <cell r="F86">
            <v>0.15211486626580967</v>
          </cell>
          <cell r="G86">
            <v>0.20091408591408599</v>
          </cell>
          <cell r="H86">
            <v>0.14494742309549655</v>
          </cell>
          <cell r="I86">
            <v>0.20379535076354538</v>
          </cell>
          <cell r="J86">
            <v>0.15023036102885995</v>
          </cell>
          <cell r="K86">
            <v>0.19708708286640769</v>
          </cell>
          <cell r="L86">
            <v>0.17178443991300679</v>
          </cell>
          <cell r="M86">
            <v>0.20557765469104397</v>
          </cell>
          <cell r="N86">
            <v>0.17933520755293547</v>
          </cell>
          <cell r="O86">
            <v>0.20938088585660503</v>
          </cell>
          <cell r="P86">
            <v>0.19128111403537895</v>
          </cell>
          <cell r="Q86">
            <v>0.21437561814791972</v>
          </cell>
          <cell r="T86">
            <v>0.10743362831858404</v>
          </cell>
          <cell r="U86">
            <v>0.16719298245614039</v>
          </cell>
          <cell r="V86">
            <v>0.17273966692290521</v>
          </cell>
          <cell r="W86">
            <v>0.17331659015380307</v>
          </cell>
          <cell r="X86">
            <v>0.18822511044540349</v>
          </cell>
          <cell r="Y86">
            <v>0.19390324571245793</v>
          </cell>
          <cell r="Z86">
            <v>0.20224755676911471</v>
          </cell>
        </row>
        <row r="87">
          <cell r="C87">
            <v>0.14401360544217681</v>
          </cell>
          <cell r="D87">
            <v>0.14038461538461539</v>
          </cell>
          <cell r="E87">
            <v>0.13061872909698999</v>
          </cell>
          <cell r="F87">
            <v>0.13035714285714289</v>
          </cell>
          <cell r="G87">
            <v>0.13320075446941121</v>
          </cell>
          <cell r="H87">
            <v>0.13887219034508624</v>
          </cell>
          <cell r="I87">
            <v>0.13862818823458362</v>
          </cell>
          <cell r="J87">
            <v>0.13756822017356365</v>
          </cell>
          <cell r="K87">
            <v>0.13701831009474635</v>
          </cell>
          <cell r="L87">
            <v>0.1371477021941967</v>
          </cell>
          <cell r="M87">
            <v>0.13614436068759023</v>
          </cell>
          <cell r="N87">
            <v>0.13546027248520129</v>
          </cell>
          <cell r="O87">
            <v>0.1340064562646977</v>
          </cell>
          <cell r="P87">
            <v>0.13456995621083101</v>
          </cell>
          <cell r="Q87">
            <v>0.13170699870877464</v>
          </cell>
          <cell r="T87">
            <v>0.13500000000000001</v>
          </cell>
          <cell r="U87">
            <v>0.13250000000000001</v>
          </cell>
          <cell r="V87">
            <v>0.13819023028306684</v>
          </cell>
          <cell r="W87">
            <v>0.13681611482245301</v>
          </cell>
          <cell r="X87">
            <v>0.13620609224349686</v>
          </cell>
          <cell r="Y87">
            <v>0.13431317262841005</v>
          </cell>
          <cell r="Z87">
            <v>0.13269142887410543</v>
          </cell>
        </row>
        <row r="88">
          <cell r="C88">
            <v>0.53493147477522496</v>
          </cell>
          <cell r="D88">
            <v>0.14697181143324758</v>
          </cell>
          <cell r="E88">
            <v>0.22188394288003657</v>
          </cell>
          <cell r="F88">
            <v>0.14657504485310607</v>
          </cell>
          <cell r="G88">
            <v>0.15171373098055785</v>
          </cell>
          <cell r="H88">
            <v>0.14439808186276379</v>
          </cell>
          <cell r="I88">
            <v>0.16061672744133743</v>
          </cell>
          <cell r="J88">
            <v>0.12915505637627334</v>
          </cell>
          <cell r="K88">
            <v>0.15397516284806545</v>
          </cell>
          <cell r="L88">
            <v>0.12934276912255113</v>
          </cell>
          <cell r="M88">
            <v>0.16129290437772145</v>
          </cell>
          <cell r="N88">
            <v>0.13953022184532074</v>
          </cell>
          <cell r="O88">
            <v>0.17370993528463366</v>
          </cell>
          <cell r="P88">
            <v>0.15249728891878883</v>
          </cell>
          <cell r="Q88">
            <v>0.18889930815483058</v>
          </cell>
          <cell r="T88">
            <v>0.18239583333333331</v>
          </cell>
          <cell r="U88">
            <v>0.14451923076923076</v>
          </cell>
          <cell r="V88">
            <v>0.15205274054544832</v>
          </cell>
          <cell r="W88">
            <v>0.14129040315246891</v>
          </cell>
          <cell r="X88">
            <v>0.14503006995483728</v>
          </cell>
          <cell r="Y88">
            <v>0.15631549924671997</v>
          </cell>
          <cell r="Z88">
            <v>0.17025181915930104</v>
          </cell>
        </row>
        <row r="89">
          <cell r="C89">
            <v>5.980239639878198E-2</v>
          </cell>
          <cell r="D89">
            <v>9.5260989010989006E-2</v>
          </cell>
          <cell r="E89">
            <v>0.12613766184310746</v>
          </cell>
          <cell r="F89">
            <v>7.5206043956043966E-2</v>
          </cell>
          <cell r="G89">
            <v>0.12900422989708704</v>
          </cell>
          <cell r="H89">
            <v>8.8899758520192329E-2</v>
          </cell>
          <cell r="I89">
            <v>0.11749501030781978</v>
          </cell>
          <cell r="J89">
            <v>0.10219404134854744</v>
          </cell>
          <cell r="K89">
            <v>0.11850086779214287</v>
          </cell>
          <cell r="L89">
            <v>0.1031669401450737</v>
          </cell>
          <cell r="M89">
            <v>0.11898221164953177</v>
          </cell>
          <cell r="N89">
            <v>0.11539333494337638</v>
          </cell>
          <cell r="O89">
            <v>0.13314446721132581</v>
          </cell>
          <cell r="P89">
            <v>0.129023557871182</v>
          </cell>
          <cell r="Q89">
            <v>0.14608709765853845</v>
          </cell>
          <cell r="T89">
            <v>0.11020833333333338</v>
          </cell>
          <cell r="U89">
            <v>0.10316666666666667</v>
          </cell>
          <cell r="V89">
            <v>0.10135495436509867</v>
          </cell>
          <cell r="W89">
            <v>0.11013234719476039</v>
          </cell>
          <cell r="X89">
            <v>0.1108442825250535</v>
          </cell>
          <cell r="Y89">
            <v>0.12402024400794322</v>
          </cell>
          <cell r="Z89">
            <v>0.13720404727699573</v>
          </cell>
        </row>
        <row r="90">
          <cell r="C90">
            <v>-6.696262994479027E-2</v>
          </cell>
          <cell r="D90">
            <v>-3.0334324362997225E-2</v>
          </cell>
          <cell r="E90">
            <v>-1.7654000928648147E-3</v>
          </cell>
          <cell r="F90">
            <v>-4.1880445530700201E-2</v>
          </cell>
          <cell r="G90">
            <v>-3.4595034595034595E-2</v>
          </cell>
          <cell r="H90">
            <v>-8.9094684020685169E-2</v>
          </cell>
          <cell r="I90">
            <v>-3.1054057710758823E-2</v>
          </cell>
          <cell r="J90">
            <v>-1.5334718272567428E-2</v>
          </cell>
          <cell r="K90">
            <v>-1.2243516715213069E-2</v>
          </cell>
          <cell r="L90">
            <v>-2.8893377025786003E-2</v>
          </cell>
          <cell r="M90">
            <v>-3.031143089102719E-2</v>
          </cell>
          <cell r="N90">
            <v>-4.2003557922451119E-2</v>
          </cell>
          <cell r="O90">
            <v>-4.9324231909689681E-2</v>
          </cell>
          <cell r="P90">
            <v>-5.9853185463176348E-2</v>
          </cell>
          <cell r="Q90">
            <v>-6.6489160868043892E-2</v>
          </cell>
          <cell r="T90">
            <v>-1.5779864371413609E-2</v>
          </cell>
          <cell r="U90">
            <v>-3.5144039874968322E-2</v>
          </cell>
          <cell r="V90">
            <v>-5.8374532307882372E-2</v>
          </cell>
          <cell r="W90">
            <v>-1.3307152280182854E-2</v>
          </cell>
          <cell r="X90">
            <v>-2.847074314988101E-2</v>
          </cell>
          <cell r="Y90">
            <v>-4.4016769736599383E-2</v>
          </cell>
          <cell r="Z90">
            <v>-6.1422347834925013E-2</v>
          </cell>
        </row>
        <row r="91">
          <cell r="C91">
            <v>0.17893095864006986</v>
          </cell>
          <cell r="D91">
            <v>8.6246686480707685E-2</v>
          </cell>
          <cell r="E91">
            <v>0.12779220114549456</v>
          </cell>
          <cell r="F91">
            <v>9.82930113364896E-2</v>
          </cell>
          <cell r="G91">
            <v>0.12467829266292056</v>
          </cell>
          <cell r="H91">
            <v>0.1003816037558334</v>
          </cell>
          <cell r="I91">
            <v>0.12773870390342079</v>
          </cell>
          <cell r="J91">
            <v>0.109332514992771</v>
          </cell>
          <cell r="K91">
            <v>0.12871700272757416</v>
          </cell>
          <cell r="L91">
            <v>0.11272688625981099</v>
          </cell>
          <cell r="M91">
            <v>0.13031276836392855</v>
          </cell>
          <cell r="N91">
            <v>0.11721365141870344</v>
          </cell>
          <cell r="O91">
            <v>0.13378576227219977</v>
          </cell>
          <cell r="P91">
            <v>0.12175331235730866</v>
          </cell>
          <cell r="Q91">
            <v>0.13565393160232814</v>
          </cell>
          <cell r="T91">
            <v>0.10570862596794527</v>
          </cell>
          <cell r="U91">
            <v>0.10793613899501721</v>
          </cell>
          <cell r="V91">
            <v>0.11316965546526281</v>
          </cell>
          <cell r="W91">
            <v>0.118204265682315</v>
          </cell>
          <cell r="X91">
            <v>0.12069376380380172</v>
          </cell>
          <cell r="Y91">
            <v>0.12468046081011866</v>
          </cell>
          <cell r="Z91">
            <v>0.12792883956125045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Equity">
      <a:dk1>
        <a:sysClr val="windowText" lastClr="000000"/>
      </a:dk1>
      <a:lt1>
        <a:sysClr val="window" lastClr="FFFFFF"/>
      </a:lt1>
      <a:dk2>
        <a:srgbClr val="AEBAD5"/>
      </a:dk2>
      <a:lt2>
        <a:srgbClr val="DFE4EE"/>
      </a:lt2>
      <a:accent1>
        <a:srgbClr val="5E76AA"/>
      </a:accent1>
      <a:accent2>
        <a:srgbClr val="CFD6E6"/>
      </a:accent2>
      <a:accent3>
        <a:srgbClr val="9EADCC"/>
      </a:accent3>
      <a:accent4>
        <a:srgbClr val="EFF1F6"/>
      </a:accent4>
      <a:accent5>
        <a:srgbClr val="BFC8DD"/>
      </a:accent5>
      <a:accent6>
        <a:srgbClr val="8E9FC4"/>
      </a:accent6>
      <a:hlink>
        <a:srgbClr val="0070C6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23B9C81-CDFE-41B0-B0DC-763CB8FE746D}">
  <we:reference id="49825c50-e8d8-4c4a-9a2c-e6f24181e018" version="1.0.0.0" store="EXCatalog" storeType="EXCatalog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john.y.li@gs.com" TargetMode="External"/><Relationship Id="rId1" Type="http://schemas.openxmlformats.org/officeDocument/2006/relationships/hyperlink" Target="mailto:andrew.lyons@gs.com" TargetMode="External"/><Relationship Id="rId5" Type="http://schemas.openxmlformats.org/officeDocument/2006/relationships/drawing" Target="../drawings/drawing1.xml"/><Relationship Id="rId4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7" Type="http://schemas.openxmlformats.org/officeDocument/2006/relationships/comments" Target="../comments2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customProperty" Target="../customProperty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3.vml"/><Relationship Id="rId4" Type="http://schemas.openxmlformats.org/officeDocument/2006/relationships/customProperty" Target="../customProperty8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6.bin"/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9.bin"/><Relationship Id="rId2" Type="http://schemas.openxmlformats.org/officeDocument/2006/relationships/customProperty" Target="../customProperty18.bin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1.bin"/><Relationship Id="rId2" Type="http://schemas.openxmlformats.org/officeDocument/2006/relationships/customProperty" Target="../customProperty20.bin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D940-CE02-4A73-9F20-F2440AA1B1F3}">
  <sheetPr codeName="Sheet9"/>
  <dimension ref="A1:B1"/>
  <sheetViews>
    <sheetView workbookViewId="0"/>
  </sheetViews>
  <sheetFormatPr defaultRowHeight="15"/>
  <sheetData>
    <row r="1" spans="1:2">
      <c r="B1" t="s">
        <v>1872</v>
      </c>
    </row>
  </sheetData>
  <pageMargins left="0.7" right="0.7" top="0.75" bottom="0.75" header="0.3" footer="0.3"/>
  <customProperties>
    <customPr name="Qube.Worksheet.Visibility" r:id="rId1"/>
  </customPropertie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J54"/>
  <sheetViews>
    <sheetView workbookViewId="0"/>
  </sheetViews>
  <sheetFormatPr defaultColWidth="0" defaultRowHeight="18" customHeight="1" zeroHeight="1"/>
  <cols>
    <col min="1" max="1" width="2.5703125" style="487" customWidth="1"/>
    <col min="2" max="2" width="58.7109375" style="487" bestFit="1" customWidth="1"/>
    <col min="3" max="3" width="18.42578125" style="487" customWidth="1"/>
    <col min="4" max="9" width="9.140625" style="487" customWidth="1"/>
    <col min="10" max="10" width="2.5703125" style="487" customWidth="1"/>
    <col min="11" max="21" width="9.140625" style="487" hidden="1" customWidth="1"/>
    <col min="22" max="16384" width="9.140625" style="487" hidden="1"/>
  </cols>
  <sheetData>
    <row r="1" spans="2:9" ht="5.0999999999999996" customHeight="1"/>
    <row r="2" spans="2:9" ht="18" customHeight="1"/>
    <row r="3" spans="2:9" ht="18" customHeight="1"/>
    <row r="4" spans="2:9" ht="18" customHeight="1">
      <c r="B4" s="488" t="s">
        <v>1793</v>
      </c>
    </row>
    <row r="5" spans="2:9" ht="5.0999999999999996" customHeight="1"/>
    <row r="6" spans="2:9" ht="18" customHeight="1">
      <c r="B6" s="658" t="s">
        <v>1794</v>
      </c>
      <c r="C6" s="658"/>
      <c r="D6" s="658"/>
      <c r="E6" s="658"/>
      <c r="F6" s="658"/>
      <c r="G6" s="658"/>
      <c r="H6" s="658"/>
      <c r="I6" s="658"/>
    </row>
    <row r="7" spans="2:9" ht="18" customHeight="1">
      <c r="B7" s="489" t="s">
        <v>625</v>
      </c>
      <c r="C7" s="490" t="s">
        <v>272</v>
      </c>
    </row>
    <row r="8" spans="2:9" ht="18" customHeight="1">
      <c r="B8" s="489" t="s">
        <v>1795</v>
      </c>
      <c r="C8" s="491">
        <f>Summary!$G$10</f>
        <v>221.37365092065986</v>
      </c>
    </row>
    <row r="9" spans="2:9" ht="18" customHeight="1">
      <c r="B9" s="489" t="s">
        <v>1557</v>
      </c>
      <c r="C9" s="492">
        <v>3</v>
      </c>
    </row>
    <row r="10" spans="2:9" ht="18" customHeight="1">
      <c r="B10" s="489" t="s">
        <v>1796</v>
      </c>
      <c r="C10" s="493" t="e">
        <f>Summary!#REF!</f>
        <v>#REF!</v>
      </c>
    </row>
    <row r="11" spans="2:9" ht="18" customHeight="1">
      <c r="B11" s="489" t="s">
        <v>1797</v>
      </c>
      <c r="C11" s="493" t="e">
        <f>C10/Summary!C5</f>
        <v>#REF!</v>
      </c>
    </row>
    <row r="12" spans="2:9" ht="18" customHeight="1">
      <c r="B12" s="489" t="s">
        <v>1798</v>
      </c>
      <c r="C12" s="490" t="s">
        <v>760</v>
      </c>
    </row>
    <row r="13" spans="2:9" ht="18" customHeight="1">
      <c r="B13" s="489"/>
      <c r="C13" s="490"/>
    </row>
    <row r="14" spans="2:9" ht="18" customHeight="1">
      <c r="B14" s="489"/>
      <c r="C14" s="490"/>
    </row>
    <row r="15" spans="2:9" ht="5.0999999999999996" customHeight="1"/>
    <row r="16" spans="2:9" ht="18" customHeight="1">
      <c r="B16" s="658" t="s">
        <v>1799</v>
      </c>
      <c r="C16" s="658"/>
      <c r="D16" s="658"/>
      <c r="E16" s="658"/>
      <c r="F16" s="658"/>
      <c r="G16" s="658"/>
      <c r="H16" s="658"/>
      <c r="I16" s="658"/>
    </row>
    <row r="17" spans="2:4" ht="18" customHeight="1">
      <c r="B17" s="494"/>
    </row>
    <row r="18" spans="2:4" ht="18" customHeight="1">
      <c r="B18" s="495" t="s">
        <v>1800</v>
      </c>
      <c r="C18" s="496" t="s">
        <v>1801</v>
      </c>
      <c r="D18" s="497" t="s">
        <v>1802</v>
      </c>
    </row>
    <row r="19" spans="2:4" ht="18" customHeight="1">
      <c r="B19" s="495" t="s">
        <v>1803</v>
      </c>
      <c r="C19" s="496" t="s">
        <v>1804</v>
      </c>
      <c r="D19" s="497" t="s">
        <v>1805</v>
      </c>
    </row>
    <row r="20" spans="2:4" ht="18" customHeight="1">
      <c r="B20" s="495"/>
      <c r="C20" s="496"/>
      <c r="D20" s="497"/>
    </row>
    <row r="21" spans="2:4" ht="18" customHeight="1"/>
    <row r="22" spans="2:4" ht="18" customHeight="1"/>
    <row r="23" spans="2:4" ht="18" customHeight="1"/>
    <row r="24" spans="2:4" ht="18" customHeight="1"/>
    <row r="54" ht="18" customHeight="1"/>
  </sheetData>
  <mergeCells count="2">
    <mergeCell ref="B6:I6"/>
    <mergeCell ref="B16:I16"/>
  </mergeCells>
  <dataValidations count="2">
    <dataValidation type="list" allowBlank="1" showInputMessage="1" showErrorMessage="1" sqref="C9" xr:uid="{00000000-0002-0000-0000-000000000000}">
      <formula1>"1, 2, 3"</formula1>
    </dataValidation>
    <dataValidation type="list" allowBlank="1" showInputMessage="1" showErrorMessage="1" sqref="C7" xr:uid="{00000000-0002-0000-0000-000001000000}">
      <formula1>"Buy, Sell, Neutral, Not Rated, Rating Suspended"</formula1>
    </dataValidation>
  </dataValidations>
  <hyperlinks>
    <hyperlink ref="D18" r:id="rId1" xr:uid="{00000000-0004-0000-0000-000000000000}"/>
    <hyperlink ref="D19" r:id="rId2" xr:uid="{00000000-0004-0000-0000-000001000000}"/>
  </hyperlinks>
  <pageMargins left="0.7" right="0.7" top="0.75" bottom="0.75" header="0.3" footer="0.3"/>
  <pageSetup paperSize="9" orientation="portrait" r:id="rId3"/>
  <customProperties>
    <customPr name="Qube.Worksheet.Visibility" r:id="rId4"/>
  </customProperties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AW194"/>
  <sheetViews>
    <sheetView workbookViewId="0">
      <selection activeCell="C5" sqref="C5:C6"/>
    </sheetView>
  </sheetViews>
  <sheetFormatPr defaultColWidth="12.28515625" defaultRowHeight="12" outlineLevelRow="1"/>
  <cols>
    <col min="1" max="1" width="4.5703125" style="105" customWidth="1"/>
    <col min="2" max="2" width="31.28515625" style="106" customWidth="1"/>
    <col min="3" max="3" width="14.42578125" style="106" bestFit="1" customWidth="1"/>
    <col min="4" max="8" width="12.28515625" style="106"/>
    <col min="9" max="9" width="12.5703125" style="106" bestFit="1" customWidth="1"/>
    <col min="10" max="11" width="12.28515625" style="106" customWidth="1"/>
    <col min="12" max="18" width="12.28515625" style="106"/>
    <col min="19" max="19" width="17.140625" style="106" customWidth="1"/>
    <col min="20" max="16384" width="12.28515625" style="106"/>
  </cols>
  <sheetData>
    <row r="1" spans="1:49"/>
    <row r="2" spans="1:49">
      <c r="A2" s="105" t="s">
        <v>266</v>
      </c>
      <c r="B2" s="380" t="s">
        <v>267</v>
      </c>
      <c r="C2" s="381" t="s">
        <v>404</v>
      </c>
      <c r="D2" s="382"/>
      <c r="E2" s="382" t="s">
        <v>268</v>
      </c>
      <c r="F2" s="382"/>
      <c r="G2" s="480">
        <f>EOMONTH(VLOOKUP($A2,[1]Sheet1!$2:$336,MATCH("Current",[1]Sheet1!$2:$2,0),FALSE),0)</f>
        <v>46265</v>
      </c>
      <c r="AW2" s="106" t="s">
        <v>269</v>
      </c>
    </row>
    <row r="3" spans="1:49">
      <c r="B3" s="383" t="s">
        <v>270</v>
      </c>
      <c r="C3" s="478" t="str">
        <f>C$2&amp;" AU"</f>
        <v>MQG AU</v>
      </c>
      <c r="D3" s="384"/>
      <c r="E3" s="384" t="s">
        <v>271</v>
      </c>
      <c r="F3" s="384"/>
      <c r="G3" s="385" t="str">
        <f>INDEX('Group Model'!$AU$1:$JD$1,MATCH(MAX('Group Model'!$AU$3:$JD$3),'Group Model'!$AU$3:$JD$3,0))</f>
        <v>FY30E</v>
      </c>
      <c r="I3" s="106">
        <f>(196.08+F20/100)/196.82-1</f>
        <v>3.4854181485621361E-2</v>
      </c>
      <c r="AW3" s="106" t="s">
        <v>272</v>
      </c>
    </row>
    <row r="4" spans="1:49">
      <c r="A4" s="105" t="s">
        <v>273</v>
      </c>
      <c r="B4" s="383" t="s">
        <v>274</v>
      </c>
      <c r="C4" s="478" t="str">
        <f>C$2&amp;".AX"</f>
        <v>MQG.AX</v>
      </c>
      <c r="D4" s="384"/>
      <c r="E4" s="384" t="s">
        <v>275</v>
      </c>
      <c r="F4" s="384"/>
      <c r="G4" s="481">
        <f>VLOOKUP($A4,[1]Sheet1!$2:$336,MATCH("Current",[1]Sheet1!$2:$2,0),FALSE)+1%</f>
        <v>3.5000000000000003E-2</v>
      </c>
      <c r="AW4" s="106" t="s">
        <v>276</v>
      </c>
    </row>
    <row r="5" spans="1:49">
      <c r="A5" s="105" t="s">
        <v>277</v>
      </c>
      <c r="B5" s="383" t="s">
        <v>278</v>
      </c>
      <c r="C5" s="485">
        <v>214.5</v>
      </c>
      <c r="D5" s="384"/>
      <c r="E5" s="384" t="s">
        <v>279</v>
      </c>
      <c r="F5" s="384"/>
      <c r="G5" s="481">
        <f>VLOOKUP($A5,[1]Sheet1!$2:$336,MATCH("Current",[1]Sheet1!$2:$2,0),FALSE)</f>
        <v>3.5000000000000003E-2</v>
      </c>
      <c r="N5" s="520"/>
    </row>
    <row r="6" spans="1:49">
      <c r="A6" s="105" t="s">
        <v>280</v>
      </c>
      <c r="B6" s="383" t="s">
        <v>281</v>
      </c>
      <c r="C6" s="486">
        <v>75467.725169400001</v>
      </c>
      <c r="D6" s="384"/>
      <c r="E6" s="384" t="s">
        <v>282</v>
      </c>
      <c r="F6" s="384"/>
      <c r="G6" s="481">
        <f>VLOOKUP($A6,[1]Sheet1!$2:$336,MATCH("Current",[1]Sheet1!$2:$2,0),FALSE)</f>
        <v>0.06</v>
      </c>
    </row>
    <row r="7" spans="1:49">
      <c r="A7" s="105" t="s">
        <v>283</v>
      </c>
      <c r="B7" s="383" t="s">
        <v>284</v>
      </c>
      <c r="C7" s="386" t="s">
        <v>272</v>
      </c>
      <c r="D7" s="384"/>
      <c r="E7" s="384" t="s">
        <v>285</v>
      </c>
      <c r="F7" s="384"/>
      <c r="G7" s="479">
        <v>0.95</v>
      </c>
    </row>
    <row r="8" spans="1:49">
      <c r="B8" s="383" t="s">
        <v>286</v>
      </c>
      <c r="C8" s="483">
        <v>45931</v>
      </c>
      <c r="D8" s="384"/>
      <c r="E8" s="384" t="s">
        <v>287</v>
      </c>
      <c r="F8" s="384"/>
      <c r="G8" s="387">
        <f>G5+G7*G6</f>
        <v>9.1999999999999998E-2</v>
      </c>
    </row>
    <row r="9" spans="1:49">
      <c r="B9" s="383" t="s">
        <v>288</v>
      </c>
      <c r="C9" s="483">
        <f>HLOOKUP("A",'Group Model'!$C$2:$AT$3,2)</f>
        <v>45930</v>
      </c>
      <c r="D9" s="384"/>
      <c r="E9" s="384" t="str">
        <f>"Valuation as at "&amp;TEXT($G$2,"DD-MMM-YY")</f>
        <v>Valuation as at 31-Aug-26</v>
      </c>
      <c r="F9" s="384"/>
      <c r="G9" s="388">
        <f>$C$184</f>
        <v>221.37365092065986</v>
      </c>
    </row>
    <row r="10" spans="1:49">
      <c r="B10" s="389" t="s">
        <v>289</v>
      </c>
      <c r="C10" s="484">
        <f>HLOOKUP(EOMONTH($C$8,5),'Group Model'!$U$3:$BR$3,1)</f>
        <v>46112</v>
      </c>
      <c r="D10" s="390"/>
      <c r="E10" s="390" t="str">
        <f>"Price target as at "&amp;TEXT($G$2,"DD-MMM-YY")</f>
        <v>Price target as at 31-Aug-26</v>
      </c>
      <c r="F10" s="391"/>
      <c r="G10" s="482">
        <v>221.37365092065986</v>
      </c>
    </row>
    <row r="12" spans="1:49">
      <c r="B12" s="146" t="s">
        <v>290</v>
      </c>
      <c r="C12" s="147"/>
      <c r="D12" s="147"/>
      <c r="E12" s="147"/>
      <c r="F12" s="147"/>
      <c r="G12" s="147"/>
      <c r="H12" s="147"/>
      <c r="I12" s="147"/>
      <c r="J12" s="147"/>
      <c r="K12" s="147"/>
      <c r="L12" s="147"/>
    </row>
    <row r="13" spans="1:49">
      <c r="E13" s="274"/>
    </row>
    <row r="14" spans="1:49">
      <c r="A14" s="105" t="str">
        <f>INDEX('Group Model'!$U$1:$BR$1,MATCH(C14,'Group Model'!$U$1:$BR$1,0)-1)</f>
        <v>FY23A</v>
      </c>
      <c r="B14" s="148" t="s">
        <v>291</v>
      </c>
      <c r="C14" s="149" t="str">
        <f>INDEX('Group Model'!$U$1:$BR$1,MATCH(D14,'Group Model'!$U$1:$BR$1,0)-1)</f>
        <v>FY24A</v>
      </c>
      <c r="D14" s="149" t="str">
        <f>INDEX('Group Model'!$U$1:$BR$1,MATCH(E14,'Group Model'!$U$1:$BR$1,0)-1)</f>
        <v>FY25A</v>
      </c>
      <c r="E14" s="149" t="str">
        <f>INDEX('Group Model'!$AU$1:$BR$1,MATCH($C$10,'Group Model'!$AU$3:$BR$3,0))</f>
        <v>FY26E</v>
      </c>
      <c r="F14" s="149" t="str">
        <f>INDEX('Group Model'!$U$1:$BR$1,MATCH(E14,'Group Model'!$U$1:$BR$1,0)+1)</f>
        <v>FY27E</v>
      </c>
      <c r="G14" s="149" t="str">
        <f>INDEX('Group Model'!$U$1:$BR$1,MATCH(F14,'Group Model'!$U$1:$BR$1,0)+1)</f>
        <v>FY28E</v>
      </c>
      <c r="H14" s="107" t="e">
        <f>INDEX('Group Model'!$C$1:$T$1,MATCH(I14,'Group Model'!$C$1:$T$1,0)-1)</f>
        <v>#N/A</v>
      </c>
      <c r="I14" s="149" t="str">
        <f>INDEX('Group Model'!$C$1:$AT$1,MATCH(J14,'Group Model'!$C$1:$AT$1,0)-1)</f>
        <v>2H25A</v>
      </c>
      <c r="J14" s="149" t="str">
        <f>INDEX('Group Model'!$C$1:$AT$1,MATCH(K14,'Group Model'!$C$1:$AT$1,0)-1)</f>
        <v>1H26A</v>
      </c>
      <c r="K14" s="149" t="str">
        <f>INDEX('Group Model'!$C$1:$AT$1,MATCH(L14,'Group Model'!$C$1:$AT$1,0)-1)</f>
        <v>2H26E</v>
      </c>
      <c r="L14" s="149" t="str">
        <f>INDEX('Group Model'!$C$1:$AT$1,MATCH($C$9,'Group Model'!$C$3:$AT$3,0)+2)</f>
        <v>1H27E</v>
      </c>
    </row>
    <row r="15" spans="1:49">
      <c r="A15" s="105" t="s">
        <v>529</v>
      </c>
      <c r="B15" s="106" t="s">
        <v>293</v>
      </c>
      <c r="C15" s="108">
        <f>VLOOKUP($A15,'Group Model'!$1:$1048576,MATCH(C$14,'Group Model'!$1:$1,0),FALSE)</f>
        <v>3522</v>
      </c>
      <c r="D15" s="108">
        <f>VLOOKUP($A15,'Group Model'!$1:$1048576,MATCH(D$14,'Group Model'!$1:$1,0),FALSE)</f>
        <v>3715</v>
      </c>
      <c r="E15" s="108">
        <f>VLOOKUP($A15,'Group Model'!$1:$1048576,MATCH(E$14,'Group Model'!$1:$1,0),FALSE)</f>
        <v>4154.8880561614706</v>
      </c>
      <c r="F15" s="108">
        <f>VLOOKUP($A15,'Group Model'!$1:$1048576,MATCH(F$14,'Group Model'!$1:$1,0),FALSE)</f>
        <v>4590.333679525238</v>
      </c>
      <c r="G15" s="108">
        <f>VLOOKUP($A15,'Group Model'!$1:$1048576,MATCH(G$14,'Group Model'!$1:$1,0),FALSE)</f>
        <v>5075.1655183620624</v>
      </c>
      <c r="H15" s="108"/>
      <c r="I15" s="108">
        <f>VLOOKUP($A15,'Group Model'!$1:$1048576,MATCH(I$14,'Group Model'!$1:$1,0),FALSE)</f>
        <v>2103</v>
      </c>
      <c r="J15" s="108">
        <f>VLOOKUP($A15,'Group Model'!$1:$1048576,MATCH(J$14,'Group Model'!$1:$1,0),FALSE)</f>
        <v>1655</v>
      </c>
      <c r="K15" s="108">
        <f>VLOOKUP($A15,'Group Model'!$1:$1048576,MATCH(K$14,'Group Model'!$1:$1,0),FALSE)</f>
        <v>2499.8880561614696</v>
      </c>
      <c r="L15" s="108">
        <f>VLOOKUP($A15,'Group Model'!$1:$1048576,MATCH(L$14,'Group Model'!$1:$1,0),FALSE)</f>
        <v>2129.0899562069253</v>
      </c>
      <c r="O15" s="519"/>
    </row>
    <row r="16" spans="1:49">
      <c r="A16" s="105" t="s">
        <v>294</v>
      </c>
      <c r="B16" s="106" t="s">
        <v>295</v>
      </c>
      <c r="C16" s="109">
        <f>VLOOKUP($A16,'Group Model'!$1:$1048576,MATCH(C$14,'Group Model'!$1:$1,0),FALSE) * 100</f>
        <v>911.40532545455267</v>
      </c>
      <c r="D16" s="109">
        <f>VLOOKUP($A16,'Group Model'!$1:$1048576,MATCH(D$14,'Group Model'!$1:$1,0),FALSE) * 100</f>
        <v>975.49480519121607</v>
      </c>
      <c r="E16" s="109">
        <f>VLOOKUP($A16,'Group Model'!$1:$1048576,MATCH(E$14,'Group Model'!$1:$1,0),FALSE) * 100</f>
        <v>1095.5310409977953</v>
      </c>
      <c r="F16" s="109">
        <f>VLOOKUP($A16,'Group Model'!$1:$1048576,MATCH(F$14,'Group Model'!$1:$1,0),FALSE) * 100</f>
        <v>1219.1087646398307</v>
      </c>
      <c r="G16" s="109">
        <f>VLOOKUP($A16,'Group Model'!$1:$1048576,MATCH(G$14,'Group Model'!$1:$1,0),FALSE) * 100</f>
        <v>1353.6357906578235</v>
      </c>
      <c r="H16" s="108"/>
      <c r="I16" s="108">
        <f>VLOOKUP($A16,'Group Model'!$1:$1048576,MATCH(I$14,'Group Model'!$1:$1,0),FALSE) * 100</f>
        <v>552.45265595002411</v>
      </c>
      <c r="J16" s="108">
        <f>VLOOKUP($A16,'Group Model'!$1:$1048576,MATCH(J$14,'Group Model'!$1:$1,0),FALSE) * 100</f>
        <v>434.94447836695292</v>
      </c>
      <c r="K16" s="108">
        <f>VLOOKUP($A16,'Group Model'!$1:$1048576,MATCH(K$14,'Group Model'!$1:$1,0),FALSE) * 100</f>
        <v>660.79396195176253</v>
      </c>
      <c r="L16" s="108">
        <f>VLOOKUP($A16,'Group Model'!$1:$1048576,MATCH(L$14,'Group Model'!$1:$1,0),FALSE) * 100</f>
        <v>564.08712011864384</v>
      </c>
    </row>
    <row r="17" spans="1:18">
      <c r="A17" s="105" t="s">
        <v>294</v>
      </c>
      <c r="B17" s="106" t="s">
        <v>296</v>
      </c>
      <c r="C17" s="268">
        <f>(C16 / (VLOOKUP($A17,Old!$1:$1048576,MATCH(C$14,Old!$1:$1,0),FALSE) * 100 ) - 1) * 100</f>
        <v>0</v>
      </c>
      <c r="D17" s="268" t="e">
        <f>(D16 / (VLOOKUP($A17,Old!$1:$1048576,MATCH(D$14,Old!$1:$1,0),FALSE) * 100 ) - 1) * 100</f>
        <v>#N/A</v>
      </c>
      <c r="E17" s="268">
        <f>(E16 / (VLOOKUP($A17,Old!$1:$1048576,MATCH(E$14,Old!$1:$1,0),FALSE) * 100 ) - 1) * 100</f>
        <v>-2.1936336029233283</v>
      </c>
      <c r="F17" s="268">
        <f>(F16 / (VLOOKUP($A17,Old!$1:$1048576,MATCH(F$14,Old!$1:$1,0),FALSE) * 100 ) - 1) * 100</f>
        <v>5.0584335390734259</v>
      </c>
      <c r="G17" s="268">
        <f>(G16 / (VLOOKUP($A17,Old!$1:$1048576,MATCH(G$14,Old!$1:$1,0),FALSE) * 100 ) - 1) * 100</f>
        <v>9.7585173697094962</v>
      </c>
      <c r="H17" s="268"/>
      <c r="I17" s="268" t="e">
        <f>(I16 / (VLOOKUP($A17,Old!$1:$1048576,MATCH(I$14,Old!$1:$1,0),FALSE) * 100 ) - 1) * 100</f>
        <v>#N/A</v>
      </c>
      <c r="J17" s="268" t="e">
        <f>(J16 / (VLOOKUP($A17,Old!$1:$1048576,MATCH(J$14,Old!$1:$1,0),FALSE) * 100 ) - 1) * 100</f>
        <v>#N/A</v>
      </c>
      <c r="K17" s="268">
        <f>(K16 / (VLOOKUP($A17,Old!$1:$1048576,MATCH(K$14,Old!$1:$1,0),FALSE) * 100 ) - 1) * 100</f>
        <v>15.366651712177038</v>
      </c>
      <c r="L17" s="268">
        <f>(L16 / (VLOOKUP($A17,Old!$1:$1048576,MATCH(L$14,Old!$1:$1,0),FALSE) * 100 ) - 1) * 100</f>
        <v>2.8084905104441171</v>
      </c>
    </row>
    <row r="18" spans="1:18">
      <c r="A18" s="105" t="s">
        <v>297</v>
      </c>
      <c r="B18" s="106" t="s">
        <v>298</v>
      </c>
      <c r="C18" s="109">
        <f>IF(ISERROR(VLOOKUP($A18,'Group Model'!$1:$1048576,MATCH(C$14,'Group Model'!$1:$1,0),FALSE) * 100),"n.a.",VLOOKUP($A18,'Group Model'!$1:$1048576,MATCH(C$14,'Group Model'!$1:$1,0),FALSE) * 100)</f>
        <v>-30.812201310740662</v>
      </c>
      <c r="D18" s="109">
        <f>IF(ISERROR(VLOOKUP($A18,'Group Model'!$1:$1048576,MATCH(D$14,'Group Model'!$1:$1,0),FALSE) * 100),"n.a.",VLOOKUP($A18,'Group Model'!$1:$1048576,MATCH(D$14,'Group Model'!$1:$1,0),FALSE) * 100)</f>
        <v>7.0319404491848481</v>
      </c>
      <c r="E18" s="109">
        <f>IF(ISERROR(VLOOKUP($A18,'Group Model'!$1:$1048576,MATCH(E$14,'Group Model'!$1:$1,0),FALSE) * 100),"n.a.",VLOOKUP($A18,'Group Model'!$1:$1048576,MATCH(E$14,'Group Model'!$1:$1,0),FALSE) * 100)</f>
        <v>12.305164022175363</v>
      </c>
      <c r="F18" s="109">
        <f>IF(ISERROR(VLOOKUP($A18,'Group Model'!$1:$1048576,MATCH(F$14,'Group Model'!$1:$1,0),FALSE) * 100),"n.a.",VLOOKUP($A18,'Group Model'!$1:$1048576,MATCH(F$14,'Group Model'!$1:$1,0),FALSE) * 100)</f>
        <v>11.280166331889818</v>
      </c>
      <c r="G18" s="109">
        <f>IF(ISERROR(VLOOKUP($A18,'Group Model'!$1:$1048576,MATCH(G$14,'Group Model'!$1:$1,0),FALSE) * 100),"n.a.",VLOOKUP($A18,'Group Model'!$1:$1048576,MATCH(G$14,'Group Model'!$1:$1,0),FALSE) * 100)</f>
        <v>11.034866610752058</v>
      </c>
      <c r="H18" s="109"/>
      <c r="I18" s="109">
        <f>IF(ISERROR(VLOOKUP($A18,'Group Model'!$1:$1048576,MATCH(I$14,'Group Model'!$1:$1,0),FALSE) * 100),"n.a.",VLOOKUP($A18,'Group Model'!$1:$1048576,MATCH(I$14,'Group Model'!$1:$1,0),FALSE) * 100)</f>
        <v>30.609189845232841</v>
      </c>
      <c r="J18" s="109">
        <f>IF(ISERROR(VLOOKUP($A18,'Group Model'!$1:$1048576,MATCH(J$14,'Group Model'!$1:$1,0),FALSE) * 100),"n.a.",VLOOKUP($A18,'Group Model'!$1:$1048576,MATCH(J$14,'Group Model'!$1:$1,0),FALSE) * 100)</f>
        <v>-21.270271093366077</v>
      </c>
      <c r="K18" s="109">
        <f>IF(ISERROR(VLOOKUP($A18,'Group Model'!$1:$1048576,MATCH(K$14,'Group Model'!$1:$1,0),FALSE) * 100),"n.a.",VLOOKUP($A18,'Group Model'!$1:$1048576,MATCH(K$14,'Group Model'!$1:$1,0),FALSE) * 100)</f>
        <v>51.926049143740485</v>
      </c>
      <c r="L18" s="109">
        <f>IF(ISERROR(VLOOKUP($A18,'Group Model'!$1:$1048576,MATCH(L$14,'Group Model'!$1:$1,0),FALSE) * 100),"n.a.",VLOOKUP($A18,'Group Model'!$1:$1048576,MATCH(L$14,'Group Model'!$1:$1,0),FALSE) * 100)</f>
        <v>-14.634946352639089</v>
      </c>
      <c r="M18" s="276"/>
    </row>
    <row r="19" spans="1:18">
      <c r="A19" s="105" t="s">
        <v>299</v>
      </c>
      <c r="B19" s="106" t="s">
        <v>300</v>
      </c>
      <c r="C19" s="109">
        <f>$C$5 * 100 / (C16 * VLOOKUP($A19,'Group Model'!$1:$1048576,MATCH(C$14,'Group Model'!$1:$1,0),FALSE))</f>
        <v>23.535083020611125</v>
      </c>
      <c r="D19" s="109">
        <f>$C$5 * 100 / (D16 * VLOOKUP($A19,'Group Model'!$1:$1048576,MATCH(D$14,'Group Model'!$1:$1,0),FALSE))</f>
        <v>21.988840828112231</v>
      </c>
      <c r="E19" s="109">
        <f>$C$5 * 100 / (E16 * VLOOKUP($A19,'Group Model'!$1:$1048576,MATCH(E$14,'Group Model'!$1:$1,0),FALSE))</f>
        <v>19.579545624251431</v>
      </c>
      <c r="F19" s="109">
        <f>$C$5 * 100 / (F16 * VLOOKUP($A19,'Group Model'!$1:$1048576,MATCH(F$14,'Group Model'!$1:$1,0),FALSE))</f>
        <v>17.594820595303581</v>
      </c>
      <c r="G19" s="109">
        <f>$C$5 * 100 / (G16 * VLOOKUP($A19,'Group Model'!$1:$1048576,MATCH(G$14,'Group Model'!$1:$1,0),FALSE))</f>
        <v>15.846212214569171</v>
      </c>
      <c r="H19" s="109"/>
      <c r="I19" s="109">
        <f>$C$5 * 100 / (I16 * VLOOKUP($A19,'Group Model'!$1:$1048576,MATCH(I$14,'Group Model'!$1:$1,0),FALSE))</f>
        <v>19.360240779299843</v>
      </c>
      <c r="J19" s="109">
        <f>$C$5 * 100 / (J16 * VLOOKUP($A19,'Group Model'!$1:$1048576,MATCH(J$14,'Group Model'!$1:$1,0),FALSE))</f>
        <v>24.725876741836927</v>
      </c>
      <c r="K19" s="109">
        <f>$C$5 * 100 / (K16 * VLOOKUP($A19,'Group Model'!$1:$1048576,MATCH(K$14,'Group Model'!$1:$1,0),FALSE))</f>
        <v>16.186008126897711</v>
      </c>
      <c r="L19" s="109">
        <f>$C$5 * 100 / (L16 * VLOOKUP($A19,'Group Model'!$1:$1048576,MATCH(L$14,'Group Model'!$1:$1,0),FALSE))</f>
        <v>19.065111005161537</v>
      </c>
    </row>
    <row r="20" spans="1:18">
      <c r="A20" s="105" t="s">
        <v>301</v>
      </c>
      <c r="B20" s="106" t="s">
        <v>302</v>
      </c>
      <c r="C20" s="108">
        <f>VLOOKUP($A20,'Group Model'!$1:$1048576,MATCH(C$14,'Group Model'!$1:$1,0),FALSE) * 100</f>
        <v>640</v>
      </c>
      <c r="D20" s="108">
        <f>VLOOKUP($A20,'Group Model'!$1:$1048576,MATCH(D$14,'Group Model'!$1:$1,0),FALSE) * 100</f>
        <v>650</v>
      </c>
      <c r="E20" s="108">
        <f>VLOOKUP($A20,'Group Model'!$1:$1048576,MATCH(E$14,'Group Model'!$1:$1,0),FALSE) * 100</f>
        <v>680</v>
      </c>
      <c r="F20" s="108">
        <f>VLOOKUP($A20,'Group Model'!$1:$1048576,MATCH(F$14,'Group Model'!$1:$1,0),FALSE) * 100</f>
        <v>760</v>
      </c>
      <c r="G20" s="108">
        <f>VLOOKUP($A20,'Group Model'!$1:$1048576,MATCH(G$14,'Group Model'!$1:$1,0),FALSE) * 100</f>
        <v>869.99999999999989</v>
      </c>
      <c r="H20" s="108"/>
      <c r="I20" s="108">
        <f>VLOOKUP($A20,'Group Model'!$1:$1048576,MATCH(I$14,'Group Model'!$1:$1,0),FALSE) * 100</f>
        <v>390</v>
      </c>
      <c r="J20" s="108">
        <f>VLOOKUP($A20,'Group Model'!$1:$1048576,MATCH(J$14,'Group Model'!$1:$1,0),FALSE) * 100</f>
        <v>280</v>
      </c>
      <c r="K20" s="108">
        <f>VLOOKUP($A20,'Group Model'!$1:$1048576,MATCH(K$14,'Group Model'!$1:$1,0),FALSE) * 100</f>
        <v>400</v>
      </c>
      <c r="L20" s="108">
        <f>VLOOKUP($A20,'Group Model'!$1:$1048576,MATCH(L$14,'Group Model'!$1:$1,0),FALSE) * 100</f>
        <v>340</v>
      </c>
    </row>
    <row r="21" spans="1:18">
      <c r="A21" s="105" t="s">
        <v>299</v>
      </c>
      <c r="B21" s="106" t="s">
        <v>303</v>
      </c>
      <c r="C21" s="109">
        <f>C20 / $C$5</f>
        <v>2.9836829836829839</v>
      </c>
      <c r="D21" s="109">
        <f>D20 / $C$5</f>
        <v>3.0303030303030303</v>
      </c>
      <c r="E21" s="109">
        <f>E20 / $C$5</f>
        <v>3.1701631701631703</v>
      </c>
      <c r="F21" s="109">
        <f>F20 / $C$5</f>
        <v>3.5431235431235431</v>
      </c>
      <c r="G21" s="109">
        <f>G20 / $C$5</f>
        <v>4.0559440559440558</v>
      </c>
      <c r="I21" s="109">
        <f>(I20 * VLOOKUP($A21,'Group Model'!$1:$1048576,MATCH(I$14,'Group Model'!$1:$1,0),FALSE)) / $C$5</f>
        <v>3.6463536463536461</v>
      </c>
      <c r="J21" s="109">
        <f>(J20 * VLOOKUP($A21,'Group Model'!$1:$1048576,MATCH(J$14,'Group Model'!$1:$1,0),FALSE)) / $C$5</f>
        <v>2.6035894888353903</v>
      </c>
      <c r="K21" s="109">
        <f>(K20 * VLOOKUP($A21,'Group Model'!$1:$1048576,MATCH(K$14,'Group Model'!$1:$1,0),FALSE)) / $C$5</f>
        <v>3.7398498936960474</v>
      </c>
      <c r="L21" s="109">
        <f>(L20 * VLOOKUP($A21,'Group Model'!$1:$1048576,MATCH(L$14,'Group Model'!$1:$1,0),FALSE)) / $C$5</f>
        <v>3.16150152215726</v>
      </c>
    </row>
    <row r="22" spans="1:18">
      <c r="A22" s="105" t="s">
        <v>106</v>
      </c>
      <c r="B22" s="106" t="s">
        <v>304</v>
      </c>
      <c r="C22" s="108">
        <f>VLOOKUP($A22,'Group Model'!$1:$1048576,MATCH(C$14,'Group Model'!$1:$1,0),FALSE) * 100</f>
        <v>40</v>
      </c>
      <c r="D22" s="108">
        <f>VLOOKUP($A22,'Group Model'!$1:$1048576,MATCH(D$14,'Group Model'!$1:$1,0),FALSE) * 100</f>
        <v>35</v>
      </c>
      <c r="E22" s="108">
        <f>VLOOKUP($A22,'Group Model'!$1:$1048576,MATCH(E$14,'Group Model'!$1:$1,0),FALSE) * 100</f>
        <v>35</v>
      </c>
      <c r="F22" s="108">
        <f>VLOOKUP($A22,'Group Model'!$1:$1048576,MATCH(F$14,'Group Model'!$1:$1,0),FALSE) * 100</f>
        <v>35</v>
      </c>
      <c r="G22" s="108">
        <f>VLOOKUP($A22,'Group Model'!$1:$1048576,MATCH(G$14,'Group Model'!$1:$1,0),FALSE) * 100</f>
        <v>35</v>
      </c>
      <c r="H22" s="108"/>
      <c r="I22" s="108">
        <f>VLOOKUP($A22,'Group Model'!$1:$1048576,MATCH(I$14,'Group Model'!$1:$1,0),FALSE) * 100</f>
        <v>35</v>
      </c>
      <c r="J22" s="108">
        <f>VLOOKUP($A22,'Group Model'!$1:$1048576,MATCH(J$14,'Group Model'!$1:$1,0),FALSE) * 100</f>
        <v>35</v>
      </c>
      <c r="K22" s="108">
        <f>VLOOKUP($A22,'Group Model'!$1:$1048576,MATCH(K$14,'Group Model'!$1:$1,0),FALSE) * 100</f>
        <v>35</v>
      </c>
      <c r="L22" s="108">
        <f>VLOOKUP($A22,'Group Model'!$1:$1048576,MATCH(L$14,'Group Model'!$1:$1,0),FALSE) * 100</f>
        <v>35</v>
      </c>
    </row>
    <row r="23" spans="1:18">
      <c r="A23" s="105" t="s">
        <v>305</v>
      </c>
      <c r="B23" s="106" t="s">
        <v>306</v>
      </c>
      <c r="C23" s="109">
        <f>$C$5 / ((VLOOKUP($A23,'Group Model'!$1:$1048576,MATCH(C$14,'Group Model'!$1:$1,0),FALSE) * VLOOKUP($A21,'Group Model'!$1:$1048576,MATCH(C$14,'Group Model'!$1:$1,0),FALSE)))</f>
        <v>2.416327312875044</v>
      </c>
      <c r="D23" s="109">
        <f>$C$5 / ((VLOOKUP($A23,'Group Model'!$1:$1048576,MATCH(D$14,'Group Model'!$1:$1,0),FALSE) * VLOOKUP($A21,'Group Model'!$1:$1048576,MATCH(D$14,'Group Model'!$1:$1,0),FALSE)))</f>
        <v>2.284338484380676</v>
      </c>
      <c r="E23" s="109">
        <f>$C$5 / ((VLOOKUP($A23,'Group Model'!$1:$1048576,MATCH(E$14,'Group Model'!$1:$1,0),FALSE) * VLOOKUP($A21,'Group Model'!$1:$1048576,MATCH(E$14,'Group Model'!$1:$1,0),FALSE)))</f>
        <v>2.2435541262864138</v>
      </c>
      <c r="F23" s="109">
        <f>$C$5 / ((VLOOKUP($A23,'Group Model'!$1:$1048576,MATCH(F$14,'Group Model'!$1:$1,0),FALSE) * VLOOKUP($A21,'Group Model'!$1:$1048576,MATCH(F$14,'Group Model'!$1:$1,0),FALSE)))</f>
        <v>2.1600370575027208</v>
      </c>
      <c r="G23" s="109">
        <f>$C$5 / ((VLOOKUP($A23,'Group Model'!$1:$1048576,MATCH(G$14,'Group Model'!$1:$1,0),FALSE) * VLOOKUP($A21,'Group Model'!$1:$1048576,MATCH(G$14,'Group Model'!$1:$1,0),FALSE)))</f>
        <v>2.0473957317132792</v>
      </c>
      <c r="I23" s="109">
        <f>$C$5/((VLOOKUP($A23,'Group Model'!1:1048576,MATCH(I$14,'Group Model'!1:1,0),FALSE)))</f>
        <v>2.284338484380676</v>
      </c>
      <c r="J23" s="109">
        <f>$C$5/((VLOOKUP($A23,'Group Model'!1:1048576,MATCH(J$14,'Group Model'!1:1,0),FALSE)))</f>
        <v>2.3229581751861113</v>
      </c>
      <c r="K23" s="109">
        <f>$C$5/((VLOOKUP($A23,'Group Model'!1:1048576,MATCH(K$14,'Group Model'!1:1,0),FALSE)))</f>
        <v>2.2435541262864138</v>
      </c>
      <c r="L23" s="109">
        <f>$C$5/((VLOOKUP($A23,'Group Model'!1:1048576,MATCH(L$14,'Group Model'!1:1,0),FALSE)))</f>
        <v>2.217965959930575</v>
      </c>
    </row>
    <row r="24" spans="1:18">
      <c r="A24" s="105" t="s">
        <v>153</v>
      </c>
      <c r="B24" s="106" t="s">
        <v>307</v>
      </c>
      <c r="C24" s="108">
        <f>VLOOKUP($A24,'Group Model'!$1:$1048576,MATCH(C$14,'Group Model'!$1:$1,0),FALSE)</f>
        <v>380.620993</v>
      </c>
      <c r="D24" s="108">
        <f>VLOOKUP($A24,'Group Model'!$1:$1048576,MATCH(D$14,'Group Model'!$1:$1,0),FALSE)</f>
        <v>376.32184000000001</v>
      </c>
      <c r="E24" s="108">
        <f>VLOOKUP($A24,'Group Model'!$1:$1048576,MATCH(E$14,'Group Model'!$1:$1,0),FALSE)</f>
        <v>375.78926585337672</v>
      </c>
      <c r="F24" s="108">
        <f>VLOOKUP($A24,'Group Model'!$1:$1048576,MATCH(F$14,'Group Model'!$1:$1,0),FALSE)</f>
        <v>373.41489222006896</v>
      </c>
      <c r="G24" s="108">
        <f>VLOOKUP($A24,'Group Model'!$1:$1048576,MATCH(G$14,'Group Model'!$1:$1,0),FALSE)</f>
        <v>372.12118304837094</v>
      </c>
      <c r="H24" s="108"/>
      <c r="I24" s="108">
        <f>VLOOKUP($A24,'Group Model'!$1:$1048576,MATCH(I$14,'Group Model'!$1:$1,0),FALSE)</f>
        <v>376.32184000000001</v>
      </c>
      <c r="J24" s="108">
        <f>VLOOKUP($A24,'Group Model'!$1:$1048576,MATCH(J$14,'Group Model'!$1:$1,0),FALSE)</f>
        <v>376.13996300000002</v>
      </c>
      <c r="K24" s="108">
        <f>VLOOKUP($A24,'Group Model'!$1:$1048576,MATCH(K$14,'Group Model'!$1:$1,0),FALSE)</f>
        <v>375.44048508460378</v>
      </c>
      <c r="L24" s="108">
        <f>VLOOKUP($A24,'Group Model'!$1:$1048576,MATCH(L$14,'Group Model'!$1:$1,0),FALSE)</f>
        <v>374.0716426503609</v>
      </c>
    </row>
    <row r="25" spans="1:18">
      <c r="B25" s="106" t="s">
        <v>308</v>
      </c>
      <c r="C25" s="110" t="s">
        <v>309</v>
      </c>
      <c r="D25" s="110" t="s">
        <v>309</v>
      </c>
      <c r="E25" s="110" t="s">
        <v>309</v>
      </c>
      <c r="F25" s="110" t="s">
        <v>309</v>
      </c>
      <c r="G25" s="110" t="s">
        <v>309</v>
      </c>
      <c r="I25" s="110" t="s">
        <v>309</v>
      </c>
      <c r="J25" s="110" t="s">
        <v>309</v>
      </c>
      <c r="K25" s="110" t="s">
        <v>309</v>
      </c>
      <c r="L25" s="110" t="s">
        <v>309</v>
      </c>
    </row>
    <row r="26" spans="1:18">
      <c r="E26" s="274"/>
    </row>
    <row r="28" spans="1:18">
      <c r="B28" s="146" t="s">
        <v>310</v>
      </c>
      <c r="C28" s="147"/>
      <c r="D28" s="147"/>
      <c r="E28" s="147"/>
      <c r="F28" s="147"/>
      <c r="G28" s="147"/>
      <c r="H28" s="147"/>
      <c r="I28" s="147"/>
      <c r="J28" s="147"/>
      <c r="K28" s="147"/>
      <c r="L28" s="147"/>
    </row>
    <row r="30" spans="1:18">
      <c r="B30" s="148" t="s">
        <v>311</v>
      </c>
      <c r="C30" s="149" t="str">
        <f>C$14</f>
        <v>FY24A</v>
      </c>
      <c r="D30" s="149" t="str">
        <f>D$14</f>
        <v>FY25A</v>
      </c>
      <c r="E30" s="149" t="str">
        <f>E$14</f>
        <v>FY26E</v>
      </c>
      <c r="F30" s="149" t="str">
        <f>F$14</f>
        <v>FY27E</v>
      </c>
      <c r="G30" s="149" t="str">
        <f>G$14</f>
        <v>FY28E</v>
      </c>
      <c r="H30" s="107"/>
      <c r="I30" s="149" t="str">
        <f>I$14</f>
        <v>2H25A</v>
      </c>
      <c r="J30" s="149" t="str">
        <f>J$14</f>
        <v>1H26A</v>
      </c>
      <c r="K30" s="149" t="str">
        <f>K$14</f>
        <v>2H26E</v>
      </c>
      <c r="L30" s="149" t="str">
        <f>L$14</f>
        <v>1H27E</v>
      </c>
      <c r="N30" s="111"/>
      <c r="O30" s="111"/>
      <c r="Q30" s="111"/>
      <c r="R30" s="111"/>
    </row>
    <row r="31" spans="1:18" s="111" customFormat="1">
      <c r="A31" s="105" t="s">
        <v>312</v>
      </c>
      <c r="B31" s="111" t="s">
        <v>6</v>
      </c>
      <c r="C31" s="112">
        <f>VLOOKUP($A31,'Group Model'!$1:$1048576,MATCH(C$14,'Group Model'!$1:$1,0),FALSE)</f>
        <v>172525</v>
      </c>
      <c r="D31" s="112">
        <f>VLOOKUP($A31,'Group Model'!$1:$1048576,MATCH(D$14,'Group Model'!$1:$1,0),FALSE)</f>
        <v>192716.57534246577</v>
      </c>
      <c r="E31" s="112">
        <f>VLOOKUP($A31,'Group Model'!$1:$1048576,MATCH(E$14,'Group Model'!$1:$1,0),FALSE)</f>
        <v>224145.78493150687</v>
      </c>
      <c r="F31" s="112">
        <f>VLOOKUP($A31,'Group Model'!$1:$1048576,MATCH(F$14,'Group Model'!$1:$1,0),FALSE)</f>
        <v>261086.9834923973</v>
      </c>
      <c r="G31" s="112">
        <f>VLOOKUP($A31,'Group Model'!$1:$1048576,MATCH(G$14,'Group Model'!$1:$1,0),FALSE)</f>
        <v>294697.88756936626</v>
      </c>
      <c r="H31" s="112"/>
      <c r="I31" s="112">
        <f>VLOOKUP($A31,'Group Model'!$1:$1048576,MATCH(I$14,'Group Model'!$1:$1,0),FALSE)</f>
        <v>198750</v>
      </c>
      <c r="J31" s="112">
        <f>VLOOKUP($A31,'Group Model'!$1:$1048576,MATCH(J$14,'Group Model'!$1:$1,0),FALSE)</f>
        <v>214800</v>
      </c>
      <c r="K31" s="112">
        <f>VLOOKUP($A31,'Group Model'!$1:$1048576,MATCH(K$14,'Group Model'!$1:$1,0),FALSE)</f>
        <v>233440.5</v>
      </c>
      <c r="L31" s="112">
        <f>VLOOKUP($A31,'Group Model'!$1:$1048576,MATCH(L$14,'Group Model'!$1:$1,0),FALSE)</f>
        <v>251990.07000000004</v>
      </c>
    </row>
    <row r="32" spans="1:18">
      <c r="A32" s="105" t="s">
        <v>313</v>
      </c>
      <c r="B32" s="106" t="s">
        <v>5</v>
      </c>
      <c r="C32" s="113">
        <f>IF(ISERROR(VLOOKUP($A32,'Group Model'!$1:$1048576,MATCH(C$14,'Group Model'!$1:$1,0),FALSE) * 100),"n.a.",VLOOKUP($A32,'Group Model'!$1:$1048576,MATCH(C$14,'Group Model'!$1:$1,0),FALSE) * 100)</f>
        <v>2.004926822199681</v>
      </c>
      <c r="D32" s="113">
        <f>IF(ISERROR(VLOOKUP($A32,'Group Model'!$1:$1048576,MATCH(D$14,'Group Model'!$1:$1,0),FALSE) * 100),"n.a.",VLOOKUP($A32,'Group Model'!$1:$1048576,MATCH(D$14,'Group Model'!$1:$1,0),FALSE) * 100)</f>
        <v>1.8197708182432715</v>
      </c>
      <c r="E32" s="113">
        <f>IF(ISERROR(VLOOKUP($A32,'Group Model'!$1:$1048576,MATCH(E$14,'Group Model'!$1:$1,0),FALSE) * 100),"n.a.",VLOOKUP($A32,'Group Model'!$1:$1048576,MATCH(E$14,'Group Model'!$1:$1,0),FALSE) * 100)</f>
        <v>1.8326504887780692</v>
      </c>
      <c r="F32" s="113">
        <f>IF(ISERROR(VLOOKUP($A32,'Group Model'!$1:$1048576,MATCH(F$14,'Group Model'!$1:$1,0),FALSE) * 100),"n.a.",VLOOKUP($A32,'Group Model'!$1:$1048576,MATCH(F$14,'Group Model'!$1:$1,0),FALSE) * 100)</f>
        <v>1.6925068251919466</v>
      </c>
      <c r="G32" s="113">
        <f>IF(ISERROR(VLOOKUP($A32,'Group Model'!$1:$1048576,MATCH(G$14,'Group Model'!$1:$1,0),FALSE) * 100),"n.a.",VLOOKUP($A32,'Group Model'!$1:$1048576,MATCH(G$14,'Group Model'!$1:$1,0),FALSE) * 100)</f>
        <v>1.5781532932567159</v>
      </c>
      <c r="H32" s="108"/>
      <c r="I32" s="113">
        <f>IF(ISERROR(VLOOKUP($A32,'Group Model'!$1:$1048576,MATCH(I$14,'Group Model'!$1:$1,0),FALSE) * 100),"n.a.",VLOOKUP($A32,'Group Model'!$1:$1048576,MATCH(I$14,'Group Model'!$1:$1,0),FALSE) * 100)</f>
        <v>1.8546409565277489</v>
      </c>
      <c r="J32" s="113">
        <f>IF(ISERROR(VLOOKUP($A32,'Group Model'!$1:$1048576,MATCH(J$14,'Group Model'!$1:$1,0),FALSE) * 100),"n.a.",VLOOKUP($A32,'Group Model'!$1:$1048576,MATCH(J$14,'Group Model'!$1:$1,0),FALSE) * 100)</f>
        <v>1.9183940328275888</v>
      </c>
      <c r="K32" s="113">
        <f>IF(ISERROR(VLOOKUP($A32,'Group Model'!$1:$1048576,MATCH(K$14,'Group Model'!$1:$1,0),FALSE) * 100),"n.a.",VLOOKUP($A32,'Group Model'!$1:$1048576,MATCH(K$14,'Group Model'!$1:$1,0),FALSE) * 100)</f>
        <v>1.7541242312464118</v>
      </c>
      <c r="L32" s="113">
        <f>IF(ISERROR(VLOOKUP($A32,'Group Model'!$1:$1048576,MATCH(L$14,'Group Model'!$1:$1,0),FALSE) * 100),"n.a.",VLOOKUP($A32,'Group Model'!$1:$1048576,MATCH(L$14,'Group Model'!$1:$1,0),FALSE) * 100)</f>
        <v>1.7265251524885568</v>
      </c>
    </row>
    <row r="33" spans="1:18" s="111" customFormat="1">
      <c r="A33" s="105" t="s">
        <v>314</v>
      </c>
      <c r="B33" s="111" t="s">
        <v>7</v>
      </c>
      <c r="C33" s="112">
        <f>VLOOKUP($A33,'Group Model'!$1:$1048576,MATCH(C$14,'Group Model'!$1:$1,0),FALSE)</f>
        <v>3459</v>
      </c>
      <c r="D33" s="112">
        <f>VLOOKUP($A33,'Group Model'!$1:$1048576,MATCH(D$14,'Group Model'!$1:$1,0),FALSE)</f>
        <v>3507</v>
      </c>
      <c r="E33" s="112">
        <f>VLOOKUP($A33,'Group Model'!$1:$1048576,MATCH(E$14,'Group Model'!$1:$1,0),FALSE)</f>
        <v>4107.8088231227011</v>
      </c>
      <c r="F33" s="112">
        <f>VLOOKUP($A33,'Group Model'!$1:$1048576,MATCH(F$14,'Group Model'!$1:$1,0),FALSE)</f>
        <v>4418.9150152965949</v>
      </c>
      <c r="G33" s="112">
        <f>VLOOKUP($A33,'Group Model'!$1:$1048576,MATCH(G$14,'Group Model'!$1:$1,0),FALSE)</f>
        <v>4650.7844178339274</v>
      </c>
      <c r="H33" s="112"/>
      <c r="I33" s="112">
        <f>VLOOKUP($A33,'Group Model'!$1:$1048576,MATCH(I$14,'Group Model'!$1:$1,0),FALSE)</f>
        <v>1838</v>
      </c>
      <c r="J33" s="112">
        <f>VLOOKUP($A33,'Group Model'!$1:$1048576,MATCH(J$14,'Group Model'!$1:$1,0),FALSE)</f>
        <v>2066</v>
      </c>
      <c r="K33" s="112">
        <f>VLOOKUP($A33,'Group Model'!$1:$1048576,MATCH(K$14,'Group Model'!$1:$1,0),FALSE)</f>
        <v>2041.8088231227016</v>
      </c>
      <c r="L33" s="112">
        <f>VLOOKUP($A33,'Group Model'!$1:$1048576,MATCH(L$14,'Group Model'!$1:$1,0),FALSE)</f>
        <v>2181.2957947375462</v>
      </c>
      <c r="N33" s="509"/>
      <c r="O33" s="379"/>
      <c r="Q33" s="509"/>
      <c r="R33" s="379"/>
    </row>
    <row r="34" spans="1:18">
      <c r="A34" s="91" t="s">
        <v>547</v>
      </c>
      <c r="B34" s="106" t="s">
        <v>17</v>
      </c>
      <c r="C34" s="108">
        <f>VLOOKUP($A34,'Group Model'!$1:$1048576,MATCH(C$14,'Group Model'!$1:$1,0),FALSE)</f>
        <v>2895</v>
      </c>
      <c r="D34" s="108">
        <f>VLOOKUP($A34,'Group Model'!$1:$1048576,MATCH(D$14,'Group Model'!$1:$1,0),FALSE)</f>
        <v>2948</v>
      </c>
      <c r="E34" s="108">
        <f>VLOOKUP($A34,'Group Model'!$1:$1048576,MATCH(E$14,'Group Model'!$1:$1,0),FALSE)</f>
        <v>2750.0898811034426</v>
      </c>
      <c r="F34" s="108">
        <f>VLOOKUP($A34,'Group Model'!$1:$1048576,MATCH(F$14,'Group Model'!$1:$1,0),FALSE)</f>
        <v>2191.27297880276</v>
      </c>
      <c r="G34" s="108">
        <f>VLOOKUP($A34,'Group Model'!$1:$1048576,MATCH(G$14,'Group Model'!$1:$1,0),FALSE)</f>
        <v>2260.8586694947749</v>
      </c>
      <c r="H34" s="108"/>
      <c r="I34" s="108">
        <f>VLOOKUP($A34,'Group Model'!$1:$1048576,MATCH(I$14,'Group Model'!$1:$1,0),FALSE)</f>
        <v>1500</v>
      </c>
      <c r="J34" s="108">
        <f>VLOOKUP($A34,'Group Model'!$1:$1048576,MATCH(J$14,'Group Model'!$1:$1,0),FALSE)</f>
        <v>1477</v>
      </c>
      <c r="K34" s="108">
        <f>VLOOKUP($A34,'Group Model'!$1:$1048576,MATCH(K$14,'Group Model'!$1:$1,0),FALSE)</f>
        <v>1273.0898811034426</v>
      </c>
      <c r="L34" s="108">
        <f>VLOOKUP($A34,'Group Model'!$1:$1048576,MATCH(L$14,'Group Model'!$1:$1,0),FALSE)</f>
        <v>1083.0674896331986</v>
      </c>
      <c r="N34" s="402"/>
      <c r="O34" s="276"/>
      <c r="Q34" s="402"/>
      <c r="R34" s="276"/>
    </row>
    <row r="35" spans="1:18">
      <c r="A35" s="91" t="s">
        <v>546</v>
      </c>
      <c r="B35" s="106" t="s">
        <v>18</v>
      </c>
      <c r="C35" s="108">
        <f>VLOOKUP($A35,'Group Model'!$1:$1048576,MATCH(C$14,'Group Model'!$1:$1,0),FALSE)</f>
        <v>632</v>
      </c>
      <c r="D35" s="108">
        <f>VLOOKUP($A35,'Group Model'!$1:$1048576,MATCH(D$14,'Group Model'!$1:$1,0),FALSE)</f>
        <v>837</v>
      </c>
      <c r="E35" s="108">
        <f>VLOOKUP($A35,'Group Model'!$1:$1048576,MATCH(E$14,'Group Model'!$1:$1,0),FALSE)</f>
        <v>1493.2708894215784</v>
      </c>
      <c r="F35" s="108">
        <f>VLOOKUP($A35,'Group Model'!$1:$1048576,MATCH(F$14,'Group Model'!$1:$1,0),FALSE)</f>
        <v>1351.9447620502622</v>
      </c>
      <c r="G35" s="108">
        <f>VLOOKUP($A35,'Group Model'!$1:$1048576,MATCH(G$14,'Group Model'!$1:$1,0),FALSE)</f>
        <v>1379.4708435417228</v>
      </c>
      <c r="H35" s="108"/>
      <c r="I35" s="108">
        <f>VLOOKUP($A35,'Group Model'!$1:$1048576,MATCH(I$14,'Group Model'!$1:$1,0),FALSE)</f>
        <v>434</v>
      </c>
      <c r="J35" s="108">
        <f>VLOOKUP($A35,'Group Model'!$1:$1048576,MATCH(J$14,'Group Model'!$1:$1,0),FALSE)</f>
        <v>756</v>
      </c>
      <c r="K35" s="108">
        <f>VLOOKUP($A35,'Group Model'!$1:$1048576,MATCH(K$14,'Group Model'!$1:$1,0),FALSE)</f>
        <v>737.27088942157832</v>
      </c>
      <c r="L35" s="108">
        <f>VLOOKUP($A35,'Group Model'!$1:$1048576,MATCH(L$14,'Group Model'!$1:$1,0),FALSE)</f>
        <v>679.83598544359006</v>
      </c>
      <c r="N35" s="402"/>
      <c r="O35" s="276"/>
      <c r="Q35" s="402"/>
      <c r="R35" s="276"/>
    </row>
    <row r="36" spans="1:18">
      <c r="A36" s="91" t="s">
        <v>545</v>
      </c>
      <c r="B36" s="106" t="s">
        <v>20</v>
      </c>
      <c r="C36" s="108">
        <f>VLOOKUP($A36,'Group Model'!$1:$1048576,MATCH(C$14,'Group Model'!$1:$1,0),FALSE)</f>
        <v>743</v>
      </c>
      <c r="D36" s="108">
        <f>VLOOKUP($A36,'Group Model'!$1:$1048576,MATCH(D$14,'Group Model'!$1:$1,0),FALSE)</f>
        <v>916</v>
      </c>
      <c r="E36" s="108">
        <f>VLOOKUP($A36,'Group Model'!$1:$1048576,MATCH(E$14,'Group Model'!$1:$1,0),FALSE)</f>
        <v>998.125</v>
      </c>
      <c r="F36" s="108">
        <f>VLOOKUP($A36,'Group Model'!$1:$1048576,MATCH(F$14,'Group Model'!$1:$1,0),FALSE)</f>
        <v>1023.905</v>
      </c>
      <c r="G36" s="108">
        <f>VLOOKUP($A36,'Group Model'!$1:$1048576,MATCH(G$14,'Group Model'!$1:$1,0),FALSE)</f>
        <v>1059.7275999999999</v>
      </c>
      <c r="H36" s="108"/>
      <c r="I36" s="108">
        <f>VLOOKUP($A36,'Group Model'!$1:$1048576,MATCH(I$14,'Group Model'!$1:$1,0),FALSE)</f>
        <v>503</v>
      </c>
      <c r="J36" s="108">
        <f>VLOOKUP($A36,'Group Model'!$1:$1048576,MATCH(J$14,'Group Model'!$1:$1,0),FALSE)</f>
        <v>558</v>
      </c>
      <c r="K36" s="108">
        <f>VLOOKUP($A36,'Group Model'!$1:$1048576,MATCH(K$14,'Group Model'!$1:$1,0),FALSE)</f>
        <v>440.125</v>
      </c>
      <c r="L36" s="108">
        <f>VLOOKUP($A36,'Group Model'!$1:$1048576,MATCH(L$14,'Group Model'!$1:$1,0),FALSE)</f>
        <v>513.36</v>
      </c>
      <c r="N36" s="511"/>
      <c r="O36" s="276"/>
      <c r="Q36" s="402"/>
      <c r="R36" s="276"/>
    </row>
    <row r="37" spans="1:18">
      <c r="A37" s="91" t="s">
        <v>544</v>
      </c>
      <c r="B37" s="106" t="s">
        <v>19</v>
      </c>
      <c r="C37" s="108">
        <f>VLOOKUP($A37,'Group Model'!$1:$1048576,MATCH(C$14,'Group Model'!$1:$1,0),FALSE)</f>
        <v>791</v>
      </c>
      <c r="D37" s="108">
        <f>VLOOKUP($A37,'Group Model'!$1:$1048576,MATCH(D$14,'Group Model'!$1:$1,0),FALSE)</f>
        <v>863</v>
      </c>
      <c r="E37" s="108">
        <f>VLOOKUP($A37,'Group Model'!$1:$1048576,MATCH(E$14,'Group Model'!$1:$1,0),FALSE)</f>
        <v>982.69</v>
      </c>
      <c r="F37" s="108">
        <f>VLOOKUP($A37,'Group Model'!$1:$1048576,MATCH(F$14,'Group Model'!$1:$1,0),FALSE)</f>
        <v>1031.6789250000002</v>
      </c>
      <c r="G37" s="108">
        <f>VLOOKUP($A37,'Group Model'!$1:$1048576,MATCH(G$14,'Group Model'!$1:$1,0),FALSE)</f>
        <v>1102.7650828125002</v>
      </c>
      <c r="H37" s="108"/>
      <c r="I37" s="108">
        <f>VLOOKUP($A37,'Group Model'!$1:$1048576,MATCH(I$14,'Group Model'!$1:$1,0),FALSE)</f>
        <v>434</v>
      </c>
      <c r="J37" s="108">
        <f>VLOOKUP($A37,'Group Model'!$1:$1048576,MATCH(J$14,'Group Model'!$1:$1,0),FALSE)</f>
        <v>484</v>
      </c>
      <c r="K37" s="108">
        <f>VLOOKUP($A37,'Group Model'!$1:$1048576,MATCH(K$14,'Group Model'!$1:$1,0),FALSE)</f>
        <v>498.69000000000005</v>
      </c>
      <c r="L37" s="108">
        <f>VLOOKUP($A37,'Group Model'!$1:$1048576,MATCH(L$14,'Group Model'!$1:$1,0),FALSE)</f>
        <v>507.98250000000007</v>
      </c>
      <c r="N37" s="511"/>
      <c r="O37" s="276"/>
      <c r="P37" s="274"/>
      <c r="Q37" s="511"/>
      <c r="R37" s="276"/>
    </row>
    <row r="38" spans="1:18">
      <c r="A38" s="91" t="s">
        <v>543</v>
      </c>
      <c r="B38" s="106" t="s">
        <v>29</v>
      </c>
      <c r="C38" s="108">
        <f>C39-C34-C35-C36-C37</f>
        <v>1188</v>
      </c>
      <c r="D38" s="108">
        <f>D39-D34-D35-D36-D37</f>
        <v>1226</v>
      </c>
      <c r="E38" s="108">
        <f>E39-E34-E35-E36-E37</f>
        <v>1352.8580000000015</v>
      </c>
      <c r="F38" s="108">
        <f>F39-F34-F35-F36-F37</f>
        <v>1449.2483671999998</v>
      </c>
      <c r="G38" s="108">
        <f>G39-G34-G35-G36-G37</f>
        <v>1519.0350680124807</v>
      </c>
      <c r="H38" s="108"/>
      <c r="I38" s="108">
        <f t="shared" ref="I38:L38" si="0">I39-I34-I35-I36-I37</f>
        <v>619</v>
      </c>
      <c r="J38" s="108">
        <f t="shared" si="0"/>
        <v>626</v>
      </c>
      <c r="K38" s="108">
        <f t="shared" si="0"/>
        <v>726.85800000000017</v>
      </c>
      <c r="L38" s="108">
        <f t="shared" si="0"/>
        <v>687.94124000000011</v>
      </c>
      <c r="N38" s="402"/>
      <c r="O38" s="276"/>
      <c r="Q38" s="402"/>
      <c r="R38" s="276"/>
    </row>
    <row r="39" spans="1:18" s="111" customFormat="1">
      <c r="A39" s="91" t="s">
        <v>540</v>
      </c>
      <c r="B39" s="111" t="s">
        <v>118</v>
      </c>
      <c r="C39" s="112">
        <f>VLOOKUP($A39,'Group Model'!$1:$1048576,MATCH(C$14,'Group Model'!$1:$1,0),FALSE)</f>
        <v>6249</v>
      </c>
      <c r="D39" s="112">
        <f>VLOOKUP($A39,'Group Model'!$1:$1048576,MATCH(D$14,'Group Model'!$1:$1,0),FALSE)</f>
        <v>6790</v>
      </c>
      <c r="E39" s="112">
        <f>VLOOKUP($A39,'Group Model'!$1:$1048576,MATCH(E$14,'Group Model'!$1:$1,0),FALSE)</f>
        <v>7577.0337705250222</v>
      </c>
      <c r="F39" s="112">
        <f>VLOOKUP($A39,'Group Model'!$1:$1048576,MATCH(F$14,'Group Model'!$1:$1,0),FALSE)</f>
        <v>7048.0500330530222</v>
      </c>
      <c r="G39" s="112">
        <f>VLOOKUP($A39,'Group Model'!$1:$1048576,MATCH(G$14,'Group Model'!$1:$1,0),FALSE)</f>
        <v>7321.8572638614778</v>
      </c>
      <c r="H39" s="112"/>
      <c r="I39" s="112">
        <f>VLOOKUP($A39,'Group Model'!$1:$1048576,MATCH(I$14,'Group Model'!$1:$1,0),FALSE)</f>
        <v>3490</v>
      </c>
      <c r="J39" s="112">
        <f>VLOOKUP($A39,'Group Model'!$1:$1048576,MATCH(J$14,'Group Model'!$1:$1,0),FALSE)</f>
        <v>3901</v>
      </c>
      <c r="K39" s="112">
        <f>VLOOKUP($A39,'Group Model'!$1:$1048576,MATCH(K$14,'Group Model'!$1:$1,0),FALSE)</f>
        <v>3676.0337705250213</v>
      </c>
      <c r="L39" s="112">
        <f>VLOOKUP($A39,'Group Model'!$1:$1048576,MATCH(L$14,'Group Model'!$1:$1,0),FALSE)</f>
        <v>3472.187215076789</v>
      </c>
      <c r="N39" s="509"/>
      <c r="O39" s="379"/>
      <c r="Q39" s="509"/>
      <c r="R39" s="379"/>
    </row>
    <row r="40" spans="1:18">
      <c r="A40" s="91" t="s">
        <v>315</v>
      </c>
      <c r="B40" s="106" t="s">
        <v>8</v>
      </c>
      <c r="C40" s="108">
        <f>VLOOKUP($A40,'Group Model'!$1:$1048576,MATCH(C$14,'Group Model'!$1:$1,0),FALSE)</f>
        <v>5448</v>
      </c>
      <c r="D40" s="108">
        <f>VLOOKUP($A40,'Group Model'!$1:$1048576,MATCH(D$14,'Group Model'!$1:$1,0),FALSE)</f>
        <v>5370</v>
      </c>
      <c r="E40" s="108">
        <f>VLOOKUP($A40,'Group Model'!$1:$1048576,MATCH(E$14,'Group Model'!$1:$1,0),FALSE)</f>
        <v>5862.1929649698013</v>
      </c>
      <c r="F40" s="108">
        <f>VLOOKUP($A40,'Group Model'!$1:$1048576,MATCH(F$14,'Group Model'!$1:$1,0),FALSE)</f>
        <v>6352.4136193115546</v>
      </c>
      <c r="G40" s="108">
        <f>VLOOKUP($A40,'Group Model'!$1:$1048576,MATCH(G$14,'Group Model'!$1:$1,0),FALSE)</f>
        <v>6821.4002484826387</v>
      </c>
      <c r="H40" s="108"/>
      <c r="I40" s="108">
        <f>VLOOKUP($A40,'Group Model'!$1:$1048576,MATCH(I$14,'Group Model'!$1:$1,0),FALSE)</f>
        <v>2910</v>
      </c>
      <c r="J40" s="108">
        <f>VLOOKUP($A40,'Group Model'!$1:$1048576,MATCH(J$14,'Group Model'!$1:$1,0),FALSE)</f>
        <v>2445</v>
      </c>
      <c r="K40" s="108">
        <f>VLOOKUP($A40,'Group Model'!$1:$1048576,MATCH(K$14,'Group Model'!$1:$1,0),FALSE)</f>
        <v>3417.1929649698013</v>
      </c>
      <c r="L40" s="108">
        <f>VLOOKUP($A40,'Group Model'!$1:$1048576,MATCH(L$14,'Group Model'!$1:$1,0),FALSE)</f>
        <v>3028.121159065653</v>
      </c>
      <c r="N40" s="512"/>
      <c r="O40" s="276"/>
      <c r="Q40" s="402"/>
      <c r="R40" s="276"/>
    </row>
    <row r="41" spans="1:18">
      <c r="A41" s="91" t="s">
        <v>542</v>
      </c>
      <c r="B41" s="106" t="s">
        <v>9</v>
      </c>
      <c r="C41" s="108">
        <f>VLOOKUP($A41,'Group Model'!$1:$1048576,MATCH(C$14,'Group Model'!$1:$1,0),FALSE)</f>
        <v>-49</v>
      </c>
      <c r="D41" s="108">
        <f>VLOOKUP($A41,'Group Model'!$1:$1048576,MATCH(D$14,'Group Model'!$1:$1,0),FALSE)</f>
        <v>167</v>
      </c>
      <c r="E41" s="108">
        <f>VLOOKUP($A41,'Group Model'!$1:$1048576,MATCH(E$14,'Group Model'!$1:$1,0),FALSE)</f>
        <v>-58.702857142857141</v>
      </c>
      <c r="F41" s="108">
        <f>VLOOKUP($A41,'Group Model'!$1:$1048576,MATCH(F$14,'Group Model'!$1:$1,0),FALSE)</f>
        <v>-16.068070285714271</v>
      </c>
      <c r="G41" s="108">
        <f>VLOOKUP($A41,'Group Model'!$1:$1048576,MATCH(G$14,'Group Model'!$1:$1,0),FALSE)</f>
        <v>-14.254695641314271</v>
      </c>
      <c r="H41" s="108"/>
      <c r="I41" s="108">
        <f>VLOOKUP($A41,'Group Model'!$1:$1048576,MATCH(I$14,'Group Model'!$1:$1,0),FALSE)</f>
        <v>166</v>
      </c>
      <c r="J41" s="108">
        <f>VLOOKUP($A41,'Group Model'!$1:$1048576,MATCH(J$14,'Group Model'!$1:$1,0),FALSE)</f>
        <v>-50</v>
      </c>
      <c r="K41" s="108">
        <f>VLOOKUP($A41,'Group Model'!$1:$1048576,MATCH(K$14,'Group Model'!$1:$1,0),FALSE)</f>
        <v>-8.7028571428571411</v>
      </c>
      <c r="L41" s="108">
        <f>VLOOKUP($A41,'Group Model'!$1:$1048576,MATCH(L$14,'Group Model'!$1:$1,0),FALSE)</f>
        <v>-8.2584571428571394</v>
      </c>
      <c r="N41" s="512"/>
      <c r="O41" s="276"/>
      <c r="Q41" s="402"/>
      <c r="R41" s="276"/>
    </row>
    <row r="42" spans="1:18">
      <c r="A42" s="91" t="s">
        <v>539</v>
      </c>
      <c r="B42" s="106" t="s">
        <v>45</v>
      </c>
      <c r="C42" s="108">
        <f>VLOOKUP($A42,'Group Model'!$1:$1048576,MATCH(C$14,'Group Model'!$1:$1,0),FALSE)</f>
        <v>369</v>
      </c>
      <c r="D42" s="108">
        <f>VLOOKUP($A42,'Group Model'!$1:$1048576,MATCH(D$14,'Group Model'!$1:$1,0),FALSE)</f>
        <v>-361</v>
      </c>
      <c r="E42" s="108">
        <f>VLOOKUP($A42,'Group Model'!$1:$1048576,MATCH(E$14,'Group Model'!$1:$1,0),FALSE)</f>
        <v>-193.87119267257026</v>
      </c>
      <c r="F42" s="108">
        <f>VLOOKUP($A42,'Group Model'!$1:$1048576,MATCH(F$14,'Group Model'!$1:$1,0),FALSE)</f>
        <v>-284.91649327684672</v>
      </c>
      <c r="G42" s="108">
        <f>VLOOKUP($A42,'Group Model'!$1:$1048576,MATCH(G$14,'Group Model'!$1:$1,0),FALSE)</f>
        <v>-369.23688022174065</v>
      </c>
      <c r="H42" s="108"/>
      <c r="I42" s="108">
        <f>VLOOKUP($A42,'Group Model'!$1:$1048576,MATCH(I$14,'Group Model'!$1:$1,0),FALSE)</f>
        <v>-286</v>
      </c>
      <c r="J42" s="108">
        <f>VLOOKUP($A42,'Group Model'!$1:$1048576,MATCH(J$14,'Group Model'!$1:$1,0),FALSE)</f>
        <v>-29</v>
      </c>
      <c r="K42" s="108">
        <f>VLOOKUP($A42,'Group Model'!$1:$1048576,MATCH(K$14,'Group Model'!$1:$1,0),FALSE)</f>
        <v>-164.87119267257026</v>
      </c>
      <c r="L42" s="108">
        <f>VLOOKUP($A42,'Group Model'!$1:$1048576,MATCH(L$14,'Group Model'!$1:$1,0),FALSE)</f>
        <v>-124.25747429866578</v>
      </c>
      <c r="N42" s="512"/>
      <c r="O42" s="276"/>
      <c r="Q42" s="402"/>
      <c r="R42" s="276"/>
    </row>
    <row r="43" spans="1:18">
      <c r="A43" s="91" t="s">
        <v>541</v>
      </c>
      <c r="B43" s="106" t="s">
        <v>10</v>
      </c>
      <c r="C43" s="108">
        <f>C44-C33-C39-C40-C41-C42</f>
        <v>1411</v>
      </c>
      <c r="D43" s="108">
        <f>D44-D33-D39-D40-D41-D42</f>
        <v>1735</v>
      </c>
      <c r="E43" s="108">
        <f>E44-E33-E39-E40-E41-E42</f>
        <v>1368.7300000000005</v>
      </c>
      <c r="F43" s="108">
        <f>F44-F33-F39-F40-F41-F42</f>
        <v>1263.8978369999991</v>
      </c>
      <c r="G43" s="108">
        <f>G44-G33-G39-G40-G41-G42</f>
        <v>1431.7743574586721</v>
      </c>
      <c r="H43" s="108"/>
      <c r="I43" s="108">
        <f t="shared" ref="I43" si="1">I44-I33-I39-I40-I41-I42</f>
        <v>874</v>
      </c>
      <c r="J43" s="108">
        <f t="shared" ref="J43" si="2">J44-J33-J39-J40-J41-J42</f>
        <v>358</v>
      </c>
      <c r="K43" s="108">
        <f t="shared" ref="K43" si="3">K44-K33-K39-K40-K41-K42</f>
        <v>1010.7300000000015</v>
      </c>
      <c r="L43" s="108">
        <f t="shared" ref="L43" si="4">L44-L33-L39-L40-L41-L42</f>
        <v>612.06920000000014</v>
      </c>
      <c r="N43" s="512"/>
      <c r="O43" s="276"/>
      <c r="Q43" s="402"/>
      <c r="R43" s="276"/>
    </row>
    <row r="44" spans="1:18" s="111" customFormat="1">
      <c r="A44" s="91" t="s">
        <v>316</v>
      </c>
      <c r="B44" s="111" t="s">
        <v>35</v>
      </c>
      <c r="C44" s="112">
        <f>VLOOKUP($A44,'Group Model'!$1:$1048576,MATCH(C$14,'Group Model'!$1:$1,0),FALSE)</f>
        <v>16887</v>
      </c>
      <c r="D44" s="112">
        <f>VLOOKUP($A44,'Group Model'!$1:$1048576,MATCH(D$14,'Group Model'!$1:$1,0),FALSE)</f>
        <v>17208</v>
      </c>
      <c r="E44" s="112">
        <f>VLOOKUP($A44,'Group Model'!$1:$1048576,MATCH(E$14,'Group Model'!$1:$1,0),FALSE)</f>
        <v>18663.191508802098</v>
      </c>
      <c r="F44" s="112">
        <f>VLOOKUP($A44,'Group Model'!$1:$1048576,MATCH(F$14,'Group Model'!$1:$1,0),FALSE)</f>
        <v>18782.291941098611</v>
      </c>
      <c r="G44" s="112">
        <f>VLOOKUP($A44,'Group Model'!$1:$1048576,MATCH(G$14,'Group Model'!$1:$1,0),FALSE)</f>
        <v>19842.324711773661</v>
      </c>
      <c r="H44" s="468"/>
      <c r="I44" s="112">
        <f>VLOOKUP($A44,'Group Model'!$1:$1048576,MATCH(I$14,'Group Model'!$1:$1,0),FALSE)</f>
        <v>8992</v>
      </c>
      <c r="J44" s="112">
        <f>VLOOKUP($A44,'Group Model'!$1:$1048576,MATCH(J$14,'Group Model'!$1:$1,0),FALSE)</f>
        <v>8691</v>
      </c>
      <c r="K44" s="112">
        <f>VLOOKUP($A44,'Group Model'!$1:$1048576,MATCH(K$14,'Group Model'!$1:$1,0),FALSE)</f>
        <v>9972.1915088020978</v>
      </c>
      <c r="L44" s="112">
        <f>VLOOKUP($A44,'Group Model'!$1:$1048576,MATCH(L$14,'Group Model'!$1:$1,0),FALSE)</f>
        <v>9161.1574374384654</v>
      </c>
      <c r="M44" s="116"/>
      <c r="N44" s="509"/>
      <c r="O44" s="379"/>
      <c r="Q44" s="509"/>
      <c r="R44" s="379"/>
    </row>
    <row r="45" spans="1:18">
      <c r="A45" s="91" t="s">
        <v>536</v>
      </c>
      <c r="B45" s="106" t="s">
        <v>14</v>
      </c>
      <c r="C45" s="108">
        <f>VLOOKUP($A45,'Group Model'!$1:$1048576,MATCH(C$14,'Group Model'!$1:$1,0),FALSE)</f>
        <v>-7723</v>
      </c>
      <c r="D45" s="108">
        <f>VLOOKUP($A45,'Group Model'!$1:$1048576,MATCH(D$14,'Group Model'!$1:$1,0),FALSE)</f>
        <v>-7660</v>
      </c>
      <c r="E45" s="108">
        <f>VLOOKUP($A45,'Group Model'!$1:$1048576,MATCH(E$14,'Group Model'!$1:$1,0),FALSE)</f>
        <v>-7886.0358010918389</v>
      </c>
      <c r="F45" s="108">
        <f>VLOOKUP($A45,'Group Model'!$1:$1048576,MATCH(F$14,'Group Model'!$1:$1,0),FALSE)</f>
        <v>-7818.9090339356471</v>
      </c>
      <c r="G45" s="108">
        <f>VLOOKUP($A45,'Group Model'!$1:$1048576,MATCH(G$14,'Group Model'!$1:$1,0),FALSE)</f>
        <v>-8132.9437245421359</v>
      </c>
      <c r="H45" s="69"/>
      <c r="I45" s="108">
        <f>VLOOKUP($A45,'Group Model'!$1:$1048576,MATCH(I$14,'Group Model'!$1:$1,0),FALSE)</f>
        <v>-3904</v>
      </c>
      <c r="J45" s="108">
        <f>VLOOKUP($A45,'Group Model'!$1:$1048576,MATCH(J$14,'Group Model'!$1:$1,0),FALSE)</f>
        <v>-3956</v>
      </c>
      <c r="K45" s="108">
        <f>VLOOKUP($A45,'Group Model'!$1:$1048576,MATCH(K$14,'Group Model'!$1:$1,0),FALSE)</f>
        <v>-3930.0358010918389</v>
      </c>
      <c r="L45" s="108">
        <f>VLOOKUP($A45,'Group Model'!$1:$1048576,MATCH(L$14,'Group Model'!$1:$1,0),FALSE)</f>
        <v>-3843.0549475595499</v>
      </c>
      <c r="N45" s="512"/>
      <c r="O45" s="276"/>
      <c r="Q45" s="402"/>
      <c r="R45" s="276"/>
    </row>
    <row r="46" spans="1:18">
      <c r="A46" s="91" t="s">
        <v>537</v>
      </c>
      <c r="B46" s="106" t="s">
        <v>21</v>
      </c>
      <c r="C46" s="108">
        <f>VLOOKUP($A46,'Group Model'!$1:$1048576,MATCH(C$14,'Group Model'!$1:$1,0),FALSE)</f>
        <v>-1071</v>
      </c>
      <c r="D46" s="108">
        <f>VLOOKUP($A46,'Group Model'!$1:$1048576,MATCH(D$14,'Group Model'!$1:$1,0),FALSE)</f>
        <v>-1206</v>
      </c>
      <c r="E46" s="108">
        <f>VLOOKUP($A46,'Group Model'!$1:$1048576,MATCH(E$14,'Group Model'!$1:$1,0),FALSE)</f>
        <v>-1272.9662997608054</v>
      </c>
      <c r="F46" s="108">
        <f>VLOOKUP($A46,'Group Model'!$1:$1048576,MATCH(F$14,'Group Model'!$1:$1,0),FALSE)</f>
        <v>-1277.1704854567338</v>
      </c>
      <c r="G46" s="108">
        <f>VLOOKUP($A46,'Group Model'!$1:$1048576,MATCH(G$14,'Group Model'!$1:$1,0),FALSE)</f>
        <v>-1287.7832522249803</v>
      </c>
      <c r="H46" s="108"/>
      <c r="I46" s="108">
        <f>VLOOKUP($A46,'Group Model'!$1:$1048576,MATCH(I$14,'Group Model'!$1:$1,0),FALSE)</f>
        <v>-626</v>
      </c>
      <c r="J46" s="108">
        <f>VLOOKUP($A46,'Group Model'!$1:$1048576,MATCH(J$14,'Group Model'!$1:$1,0),FALSE)</f>
        <v>-628</v>
      </c>
      <c r="K46" s="108">
        <f>VLOOKUP($A46,'Group Model'!$1:$1048576,MATCH(K$14,'Group Model'!$1:$1,0),FALSE)</f>
        <v>-644.96629976080544</v>
      </c>
      <c r="L46" s="108">
        <f>VLOOKUP($A46,'Group Model'!$1:$1048576,MATCH(L$14,'Group Model'!$1:$1,0),FALSE)</f>
        <v>-653.34575925511217</v>
      </c>
      <c r="N46" s="512"/>
      <c r="O46" s="276"/>
      <c r="Q46" s="402"/>
      <c r="R46" s="276"/>
    </row>
    <row r="47" spans="1:18">
      <c r="A47" s="91" t="s">
        <v>538</v>
      </c>
      <c r="B47" s="106" t="s">
        <v>11</v>
      </c>
      <c r="C47" s="108">
        <f>VLOOKUP($A47,'Group Model'!$1:$1048576,MATCH(C$14,'Group Model'!$1:$1,0),FALSE)</f>
        <v>-3267</v>
      </c>
      <c r="D47" s="108">
        <f>VLOOKUP($A47,'Group Model'!$1:$1048576,MATCH(D$14,'Group Model'!$1:$1,0),FALSE)</f>
        <v>-3274</v>
      </c>
      <c r="E47" s="108">
        <f>VLOOKUP($A47,'Group Model'!$1:$1048576,MATCH(E$14,'Group Model'!$1:$1,0),FALSE)</f>
        <v>-3443.7778991473542</v>
      </c>
      <c r="F47" s="108">
        <f>VLOOKUP($A47,'Group Model'!$1:$1048576,MATCH(F$14,'Group Model'!$1:$1,0),FALSE)</f>
        <v>-3377.3258306076173</v>
      </c>
      <c r="G47" s="108">
        <f>VLOOKUP($A47,'Group Model'!$1:$1048576,MATCH(G$14,'Group Model'!$1:$1,0),FALSE)</f>
        <v>-3458.0640471078832</v>
      </c>
      <c r="H47" s="108"/>
      <c r="I47" s="108">
        <f>VLOOKUP($A47,'Group Model'!$1:$1048576,MATCH(I$14,'Group Model'!$1:$1,0),FALSE)</f>
        <v>-1691</v>
      </c>
      <c r="J47" s="108">
        <f>VLOOKUP($A47,'Group Model'!$1:$1048576,MATCH(J$14,'Group Model'!$1:$1,0),FALSE)</f>
        <v>-1655</v>
      </c>
      <c r="K47" s="108">
        <f>VLOOKUP($A47,'Group Model'!$1:$1048576,MATCH(K$14,'Group Model'!$1:$1,0),FALSE)</f>
        <v>-1788.7778991473542</v>
      </c>
      <c r="L47" s="108">
        <f>VLOOKUP($A47,'Group Model'!$1:$1048576,MATCH(L$14,'Group Model'!$1:$1,0),FALSE)</f>
        <v>-1586.0567931853384</v>
      </c>
      <c r="N47" s="512"/>
      <c r="O47" s="276"/>
      <c r="Q47" s="402"/>
      <c r="R47" s="276"/>
    </row>
    <row r="48" spans="1:18" s="111" customFormat="1">
      <c r="A48" s="105" t="s">
        <v>317</v>
      </c>
      <c r="B48" s="111" t="s">
        <v>52</v>
      </c>
      <c r="C48" s="112">
        <f>VLOOKUP($A48,'Group Model'!$1:$1048576,MATCH(C$14,'Group Model'!$1:$1,0),FALSE)</f>
        <v>4826</v>
      </c>
      <c r="D48" s="112">
        <f>VLOOKUP($A48,'Group Model'!$1:$1048576,MATCH(D$14,'Group Model'!$1:$1,0),FALSE)</f>
        <v>5068</v>
      </c>
      <c r="E48" s="112">
        <f>VLOOKUP($A48,'Group Model'!$1:$1048576,MATCH(E$14,'Group Model'!$1:$1,0),FALSE)</f>
        <v>6060.4115088020999</v>
      </c>
      <c r="F48" s="112">
        <f>VLOOKUP($A48,'Group Model'!$1:$1048576,MATCH(F$14,'Group Model'!$1:$1,0),FALSE)</f>
        <v>6308.8865910986115</v>
      </c>
      <c r="G48" s="112">
        <f>VLOOKUP($A48,'Group Model'!$1:$1048576,MATCH(G$14,'Group Model'!$1:$1,0),FALSE)</f>
        <v>6963.5336878986609</v>
      </c>
      <c r="H48" s="112"/>
      <c r="I48" s="112">
        <f>VLOOKUP($A48,'Group Model'!$1:$1048576,MATCH(I$14,'Group Model'!$1:$1,0),FALSE)</f>
        <v>2771</v>
      </c>
      <c r="J48" s="112">
        <f>VLOOKUP($A48,'Group Model'!$1:$1048576,MATCH(J$14,'Group Model'!$1:$1,0),FALSE)</f>
        <v>2452</v>
      </c>
      <c r="K48" s="112">
        <f>VLOOKUP($A48,'Group Model'!$1:$1048576,MATCH(K$14,'Group Model'!$1:$1,0),FALSE)</f>
        <v>3608.411508802099</v>
      </c>
      <c r="L48" s="112">
        <f>VLOOKUP($A48,'Group Model'!$1:$1048576,MATCH(L$14,'Group Model'!$1:$1,0),FALSE)</f>
        <v>3078.699937438465</v>
      </c>
      <c r="N48" s="512"/>
      <c r="O48" s="379"/>
      <c r="Q48" s="509"/>
    </row>
    <row r="49" spans="1:31">
      <c r="A49" s="105" t="s">
        <v>318</v>
      </c>
      <c r="B49" s="106" t="s">
        <v>15</v>
      </c>
      <c r="C49" s="108">
        <f>VLOOKUP($A49,'Group Model'!$1:$1048576,MATCH(C$14,'Group Model'!$1:$1,0),FALSE)</f>
        <v>-1291</v>
      </c>
      <c r="D49" s="108">
        <f>VLOOKUP($A49,'Group Model'!$1:$1048576,MATCH(D$14,'Group Model'!$1:$1,0),FALSE)</f>
        <v>-1326</v>
      </c>
      <c r="E49" s="108">
        <f>VLOOKUP($A49,'Group Model'!$1:$1048576,MATCH(E$14,'Group Model'!$1:$1,0),FALSE)</f>
        <v>-1853.5234526406296</v>
      </c>
      <c r="F49" s="108">
        <f>VLOOKUP($A49,'Group Model'!$1:$1048576,MATCH(F$14,'Group Model'!$1:$1,0),FALSE)</f>
        <v>-1666.5529115733736</v>
      </c>
      <c r="G49" s="108">
        <f>VLOOKUP($A49,'Group Model'!$1:$1048576,MATCH(G$14,'Group Model'!$1:$1,0),FALSE)</f>
        <v>-1836.3681695365985</v>
      </c>
      <c r="H49" s="108"/>
      <c r="I49" s="108">
        <f>VLOOKUP($A49,'Group Model'!$1:$1048576,MATCH(I$14,'Group Model'!$1:$1,0),FALSE)</f>
        <v>-640</v>
      </c>
      <c r="J49" s="108">
        <f>VLOOKUP($A49,'Group Model'!$1:$1048576,MATCH(J$14,'Group Model'!$1:$1,0),FALSE)</f>
        <v>-771</v>
      </c>
      <c r="K49" s="108">
        <f>VLOOKUP($A49,'Group Model'!$1:$1048576,MATCH(K$14,'Group Model'!$1:$1,0),FALSE)</f>
        <v>-1082.5234526406296</v>
      </c>
      <c r="L49" s="108">
        <f>VLOOKUP($A49,'Group Model'!$1:$1048576,MATCH(L$14,'Group Model'!$1:$1,0),FALSE)</f>
        <v>-923.60998123153945</v>
      </c>
      <c r="N49" s="512"/>
      <c r="O49" s="276"/>
      <c r="Q49" s="402"/>
      <c r="T49" s="111"/>
      <c r="U49" s="111"/>
      <c r="V49" s="111"/>
      <c r="W49" s="111"/>
      <c r="X49" s="111"/>
      <c r="Y49" s="111"/>
      <c r="Z49" s="111"/>
      <c r="AA49" s="111"/>
      <c r="AB49" s="111"/>
      <c r="AC49" s="111"/>
      <c r="AD49" s="111"/>
      <c r="AE49" s="111"/>
    </row>
    <row r="50" spans="1:31">
      <c r="A50" s="105" t="s">
        <v>319</v>
      </c>
      <c r="B50" s="106" t="s">
        <v>16</v>
      </c>
      <c r="C50" s="108">
        <f>VLOOKUP($A50,'Group Model'!$1:$1048576,MATCH(C$14,'Group Model'!$1:$1,0),FALSE)</f>
        <v>-13</v>
      </c>
      <c r="D50" s="108">
        <f>VLOOKUP($A50,'Group Model'!$1:$1048576,MATCH(D$14,'Group Model'!$1:$1,0),FALSE)</f>
        <v>-27</v>
      </c>
      <c r="E50" s="108">
        <f>VLOOKUP($A50,'Group Model'!$1:$1048576,MATCH(E$14,'Group Model'!$1:$1,0),FALSE)</f>
        <v>-52</v>
      </c>
      <c r="F50" s="108">
        <f>VLOOKUP($A50,'Group Model'!$1:$1048576,MATCH(F$14,'Group Model'!$1:$1,0),FALSE)</f>
        <v>-52</v>
      </c>
      <c r="G50" s="108">
        <f>VLOOKUP($A50,'Group Model'!$1:$1048576,MATCH(G$14,'Group Model'!$1:$1,0),FALSE)</f>
        <v>-52</v>
      </c>
      <c r="H50" s="108"/>
      <c r="I50" s="108">
        <f>VLOOKUP($A50,'Group Model'!$1:$1048576,MATCH(I$14,'Group Model'!$1:$1,0),FALSE)</f>
        <v>-28</v>
      </c>
      <c r="J50" s="108">
        <f>VLOOKUP($A50,'Group Model'!$1:$1048576,MATCH(J$14,'Group Model'!$1:$1,0),FALSE)</f>
        <v>-26</v>
      </c>
      <c r="K50" s="108">
        <f>VLOOKUP($A50,'Group Model'!$1:$1048576,MATCH(K$14,'Group Model'!$1:$1,0),FALSE)</f>
        <v>-26</v>
      </c>
      <c r="L50" s="108">
        <f>VLOOKUP($A50,'Group Model'!$1:$1048576,MATCH(L$14,'Group Model'!$1:$1,0),FALSE)</f>
        <v>-26</v>
      </c>
      <c r="N50" s="512"/>
      <c r="O50" s="276"/>
      <c r="Q50" s="402"/>
      <c r="T50" s="111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</row>
    <row r="51" spans="1:31">
      <c r="A51" s="105" t="s">
        <v>320</v>
      </c>
      <c r="B51" s="106" t="s">
        <v>159</v>
      </c>
      <c r="C51" s="108">
        <f>VLOOKUP($A51,'Group Model'!$1:$1048576,MATCH(C$14,'Group Model'!$1:$1,0),FALSE)</f>
        <v>0</v>
      </c>
      <c r="D51" s="108">
        <f>VLOOKUP($A51,'Group Model'!$1:$1048576,MATCH(D$14,'Group Model'!$1:$1,0),FALSE)</f>
        <v>0</v>
      </c>
      <c r="E51" s="108">
        <f>VLOOKUP($A51,'Group Model'!$1:$1048576,MATCH(E$14,'Group Model'!$1:$1,0),FALSE)</f>
        <v>0</v>
      </c>
      <c r="F51" s="108">
        <f>VLOOKUP($A51,'Group Model'!$1:$1048576,MATCH(F$14,'Group Model'!$1:$1,0),FALSE)</f>
        <v>0</v>
      </c>
      <c r="G51" s="108">
        <f>VLOOKUP($A51,'Group Model'!$1:$1048576,MATCH(G$14,'Group Model'!$1:$1,0),FALSE)</f>
        <v>0</v>
      </c>
      <c r="H51" s="108"/>
      <c r="I51" s="108">
        <f>VLOOKUP($A51,'Group Model'!$1:$1048576,MATCH(I$14,'Group Model'!$1:$1,0),FALSE)</f>
        <v>0</v>
      </c>
      <c r="J51" s="108">
        <f>VLOOKUP($A51,'Group Model'!$1:$1048576,MATCH(J$14,'Group Model'!$1:$1,0),FALSE)</f>
        <v>0</v>
      </c>
      <c r="K51" s="108">
        <f>VLOOKUP($A51,'Group Model'!$1:$1048576,MATCH(K$14,'Group Model'!$1:$1,0),FALSE)</f>
        <v>0</v>
      </c>
      <c r="L51" s="108">
        <f>VLOOKUP($A51,'Group Model'!$1:$1048576,MATCH(L$14,'Group Model'!$1:$1,0),FALSE)</f>
        <v>0</v>
      </c>
      <c r="N51" s="402"/>
      <c r="O51" s="276"/>
      <c r="Q51" s="402"/>
      <c r="T51" s="111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</row>
    <row r="52" spans="1:31" s="111" customFormat="1">
      <c r="A52" s="105"/>
      <c r="B52" s="111" t="s">
        <v>221</v>
      </c>
      <c r="C52" s="116">
        <f>C48+C49+C50+C51</f>
        <v>3522</v>
      </c>
      <c r="D52" s="116">
        <f>D48+D49+D50+D51</f>
        <v>3715</v>
      </c>
      <c r="E52" s="116">
        <f>E48+E49+E50+E51</f>
        <v>4154.8880561614706</v>
      </c>
      <c r="F52" s="116">
        <f>F48+F49+F50+F51</f>
        <v>4590.333679525238</v>
      </c>
      <c r="G52" s="116">
        <f>G48+G49+G50+G51</f>
        <v>5075.1655183620624</v>
      </c>
      <c r="H52" s="115"/>
      <c r="I52" s="116">
        <f t="shared" ref="I52" si="5">I48+I49+I50+I51</f>
        <v>2103</v>
      </c>
      <c r="J52" s="116">
        <f t="shared" ref="J52" si="6">J48+J49+J50+J51</f>
        <v>1655</v>
      </c>
      <c r="K52" s="116">
        <f t="shared" ref="K52" si="7">K48+K49+K50+K51</f>
        <v>2499.8880561614696</v>
      </c>
      <c r="L52" s="116">
        <f t="shared" ref="L52" si="8">L48+L49+L50+L51</f>
        <v>2129.0899562069253</v>
      </c>
      <c r="N52" s="509"/>
      <c r="O52" s="379"/>
      <c r="Q52" s="509"/>
      <c r="R52" s="379"/>
    </row>
    <row r="53" spans="1:31">
      <c r="B53" s="106" t="s">
        <v>321</v>
      </c>
      <c r="C53" s="114">
        <f>C55/100*C54-C52</f>
        <v>-53</v>
      </c>
      <c r="D53" s="114">
        <f>D55/100*D54-D52</f>
        <v>-44</v>
      </c>
      <c r="E53" s="114">
        <f>E55/100*E54-E52</f>
        <v>-38</v>
      </c>
      <c r="F53" s="114">
        <f>F55/100*F54-F52</f>
        <v>-38</v>
      </c>
      <c r="G53" s="114">
        <f>G55/100*G54-G52</f>
        <v>-38</v>
      </c>
      <c r="H53" s="114"/>
      <c r="I53" s="114">
        <f t="shared" ref="I53:L53" si="9">I55/100*I54-I52</f>
        <v>-23.999999999999545</v>
      </c>
      <c r="J53" s="114">
        <f t="shared" si="9"/>
        <v>-19.000000000000227</v>
      </c>
      <c r="K53" s="114">
        <f t="shared" si="9"/>
        <v>-19</v>
      </c>
      <c r="L53" s="114">
        <f t="shared" si="9"/>
        <v>-18.999999999999545</v>
      </c>
      <c r="N53" s="402"/>
      <c r="O53" s="276"/>
      <c r="T53" s="111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</row>
    <row r="54" spans="1:31">
      <c r="A54" s="105" t="s">
        <v>153</v>
      </c>
      <c r="B54" s="106" t="s">
        <v>322</v>
      </c>
      <c r="C54" s="108">
        <f>VLOOKUP($A54,'Group Model'!$1:$1048576,MATCH(C$14,'Group Model'!$1:$1,0),FALSE)</f>
        <v>380.620993</v>
      </c>
      <c r="D54" s="108">
        <f>VLOOKUP($A54,'Group Model'!$1:$1048576,MATCH(D$14,'Group Model'!$1:$1,0),FALSE)</f>
        <v>376.32184000000001</v>
      </c>
      <c r="E54" s="108">
        <f>VLOOKUP($A54,'Group Model'!$1:$1048576,MATCH(E$14,'Group Model'!$1:$1,0),FALSE)</f>
        <v>375.78926585337672</v>
      </c>
      <c r="F54" s="108">
        <f>VLOOKUP($A54,'Group Model'!$1:$1048576,MATCH(F$14,'Group Model'!$1:$1,0),FALSE)</f>
        <v>373.41489222006896</v>
      </c>
      <c r="G54" s="108">
        <f>VLOOKUP($A54,'Group Model'!$1:$1048576,MATCH(G$14,'Group Model'!$1:$1,0),FALSE)</f>
        <v>372.12118304837094</v>
      </c>
      <c r="H54" s="108"/>
      <c r="I54" s="108">
        <f>VLOOKUP($A54,'Group Model'!$1:$1048576,MATCH(I$14,'Group Model'!$1:$1,0),FALSE)</f>
        <v>376.32184000000001</v>
      </c>
      <c r="J54" s="108">
        <f>VLOOKUP($A54,'Group Model'!$1:$1048576,MATCH(J$14,'Group Model'!$1:$1,0),FALSE)</f>
        <v>376.13996300000002</v>
      </c>
      <c r="K54" s="108">
        <f>VLOOKUP($A54,'Group Model'!$1:$1048576,MATCH(K$14,'Group Model'!$1:$1,0),FALSE)</f>
        <v>375.44048508460378</v>
      </c>
      <c r="L54" s="108">
        <f>VLOOKUP($A54,'Group Model'!$1:$1048576,MATCH(L$14,'Group Model'!$1:$1,0),FALSE)</f>
        <v>374.0716426503609</v>
      </c>
      <c r="N54" s="402"/>
      <c r="O54" s="276"/>
      <c r="T54" s="111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</row>
    <row r="55" spans="1:31" s="111" customFormat="1">
      <c r="A55" s="105" t="s">
        <v>294</v>
      </c>
      <c r="B55" s="111" t="s">
        <v>323</v>
      </c>
      <c r="C55" s="112">
        <f>VLOOKUP($A55,'Group Model'!$1:$1048576,MATCH(C$14,'Group Model'!$1:$1,0),FALSE) * 100</f>
        <v>911.40532545455267</v>
      </c>
      <c r="D55" s="112">
        <f>VLOOKUP($A55,'Group Model'!$1:$1048576,MATCH(D$14,'Group Model'!$1:$1,0),FALSE) * 100</f>
        <v>975.49480519121607</v>
      </c>
      <c r="E55" s="112">
        <f>VLOOKUP($A55,'Group Model'!$1:$1048576,MATCH(E$14,'Group Model'!$1:$1,0),FALSE) * 100</f>
        <v>1095.5310409977953</v>
      </c>
      <c r="F55" s="112">
        <f>VLOOKUP($A55,'Group Model'!$1:$1048576,MATCH(F$14,'Group Model'!$1:$1,0),FALSE) * 100</f>
        <v>1219.1087646398307</v>
      </c>
      <c r="G55" s="112">
        <f>VLOOKUP($A55,'Group Model'!$1:$1048576,MATCH(G$14,'Group Model'!$1:$1,0),FALSE) * 100</f>
        <v>1353.6357906578235</v>
      </c>
      <c r="H55" s="115"/>
      <c r="I55" s="112">
        <f>VLOOKUP($A55,'Group Model'!$1:$1048576,MATCH(I$14,'Group Model'!$1:$1,0),FALSE) * 100</f>
        <v>552.45265595002411</v>
      </c>
      <c r="J55" s="112">
        <f>VLOOKUP($A55,'Group Model'!$1:$1048576,MATCH(J$14,'Group Model'!$1:$1,0),FALSE) * 100</f>
        <v>434.94447836695292</v>
      </c>
      <c r="K55" s="112">
        <f>VLOOKUP($A55,'Group Model'!$1:$1048576,MATCH(K$14,'Group Model'!$1:$1,0),FALSE) * 100</f>
        <v>660.79396195176253</v>
      </c>
      <c r="L55" s="112">
        <f>VLOOKUP($A55,'Group Model'!$1:$1048576,MATCH(L$14,'Group Model'!$1:$1,0),FALSE) * 100</f>
        <v>564.08712011864384</v>
      </c>
      <c r="O55" s="379"/>
    </row>
    <row r="56" spans="1:31">
      <c r="A56" s="105" t="s">
        <v>297</v>
      </c>
      <c r="B56" s="106" t="s">
        <v>324</v>
      </c>
      <c r="C56" s="109">
        <f>VLOOKUP($A56,'Group Model'!$1:$1048576,MATCH(C$14,'Group Model'!$1:$1,0),FALSE) * 100</f>
        <v>-30.812201310740662</v>
      </c>
      <c r="D56" s="109">
        <f>VLOOKUP($A56,'Group Model'!$1:$1048576,MATCH(D$14,'Group Model'!$1:$1,0),FALSE) * 100</f>
        <v>7.0319404491848481</v>
      </c>
      <c r="E56" s="109">
        <f>VLOOKUP($A56,'Group Model'!$1:$1048576,MATCH(E$14,'Group Model'!$1:$1,0),FALSE) * 100</f>
        <v>12.305164022175363</v>
      </c>
      <c r="F56" s="109">
        <f>VLOOKUP($A56,'Group Model'!$1:$1048576,MATCH(F$14,'Group Model'!$1:$1,0),FALSE) * 100</f>
        <v>11.280166331889818</v>
      </c>
      <c r="G56" s="109">
        <f>VLOOKUP($A56,'Group Model'!$1:$1048576,MATCH(G$14,'Group Model'!$1:$1,0),FALSE) * 100</f>
        <v>11.034866610752058</v>
      </c>
      <c r="H56" s="109"/>
      <c r="I56" s="109">
        <f>VLOOKUP($A56,'Group Model'!$1:$1048576,MATCH(I$14,'Group Model'!$1:$1,0),FALSE) * 100</f>
        <v>30.609189845232841</v>
      </c>
      <c r="J56" s="109">
        <f>VLOOKUP($A56,'Group Model'!$1:$1048576,MATCH(J$14,'Group Model'!$1:$1,0),FALSE) * 100</f>
        <v>-21.270271093366077</v>
      </c>
      <c r="K56" s="109">
        <f>VLOOKUP($A56,'Group Model'!$1:$1048576,MATCH(K$14,'Group Model'!$1:$1,0),FALSE) * 100</f>
        <v>51.926049143740485</v>
      </c>
      <c r="L56" s="109">
        <f>VLOOKUP($A56,'Group Model'!$1:$1048576,MATCH(L$14,'Group Model'!$1:$1,0),FALSE) * 100</f>
        <v>-14.634946352639089</v>
      </c>
      <c r="O56" s="276"/>
      <c r="T56" s="111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</row>
    <row r="57" spans="1:31" s="111" customFormat="1">
      <c r="A57" s="105" t="s">
        <v>301</v>
      </c>
      <c r="B57" s="111" t="s">
        <v>325</v>
      </c>
      <c r="C57" s="112">
        <f>VLOOKUP($A57,'Group Model'!$1:$1048576,MATCH(C$14,'Group Model'!$1:$1,0),FALSE) * 100</f>
        <v>640</v>
      </c>
      <c r="D57" s="112">
        <f>VLOOKUP($A57,'Group Model'!$1:$1048576,MATCH(D$14,'Group Model'!$1:$1,0),FALSE) * 100</f>
        <v>650</v>
      </c>
      <c r="E57" s="112">
        <f>VLOOKUP($A57,'Group Model'!$1:$1048576,MATCH(E$14,'Group Model'!$1:$1,0),FALSE) * 100</f>
        <v>680</v>
      </c>
      <c r="F57" s="112">
        <f>VLOOKUP($A57,'Group Model'!$1:$1048576,MATCH(F$14,'Group Model'!$1:$1,0),FALSE) * 100</f>
        <v>760</v>
      </c>
      <c r="G57" s="112">
        <f>VLOOKUP($A57,'Group Model'!$1:$1048576,MATCH(G$14,'Group Model'!$1:$1,0),FALSE) * 100</f>
        <v>869.99999999999989</v>
      </c>
      <c r="H57" s="112"/>
      <c r="I57" s="112">
        <f>VLOOKUP($A57,'Group Model'!$1:$1048576,MATCH(I$14,'Group Model'!$1:$1,0),FALSE) * 100</f>
        <v>390</v>
      </c>
      <c r="J57" s="112">
        <f>VLOOKUP($A57,'Group Model'!$1:$1048576,MATCH(J$14,'Group Model'!$1:$1,0),FALSE) * 100</f>
        <v>280</v>
      </c>
      <c r="K57" s="112">
        <f>VLOOKUP($A57,'Group Model'!$1:$1048576,MATCH(K$14,'Group Model'!$1:$1,0),FALSE) * 100</f>
        <v>400</v>
      </c>
      <c r="L57" s="112">
        <f>VLOOKUP($A57,'Group Model'!$1:$1048576,MATCH(L$14,'Group Model'!$1:$1,0),FALSE) * 100</f>
        <v>340</v>
      </c>
      <c r="O57" s="379"/>
    </row>
    <row r="58" spans="1:31">
      <c r="E58" s="274"/>
      <c r="F58" s="274"/>
      <c r="G58" s="274"/>
      <c r="K58" s="274"/>
      <c r="T58" s="111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</row>
    <row r="59" spans="1:31">
      <c r="E59" s="274"/>
      <c r="F59" s="274"/>
      <c r="L59" s="114"/>
      <c r="T59" s="111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</row>
    <row r="60" spans="1:31">
      <c r="B60" s="146" t="s">
        <v>552</v>
      </c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T60" s="111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</row>
    <row r="61" spans="1:31">
      <c r="T61" s="111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</row>
    <row r="62" spans="1:31">
      <c r="B62" s="148" t="s">
        <v>564</v>
      </c>
      <c r="C62" s="149" t="str">
        <f>C$14</f>
        <v>FY24A</v>
      </c>
      <c r="D62" s="149" t="str">
        <f>D$14</f>
        <v>FY25A</v>
      </c>
      <c r="E62" s="149" t="str">
        <f>E$14</f>
        <v>FY26E</v>
      </c>
      <c r="F62" s="149" t="str">
        <f>F$14</f>
        <v>FY27E</v>
      </c>
      <c r="G62" s="149" t="str">
        <f>G$14</f>
        <v>FY28E</v>
      </c>
      <c r="H62" s="400"/>
      <c r="I62" s="149" t="str">
        <f>I$14</f>
        <v>2H25A</v>
      </c>
      <c r="J62" s="149" t="str">
        <f>J$14</f>
        <v>1H26A</v>
      </c>
      <c r="K62" s="149" t="str">
        <f>K$14</f>
        <v>2H26E</v>
      </c>
      <c r="L62" s="149" t="str">
        <f>L$14</f>
        <v>1H27E</v>
      </c>
      <c r="N62" s="111"/>
      <c r="O62" s="111"/>
      <c r="Q62" s="111"/>
      <c r="R62" s="111"/>
      <c r="T62" s="111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</row>
    <row r="63" spans="1:31">
      <c r="A63" s="91" t="s">
        <v>556</v>
      </c>
      <c r="B63" s="106" t="s">
        <v>1516</v>
      </c>
      <c r="C63" s="108">
        <f>VLOOKUP($A63,'Divisional Model'!$1:$1048576,MATCH(C$62,'Divisional Model'!$1:$1,0),FALSE)</f>
        <v>1208</v>
      </c>
      <c r="D63" s="108">
        <f>VLOOKUP($A63,'Divisional Model'!$1:$1048576,MATCH(D$62,'Divisional Model'!$1:$1,0),FALSE)</f>
        <v>1610</v>
      </c>
      <c r="E63" s="108">
        <f>VLOOKUP($A63,'Divisional Model'!$1:$1048576,MATCH(E$62,'Divisional Model'!$1:$1,0),FALSE)</f>
        <v>2695.8317105388146</v>
      </c>
      <c r="F63" s="108">
        <f>VLOOKUP($A63,'Divisional Model'!$1:$1048576,MATCH(F$62,'Divisional Model'!$1:$1,0),FALSE)</f>
        <v>1986.3144910911521</v>
      </c>
      <c r="G63" s="108">
        <f>VLOOKUP($A63,'Divisional Model'!$1:$1048576,MATCH(G$62,'Divisional Model'!$1:$1,0),FALSE)</f>
        <v>2079.9598110228444</v>
      </c>
      <c r="H63" s="109"/>
      <c r="I63" s="108">
        <f>VLOOKUP($A63,'Divisional Model'!$1:$1048576,MATCH(I$62,'Divisional Model'!$1:$1,0),FALSE)</f>
        <v>926</v>
      </c>
      <c r="J63" s="108">
        <f>VLOOKUP($A63,'Divisional Model'!$1:$1048576,MATCH(J$62,'Divisional Model'!$1:$1,0),FALSE)</f>
        <v>1175</v>
      </c>
      <c r="K63" s="108">
        <f>VLOOKUP($A63,'Divisional Model'!$1:$1048576,MATCH(K$62,'Divisional Model'!$1:$1,0),FALSE)</f>
        <v>1520.8317105388146</v>
      </c>
      <c r="L63" s="108">
        <f>VLOOKUP($A63,'Divisional Model'!$1:$1048576,MATCH(L$62,'Divisional Model'!$1:$1,0),FALSE)</f>
        <v>957.81852891530036</v>
      </c>
      <c r="N63" s="402"/>
      <c r="O63" s="276"/>
      <c r="Q63" s="402"/>
      <c r="R63" s="276"/>
      <c r="T63" s="111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</row>
    <row r="64" spans="1:31" hidden="1" outlineLevel="1">
      <c r="A64" s="91" t="s">
        <v>557</v>
      </c>
      <c r="B64" s="106" t="s">
        <v>553</v>
      </c>
      <c r="C64" s="108">
        <f>VLOOKUP($A64,'Divisional Model'!$1:$1048576,MATCH(C$62,'Divisional Model'!$1:$1,0),FALSE)</f>
        <v>0</v>
      </c>
      <c r="D64" s="108">
        <f>VLOOKUP($A64,'Divisional Model'!$1:$1048576,MATCH(D$62,'Divisional Model'!$1:$1,0),FALSE)</f>
        <v>0</v>
      </c>
      <c r="E64" s="108">
        <f>VLOOKUP($A64,'Divisional Model'!$1:$1048576,MATCH(E$62,'Divisional Model'!$1:$1,0),FALSE)</f>
        <v>0</v>
      </c>
      <c r="F64" s="108">
        <f>VLOOKUP($A64,'Divisional Model'!$1:$1048576,MATCH(F$62,'Divisional Model'!$1:$1,0),FALSE)</f>
        <v>0</v>
      </c>
      <c r="G64" s="108">
        <f>VLOOKUP($A64,'Divisional Model'!$1:$1048576,MATCH(G$62,'Divisional Model'!$1:$1,0),FALSE)</f>
        <v>0</v>
      </c>
      <c r="H64" s="109"/>
      <c r="I64" s="108">
        <f>VLOOKUP($A64,'Divisional Model'!$1:$1048576,MATCH(I$62,'Divisional Model'!$1:$1,0),FALSE)</f>
        <v>0</v>
      </c>
      <c r="J64" s="108">
        <f>VLOOKUP($A64,'Divisional Model'!$1:$1048576,MATCH(J$62,'Divisional Model'!$1:$1,0),FALSE)</f>
        <v>0</v>
      </c>
      <c r="K64" s="108">
        <f>VLOOKUP($A64,'Divisional Model'!$1:$1048576,MATCH(K$62,'Divisional Model'!$1:$1,0),FALSE)</f>
        <v>0</v>
      </c>
      <c r="L64" s="108">
        <f>VLOOKUP($A64,'Divisional Model'!$1:$1048576,MATCH(L$62,'Divisional Model'!$1:$1,0),FALSE)</f>
        <v>0</v>
      </c>
      <c r="N64" s="402"/>
      <c r="O64" s="276"/>
      <c r="Q64" s="402"/>
      <c r="T64" s="111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</row>
    <row r="65" spans="1:31" collapsed="1">
      <c r="A65" s="91" t="s">
        <v>558</v>
      </c>
      <c r="B65" s="106" t="s">
        <v>554</v>
      </c>
      <c r="C65" s="108">
        <f>VLOOKUP($A65,'Divisional Model'!$1:$1048576,MATCH(C$62,'Divisional Model'!$1:$1,0),FALSE)</f>
        <v>1241</v>
      </c>
      <c r="D65" s="108">
        <f>VLOOKUP($A65,'Divisional Model'!$1:$1048576,MATCH(D$62,'Divisional Model'!$1:$1,0),FALSE)</f>
        <v>1380</v>
      </c>
      <c r="E65" s="108">
        <f>VLOOKUP($A65,'Divisional Model'!$1:$1048576,MATCH(E$62,'Divisional Model'!$1:$1,0),FALSE)</f>
        <v>1528.9284103507532</v>
      </c>
      <c r="F65" s="108">
        <f>VLOOKUP($A65,'Divisional Model'!$1:$1048576,MATCH(F$62,'Divisional Model'!$1:$1,0),FALSE)</f>
        <v>1647.8917062024291</v>
      </c>
      <c r="G65" s="108">
        <f>VLOOKUP($A65,'Divisional Model'!$1:$1048576,MATCH(G$62,'Divisional Model'!$1:$1,0),FALSE)</f>
        <v>1861.950204915946</v>
      </c>
      <c r="H65" s="109"/>
      <c r="I65" s="108">
        <f>VLOOKUP($A65,'Divisional Model'!$1:$1048576,MATCH(I$62,'Divisional Model'!$1:$1,0),FALSE)</f>
        <v>730</v>
      </c>
      <c r="J65" s="108">
        <f>VLOOKUP($A65,'Divisional Model'!$1:$1048576,MATCH(J$62,'Divisional Model'!$1:$1,0),FALSE)</f>
        <v>793</v>
      </c>
      <c r="K65" s="108">
        <f>VLOOKUP($A65,'Divisional Model'!$1:$1048576,MATCH(K$62,'Divisional Model'!$1:$1,0),FALSE)</f>
        <v>735.92841035075253</v>
      </c>
      <c r="L65" s="108">
        <f>VLOOKUP($A65,'Divisional Model'!$1:$1048576,MATCH(L$62,'Divisional Model'!$1:$1,0),FALSE)</f>
        <v>797.61980688231813</v>
      </c>
      <c r="N65" s="402"/>
      <c r="O65" s="276"/>
      <c r="Q65" s="402"/>
      <c r="R65" s="276"/>
      <c r="T65" s="111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</row>
    <row r="66" spans="1:31">
      <c r="A66" s="91" t="s">
        <v>1540</v>
      </c>
      <c r="B66" s="106" t="s">
        <v>1517</v>
      </c>
      <c r="C66" s="108">
        <f>VLOOKUP($A66,'Divisional Model'!$1:$1048576,MATCH(C$62,'Divisional Model'!$1:$1,0),FALSE)</f>
        <v>3213</v>
      </c>
      <c r="D66" s="108">
        <f>VLOOKUP($A66,'Divisional Model'!$1:$1048576,MATCH(D$62,'Divisional Model'!$1:$1,0),FALSE)</f>
        <v>2829</v>
      </c>
      <c r="E66" s="108">
        <f>VLOOKUP($A66,'Divisional Model'!$1:$1048576,MATCH(E$62,'Divisional Model'!$1:$1,0),FALSE)</f>
        <v>3135.179410438539</v>
      </c>
      <c r="F66" s="108">
        <f>VLOOKUP($A66,'Divisional Model'!$1:$1048576,MATCH(F$62,'Divisional Model'!$1:$1,0),FALSE)</f>
        <v>3464.0435950276042</v>
      </c>
      <c r="G66" s="108">
        <f>VLOOKUP($A66,'Divisional Model'!$1:$1048576,MATCH(G$62,'Divisional Model'!$1:$1,0),FALSE)</f>
        <v>3783.8987346215599</v>
      </c>
      <c r="H66" s="109"/>
      <c r="I66" s="108">
        <f>VLOOKUP($A66,'Divisional Model'!$1:$1048576,MATCH(I$62,'Divisional Model'!$1:$1,0),FALSE)</f>
        <v>1513</v>
      </c>
      <c r="J66" s="108">
        <f>VLOOKUP($A66,'Divisional Model'!$1:$1048576,MATCH(J$62,'Divisional Model'!$1:$1,0),FALSE)</f>
        <v>1113</v>
      </c>
      <c r="K66" s="108">
        <f>VLOOKUP($A66,'Divisional Model'!$1:$1048576,MATCH(K$62,'Divisional Model'!$1:$1,0),FALSE)</f>
        <v>2022.1794104385385</v>
      </c>
      <c r="L66" s="108">
        <f>VLOOKUP($A66,'Divisional Model'!$1:$1048576,MATCH(L$62,'Divisional Model'!$1:$1,0),FALSE)</f>
        <v>1587.6138251223372</v>
      </c>
      <c r="N66" s="402"/>
      <c r="O66" s="276"/>
      <c r="Q66" s="402"/>
      <c r="R66" s="276"/>
      <c r="T66" s="111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</row>
    <row r="67" spans="1:31">
      <c r="A67" s="91" t="s">
        <v>561</v>
      </c>
      <c r="B67" s="106" t="s">
        <v>555</v>
      </c>
      <c r="C67" s="108">
        <f>VLOOKUP($A67,'Divisional Model'!$1:$1048576,MATCH(C$62,'Divisional Model'!$1:$1,0),FALSE)</f>
        <v>1051</v>
      </c>
      <c r="D67" s="108">
        <f>VLOOKUP($A67,'Divisional Model'!$1:$1048576,MATCH(D$62,'Divisional Model'!$1:$1,0),FALSE)</f>
        <v>1043</v>
      </c>
      <c r="E67" s="108">
        <f>VLOOKUP($A67,'Divisional Model'!$1:$1048576,MATCH(E$62,'Divisional Model'!$1:$1,0),FALSE)</f>
        <v>1419.596420066923</v>
      </c>
      <c r="F67" s="108">
        <f>VLOOKUP($A67,'Divisional Model'!$1:$1048576,MATCH(F$62,'Divisional Model'!$1:$1,0),FALSE)</f>
        <v>1564.9234403373803</v>
      </c>
      <c r="G67" s="108">
        <f>VLOOKUP($A67,'Divisional Model'!$1:$1048576,MATCH(G$62,'Divisional Model'!$1:$1,0),FALSE)</f>
        <v>1765.0083382010775</v>
      </c>
      <c r="H67" s="109"/>
      <c r="I67" s="108">
        <f>VLOOKUP($A67,'Divisional Model'!$1:$1048576,MATCH(I$62,'Divisional Model'!$1:$1,0),FALSE)</f>
        <v>672</v>
      </c>
      <c r="J67" s="108">
        <f>VLOOKUP($A67,'Divisional Model'!$1:$1048576,MATCH(J$62,'Divisional Model'!$1:$1,0),FALSE)</f>
        <v>711</v>
      </c>
      <c r="K67" s="108">
        <f>VLOOKUP($A67,'Divisional Model'!$1:$1048576,MATCH(K$62,'Divisional Model'!$1:$1,0),FALSE)</f>
        <v>708.5964200669232</v>
      </c>
      <c r="L67" s="108">
        <f>VLOOKUP($A67,'Divisional Model'!$1:$1048576,MATCH(L$62,'Divisional Model'!$1:$1,0),FALSE)</f>
        <v>766.25634906960477</v>
      </c>
      <c r="N67" s="402"/>
      <c r="O67" s="276"/>
      <c r="Q67" s="402"/>
      <c r="R67" s="276"/>
      <c r="T67" s="111"/>
      <c r="U67" s="111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</row>
    <row r="68" spans="1:31">
      <c r="A68" s="91" t="s">
        <v>563</v>
      </c>
      <c r="B68" s="106" t="s">
        <v>509</v>
      </c>
      <c r="C68" s="108">
        <f>VLOOKUP($A68,'Divisional Model'!$1:$1048576,MATCH(C$62,'Divisional Model'!$1:$1,0),FALSE)</f>
        <v>-3191</v>
      </c>
      <c r="D68" s="108">
        <f>VLOOKUP($A68,'Divisional Model'!$1:$1048576,MATCH(D$62,'Divisional Model'!$1:$1,0),FALSE)</f>
        <v>-3147</v>
      </c>
      <c r="E68" s="108">
        <f>VLOOKUP($A68,'Divisional Model'!$1:$1048576,MATCH(E$62,'Divisional Model'!$1:$1,0),FALSE)</f>
        <v>-4624.647895233561</v>
      </c>
      <c r="F68" s="108">
        <f>VLOOKUP($A68,'Divisional Model'!$1:$1048576,MATCH(F$62,'Divisional Model'!$1:$1,0),FALSE)</f>
        <v>-4072.8395531333263</v>
      </c>
      <c r="G68" s="108">
        <f>VLOOKUP($A68,'Divisional Model'!$1:$1048576,MATCH(G$62,'Divisional Model'!$1:$1,0),FALSE)</f>
        <v>-4415.6515703993609</v>
      </c>
      <c r="H68" s="109"/>
      <c r="I68" s="108">
        <f>VLOOKUP($A68,'Divisional Model'!$1:$1048576,MATCH(I$62,'Divisional Model'!$1:$1,0),FALSE)</f>
        <v>-1738</v>
      </c>
      <c r="J68" s="108">
        <f>VLOOKUP($A68,'Divisional Model'!$1:$1048576,MATCH(J$62,'Divisional Model'!$1:$1,0),FALSE)</f>
        <v>-2137</v>
      </c>
      <c r="K68" s="108">
        <f>VLOOKUP($A68,'Divisional Model'!$1:$1048576,MATCH(K$62,'Divisional Model'!$1:$1,0),FALSE)</f>
        <v>-2487.647895233561</v>
      </c>
      <c r="L68" s="108">
        <f>VLOOKUP($A68,'Divisional Model'!$1:$1048576,MATCH(L$62,'Divisional Model'!$1:$1,0),FALSE)</f>
        <v>-1980.2185537826351</v>
      </c>
      <c r="N68" s="402"/>
      <c r="Q68" s="402"/>
      <c r="T68" s="111"/>
      <c r="U68" s="111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</row>
    <row r="69" spans="1:31" s="111" customFormat="1">
      <c r="A69" s="144"/>
      <c r="B69" s="111" t="s">
        <v>508</v>
      </c>
      <c r="C69" s="112">
        <f>IF(ROUND(SUM(C63:C68),5)=ROUND(C52,5),C52,"Error")</f>
        <v>3522</v>
      </c>
      <c r="D69" s="112">
        <f>IF(ROUND(SUM(D63:D68),5)=ROUND(D52,5),D52,"Error")</f>
        <v>3715</v>
      </c>
      <c r="E69" s="112">
        <f>IF(ROUND(SUM(E63:E68),5)=ROUND(E52,5),E52,"Error")</f>
        <v>4154.8880561614706</v>
      </c>
      <c r="F69" s="112">
        <f>IF(ROUND(SUM(F63:F68),5)=ROUND(F52,5),F52,"Error")</f>
        <v>4590.333679525238</v>
      </c>
      <c r="G69" s="112">
        <f>IF(ROUND(SUM(G63:G68),5)=ROUND(G52,5),G52,"Error")</f>
        <v>5075.1655183620624</v>
      </c>
      <c r="I69" s="112">
        <f>IF(ROUND(SUM(I63:I68),5)=ROUND(I52,5),I52,"Error")</f>
        <v>2103</v>
      </c>
      <c r="J69" s="112">
        <f>IF(ROUND(SUM(J63:J68),5)=ROUND(J52,5),J52,"Error")</f>
        <v>1655</v>
      </c>
      <c r="K69" s="112">
        <f>IF(ROUND(SUM(K63:K68),5)=ROUND(K52,5),K52,"Error")</f>
        <v>2499.8880561614696</v>
      </c>
      <c r="L69" s="112">
        <f>IF(ROUND(SUM(L63:L68),5)=ROUND(L52,5),L52,"Error")</f>
        <v>2129.0899562069253</v>
      </c>
      <c r="N69" s="402"/>
      <c r="Q69" s="402"/>
    </row>
    <row r="70" spans="1:31">
      <c r="C70" s="274"/>
      <c r="D70" s="276"/>
      <c r="E70" s="274"/>
      <c r="F70" s="274"/>
      <c r="G70" s="274"/>
      <c r="H70" s="274"/>
      <c r="I70" s="274"/>
      <c r="J70" s="274"/>
      <c r="K70" s="274"/>
      <c r="L70" s="274"/>
      <c r="M70" s="274"/>
      <c r="N70" s="402"/>
      <c r="Q70" s="402"/>
      <c r="T70" s="111"/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</row>
    <row r="71" spans="1:31">
      <c r="C71" s="274"/>
      <c r="D71" s="274"/>
      <c r="E71" s="274"/>
      <c r="F71" s="67"/>
      <c r="G71" s="67"/>
      <c r="N71" s="402"/>
      <c r="Q71" s="402"/>
      <c r="T71" s="111"/>
      <c r="U71" s="111"/>
      <c r="V71" s="111"/>
      <c r="W71" s="111"/>
      <c r="X71" s="111"/>
      <c r="Y71" s="111"/>
      <c r="Z71" s="111"/>
      <c r="AA71" s="111"/>
      <c r="AB71" s="111"/>
      <c r="AC71" s="111"/>
      <c r="AD71" s="111"/>
      <c r="AE71" s="111"/>
    </row>
    <row r="72" spans="1:31">
      <c r="B72" s="146" t="s">
        <v>551</v>
      </c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N72" s="402"/>
      <c r="Q72" s="402"/>
      <c r="T72" s="111"/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</row>
    <row r="73" spans="1:31">
      <c r="E73" s="276"/>
      <c r="F73" s="276"/>
      <c r="G73" s="276"/>
      <c r="T73" s="111"/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</row>
    <row r="74" spans="1:31">
      <c r="B74" s="148" t="s">
        <v>41</v>
      </c>
      <c r="C74" s="149" t="str">
        <f>C$14</f>
        <v>FY24A</v>
      </c>
      <c r="D74" s="149" t="str">
        <f>D$14</f>
        <v>FY25A</v>
      </c>
      <c r="E74" s="149" t="str">
        <f>E$14</f>
        <v>FY26E</v>
      </c>
      <c r="F74" s="149" t="str">
        <f>F$14</f>
        <v>FY27E</v>
      </c>
      <c r="G74" s="149" t="str">
        <f>G$14</f>
        <v>FY28E</v>
      </c>
      <c r="H74" s="107"/>
      <c r="I74" s="149" t="str">
        <f>I$14</f>
        <v>2H25A</v>
      </c>
      <c r="J74" s="149" t="str">
        <f>J$14</f>
        <v>1H26A</v>
      </c>
      <c r="K74" s="149" t="str">
        <f>K$14</f>
        <v>2H26E</v>
      </c>
      <c r="L74" s="149" t="str">
        <f>L$14</f>
        <v>1H27E</v>
      </c>
      <c r="Q74" s="111"/>
      <c r="T74" s="111"/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</row>
    <row r="75" spans="1:31">
      <c r="B75" s="111" t="s">
        <v>565</v>
      </c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T75" s="111"/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</row>
    <row r="76" spans="1:31">
      <c r="A76" s="91" t="s">
        <v>652</v>
      </c>
      <c r="B76" s="106" t="s">
        <v>566</v>
      </c>
      <c r="C76" s="108">
        <f>VLOOKUP($A76,'Group Model'!$1:$1048576,MATCH(C$14,'Group Model'!$1:$1,0),FALSE)</f>
        <v>176371</v>
      </c>
      <c r="D76" s="108">
        <f>VLOOKUP($A76,'Group Model'!$1:$1048576,MATCH(D$14,'Group Model'!$1:$1,0),FALSE)</f>
        <v>205648</v>
      </c>
      <c r="E76" s="108">
        <f>VLOOKUP($A76,'Group Model'!$1:$1048576,MATCH(E$14,'Group Model'!$1:$1,0),FALSE)</f>
        <v>242927.20000000004</v>
      </c>
      <c r="F76" s="108">
        <f>VLOOKUP($A76,'Group Model'!$1:$1048576,MATCH(F$14,'Group Model'!$1:$1,0),FALSE)</f>
        <v>279223.12067499995</v>
      </c>
      <c r="G76" s="108">
        <f>VLOOKUP($A76,'Group Model'!$1:$1048576,MATCH(G$14,'Group Model'!$1:$1,0),FALSE)</f>
        <v>309997.13012037257</v>
      </c>
      <c r="H76" s="108"/>
      <c r="I76" s="108">
        <f>VLOOKUP($A76,'Group Model'!$1:$1048576,MATCH(I$14,'Group Model'!$1:$1,0),FALSE)</f>
        <v>205648</v>
      </c>
      <c r="J76" s="108">
        <f>VLOOKUP($A76,'Group Model'!$1:$1048576,MATCH(J$14,'Group Model'!$1:$1,0),FALSE)</f>
        <v>224042</v>
      </c>
      <c r="K76" s="108">
        <f>VLOOKUP($A76,'Group Model'!$1:$1048576,MATCH(K$14,'Group Model'!$1:$1,0),FALSE)</f>
        <v>242927.20000000004</v>
      </c>
      <c r="L76" s="108">
        <f>VLOOKUP($A76,'Group Model'!$1:$1048576,MATCH(L$14,'Group Model'!$1:$1,0),FALSE)</f>
        <v>261149.26700000002</v>
      </c>
      <c r="M76" s="110"/>
      <c r="O76" s="111"/>
      <c r="T76" s="111"/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</row>
    <row r="77" spans="1:31">
      <c r="A77" s="91" t="s">
        <v>579</v>
      </c>
      <c r="B77" s="106" t="s">
        <v>441</v>
      </c>
      <c r="C77" s="108">
        <f>VLOOKUP($A77,'Group Model'!$1:$1048576,MATCH(C$14,'Group Model'!$1:$1,0),FALSE)</f>
        <v>330100</v>
      </c>
      <c r="D77" s="108">
        <f>VLOOKUP($A77,'Group Model'!$1:$1048576,MATCH(D$14,'Group Model'!$1:$1,0),FALSE)</f>
        <v>368100</v>
      </c>
      <c r="E77" s="108">
        <f>VLOOKUP($A77,'Group Model'!$1:$1048576,MATCH(E$14,'Group Model'!$1:$1,0),FALSE)</f>
        <v>427017.64913053898</v>
      </c>
      <c r="F77" s="108">
        <f>VLOOKUP($A77,'Group Model'!$1:$1048576,MATCH(F$14,'Group Model'!$1:$1,0),FALSE)</f>
        <v>476455.77713331726</v>
      </c>
      <c r="G77" s="108">
        <f>VLOOKUP($A77,'Group Model'!$1:$1048576,MATCH(G$14,'Group Model'!$1:$1,0),FALSE)</f>
        <v>516694.9816643268</v>
      </c>
      <c r="H77" s="108"/>
      <c r="I77" s="108">
        <f>VLOOKUP($A77,'Group Model'!$1:$1048576,MATCH(I$14,'Group Model'!$1:$1,0),FALSE)</f>
        <v>368100</v>
      </c>
      <c r="J77" s="108">
        <f>VLOOKUP($A77,'Group Model'!$1:$1048576,MATCH(J$14,'Group Model'!$1:$1,0),FALSE)</f>
        <v>401300</v>
      </c>
      <c r="K77" s="108">
        <f>VLOOKUP($A77,'Group Model'!$1:$1048576,MATCH(K$14,'Group Model'!$1:$1,0),FALSE)</f>
        <v>427017.64913053898</v>
      </c>
      <c r="L77" s="108">
        <f>VLOOKUP($A77,'Group Model'!$1:$1048576,MATCH(L$14,'Group Model'!$1:$1,0),FALSE)</f>
        <v>452089.64685312868</v>
      </c>
      <c r="M77" s="110"/>
      <c r="N77" s="118"/>
      <c r="O77" s="118"/>
      <c r="Q77" s="118"/>
      <c r="T77" s="111"/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</row>
    <row r="78" spans="1:31">
      <c r="A78" s="91" t="s">
        <v>655</v>
      </c>
      <c r="B78" s="106" t="s">
        <v>567</v>
      </c>
      <c r="C78" s="108">
        <f>VLOOKUP($A78,'Group Model'!$1:$1048576,MATCH(C$14,'Group Model'!$1:$1,0),FALSE)</f>
        <v>403404</v>
      </c>
      <c r="D78" s="108">
        <f>VLOOKUP($A78,'Group Model'!$1:$1048576,MATCH(D$14,'Group Model'!$1:$1,0),FALSE)</f>
        <v>445221</v>
      </c>
      <c r="E78" s="108">
        <f>VLOOKUP($A78,'Group Model'!$1:$1048576,MATCH(E$14,'Group Model'!$1:$1,0),FALSE)</f>
        <v>513802.11176721903</v>
      </c>
      <c r="F78" s="108">
        <f>VLOOKUP($A78,'Group Model'!$1:$1048576,MATCH(F$14,'Group Model'!$1:$1,0),FALSE)</f>
        <v>570500.5610841692</v>
      </c>
      <c r="G78" s="108">
        <f>VLOOKUP($A78,'Group Model'!$1:$1048576,MATCH(G$14,'Group Model'!$1:$1,0),FALSE)</f>
        <v>616593.56907000195</v>
      </c>
      <c r="H78" s="108"/>
      <c r="I78" s="108">
        <f>VLOOKUP($A78,'Group Model'!$1:$1048576,MATCH(I$14,'Group Model'!$1:$1,0),FALSE)</f>
        <v>445221</v>
      </c>
      <c r="J78" s="108">
        <f>VLOOKUP($A78,'Group Model'!$1:$1048576,MATCH(J$14,'Group Model'!$1:$1,0),FALSE)</f>
        <v>484216</v>
      </c>
      <c r="K78" s="108">
        <f>VLOOKUP($A78,'Group Model'!$1:$1048576,MATCH(K$14,'Group Model'!$1:$1,0),FALSE)</f>
        <v>513802.11176721903</v>
      </c>
      <c r="L78" s="108">
        <f>VLOOKUP($A78,'Group Model'!$1:$1048576,MATCH(L$14,'Group Model'!$1:$1,0),FALSE)</f>
        <v>542567.36905739084</v>
      </c>
      <c r="M78" s="110"/>
      <c r="O78" s="118"/>
      <c r="T78" s="111"/>
      <c r="U78" s="111"/>
      <c r="V78" s="111"/>
      <c r="W78" s="111"/>
      <c r="X78" s="111"/>
      <c r="Y78" s="111"/>
      <c r="Z78" s="111"/>
      <c r="AA78" s="111"/>
      <c r="AB78" s="111"/>
      <c r="AC78" s="111"/>
      <c r="AD78" s="111"/>
      <c r="AE78" s="111"/>
    </row>
    <row r="79" spans="1:31" s="111" customFormat="1">
      <c r="A79" s="105" t="s">
        <v>580</v>
      </c>
      <c r="B79" s="106" t="s">
        <v>568</v>
      </c>
      <c r="C79" s="108">
        <f>VLOOKUP($A79,'Group Model'!$1:$1048576,MATCH(C$14,'Group Model'!$1:$1,0),FALSE)</f>
        <v>33996</v>
      </c>
      <c r="D79" s="108">
        <f>VLOOKUP($A79,'Group Model'!$1:$1048576,MATCH(D$14,'Group Model'!$1:$1,0),FALSE)</f>
        <v>35789</v>
      </c>
      <c r="E79" s="108">
        <f>VLOOKUP($A79,'Group Model'!$1:$1048576,MATCH(E$14,'Group Model'!$1:$1,0),FALSE)</f>
        <v>36300.542368671689</v>
      </c>
      <c r="F79" s="108">
        <f>VLOOKUP($A79,'Group Model'!$1:$1048576,MATCH(F$14,'Group Model'!$1:$1,0),FALSE)</f>
        <v>37433.629642974913</v>
      </c>
      <c r="G79" s="108">
        <f>VLOOKUP($A79,'Group Model'!$1:$1048576,MATCH(G$14,'Group Model'!$1:$1,0),FALSE)</f>
        <v>39493.111162244837</v>
      </c>
      <c r="H79" s="108"/>
      <c r="I79" s="108">
        <f>VLOOKUP($A79,'Group Model'!$1:$1048576,MATCH(I$14,'Group Model'!$1:$1,0),FALSE)</f>
        <v>35789</v>
      </c>
      <c r="J79" s="108">
        <f>VLOOKUP($A79,'Group Model'!$1:$1048576,MATCH(J$14,'Group Model'!$1:$1,0),FALSE)</f>
        <v>35194</v>
      </c>
      <c r="K79" s="108">
        <f>VLOOKUP($A79,'Group Model'!$1:$1048576,MATCH(K$14,'Group Model'!$1:$1,0),FALSE)</f>
        <v>36300.542368671689</v>
      </c>
      <c r="L79" s="108">
        <f>VLOOKUP($A79,'Group Model'!$1:$1048576,MATCH(L$14,'Group Model'!$1:$1,0),FALSE)</f>
        <v>36584.737945446301</v>
      </c>
      <c r="M79" s="137"/>
      <c r="N79" s="106"/>
      <c r="O79" s="106"/>
      <c r="Q79" s="106"/>
    </row>
    <row r="80" spans="1:31" s="118" customFormat="1">
      <c r="A80" s="91" t="s">
        <v>305</v>
      </c>
      <c r="B80" s="106" t="s">
        <v>460</v>
      </c>
      <c r="C80" s="113">
        <f>VLOOKUP($A80,'Group Model'!$1:$1048576,MATCH(C$14,'Group Model'!$1:$1,0),FALSE)</f>
        <v>88.771086126067587</v>
      </c>
      <c r="D80" s="113">
        <f>VLOOKUP($A80,'Group Model'!$1:$1048576,MATCH(D$14,'Group Model'!$1:$1,0),FALSE)</f>
        <v>93.900269800933074</v>
      </c>
      <c r="E80" s="113">
        <f>VLOOKUP($A80,'Group Model'!$1:$1048576,MATCH(E$14,'Group Model'!$1:$1,0),FALSE)</f>
        <v>95.607232063995568</v>
      </c>
      <c r="F80" s="113">
        <f>VLOOKUP($A80,'Group Model'!$1:$1048576,MATCH(F$14,'Group Model'!$1:$1,0),FALSE)</f>
        <v>99.303851873721769</v>
      </c>
      <c r="G80" s="113">
        <f>VLOOKUP($A80,'Group Model'!$1:$1048576,MATCH(G$14,'Group Model'!$1:$1,0),FALSE)</f>
        <v>104.76724000030246</v>
      </c>
      <c r="H80" s="113"/>
      <c r="I80" s="113">
        <f>VLOOKUP($A80,'Group Model'!$1:$1048576,MATCH(I$14,'Group Model'!$1:$1,0),FALSE)</f>
        <v>93.900269800933074</v>
      </c>
      <c r="J80" s="113">
        <f>VLOOKUP($A80,'Group Model'!$1:$1048576,MATCH(J$14,'Group Model'!$1:$1,0),FALSE)</f>
        <v>92.339157153707532</v>
      </c>
      <c r="K80" s="113">
        <f>VLOOKUP($A80,'Group Model'!$1:$1048576,MATCH(K$14,'Group Model'!$1:$1,0),FALSE)</f>
        <v>95.607232063995568</v>
      </c>
      <c r="L80" s="113">
        <f>VLOOKUP($A80,'Group Model'!$1:$1048576,MATCH(L$14,'Group Model'!$1:$1,0),FALSE)</f>
        <v>96.710230848950502</v>
      </c>
      <c r="M80" s="128"/>
      <c r="T80" s="111"/>
      <c r="U80" s="111"/>
      <c r="V80" s="111"/>
      <c r="W80" s="111"/>
      <c r="X80" s="111"/>
      <c r="Y80" s="111"/>
      <c r="Z80" s="111"/>
      <c r="AA80" s="111"/>
      <c r="AB80" s="111"/>
      <c r="AC80" s="111"/>
      <c r="AD80" s="111"/>
      <c r="AE80" s="111"/>
    </row>
    <row r="81" spans="1:31">
      <c r="A81" s="91" t="s">
        <v>486</v>
      </c>
      <c r="B81" s="106" t="s">
        <v>461</v>
      </c>
      <c r="C81" s="113">
        <f>VLOOKUP($A81,'Group Model'!$1:$1048576,MATCH(C$14,'Group Model'!$1:$1,0),FALSE)</f>
        <v>76.318170790874731</v>
      </c>
      <c r="D81" s="113">
        <f>VLOOKUP($A81,'Group Model'!$1:$1048576,MATCH(D$14,'Group Model'!$1:$1,0),FALSE)</f>
        <v>88.379965582844747</v>
      </c>
      <c r="E81" s="113">
        <f>VLOOKUP($A81,'Group Model'!$1:$1048576,MATCH(E$14,'Group Model'!$1:$1,0),FALSE)</f>
        <v>89.188798417435976</v>
      </c>
      <c r="F81" s="113">
        <f>VLOOKUP($A81,'Group Model'!$1:$1048576,MATCH(F$14,'Group Model'!$1:$1,0),FALSE)</f>
        <v>92.685552673604889</v>
      </c>
      <c r="G81" s="113">
        <f>VLOOKUP($A81,'Group Model'!$1:$1048576,MATCH(G$14,'Group Model'!$1:$1,0),FALSE)</f>
        <v>98.116049593547856</v>
      </c>
      <c r="H81" s="113"/>
      <c r="I81" s="113">
        <f>VLOOKUP($A81,'Group Model'!$1:$1048576,MATCH(I$14,'Group Model'!$1:$1,0),FALSE)</f>
        <v>88.379965582844747</v>
      </c>
      <c r="J81" s="113">
        <f>VLOOKUP($A81,'Group Model'!$1:$1048576,MATCH(J$14,'Group Model'!$1:$1,0),FALSE)</f>
        <v>85.992381534146844</v>
      </c>
      <c r="K81" s="113">
        <f>VLOOKUP($A81,'Group Model'!$1:$1048576,MATCH(K$14,'Group Model'!$1:$1,0),FALSE)</f>
        <v>89.188798417435976</v>
      </c>
      <c r="L81" s="113">
        <f>VLOOKUP($A81,'Group Model'!$1:$1048576,MATCH(L$14,'Group Model'!$1:$1,0),FALSE)</f>
        <v>90.177843879527543</v>
      </c>
      <c r="M81" s="110"/>
      <c r="O81" s="111"/>
      <c r="T81" s="111"/>
      <c r="U81" s="111"/>
      <c r="V81" s="111"/>
      <c r="W81" s="111"/>
      <c r="X81" s="111"/>
      <c r="Y81" s="111"/>
      <c r="Z81" s="111"/>
      <c r="AA81" s="111"/>
      <c r="AB81" s="111"/>
      <c r="AC81" s="111"/>
      <c r="AD81" s="111"/>
      <c r="AE81" s="111"/>
    </row>
    <row r="82" spans="1:31" s="111" customFormat="1">
      <c r="A82" s="91" t="s">
        <v>581</v>
      </c>
      <c r="B82" s="106" t="s">
        <v>569</v>
      </c>
      <c r="C82" s="108">
        <f>VLOOKUP($A82,'Divisional Model'!$1:$1048576,MATCH(C$62,'Divisional Model'!$1:$1,0),FALSE)</f>
        <v>938300</v>
      </c>
      <c r="D82" s="108">
        <f>VLOOKUP($A82,'Divisional Model'!$1:$1048576,MATCH(D$62,'Divisional Model'!$1:$1,0),FALSE)</f>
        <v>941000</v>
      </c>
      <c r="E82" s="108">
        <f>VLOOKUP($A82,'Divisional Model'!$1:$1048576,MATCH(E$62,'Divisional Model'!$1:$1,0),FALSE)</f>
        <v>690398.70521589974</v>
      </c>
      <c r="F82" s="108">
        <f>VLOOKUP($A82,'Divisional Model'!$1:$1048576,MATCH(F$62,'Divisional Model'!$1:$1,0),FALSE)</f>
        <v>724200.28386462713</v>
      </c>
      <c r="G82" s="108">
        <f>VLOOKUP($A82,'Divisional Model'!$1:$1048576,MATCH(G$62,'Divisional Model'!$1:$1,0),FALSE)</f>
        <v>728371.71720265539</v>
      </c>
      <c r="H82" s="106"/>
      <c r="I82" s="108">
        <f>VLOOKUP($A82,'Divisional Model'!$1:$1048576,MATCH(I$62,'Divisional Model'!$1:$1,0),FALSE)</f>
        <v>941000</v>
      </c>
      <c r="J82" s="108">
        <f>VLOOKUP($A82,'Divisional Model'!$1:$1048576,MATCH(J$62,'Divisional Model'!$1:$1,0),FALSE)</f>
        <v>959100</v>
      </c>
      <c r="K82" s="108">
        <f>VLOOKUP($A82,'Divisional Model'!$1:$1048576,MATCH(K$62,'Divisional Model'!$1:$1,0),FALSE)</f>
        <v>690398.70521589974</v>
      </c>
      <c r="L82" s="108">
        <f>VLOOKUP($A82,'Divisional Model'!$1:$1048576,MATCH(L$62,'Divisional Model'!$1:$1,0),FALSE)</f>
        <v>707355.94221240073</v>
      </c>
      <c r="M82" s="137"/>
      <c r="N82" s="106"/>
    </row>
    <row r="83" spans="1:31" s="118" customFormat="1">
      <c r="A83" s="91" t="s">
        <v>582</v>
      </c>
      <c r="B83" s="106" t="s">
        <v>570</v>
      </c>
      <c r="C83" s="108">
        <f>VLOOKUP($A83,'Divisional Model'!$1:$1048576,MATCH(C$62,'Divisional Model'!$1:$1,0),FALSE)</f>
        <v>222300</v>
      </c>
      <c r="D83" s="108">
        <f>VLOOKUP($A83,'Divisional Model'!$1:$1048576,MATCH(D$62,'Divisional Model'!$1:$1,0),FALSE)</f>
        <v>221100</v>
      </c>
      <c r="E83" s="108">
        <f>VLOOKUP($A83,'Divisional Model'!$1:$1048576,MATCH(E$62,'Divisional Model'!$1:$1,0),FALSE)</f>
        <v>230351.60547569915</v>
      </c>
      <c r="F83" s="108">
        <f>VLOOKUP($A83,'Divisional Model'!$1:$1048576,MATCH(F$62,'Divisional Model'!$1:$1,0),FALSE)</f>
        <v>248863.63874193016</v>
      </c>
      <c r="G83" s="108">
        <f>VLOOKUP($A83,'Divisional Model'!$1:$1048576,MATCH(G$62,'Divisional Model'!$1:$1,0),FALSE)</f>
        <v>252830.51168684187</v>
      </c>
      <c r="H83" s="106"/>
      <c r="I83" s="108">
        <f>VLOOKUP($A83,'Divisional Model'!$1:$1048576,MATCH(I$62,'Divisional Model'!$1:$1,0),FALSE)</f>
        <v>221100</v>
      </c>
      <c r="J83" s="108">
        <f>VLOOKUP($A83,'Divisional Model'!$1:$1048576,MATCH(J$62,'Divisional Model'!$1:$1,0),FALSE)</f>
        <v>224600</v>
      </c>
      <c r="K83" s="108">
        <f>VLOOKUP($A83,'Divisional Model'!$1:$1048576,MATCH(K$62,'Divisional Model'!$1:$1,0),FALSE)</f>
        <v>230351.60547569915</v>
      </c>
      <c r="L83" s="108">
        <f>VLOOKUP($A83,'Divisional Model'!$1:$1048576,MATCH(L$62,'Divisional Model'!$1:$1,0),FALSE)</f>
        <v>241285.61892327521</v>
      </c>
      <c r="M83" s="128"/>
      <c r="T83" s="111"/>
      <c r="U83" s="111"/>
      <c r="V83" s="111"/>
      <c r="W83" s="111"/>
      <c r="X83" s="111"/>
      <c r="Y83" s="111"/>
      <c r="Z83" s="111"/>
      <c r="AA83" s="111"/>
      <c r="AB83" s="111"/>
      <c r="AC83" s="111"/>
      <c r="AD83" s="111"/>
      <c r="AE83" s="111"/>
    </row>
    <row r="84" spans="1:31">
      <c r="B84" s="111" t="s">
        <v>571</v>
      </c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10"/>
      <c r="T84" s="111"/>
      <c r="U84" s="111"/>
      <c r="V84" s="111"/>
      <c r="W84" s="111"/>
      <c r="X84" s="111"/>
      <c r="Y84" s="111"/>
      <c r="Z84" s="111"/>
      <c r="AA84" s="111"/>
      <c r="AB84" s="111"/>
      <c r="AC84" s="111"/>
      <c r="AD84" s="111"/>
      <c r="AE84" s="111"/>
    </row>
    <row r="85" spans="1:31" s="111" customFormat="1">
      <c r="A85" s="91" t="s">
        <v>584</v>
      </c>
      <c r="B85" s="106" t="s">
        <v>572</v>
      </c>
      <c r="C85" s="108">
        <f>VLOOKUP($A85,'Group Model'!$1:$1048576,MATCH(C$14,'Group Model'!$1:$1,0),FALSE)</f>
        <v>17708</v>
      </c>
      <c r="D85" s="108">
        <f>VLOOKUP($A85,'Group Model'!$1:$1048576,MATCH(D$14,'Group Model'!$1:$1,0),FALSE)</f>
        <v>19250</v>
      </c>
      <c r="E85" s="108">
        <f>VLOOKUP($A85,'Group Model'!$1:$1048576,MATCH(E$14,'Group Model'!$1:$1,0),FALSE)</f>
        <v>19867.701218939597</v>
      </c>
      <c r="F85" s="108">
        <f>VLOOKUP($A85,'Group Model'!$1:$1048576,MATCH(F$14,'Group Model'!$1:$1,0),FALSE)</f>
        <v>20597.561594599338</v>
      </c>
      <c r="G85" s="108">
        <f>VLOOKUP($A85,'Group Model'!$1:$1048576,MATCH(G$14,'Group Model'!$1:$1,0),FALSE)</f>
        <v>22237.790049826654</v>
      </c>
      <c r="H85" s="108"/>
      <c r="I85" s="108">
        <f>VLOOKUP($A85,'Group Model'!$1:$1048576,MATCH(I$14,'Group Model'!$1:$1,0),FALSE)</f>
        <v>19250</v>
      </c>
      <c r="J85" s="108">
        <f>VLOOKUP($A85,'Group Model'!$1:$1048576,MATCH(J$14,'Group Model'!$1:$1,0),FALSE)</f>
        <v>19123</v>
      </c>
      <c r="K85" s="108">
        <f>VLOOKUP($A85,'Group Model'!$1:$1048576,MATCH(K$14,'Group Model'!$1:$1,0),FALSE)</f>
        <v>19867.701218939597</v>
      </c>
      <c r="L85" s="108">
        <f>VLOOKUP($A85,'Group Model'!$1:$1048576,MATCH(L$14,'Group Model'!$1:$1,0),FALSE)</f>
        <v>19973.155291215386</v>
      </c>
      <c r="M85" s="137"/>
    </row>
    <row r="86" spans="1:31" s="118" customFormat="1">
      <c r="A86" s="91" t="s">
        <v>587</v>
      </c>
      <c r="B86" s="106" t="s">
        <v>1834</v>
      </c>
      <c r="C86" s="108">
        <f>-VLOOKUP($A86,'Group Model'!$1:$1048576,MATCH(C$14,'Group Model'!$1:$1,0),FALSE)</f>
        <v>-13538.49</v>
      </c>
      <c r="D86" s="108">
        <f>-VLOOKUP($A86,'Group Model'!$1:$1048576,MATCH(D$14,'Group Model'!$1:$1,0),FALSE)</f>
        <v>-15683.01</v>
      </c>
      <c r="E86" s="108">
        <f>-VLOOKUP($A86,'Group Model'!$1:$1048576,MATCH(E$14,'Group Model'!$1:$1,0),FALSE)</f>
        <v>-17708.086345877538</v>
      </c>
      <c r="F86" s="108">
        <f>-VLOOKUP($A86,'Group Model'!$1:$1048576,MATCH(F$14,'Group Model'!$1:$1,0),FALSE)</f>
        <v>-18197.662657789668</v>
      </c>
      <c r="G86" s="108">
        <f>-VLOOKUP($A86,'Group Model'!$1:$1048576,MATCH(G$14,'Group Model'!$1:$1,0),FALSE)</f>
        <v>-19222.069024329685</v>
      </c>
      <c r="H86" s="108"/>
      <c r="I86" s="108">
        <f>-VLOOKUP($A86,'Group Model'!$1:$1048576,MATCH(I$14,'Group Model'!$1:$1,0),FALSE)</f>
        <v>-15683.01</v>
      </c>
      <c r="J86" s="108">
        <f>-VLOOKUP($A86,'Group Model'!$1:$1048576,MATCH(J$14,'Group Model'!$1:$1,0),FALSE)</f>
        <v>-16040.955</v>
      </c>
      <c r="K86" s="108">
        <f>-VLOOKUP($A86,'Group Model'!$1:$1048576,MATCH(K$14,'Group Model'!$1:$1,0),FALSE)</f>
        <v>-17708.086345877538</v>
      </c>
      <c r="L86" s="108">
        <f>-VLOOKUP($A86,'Group Model'!$1:$1048576,MATCH(L$14,'Group Model'!$1:$1,0),FALSE)</f>
        <v>-17918.819816228177</v>
      </c>
      <c r="M86" s="128"/>
      <c r="T86" s="111"/>
      <c r="U86" s="111"/>
      <c r="V86" s="111"/>
      <c r="W86" s="111"/>
      <c r="X86" s="111"/>
      <c r="Y86" s="111"/>
      <c r="Z86" s="111"/>
      <c r="AA86" s="111"/>
      <c r="AB86" s="111"/>
      <c r="AC86" s="111"/>
      <c r="AD86" s="111"/>
      <c r="AE86" s="111"/>
    </row>
    <row r="87" spans="1:31" s="111" customFormat="1">
      <c r="A87" s="144"/>
      <c r="B87" s="111" t="s">
        <v>1835</v>
      </c>
      <c r="C87" s="112">
        <f>C85+C86</f>
        <v>4169.51</v>
      </c>
      <c r="D87" s="112">
        <f>D85+D86</f>
        <v>3566.99</v>
      </c>
      <c r="E87" s="112">
        <f>E85+E86</f>
        <v>2159.6148730620589</v>
      </c>
      <c r="F87" s="112">
        <f>F85+F86</f>
        <v>2399.89893680967</v>
      </c>
      <c r="G87" s="112">
        <f>G85+G86</f>
        <v>3015.7210254969687</v>
      </c>
      <c r="H87" s="112"/>
      <c r="I87" s="112">
        <f t="shared" ref="I87:L87" si="10">I85+I86</f>
        <v>3566.99</v>
      </c>
      <c r="J87" s="112">
        <f t="shared" si="10"/>
        <v>3082.0450000000001</v>
      </c>
      <c r="K87" s="112">
        <f t="shared" si="10"/>
        <v>2159.6148730620589</v>
      </c>
      <c r="L87" s="112">
        <f t="shared" si="10"/>
        <v>2054.3354749872087</v>
      </c>
      <c r="M87" s="137"/>
    </row>
    <row r="88" spans="1:31" s="111" customFormat="1">
      <c r="A88" s="91" t="s">
        <v>585</v>
      </c>
      <c r="B88" s="106" t="s">
        <v>573</v>
      </c>
      <c r="C88" s="108">
        <f>VLOOKUP($A88,'Group Model'!$1:$1048576,MATCH(C$14,'Group Model'!$1:$1,0),FALSE)</f>
        <v>15542</v>
      </c>
      <c r="D88" s="108">
        <f>VLOOKUP($A88,'Group Model'!$1:$1048576,MATCH(D$14,'Group Model'!$1:$1,0),FALSE)</f>
        <v>16300</v>
      </c>
      <c r="E88" s="108">
        <f>VLOOKUP($A88,'Group Model'!$1:$1048576,MATCH(E$14,'Group Model'!$1:$1,0),FALSE)</f>
        <v>15906.308473734338</v>
      </c>
      <c r="F88" s="108">
        <f>VLOOKUP($A88,'Group Model'!$1:$1048576,MATCH(F$14,'Group Model'!$1:$1,0),FALSE)</f>
        <v>16019.617201164659</v>
      </c>
      <c r="G88" s="108">
        <f>VLOOKUP($A88,'Group Model'!$1:$1048576,MATCH(G$14,'Group Model'!$1:$1,0),FALSE)</f>
        <v>16225.565353091653</v>
      </c>
      <c r="H88" s="108"/>
      <c r="I88" s="108">
        <f>VLOOKUP($A88,'Group Model'!$1:$1048576,MATCH(I$14,'Group Model'!$1:$1,0),FALSE)</f>
        <v>16300</v>
      </c>
      <c r="J88" s="108">
        <f>VLOOKUP($A88,'Group Model'!$1:$1048576,MATCH(J$14,'Group Model'!$1:$1,0),FALSE)</f>
        <v>15685</v>
      </c>
      <c r="K88" s="108">
        <f>VLOOKUP($A88,'Group Model'!$1:$1048576,MATCH(K$14,'Group Model'!$1:$1,0),FALSE)</f>
        <v>15906.308473734338</v>
      </c>
      <c r="L88" s="108">
        <f>VLOOKUP($A88,'Group Model'!$1:$1048576,MATCH(L$14,'Group Model'!$1:$1,0),FALSE)</f>
        <v>15934.7280314118</v>
      </c>
      <c r="M88" s="137"/>
    </row>
    <row r="89" spans="1:31" s="118" customFormat="1">
      <c r="A89" s="91" t="s">
        <v>588</v>
      </c>
      <c r="B89" s="106" t="s">
        <v>574</v>
      </c>
      <c r="C89" s="108">
        <f>-VLOOKUP($A89,'Group Model'!$1:$1048576,MATCH(C$14,'Group Model'!$1:$1,0),FALSE)</f>
        <v>-11492</v>
      </c>
      <c r="D89" s="108">
        <f>-VLOOKUP($A89,'Group Model'!$1:$1048576,MATCH(D$14,'Group Model'!$1:$1,0),FALSE)</f>
        <v>-12816</v>
      </c>
      <c r="E89" s="108">
        <f>-VLOOKUP($A89,'Group Model'!$1:$1048576,MATCH(E$14,'Group Model'!$1:$1,0),FALSE)</f>
        <v>-14378.122233639282</v>
      </c>
      <c r="F89" s="108">
        <f>-VLOOKUP($A89,'Group Model'!$1:$1048576,MATCH(F$14,'Group Model'!$1:$1,0),FALSE)</f>
        <v>-15497.054575049971</v>
      </c>
      <c r="G89" s="108">
        <f>-VLOOKUP($A89,'Group Model'!$1:$1048576,MATCH(G$14,'Group Model'!$1:$1,0),FALSE)</f>
        <v>-16129.514897598849</v>
      </c>
      <c r="H89" s="108"/>
      <c r="I89" s="108">
        <f>-VLOOKUP($A89,'Group Model'!$1:$1048576,MATCH(I$14,'Group Model'!$1:$1,0),FALSE)</f>
        <v>-12816</v>
      </c>
      <c r="J89" s="108">
        <f>-VLOOKUP($A89,'Group Model'!$1:$1048576,MATCH(J$14,'Group Model'!$1:$1,0),FALSE)</f>
        <v>-13611</v>
      </c>
      <c r="K89" s="108">
        <f>-VLOOKUP($A89,'Group Model'!$1:$1048576,MATCH(K$14,'Group Model'!$1:$1,0),FALSE)</f>
        <v>-14378.122233639282</v>
      </c>
      <c r="L89" s="108">
        <f>-VLOOKUP($A89,'Group Model'!$1:$1048576,MATCH(L$14,'Group Model'!$1:$1,0),FALSE)</f>
        <v>-14985.449072338577</v>
      </c>
      <c r="M89" s="128"/>
    </row>
    <row r="90" spans="1:31" s="111" customFormat="1">
      <c r="A90" s="144"/>
      <c r="B90" s="111" t="s">
        <v>575</v>
      </c>
      <c r="C90" s="112">
        <f>C88+C89</f>
        <v>4050</v>
      </c>
      <c r="D90" s="112">
        <f>D88+D89</f>
        <v>3484</v>
      </c>
      <c r="E90" s="112">
        <f>E88+E89</f>
        <v>1528.1862400950558</v>
      </c>
      <c r="F90" s="112">
        <f>F88+F89</f>
        <v>522.5626261146881</v>
      </c>
      <c r="G90" s="112">
        <f>G88+G89</f>
        <v>96.050455492804758</v>
      </c>
      <c r="H90" s="112"/>
      <c r="I90" s="112">
        <f t="shared" ref="I90" si="11">I88+I89</f>
        <v>3484</v>
      </c>
      <c r="J90" s="112">
        <f t="shared" ref="J90" si="12">J88+J89</f>
        <v>2074</v>
      </c>
      <c r="K90" s="112">
        <f t="shared" ref="K90" si="13">K88+K89</f>
        <v>1528.1862400950558</v>
      </c>
      <c r="L90" s="112">
        <f t="shared" ref="L90" si="14">L88+L89</f>
        <v>949.27895907322272</v>
      </c>
      <c r="M90" s="137"/>
    </row>
    <row r="91" spans="1:31" s="111" customFormat="1">
      <c r="A91" s="144"/>
      <c r="B91" s="111" t="s">
        <v>576</v>
      </c>
      <c r="C91" s="112">
        <f>C87+C90</f>
        <v>8219.51</v>
      </c>
      <c r="D91" s="112">
        <f>D87+D90</f>
        <v>7050.99</v>
      </c>
      <c r="E91" s="112">
        <f>E87+E90</f>
        <v>3687.8011131571147</v>
      </c>
      <c r="F91" s="112">
        <f>F87+F90</f>
        <v>2922.4615629243581</v>
      </c>
      <c r="G91" s="112">
        <f>G87+G90</f>
        <v>3111.7714809897734</v>
      </c>
      <c r="H91" s="112"/>
      <c r="I91" s="112">
        <f t="shared" ref="I91:L91" si="15">I87+I90</f>
        <v>7050.99</v>
      </c>
      <c r="J91" s="112">
        <f t="shared" si="15"/>
        <v>5156.0450000000001</v>
      </c>
      <c r="K91" s="112">
        <f t="shared" si="15"/>
        <v>3687.8011131571147</v>
      </c>
      <c r="L91" s="112">
        <f t="shared" si="15"/>
        <v>3003.6144340604314</v>
      </c>
      <c r="M91" s="137"/>
    </row>
    <row r="94" spans="1:31">
      <c r="B94" s="146" t="s">
        <v>326</v>
      </c>
      <c r="C94" s="147"/>
      <c r="D94" s="147"/>
      <c r="E94" s="147"/>
      <c r="F94" s="147"/>
      <c r="G94" s="147"/>
      <c r="H94" s="147"/>
      <c r="I94" s="147"/>
      <c r="J94" s="147"/>
      <c r="K94" s="147"/>
      <c r="L94" s="147"/>
    </row>
    <row r="96" spans="1:31">
      <c r="B96" s="148" t="s">
        <v>327</v>
      </c>
      <c r="C96" s="149" t="str">
        <f>C$14</f>
        <v>FY24A</v>
      </c>
      <c r="D96" s="149" t="str">
        <f>D$14</f>
        <v>FY25A</v>
      </c>
      <c r="E96" s="149" t="str">
        <f>E$14</f>
        <v>FY26E</v>
      </c>
      <c r="F96" s="149" t="str">
        <f>F$14</f>
        <v>FY27E</v>
      </c>
      <c r="G96" s="149" t="str">
        <f>G$14</f>
        <v>FY28E</v>
      </c>
      <c r="H96" s="107"/>
      <c r="I96" s="149" t="str">
        <f>I$14</f>
        <v>2H25A</v>
      </c>
      <c r="J96" s="149" t="str">
        <f>J$14</f>
        <v>1H26A</v>
      </c>
      <c r="K96" s="149" t="str">
        <f>K$14</f>
        <v>2H26E</v>
      </c>
      <c r="L96" s="149" t="str">
        <f>L$14</f>
        <v>1H27E</v>
      </c>
    </row>
    <row r="97" spans="1:12" s="111" customFormat="1">
      <c r="A97" s="105"/>
      <c r="B97" s="111" t="s">
        <v>328</v>
      </c>
    </row>
    <row r="98" spans="1:12">
      <c r="A98" s="105" t="s">
        <v>329</v>
      </c>
      <c r="B98" s="106" t="s">
        <v>330</v>
      </c>
      <c r="C98" s="109">
        <f>IF(ISERROR(VLOOKUP($A98,'Group Model'!$1:$1048576,MATCH(C$14,'Group Model'!$1:$1,0),FALSE) * 100),"n.a.",VLOOKUP($A98,'Group Model'!$1:$1048576,MATCH(C$14,'Group Model'!$1:$1,0),FALSE) * 100)</f>
        <v>10.519399062154655</v>
      </c>
      <c r="D98" s="109">
        <f>IF(ISERROR(VLOOKUP($A98,'Group Model'!$1:$1048576,MATCH(D$14,'Group Model'!$1:$1,0),FALSE) * 100),"n.a.",VLOOKUP($A98,'Group Model'!$1:$1048576,MATCH(D$14,'Group Model'!$1:$1,0),FALSE) * 100)</f>
        <v>10.507410340536259</v>
      </c>
      <c r="E98" s="109">
        <f>IF(ISERROR(VLOOKUP($A98,'Group Model'!$1:$1048576,MATCH(E$14,'Group Model'!$1:$1,0),FALSE) * 100),"n.a.",VLOOKUP($A98,'Group Model'!$1:$1048576,MATCH(E$14,'Group Model'!$1:$1,0),FALSE) * 100)</f>
        <v>11.648932839877649</v>
      </c>
      <c r="F98" s="109">
        <f>IF(ISERROR(VLOOKUP($A98,'Group Model'!$1:$1048576,MATCH(F$14,'Group Model'!$1:$1,0),FALSE) * 100),"n.a.",VLOOKUP($A98,'Group Model'!$1:$1048576,MATCH(F$14,'Group Model'!$1:$1,0),FALSE) * 100)</f>
        <v>12.473519404583106</v>
      </c>
      <c r="G98" s="109">
        <f>IF(ISERROR(VLOOKUP($A98,'Group Model'!$1:$1048576,MATCH(G$14,'Group Model'!$1:$1,0),FALSE) * 100),"n.a.",VLOOKUP($A98,'Group Model'!$1:$1048576,MATCH(G$14,'Group Model'!$1:$1,0),FALSE) * 100)</f>
        <v>13.060090068123431</v>
      </c>
      <c r="H98" s="109"/>
      <c r="I98" s="109">
        <f>IF(ISERROR(VLOOKUP($A98,'Group Model'!$1:$1048576,MATCH(I$14,'Group Model'!$1:$1,0),FALSE) * 100),"n.a.",VLOOKUP($A98,'Group Model'!$1:$1048576,MATCH(I$14,'Group Model'!$1:$1,0),FALSE) * 100)</f>
        <v>12.467829266292057</v>
      </c>
      <c r="J98" s="109">
        <f>IF(ISERROR(VLOOKUP($A98,'Group Model'!$1:$1048576,MATCH(J$14,'Group Model'!$1:$1,0),FALSE) * 100),"n.a.",VLOOKUP($A98,'Group Model'!$1:$1048576,MATCH(J$14,'Group Model'!$1:$1,0),FALSE) * 100)</f>
        <v>9.4424997758857092</v>
      </c>
      <c r="K98" s="109">
        <f>IF(ISERROR(VLOOKUP($A98,'Group Model'!$1:$1048576,MATCH(K$14,'Group Model'!$1:$1,0),FALSE) * 100),"n.a.",VLOOKUP($A98,'Group Model'!$1:$1048576,MATCH(K$14,'Group Model'!$1:$1,0),FALSE) * 100)</f>
        <v>14.277704169521959</v>
      </c>
      <c r="L98" s="109">
        <f>IF(ISERROR(VLOOKUP($A98,'Group Model'!$1:$1048576,MATCH(L$14,'Group Model'!$1:$1,0),FALSE) * 100),"n.a.",VLOOKUP($A98,'Group Model'!$1:$1048576,MATCH(L$14,'Group Model'!$1:$1,0),FALSE) * 100)</f>
        <v>11.858665773918297</v>
      </c>
    </row>
    <row r="99" spans="1:12">
      <c r="A99" s="105" t="s">
        <v>331</v>
      </c>
      <c r="B99" s="106" t="s">
        <v>332</v>
      </c>
      <c r="C99" s="109">
        <f>IF(ISERROR(VLOOKUP($A99,'Group Model'!$1:$1048576,MATCH(C$14,'Group Model'!$1:$1,0),FALSE) * 100),"n.a.",VLOOKUP($A99,'Group Model'!$1:$1048576,MATCH(C$14,'Group Model'!$1:$1,0),FALSE) * 100)</f>
        <v>12.050501248845245</v>
      </c>
      <c r="D99" s="109">
        <f>IF(ISERROR(VLOOKUP($A99,'Group Model'!$1:$1048576,MATCH(D$14,'Group Model'!$1:$1,0),FALSE) * 100),"n.a.",VLOOKUP($A99,'Group Model'!$1:$1048576,MATCH(D$14,'Group Model'!$1:$1,0),FALSE) * 100)</f>
        <v>11.028647766067982</v>
      </c>
      <c r="E99" s="109">
        <f>IF(ISERROR(VLOOKUP($A99,'Group Model'!$1:$1048576,MATCH(E$14,'Group Model'!$1:$1,0),FALSE) * 100),"n.a.",VLOOKUP($A99,'Group Model'!$1:$1048576,MATCH(E$14,'Group Model'!$1:$1,0),FALSE) * 100)</f>
        <v>12.26949379670479</v>
      </c>
      <c r="F99" s="109">
        <f>IF(ISERROR(VLOOKUP($A99,'Group Model'!$1:$1048576,MATCH(F$14,'Group Model'!$1:$1,0),FALSE) * 100),"n.a.",VLOOKUP($A99,'Group Model'!$1:$1048576,MATCH(F$14,'Group Model'!$1:$1,0),FALSE) * 100)</f>
        <v>13.138215094275848</v>
      </c>
      <c r="G99" s="109">
        <f>IF(ISERROR(VLOOKUP($A99,'Group Model'!$1:$1048576,MATCH(G$14,'Group Model'!$1:$1,0),FALSE) * 100),"n.a.",VLOOKUP($A99,'Group Model'!$1:$1048576,MATCH(G$14,'Group Model'!$1:$1,0),FALSE) * 100)</f>
        <v>13.721901954220165</v>
      </c>
      <c r="H99" s="109"/>
      <c r="I99" s="109">
        <f>IF(ISERROR(VLOOKUP($A99,'Group Model'!$1:$1048576,MATCH(I$14,'Group Model'!$1:$1,0),FALSE) * 100),"n.a.",VLOOKUP($A99,'Group Model'!$1:$1048576,MATCH(I$14,'Group Model'!$1:$1,0),FALSE) * 100)</f>
        <v>13.495743960369092</v>
      </c>
      <c r="J99" s="109">
        <f>IF(ISERROR(VLOOKUP($A99,'Group Model'!$1:$1048576,MATCH(J$14,'Group Model'!$1:$1,0),FALSE) * 100),"n.a.",VLOOKUP($A99,'Group Model'!$1:$1048576,MATCH(J$14,'Group Model'!$1:$1,0),FALSE) * 100)</f>
        <v>9.933663208405072</v>
      </c>
      <c r="K99" s="109">
        <f>IF(ISERROR(VLOOKUP($A99,'Group Model'!$1:$1048576,MATCH(K$14,'Group Model'!$1:$1,0),FALSE) * 100),"n.a.",VLOOKUP($A99,'Group Model'!$1:$1048576,MATCH(K$14,'Group Model'!$1:$1,0),FALSE) * 100)</f>
        <v>15.046877827724259</v>
      </c>
      <c r="L99" s="109">
        <f>IF(ISERROR(VLOOKUP($A99,'Group Model'!$1:$1048576,MATCH(L$14,'Group Model'!$1:$1,0),FALSE) * 100),"n.a.",VLOOKUP($A99,'Group Model'!$1:$1048576,MATCH(L$14,'Group Model'!$1:$1,0),FALSE) * 100)</f>
        <v>12.494037915178886</v>
      </c>
    </row>
    <row r="100" spans="1:12">
      <c r="A100" s="105" t="s">
        <v>333</v>
      </c>
      <c r="B100" s="106" t="s">
        <v>334</v>
      </c>
      <c r="C100" s="109">
        <f>IF(ISERROR(VLOOKUP($A100,'Group Model'!$1:$1048576,MATCH(C$14,'Group Model'!$1:$1,0),FALSE) * 100),"n.a.",VLOOKUP($A100,'Group Model'!$1:$1048576,MATCH(C$14,'Group Model'!$1:$1,0),FALSE) * 100)</f>
        <v>2.7315453939102516</v>
      </c>
      <c r="D100" s="109">
        <f>IF(ISERROR(VLOOKUP($A100,'Group Model'!$1:$1048576,MATCH(D$14,'Group Model'!$1:$1,0),FALSE) * 100),"n.a.",VLOOKUP($A100,'Group Model'!$1:$1048576,MATCH(D$14,'Group Model'!$1:$1,0),FALSE) * 100)</f>
        <v>2.4872457519315487</v>
      </c>
      <c r="E100" s="109">
        <f>IF(ISERROR(VLOOKUP($A100,'Group Model'!$1:$1048576,MATCH(E$14,'Group Model'!$1:$1,0),FALSE) * 100),"n.a.",VLOOKUP($A100,'Group Model'!$1:$1048576,MATCH(E$14,'Group Model'!$1:$1,0),FALSE) * 100)</f>
        <v>2.4636385737892956</v>
      </c>
      <c r="F100" s="109">
        <f>IF(ISERROR(VLOOKUP($A100,'Group Model'!$1:$1048576,MATCH(F$14,'Group Model'!$1:$1,0),FALSE) * 100),"n.a.",VLOOKUP($A100,'Group Model'!$1:$1048576,MATCH(F$14,'Group Model'!$1:$1,0),FALSE) * 100)</f>
        <v>2.6486095792298472</v>
      </c>
      <c r="G100" s="109">
        <f>IF(ISERROR(VLOOKUP($A100,'Group Model'!$1:$1048576,MATCH(G$14,'Group Model'!$1:$1,0),FALSE) * 100),"n.a.",VLOOKUP($A100,'Group Model'!$1:$1048576,MATCH(G$14,'Group Model'!$1:$1,0),FALSE) * 100)</f>
        <v>2.7722945888578701</v>
      </c>
      <c r="H100" s="113"/>
      <c r="I100" s="109">
        <f>IF(ISERROR(VLOOKUP($A100,'Group Model'!$1:$1048576,MATCH(I$14,'Group Model'!$1:$1,0),FALSE) * 100),"n.a.",VLOOKUP($A100,'Group Model'!$1:$1048576,MATCH(I$14,'Group Model'!$1:$1,0),FALSE) * 100)</f>
        <v>2.946248651802267</v>
      </c>
      <c r="J100" s="109">
        <f>IF(ISERROR(VLOOKUP($A100,'Group Model'!$1:$1048576,MATCH(J$14,'Group Model'!$1:$1,0),FALSE) * 100),"n.a.",VLOOKUP($A100,'Group Model'!$1:$1048576,MATCH(J$14,'Group Model'!$1:$1,0),FALSE) * 100)</f>
        <v>2.1851014514488685</v>
      </c>
      <c r="K100" s="109">
        <f>IF(ISERROR(VLOOKUP($A100,'Group Model'!$1:$1048576,MATCH(K$14,'Group Model'!$1:$1,0),FALSE) * 100),"n.a.",VLOOKUP($A100,'Group Model'!$1:$1048576,MATCH(K$14,'Group Model'!$1:$1,0),FALSE) * 100)</f>
        <v>3.1196070401421032</v>
      </c>
      <c r="L100" s="109">
        <f>IF(ISERROR(VLOOKUP($A100,'Group Model'!$1:$1048576,MATCH(L$14,'Group Model'!$1:$1,0),FALSE) * 100),"n.a.",VLOOKUP($A100,'Group Model'!$1:$1048576,MATCH(L$14,'Group Model'!$1:$1,0),FALSE) * 100)</f>
        <v>2.5030929140092022</v>
      </c>
    </row>
    <row r="101" spans="1:12">
      <c r="A101" s="105" t="s">
        <v>335</v>
      </c>
      <c r="B101" s="106" t="s">
        <v>336</v>
      </c>
      <c r="C101" s="109">
        <f>IF(ISERROR(VLOOKUP($A101,'Group Model'!$1:$1048576,MATCH(C$14,'Group Model'!$1:$1,0),FALSE) * 100),"n.a.",VLOOKUP($A101,'Group Model'!$1:$1048576,MATCH(C$14,'Group Model'!$1:$1,0),FALSE) * 100)</f>
        <v>0.87307017282922328</v>
      </c>
      <c r="D101" s="109">
        <f>IF(ISERROR(VLOOKUP($A101,'Group Model'!$1:$1048576,MATCH(D$14,'Group Model'!$1:$1,0),FALSE) * 100),"n.a.",VLOOKUP($A101,'Group Model'!$1:$1048576,MATCH(D$14,'Group Model'!$1:$1,0),FALSE) * 100)</f>
        <v>0.83441706478355693</v>
      </c>
      <c r="E101" s="109">
        <f>IF(ISERROR(VLOOKUP($A101,'Group Model'!$1:$1048576,MATCH(E$14,'Group Model'!$1:$1,0),FALSE) * 100),"n.a.",VLOOKUP($A101,'Group Model'!$1:$1048576,MATCH(E$14,'Group Model'!$1:$1,0),FALSE) * 100)</f>
        <v>0.80865530931174268</v>
      </c>
      <c r="F101" s="109">
        <f>IF(ISERROR(VLOOKUP($A101,'Group Model'!$1:$1048576,MATCH(F$14,'Group Model'!$1:$1,0),FALSE) * 100),"n.a.",VLOOKUP($A101,'Group Model'!$1:$1048576,MATCH(F$14,'Group Model'!$1:$1,0),FALSE) * 100)</f>
        <v>0.8046151034105643</v>
      </c>
      <c r="G101" s="109">
        <f>IF(ISERROR(VLOOKUP($A101,'Group Model'!$1:$1048576,MATCH(G$14,'Group Model'!$1:$1,0),FALSE) * 100),"n.a.",VLOOKUP($A101,'Group Model'!$1:$1048576,MATCH(G$14,'Group Model'!$1:$1,0),FALSE) * 100)</f>
        <v>0.82309738098904472</v>
      </c>
      <c r="H101" s="113"/>
      <c r="I101" s="109">
        <f>IF(ISERROR(VLOOKUP($A101,'Group Model'!$1:$1048576,MATCH(I$14,'Group Model'!$1:$1,0),FALSE) * 100),"n.a.",VLOOKUP($A101,'Group Model'!$1:$1048576,MATCH(I$14,'Group Model'!$1:$1,0),FALSE) * 100)</f>
        <v>0.98135620731532958</v>
      </c>
      <c r="J101" s="109">
        <f>IF(ISERROR(VLOOKUP($A101,'Group Model'!$1:$1048576,MATCH(J$14,'Group Model'!$1:$1,0),FALSE) * 100),"n.a.",VLOOKUP($A101,'Group Model'!$1:$1048576,MATCH(J$14,'Group Model'!$1:$1,0),FALSE) * 100)</f>
        <v>0.71031307859553805</v>
      </c>
      <c r="K101" s="109">
        <f>IF(ISERROR(VLOOKUP($A101,'Group Model'!$1:$1048576,MATCH(K$14,'Group Model'!$1:$1,0),FALSE) * 100),"n.a.",VLOOKUP($A101,'Group Model'!$1:$1048576,MATCH(K$14,'Group Model'!$1:$1,0),FALSE) * 100)</f>
        <v>1.004693542506077</v>
      </c>
      <c r="L101" s="109">
        <f>IF(ISERROR(VLOOKUP($A101,'Group Model'!$1:$1048576,MATCH(L$14,'Group Model'!$1:$1,0),FALSE) * 100),"n.a.",VLOOKUP($A101,'Group Model'!$1:$1048576,MATCH(L$14,'Group Model'!$1:$1,0),FALSE) * 100)</f>
        <v>0.80398868353401753</v>
      </c>
    </row>
    <row r="102" spans="1:12">
      <c r="A102" s="105" t="s">
        <v>337</v>
      </c>
      <c r="B102" s="106" t="s">
        <v>338</v>
      </c>
      <c r="C102" s="109">
        <f>IF(ISERROR(VLOOKUP($A102,'Group Model'!$1:$1048576,MATCH(C$14,'Group Model'!$1:$1,0),FALSE) * 100),"n.a.",VLOOKUP($A102,'Group Model'!$1:$1048576,MATCH(C$14,'Group Model'!$1:$1,0),FALSE) * 100)</f>
        <v>0.88237504697482139</v>
      </c>
      <c r="D102" s="109">
        <f>IF(ISERROR(VLOOKUP($A102,'Group Model'!$1:$1048576,MATCH(D$14,'Group Model'!$1:$1,0),FALSE) * 100),"n.a.",VLOOKUP($A102,'Group Model'!$1:$1048576,MATCH(D$14,'Group Model'!$1:$1,0),FALSE) * 100)</f>
        <v>0.8375605906887611</v>
      </c>
      <c r="E102" s="109">
        <f>IF(ISERROR(VLOOKUP($A102,'Group Model'!$1:$1048576,MATCH(E$14,'Group Model'!$1:$1,0),FALSE) * 100),"n.a.",VLOOKUP($A102,'Group Model'!$1:$1048576,MATCH(E$14,'Group Model'!$1:$1,0),FALSE) * 100)</f>
        <v>0.81150452975613707</v>
      </c>
      <c r="F102" s="109">
        <f>IF(ISERROR(VLOOKUP($A102,'Group Model'!$1:$1048576,MATCH(F$14,'Group Model'!$1:$1,0),FALSE) * 100),"n.a.",VLOOKUP($A102,'Group Model'!$1:$1048576,MATCH(F$14,'Group Model'!$1:$1,0),FALSE) * 100)</f>
        <v>0.80724957484111759</v>
      </c>
      <c r="G102" s="109">
        <f>IF(ISERROR(VLOOKUP($A102,'Group Model'!$1:$1048576,MATCH(G$14,'Group Model'!$1:$1,0),FALSE) * 100),"n.a.",VLOOKUP($A102,'Group Model'!$1:$1048576,MATCH(G$14,'Group Model'!$1:$1,0),FALSE) * 100)</f>
        <v>0.82560694707875659</v>
      </c>
      <c r="H102" s="113"/>
      <c r="I102" s="109">
        <f>IF(ISERROR(VLOOKUP($A102,'Group Model'!$1:$1048576,MATCH(I$14,'Group Model'!$1:$1,0),FALSE) * 100),"n.a.",VLOOKUP($A102,'Group Model'!$1:$1048576,MATCH(I$14,'Group Model'!$1:$1,0),FALSE) * 100)</f>
        <v>0.98727501484812896</v>
      </c>
      <c r="J102" s="109">
        <f>IF(ISERROR(VLOOKUP($A102,'Group Model'!$1:$1048576,MATCH(J$14,'Group Model'!$1:$1,0),FALSE) * 100),"n.a.",VLOOKUP($A102,'Group Model'!$1:$1048576,MATCH(J$14,'Group Model'!$1:$1,0),FALSE) * 100)</f>
        <v>0.71296492022570801</v>
      </c>
      <c r="K102" s="109">
        <f>IF(ISERROR(VLOOKUP($A102,'Group Model'!$1:$1048576,MATCH(K$14,'Group Model'!$1:$1,0),FALSE) * 100),"n.a.",VLOOKUP($A102,'Group Model'!$1:$1048576,MATCH(K$14,'Group Model'!$1:$1,0),FALSE) * 100)</f>
        <v>1.0083205785395692</v>
      </c>
      <c r="L102" s="109">
        <f>IF(ISERROR(VLOOKUP($A102,'Group Model'!$1:$1048576,MATCH(L$14,'Group Model'!$1:$1,0),FALSE) * 100),"n.a.",VLOOKUP($A102,'Group Model'!$1:$1048576,MATCH(L$14,'Group Model'!$1:$1,0),FALSE) * 100)</f>
        <v>0.80677024928747731</v>
      </c>
    </row>
    <row r="103" spans="1:12">
      <c r="A103" s="105" t="s">
        <v>339</v>
      </c>
      <c r="B103" s="106" t="s">
        <v>340</v>
      </c>
      <c r="C103" s="109">
        <f>IF(ISERROR(VLOOKUP($A103,'Group Model'!$1:$1048576,MATCH(C$14,'Group Model'!$1:$1,0),FALSE) * 100),"n.a.",VLOOKUP($A103,'Group Model'!$1:$1048576,MATCH(C$14,'Group Model'!$1:$1,0),FALSE) * 100)</f>
        <v>79.516788061822709</v>
      </c>
      <c r="D103" s="109">
        <f>IF(ISERROR(VLOOKUP($A103,'Group Model'!$1:$1048576,MATCH(D$14,'Group Model'!$1:$1,0),FALSE) * 100),"n.a.",VLOOKUP($A103,'Group Model'!$1:$1048576,MATCH(D$14,'Group Model'!$1:$1,0),FALSE) * 100)</f>
        <v>79.619944211994422</v>
      </c>
      <c r="E103" s="109">
        <f>IF(ISERROR(VLOOKUP($A103,'Group Model'!$1:$1048576,MATCH(E$14,'Group Model'!$1:$1,0),FALSE) * 100),"n.a.",VLOOKUP($A103,'Group Model'!$1:$1048576,MATCH(E$14,'Group Model'!$1:$1,0),FALSE) * 100)</f>
        <v>77.989783680967207</v>
      </c>
      <c r="F103" s="109">
        <f>IF(ISERROR(VLOOKUP($A103,'Group Model'!$1:$1048576,MATCH(F$14,'Group Model'!$1:$1,0),FALSE) * 100),"n.a.",VLOOKUP($A103,'Group Model'!$1:$1048576,MATCH(F$14,'Group Model'!$1:$1,0),FALSE) * 100)</f>
        <v>76.472972365916036</v>
      </c>
      <c r="G103" s="109">
        <f>IF(ISERROR(VLOOKUP($A103,'Group Model'!$1:$1048576,MATCH(G$14,'Group Model'!$1:$1,0),FALSE) * 100),"n.a.",VLOOKUP($A103,'Group Model'!$1:$1048576,MATCH(G$14,'Group Model'!$1:$1,0),FALSE) * 100)</f>
        <v>76.561292664088228</v>
      </c>
      <c r="H103" s="113"/>
      <c r="I103" s="109">
        <f>IF(ISERROR(VLOOKUP($A103,'Group Model'!$1:$1048576,MATCH(I$14,'Group Model'!$1:$1,0),FALSE) * 100),"n.a.",VLOOKUP($A103,'Group Model'!$1:$1048576,MATCH(I$14,'Group Model'!$1:$1,0),FALSE) * 100)</f>
        <v>79.559608540925268</v>
      </c>
      <c r="J103" s="109">
        <f>IF(ISERROR(VLOOKUP($A103,'Group Model'!$1:$1048576,MATCH(J$14,'Group Model'!$1:$1,0),FALSE) * 100),"n.a.",VLOOKUP($A103,'Group Model'!$1:$1048576,MATCH(J$14,'Group Model'!$1:$1,0),FALSE) * 100)</f>
        <v>76.228282130940045</v>
      </c>
      <c r="K103" s="109">
        <f>IF(ISERROR(VLOOKUP($A103,'Group Model'!$1:$1048576,MATCH(K$14,'Group Model'!$1:$1,0),FALSE) * 100),"n.a.",VLOOKUP($A103,'Group Model'!$1:$1048576,MATCH(K$14,'Group Model'!$1:$1,0),FALSE) * 100)</f>
        <v>79.524973810215442</v>
      </c>
      <c r="L103" s="109">
        <f>IF(ISERROR(VLOOKUP($A103,'Group Model'!$1:$1048576,MATCH(L$14,'Group Model'!$1:$1,0),FALSE) * 100),"n.a.",VLOOKUP($A103,'Group Model'!$1:$1048576,MATCH(L$14,'Group Model'!$1:$1,0),FALSE) * 100)</f>
        <v>76.189735744270166</v>
      </c>
    </row>
    <row r="104" spans="1:12">
      <c r="A104" s="91" t="s">
        <v>596</v>
      </c>
      <c r="B104" s="106" t="s">
        <v>595</v>
      </c>
      <c r="C104" s="108">
        <f>IF(ISERROR(VLOOKUP($A104,'Group Model'!$1:$1048576,MATCH(C$14,'Group Model'!$1:$1,0),FALSE) * 1),"n.a.",VLOOKUP($A104,'Group Model'!$1:$1048576,MATCH(C$14,'Group Model'!$1:$1,0),FALSE) * 1)</f>
        <v>820255.00910746807</v>
      </c>
      <c r="D104" s="108">
        <f>IF(ISERROR(VLOOKUP($A104,'Group Model'!$1:$1048576,MATCH(D$14,'Group Model'!$1:$1,0),FALSE) * 1),"n.a.",VLOOKUP($A104,'Group Model'!$1:$1048576,MATCH(D$14,'Group Model'!$1:$1,0),FALSE) * 1)</f>
        <v>851860.10247271101</v>
      </c>
      <c r="E104" s="108">
        <f>IF(ISERROR(VLOOKUP($A104,'Group Model'!$1:$1048576,MATCH(E$14,'Group Model'!$1:$1,0),FALSE) * 1),"n.a.",VLOOKUP($A104,'Group Model'!$1:$1048576,MATCH(E$14,'Group Model'!$1:$1,0),FALSE) * 1)</f>
        <v>960713.02358390903</v>
      </c>
      <c r="F104" s="108">
        <f>IF(ISERROR(VLOOKUP($A104,'Group Model'!$1:$1048576,MATCH(F$14,'Group Model'!$1:$1,0),FALSE) * 1),"n.a.",VLOOKUP($A104,'Group Model'!$1:$1048576,MATCH(F$14,'Group Model'!$1:$1,0),FALSE) * 1)</f>
        <v>975295.62811741151</v>
      </c>
      <c r="G104" s="108">
        <f>IF(ISERROR(VLOOKUP($A104,'Group Model'!$1:$1048576,MATCH(G$14,'Group Model'!$1:$1,0),FALSE) * 1),"n.a.",VLOOKUP($A104,'Group Model'!$1:$1048576,MATCH(G$14,'Group Model'!$1:$1,0),FALSE) * 1)</f>
        <v>1022770.5169970493</v>
      </c>
      <c r="H104" s="108"/>
      <c r="I104" s="108">
        <f>IF(ISERROR(VLOOKUP($A104,'Group Model'!$1:$1048576,MATCH(I$14,'Group Model'!$1:$1,0),FALSE) * 1),"n.a.",VLOOKUP($A104,'Group Model'!$1:$1048576,MATCH(I$14,'Group Model'!$1:$1,0),FALSE) * 1)</f>
        <v>906474.6452903687</v>
      </c>
      <c r="J104" s="108">
        <f>IF(ISERROR(VLOOKUP($A104,'Group Model'!$1:$1048576,MATCH(J$14,'Group Model'!$1:$1,0),FALSE) * 1),"n.a.",VLOOKUP($A104,'Group Model'!$1:$1048576,MATCH(J$14,'Group Model'!$1:$1,0),FALSE) * 1)</f>
        <v>876454.04978872044</v>
      </c>
      <c r="K104" s="108">
        <f>IF(ISERROR(VLOOKUP($A104,'Group Model'!$1:$1048576,MATCH(K$14,'Group Model'!$1:$1,0),FALSE) * 1),"n.a.",VLOOKUP($A104,'Group Model'!$1:$1048576,MATCH(K$14,'Group Model'!$1:$1,0),FALSE) * 1)</f>
        <v>1027210.8809803367</v>
      </c>
      <c r="L104" s="108">
        <f>IF(ISERROR(VLOOKUP($A104,'Group Model'!$1:$1048576,MATCH(L$14,'Group Model'!$1:$1,0),FALSE) * 1),"n.a.",VLOOKUP($A104,'Group Model'!$1:$1048576,MATCH(L$14,'Group Model'!$1:$1,0),FALSE) * 1)</f>
        <v>954029.36019024823</v>
      </c>
    </row>
    <row r="105" spans="1:12">
      <c r="A105" s="91" t="s">
        <v>591</v>
      </c>
      <c r="B105" s="106" t="s">
        <v>1107</v>
      </c>
      <c r="C105" s="109">
        <f>IF(ISERROR(VLOOKUP($A105,'Group Model'!$1:$1048576,MATCH(C$14,'Group Model'!$1:$1,0),FALSE) * 100),"n.a.",VLOOKUP($A105,'Group Model'!$1:$1048576,MATCH(C$14,'Group Model'!$1:$1,0),FALSE) * 100)</f>
        <v>43.068632676022979</v>
      </c>
      <c r="D105" s="109">
        <f>IF(ISERROR(VLOOKUP($A105,'Group Model'!$1:$1048576,MATCH(D$14,'Group Model'!$1:$1,0),FALSE) * 100),"n.a.",VLOOKUP($A105,'Group Model'!$1:$1048576,MATCH(D$14,'Group Model'!$1:$1,0),FALSE) * 100)</f>
        <v>42.015341701534169</v>
      </c>
      <c r="E105" s="109">
        <f>IF(ISERROR(VLOOKUP($A105,'Group Model'!$1:$1048576,MATCH(E$14,'Group Model'!$1:$1,0),FALSE) * 100),"n.a.",VLOOKUP($A105,'Group Model'!$1:$1048576,MATCH(E$14,'Group Model'!$1:$1,0),FALSE) * 100)</f>
        <v>39.883279545548298</v>
      </c>
      <c r="F105" s="109">
        <f>IF(ISERROR(VLOOKUP($A105,'Group Model'!$1:$1048576,MATCH(F$14,'Group Model'!$1:$1,0),FALSE) * 100),"n.a.",VLOOKUP($A105,'Group Model'!$1:$1048576,MATCH(F$14,'Group Model'!$1:$1,0),FALSE) * 100)</f>
        <v>39.293037664608185</v>
      </c>
      <c r="G105" s="109">
        <f>IF(ISERROR(VLOOKUP($A105,'Group Model'!$1:$1048576,MATCH(G$14,'Group Model'!$1:$1,0),FALSE) * 100),"n.a.",VLOOKUP($A105,'Group Model'!$1:$1048576,MATCH(G$14,'Group Model'!$1:$1,0),FALSE) * 100)</f>
        <v>38.687729754169965</v>
      </c>
      <c r="H105" s="113"/>
      <c r="I105" s="109">
        <f>IF(ISERROR(VLOOKUP($A105,'Group Model'!$1:$1048576,MATCH(I$14,'Group Model'!$1:$1,0),FALSE) * 100),"n.a.",VLOOKUP($A105,'Group Model'!$1:$1048576,MATCH(I$14,'Group Model'!$1:$1,0),FALSE) * 100)</f>
        <v>41.02535587188612</v>
      </c>
      <c r="J105" s="109">
        <f>IF(ISERROR(VLOOKUP($A105,'Group Model'!$1:$1048576,MATCH(J$14,'Group Model'!$1:$1,0),FALSE) * 100),"n.a.",VLOOKUP($A105,'Group Model'!$1:$1048576,MATCH(J$14,'Group Model'!$1:$1,0),FALSE) * 100)</f>
        <v>42.963985732366815</v>
      </c>
      <c r="K105" s="109">
        <f>IF(ISERROR(VLOOKUP($A105,'Group Model'!$1:$1048576,MATCH(K$14,'Group Model'!$1:$1,0),FALSE) * 100),"n.a.",VLOOKUP($A105,'Group Model'!$1:$1048576,MATCH(K$14,'Group Model'!$1:$1,0),FALSE) * 100)</f>
        <v>37.198371474337783</v>
      </c>
      <c r="L105" s="109">
        <f>IF(ISERROR(VLOOKUP($A105,'Group Model'!$1:$1048576,MATCH(L$14,'Group Model'!$1:$1,0),FALSE) * 100),"n.a.",VLOOKUP($A105,'Group Model'!$1:$1048576,MATCH(L$14,'Group Model'!$1:$1,0),FALSE) * 100)</f>
        <v>39.595358366173464</v>
      </c>
    </row>
    <row r="106" spans="1:12">
      <c r="A106" s="91" t="s">
        <v>598</v>
      </c>
      <c r="B106" s="106" t="s">
        <v>597</v>
      </c>
      <c r="C106" s="108">
        <f>IF(ISERROR(VLOOKUP($A106,'Group Model'!$1:$1048576,MATCH(C$14,'Group Model'!$1:$1,0),FALSE) * 1),"n.a.",VLOOKUP($A106,'Group Model'!$1:$1048576,MATCH(C$14,'Group Model'!$1:$1,0),FALSE) * 1)</f>
        <v>375130.54037644202</v>
      </c>
      <c r="D106" s="108">
        <f>IF(ISERROR(VLOOKUP($A106,'Group Model'!$1:$1048576,MATCH(D$14,'Group Model'!$1:$1,0),FALSE) * 1),"n.a.",VLOOKUP($A106,'Group Model'!$1:$1048576,MATCH(D$14,'Group Model'!$1:$1,0),FALSE) * 1)</f>
        <v>388142.89333671145</v>
      </c>
      <c r="E106" s="108">
        <f>IF(ISERROR(VLOOKUP($A106,'Group Model'!$1:$1048576,MATCH(E$14,'Group Model'!$1:$1,0),FALSE) * 1),"n.a.",VLOOKUP($A106,'Group Model'!$1:$1048576,MATCH(E$14,'Group Model'!$1:$1,0),FALSE) * 1)</f>
        <v>412497.21267320449</v>
      </c>
      <c r="F106" s="108" t="str">
        <f>IF(ISERROR(VLOOKUP($A106,'Group Model'!$1:$1048576,MATCH(F$14,'Group Model'!$1:$1,0),FALSE) * 1),"n.a.",VLOOKUP($A106,'Group Model'!$1:$1048576,MATCH(F$14,'Group Model'!$1:$1,0),FALSE) * 1)</f>
        <v>n.a.</v>
      </c>
      <c r="G106" s="108" t="str">
        <f>IF(ISERROR(VLOOKUP($A106,'Group Model'!$1:$1048576,MATCH(G$14,'Group Model'!$1:$1,0),FALSE) * 1),"n.a.",VLOOKUP($A106,'Group Model'!$1:$1048576,MATCH(G$14,'Group Model'!$1:$1,0),FALSE) * 1)</f>
        <v>n.a.</v>
      </c>
      <c r="H106" s="108"/>
      <c r="I106" s="108">
        <f>IF(ISERROR(VLOOKUP($A106,'Group Model'!$1:$1048576,MATCH(I$14,'Group Model'!$1:$1,0),FALSE) * 1),"n.a.",VLOOKUP($A106,'Group Model'!$1:$1048576,MATCH(I$14,'Group Model'!$1:$1,0),FALSE) * 1)</f>
        <v>393558.38692322053</v>
      </c>
      <c r="J106" s="108">
        <f>IF(ISERROR(VLOOKUP($A106,'Group Model'!$1:$1048576,MATCH(J$14,'Group Model'!$1:$1,0),FALSE) * 1),"n.a.",VLOOKUP($A106,'Group Model'!$1:$1048576,MATCH(J$14,'Group Model'!$1:$1,0),FALSE) * 1)</f>
        <v>398947.44229250692</v>
      </c>
      <c r="K106" s="108">
        <f>IF(ISERROR(VLOOKUP($A106,'Group Model'!$1:$1048576,MATCH(K$14,'Group Model'!$1:$1,0),FALSE) * 1),"n.a.",VLOOKUP($A106,'Group Model'!$1:$1048576,MATCH(K$14,'Group Model'!$1:$1,0),FALSE) * 1)</f>
        <v>404823.30628734076</v>
      </c>
      <c r="L106" s="108">
        <f>IF(ISERROR(VLOOKUP($A106,'Group Model'!$1:$1048576,MATCH(L$14,'Group Model'!$1:$1,0),FALSE) * 1),"n.a.",VLOOKUP($A106,'Group Model'!$1:$1048576,MATCH(L$14,'Group Model'!$1:$1,0),FALSE) * 1)</f>
        <v>400210.04745677166</v>
      </c>
    </row>
    <row r="107" spans="1:12">
      <c r="A107" s="91" t="s">
        <v>592</v>
      </c>
      <c r="B107" s="106" t="s">
        <v>590</v>
      </c>
      <c r="C107" s="109">
        <f>IF(ISERROR(VLOOKUP($A107,'Group Model'!$1:$1048576,MATCH(C$14,'Group Model'!$1:$1,0),FALSE) * 100),"n.a.",VLOOKUP($A107,'Group Model'!$1:$1048576,MATCH(C$14,'Group Model'!$1:$1,0),FALSE) * 100)</f>
        <v>1.0753487818663177</v>
      </c>
      <c r="D107" s="109">
        <f>IF(ISERROR(VLOOKUP($A107,'Group Model'!$1:$1048576,MATCH(D$14,'Group Model'!$1:$1,0),FALSE) * 100),"n.a.",VLOOKUP($A107,'Group Model'!$1:$1048576,MATCH(D$14,'Group Model'!$1:$1,0),FALSE) * 100)</f>
        <v>1.0062418439381791</v>
      </c>
      <c r="E107" s="109">
        <f>IF(ISERROR(VLOOKUP($A107,'Group Model'!$1:$1048576,MATCH(E$14,'Group Model'!$1:$1,0),FALSE) * 100),"n.a.",VLOOKUP($A107,'Group Model'!$1:$1048576,MATCH(E$14,'Group Model'!$1:$1,0),FALSE) * 100)</f>
        <v>0.91800794330816371</v>
      </c>
      <c r="F107" s="109">
        <f>IF(ISERROR(VLOOKUP($A107,'Group Model'!$1:$1048576,MATCH(F$14,'Group Model'!$1:$1,0),FALSE) * 100),"n.a.",VLOOKUP($A107,'Group Model'!$1:$1048576,MATCH(F$14,'Group Model'!$1:$1,0),FALSE) * 100)</f>
        <v>0.81586182969198628</v>
      </c>
      <c r="G107" s="109">
        <f>IF(ISERROR(VLOOKUP($A107,'Group Model'!$1:$1048576,MATCH(G$14,'Group Model'!$1:$1,0),FALSE) * 100),"n.a.",VLOOKUP($A107,'Group Model'!$1:$1048576,MATCH(G$14,'Group Model'!$1:$1,0),FALSE) * 100)</f>
        <v>0.76968809559446871</v>
      </c>
      <c r="H107" s="113"/>
      <c r="I107" s="109">
        <f>IF(ISERROR(VLOOKUP($A107,'Group Model'!$1:$1048576,MATCH(I$14,'Group Model'!$1:$1,0),FALSE) * 100),"n.a.",VLOOKUP($A107,'Group Model'!$1:$1048576,MATCH(I$14,'Group Model'!$1:$1,0),FALSE) * 100)</f>
        <v>1.0812184176650588</v>
      </c>
      <c r="J107" s="109">
        <f>IF(ISERROR(VLOOKUP($A107,'Group Model'!$1:$1048576,MATCH(J$14,'Group Model'!$1:$1,0),FALSE) * 100),"n.a.",VLOOKUP($A107,'Group Model'!$1:$1048576,MATCH(J$14,'Group Model'!$1:$1,0),FALSE) * 100)</f>
        <v>0.97984577548858809</v>
      </c>
      <c r="K107" s="109">
        <f>IF(ISERROR(VLOOKUP($A107,'Group Model'!$1:$1048576,MATCH(K$14,'Group Model'!$1:$1,0),FALSE) * 100),"n.a.",VLOOKUP($A107,'Group Model'!$1:$1048576,MATCH(K$14,'Group Model'!$1:$1,0),FALSE) * 100)</f>
        <v>0.97811062968521933</v>
      </c>
      <c r="L107" s="109">
        <f>IF(ISERROR(VLOOKUP($A107,'Group Model'!$1:$1048576,MATCH(L$14,'Group Model'!$1:$1,0),FALSE) * 100),"n.a.",VLOOKUP($A107,'Group Model'!$1:$1048576,MATCH(L$14,'Group Model'!$1:$1,0),FALSE) * 100)</f>
        <v>0.84564501597993114</v>
      </c>
    </row>
    <row r="108" spans="1:12" s="111" customFormat="1">
      <c r="A108" s="105" t="s">
        <v>341</v>
      </c>
      <c r="B108" s="106" t="s">
        <v>342</v>
      </c>
      <c r="C108" s="109">
        <f>IF(ISERROR(VLOOKUP($A108,'Group Model'!$1:$1048576,MATCH(C$14,'Group Model'!$1:$1,0),FALSE) * 100),"n.a.",VLOOKUP($A108,'Group Model'!$1:$1048576,MATCH(C$14,'Group Model'!$1:$1,0),FALSE) * 100)</f>
        <v>71.421803754367261</v>
      </c>
      <c r="D108" s="109">
        <f>IF(ISERROR(VLOOKUP($A108,'Group Model'!$1:$1048576,MATCH(D$14,'Group Model'!$1:$1,0),FALSE) * 100),"n.a.",VLOOKUP($A108,'Group Model'!$1:$1048576,MATCH(D$14,'Group Model'!$1:$1,0),FALSE) * 100)</f>
        <v>70.548582054858215</v>
      </c>
      <c r="E108" s="109">
        <f>IF(ISERROR(VLOOKUP($A108,'Group Model'!$1:$1048576,MATCH(E$14,'Group Model'!$1:$1,0),FALSE) * 100),"n.a.",VLOOKUP($A108,'Group Model'!$1:$1048576,MATCH(E$14,'Group Model'!$1:$1,0),FALSE) * 100)</f>
        <v>67.52746438922928</v>
      </c>
      <c r="F108" s="109">
        <f>IF(ISERROR(VLOOKUP($A108,'Group Model'!$1:$1048576,MATCH(F$14,'Group Model'!$1:$1,0),FALSE) * 100),"n.a.",VLOOKUP($A108,'Group Model'!$1:$1048576,MATCH(F$14,'Group Model'!$1:$1,0),FALSE) * 100)</f>
        <v>66.410454001655808</v>
      </c>
      <c r="G108" s="109">
        <f>IF(ISERROR(VLOOKUP($A108,'Group Model'!$1:$1048576,MATCH(G$14,'Group Model'!$1:$1,0),FALSE) * 100),"n.a.",VLOOKUP($A108,'Group Model'!$1:$1048576,MATCH(G$14,'Group Model'!$1:$1,0),FALSE) * 100)</f>
        <v>64.905656020401821</v>
      </c>
      <c r="H108" s="113"/>
      <c r="I108" s="109">
        <f>IF(ISERROR(VLOOKUP($A108,'Group Model'!$1:$1048576,MATCH(I$14,'Group Model'!$1:$1,0),FALSE) * 100),"n.a.",VLOOKUP($A108,'Group Model'!$1:$1048576,MATCH(I$14,'Group Model'!$1:$1,0),FALSE) * 100)</f>
        <v>69.183718861209968</v>
      </c>
      <c r="J108" s="109">
        <f>IF(ISERROR(VLOOKUP($A108,'Group Model'!$1:$1048576,MATCH(J$14,'Group Model'!$1:$1,0),FALSE) * 100),"n.a.",VLOOKUP($A108,'Group Model'!$1:$1048576,MATCH(J$14,'Group Model'!$1:$1,0),FALSE) * 100)</f>
        <v>71.786905994707169</v>
      </c>
      <c r="K108" s="109">
        <f>IF(ISERROR(VLOOKUP($A108,'Group Model'!$1:$1048576,MATCH(K$14,'Group Model'!$1:$1,0),FALSE) * 100),"n.a.",VLOOKUP($A108,'Group Model'!$1:$1048576,MATCH(K$14,'Group Model'!$1:$1,0),FALSE) * 100)</f>
        <v>63.815260611300104</v>
      </c>
      <c r="L108" s="109">
        <f>IF(ISERROR(VLOOKUP($A108,'Group Model'!$1:$1048576,MATCH(L$14,'Group Model'!$1:$1,0),FALSE) * 100),"n.a.",VLOOKUP($A108,'Group Model'!$1:$1048576,MATCH(L$14,'Group Model'!$1:$1,0),FALSE) * 100)</f>
        <v>66.393985056332639</v>
      </c>
    </row>
    <row r="109" spans="1:12">
      <c r="A109" s="105" t="s">
        <v>343</v>
      </c>
      <c r="B109" s="106" t="s">
        <v>344</v>
      </c>
      <c r="C109" s="109">
        <f>IF(ISERROR(VLOOKUP($A109,'Group Model'!$1:$1048576,MATCH(C$14,'Group Model'!$1:$1,0),FALSE) * 100),"n.a.",VLOOKUP($A109,'Group Model'!$1:$1048576,MATCH(C$14,'Group Model'!$1:$1,0),FALSE) * 100)</f>
        <v>-11.119270345754895</v>
      </c>
      <c r="D109" s="109">
        <f>IF(ISERROR(VLOOKUP($A109,'Group Model'!$1:$1048576,MATCH(D$14,'Group Model'!$1:$1,0),FALSE) * 100),"n.a.",VLOOKUP($A109,'Group Model'!$1:$1048576,MATCH(D$14,'Group Model'!$1:$1,0),FALSE) * 100)</f>
        <v>1.2458667610605989</v>
      </c>
      <c r="E109" s="109">
        <f>IF(ISERROR(VLOOKUP($A109,'Group Model'!$1:$1048576,MATCH(E$14,'Group Model'!$1:$1,0),FALSE) * 100),"n.a.",VLOOKUP($A109,'Group Model'!$1:$1048576,MATCH(E$14,'Group Model'!$1:$1,0),FALSE) * 100)</f>
        <v>4.6444561420311059</v>
      </c>
      <c r="F109" s="109">
        <f>IF(ISERROR(VLOOKUP($A109,'Group Model'!$1:$1048576,MATCH(F$14,'Group Model'!$1:$1,0),FALSE) * 100),"n.a.",VLOOKUP($A109,'Group Model'!$1:$1048576,MATCH(F$14,'Group Model'!$1:$1,0),FALSE) * 100)</f>
        <v>1.6647132775978624</v>
      </c>
      <c r="G109" s="109">
        <f>IF(ISERROR(VLOOKUP($A109,'Group Model'!$1:$1048576,MATCH(G$14,'Group Model'!$1:$1,0),FALSE) * 100),"n.a.",VLOOKUP($A109,'Group Model'!$1:$1048576,MATCH(G$14,'Group Model'!$1:$1,0),FALSE) * 100)</f>
        <v>2.3937881702580155</v>
      </c>
      <c r="H109" s="113"/>
      <c r="I109" s="109">
        <f>IF(ISERROR(VLOOKUP($A109,'Group Model'!$1:$1048576,MATCH(I$14,'Group Model'!$1:$1,0),FALSE) * 100),"n.a.",VLOOKUP($A109,'Group Model'!$1:$1048576,MATCH(I$14,'Group Model'!$1:$1,0),FALSE) * 100)</f>
        <v>4.3427721826613253</v>
      </c>
      <c r="J109" s="109">
        <f>IF(ISERROR(VLOOKUP($A109,'Group Model'!$1:$1048576,MATCH(J$14,'Group Model'!$1:$1,0),FALSE) * 100),"n.a.",VLOOKUP($A109,'Group Model'!$1:$1048576,MATCH(J$14,'Group Model'!$1:$1,0),FALSE) * 100)</f>
        <v>-3.6367624782549846</v>
      </c>
      <c r="K109" s="109">
        <f>IF(ISERROR(VLOOKUP($A109,'Group Model'!$1:$1048576,MATCH(K$14,'Group Model'!$1:$1,0),FALSE) * 100),"n.a.",VLOOKUP($A109,'Group Model'!$1:$1048576,MATCH(K$14,'Group Model'!$1:$1,0),FALSE) * 100)</f>
        <v>12.74158910139338</v>
      </c>
      <c r="L109" s="109">
        <f>IF(ISERROR(VLOOKUP($A109,'Group Model'!$1:$1048576,MATCH(L$14,'Group Model'!$1:$1,0),FALSE) * 100),"n.a.",VLOOKUP($A109,'Group Model'!$1:$1048576,MATCH(L$14,'Group Model'!$1:$1,0),FALSE) * 100)</f>
        <v>-3.7122748788792403</v>
      </c>
    </row>
    <row r="110" spans="1:12">
      <c r="A110" s="91" t="s">
        <v>600</v>
      </c>
      <c r="B110" s="106" t="s">
        <v>599</v>
      </c>
      <c r="C110" s="108">
        <f>IF(ISERROR(VLOOKUP($A110,'Group Model'!$1:$1048576,MATCH(C$14,'Group Model'!$1:$1,0),FALSE) * 1),"n.a.",VLOOKUP($A110,'Group Model'!$1:$1048576,MATCH(C$14,'Group Model'!$1:$1,0),FALSE) * 1)</f>
        <v>171074.68123861565</v>
      </c>
      <c r="D110" s="108">
        <f>IF(ISERROR(VLOOKUP($A110,'Group Model'!$1:$1048576,MATCH(D$14,'Group Model'!$1:$1,0),FALSE) * 1),"n.a.",VLOOKUP($A110,'Group Model'!$1:$1048576,MATCH(D$14,'Group Model'!$1:$1,0),FALSE) * 1)</f>
        <v>188244.23612870532</v>
      </c>
      <c r="E110" s="108">
        <f>IF(ISERROR(VLOOKUP($A110,'Group Model'!$1:$1048576,MATCH(E$14,'Group Model'!$1:$1,0),FALSE) * 1),"n.a.",VLOOKUP($A110,'Group Model'!$1:$1048576,MATCH(E$14,'Group Model'!$1:$1,0),FALSE) * 1)</f>
        <v>217330.96138093932</v>
      </c>
      <c r="F110" s="108">
        <f>IF(ISERROR(VLOOKUP($A110,'Group Model'!$1:$1048576,MATCH(F$14,'Group Model'!$1:$1,0),FALSE) * 1),"n.a.",VLOOKUP($A110,'Group Model'!$1:$1048576,MATCH(F$14,'Group Model'!$1:$1,0),FALSE) * 1)</f>
        <v>238359.21533329188</v>
      </c>
      <c r="G110" s="108">
        <f>IF(ISERROR(VLOOKUP($A110,'Group Model'!$1:$1048576,MATCH(G$14,'Group Model'!$1:$1,0),FALSE) * 1),"n.a.",VLOOKUP($A110,'Group Model'!$1:$1048576,MATCH(G$14,'Group Model'!$1:$1,0),FALSE) * 1)</f>
        <v>261598.8668898654</v>
      </c>
      <c r="H110" s="108"/>
      <c r="I110" s="108">
        <f>IF(ISERROR(VLOOKUP($A110,'Group Model'!$1:$1048576,MATCH(I$14,'Group Model'!$1:$1,0),FALSE) * 1),"n.a.",VLOOKUP($A110,'Group Model'!$1:$1048576,MATCH(I$14,'Group Model'!$1:$1,0),FALSE) * 1)</f>
        <v>212001.35443123282</v>
      </c>
      <c r="J110" s="108">
        <f>IF(ISERROR(VLOOKUP($A110,'Group Model'!$1:$1048576,MATCH(J$14,'Group Model'!$1:$1,0),FALSE) * 1),"n.a.",VLOOKUP($A110,'Group Model'!$1:$1048576,MATCH(J$14,'Group Model'!$1:$1,0),FALSE) * 1)</f>
        <v>166900.40874471661</v>
      </c>
      <c r="K110" s="108">
        <f>IF(ISERROR(VLOOKUP($A110,'Group Model'!$1:$1048576,MATCH(K$14,'Group Model'!$1:$1,0),FALSE) * 1),"n.a.",VLOOKUP($A110,'Group Model'!$1:$1048576,MATCH(K$14,'Group Model'!$1:$1,0),FALSE) * 1)</f>
        <v>257507.31022917479</v>
      </c>
      <c r="L110" s="108">
        <f>IF(ISERROR(VLOOKUP($A110,'Group Model'!$1:$1048576,MATCH(L$14,'Group Model'!$1:$1,0),FALSE) * 1),"n.a.",VLOOKUP($A110,'Group Model'!$1:$1048576,MATCH(L$14,'Group Model'!$1:$1,0),FALSE) * 1)</f>
        <v>221720.27307452544</v>
      </c>
    </row>
    <row r="111" spans="1:12">
      <c r="B111" s="111" t="s">
        <v>74</v>
      </c>
    </row>
    <row r="112" spans="1:12">
      <c r="A112" s="105" t="s">
        <v>345</v>
      </c>
      <c r="B112" s="106" t="s">
        <v>346</v>
      </c>
      <c r="C112" s="113">
        <f>IF(ISERROR(VLOOKUP($A112,'Group Model'!$1:$1048576,MATCH(C$14,'Group Model'!$1:$1,0),FALSE) * 100),"n.a.",VLOOKUP($A112,'Group Model'!$1:$1048576,MATCH(C$14,'Group Model'!$1:$1,0),FALSE) * 100)</f>
        <v>-0.13607679266999678</v>
      </c>
      <c r="D112" s="113">
        <f>IF(ISERROR(VLOOKUP($A112,'Group Model'!$1:$1048576,MATCH(D$14,'Group Model'!$1:$1,0),FALSE) * 100),"n.a.",VLOOKUP($A112,'Group Model'!$1:$1048576,MATCH(D$14,'Group Model'!$1:$1,0),FALSE) * 100)</f>
        <v>0.15657823076324595</v>
      </c>
      <c r="E112" s="113">
        <f>IF(ISERROR(VLOOKUP($A112,'Group Model'!$1:$1048576,MATCH(E$14,'Group Model'!$1:$1,0),FALSE) * 100),"n.a.",VLOOKUP($A112,'Group Model'!$1:$1048576,MATCH(E$14,'Group Model'!$1:$1,0),FALSE) * 100)</f>
        <v>0.12920983191446675</v>
      </c>
      <c r="F112" s="113">
        <f>IF(ISERROR(VLOOKUP($A112,'Group Model'!$1:$1048576,MATCH(F$14,'Group Model'!$1:$1,0),FALSE) * 100),"n.a.",VLOOKUP($A112,'Group Model'!$1:$1048576,MATCH(F$14,'Group Model'!$1:$1,0),FALSE) * 100)</f>
        <v>0.10044295013026887</v>
      </c>
      <c r="G112" s="113">
        <f>IF(ISERROR(VLOOKUP($A112,'Group Model'!$1:$1048576,MATCH(G$14,'Group Model'!$1:$1,0),FALSE) * 100),"n.a.",VLOOKUP($A112,'Group Model'!$1:$1048576,MATCH(G$14,'Group Model'!$1:$1,0),FALSE) * 100)</f>
        <v>9.2644009995814916E-2</v>
      </c>
      <c r="H112" s="113"/>
      <c r="I112" s="113">
        <f>IF(ISERROR(VLOOKUP($A112,'Group Model'!$1:$1048576,MATCH(I$14,'Group Model'!$1:$1,0),FALSE) * 100),"n.a.",VLOOKUP($A112,'Group Model'!$1:$1048576,MATCH(I$14,'Group Model'!$1:$1,0),FALSE) * 100)</f>
        <v>0.15320345485963038</v>
      </c>
      <c r="J112" s="113">
        <f>IF(ISERROR(VLOOKUP($A112,'Group Model'!$1:$1048576,MATCH(J$14,'Group Model'!$1:$1,0),FALSE) * 100),"n.a.",VLOOKUP($A112,'Group Model'!$1:$1048576,MATCH(J$14,'Group Model'!$1:$1,0),FALSE) * 100)</f>
        <v>0.16710483997422462</v>
      </c>
      <c r="K112" s="113">
        <f>IF(ISERROR(VLOOKUP($A112,'Group Model'!$1:$1048576,MATCH(K$14,'Group Model'!$1:$1,0),FALSE) * 100),"n.a.",VLOOKUP($A112,'Group Model'!$1:$1048576,MATCH(K$14,'Group Model'!$1:$1,0),FALSE) * 100)</f>
        <v>0.11499999999999999</v>
      </c>
      <c r="L112" s="113">
        <f>IF(ISERROR(VLOOKUP($A112,'Group Model'!$1:$1048576,MATCH(L$14,'Group Model'!$1:$1,0),FALSE) * 100),"n.a.",VLOOKUP($A112,'Group Model'!$1:$1048576,MATCH(L$14,'Group Model'!$1:$1,0),FALSE) * 100)</f>
        <v>0.11</v>
      </c>
    </row>
    <row r="113" spans="1:12">
      <c r="A113" s="105" t="s">
        <v>347</v>
      </c>
      <c r="B113" s="106" t="s">
        <v>88</v>
      </c>
      <c r="C113" s="113">
        <f>IF(ISERROR(VLOOKUP($A113,'Group Model'!$1:$1048576,MATCH(C$14,'Group Model'!$1:$1,0),FALSE) * 100),"n.a.",VLOOKUP($A113,'Group Model'!$1:$1048576,MATCH(C$14,'Group Model'!$1:$1,0),FALSE) * 100)</f>
        <v>-0.20921806873012003</v>
      </c>
      <c r="D113" s="113">
        <f>IF(ISERROR(VLOOKUP($A113,'Group Model'!$1:$1048576,MATCH(D$14,'Group Model'!$1:$1,0),FALSE) * 100),"n.a.",VLOOKUP($A113,'Group Model'!$1:$1048576,MATCH(D$14,'Group Model'!$1:$1,0),FALSE) * 100)</f>
        <v>0.17554267486189995</v>
      </c>
      <c r="E113" s="113">
        <f>IF(ISERROR(VLOOKUP($A113,'Group Model'!$1:$1048576,MATCH(E$14,'Group Model'!$1:$1,0),FALSE) * 100),"n.a.",VLOOKUP($A113,'Group Model'!$1:$1048576,MATCH(E$14,'Group Model'!$1:$1,0),FALSE) * 100)</f>
        <v>7.9806292861635195E-2</v>
      </c>
      <c r="F113" s="113">
        <f>IF(ISERROR(VLOOKUP($A113,'Group Model'!$1:$1048576,MATCH(F$14,'Group Model'!$1:$1,0),FALSE) * 100),"n.a.",VLOOKUP($A113,'Group Model'!$1:$1048576,MATCH(F$14,'Group Model'!$1:$1,0),FALSE) * 100)</f>
        <v>0.1020390047171178</v>
      </c>
      <c r="G113" s="113">
        <f>IF(ISERROR(VLOOKUP($A113,'Group Model'!$1:$1048576,MATCH(G$14,'Group Model'!$1:$1,0),FALSE) * 100),"n.a.",VLOOKUP($A113,'Group Model'!$1:$1048576,MATCH(G$14,'Group Model'!$1:$1,0),FALSE) * 100)</f>
        <v>0.11910977371899061</v>
      </c>
      <c r="H113" s="113"/>
      <c r="I113" s="113">
        <f>IF(ISERROR(VLOOKUP($A113,'Group Model'!$1:$1048576,MATCH(I$14,'Group Model'!$1:$1,0),FALSE) * 100),"n.a.",VLOOKUP($A113,'Group Model'!$1:$1048576,MATCH(I$14,'Group Model'!$1:$1,0),FALSE) * 100)</f>
        <v>0.29210792059902857</v>
      </c>
      <c r="J113" s="113">
        <f>IF(ISERROR(VLOOKUP($A113,'Group Model'!$1:$1048576,MATCH(J$14,'Group Model'!$1:$1,0),FALSE) * 100),"n.a.",VLOOKUP($A113,'Group Model'!$1:$1048576,MATCH(J$14,'Group Model'!$1:$1,0),FALSE) * 100)</f>
        <v>2.6922446440291747E-2</v>
      </c>
      <c r="K113" s="113">
        <f>IF(ISERROR(VLOOKUP($A113,'Group Model'!$1:$1048576,MATCH(K$14,'Group Model'!$1:$1,0),FALSE) * 100),"n.a.",VLOOKUP($A113,'Group Model'!$1:$1048576,MATCH(K$14,'Group Model'!$1:$1,0),FALSE) * 100)</f>
        <v>0.14161459514638891</v>
      </c>
      <c r="L113" s="113">
        <f>IF(ISERROR(VLOOKUP($A113,'Group Model'!$1:$1048576,MATCH(L$14,'Group Model'!$1:$1,0),FALSE) * 100),"n.a.",VLOOKUP($A113,'Group Model'!$1:$1048576,MATCH(L$14,'Group Model'!$1:$1,0),FALSE) * 100)</f>
        <v>9.8332678563840009E-2</v>
      </c>
    </row>
    <row r="114" spans="1:12">
      <c r="A114" s="105" t="s">
        <v>421</v>
      </c>
      <c r="B114" s="106" t="s">
        <v>420</v>
      </c>
      <c r="C114" s="113">
        <f>IF(ISERROR(VLOOKUP($A114,'Group Model'!$1:$1048576,MATCH(C$14,'Group Model'!$1:$1,0),FALSE) * 100),"n.a.",VLOOKUP($A114,'Group Model'!$1:$1048576,MATCH(C$14,'Group Model'!$1:$1,0),FALSE) * 100)</f>
        <v>2.0213073577855769</v>
      </c>
      <c r="D114" s="113">
        <f>IF(ISERROR(VLOOKUP($A114,'Group Model'!$1:$1048576,MATCH(D$14,'Group Model'!$1:$1,0),FALSE) * 100),"n.a.",VLOOKUP($A114,'Group Model'!$1:$1048576,MATCH(D$14,'Group Model'!$1:$1,0),FALSE) * 100)</f>
        <v>1.6153816229674007</v>
      </c>
      <c r="E114" s="113">
        <f>IF(ISERROR(VLOOKUP($A114,'Group Model'!$1:$1048576,MATCH(E$14,'Group Model'!$1:$1,0),FALSE) * 100),"n.a.",VLOOKUP($A114,'Group Model'!$1:$1048576,MATCH(E$14,'Group Model'!$1:$1,0),FALSE) * 100)</f>
        <v>1.2703376111382993</v>
      </c>
      <c r="F114" s="113">
        <f>IF(ISERROR(VLOOKUP($A114,'Group Model'!$1:$1048576,MATCH(F$14,'Group Model'!$1:$1,0),FALSE) * 100),"n.a.",VLOOKUP($A114,'Group Model'!$1:$1048576,MATCH(F$14,'Group Model'!$1:$1,0),FALSE) * 100)</f>
        <v>0.91887072458949026</v>
      </c>
      <c r="G114" s="113">
        <f>IF(ISERROR(VLOOKUP($A114,'Group Model'!$1:$1048576,MATCH(G$14,'Group Model'!$1:$1,0),FALSE) * 100),"n.a.",VLOOKUP($A114,'Group Model'!$1:$1048576,MATCH(G$14,'Group Model'!$1:$1,0),FALSE) * 100)</f>
        <v>0.85620629549813343</v>
      </c>
      <c r="H114" s="113"/>
      <c r="I114" s="113">
        <f>IF(ISERROR(VLOOKUP($A114,'Group Model'!$1:$1048576,MATCH(I$14,'Group Model'!$1:$1,0),FALSE) * 100),"n.a.",VLOOKUP($A114,'Group Model'!$1:$1048576,MATCH(I$14,'Group Model'!$1:$1,0),FALSE) * 100)</f>
        <v>1.6153816229674007</v>
      </c>
      <c r="J114" s="113">
        <f>IF(ISERROR(VLOOKUP($A114,'Group Model'!$1:$1048576,MATCH(J$14,'Group Model'!$1:$1,0),FALSE) * 100),"n.a.",VLOOKUP($A114,'Group Model'!$1:$1048576,MATCH(J$14,'Group Model'!$1:$1,0),FALSE) * 100)</f>
        <v>1.3403736799350121</v>
      </c>
      <c r="K114" s="113">
        <f>IF(ISERROR(VLOOKUP($A114,'Group Model'!$1:$1048576,MATCH(K$14,'Group Model'!$1:$1,0),FALSE) * 100),"n.a.",VLOOKUP($A114,'Group Model'!$1:$1048576,MATCH(K$14,'Group Model'!$1:$1,0),FALSE) * 100)</f>
        <v>1.2703376111382993</v>
      </c>
      <c r="L114" s="113">
        <f>IF(ISERROR(VLOOKUP($A114,'Group Model'!$1:$1048576,MATCH(L$14,'Group Model'!$1:$1,0),FALSE) * 100),"n.a.",VLOOKUP($A114,'Group Model'!$1:$1048576,MATCH(L$14,'Group Model'!$1:$1,0),FALSE) * 100)</f>
        <v>1.0747037193743436</v>
      </c>
    </row>
    <row r="115" spans="1:12">
      <c r="A115" s="105" t="s">
        <v>419</v>
      </c>
      <c r="B115" s="106" t="s">
        <v>418</v>
      </c>
      <c r="C115" s="113">
        <f>IF(ISERROR(VLOOKUP($A115,'Group Model'!$1:$1048576,MATCH(C$14,'Group Model'!$1:$1,0),FALSE) * 100),"n.a.",VLOOKUP($A115,'Group Model'!$1:$1048576,MATCH(C$14,'Group Model'!$1:$1,0),FALSE) * 100)</f>
        <v>3.6284987277353684</v>
      </c>
      <c r="D115" s="113">
        <f>IF(ISERROR(VLOOKUP($A115,'Group Model'!$1:$1048576,MATCH(D$14,'Group Model'!$1:$1,0),FALSE) * 100),"n.a.",VLOOKUP($A115,'Group Model'!$1:$1048576,MATCH(D$14,'Group Model'!$1:$1,0),FALSE) * 100)</f>
        <v>2.7787071734475375</v>
      </c>
      <c r="E115" s="113">
        <f>IF(ISERROR(VLOOKUP($A115,'Group Model'!$1:$1048576,MATCH(E$14,'Group Model'!$1:$1,0),FALSE) * 100),"n.a.",VLOOKUP($A115,'Group Model'!$1:$1048576,MATCH(E$14,'Group Model'!$1:$1,0),FALSE) * 100)</f>
        <v>2.2507528104925059</v>
      </c>
      <c r="F115" s="113">
        <f>IF(ISERROR(VLOOKUP($A115,'Group Model'!$1:$1048576,MATCH(F$14,'Group Model'!$1:$1,0),FALSE) * 100),"n.a.",VLOOKUP($A115,'Group Model'!$1:$1048576,MATCH(F$14,'Group Model'!$1:$1,0),FALSE) * 100)</f>
        <v>1.8231097764989299</v>
      </c>
      <c r="G115" s="113">
        <f>IF(ISERROR(VLOOKUP($A115,'Group Model'!$1:$1048576,MATCH(G$14,'Group Model'!$1:$1,0),FALSE) * 100),"n.a.",VLOOKUP($A115,'Group Model'!$1:$1048576,MATCH(G$14,'Group Model'!$1:$1,0),FALSE) * 100)</f>
        <v>1.7688266829036741</v>
      </c>
      <c r="H115" s="113"/>
      <c r="I115" s="113">
        <f>IF(ISERROR(VLOOKUP($A115,'Group Model'!$1:$1048576,MATCH(I$14,'Group Model'!$1:$1,0),FALSE) * 100),"n.a.",VLOOKUP($A115,'Group Model'!$1:$1048576,MATCH(I$14,'Group Model'!$1:$1,0),FALSE) * 100)</f>
        <v>2.7787071734475375</v>
      </c>
      <c r="J115" s="113">
        <f>IF(ISERROR(VLOOKUP($A115,'Group Model'!$1:$1048576,MATCH(J$14,'Group Model'!$1:$1,0),FALSE) * 100),"n.a.",VLOOKUP($A115,'Group Model'!$1:$1048576,MATCH(J$14,'Group Model'!$1:$1,0),FALSE) * 100)</f>
        <v>2.4181859176705531</v>
      </c>
      <c r="K115" s="113">
        <f>IF(ISERROR(VLOOKUP($A115,'Group Model'!$1:$1048576,MATCH(K$14,'Group Model'!$1:$1,0),FALSE) * 100),"n.a.",VLOOKUP($A115,'Group Model'!$1:$1048576,MATCH(K$14,'Group Model'!$1:$1,0),FALSE) * 100)</f>
        <v>2.2507528104925059</v>
      </c>
      <c r="L115" s="113">
        <f>IF(ISERROR(VLOOKUP($A115,'Group Model'!$1:$1048576,MATCH(L$14,'Group Model'!$1:$1,0),FALSE) * 100),"n.a.",VLOOKUP($A115,'Group Model'!$1:$1048576,MATCH(L$14,'Group Model'!$1:$1,0),FALSE) * 100)</f>
        <v>2.0256775294432554</v>
      </c>
    </row>
    <row r="116" spans="1:12">
      <c r="A116" s="105" t="s">
        <v>348</v>
      </c>
      <c r="B116" s="106" t="s">
        <v>86</v>
      </c>
      <c r="C116" s="109">
        <f>IF(ISERROR(VLOOKUP($A116,'Group Model'!$1:$1048576,MATCH(C$14,'Group Model'!$1:$1,0),FALSE) * 100),"n.a.",VLOOKUP($A116,'Group Model'!$1:$1048576,MATCH(C$14,'Group Model'!$1:$1,0),FALSE) * 100)</f>
        <v>0</v>
      </c>
      <c r="D116" s="109">
        <f>IF(ISERROR(VLOOKUP($A116,'Group Model'!$1:$1048576,MATCH(D$14,'Group Model'!$1:$1,0),FALSE) * 100),"n.a.",VLOOKUP($A116,'Group Model'!$1:$1048576,MATCH(D$14,'Group Model'!$1:$1,0),FALSE) * 100)</f>
        <v>0</v>
      </c>
      <c r="E116" s="109">
        <f>IF(ISERROR(VLOOKUP($A116,'Group Model'!$1:$1048576,MATCH(E$14,'Group Model'!$1:$1,0),FALSE) * 100),"n.a.",VLOOKUP($A116,'Group Model'!$1:$1048576,MATCH(E$14,'Group Model'!$1:$1,0),FALSE) * 100)</f>
        <v>0</v>
      </c>
      <c r="F116" s="109">
        <f>IF(ISERROR(VLOOKUP($A116,'Group Model'!$1:$1048576,MATCH(F$14,'Group Model'!$1:$1,0),FALSE) * 100),"n.a.",VLOOKUP($A116,'Group Model'!$1:$1048576,MATCH(F$14,'Group Model'!$1:$1,0),FALSE) * 100)</f>
        <v>0</v>
      </c>
      <c r="G116" s="109">
        <f>IF(ISERROR(VLOOKUP($A116,'Group Model'!$1:$1048576,MATCH(G$14,'Group Model'!$1:$1,0),FALSE) * 100),"n.a.",VLOOKUP($A116,'Group Model'!$1:$1048576,MATCH(G$14,'Group Model'!$1:$1,0),FALSE) * 100)</f>
        <v>0</v>
      </c>
      <c r="H116" s="109"/>
      <c r="I116" s="109">
        <f>IF(ISERROR(VLOOKUP($A116,'Group Model'!$1:$1048576,MATCH(I$14,'Group Model'!$1:$1,0),FALSE) * 100),"n.a.",VLOOKUP($A116,'Group Model'!$1:$1048576,MATCH(I$14,'Group Model'!$1:$1,0),FALSE) * 100)</f>
        <v>0</v>
      </c>
      <c r="J116" s="109">
        <f>IF(ISERROR(VLOOKUP($A116,'Group Model'!$1:$1048576,MATCH(J$14,'Group Model'!$1:$1,0),FALSE) * 100),"n.a.",VLOOKUP($A116,'Group Model'!$1:$1048576,MATCH(J$14,'Group Model'!$1:$1,0),FALSE) * 100)</f>
        <v>0</v>
      </c>
      <c r="K116" s="109">
        <f>IF(ISERROR(VLOOKUP($A116,'Group Model'!$1:$1048576,MATCH(K$14,'Group Model'!$1:$1,0),FALSE) * 100),"n.a.",VLOOKUP($A116,'Group Model'!$1:$1048576,MATCH(K$14,'Group Model'!$1:$1,0),FALSE) * 100)</f>
        <v>0</v>
      </c>
      <c r="L116" s="109">
        <f>IF(ISERROR(VLOOKUP($A116,'Group Model'!$1:$1048576,MATCH(L$14,'Group Model'!$1:$1,0),FALSE) * 100),"n.a.",VLOOKUP($A116,'Group Model'!$1:$1048576,MATCH(L$14,'Group Model'!$1:$1,0),FALSE) * 100)</f>
        <v>0</v>
      </c>
    </row>
    <row r="117" spans="1:12">
      <c r="A117" s="105" t="s">
        <v>349</v>
      </c>
      <c r="B117" s="106" t="s">
        <v>87</v>
      </c>
      <c r="C117" s="113">
        <f>IF(ISERROR(VLOOKUP($A117,'Group Model'!$1:$1048576,MATCH(C$14,'Group Model'!$1:$1,0),FALSE) * 100),"n.a.",VLOOKUP($A117,'Group Model'!$1:$1048576,MATCH(C$14,'Group Model'!$1:$1,0),FALSE) * 100)</f>
        <v>1.3384223918575064</v>
      </c>
      <c r="D117" s="113">
        <f>IF(ISERROR(VLOOKUP($A117,'Group Model'!$1:$1048576,MATCH(D$14,'Group Model'!$1:$1,0),FALSE) * 100),"n.a.",VLOOKUP($A117,'Group Model'!$1:$1048576,MATCH(D$14,'Group Model'!$1:$1,0),FALSE) * 100)</f>
        <v>1.132561563169165</v>
      </c>
      <c r="E117" s="113">
        <f>IF(ISERROR(VLOOKUP($A117,'Group Model'!$1:$1048576,MATCH(E$14,'Group Model'!$1:$1,0),FALSE) * 100),"n.a.",VLOOKUP($A117,'Group Model'!$1:$1048576,MATCH(E$14,'Group Model'!$1:$1,0),FALSE) * 100)</f>
        <v>0.89999999999999991</v>
      </c>
      <c r="F117" s="113">
        <f>IF(ISERROR(VLOOKUP($A117,'Group Model'!$1:$1048576,MATCH(F$14,'Group Model'!$1:$1,0),FALSE) * 100),"n.a.",VLOOKUP($A117,'Group Model'!$1:$1048576,MATCH(F$14,'Group Model'!$1:$1,0),FALSE) * 100)</f>
        <v>0.87999999999999989</v>
      </c>
      <c r="G117" s="113">
        <f>IF(ISERROR(VLOOKUP($A117,'Group Model'!$1:$1048576,MATCH(G$14,'Group Model'!$1:$1,0),FALSE) * 100),"n.a.",VLOOKUP($A117,'Group Model'!$1:$1048576,MATCH(G$14,'Group Model'!$1:$1,0),FALSE) * 100)</f>
        <v>0.87999999999999989</v>
      </c>
      <c r="H117" s="113"/>
      <c r="I117" s="113">
        <f>IF(ISERROR(VLOOKUP($A117,'Group Model'!$1:$1048576,MATCH(I$14,'Group Model'!$1:$1,0),FALSE) * 100),"n.a.",VLOOKUP($A117,'Group Model'!$1:$1048576,MATCH(I$14,'Group Model'!$1:$1,0),FALSE) * 100)</f>
        <v>1.132561563169165</v>
      </c>
      <c r="J117" s="113">
        <f>IF(ISERROR(VLOOKUP($A117,'Group Model'!$1:$1048576,MATCH(J$14,'Group Model'!$1:$1,0),FALSE) * 100),"n.a.",VLOOKUP($A117,'Group Model'!$1:$1048576,MATCH(J$14,'Group Model'!$1:$1,0),FALSE) * 100)</f>
        <v>0.96872382915673505</v>
      </c>
      <c r="K117" s="113">
        <f>IF(ISERROR(VLOOKUP($A117,'Group Model'!$1:$1048576,MATCH(K$14,'Group Model'!$1:$1,0),FALSE) * 100),"n.a.",VLOOKUP($A117,'Group Model'!$1:$1048576,MATCH(K$14,'Group Model'!$1:$1,0),FALSE) * 100)</f>
        <v>0.89999999999999991</v>
      </c>
      <c r="L117" s="113">
        <f>IF(ISERROR(VLOOKUP($A117,'Group Model'!$1:$1048576,MATCH(L$14,'Group Model'!$1:$1,0),FALSE) * 100),"n.a.",VLOOKUP($A117,'Group Model'!$1:$1048576,MATCH(L$14,'Group Model'!$1:$1,0),FALSE) * 100)</f>
        <v>0.87999999999999989</v>
      </c>
    </row>
    <row r="118" spans="1:12">
      <c r="A118" s="105" t="s">
        <v>350</v>
      </c>
      <c r="B118" s="106" t="s">
        <v>351</v>
      </c>
      <c r="C118" s="113">
        <f>IF(ISERROR(VLOOKUP($A118,'Group Model'!$1:$1048576,MATCH(C$14,'Group Model'!$1:$1,0),FALSE) * 100),"n.a.",VLOOKUP($A118,'Group Model'!$1:$1048576,MATCH(C$14,'Group Model'!$1:$1,0),FALSE) * 100)</f>
        <v>1.0198700150459912</v>
      </c>
      <c r="D118" s="113">
        <f>IF(ISERROR(VLOOKUP($A118,'Group Model'!$1:$1048576,MATCH(D$14,'Group Model'!$1:$1,0),FALSE) * 100),"n.a.",VLOOKUP($A118,'Group Model'!$1:$1048576,MATCH(D$14,'Group Model'!$1:$1,0),FALSE) * 100)</f>
        <v>0.90652240864476907</v>
      </c>
      <c r="E118" s="113">
        <f>IF(ISERROR(VLOOKUP($A118,'Group Model'!$1:$1048576,MATCH(E$14,'Group Model'!$1:$1,0),FALSE) * 100),"n.a.",VLOOKUP($A118,'Group Model'!$1:$1048576,MATCH(E$14,'Group Model'!$1:$1,0),FALSE) * 100)</f>
        <v>0.73169093987029754</v>
      </c>
      <c r="F118" s="113">
        <f>IF(ISERROR(VLOOKUP($A118,'Group Model'!$1:$1048576,MATCH(F$14,'Group Model'!$1:$1,0),FALSE) * 100),"n.a.",VLOOKUP($A118,'Group Model'!$1:$1048576,MATCH(F$14,'Group Model'!$1:$1,0),FALSE) * 100)</f>
        <v>0.71457749257245951</v>
      </c>
      <c r="G118" s="113">
        <f>IF(ISERROR(VLOOKUP($A118,'Group Model'!$1:$1048576,MATCH(G$14,'Group Model'!$1:$1,0),FALSE) * 100),"n.a.",VLOOKUP($A118,'Group Model'!$1:$1048576,MATCH(G$14,'Group Model'!$1:$1,0),FALSE) * 100)</f>
        <v>0.72131115382009725</v>
      </c>
      <c r="H118" s="113"/>
      <c r="I118" s="113">
        <f>IF(ISERROR(VLOOKUP($A118,'Group Model'!$1:$1048576,MATCH(I$14,'Group Model'!$1:$1,0),FALSE) * 100),"n.a.",VLOOKUP($A118,'Group Model'!$1:$1048576,MATCH(I$14,'Group Model'!$1:$1,0),FALSE) * 100)</f>
        <v>0.90652240864476907</v>
      </c>
      <c r="J118" s="113">
        <f>IF(ISERROR(VLOOKUP($A118,'Group Model'!$1:$1048576,MATCH(J$14,'Group Model'!$1:$1,0),FALSE) * 100),"n.a.",VLOOKUP($A118,'Group Model'!$1:$1048576,MATCH(J$14,'Group Model'!$1:$1,0),FALSE) * 100)</f>
        <v>0.78745311610187807</v>
      </c>
      <c r="K118" s="113">
        <f>IF(ISERROR(VLOOKUP($A118,'Group Model'!$1:$1048576,MATCH(K$14,'Group Model'!$1:$1,0),FALSE) * 100),"n.a.",VLOOKUP($A118,'Group Model'!$1:$1048576,MATCH(K$14,'Group Model'!$1:$1,0),FALSE) * 100)</f>
        <v>0.73169093987029754</v>
      </c>
      <c r="L118" s="113">
        <f>IF(ISERROR(VLOOKUP($A118,'Group Model'!$1:$1048576,MATCH(L$14,'Group Model'!$1:$1,0),FALSE) * 100),"n.a.",VLOOKUP($A118,'Group Model'!$1:$1048576,MATCH(L$14,'Group Model'!$1:$1,0),FALSE) * 100)</f>
        <v>0.71444667821169106</v>
      </c>
    </row>
    <row r="119" spans="1:12">
      <c r="A119" s="105" t="s">
        <v>352</v>
      </c>
      <c r="B119" s="106" t="s">
        <v>353</v>
      </c>
      <c r="C119" s="113">
        <f>IF(ISERROR(VLOOKUP($A119,'Group Model'!$1:$1048576,MATCH(C$14,'Group Model'!$1:$1,0),FALSE) * 100),"n.a.",VLOOKUP($A119,'Group Model'!$1:$1048576,MATCH(C$14,'Group Model'!$1:$1,0),FALSE) * 100)</f>
        <v>1.3384223918575064</v>
      </c>
      <c r="D119" s="113">
        <f>IF(ISERROR(VLOOKUP($A119,'Group Model'!$1:$1048576,MATCH(D$14,'Group Model'!$1:$1,0),FALSE) * 100),"n.a.",VLOOKUP($A119,'Group Model'!$1:$1048576,MATCH(D$14,'Group Model'!$1:$1,0),FALSE) * 100)</f>
        <v>1.132561563169165</v>
      </c>
      <c r="E119" s="113">
        <f>IF(ISERROR(VLOOKUP($A119,'Group Model'!$1:$1048576,MATCH(E$14,'Group Model'!$1:$1,0),FALSE) * 100),"n.a.",VLOOKUP($A119,'Group Model'!$1:$1048576,MATCH(E$14,'Group Model'!$1:$1,0),FALSE) * 100)</f>
        <v>0.89999999999999991</v>
      </c>
      <c r="F119" s="113">
        <f>IF(ISERROR(VLOOKUP($A119,'Group Model'!$1:$1048576,MATCH(F$14,'Group Model'!$1:$1,0),FALSE) * 100),"n.a.",VLOOKUP($A119,'Group Model'!$1:$1048576,MATCH(F$14,'Group Model'!$1:$1,0),FALSE) * 100)</f>
        <v>0.87999999999999989</v>
      </c>
      <c r="G119" s="113">
        <f>IF(ISERROR(VLOOKUP($A119,'Group Model'!$1:$1048576,MATCH(G$14,'Group Model'!$1:$1,0),FALSE) * 100),"n.a.",VLOOKUP($A119,'Group Model'!$1:$1048576,MATCH(G$14,'Group Model'!$1:$1,0),FALSE) * 100)</f>
        <v>0.87999999999999989</v>
      </c>
      <c r="H119" s="113"/>
      <c r="I119" s="113">
        <f>IF(ISERROR(VLOOKUP($A119,'Group Model'!$1:$1048576,MATCH(I$14,'Group Model'!$1:$1,0),FALSE) * 100),"n.a.",VLOOKUP($A119,'Group Model'!$1:$1048576,MATCH(I$14,'Group Model'!$1:$1,0),FALSE) * 100)</f>
        <v>1.132561563169165</v>
      </c>
      <c r="J119" s="113">
        <f>IF(ISERROR(VLOOKUP($A119,'Group Model'!$1:$1048576,MATCH(J$14,'Group Model'!$1:$1,0),FALSE) * 100),"n.a.",VLOOKUP($A119,'Group Model'!$1:$1048576,MATCH(J$14,'Group Model'!$1:$1,0),FALSE) * 100)</f>
        <v>0.96872382915673505</v>
      </c>
      <c r="K119" s="113">
        <f>IF(ISERROR(VLOOKUP($A119,'Group Model'!$1:$1048576,MATCH(K$14,'Group Model'!$1:$1,0),FALSE) * 100),"n.a.",VLOOKUP($A119,'Group Model'!$1:$1048576,MATCH(K$14,'Group Model'!$1:$1,0),FALSE) * 100)</f>
        <v>0.89999999999999991</v>
      </c>
      <c r="L119" s="113">
        <f>IF(ISERROR(VLOOKUP($A119,'Group Model'!$1:$1048576,MATCH(L$14,'Group Model'!$1:$1,0),FALSE) * 100),"n.a.",VLOOKUP($A119,'Group Model'!$1:$1048576,MATCH(L$14,'Group Model'!$1:$1,0),FALSE) * 100)</f>
        <v>0.87999999999999989</v>
      </c>
    </row>
    <row r="120" spans="1:12">
      <c r="A120" s="105" t="s">
        <v>354</v>
      </c>
      <c r="B120" s="106" t="s">
        <v>355</v>
      </c>
      <c r="C120" s="113">
        <f>IF(ISERROR(VLOOKUP($A120,'Group Model'!$1:$1048576,MATCH(C$14,'Group Model'!$1:$1,0),FALSE) * 100),"n.a.",VLOOKUP($A120,'Group Model'!$1:$1048576,MATCH(C$14,'Group Model'!$1:$1,0),FALSE) * 100)</f>
        <v>1.0198700150459912</v>
      </c>
      <c r="D120" s="113">
        <f>IF(ISERROR(VLOOKUP($A120,'Group Model'!$1:$1048576,MATCH(D$14,'Group Model'!$1:$1,0),FALSE) * 100),"n.a.",VLOOKUP($A120,'Group Model'!$1:$1048576,MATCH(D$14,'Group Model'!$1:$1,0),FALSE) * 100)</f>
        <v>0.90652240864476907</v>
      </c>
      <c r="E120" s="113">
        <f>IF(ISERROR(VLOOKUP($A120,'Group Model'!$1:$1048576,MATCH(E$14,'Group Model'!$1:$1,0),FALSE) * 100),"n.a.",VLOOKUP($A120,'Group Model'!$1:$1048576,MATCH(E$14,'Group Model'!$1:$1,0),FALSE) * 100)</f>
        <v>0.73169093987029754</v>
      </c>
      <c r="F120" s="113">
        <f>IF(ISERROR(VLOOKUP($A120,'Group Model'!$1:$1048576,MATCH(F$14,'Group Model'!$1:$1,0),FALSE) * 100),"n.a.",VLOOKUP($A120,'Group Model'!$1:$1048576,MATCH(F$14,'Group Model'!$1:$1,0),FALSE) * 100)</f>
        <v>0.71457749257245951</v>
      </c>
      <c r="G120" s="113">
        <f>IF(ISERROR(VLOOKUP($A120,'Group Model'!$1:$1048576,MATCH(G$14,'Group Model'!$1:$1,0),FALSE) * 100),"n.a.",VLOOKUP($A120,'Group Model'!$1:$1048576,MATCH(G$14,'Group Model'!$1:$1,0),FALSE) * 100)</f>
        <v>0.72131115382009725</v>
      </c>
      <c r="H120" s="113"/>
      <c r="I120" s="113">
        <f>IF(ISERROR(VLOOKUP($A120,'Group Model'!$1:$1048576,MATCH(I$14,'Group Model'!$1:$1,0),FALSE) * 100),"n.a.",VLOOKUP($A120,'Group Model'!$1:$1048576,MATCH(I$14,'Group Model'!$1:$1,0),FALSE) * 100)</f>
        <v>0.90652240864476907</v>
      </c>
      <c r="J120" s="113">
        <f>IF(ISERROR(VLOOKUP($A120,'Group Model'!$1:$1048576,MATCH(J$14,'Group Model'!$1:$1,0),FALSE) * 100),"n.a.",VLOOKUP($A120,'Group Model'!$1:$1048576,MATCH(J$14,'Group Model'!$1:$1,0),FALSE) * 100)</f>
        <v>0.78745311610187807</v>
      </c>
      <c r="K120" s="113">
        <f>IF(ISERROR(VLOOKUP($A120,'Group Model'!$1:$1048576,MATCH(K$14,'Group Model'!$1:$1,0),FALSE) * 100),"n.a.",VLOOKUP($A120,'Group Model'!$1:$1048576,MATCH(K$14,'Group Model'!$1:$1,0),FALSE) * 100)</f>
        <v>0.73169093987029754</v>
      </c>
      <c r="L120" s="113">
        <f>IF(ISERROR(VLOOKUP($A120,'Group Model'!$1:$1048576,MATCH(L$14,'Group Model'!$1:$1,0),FALSE) * 100),"n.a.",VLOOKUP($A120,'Group Model'!$1:$1048576,MATCH(L$14,'Group Model'!$1:$1,0),FALSE) * 100)</f>
        <v>0.71444667821169106</v>
      </c>
    </row>
    <row r="121" spans="1:12">
      <c r="B121" s="111" t="s">
        <v>100</v>
      </c>
    </row>
    <row r="122" spans="1:12">
      <c r="A122" s="105" t="s">
        <v>356</v>
      </c>
      <c r="B122" s="106" t="s">
        <v>601</v>
      </c>
      <c r="C122" s="113">
        <f>IF(ISERROR(VLOOKUP($A122,'Group Model'!$1:$1048576,MATCH(C$14,'Group Model'!$1:$1,0),FALSE) * 100),"n.a.",VLOOKUP($A122,'Group Model'!$1:$1048576,MATCH(C$14,'Group Model'!$1:$1,0),FALSE) * 100)</f>
        <v>13.733732491585101</v>
      </c>
      <c r="D122" s="113">
        <f>IF(ISERROR(VLOOKUP($A122,'Group Model'!$1:$1048576,MATCH(D$14,'Group Model'!$1:$1,0),FALSE) * 100),"n.a.",VLOOKUP($A122,'Group Model'!$1:$1048576,MATCH(D$14,'Group Model'!$1:$1,0),FALSE) * 100)</f>
        <v>12.888150935311524</v>
      </c>
      <c r="E122" s="113">
        <f>IF(ISERROR(VLOOKUP($A122,'Group Model'!$1:$1048576,MATCH(E$14,'Group Model'!$1:$1,0),FALSE) * 100),"n.a.",VLOOKUP($A122,'Group Model'!$1:$1048576,MATCH(E$14,'Group Model'!$1:$1,0),FALSE) * 100)</f>
        <v>11.780542443957</v>
      </c>
      <c r="F122" s="113">
        <f>IF(ISERROR(VLOOKUP($A122,'Group Model'!$1:$1048576,MATCH(F$14,'Group Model'!$1:$1,0),FALSE) * 100),"n.a.",VLOOKUP($A122,'Group Model'!$1:$1048576,MATCH(F$14,'Group Model'!$1:$1,0),FALSE) * 100)</f>
        <v>11.884734914058585</v>
      </c>
      <c r="G122" s="113">
        <f>IF(ISERROR(VLOOKUP($A122,'Group Model'!$1:$1048576,MATCH(G$14,'Group Model'!$1:$1,0),FALSE) * 100),"n.a.",VLOOKUP($A122,'Group Model'!$1:$1048576,MATCH(G$14,'Group Model'!$1:$1,0),FALSE) * 100)</f>
        <v>12.147328949221812</v>
      </c>
      <c r="H122" s="113"/>
      <c r="I122" s="113">
        <f>IF(ISERROR(VLOOKUP($A122,'Group Model'!$1:$1048576,MATCH(I$14,'Group Model'!$1:$1,0),FALSE) * 100),"n.a.",VLOOKUP($A122,'Group Model'!$1:$1048576,MATCH(I$14,'Group Model'!$1:$1,0),FALSE) * 100)</f>
        <v>12.888150935311524</v>
      </c>
      <c r="J122" s="113">
        <f>IF(ISERROR(VLOOKUP($A122,'Group Model'!$1:$1048576,MATCH(J$14,'Group Model'!$1:$1,0),FALSE) * 100),"n.a.",VLOOKUP($A122,'Group Model'!$1:$1048576,MATCH(J$14,'Group Model'!$1:$1,0),FALSE) * 100)</f>
        <v>12.517428045898763</v>
      </c>
      <c r="K122" s="113">
        <f>IF(ISERROR(VLOOKUP($A122,'Group Model'!$1:$1048576,MATCH(K$14,'Group Model'!$1:$1,0),FALSE) * 100),"n.a.",VLOOKUP($A122,'Group Model'!$1:$1048576,MATCH(K$14,'Group Model'!$1:$1,0),FALSE) * 100)</f>
        <v>11.780542443957</v>
      </c>
      <c r="L122" s="113">
        <f>IF(ISERROR(VLOOKUP($A122,'Group Model'!$1:$1048576,MATCH(L$14,'Group Model'!$1:$1,0),FALSE) * 100),"n.a.",VLOOKUP($A122,'Group Model'!$1:$1048576,MATCH(L$14,'Group Model'!$1:$1,0),FALSE) * 100)</f>
        <v>11.703791472239168</v>
      </c>
    </row>
    <row r="123" spans="1:12">
      <c r="A123" s="105" t="s">
        <v>583</v>
      </c>
      <c r="B123" s="106" t="s">
        <v>602</v>
      </c>
      <c r="C123" s="108">
        <f>IF(ISERROR(VLOOKUP($A123,'Group Model'!$1:$1048576,MATCH(C$14,'Group Model'!$1:$1,0),FALSE) * 1),"n.a.",VLOOKUP($A123,'Group Model'!$1:$1048576,MATCH(C$14,'Group Model'!$1:$1,0),FALSE) * 1)</f>
        <v>33250</v>
      </c>
      <c r="D123" s="108">
        <f>IF(ISERROR(VLOOKUP($A123,'Group Model'!$1:$1048576,MATCH(D$14,'Group Model'!$1:$1,0),FALSE) * 1),"n.a.",VLOOKUP($A123,'Group Model'!$1:$1048576,MATCH(D$14,'Group Model'!$1:$1,0),FALSE) * 1)</f>
        <v>35550</v>
      </c>
      <c r="E123" s="108">
        <f>IF(ISERROR(VLOOKUP($A123,'Group Model'!$1:$1048576,MATCH(E$14,'Group Model'!$1:$1,0),FALSE) * 1),"n.a.",VLOOKUP($A123,'Group Model'!$1:$1048576,MATCH(E$14,'Group Model'!$1:$1,0),FALSE) * 1)</f>
        <v>35774.009692673935</v>
      </c>
      <c r="F123" s="108">
        <f>IF(ISERROR(VLOOKUP($A123,'Group Model'!$1:$1048576,MATCH(F$14,'Group Model'!$1:$1,0),FALSE) * 1),"n.a.",VLOOKUP($A123,'Group Model'!$1:$1048576,MATCH(F$14,'Group Model'!$1:$1,0),FALSE) * 1)</f>
        <v>36617.178795763997</v>
      </c>
      <c r="G123" s="108">
        <f>IF(ISERROR(VLOOKUP($A123,'Group Model'!$1:$1048576,MATCH(G$14,'Group Model'!$1:$1,0),FALSE) * 1),"n.a.",VLOOKUP($A123,'Group Model'!$1:$1048576,MATCH(G$14,'Group Model'!$1:$1,0),FALSE) * 1)</f>
        <v>38463.355402918307</v>
      </c>
      <c r="H123" s="108"/>
      <c r="I123" s="108">
        <f>IF(ISERROR(VLOOKUP($A123,'Group Model'!$1:$1048576,MATCH(I$14,'Group Model'!$1:$1,0),FALSE) * 1),"n.a.",VLOOKUP($A123,'Group Model'!$1:$1048576,MATCH(I$14,'Group Model'!$1:$1,0),FALSE) * 1)</f>
        <v>35550</v>
      </c>
      <c r="J123" s="108">
        <f>IF(ISERROR(VLOOKUP($A123,'Group Model'!$1:$1048576,MATCH(J$14,'Group Model'!$1:$1,0),FALSE) * 1),"n.a.",VLOOKUP($A123,'Group Model'!$1:$1048576,MATCH(J$14,'Group Model'!$1:$1,0),FALSE) * 1)</f>
        <v>34808</v>
      </c>
      <c r="K123" s="108">
        <f>IF(ISERROR(VLOOKUP($A123,'Group Model'!$1:$1048576,MATCH(K$14,'Group Model'!$1:$1,0),FALSE) * 1),"n.a.",VLOOKUP($A123,'Group Model'!$1:$1048576,MATCH(K$14,'Group Model'!$1:$1,0),FALSE) * 1)</f>
        <v>35774.009692673935</v>
      </c>
      <c r="L123" s="108">
        <f>IF(ISERROR(VLOOKUP($A123,'Group Model'!$1:$1048576,MATCH(L$14,'Group Model'!$1:$1,0),FALSE) * 1),"n.a.",VLOOKUP($A123,'Group Model'!$1:$1048576,MATCH(L$14,'Group Model'!$1:$1,0),FALSE) * 1)</f>
        <v>35907.883322627182</v>
      </c>
    </row>
    <row r="124" spans="1:12">
      <c r="A124" s="105" t="s">
        <v>586</v>
      </c>
      <c r="B124" s="106" t="s">
        <v>603</v>
      </c>
      <c r="C124" s="108">
        <f>-IF(ISERROR(VLOOKUP($A124,'Group Model'!$1:$1048576,MATCH(C$14,'Group Model'!$1:$1,0),FALSE) * 1),"n.a.",VLOOKUP($A124,'Group Model'!$1:$1048576,MATCH(C$14,'Group Model'!$1:$1,0),FALSE) * 1)</f>
        <v>-25030.489999999998</v>
      </c>
      <c r="D124" s="108">
        <f>-IF(ISERROR(VLOOKUP($A124,'Group Model'!$1:$1048576,MATCH(D$14,'Group Model'!$1:$1,0),FALSE) * 1),"n.a.",VLOOKUP($A124,'Group Model'!$1:$1048576,MATCH(D$14,'Group Model'!$1:$1,0),FALSE) * 1)</f>
        <v>-28499.010000000002</v>
      </c>
      <c r="E124" s="108">
        <f>-IF(ISERROR(VLOOKUP($A124,'Group Model'!$1:$1048576,MATCH(E$14,'Group Model'!$1:$1,0),FALSE) * 1),"n.a.",VLOOKUP($A124,'Group Model'!$1:$1048576,MATCH(E$14,'Group Model'!$1:$1,0),FALSE) * 1)</f>
        <v>-32086.20857951682</v>
      </c>
      <c r="F124" s="108">
        <f>-IF(ISERROR(VLOOKUP($A124,'Group Model'!$1:$1048576,MATCH(F$14,'Group Model'!$1:$1,0),FALSE) * 1),"n.a.",VLOOKUP($A124,'Group Model'!$1:$1048576,MATCH(F$14,'Group Model'!$1:$1,0),FALSE) * 1)</f>
        <v>-33694.717232839641</v>
      </c>
      <c r="G124" s="108">
        <f>-IF(ISERROR(VLOOKUP($A124,'Group Model'!$1:$1048576,MATCH(G$14,'Group Model'!$1:$1,0),FALSE) * 1),"n.a.",VLOOKUP($A124,'Group Model'!$1:$1048576,MATCH(G$14,'Group Model'!$1:$1,0),FALSE) * 1)</f>
        <v>-35351.583921928534</v>
      </c>
      <c r="H124" s="108"/>
      <c r="I124" s="108">
        <f>-IF(ISERROR(VLOOKUP($A124,'Group Model'!$1:$1048576,MATCH(I$14,'Group Model'!$1:$1,0),FALSE) * 1),"n.a.",VLOOKUP($A124,'Group Model'!$1:$1048576,MATCH(I$14,'Group Model'!$1:$1,0),FALSE) * 1)</f>
        <v>-28499.010000000002</v>
      </c>
      <c r="J124" s="108">
        <f>-IF(ISERROR(VLOOKUP($A124,'Group Model'!$1:$1048576,MATCH(J$14,'Group Model'!$1:$1,0),FALSE) * 1),"n.a.",VLOOKUP($A124,'Group Model'!$1:$1048576,MATCH(J$14,'Group Model'!$1:$1,0),FALSE) * 1)</f>
        <v>-29651.955000000002</v>
      </c>
      <c r="K124" s="108">
        <f>-IF(ISERROR(VLOOKUP($A124,'Group Model'!$1:$1048576,MATCH(K$14,'Group Model'!$1:$1,0),FALSE) * 1),"n.a.",VLOOKUP($A124,'Group Model'!$1:$1048576,MATCH(K$14,'Group Model'!$1:$1,0),FALSE) * 1)</f>
        <v>-32086.20857951682</v>
      </c>
      <c r="L124" s="108">
        <f>-IF(ISERROR(VLOOKUP($A124,'Group Model'!$1:$1048576,MATCH(L$14,'Group Model'!$1:$1,0),FALSE) * 1),"n.a.",VLOOKUP($A124,'Group Model'!$1:$1048576,MATCH(L$14,'Group Model'!$1:$1,0),FALSE) * 1)</f>
        <v>-32904.268888566752</v>
      </c>
    </row>
    <row r="125" spans="1:12">
      <c r="A125" s="105" t="s">
        <v>604</v>
      </c>
      <c r="B125" s="106" t="s">
        <v>571</v>
      </c>
      <c r="C125" s="108">
        <f>IF(ISERROR(VLOOKUP($A125,'Group Model'!$1:$1048576,MATCH(C$14,'Group Model'!$1:$1,0),FALSE) * 1),"n.a.",VLOOKUP($A125,'Group Model'!$1:$1048576,MATCH(C$14,'Group Model'!$1:$1,0),FALSE) * 1)</f>
        <v>8219.510000000002</v>
      </c>
      <c r="D125" s="108">
        <f>IF(ISERROR(VLOOKUP($A125,'Group Model'!$1:$1048576,MATCH(D$14,'Group Model'!$1:$1,0),FALSE) * 1),"n.a.",VLOOKUP($A125,'Group Model'!$1:$1048576,MATCH(D$14,'Group Model'!$1:$1,0),FALSE) * 1)</f>
        <v>7050.989999999998</v>
      </c>
      <c r="E125" s="108">
        <f>IF(ISERROR(VLOOKUP($A125,'Group Model'!$1:$1048576,MATCH(E$14,'Group Model'!$1:$1,0),FALSE) * 1),"n.a.",VLOOKUP($A125,'Group Model'!$1:$1048576,MATCH(E$14,'Group Model'!$1:$1,0),FALSE) * 1)</f>
        <v>3687.8011131571147</v>
      </c>
      <c r="F125" s="108">
        <f>IF(ISERROR(VLOOKUP($A125,'Group Model'!$1:$1048576,MATCH(F$14,'Group Model'!$1:$1,0),FALSE) * 1),"n.a.",VLOOKUP($A125,'Group Model'!$1:$1048576,MATCH(F$14,'Group Model'!$1:$1,0),FALSE) * 1)</f>
        <v>2922.4615629243563</v>
      </c>
      <c r="G125" s="108">
        <f>IF(ISERROR(VLOOKUP($A125,'Group Model'!$1:$1048576,MATCH(G$14,'Group Model'!$1:$1,0),FALSE) * 1),"n.a.",VLOOKUP($A125,'Group Model'!$1:$1048576,MATCH(G$14,'Group Model'!$1:$1,0),FALSE) * 1)</f>
        <v>3111.7714809897734</v>
      </c>
      <c r="H125" s="108"/>
      <c r="I125" s="108">
        <f>IF(ISERROR(VLOOKUP($A125,'Group Model'!$1:$1048576,MATCH(I$14,'Group Model'!$1:$1,0),FALSE) * 1),"n.a.",VLOOKUP($A125,'Group Model'!$1:$1048576,MATCH(I$14,'Group Model'!$1:$1,0),FALSE) * 1)</f>
        <v>7050.989999999998</v>
      </c>
      <c r="J125" s="108">
        <f>IF(ISERROR(VLOOKUP($A125,'Group Model'!$1:$1048576,MATCH(J$14,'Group Model'!$1:$1,0),FALSE) * 1),"n.a.",VLOOKUP($A125,'Group Model'!$1:$1048576,MATCH(J$14,'Group Model'!$1:$1,0),FALSE) * 1)</f>
        <v>5156.0449999999983</v>
      </c>
      <c r="K125" s="108">
        <f>IF(ISERROR(VLOOKUP($A125,'Group Model'!$1:$1048576,MATCH(K$14,'Group Model'!$1:$1,0),FALSE) * 1),"n.a.",VLOOKUP($A125,'Group Model'!$1:$1048576,MATCH(K$14,'Group Model'!$1:$1,0),FALSE) * 1)</f>
        <v>3687.8011131571147</v>
      </c>
      <c r="L125" s="108">
        <f>IF(ISERROR(VLOOKUP($A125,'Group Model'!$1:$1048576,MATCH(L$14,'Group Model'!$1:$1,0),FALSE) * 1),"n.a.",VLOOKUP($A125,'Group Model'!$1:$1048576,MATCH(L$14,'Group Model'!$1:$1,0),FALSE) * 1)</f>
        <v>3003.6144340604296</v>
      </c>
    </row>
    <row r="126" spans="1:12">
      <c r="A126" s="105" t="s">
        <v>357</v>
      </c>
      <c r="B126" s="106" t="s">
        <v>358</v>
      </c>
      <c r="C126" s="109">
        <f>IF(ISERROR(VLOOKUP($A126,'Group Model'!$1:$1048576,MATCH(C$14,'Group Model'!$1:$1,0),FALSE) * 100),"n.a.",VLOOKUP($A126,'Group Model'!$1:$1048576,MATCH(C$14,'Group Model'!$1:$1,0),FALSE) * 100)</f>
        <v>69.844448459681999</v>
      </c>
      <c r="D126" s="109">
        <f>IF(ISERROR(VLOOKUP($A126,'Group Model'!$1:$1048576,MATCH(D$14,'Group Model'!$1:$1,0),FALSE) * 100),"n.a.",VLOOKUP($A126,'Group Model'!$1:$1048576,MATCH(D$14,'Group Model'!$1:$1,0),FALSE) * 100)</f>
        <v>66.68639831763123</v>
      </c>
      <c r="E126" s="109">
        <f>IF(ISERROR(VLOOKUP($A126,'Group Model'!$1:$1048576,MATCH(E$14,'Group Model'!$1:$1,0),FALSE) * 100),"n.a.",VLOOKUP($A126,'Group Model'!$1:$1048576,MATCH(E$14,'Group Model'!$1:$1,0),FALSE) * 100)</f>
        <v>62.238110413293747</v>
      </c>
      <c r="F126" s="109">
        <f>IF(ISERROR(VLOOKUP($A126,'Group Model'!$1:$1048576,MATCH(F$14,'Group Model'!$1:$1,0),FALSE) * 100),"n.a.",VLOOKUP($A126,'Group Model'!$1:$1048576,MATCH(F$14,'Group Model'!$1:$1,0),FALSE) * 100)</f>
        <v>62.510226927992576</v>
      </c>
      <c r="G126" s="109">
        <f>IF(ISERROR(VLOOKUP($A126,'Group Model'!$1:$1048576,MATCH(G$14,'Group Model'!$1:$1,0),FALSE) * 100),"n.a.",VLOOKUP($A126,'Group Model'!$1:$1048576,MATCH(G$14,'Group Model'!$1:$1,0),FALSE) * 100)</f>
        <v>64.619692444457215</v>
      </c>
      <c r="H126" s="109"/>
      <c r="I126" s="109">
        <f>IF(ISERROR(VLOOKUP($A126,'Group Model'!$1:$1048576,MATCH(I$14,'Group Model'!$1:$1,0),FALSE) * 100),"n.a.",VLOOKUP($A126,'Group Model'!$1:$1048576,MATCH(I$14,'Group Model'!$1:$1,0),FALSE) * 100)</f>
        <v>70.681874393723248</v>
      </c>
      <c r="J126" s="109">
        <f>IF(ISERROR(VLOOKUP($A126,'Group Model'!$1:$1048576,MATCH(J$14,'Group Model'!$1:$1,0),FALSE) * 100),"n.a.",VLOOKUP($A126,'Group Model'!$1:$1048576,MATCH(J$14,'Group Model'!$1:$1,0),FALSE) * 100)</f>
        <v>64.482632145015103</v>
      </c>
      <c r="K126" s="109">
        <f>IF(ISERROR(VLOOKUP($A126,'Group Model'!$1:$1048576,MATCH(K$14,'Group Model'!$1:$1,0),FALSE) * 100),"n.a.",VLOOKUP($A126,'Group Model'!$1:$1048576,MATCH(K$14,'Group Model'!$1:$1,0),FALSE) * 100)</f>
        <v>60.752170490166677</v>
      </c>
      <c r="L126" s="109">
        <f>IF(ISERROR(VLOOKUP($A126,'Group Model'!$1:$1048576,MATCH(L$14,'Group Model'!$1:$1,0),FALSE) * 100),"n.a.",VLOOKUP($A126,'Group Model'!$1:$1048576,MATCH(L$14,'Group Model'!$1:$1,0),FALSE) * 100)</f>
        <v>60.410500577971668</v>
      </c>
    </row>
    <row r="127" spans="1:12">
      <c r="A127" s="105" t="s">
        <v>359</v>
      </c>
      <c r="B127" s="106" t="s">
        <v>360</v>
      </c>
      <c r="C127" s="108">
        <f>VLOOKUP($A127,'Group Model'!$1:$1048576,MATCH(C$14,'Group Model'!$1:$1,0),FALSE)</f>
        <v>224</v>
      </c>
      <c r="D127" s="108">
        <f>VLOOKUP($A127,'Group Model'!$1:$1048576,MATCH(D$14,'Group Model'!$1:$1,0),FALSE)</f>
        <v>206</v>
      </c>
      <c r="E127" s="108">
        <f>VLOOKUP($A127,'Group Model'!$1:$1048576,MATCH(E$14,'Group Model'!$1:$1,0),FALSE)</f>
        <v>374.16846340080934</v>
      </c>
      <c r="F127" s="108">
        <f>VLOOKUP($A127,'Group Model'!$1:$1048576,MATCH(F$14,'Group Model'!$1:$1,0),FALSE)</f>
        <v>443.72013689932675</v>
      </c>
      <c r="G127" s="108">
        <f>VLOOKUP($A127,'Group Model'!$1:$1048576,MATCH(G$14,'Group Model'!$1:$1,0),FALSE)</f>
        <v>502.69713540840007</v>
      </c>
      <c r="H127" s="109"/>
      <c r="I127" s="108" t="str">
        <f>VLOOKUP($A127,'Group Model'!$1:$1048576,MATCH(I$14,'Group Model'!$1:$1,0),FALSE)</f>
        <v>n.a.</v>
      </c>
      <c r="J127" s="108" t="str">
        <f>VLOOKUP($A127,'Group Model'!$1:$1048576,MATCH(J$14,'Group Model'!$1:$1,0),FALSE)</f>
        <v>n.a.</v>
      </c>
      <c r="K127" s="108" t="str">
        <f>VLOOKUP($A127,'Group Model'!$1:$1048576,MATCH(K$14,'Group Model'!$1:$1,0),FALSE)</f>
        <v>n.a.</v>
      </c>
      <c r="L127" s="108" t="str">
        <f>VLOOKUP($A127,'Group Model'!$1:$1048576,MATCH(L$14,'Group Model'!$1:$1,0),FALSE)</f>
        <v>n.a.</v>
      </c>
    </row>
    <row r="128" spans="1:12">
      <c r="A128" s="105" t="s">
        <v>361</v>
      </c>
      <c r="B128" s="106" t="s">
        <v>362</v>
      </c>
      <c r="C128" s="109">
        <f>IF(ISERROR(VLOOKUP($A128,'Group Model'!$1:$1048576,MATCH(C$14,'Group Model'!$1:$1,0),FALSE) * 100),"n.a.",VLOOKUP($A128,'Group Model'!$1:$1048576,MATCH(C$14,'Group Model'!$1:$1,0),FALSE) * 100)</f>
        <v>91.314623338257007</v>
      </c>
      <c r="D128" s="109">
        <f>IF(ISERROR(VLOOKUP($A128,'Group Model'!$1:$1048576,MATCH(D$14,'Group Model'!$1:$1,0),FALSE) * 100),"n.a.",VLOOKUP($A128,'Group Model'!$1:$1048576,MATCH(D$14,'Group Model'!$1:$1,0),FALSE) * 100)</f>
        <v>79.151548981300579</v>
      </c>
      <c r="E128" s="109">
        <f>IF(ISERROR(VLOOKUP($A128,'Group Model'!$1:$1048576,MATCH(E$14,'Group Model'!$1:$1,0),FALSE) * 100),"n.a.",VLOOKUP($A128,'Group Model'!$1:$1048576,MATCH(E$14,'Group Model'!$1:$1,0),FALSE) * 100)</f>
        <v>71.958549409307409</v>
      </c>
      <c r="F128" s="109">
        <f>IF(ISERROR(VLOOKUP($A128,'Group Model'!$1:$1048576,MATCH(F$14,'Group Model'!$1:$1,0),FALSE) * 100),"n.a.",VLOOKUP($A128,'Group Model'!$1:$1048576,MATCH(F$14,'Group Model'!$1:$1,0),FALSE) * 100)</f>
        <v>78.569435088908406</v>
      </c>
      <c r="G128" s="109">
        <f>IF(ISERROR(VLOOKUP($A128,'Group Model'!$1:$1048576,MATCH(G$14,'Group Model'!$1:$1,0),FALSE) * 100),"n.a.",VLOOKUP($A128,'Group Model'!$1:$1048576,MATCH(G$14,'Group Model'!$1:$1,0),FALSE) * 100)</f>
        <v>66.024704368904381</v>
      </c>
      <c r="H128" s="109"/>
      <c r="I128" s="109">
        <f>IF(ISERROR(VLOOKUP($A128,'Group Model'!$1:$1048576,MATCH(I$14,'Group Model'!$1:$1,0),FALSE) * 100),"n.a.",VLOOKUP($A128,'Group Model'!$1:$1048576,MATCH(I$14,'Group Model'!$1:$1,0),FALSE) * 100)</f>
        <v>72.978303747534525</v>
      </c>
      <c r="J128" s="109">
        <f>IF(ISERROR(VLOOKUP($A128,'Group Model'!$1:$1048576,MATCH(J$14,'Group Model'!$1:$1,0),FALSE) * 100),"n.a.",VLOOKUP($A128,'Group Model'!$1:$1048576,MATCH(J$14,'Group Model'!$1:$1,0),FALSE) * 100)</f>
        <v>66.657561648969391</v>
      </c>
      <c r="K128" s="109">
        <f>IF(ISERROR(VLOOKUP($A128,'Group Model'!$1:$1048576,MATCH(K$14,'Group Model'!$1:$1,0),FALSE) * 100),"n.a.",VLOOKUP($A128,'Group Model'!$1:$1048576,MATCH(K$14,'Group Model'!$1:$1,0),FALSE) * 100)</f>
        <v>75.428406250433795</v>
      </c>
      <c r="L128" s="109">
        <f>IF(ISERROR(VLOOKUP($A128,'Group Model'!$1:$1048576,MATCH(L$14,'Group Model'!$1:$1,0),FALSE) * 100),"n.a.",VLOOKUP($A128,'Group Model'!$1:$1048576,MATCH(L$14,'Group Model'!$1:$1,0),FALSE) * 100)</f>
        <v>77.700343590739308</v>
      </c>
    </row>
    <row r="129" spans="1:45">
      <c r="A129" s="105" t="s">
        <v>363</v>
      </c>
      <c r="B129" s="106" t="s">
        <v>364</v>
      </c>
      <c r="C129" s="109">
        <f>IF(ISERROR(VLOOKUP($A129,'Group Model'!$1:$1048576,MATCH(C$14,'Group Model'!$1:$1,0),FALSE) * 100),"n.a.",VLOOKUP($A129,'Group Model'!$1:$1048576,MATCH(C$14,'Group Model'!$1:$1,0),FALSE) * 100)</f>
        <v>61.427842325798942</v>
      </c>
      <c r="D129" s="109">
        <f>IF(ISERROR(VLOOKUP($A129,'Group Model'!$1:$1048576,MATCH(D$14,'Group Model'!$1:$1,0),FALSE) * 100),"n.a.",VLOOKUP($A129,'Group Model'!$1:$1048576,MATCH(D$14,'Group Model'!$1:$1,0),FALSE) * 100)</f>
        <v>59.331790339302593</v>
      </c>
      <c r="E129" s="109">
        <f>IF(ISERROR(VLOOKUP($A129,'Group Model'!$1:$1048576,MATCH(E$14,'Group Model'!$1:$1,0),FALSE) * 100),"n.a.",VLOOKUP($A129,'Group Model'!$1:$1048576,MATCH(E$14,'Group Model'!$1:$1,0),FALSE) * 100)</f>
        <v>54.60180931694839</v>
      </c>
      <c r="F129" s="109">
        <f>IF(ISERROR(VLOOKUP($A129,'Group Model'!$1:$1048576,MATCH(F$14,'Group Model'!$1:$1,0),FALSE) * 100),"n.a.",VLOOKUP($A129,'Group Model'!$1:$1048576,MATCH(F$14,'Group Model'!$1:$1,0),FALSE) * 100)</f>
        <v>54.297498858272967</v>
      </c>
      <c r="G129" s="109">
        <f>IF(ISERROR(VLOOKUP($A129,'Group Model'!$1:$1048576,MATCH(G$14,'Group Model'!$1:$1,0),FALSE) * 100),"n.a.",VLOOKUP($A129,'Group Model'!$1:$1048576,MATCH(G$14,'Group Model'!$1:$1,0),FALSE) * 100)</f>
        <v>55.752641604110174</v>
      </c>
      <c r="H129" s="109"/>
      <c r="I129" s="109">
        <f>IF(ISERROR(VLOOKUP($A129,'Group Model'!$1:$1048576,MATCH(I$14,'Group Model'!$1:$1,0),FALSE) * 100),"n.a.",VLOOKUP($A129,'Group Model'!$1:$1048576,MATCH(I$14,'Group Model'!$1:$1,0),FALSE) * 100)</f>
        <v>61.142829599156677</v>
      </c>
      <c r="J129" s="109">
        <f>IF(ISERROR(VLOOKUP($A129,'Group Model'!$1:$1048576,MATCH(J$14,'Group Model'!$1:$1,0),FALSE) * 100),"n.a.",VLOOKUP($A129,'Group Model'!$1:$1048576,MATCH(J$14,'Group Model'!$1:$1,0),FALSE) * 100)</f>
        <v>58.077144639814563</v>
      </c>
      <c r="K129" s="109">
        <f>IF(ISERROR(VLOOKUP($A129,'Group Model'!$1:$1048576,MATCH(K$14,'Group Model'!$1:$1,0),FALSE) * 100),"n.a.",VLOOKUP($A129,'Group Model'!$1:$1048576,MATCH(K$14,'Group Model'!$1:$1,0),FALSE) * 100)</f>
        <v>51.610865618820547</v>
      </c>
      <c r="L129" s="109">
        <f>IF(ISERROR(VLOOKUP($A129,'Group Model'!$1:$1048576,MATCH(L$14,'Group Model'!$1:$1,0),FALSE) * 100),"n.a.",VLOOKUP($A129,'Group Model'!$1:$1048576,MATCH(L$14,'Group Model'!$1:$1,0),FALSE) * 100)</f>
        <v>52.86278973101053</v>
      </c>
    </row>
    <row r="132" spans="1:45">
      <c r="B132" s="146" t="s">
        <v>365</v>
      </c>
      <c r="C132" s="147"/>
      <c r="D132" s="147"/>
      <c r="E132" s="147"/>
      <c r="F132" s="147"/>
      <c r="G132" s="147"/>
      <c r="H132" s="147"/>
      <c r="I132" s="147"/>
      <c r="J132" s="147"/>
      <c r="K132" s="147"/>
      <c r="L132" s="147"/>
    </row>
    <row r="134" spans="1:45">
      <c r="B134" s="150" t="s">
        <v>366</v>
      </c>
      <c r="C134" s="151">
        <f>(EOMONTH(DATE(C135,MONTH($C$10),15),0)-G$2)/(EOMONTH(DATE(C135,MONTH($C$10),15),0)-EOMONTH(DATE(C135-1,MONTH(C$10),15),0))</f>
        <v>0.58082191780821912</v>
      </c>
      <c r="D134" s="151">
        <f>1-C134</f>
        <v>0.41917808219178088</v>
      </c>
      <c r="E134" s="149" t="s">
        <v>367</v>
      </c>
      <c r="F134" s="152" t="s">
        <v>368</v>
      </c>
      <c r="G134" s="149" t="s">
        <v>369</v>
      </c>
      <c r="H134" s="149" t="s">
        <v>370</v>
      </c>
      <c r="I134" s="149" t="s">
        <v>370</v>
      </c>
      <c r="J134" s="149"/>
      <c r="K134" s="153"/>
      <c r="L134" s="153"/>
      <c r="M134" s="120"/>
    </row>
    <row r="135" spans="1:45">
      <c r="B135" s="150"/>
      <c r="C135" s="149">
        <f>IF(MONTH($G$2)&lt;=MONTH($C$10),YEAR($G$2),YEAR($G$2)+1)</f>
        <v>2027</v>
      </c>
      <c r="D135" s="149">
        <f>C135+1</f>
        <v>2028</v>
      </c>
      <c r="E135" s="149" t="s">
        <v>371</v>
      </c>
      <c r="F135" s="149" t="s">
        <v>372</v>
      </c>
      <c r="G135" s="149" t="s">
        <v>373</v>
      </c>
      <c r="H135" s="149" t="s">
        <v>374</v>
      </c>
      <c r="I135" s="149" t="s">
        <v>375</v>
      </c>
      <c r="J135" s="149" t="s">
        <v>376</v>
      </c>
      <c r="K135" s="153" t="s">
        <v>377</v>
      </c>
      <c r="L135" s="153"/>
      <c r="M135" s="120"/>
    </row>
    <row r="136" spans="1:45">
      <c r="A136" s="105" t="s">
        <v>294</v>
      </c>
      <c r="B136" s="106" t="s">
        <v>378</v>
      </c>
      <c r="C136" s="113">
        <f>VLOOKUP($A136,'Group Model'!$1:$1048576,MATCH("FY"&amp;RIGHT(Summary!C$135,2)&amp;"E",'Group Model'!$1:$1,0),FALSE)</f>
        <v>12.191087646398307</v>
      </c>
      <c r="D136" s="113">
        <f>VLOOKUP($A136,'Group Model'!$1:$1048576,MATCH("FY"&amp;RIGHT(Summary!D$135,2)&amp;"E",'Group Model'!$1:$1,0),FALSE)</f>
        <v>13.536357906578234</v>
      </c>
      <c r="E136" s="113">
        <f>SUMPRODUCT(C136:D136,C$134:D$134)</f>
        <v>12.754995454090167</v>
      </c>
      <c r="F136" s="121">
        <v>17.8</v>
      </c>
      <c r="G136" s="288">
        <f ca="1">MAX(100%,((((VLOOKUP("AD_ProfitabilityROTECash",'Group Model'!$1:$1048576,MATCH("FY"&amp;RIGHT(Summary!$C$135,2)&amp;"E",'Group Model'!$1:$1,0),FALSE)-$G$4)/($G$8-$G$4))/VLOOKUP("AD_ProfitabilityROTECash",'Group Model'!$1:$1048576,MATCH("FY"&amp;RIGHT(Summary!$C$135,2)&amp;"E",'Group Model'!$1:$1,0),FALSE))*C134+(((VLOOKUP("AD_ProfitabilityROTECash",'Group Model'!$1:$1048576,MATCH("FY"&amp;RIGHT($D$135,2)&amp;"E",'Group Model'!$1:$1,0),FALSE)-$G$4)/($G$8-$G$4))/VLOOKUP("AD_ProfitabilityROTECash",'Group Model'!$1:$1048576,MATCH("FY"&amp;RIGHT(Summary!$D$135,2)&amp;"E",'Group Model'!$1:$1,0),FALSE))*D134)/((((((AVERAGE(INDIRECT(ADDRESS(ROW('Group Model'!$522:$522),MATCH("FY"&amp;RIGHT(Summary!$C$135,2)&amp;"E",'Group Model'!$1:$1,0)-10,,,"Group Model")&amp;":"&amp;ADDRESS(ROW('Group Model'!$522:$522),MATCH("FY"&amp;RIGHT(Summary!$C$135,2)&amp;"E",'Group Model'!$1:$1,0),,,))))*10+26.3%*7)/(10+7))-$G$4)/($G$8-$G$4))/((((AVERAGE(INDIRECT(ADDRESS(ROW('Group Model'!$522:$522),MATCH("FY"&amp;RIGHT(Summary!$C$135,2)&amp;"E",'Group Model'!$1:$1,0)-10,,,"Group Model")&amp;":"&amp;ADDRESS(ROW('Group Model'!$522:$522),MATCH("FY"&amp;RIGHT(Summary!$C$135,2)&amp;"E",'Group Model'!$1:$1,0),,,))))*10+26.3%*7)/(10+7)))))</f>
        <v>1</v>
      </c>
      <c r="H136" s="122" t="s">
        <v>55</v>
      </c>
      <c r="I136" s="122" t="s">
        <v>55</v>
      </c>
      <c r="J136" s="122">
        <f ca="1">E136*F136*G136</f>
        <v>227.03891908280499</v>
      </c>
      <c r="K136" s="123" t="s">
        <v>1873</v>
      </c>
    </row>
    <row r="137" spans="1:45">
      <c r="A137" s="105" t="s">
        <v>380</v>
      </c>
      <c r="B137" s="106" t="s">
        <v>1372</v>
      </c>
      <c r="C137" s="113">
        <f>VLOOKUP($A137,'Group Model'!$1:$1048576,MATCH("FY"&amp;RIGHT(Summary!C$135,2)&amp;"E",'Group Model'!$1:$1,0),FALSE)</f>
        <v>87.709483274700645</v>
      </c>
      <c r="D137" s="113">
        <f>VLOOKUP($A137,'Group Model'!$1:$1048576,MATCH("FY"&amp;RIGHT(Summary!D$135,2)&amp;"E",'Group Model'!$1:$1,0),FALSE)</f>
        <v>92.723327788656178</v>
      </c>
      <c r="E137" s="113">
        <f>SUMPRODUCT(C137:D137,C$134:D$134)</f>
        <v>89.811177002468298</v>
      </c>
      <c r="F137" s="340">
        <f>((VLOOKUP("AD_ProfitabilityROTECashOptimised",'Group Model'!$1:$1048576,MATCH($G$3,'Group Model'!$1:$1,0),FALSE))-$G$4)/($G$8-$G$4)</f>
        <v>1.8973251625128289</v>
      </c>
      <c r="G137" s="291">
        <v>1</v>
      </c>
      <c r="H137" s="122">
        <f ca="1">SUMPRODUCT(C151:G151,C156:G156)</f>
        <v>13.187859452992871</v>
      </c>
      <c r="I137" s="122">
        <f>VLOOKUP("CET1_Surplus",'Group Model'!$1:$1048576,MATCH("FY"&amp;RIGHT(Summary!C$135-1,2)&amp;"E",'Group Model'!$1:$1,0),FALSE) / VLOOKUP("OrdEqu_SOIEOP",'Group Model'!$1:$1048576,MATCH("FY"&amp;RIGHT(Summary!C$135-1,2)&amp;"E",'Group Model'!$1:$1,0),FALSE) * Summary!C134 +
VLOOKUP("CET1_Surplus",'Group Model'!$1:$1048576,MATCH("FY"&amp;RIGHT(Summary!D$135-1,2)&amp;"E",'Group Model'!$1:$1,0),FALSE) / VLOOKUP("OrdEqu_SOIEOP",'Group Model'!$1:$1048576,MATCH("FY"&amp;RIGHT(Summary!D$135-1,2)&amp;"E",'Group Model'!$1:$1,0),FALSE) * Summary!D134</f>
        <v>8.8911777076502876</v>
      </c>
      <c r="J137" s="122">
        <f ca="1">E137*F137*G137+H137+I137</f>
        <v>192.48004316231976</v>
      </c>
      <c r="K137" s="123" t="s">
        <v>381</v>
      </c>
      <c r="N137" s="106" t="s">
        <v>382</v>
      </c>
      <c r="O137" s="273">
        <f>VLOOKUP("AD_ProfitabilityROTECashOptimised",'Group Model'!$1:$1048576,MATCH($G$3,'Group Model'!$1:$1,0),FALSE)</f>
        <v>0.14314753426323124</v>
      </c>
      <c r="P137" s="518"/>
      <c r="Q137" s="518"/>
    </row>
    <row r="138" spans="1:45" s="87" customFormat="1">
      <c r="A138" s="91" t="s">
        <v>486</v>
      </c>
      <c r="B138" s="87" t="s">
        <v>1373</v>
      </c>
      <c r="C138" s="113">
        <f>VLOOKUP($A138,'Group Model'!$1:$1048576,MATCH("FY"&amp;RIGHT(Summary!C$135,2)&amp;"E",'Group Model'!$1:$1,0),FALSE)</f>
        <v>92.685552673604889</v>
      </c>
      <c r="D138" s="113">
        <f>VLOOKUP($A138,'Group Model'!$1:$1048576,MATCH("FY"&amp;RIGHT(Summary!D$135,2)&amp;"E",'Group Model'!$1:$1,0),FALSE)</f>
        <v>98.116049593547856</v>
      </c>
      <c r="E138" s="113">
        <f>SUMPRODUCT(C138:D138,C$134:D$134)</f>
        <v>94.961897957854958</v>
      </c>
      <c r="F138" s="371">
        <v>2.25</v>
      </c>
      <c r="G138" s="372">
        <v>1</v>
      </c>
      <c r="H138" s="122" t="s">
        <v>55</v>
      </c>
      <c r="I138" s="122" t="s">
        <v>55</v>
      </c>
      <c r="J138" s="122">
        <f>E138*F138*G138</f>
        <v>213.66427040517365</v>
      </c>
      <c r="K138" s="373" t="str">
        <f>"Sustainable ROTE = "&amp;TEXT(VLOOKUP("AD_ProfitabilityROTECash",'Group Model'!$1:$1048576,MATCH($G$3,'Group Model'!$1:$1,0),FALSE),"0.0%")</f>
        <v>Sustainable ROTE = 13.7%</v>
      </c>
      <c r="O138" s="374"/>
      <c r="P138" s="374"/>
      <c r="Q138" s="374"/>
    </row>
    <row r="139" spans="1:45">
      <c r="C139" s="110"/>
      <c r="D139" s="110"/>
      <c r="E139" s="67"/>
      <c r="F139" s="113"/>
      <c r="G139" s="110"/>
      <c r="H139" s="110"/>
      <c r="I139" s="358"/>
      <c r="J139" s="358"/>
      <c r="O139" s="290"/>
      <c r="P139" s="290"/>
      <c r="Q139" s="290"/>
    </row>
    <row r="140" spans="1:45">
      <c r="B140" s="150" t="s">
        <v>383</v>
      </c>
      <c r="C140" s="149" t="str">
        <f>C$14</f>
        <v>FY24A</v>
      </c>
      <c r="D140" s="149" t="str">
        <f>D$14</f>
        <v>FY25A</v>
      </c>
      <c r="E140" s="149" t="str">
        <f>E$14</f>
        <v>FY26E</v>
      </c>
      <c r="F140" s="149" t="str">
        <f>F$14</f>
        <v>FY27E</v>
      </c>
      <c r="G140" s="149" t="str">
        <f>G$14</f>
        <v>FY28E</v>
      </c>
      <c r="H140" s="110"/>
      <c r="J140" s="291"/>
    </row>
    <row r="141" spans="1:45">
      <c r="A141" s="105" t="s">
        <v>263</v>
      </c>
      <c r="B141" s="106" t="s">
        <v>384</v>
      </c>
      <c r="C141" s="108">
        <f>VLOOKUP($A141,'Group Model'!$1:$1048576,MATCH(C$140,'Group Model'!$1:$1,0),FALSE)</f>
        <v>382.96253300000001</v>
      </c>
      <c r="D141" s="108">
        <f>VLOOKUP($A141,'Group Model'!$1:$1048576,MATCH(D$140,'Group Model'!$1:$1,0),FALSE)</f>
        <v>381.13841500000001</v>
      </c>
      <c r="E141" s="108">
        <f>VLOOKUP($A141,'Group Model'!$1:$1048576,MATCH(E$140,'Group Model'!$1:$1,0),FALSE)</f>
        <v>379.68406348563246</v>
      </c>
      <c r="F141" s="108">
        <f>VLOOKUP($A141,'Group Model'!$1:$1048576,MATCH(F$140,'Group Model'!$1:$1,0),FALSE)</f>
        <v>376.96049988651816</v>
      </c>
      <c r="G141" s="108">
        <f>VLOOKUP($A141,'Group Model'!$1:$1048576,MATCH(G$140,'Group Model'!$1:$1,0),FALSE)</f>
        <v>376.96049988651816</v>
      </c>
      <c r="H141" s="110"/>
      <c r="J141" s="276"/>
      <c r="L141" s="274"/>
      <c r="R141" s="276"/>
    </row>
    <row r="142" spans="1:45">
      <c r="C142" s="108"/>
      <c r="D142" s="108"/>
      <c r="E142" s="108"/>
      <c r="F142" s="108"/>
      <c r="G142" s="108"/>
      <c r="H142" s="110"/>
    </row>
    <row r="143" spans="1:45">
      <c r="A143" s="105" t="s">
        <v>252</v>
      </c>
      <c r="B143" s="106" t="s">
        <v>385</v>
      </c>
      <c r="C143" s="108">
        <f ca="1">VLOOKUP($A143,'Group Model'!$1:$1048576,MATCH(C$140,'Group Model'!$1:$1,0),FALSE)</f>
        <v>14158.748367704173</v>
      </c>
      <c r="D143" s="108">
        <f ca="1">VLOOKUP($A143,'Group Model'!$1:$1048576,MATCH(D$140,'Group Model'!$1:$1,0),FALSE)</f>
        <v>12625.353217532962</v>
      </c>
      <c r="E143" s="108">
        <f ca="1">VLOOKUP($A143,'Group Model'!$1:$1048576,MATCH(E$140,'Group Model'!$1:$1,0),FALSE)</f>
        <v>10874.803772113682</v>
      </c>
      <c r="F143" s="108">
        <f ca="1">VLOOKUP($A143,'Group Model'!$1:$1048576,MATCH(F$140,'Group Model'!$1:$1,0),FALSE)</f>
        <v>8353.5414683452818</v>
      </c>
      <c r="G143" s="108">
        <f ca="1">VLOOKUP($A143,'Group Model'!$1:$1048576,MATCH(G$140,'Group Model'!$1:$1,0),FALSE)</f>
        <v>5842.5109344203502</v>
      </c>
      <c r="H143" s="110"/>
      <c r="I143" s="357"/>
      <c r="J143" s="290"/>
      <c r="K143" s="125"/>
      <c r="L143" s="274"/>
      <c r="M143" s="125"/>
      <c r="N143" s="125"/>
      <c r="O143" s="125"/>
      <c r="P143" s="125"/>
      <c r="Q143" s="125"/>
      <c r="R143" s="125"/>
      <c r="S143" s="125"/>
      <c r="T143" s="125"/>
      <c r="U143" s="125"/>
      <c r="V143" s="125"/>
      <c r="W143" s="125"/>
      <c r="X143" s="125"/>
      <c r="Y143" s="125"/>
      <c r="Z143" s="125"/>
      <c r="AA143" s="125"/>
      <c r="AB143" s="125"/>
      <c r="AC143" s="125"/>
      <c r="AD143" s="125"/>
      <c r="AE143" s="125"/>
      <c r="AF143" s="125"/>
      <c r="AG143" s="125"/>
      <c r="AH143" s="125"/>
      <c r="AI143" s="125"/>
      <c r="AJ143" s="125"/>
      <c r="AK143" s="125"/>
      <c r="AL143" s="125"/>
      <c r="AM143" s="125"/>
      <c r="AN143" s="125"/>
      <c r="AO143" s="125"/>
      <c r="AP143" s="125"/>
      <c r="AQ143" s="125"/>
      <c r="AR143" s="125"/>
      <c r="AS143" s="125"/>
    </row>
    <row r="144" spans="1:45">
      <c r="A144" s="105" t="s">
        <v>253</v>
      </c>
      <c r="B144" s="106" t="s">
        <v>386</v>
      </c>
      <c r="C144" s="108">
        <f ca="1">VLOOKUP($A144,'Group Model'!$1:$1048576,MATCH(C$140,'Group Model'!$1:$1,0),FALSE)</f>
        <v>52939.929638589987</v>
      </c>
      <c r="D144" s="108">
        <f ca="1">VLOOKUP($A144,'Group Model'!$1:$1048576,MATCH(D$140,'Group Model'!$1:$1,0),FALSE)</f>
        <v>57810.403165340271</v>
      </c>
      <c r="E144" s="108">
        <f ca="1">VLOOKUP($A144,'Group Model'!$1:$1048576,MATCH(E$140,'Group Model'!$1:$1,0),FALSE)</f>
        <v>63128.960256551582</v>
      </c>
      <c r="F144" s="108">
        <f ca="1">VLOOKUP($A144,'Group Model'!$1:$1048576,MATCH(F$140,'Group Model'!$1:$1,0),FALSE)</f>
        <v>68936.82460015433</v>
      </c>
      <c r="G144" s="108">
        <f ca="1">VLOOKUP($A144,'Group Model'!$1:$1048576,MATCH(G$140,'Group Model'!$1:$1,0),FALSE)</f>
        <v>75279.012463368534</v>
      </c>
      <c r="H144" s="110"/>
      <c r="J144" s="289"/>
      <c r="K144" s="126"/>
      <c r="L144" s="126"/>
      <c r="M144" s="126"/>
      <c r="N144" s="126"/>
      <c r="R144" s="126"/>
      <c r="S144" s="126"/>
      <c r="T144" s="126"/>
      <c r="U144" s="126"/>
      <c r="V144" s="126"/>
      <c r="W144" s="126"/>
      <c r="X144" s="126"/>
      <c r="Y144" s="126"/>
      <c r="Z144" s="126"/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</row>
    <row r="145" spans="1:45">
      <c r="B145" s="111" t="s">
        <v>387</v>
      </c>
      <c r="C145" s="112">
        <f ca="1">C143+C144</f>
        <v>67098.678006294154</v>
      </c>
      <c r="D145" s="112">
        <f ca="1">D143+D144</f>
        <v>70435.756382873238</v>
      </c>
      <c r="E145" s="112">
        <f ca="1">E143+E144</f>
        <v>74003.76402866526</v>
      </c>
      <c r="F145" s="112">
        <f ca="1">F143+F144</f>
        <v>77290.366068499614</v>
      </c>
      <c r="G145" s="112">
        <f ca="1">G143+G144</f>
        <v>81121.523397788886</v>
      </c>
      <c r="H145" s="110"/>
    </row>
    <row r="146" spans="1:45" s="118" customFormat="1">
      <c r="A146" s="119"/>
      <c r="B146" s="118" t="s">
        <v>388</v>
      </c>
      <c r="C146" s="127">
        <f ca="1">C145/C$141</f>
        <v>175.20951065543051</v>
      </c>
      <c r="D146" s="127">
        <f ca="1">D145/D$141</f>
        <v>184.80361362386742</v>
      </c>
      <c r="E146" s="127">
        <f ca="1">E145/E$141</f>
        <v>194.90879693312601</v>
      </c>
      <c r="F146" s="127">
        <f ca="1">F145/F$141</f>
        <v>205.03571618715341</v>
      </c>
      <c r="G146" s="127">
        <f ca="1">G145/G$141</f>
        <v>215.19900207637156</v>
      </c>
      <c r="H146" s="128"/>
      <c r="I146" s="106"/>
      <c r="J146" s="274"/>
      <c r="K146" s="106"/>
      <c r="L146" s="106"/>
      <c r="M146" s="106"/>
      <c r="O146" s="106"/>
      <c r="P146" s="106"/>
      <c r="Q146" s="106"/>
    </row>
    <row r="147" spans="1:45">
      <c r="B147" s="111"/>
      <c r="C147" s="110"/>
      <c r="D147" s="110"/>
      <c r="E147" s="179"/>
      <c r="F147" s="179"/>
      <c r="G147" s="179"/>
      <c r="H147" s="110"/>
      <c r="J147" s="291"/>
      <c r="K147" s="359"/>
      <c r="L147" s="109"/>
    </row>
    <row r="148" spans="1:45">
      <c r="A148" s="105" t="s">
        <v>256</v>
      </c>
      <c r="B148" s="106" t="s">
        <v>389</v>
      </c>
      <c r="C148" s="108">
        <f ca="1">VLOOKUP($A148,'Group Model'!$1:$1048576,MATCH(C$140,'Group Model'!$1:$1,0),FALSE)</f>
        <v>1174.1737398761077</v>
      </c>
      <c r="D148" s="108">
        <f ca="1">VLOOKUP($A148,'Group Model'!$1:$1048576,MATCH(D$140,'Group Model'!$1:$1,0),FALSE)</f>
        <v>1060.1677239447097</v>
      </c>
      <c r="E148" s="108">
        <f ca="1">VLOOKUP($A148,'Group Model'!$1:$1048576,MATCH(E$140,'Group Model'!$1:$1,0),FALSE)</f>
        <v>924.97001111279553</v>
      </c>
      <c r="F148" s="108">
        <f ca="1">VLOOKUP($A148,'Group Model'!$1:$1048576,MATCH(F$140,'Group Model'!$1:$1,0),FALSE)</f>
        <v>751.81873215107612</v>
      </c>
      <c r="G148" s="108">
        <f ca="1">VLOOKUP($A148,'Group Model'!$1:$1048576,MATCH(G$140,'Group Model'!$1:$1,0),FALSE)</f>
        <v>525.82598409783134</v>
      </c>
      <c r="H148" s="110"/>
    </row>
    <row r="149" spans="1:45">
      <c r="A149" s="105" t="s">
        <v>258</v>
      </c>
      <c r="B149" s="106" t="s">
        <v>390</v>
      </c>
      <c r="C149" s="108">
        <f ca="1">VLOOKUP($A149,'Group Model'!$1:$1048576,MATCH(C$140,'Group Model'!$1:$1,0),FALSE)</f>
        <v>3342.3801650920345</v>
      </c>
      <c r="D149" s="108">
        <f ca="1">VLOOKUP($A149,'Group Model'!$1:$1048576,MATCH(D$140,'Group Model'!$1:$1,0),FALSE)</f>
        <v>3649.8791402805018</v>
      </c>
      <c r="E149" s="108">
        <f ca="1">VLOOKUP($A149,'Group Model'!$1:$1048576,MATCH(E$140,'Group Model'!$1:$1,0),FALSE)</f>
        <v>3985.6680211863086</v>
      </c>
      <c r="F149" s="108">
        <f ca="1">VLOOKUP($A149,'Group Model'!$1:$1048576,MATCH(F$140,'Group Model'!$1:$1,0),FALSE)</f>
        <v>4352.3494791354497</v>
      </c>
      <c r="G149" s="108">
        <f ca="1">VLOOKUP($A149,'Group Model'!$1:$1048576,MATCH(G$140,'Group Model'!$1:$1,0),FALSE)</f>
        <v>4752.7656312159115</v>
      </c>
      <c r="H149" s="110"/>
      <c r="J149" s="276"/>
    </row>
    <row r="150" spans="1:45">
      <c r="B150" s="111" t="s">
        <v>387</v>
      </c>
      <c r="C150" s="112">
        <f ca="1">C148+C149</f>
        <v>4516.553904968142</v>
      </c>
      <c r="D150" s="112">
        <f ca="1">D148+D149</f>
        <v>4710.0468642252117</v>
      </c>
      <c r="E150" s="112">
        <f ca="1">E148+E149</f>
        <v>4910.6380322991045</v>
      </c>
      <c r="F150" s="112">
        <f ca="1">F148+F149</f>
        <v>5104.1682112865255</v>
      </c>
      <c r="G150" s="112">
        <f ca="1">G148+G149</f>
        <v>5278.5916153137432</v>
      </c>
      <c r="H150" s="110"/>
      <c r="J150" s="289"/>
    </row>
    <row r="151" spans="1:45" s="118" customFormat="1">
      <c r="A151" s="119"/>
      <c r="B151" s="118" t="s">
        <v>391</v>
      </c>
      <c r="C151" s="127">
        <f ca="1">C150/C$141</f>
        <v>11.793722664165013</v>
      </c>
      <c r="D151" s="127">
        <f ca="1">D150/D$141</f>
        <v>12.357838199608432</v>
      </c>
      <c r="E151" s="127">
        <f ca="1">E150/E$141</f>
        <v>12.933484716787243</v>
      </c>
      <c r="F151" s="127">
        <f ca="1">F150/F$141</f>
        <v>13.540326407735311</v>
      </c>
      <c r="G151" s="127">
        <f ca="1">G150/G$141</f>
        <v>14.003036437246962</v>
      </c>
      <c r="H151" s="128"/>
      <c r="I151" s="125"/>
      <c r="J151" s="290"/>
      <c r="K151" s="125"/>
      <c r="L151" s="106"/>
      <c r="M151" s="106"/>
      <c r="O151" s="125"/>
      <c r="P151" s="125"/>
      <c r="Q151" s="125"/>
    </row>
    <row r="152" spans="1:45">
      <c r="B152" s="111"/>
      <c r="C152" s="110"/>
      <c r="D152" s="110"/>
      <c r="E152" s="110"/>
      <c r="F152" s="110"/>
      <c r="G152" s="110"/>
      <c r="H152" s="110"/>
      <c r="J152" s="289"/>
      <c r="K152" s="126"/>
    </row>
    <row r="153" spans="1:45">
      <c r="B153" s="111" t="s">
        <v>392</v>
      </c>
      <c r="C153" s="112">
        <f ca="1">C145+C150</f>
        <v>71615.231911262294</v>
      </c>
      <c r="D153" s="112">
        <f ca="1">D145+D150</f>
        <v>75145.803247098447</v>
      </c>
      <c r="E153" s="112">
        <f ca="1">E145+E150</f>
        <v>78914.402060964363</v>
      </c>
      <c r="F153" s="112">
        <f ca="1">F145+F150</f>
        <v>82394.534279786138</v>
      </c>
      <c r="G153" s="112">
        <f ca="1">G145+G150</f>
        <v>86400.115013102622</v>
      </c>
      <c r="H153" s="110"/>
    </row>
    <row r="154" spans="1:45" s="132" customFormat="1">
      <c r="A154" s="119"/>
      <c r="B154" s="129" t="s">
        <v>393</v>
      </c>
      <c r="C154" s="130">
        <f ca="1">C153/C141</f>
        <v>187.00323331959549</v>
      </c>
      <c r="D154" s="130">
        <f ca="1">D153/D141</f>
        <v>197.16145182347586</v>
      </c>
      <c r="E154" s="130">
        <f ca="1">E153/E141</f>
        <v>207.84228164991325</v>
      </c>
      <c r="F154" s="130">
        <f ca="1">F153/F141</f>
        <v>218.57604259488872</v>
      </c>
      <c r="G154" s="130">
        <f ca="1">G153/G141</f>
        <v>229.2020385136185</v>
      </c>
      <c r="H154" s="131"/>
      <c r="I154" s="106"/>
      <c r="J154" s="274"/>
      <c r="K154" s="111"/>
      <c r="L154" s="111"/>
      <c r="M154" s="111"/>
      <c r="O154" s="106"/>
      <c r="P154" s="106"/>
      <c r="Q154" s="106"/>
    </row>
    <row r="155" spans="1:45">
      <c r="C155" s="110"/>
      <c r="D155" s="110"/>
      <c r="E155" s="110"/>
      <c r="F155" s="110"/>
      <c r="G155" s="110"/>
      <c r="H155" s="110"/>
      <c r="J155" s="291"/>
      <c r="K155" s="293"/>
      <c r="L155" s="109"/>
      <c r="M155" s="292"/>
    </row>
    <row r="156" spans="1:45">
      <c r="B156" s="106" t="s">
        <v>394</v>
      </c>
      <c r="C156" s="133">
        <f>IF(MID(C140,3,2)+2000+1=$C$135,$C$134,IF(MID(C140,3,2)+2000+1=$D$135,$D$134,0%))</f>
        <v>0</v>
      </c>
      <c r="D156" s="133">
        <f>IF(MID(D140,3,2)+2000+1=$C$135,$C$134,IF(MID(D140,3,2)+2000+1=$D$135,$D$134,0%))</f>
        <v>0</v>
      </c>
      <c r="E156" s="133">
        <f>IF(MID(E140,3,2)+2000+1=$C$135,$C$134,IF(MID(E140,3,2)+2000+1=$D$135,$D$134,0%))</f>
        <v>0.58082191780821912</v>
      </c>
      <c r="F156" s="133">
        <f>IF(MID(F140,3,2)+2000+1=$C$135,$C$134,IF(MID(F140,3,2)+2000+1=$D$135,$D$134,0%))</f>
        <v>0.41917808219178088</v>
      </c>
      <c r="G156" s="133">
        <f>IF(MID(G140,3,2)+2000+1=$C$135,$C$134,IF(MID(G140,3,2)+2000+1=$D$135,$D$134,0%))</f>
        <v>0</v>
      </c>
      <c r="H156" s="110"/>
    </row>
    <row r="157" spans="1:45">
      <c r="C157" s="110"/>
      <c r="D157" s="110"/>
      <c r="E157" s="110"/>
      <c r="F157" s="110"/>
      <c r="G157" s="110"/>
      <c r="H157" s="110"/>
    </row>
    <row r="158" spans="1:45">
      <c r="B158" s="134" t="s">
        <v>395</v>
      </c>
      <c r="C158" s="135"/>
      <c r="D158" s="135"/>
      <c r="E158" s="135"/>
      <c r="F158" s="135"/>
      <c r="G158" s="136">
        <f ca="1">SUMPRODUCT(C154:G154,C156:G156)</f>
        <v>212.34163897753311</v>
      </c>
      <c r="H158" s="137"/>
      <c r="I158" s="111"/>
      <c r="J158" s="111"/>
      <c r="K158" s="111"/>
      <c r="L158" s="111"/>
      <c r="M158" s="111"/>
      <c r="N158" s="111"/>
      <c r="O158" s="111"/>
      <c r="P158" s="111"/>
      <c r="Q158" s="111"/>
      <c r="R158" s="111"/>
      <c r="S158" s="111"/>
      <c r="T158" s="111"/>
      <c r="U158" s="111"/>
      <c r="V158" s="111"/>
      <c r="W158" s="111"/>
      <c r="X158" s="111"/>
      <c r="Y158" s="111"/>
      <c r="Z158" s="111"/>
      <c r="AA158" s="111"/>
      <c r="AB158" s="111"/>
      <c r="AC158" s="111"/>
      <c r="AD158" s="111"/>
      <c r="AE158" s="111"/>
      <c r="AF158" s="111"/>
      <c r="AG158" s="111"/>
      <c r="AH158" s="111"/>
      <c r="AI158" s="111"/>
      <c r="AJ158" s="111"/>
      <c r="AK158" s="111"/>
      <c r="AL158" s="111"/>
      <c r="AM158" s="111"/>
      <c r="AN158" s="111"/>
      <c r="AO158" s="111"/>
      <c r="AP158" s="111"/>
      <c r="AQ158" s="111"/>
      <c r="AR158" s="111"/>
      <c r="AS158" s="111"/>
    </row>
    <row r="159" spans="1:45">
      <c r="B159" s="111"/>
      <c r="C159" s="137"/>
      <c r="D159" s="137"/>
      <c r="E159" s="137"/>
      <c r="F159" s="137"/>
      <c r="G159" s="138"/>
      <c r="H159" s="137"/>
      <c r="I159" s="111"/>
      <c r="J159" s="111"/>
      <c r="K159" s="111"/>
      <c r="L159" s="111"/>
      <c r="M159" s="111"/>
      <c r="N159" s="111"/>
      <c r="O159" s="111"/>
      <c r="P159" s="111"/>
      <c r="Q159" s="111"/>
      <c r="R159" s="111"/>
      <c r="S159" s="111"/>
      <c r="T159" s="111"/>
      <c r="U159" s="111"/>
      <c r="V159" s="111"/>
      <c r="W159" s="111"/>
      <c r="X159" s="111"/>
      <c r="Y159" s="111"/>
      <c r="Z159" s="111"/>
      <c r="AA159" s="111"/>
      <c r="AB159" s="111"/>
      <c r="AC159" s="111"/>
      <c r="AD159" s="111"/>
      <c r="AE159" s="111"/>
      <c r="AF159" s="111"/>
      <c r="AG159" s="111"/>
      <c r="AH159" s="111"/>
      <c r="AI159" s="111"/>
      <c r="AJ159" s="111"/>
      <c r="AK159" s="111"/>
      <c r="AL159" s="111"/>
      <c r="AM159" s="111"/>
      <c r="AN159" s="111"/>
      <c r="AO159" s="111"/>
      <c r="AP159" s="111"/>
      <c r="AQ159" s="111"/>
      <c r="AR159" s="111"/>
      <c r="AS159" s="111"/>
    </row>
    <row r="160" spans="1:45">
      <c r="B160" s="150" t="s">
        <v>503</v>
      </c>
      <c r="C160" s="149" t="s">
        <v>506</v>
      </c>
      <c r="D160" s="149"/>
      <c r="E160" s="149" t="s">
        <v>1514</v>
      </c>
      <c r="F160" s="149"/>
      <c r="G160" s="149"/>
      <c r="H160" s="153"/>
      <c r="I160" s="153"/>
      <c r="J160" s="153"/>
      <c r="L160" s="111"/>
      <c r="M160" s="111"/>
      <c r="N160" s="111"/>
      <c r="R160" s="111"/>
      <c r="S160" s="111"/>
      <c r="T160" s="111"/>
      <c r="U160" s="111"/>
      <c r="V160" s="111"/>
      <c r="W160" s="111"/>
      <c r="X160" s="111"/>
      <c r="Y160" s="111"/>
      <c r="Z160" s="111"/>
      <c r="AA160" s="111"/>
      <c r="AB160" s="111"/>
      <c r="AC160" s="111"/>
      <c r="AD160" s="111"/>
      <c r="AE160" s="111"/>
      <c r="AF160" s="111"/>
      <c r="AG160" s="111"/>
      <c r="AH160" s="111"/>
      <c r="AI160" s="111"/>
      <c r="AJ160" s="111"/>
      <c r="AK160" s="111"/>
      <c r="AL160" s="111"/>
      <c r="AM160" s="111"/>
      <c r="AN160" s="111"/>
      <c r="AO160" s="111"/>
      <c r="AP160" s="111"/>
      <c r="AQ160" s="111"/>
      <c r="AR160" s="111"/>
      <c r="AS160" s="111"/>
    </row>
    <row r="161" spans="1:45">
      <c r="B161" s="150"/>
      <c r="C161" s="149" t="s">
        <v>1513</v>
      </c>
      <c r="D161" s="149" t="s">
        <v>507</v>
      </c>
      <c r="E161" s="149" t="s">
        <v>1515</v>
      </c>
      <c r="F161" s="149" t="s">
        <v>509</v>
      </c>
      <c r="G161" s="149" t="s">
        <v>508</v>
      </c>
      <c r="H161" s="153" t="s">
        <v>377</v>
      </c>
      <c r="I161" s="153"/>
      <c r="J161" s="153"/>
      <c r="L161" s="111"/>
      <c r="M161" s="111"/>
      <c r="N161" s="111"/>
      <c r="R161" s="111"/>
      <c r="S161" s="111"/>
      <c r="T161" s="111"/>
      <c r="U161" s="111"/>
      <c r="V161" s="111"/>
      <c r="W161" s="111"/>
      <c r="X161" s="111"/>
      <c r="Y161" s="111"/>
      <c r="Z161" s="111"/>
      <c r="AA161" s="111"/>
      <c r="AB161" s="111"/>
      <c r="AC161" s="111"/>
      <c r="AD161" s="111"/>
      <c r="AE161" s="111"/>
      <c r="AF161" s="111"/>
      <c r="AG161" s="111"/>
      <c r="AH161" s="111"/>
      <c r="AI161" s="111"/>
      <c r="AJ161" s="111"/>
      <c r="AK161" s="111"/>
      <c r="AL161" s="111"/>
      <c r="AM161" s="111"/>
      <c r="AN161" s="111"/>
      <c r="AO161" s="111"/>
      <c r="AP161" s="111"/>
      <c r="AQ161" s="111"/>
      <c r="AR161" s="111"/>
      <c r="AS161" s="111"/>
    </row>
    <row r="162" spans="1:45">
      <c r="A162" s="105" t="s">
        <v>292</v>
      </c>
      <c r="B162" s="106" t="str">
        <f>"FY"&amp;RIGHT($C$135,2)&amp;"E earnings"</f>
        <v>FY27E earnings</v>
      </c>
      <c r="C162" s="108">
        <f>VLOOKUP("MFG_"&amp;$A162,'Divisional Model'!$1:$1048576,MATCH(LEFT($B162,5),'Divisional Model'!$1:$1,0),FALSE)</f>
        <v>1174.5035294224585</v>
      </c>
      <c r="D162" s="108">
        <f>VLOOKUP("BFS_"&amp;$A162,'Divisional Model'!$1:$1048576,MATCH(LEFT($B162,5),'Divisional Model'!$1:$1,0),FALSE)</f>
        <v>1032.3419826637842</v>
      </c>
      <c r="E162" s="108">
        <f>VLOOKUP("MSC_"&amp;$A162,'Divisional Model'!$1:$1048576,MATCH(LEFT($B162,5),'Divisional Model'!$1:$1,0),FALSE)</f>
        <v>2512.3496368727765</v>
      </c>
      <c r="F162" s="108">
        <f>G162-C162-D162-E162</f>
        <v>-128.86146943378481</v>
      </c>
      <c r="G162" s="108">
        <f>VLOOKUP("GRP_"&amp;$A162,'Divisional Model'!$1:$1048576,MATCH(LEFT($B162,5),'Divisional Model'!$1:$1,0),FALSE)</f>
        <v>4590.3336795252344</v>
      </c>
      <c r="H162" s="123" t="s">
        <v>593</v>
      </c>
    </row>
    <row r="163" spans="1:45">
      <c r="A163" s="105" t="s">
        <v>292</v>
      </c>
      <c r="B163" s="106" t="str">
        <f>"FY"&amp;RIGHT($D$135,2)&amp;"E earnings"</f>
        <v>FY28E earnings</v>
      </c>
      <c r="C163" s="108">
        <f>VLOOKUP("MFG_"&amp;$A163,'Divisional Model'!$1:$1048576,MATCH(LEFT($B163,5),'Divisional Model'!$1:$1,0),FALSE)</f>
        <v>1227.9621921634803</v>
      </c>
      <c r="D163" s="108">
        <f>VLOOKUP("BFS_"&amp;$A163,'Divisional Model'!$1:$1048576,MATCH(LEFT($B163,5),'Divisional Model'!$1:$1,0),FALSE)</f>
        <v>1173.4089293532465</v>
      </c>
      <c r="E163" s="108">
        <f>VLOOKUP("MSC_"&amp;$A163,'Divisional Model'!$1:$1048576,MATCH(LEFT($B163,5),'Divisional Model'!$1:$1,0),FALSE)</f>
        <v>2794.9371151867326</v>
      </c>
      <c r="F163" s="108">
        <f>G163-C163-D163-E163</f>
        <v>-121.14271834139345</v>
      </c>
      <c r="G163" s="108">
        <f>VLOOKUP("GRP_"&amp;$A163,'Divisional Model'!$1:$1048576,MATCH(LEFT($B163,5),'Divisional Model'!$1:$1,0),FALSE)</f>
        <v>5075.165518362066</v>
      </c>
      <c r="H163" s="123" t="s">
        <v>593</v>
      </c>
    </row>
    <row r="164" spans="1:45" s="111" customFormat="1">
      <c r="A164" s="105"/>
      <c r="B164" s="111" t="s">
        <v>505</v>
      </c>
      <c r="C164" s="112">
        <f>C162*$C$134+C163*$D$134</f>
        <v>1196.9122291467772</v>
      </c>
      <c r="D164" s="112">
        <f>D162*$C$134+D163*$D$134</f>
        <v>1091.4741548377233</v>
      </c>
      <c r="E164" s="112">
        <f>E162*$C$134+E163*$D$134</f>
        <v>2630.8041140838322</v>
      </c>
      <c r="F164" s="112">
        <f>G164-C164-D164-E164</f>
        <v>-125.62593815396121</v>
      </c>
      <c r="G164" s="112">
        <f>G162*$C$134+G163*$D$134</f>
        <v>4793.5645599143718</v>
      </c>
      <c r="H164" s="120" t="s">
        <v>594</v>
      </c>
    </row>
    <row r="165" spans="1:45" s="111" customFormat="1">
      <c r="A165" s="105"/>
      <c r="C165" s="112"/>
      <c r="D165" s="112"/>
      <c r="E165" s="112"/>
      <c r="F165" s="112"/>
      <c r="G165" s="112"/>
      <c r="H165" s="123"/>
    </row>
    <row r="166" spans="1:45">
      <c r="A166" s="105" t="s">
        <v>515</v>
      </c>
      <c r="B166" s="106" t="str">
        <f>"FY"&amp;RIGHT($C$135,2)&amp;"E equity"</f>
        <v>FY27E equity</v>
      </c>
      <c r="C166" s="108">
        <f>VLOOKUP("MFG_"&amp;$A166,'Divisional Model'!$1:$1048576,MATCH(LEFT($B166,5),'Divisional Model'!$1:$1,0),FALSE)</f>
        <v>2717.4706426726289</v>
      </c>
      <c r="D166" s="108">
        <f>VLOOKUP("BFS_"&amp;$A166,'Divisional Model'!$1:$1048576,MATCH(LEFT($B166,5),'Divisional Model'!$1:$1,0),FALSE)</f>
        <v>9184.3578624718284</v>
      </c>
      <c r="E166" s="108">
        <f>VLOOKUP("MSC_"&amp;$A166,'Divisional Model'!$1:$1048576,MATCH(LEFT($B166,5),'Divisional Model'!$1:$1,0),FALSE)</f>
        <v>19317.634212865625</v>
      </c>
      <c r="F166" s="108">
        <f>G166-C166-D166-E166</f>
        <v>5581.166924964833</v>
      </c>
      <c r="G166" s="108">
        <f>VLOOKUP("GRP_"&amp;$A166,'Divisional Model'!$1:$1048576,MATCH(LEFT($B166,5),'Divisional Model'!$1:$1,0),FALSE)</f>
        <v>36800.629642974913</v>
      </c>
      <c r="H166" s="123" t="s">
        <v>593</v>
      </c>
    </row>
    <row r="167" spans="1:45">
      <c r="A167" s="105" t="s">
        <v>515</v>
      </c>
      <c r="B167" s="106" t="str">
        <f>"FY"&amp;RIGHT($D$135,2)-0&amp;"E equity"</f>
        <v>FY28E equity</v>
      </c>
      <c r="C167" s="108">
        <f>VLOOKUP("MFG_"&amp;$A167,'Divisional Model'!$1:$1048576,MATCH(LEFT($B167,5),'Divisional Model'!$1:$1,0),FALSE)</f>
        <v>2853.1108717992201</v>
      </c>
      <c r="D167" s="108">
        <f>VLOOKUP("BFS_"&amp;$A167,'Divisional Model'!$1:$1048576,MATCH(LEFT($B167,5),'Divisional Model'!$1:$1,0),FALSE)</f>
        <v>10099.401816025797</v>
      </c>
      <c r="E167" s="108">
        <f>VLOOKUP("MSC_"&amp;$A167,'Divisional Model'!$1:$1048576,MATCH(LEFT($B167,5),'Divisional Model'!$1:$1,0),FALSE)</f>
        <v>19943.060774293921</v>
      </c>
      <c r="F167" s="108">
        <f>G167-C167-D167-E167</f>
        <v>5964.5377001259003</v>
      </c>
      <c r="G167" s="108">
        <f>VLOOKUP("GRP_"&amp;$A167,'Divisional Model'!$1:$1048576,MATCH(LEFT($B167,5),'Divisional Model'!$1:$1,0),FALSE)</f>
        <v>38860.111162244837</v>
      </c>
      <c r="H167" s="123" t="s">
        <v>593</v>
      </c>
    </row>
    <row r="168" spans="1:45" s="111" customFormat="1">
      <c r="A168" s="105"/>
      <c r="B168" s="111" t="s">
        <v>504</v>
      </c>
      <c r="C168" s="112">
        <f>C166*$C$134+C167*$D$134</f>
        <v>2774.3280537859673</v>
      </c>
      <c r="D168" s="112">
        <f>D166*$C$134+D167*$D$134</f>
        <v>9567.9242320437661</v>
      </c>
      <c r="E168" s="112">
        <f>E166*$C$134+E167*$D$134</f>
        <v>19579.799319436937</v>
      </c>
      <c r="F168" s="112">
        <f>G168-C168-D168-E168</f>
        <v>5741.8675512652262</v>
      </c>
      <c r="G168" s="112">
        <f>G166*$C$134+G167*$D$134</f>
        <v>37663.919156531898</v>
      </c>
      <c r="H168" s="120" t="s">
        <v>594</v>
      </c>
    </row>
    <row r="169" spans="1:45">
      <c r="A169" s="105" t="s">
        <v>518</v>
      </c>
      <c r="B169" s="106" t="str">
        <f>G3&amp;" ROE"</f>
        <v>FY30E ROE</v>
      </c>
      <c r="C169" s="179">
        <f>VLOOKUP("MFG_"&amp;$A169,'Divisional Model'!$1:$1048576,MATCH(LEFT($B169,5),'Divisional Model'!$1:$1,0),FALSE)</f>
        <v>0.40880990702305059</v>
      </c>
      <c r="D169" s="179">
        <f>VLOOKUP("BFS_"&amp;$A169,'Divisional Model'!$1:$1048576,MATCH(LEFT($B169,5),'Divisional Model'!$1:$1,0),FALSE)</f>
        <v>0.11360109107717656</v>
      </c>
      <c r="E169" s="179">
        <f>VLOOKUP("MSC_"&amp;$A169,'Divisional Model'!$1:$1048576,MATCH(LEFT($B169,5),'Divisional Model'!$1:$1,0),FALSE)</f>
        <v>0.16460777421921705</v>
      </c>
      <c r="F169" s="179" t="s">
        <v>55</v>
      </c>
      <c r="G169" s="179">
        <f>VLOOKUP("GRP_"&amp;$A169,'Divisional Model'!$1:$1048576,MATCH(LEFT($B169,5),'Divisional Model'!$1:$1,0),FALSE)</f>
        <v>0.13083469367556652</v>
      </c>
      <c r="H169" s="123" t="s">
        <v>593</v>
      </c>
    </row>
    <row r="170" spans="1:45">
      <c r="B170" s="111"/>
      <c r="C170" s="413"/>
      <c r="D170" s="137"/>
      <c r="E170" s="138"/>
      <c r="F170" s="137"/>
      <c r="G170" s="111"/>
      <c r="H170" s="123"/>
      <c r="I170" s="111"/>
      <c r="J170" s="111"/>
      <c r="L170" s="111"/>
      <c r="M170" s="111"/>
      <c r="N170" s="111"/>
      <c r="R170" s="111"/>
      <c r="S170" s="111"/>
      <c r="T170" s="111"/>
      <c r="U170" s="111"/>
      <c r="V170" s="111"/>
      <c r="W170" s="111"/>
      <c r="X170" s="111"/>
      <c r="Y170" s="111"/>
      <c r="Z170" s="111"/>
      <c r="AA170" s="111"/>
      <c r="AB170" s="111"/>
      <c r="AC170" s="111"/>
      <c r="AD170" s="111"/>
      <c r="AE170" s="111"/>
      <c r="AF170" s="111"/>
      <c r="AG170" s="111"/>
      <c r="AH170" s="111"/>
      <c r="AI170" s="111"/>
      <c r="AJ170" s="111"/>
      <c r="AK170" s="111"/>
      <c r="AL170" s="111"/>
      <c r="AM170" s="111"/>
      <c r="AN170" s="111"/>
      <c r="AO170" s="111"/>
      <c r="AP170" s="111"/>
      <c r="AQ170" s="111"/>
      <c r="AR170" s="111"/>
      <c r="AS170" s="111"/>
    </row>
    <row r="171" spans="1:45">
      <c r="B171" s="106" t="s">
        <v>527</v>
      </c>
      <c r="C171" s="180">
        <f>C174/C164</f>
        <v>18.521691827967288</v>
      </c>
      <c r="D171" s="180">
        <f>D174/D164</f>
        <v>14.02439355643336</v>
      </c>
      <c r="E171" s="180">
        <f>E174/E164</f>
        <v>15.169894439896245</v>
      </c>
      <c r="F171" s="180">
        <f>F$174/F164</f>
        <v>-31.270743859834436</v>
      </c>
      <c r="G171" s="180">
        <f>G174/G164</f>
        <v>16.96306345268345</v>
      </c>
      <c r="H171" s="123"/>
    </row>
    <row r="172" spans="1:45">
      <c r="B172" s="106" t="s">
        <v>526</v>
      </c>
      <c r="C172" s="180">
        <f>C174/C168</f>
        <v>7.9907058659228936</v>
      </c>
      <c r="D172" s="180">
        <f>D174/D168</f>
        <v>1.5998520403050884</v>
      </c>
      <c r="E172" s="180">
        <f>E174/E168</f>
        <v>2.038275267871549</v>
      </c>
      <c r="F172" s="180">
        <f>F$174/F168</f>
        <v>0.68417052450091653</v>
      </c>
      <c r="G172" s="180">
        <f>G174/G168</f>
        <v>2.158924021061686</v>
      </c>
      <c r="H172" s="123" t="s">
        <v>1869</v>
      </c>
    </row>
    <row r="173" spans="1:45">
      <c r="C173" s="110"/>
      <c r="D173" s="110"/>
      <c r="E173" s="110"/>
      <c r="F173" s="180"/>
      <c r="H173" s="183"/>
    </row>
    <row r="174" spans="1:45" s="111" customFormat="1">
      <c r="A174" s="91" t="s">
        <v>117</v>
      </c>
      <c r="B174" s="111" t="s">
        <v>392</v>
      </c>
      <c r="C174" s="112">
        <f>'[2]MQG - Sum-of-the-Parts '!$J$13</f>
        <v>22168.839453381974</v>
      </c>
      <c r="D174" s="112">
        <f>'[2]MQG - Sum-of-the-Parts '!$J$14</f>
        <v>15307.263104119715</v>
      </c>
      <c r="E174" s="112">
        <f>'[2]MQG - Sum-of-the-Parts '!$J$19</f>
        <v>39909.020702696493</v>
      </c>
      <c r="F174" s="112">
        <f>'[2]MQG - Sum-of-the-Parts '!$J$23</f>
        <v>3928.4165341639232</v>
      </c>
      <c r="G174" s="112">
        <f>SUM(C174:F174)</f>
        <v>81313.539794362106</v>
      </c>
      <c r="H174" s="123" t="s">
        <v>1870</v>
      </c>
    </row>
    <row r="175" spans="1:45">
      <c r="A175" s="105" t="s">
        <v>263</v>
      </c>
      <c r="B175" s="106" t="s">
        <v>384</v>
      </c>
      <c r="C175" s="108">
        <f>$C$134*VLOOKUP($A175,'Group Model'!$1:$1048576,MATCH(LEFT($B166,5),'Group Model'!$1:$1,0),FALSE) + $D$134*VLOOKUP($A175,'Group Model'!$1:$1048576,MATCH(LEFT($B167,5),'Group Model'!$1:$1,0),FALSE)</f>
        <v>376.96049988651816</v>
      </c>
      <c r="D175" s="108">
        <f>C175</f>
        <v>376.96049988651816</v>
      </c>
      <c r="E175" s="108">
        <f>D175</f>
        <v>376.96049988651816</v>
      </c>
      <c r="F175" s="108">
        <f>E175</f>
        <v>376.96049988651816</v>
      </c>
      <c r="G175" s="108">
        <f>F175</f>
        <v>376.96049988651816</v>
      </c>
      <c r="H175" s="123" t="s">
        <v>593</v>
      </c>
    </row>
    <row r="176" spans="1:45">
      <c r="B176" s="134" t="s">
        <v>393</v>
      </c>
      <c r="C176" s="136">
        <f>C174/C175</f>
        <v>58.809449425220357</v>
      </c>
      <c r="D176" s="136">
        <f>D174/D175</f>
        <v>40.607074504431843</v>
      </c>
      <c r="E176" s="136">
        <f>E174/E175</f>
        <v>105.87056393099775</v>
      </c>
      <c r="F176" s="136">
        <f>F174/F175</f>
        <v>10.421294897864765</v>
      </c>
      <c r="G176" s="136">
        <f>G174/G175</f>
        <v>215.70838275851472</v>
      </c>
      <c r="H176" s="184" t="s">
        <v>594</v>
      </c>
      <c r="I176" s="181"/>
      <c r="J176" s="181"/>
    </row>
    <row r="177" spans="2:45">
      <c r="C177" s="110"/>
      <c r="D177" s="110"/>
      <c r="E177" s="110"/>
      <c r="F177" s="110"/>
      <c r="G177" s="122"/>
      <c r="H177" s="110"/>
    </row>
    <row r="178" spans="2:45">
      <c r="B178" s="150" t="s">
        <v>502</v>
      </c>
      <c r="C178" s="149" t="s">
        <v>376</v>
      </c>
      <c r="D178" s="149" t="s">
        <v>396</v>
      </c>
      <c r="E178" s="110"/>
      <c r="F178" s="110"/>
      <c r="G178" s="110"/>
      <c r="H178" s="110"/>
    </row>
    <row r="179" spans="2:45">
      <c r="B179" s="106" t="s">
        <v>1871</v>
      </c>
      <c r="C179" s="122">
        <v>213.66427040517365</v>
      </c>
      <c r="D179" s="139">
        <v>0</v>
      </c>
      <c r="E179" s="179"/>
      <c r="F179" s="348"/>
      <c r="G179" s="110"/>
      <c r="H179" s="110"/>
      <c r="I179" s="276"/>
    </row>
    <row r="180" spans="2:45">
      <c r="B180" s="106" t="s">
        <v>397</v>
      </c>
      <c r="C180" s="122">
        <v>212.34163897753311</v>
      </c>
      <c r="D180" s="375">
        <v>0</v>
      </c>
      <c r="E180" s="179"/>
      <c r="F180" s="348"/>
      <c r="G180" s="110"/>
      <c r="H180" s="110"/>
    </row>
    <row r="181" spans="2:45">
      <c r="B181" s="106" t="s">
        <v>528</v>
      </c>
      <c r="C181" s="122">
        <v>215.70838275851472</v>
      </c>
      <c r="D181" s="375">
        <v>0.5</v>
      </c>
      <c r="E181" s="179"/>
      <c r="F181" s="348"/>
      <c r="G181" s="110"/>
      <c r="H181" s="110"/>
    </row>
    <row r="182" spans="2:45">
      <c r="B182" s="106" t="s">
        <v>398</v>
      </c>
      <c r="C182" s="122">
        <v>183.14404712100537</v>
      </c>
      <c r="D182" s="124">
        <v>0</v>
      </c>
      <c r="E182" s="110"/>
      <c r="F182" s="348"/>
      <c r="G182" s="110"/>
      <c r="H182" s="108"/>
    </row>
    <row r="183" spans="2:45">
      <c r="B183" s="106" t="s">
        <v>378</v>
      </c>
      <c r="C183" s="122">
        <v>227.03891908280499</v>
      </c>
      <c r="D183" s="124">
        <v>0.5</v>
      </c>
      <c r="E183" s="110"/>
      <c r="F183" s="348"/>
      <c r="G183" s="110"/>
      <c r="H183" s="110"/>
    </row>
    <row r="184" spans="2:45">
      <c r="B184" s="111" t="s">
        <v>399</v>
      </c>
      <c r="C184" s="140">
        <v>221.37365092065986</v>
      </c>
      <c r="D184" s="141">
        <v>1</v>
      </c>
      <c r="E184" s="137"/>
      <c r="F184" s="137"/>
      <c r="G184" s="137"/>
      <c r="H184" s="137"/>
      <c r="I184" s="111"/>
      <c r="J184" s="111"/>
      <c r="K184" s="111"/>
      <c r="L184" s="111"/>
      <c r="M184" s="111"/>
      <c r="N184" s="111"/>
      <c r="O184" s="111"/>
      <c r="P184" s="111"/>
      <c r="Q184" s="111"/>
      <c r="R184" s="111"/>
      <c r="S184" s="111"/>
      <c r="T184" s="111"/>
      <c r="U184" s="111"/>
      <c r="V184" s="111"/>
      <c r="W184" s="111"/>
      <c r="X184" s="111"/>
      <c r="Y184" s="111"/>
      <c r="Z184" s="111"/>
      <c r="AA184" s="111"/>
      <c r="AB184" s="111"/>
      <c r="AC184" s="111"/>
      <c r="AD184" s="111"/>
      <c r="AE184" s="111"/>
      <c r="AF184" s="111"/>
      <c r="AG184" s="111"/>
      <c r="AH184" s="111"/>
      <c r="AI184" s="111"/>
      <c r="AJ184" s="111"/>
      <c r="AK184" s="111"/>
      <c r="AL184" s="111"/>
      <c r="AM184" s="111"/>
      <c r="AN184" s="111"/>
      <c r="AO184" s="111"/>
      <c r="AP184" s="111"/>
      <c r="AQ184" s="111"/>
      <c r="AR184" s="111"/>
      <c r="AS184" s="111"/>
    </row>
    <row r="185" spans="2:45">
      <c r="B185" s="118" t="s">
        <v>400</v>
      </c>
      <c r="C185" s="142">
        <v>3.2044992637108916E-2</v>
      </c>
      <c r="D185" s="128"/>
      <c r="E185" s="128"/>
      <c r="F185" s="128"/>
      <c r="G185" s="128"/>
      <c r="H185" s="335"/>
      <c r="I185" s="118"/>
      <c r="J185" s="118"/>
      <c r="K185" s="118"/>
      <c r="L185" s="118"/>
      <c r="M185" s="118"/>
      <c r="N185" s="118"/>
      <c r="O185" s="118"/>
      <c r="P185" s="118"/>
      <c r="Q185" s="118"/>
      <c r="R185" s="118"/>
      <c r="S185" s="118"/>
      <c r="T185" s="118"/>
      <c r="U185" s="118"/>
      <c r="V185" s="118"/>
      <c r="W185" s="118"/>
      <c r="X185" s="118"/>
      <c r="Y185" s="118"/>
      <c r="Z185" s="118"/>
      <c r="AA185" s="118"/>
      <c r="AB185" s="118"/>
      <c r="AC185" s="118"/>
      <c r="AD185" s="118"/>
      <c r="AE185" s="118"/>
      <c r="AF185" s="118"/>
      <c r="AG185" s="118"/>
      <c r="AH185" s="118"/>
      <c r="AI185" s="118"/>
      <c r="AJ185" s="118"/>
      <c r="AK185" s="118"/>
      <c r="AL185" s="118"/>
      <c r="AM185" s="118"/>
      <c r="AN185" s="118"/>
      <c r="AO185" s="118"/>
      <c r="AP185" s="118"/>
      <c r="AQ185" s="118"/>
      <c r="AR185" s="118"/>
      <c r="AS185" s="118"/>
    </row>
    <row r="186" spans="2:45">
      <c r="B186" s="118"/>
      <c r="C186" s="142">
        <v>6.6543827135943312E-2</v>
      </c>
      <c r="D186" s="142"/>
      <c r="E186" s="142"/>
      <c r="F186" s="128"/>
      <c r="G186" s="128"/>
      <c r="H186" s="128"/>
      <c r="I186" s="118"/>
      <c r="J186" s="118"/>
      <c r="K186" s="118"/>
      <c r="L186" s="118"/>
      <c r="M186" s="118"/>
      <c r="N186" s="118"/>
      <c r="O186" s="118"/>
      <c r="P186" s="118"/>
      <c r="Q186" s="118"/>
      <c r="R186" s="118"/>
      <c r="S186" s="118"/>
      <c r="T186" s="118"/>
      <c r="U186" s="118"/>
      <c r="V186" s="118"/>
      <c r="W186" s="118"/>
      <c r="X186" s="118"/>
      <c r="Y186" s="118"/>
      <c r="Z186" s="118"/>
      <c r="AA186" s="118"/>
      <c r="AB186" s="118"/>
      <c r="AC186" s="118"/>
      <c r="AD186" s="118"/>
      <c r="AE186" s="118"/>
      <c r="AF186" s="118"/>
      <c r="AG186" s="118"/>
      <c r="AH186" s="118"/>
      <c r="AI186" s="118"/>
      <c r="AJ186" s="118"/>
      <c r="AK186" s="118"/>
      <c r="AL186" s="118"/>
      <c r="AM186" s="118"/>
      <c r="AN186" s="118"/>
      <c r="AO186" s="118"/>
      <c r="AP186" s="118"/>
      <c r="AQ186" s="118"/>
      <c r="AR186" s="118"/>
      <c r="AS186" s="118"/>
    </row>
    <row r="187" spans="2:45">
      <c r="B187" s="118"/>
      <c r="C187" s="290"/>
      <c r="D187" s="142"/>
      <c r="E187" s="142"/>
      <c r="F187" s="128"/>
      <c r="G187" s="128"/>
      <c r="H187" s="128"/>
      <c r="I187" s="118"/>
      <c r="J187" s="118"/>
      <c r="K187" s="118"/>
      <c r="L187" s="118"/>
      <c r="M187" s="118"/>
      <c r="N187" s="118"/>
      <c r="O187" s="118"/>
      <c r="P187" s="118"/>
      <c r="Q187" s="118"/>
      <c r="R187" s="118"/>
      <c r="S187" s="118"/>
      <c r="T187" s="118"/>
      <c r="U187" s="118"/>
      <c r="V187" s="118"/>
      <c r="W187" s="118"/>
      <c r="X187" s="118"/>
      <c r="Y187" s="118"/>
      <c r="Z187" s="118"/>
      <c r="AA187" s="118"/>
      <c r="AB187" s="118"/>
      <c r="AC187" s="118"/>
      <c r="AD187" s="118"/>
      <c r="AE187" s="118"/>
      <c r="AF187" s="118"/>
      <c r="AG187" s="118"/>
      <c r="AH187" s="118"/>
      <c r="AI187" s="118"/>
      <c r="AJ187" s="118"/>
      <c r="AK187" s="118"/>
      <c r="AL187" s="118"/>
      <c r="AM187" s="118"/>
      <c r="AN187" s="118"/>
      <c r="AO187" s="118"/>
      <c r="AP187" s="118"/>
      <c r="AQ187" s="118"/>
      <c r="AR187" s="118"/>
      <c r="AS187" s="118"/>
    </row>
    <row r="188" spans="2:45">
      <c r="C188" s="113"/>
      <c r="D188" s="108"/>
      <c r="E188" s="108"/>
      <c r="F188" s="108"/>
      <c r="G188" s="108"/>
      <c r="H188" s="108"/>
      <c r="I188" s="145"/>
      <c r="J188" s="145"/>
      <c r="K188" s="145"/>
      <c r="M188" s="110"/>
      <c r="N188" s="110"/>
      <c r="O188" s="110"/>
      <c r="P188" s="110"/>
      <c r="Q188" s="110"/>
    </row>
    <row r="189" spans="2:45">
      <c r="C189" s="36"/>
      <c r="D189" s="275"/>
      <c r="E189" s="275"/>
      <c r="G189" s="275"/>
      <c r="H189" s="275"/>
      <c r="I189" s="276"/>
      <c r="J189" s="114"/>
      <c r="K189" s="112"/>
      <c r="L189" s="276"/>
    </row>
    <row r="190" spans="2:45">
      <c r="C190" s="116"/>
      <c r="D190" s="116"/>
      <c r="E190" s="116"/>
      <c r="F190" s="67"/>
      <c r="G190" s="67"/>
      <c r="H190" s="143"/>
      <c r="K190" s="112"/>
      <c r="L190" s="276"/>
    </row>
    <row r="191" spans="2:45">
      <c r="C191" s="114"/>
      <c r="D191" s="114"/>
      <c r="E191" s="114"/>
    </row>
    <row r="192" spans="2:45">
      <c r="C192" s="114"/>
      <c r="D192" s="114"/>
      <c r="E192" s="114"/>
    </row>
    <row r="193" spans="3:5">
      <c r="C193" s="114"/>
      <c r="D193" s="114"/>
      <c r="E193" s="276"/>
    </row>
    <row r="194" spans="3:5">
      <c r="C194" s="402"/>
    </row>
  </sheetData>
  <dataValidations count="1">
    <dataValidation type="list" allowBlank="1" showInputMessage="1" showErrorMessage="1" sqref="C7" xr:uid="{00000000-0002-0000-0300-000000000000}">
      <formula1>$AW$2:$AW$4</formula1>
    </dataValidation>
  </dataValidations>
  <pageMargins left="0.75" right="0.75" top="1" bottom="1" header="0.5" footer="0.5"/>
  <pageSetup paperSize="9" scale="10" orientation="landscape" horizontalDpi="300" verticalDpi="300" r:id="rId1"/>
  <headerFooter alignWithMargins="0"/>
  <customProperties>
    <customPr name="Qube.Worksheet.ID" r:id="rId2"/>
    <customPr name="Qube.Worksheet.Visibility" r:id="rId3"/>
    <customPr name="SHEET_UNIQUE_ID" r:id="rId4"/>
  </customProperties>
  <drawing r:id="rId5"/>
  <legacy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autoPageBreaks="0"/>
  </sheetPr>
  <dimension ref="A1:CW1640"/>
  <sheetViews>
    <sheetView zoomScale="90" zoomScaleNormal="90" workbookViewId="0">
      <pane xSplit="2" ySplit="5" topLeftCell="AD86" activePane="bottomRight" state="frozen"/>
      <selection pane="topRight" activeCell="C1" sqref="C1"/>
      <selection pane="bottomLeft" activeCell="A6" sqref="A6"/>
      <selection pane="bottomRight" activeCell="AN170" sqref="AN170"/>
    </sheetView>
  </sheetViews>
  <sheetFormatPr defaultColWidth="9.140625" defaultRowHeight="12" outlineLevelRow="2" outlineLevelCol="1"/>
  <cols>
    <col min="1" max="1" width="9" style="91" customWidth="1"/>
    <col min="2" max="2" width="31.7109375" style="1" bestFit="1" customWidth="1"/>
    <col min="3" max="21" width="10.85546875" style="1" hidden="1" customWidth="1" outlineLevel="1"/>
    <col min="22" max="24" width="10.7109375" style="1" hidden="1" customWidth="1" outlineLevel="1"/>
    <col min="25" max="29" width="10.85546875" style="1" hidden="1" customWidth="1" outlineLevel="1"/>
    <col min="30" max="30" width="10.85546875" style="1" customWidth="1" collapsed="1"/>
    <col min="31" max="35" width="10.85546875" style="1" customWidth="1"/>
    <col min="36" max="36" width="10.85546875" style="15" customWidth="1"/>
    <col min="37" max="45" width="10.85546875" style="1" customWidth="1"/>
    <col min="46" max="46" width="4.140625" style="1" customWidth="1"/>
    <col min="47" max="51" width="10.85546875" style="1" hidden="1" customWidth="1" outlineLevel="1"/>
    <col min="52" max="52" width="10.85546875" style="1" hidden="1" customWidth="1" outlineLevel="1" collapsed="1"/>
    <col min="53" max="61" width="10.85546875" style="1" hidden="1" customWidth="1" outlineLevel="1"/>
    <col min="62" max="62" width="10.85546875" style="1" customWidth="1" collapsed="1"/>
    <col min="63" max="66" width="10.85546875" style="1" customWidth="1"/>
    <col min="67" max="67" width="10.85546875" style="15" customWidth="1"/>
    <col min="68" max="75" width="10.85546875" style="1" customWidth="1"/>
    <col min="76" max="16384" width="9.140625" style="1"/>
  </cols>
  <sheetData>
    <row r="1" spans="1:72" ht="12" customHeight="1">
      <c r="B1" s="2" t="s">
        <v>0</v>
      </c>
      <c r="C1" s="4" t="s">
        <v>549</v>
      </c>
      <c r="D1" s="4" t="s">
        <v>548</v>
      </c>
      <c r="E1" s="4" t="str">
        <f t="shared" ref="E1:L1" si="0">IF(LEFT(D1,1)="1","2H"&amp;TEXT(MID(D1,3,2),"00")&amp;"A","1H"&amp;TEXT(MID(D1,3,2)+1,"00")&amp;"A")</f>
        <v>2H10A</v>
      </c>
      <c r="F1" s="4" t="str">
        <f t="shared" si="0"/>
        <v>1H11A</v>
      </c>
      <c r="G1" s="4" t="str">
        <f t="shared" si="0"/>
        <v>2H11A</v>
      </c>
      <c r="H1" s="4" t="str">
        <f t="shared" si="0"/>
        <v>1H12A</v>
      </c>
      <c r="I1" s="4" t="str">
        <f t="shared" si="0"/>
        <v>2H12A</v>
      </c>
      <c r="J1" s="4" t="str">
        <f t="shared" si="0"/>
        <v>1H13A</v>
      </c>
      <c r="K1" s="4" t="str">
        <f t="shared" si="0"/>
        <v>2H13A</v>
      </c>
      <c r="L1" s="4" t="str">
        <f t="shared" si="0"/>
        <v>1H14A</v>
      </c>
      <c r="M1" s="4" t="str">
        <f t="shared" ref="M1" si="1">IF(LEFT(L1,1)="1","2H"&amp;TEXT(MID(L1,3,2),"00")&amp;"A","1H"&amp;TEXT(MID(L1,3,2)+1,"00")&amp;"A")</f>
        <v>2H14A</v>
      </c>
      <c r="N1" s="4" t="str">
        <f t="shared" ref="N1" si="2">IF(LEFT(M1,1)="1","2H"&amp;TEXT(MID(M1,3,2),"00")&amp;"A","1H"&amp;TEXT(MID(M1,3,2)+1,"00")&amp;"A")</f>
        <v>1H15A</v>
      </c>
      <c r="O1" s="4" t="str">
        <f t="shared" ref="O1" si="3">IF(LEFT(N1,1)="1","2H"&amp;TEXT(MID(N1,3,2),"00")&amp;"A","1H"&amp;TEXT(MID(N1,3,2)+1,"00")&amp;"A")</f>
        <v>2H15A</v>
      </c>
      <c r="P1" s="4" t="str">
        <f t="shared" ref="P1" si="4">IF(LEFT(O1,1)="1","2H"&amp;TEXT(MID(O1,3,2),"00")&amp;"A","1H"&amp;TEXT(MID(O1,3,2)+1,"00")&amp;"A")</f>
        <v>1H16A</v>
      </c>
      <c r="Q1" s="4" t="str">
        <f t="shared" ref="Q1" si="5">IF(LEFT(P1,1)="1","2H"&amp;TEXT(MID(P1,3,2),"00")&amp;"A","1H"&amp;TEXT(MID(P1,3,2)+1,"00")&amp;"A")</f>
        <v>2H16A</v>
      </c>
      <c r="R1" s="4" t="str">
        <f t="shared" ref="R1" si="6">IF(LEFT(Q1,1)="1","2H"&amp;TEXT(MID(Q1,3,2),"00")&amp;"A","1H"&amp;TEXT(MID(Q1,3,2)+1,"00")&amp;"A")</f>
        <v>1H17A</v>
      </c>
      <c r="S1" s="4" t="str">
        <f t="shared" ref="S1" si="7">IF(LEFT(R1,1)="1","2H"&amp;TEXT(MID(R1,3,2),"00")&amp;"A","1H"&amp;TEXT(MID(R1,3,2)+1,"00")&amp;"A")</f>
        <v>2H17A</v>
      </c>
      <c r="T1" s="4" t="str">
        <f t="shared" ref="T1" si="8">IF(LEFT(S1,1)="1","2H"&amp;TEXT(MID(S1,3,2),"00")&amp;"A","1H"&amp;TEXT(MID(S1,3,2)+1,"00")&amp;"A")</f>
        <v>1H18A</v>
      </c>
      <c r="U1" s="4" t="str">
        <f t="shared" ref="U1" si="9">IF(LEFT(T1,1)="1","2H"&amp;TEXT(MID(T1,3,2),"00")&amp;"A","1H"&amp;TEXT(MID(T1,3,2)+1,"00")&amp;"A")</f>
        <v>2H18A</v>
      </c>
      <c r="V1" s="4" t="str">
        <f t="shared" ref="V1:W1" si="10">IF(LEFT(U1,1)="1","2H"&amp;TEXT(MID(U1,3,2),"00")&amp;"A","1H"&amp;TEXT(MID(U1,3,2)+1,"00")&amp;"A")</f>
        <v>1H19A</v>
      </c>
      <c r="W1" s="4" t="str">
        <f t="shared" si="10"/>
        <v>2H19A</v>
      </c>
      <c r="X1" s="4" t="str">
        <f t="shared" ref="X1" si="11">IF(LEFT(W1,1)="1","2H"&amp;TEXT(MID(W1,3,2),"00")&amp;"A","1H"&amp;TEXT(MID(W1,3,2)+1,"00")&amp;"A")</f>
        <v>1H20A</v>
      </c>
      <c r="Y1" s="4" t="str">
        <f t="shared" ref="Y1:AI1" si="12">IF(LEFT(X1,1)="1","2H"&amp;TEXT(MID(X1,3,2),"00")&amp;"A","1H"&amp;TEXT(MID(X1,3,2)+1,"00")&amp;"A")</f>
        <v>2H20A</v>
      </c>
      <c r="Z1" s="4" t="str">
        <f t="shared" si="12"/>
        <v>1H21A</v>
      </c>
      <c r="AA1" s="4" t="str">
        <f t="shared" si="12"/>
        <v>2H21A</v>
      </c>
      <c r="AB1" s="4" t="str">
        <f t="shared" si="12"/>
        <v>1H22A</v>
      </c>
      <c r="AC1" s="4" t="str">
        <f t="shared" si="12"/>
        <v>2H22A</v>
      </c>
      <c r="AD1" s="4" t="str">
        <f t="shared" si="12"/>
        <v>1H23A</v>
      </c>
      <c r="AE1" s="4" t="str">
        <f t="shared" si="12"/>
        <v>2H23A</v>
      </c>
      <c r="AF1" s="4" t="str">
        <f t="shared" si="12"/>
        <v>1H24A</v>
      </c>
      <c r="AG1" s="4" t="str">
        <f t="shared" si="12"/>
        <v>2H24A</v>
      </c>
      <c r="AH1" s="4" t="str">
        <f t="shared" si="12"/>
        <v>1H25A</v>
      </c>
      <c r="AI1" s="4" t="str">
        <f t="shared" si="12"/>
        <v>2H25A</v>
      </c>
      <c r="AJ1" s="10" t="str">
        <f>IF(LEFT(AI1,1)="1","2H"&amp;TEXT(MID(AI1,3,2),"00")&amp;"E","1H"&amp;TEXT(MID(AI1,3,2)+1,"00")&amp;"A")</f>
        <v>1H26A</v>
      </c>
      <c r="AK1" s="4" t="str">
        <f t="shared" ref="AK1" si="13">IF(LEFT(AJ1,1)="1","2H"&amp;TEXT(MID(AJ1,3,2),"00")&amp;"E","1H"&amp;TEXT(MID(AJ1,3,2)+1,"00")&amp;"E")</f>
        <v>2H26E</v>
      </c>
      <c r="AL1" s="4" t="str">
        <f t="shared" ref="AL1" si="14">IF(LEFT(AK1,1)="1","2H"&amp;TEXT(MID(AK1,3,2),"00")&amp;"E","1H"&amp;TEXT(MID(AK1,3,2)+1,"00")&amp;"E")</f>
        <v>1H27E</v>
      </c>
      <c r="AM1" s="4" t="str">
        <f t="shared" ref="AM1" si="15">IF(LEFT(AL1,1)="1","2H"&amp;TEXT(MID(AL1,3,2),"00")&amp;"E","1H"&amp;TEXT(MID(AL1,3,2)+1,"00")&amp;"E")</f>
        <v>2H27E</v>
      </c>
      <c r="AN1" s="4" t="str">
        <f t="shared" ref="AN1" si="16">IF(LEFT(AM1,1)="1","2H"&amp;TEXT(MID(AM1,3,2),"00")&amp;"E","1H"&amp;TEXT(MID(AM1,3,2)+1,"00")&amp;"E")</f>
        <v>1H28E</v>
      </c>
      <c r="AO1" s="4" t="str">
        <f t="shared" ref="AO1" si="17">IF(LEFT(AN1,1)="1","2H"&amp;TEXT(MID(AN1,3,2),"00")&amp;"E","1H"&amp;TEXT(MID(AN1,3,2)+1,"00")&amp;"E")</f>
        <v>2H28E</v>
      </c>
      <c r="AP1" s="4" t="str">
        <f t="shared" ref="AP1" si="18">IF(LEFT(AO1,1)="1","2H"&amp;TEXT(MID(AO1,3,2),"00")&amp;"E","1H"&amp;TEXT(MID(AO1,3,2)+1,"00")&amp;"E")</f>
        <v>1H29E</v>
      </c>
      <c r="AQ1" s="4" t="str">
        <f t="shared" ref="AQ1" si="19">IF(LEFT(AP1,1)="1","2H"&amp;TEXT(MID(AP1,3,2),"00")&amp;"E","1H"&amp;TEXT(MID(AP1,3,2)+1,"00")&amp;"E")</f>
        <v>2H29E</v>
      </c>
      <c r="AR1" s="4" t="str">
        <f t="shared" ref="AR1" si="20">IF(LEFT(AQ1,1)="1","2H"&amp;TEXT(MID(AQ1,3,2),"00")&amp;"E","1H"&amp;TEXT(MID(AQ1,3,2)+1,"00")&amp;"E")</f>
        <v>1H30E</v>
      </c>
      <c r="AS1" s="4" t="str">
        <f t="shared" ref="AS1" si="21">IF(LEFT(AR1,1)="1","2H"&amp;TEXT(MID(AR1,3,2),"00")&amp;"E","1H"&amp;TEXT(MID(AR1,3,2)+1,"00")&amp;"E")</f>
        <v>2H30E</v>
      </c>
      <c r="AT1" s="4"/>
      <c r="AU1" s="4" t="s">
        <v>550</v>
      </c>
      <c r="AV1" s="4" t="str">
        <f t="shared" ref="AV1:AZ1" si="22">"FY"&amp;TEXT(MID(AU1,3,2)+1,"00")&amp;"A"</f>
        <v>FY06A</v>
      </c>
      <c r="AW1" s="4" t="str">
        <f t="shared" si="22"/>
        <v>FY07A</v>
      </c>
      <c r="AX1" s="4" t="str">
        <f t="shared" si="22"/>
        <v>FY08A</v>
      </c>
      <c r="AY1" s="4" t="str">
        <f t="shared" si="22"/>
        <v>FY09A</v>
      </c>
      <c r="AZ1" s="4" t="str">
        <f t="shared" si="22"/>
        <v>FY10A</v>
      </c>
      <c r="BA1" s="4" t="str">
        <f t="shared" ref="BA1:BE1" si="23">"FY"&amp;TEXT(MID(AZ1,3,2)+1,"00")&amp;"A"</f>
        <v>FY11A</v>
      </c>
      <c r="BB1" s="4" t="str">
        <f t="shared" si="23"/>
        <v>FY12A</v>
      </c>
      <c r="BC1" s="4" t="str">
        <f t="shared" si="23"/>
        <v>FY13A</v>
      </c>
      <c r="BD1" s="4" t="str">
        <f t="shared" si="23"/>
        <v>FY14A</v>
      </c>
      <c r="BE1" s="4" t="str">
        <f t="shared" si="23"/>
        <v>FY15A</v>
      </c>
      <c r="BF1" s="4" t="str">
        <f t="shared" ref="BF1" si="24">"FY"&amp;TEXT(MID(BE1,3,2)+1,"00")&amp;"A"</f>
        <v>FY16A</v>
      </c>
      <c r="BG1" s="4" t="str">
        <f t="shared" ref="BG1" si="25">"FY"&amp;TEXT(MID(BF1,3,2)+1,"00")&amp;"A"</f>
        <v>FY17A</v>
      </c>
      <c r="BH1" s="4" t="str">
        <f t="shared" ref="BH1" si="26">"FY"&amp;TEXT(MID(BG1,3,2)+1,"00")&amp;"A"</f>
        <v>FY18A</v>
      </c>
      <c r="BI1" s="4" t="str">
        <f t="shared" ref="BI1" si="27">"FY"&amp;TEXT(MID(BH1,3,2)+1,"00")&amp;"A"</f>
        <v>FY19A</v>
      </c>
      <c r="BJ1" s="4" t="str">
        <f t="shared" ref="BJ1:BK1" si="28">"FY"&amp;TEXT(MID(BI1,3,2)+1,"00")&amp;"A"</f>
        <v>FY20A</v>
      </c>
      <c r="BK1" s="4" t="str">
        <f t="shared" si="28"/>
        <v>FY21A</v>
      </c>
      <c r="BL1" s="4" t="str">
        <f>"FY"&amp;TEXT(MID(BK1,3,2)+1,"00")&amp;"A"</f>
        <v>FY22A</v>
      </c>
      <c r="BM1" s="4" t="str">
        <f>"FY"&amp;TEXT(MID(BL1,3,2)+1,"00")&amp;"A"</f>
        <v>FY23A</v>
      </c>
      <c r="BN1" s="4" t="str">
        <f>"FY"&amp;TEXT(MID(BM1,3,2)+1,"00")&amp;"A"</f>
        <v>FY24A</v>
      </c>
      <c r="BO1" s="10" t="str">
        <f>"FY"&amp;TEXT(MID(BN1,3,2)+1,"00")&amp;"A"</f>
        <v>FY25A</v>
      </c>
      <c r="BP1" s="4" t="str">
        <f t="shared" ref="BP1:BT1" si="29">"FY"&amp;TEXT(MID(BO1,3,2)+1,"00")&amp;"E"</f>
        <v>FY26E</v>
      </c>
      <c r="BQ1" s="4" t="str">
        <f t="shared" si="29"/>
        <v>FY27E</v>
      </c>
      <c r="BR1" s="4" t="str">
        <f t="shared" si="29"/>
        <v>FY28E</v>
      </c>
      <c r="BS1" s="4" t="str">
        <f t="shared" si="29"/>
        <v>FY29E</v>
      </c>
      <c r="BT1" s="4" t="str">
        <f t="shared" si="29"/>
        <v>FY30E</v>
      </c>
    </row>
    <row r="2" spans="1:72" ht="12" hidden="1" customHeight="1">
      <c r="B2" s="3" t="s">
        <v>1</v>
      </c>
      <c r="C2" s="5" t="str">
        <f t="shared" ref="C2:Q2" si="30">RIGHT(C1,1)</f>
        <v>A</v>
      </c>
      <c r="D2" s="5" t="str">
        <f t="shared" si="30"/>
        <v>A</v>
      </c>
      <c r="E2" s="5" t="str">
        <f t="shared" si="30"/>
        <v>A</v>
      </c>
      <c r="F2" s="5" t="str">
        <f t="shared" si="30"/>
        <v>A</v>
      </c>
      <c r="G2" s="5" t="str">
        <f t="shared" si="30"/>
        <v>A</v>
      </c>
      <c r="H2" s="5" t="str">
        <f t="shared" si="30"/>
        <v>A</v>
      </c>
      <c r="I2" s="5" t="str">
        <f t="shared" si="30"/>
        <v>A</v>
      </c>
      <c r="J2" s="5" t="str">
        <f t="shared" si="30"/>
        <v>A</v>
      </c>
      <c r="K2" s="5" t="str">
        <f t="shared" si="30"/>
        <v>A</v>
      </c>
      <c r="L2" s="5" t="str">
        <f t="shared" si="30"/>
        <v>A</v>
      </c>
      <c r="M2" s="5" t="str">
        <f t="shared" ref="M2:N2" si="31">RIGHT(M1,1)</f>
        <v>A</v>
      </c>
      <c r="N2" s="5" t="str">
        <f t="shared" si="31"/>
        <v>A</v>
      </c>
      <c r="O2" s="5" t="str">
        <f t="shared" ref="O2" si="32">RIGHT(O1,1)</f>
        <v>A</v>
      </c>
      <c r="P2" s="5" t="str">
        <f t="shared" si="30"/>
        <v>A</v>
      </c>
      <c r="Q2" s="5" t="str">
        <f t="shared" si="30"/>
        <v>A</v>
      </c>
      <c r="R2" s="5" t="str">
        <f t="shared" ref="R2:S2" si="33">RIGHT(R1,1)</f>
        <v>A</v>
      </c>
      <c r="S2" s="5" t="str">
        <f t="shared" si="33"/>
        <v>A</v>
      </c>
      <c r="T2" s="5" t="str">
        <f t="shared" ref="T2" si="34">RIGHT(T1,1)</f>
        <v>A</v>
      </c>
      <c r="U2" s="5" t="str">
        <f t="shared" ref="U2:V2" si="35">RIGHT(U1,1)</f>
        <v>A</v>
      </c>
      <c r="V2" s="5" t="str">
        <f t="shared" si="35"/>
        <v>A</v>
      </c>
      <c r="W2" s="5" t="str">
        <f t="shared" ref="W2" si="36">RIGHT(W1,1)</f>
        <v>A</v>
      </c>
      <c r="X2" s="5" t="str">
        <f t="shared" ref="X2:Y2" si="37">RIGHT(X1,1)</f>
        <v>A</v>
      </c>
      <c r="Y2" s="5" t="str">
        <f t="shared" si="37"/>
        <v>A</v>
      </c>
      <c r="Z2" s="5" t="str">
        <f t="shared" ref="Z2:AA2" si="38">RIGHT(Z1,1)</f>
        <v>A</v>
      </c>
      <c r="AA2" s="5" t="str">
        <f t="shared" si="38"/>
        <v>A</v>
      </c>
      <c r="AB2" s="5" t="str">
        <f t="shared" ref="AB2:AC2" si="39">RIGHT(AB1,1)</f>
        <v>A</v>
      </c>
      <c r="AC2" s="5" t="str">
        <f t="shared" si="39"/>
        <v>A</v>
      </c>
      <c r="AD2" s="5" t="str">
        <f t="shared" ref="AD2:AE2" si="40">RIGHT(AD1,1)</f>
        <v>A</v>
      </c>
      <c r="AE2" s="5" t="str">
        <f t="shared" si="40"/>
        <v>A</v>
      </c>
      <c r="AF2" s="5" t="str">
        <f t="shared" ref="AF2:AG2" si="41">RIGHT(AF1,1)</f>
        <v>A</v>
      </c>
      <c r="AG2" s="5" t="str">
        <f t="shared" si="41"/>
        <v>A</v>
      </c>
      <c r="AH2" s="5" t="str">
        <f t="shared" ref="AH2:AI2" si="42">RIGHT(AH1,1)</f>
        <v>A</v>
      </c>
      <c r="AI2" s="5" t="str">
        <f t="shared" si="42"/>
        <v>A</v>
      </c>
      <c r="AJ2" s="11" t="str">
        <f t="shared" ref="AJ2:AK2" si="43">RIGHT(AJ1,1)</f>
        <v>A</v>
      </c>
      <c r="AK2" s="5" t="str">
        <f t="shared" si="43"/>
        <v>E</v>
      </c>
      <c r="AL2" s="5" t="str">
        <f t="shared" ref="AL2:AM2" si="44">RIGHT(AL1,1)</f>
        <v>E</v>
      </c>
      <c r="AM2" s="5" t="str">
        <f t="shared" si="44"/>
        <v>E</v>
      </c>
      <c r="AN2" s="5" t="str">
        <f t="shared" ref="AN2:AO2" si="45">RIGHT(AN1,1)</f>
        <v>E</v>
      </c>
      <c r="AO2" s="5" t="str">
        <f t="shared" si="45"/>
        <v>E</v>
      </c>
      <c r="AP2" s="5" t="str">
        <f t="shared" ref="AP2:AQ2" si="46">RIGHT(AP1,1)</f>
        <v>E</v>
      </c>
      <c r="AQ2" s="5" t="str">
        <f t="shared" si="46"/>
        <v>E</v>
      </c>
      <c r="AR2" s="5" t="str">
        <f t="shared" ref="AR2:AS2" si="47">RIGHT(AR1,1)</f>
        <v>E</v>
      </c>
      <c r="AS2" s="5" t="str">
        <f t="shared" si="47"/>
        <v>E</v>
      </c>
      <c r="AU2" s="5" t="str">
        <f t="shared" ref="AU2:BB2" si="48">RIGHT(AU1,1)</f>
        <v>A</v>
      </c>
      <c r="AV2" s="5" t="str">
        <f t="shared" si="48"/>
        <v>A</v>
      </c>
      <c r="AW2" s="5" t="str">
        <f t="shared" si="48"/>
        <v>A</v>
      </c>
      <c r="AX2" s="5" t="str">
        <f t="shared" si="48"/>
        <v>A</v>
      </c>
      <c r="AY2" s="5" t="str">
        <f t="shared" si="48"/>
        <v>A</v>
      </c>
      <c r="AZ2" s="5" t="str">
        <f t="shared" si="48"/>
        <v>A</v>
      </c>
      <c r="BA2" s="5" t="str">
        <f t="shared" si="48"/>
        <v>A</v>
      </c>
      <c r="BB2" s="5" t="str">
        <f t="shared" si="48"/>
        <v>A</v>
      </c>
      <c r="BC2" s="5" t="str">
        <f t="shared" ref="BC2:BD2" si="49">RIGHT(BC1,1)</f>
        <v>A</v>
      </c>
      <c r="BD2" s="5" t="str">
        <f t="shared" si="49"/>
        <v>A</v>
      </c>
      <c r="BE2" s="5" t="str">
        <f t="shared" ref="BE2:BF2" si="50">RIGHT(BE1,1)</f>
        <v>A</v>
      </c>
      <c r="BF2" s="5" t="str">
        <f t="shared" si="50"/>
        <v>A</v>
      </c>
      <c r="BG2" s="5" t="str">
        <f t="shared" ref="BG2:BH2" si="51">RIGHT(BG1,1)</f>
        <v>A</v>
      </c>
      <c r="BH2" s="5" t="str">
        <f t="shared" si="51"/>
        <v>A</v>
      </c>
      <c r="BI2" s="5" t="str">
        <f t="shared" ref="BI2:BJ2" si="52">RIGHT(BI1,1)</f>
        <v>A</v>
      </c>
      <c r="BJ2" s="5" t="str">
        <f t="shared" si="52"/>
        <v>A</v>
      </c>
      <c r="BK2" s="5" t="str">
        <f t="shared" ref="BK2" si="53">RIGHT(BK1,1)</f>
        <v>A</v>
      </c>
      <c r="BL2" s="5" t="str">
        <f t="shared" ref="BL2:BM2" si="54">RIGHT(BL1,1)</f>
        <v>A</v>
      </c>
      <c r="BM2" s="5" t="str">
        <f t="shared" si="54"/>
        <v>A</v>
      </c>
      <c r="BN2" s="5" t="str">
        <f t="shared" ref="BN2" si="55">RIGHT(BN1,1)</f>
        <v>A</v>
      </c>
      <c r="BO2" s="11" t="str">
        <f t="shared" ref="BO2" si="56">RIGHT(BO1,1)</f>
        <v>A</v>
      </c>
      <c r="BP2" s="5" t="str">
        <f t="shared" ref="BP2:BQ2" si="57">RIGHT(BP1,1)</f>
        <v>E</v>
      </c>
      <c r="BQ2" s="5" t="str">
        <f t="shared" si="57"/>
        <v>E</v>
      </c>
      <c r="BR2" s="5" t="str">
        <f t="shared" ref="BR2" si="58">RIGHT(BR1,1)</f>
        <v>E</v>
      </c>
      <c r="BS2" s="5" t="str">
        <f t="shared" ref="BS2:BT2" si="59">RIGHT(BS1,1)</f>
        <v>E</v>
      </c>
      <c r="BT2" s="5" t="str">
        <f t="shared" si="59"/>
        <v>E</v>
      </c>
    </row>
    <row r="3" spans="1:72" ht="12" customHeight="1">
      <c r="B3" s="3" t="s">
        <v>2</v>
      </c>
      <c r="C3" s="6">
        <f t="shared" ref="C3:BB3" si="60">IF(LEFT(C1,1)="1",DATE(MID(C1,3,2)+1999,9,30),DATE(MID(C1,3,2)+2000,3,31))</f>
        <v>39903</v>
      </c>
      <c r="D3" s="6">
        <f t="shared" si="60"/>
        <v>40086</v>
      </c>
      <c r="E3" s="6">
        <f t="shared" si="60"/>
        <v>40268</v>
      </c>
      <c r="F3" s="6">
        <f t="shared" si="60"/>
        <v>40451</v>
      </c>
      <c r="G3" s="6">
        <f t="shared" si="60"/>
        <v>40633</v>
      </c>
      <c r="H3" s="6">
        <f t="shared" si="60"/>
        <v>40816</v>
      </c>
      <c r="I3" s="6">
        <f t="shared" si="60"/>
        <v>40999</v>
      </c>
      <c r="J3" s="6">
        <f t="shared" si="60"/>
        <v>41182</v>
      </c>
      <c r="K3" s="6">
        <f t="shared" si="60"/>
        <v>41364</v>
      </c>
      <c r="L3" s="6">
        <f t="shared" si="60"/>
        <v>41547</v>
      </c>
      <c r="M3" s="6">
        <f t="shared" ref="M3:N3" si="61">IF(LEFT(M1,1)="1",DATE(MID(M1,3,2)+1999,9,30),DATE(MID(M1,3,2)+2000,3,31))</f>
        <v>41729</v>
      </c>
      <c r="N3" s="6">
        <f t="shared" si="61"/>
        <v>41912</v>
      </c>
      <c r="O3" s="6">
        <f t="shared" ref="O3" si="62">IF(LEFT(O1,1)="1",DATE(MID(O1,3,2)+1999,9,30),DATE(MID(O1,3,2)+2000,3,31))</f>
        <v>42094</v>
      </c>
      <c r="P3" s="6">
        <f t="shared" si="60"/>
        <v>42277</v>
      </c>
      <c r="Q3" s="6">
        <f t="shared" si="60"/>
        <v>42460</v>
      </c>
      <c r="R3" s="6">
        <f t="shared" ref="R3" si="63">IF(LEFT(R1,1)="1",DATE(MID(R1,3,2)+1999,9,30),DATE(MID(R1,3,2)+2000,3,31))</f>
        <v>42643</v>
      </c>
      <c r="S3" s="6">
        <f t="shared" si="60"/>
        <v>42825</v>
      </c>
      <c r="T3" s="6">
        <f t="shared" ref="T3" si="64">IF(LEFT(T1,1)="1",DATE(MID(T1,3,2)+1999,9,30),DATE(MID(T1,3,2)+2000,3,31))</f>
        <v>43008</v>
      </c>
      <c r="U3" s="6">
        <f t="shared" ref="U3:V3" si="65">IF(LEFT(U1,1)="1",DATE(MID(U1,3,2)+1999,9,30),DATE(MID(U1,3,2)+2000,3,31))</f>
        <v>43190</v>
      </c>
      <c r="V3" s="6">
        <f t="shared" si="65"/>
        <v>43373</v>
      </c>
      <c r="W3" s="6">
        <f t="shared" ref="W3" si="66">IF(LEFT(W1,1)="1",DATE(MID(W1,3,2)+1999,9,30),DATE(MID(W1,3,2)+2000,3,31))</f>
        <v>43555</v>
      </c>
      <c r="X3" s="6">
        <f t="shared" ref="X3:Y3" si="67">IF(LEFT(X1,1)="1",DATE(MID(X1,3,2)+1999,9,30),DATE(MID(X1,3,2)+2000,3,31))</f>
        <v>43738</v>
      </c>
      <c r="Y3" s="6">
        <f t="shared" si="67"/>
        <v>43921</v>
      </c>
      <c r="Z3" s="6">
        <f t="shared" ref="Z3:AA3" si="68">IF(LEFT(Z1,1)="1",DATE(MID(Z1,3,2)+1999,9,30),DATE(MID(Z1,3,2)+2000,3,31))</f>
        <v>44104</v>
      </c>
      <c r="AA3" s="6">
        <f t="shared" si="68"/>
        <v>44286</v>
      </c>
      <c r="AB3" s="6">
        <f t="shared" ref="AB3:AC3" si="69">IF(LEFT(AB1,1)="1",DATE(MID(AB1,3,2)+1999,9,30),DATE(MID(AB1,3,2)+2000,3,31))</f>
        <v>44469</v>
      </c>
      <c r="AC3" s="6">
        <f t="shared" si="69"/>
        <v>44651</v>
      </c>
      <c r="AD3" s="6">
        <f t="shared" ref="AD3:AE3" si="70">IF(LEFT(AD1,1)="1",DATE(MID(AD1,3,2)+1999,9,30),DATE(MID(AD1,3,2)+2000,3,31))</f>
        <v>44834</v>
      </c>
      <c r="AE3" s="6">
        <f t="shared" si="70"/>
        <v>45016</v>
      </c>
      <c r="AF3" s="6">
        <f t="shared" ref="AF3:AG3" si="71">IF(LEFT(AF1,1)="1",DATE(MID(AF1,3,2)+1999,9,30),DATE(MID(AF1,3,2)+2000,3,31))</f>
        <v>45199</v>
      </c>
      <c r="AG3" s="6">
        <f t="shared" si="71"/>
        <v>45382</v>
      </c>
      <c r="AH3" s="6">
        <f t="shared" ref="AH3:AI3" si="72">IF(LEFT(AH1,1)="1",DATE(MID(AH1,3,2)+1999,9,30),DATE(MID(AH1,3,2)+2000,3,31))</f>
        <v>45565</v>
      </c>
      <c r="AI3" s="6">
        <f t="shared" si="72"/>
        <v>45747</v>
      </c>
      <c r="AJ3" s="12">
        <f t="shared" ref="AJ3:AK3" si="73">IF(LEFT(AJ1,1)="1",DATE(MID(AJ1,3,2)+1999,9,30),DATE(MID(AJ1,3,2)+2000,3,31))</f>
        <v>45930</v>
      </c>
      <c r="AK3" s="6">
        <f t="shared" si="73"/>
        <v>46112</v>
      </c>
      <c r="AL3" s="6">
        <f t="shared" ref="AL3:AM3" si="74">IF(LEFT(AL1,1)="1",DATE(MID(AL1,3,2)+1999,9,30),DATE(MID(AL1,3,2)+2000,3,31))</f>
        <v>46295</v>
      </c>
      <c r="AM3" s="6">
        <f t="shared" si="74"/>
        <v>46477</v>
      </c>
      <c r="AN3" s="6">
        <f t="shared" ref="AN3:AO3" si="75">IF(LEFT(AN1,1)="1",DATE(MID(AN1,3,2)+1999,9,30),DATE(MID(AN1,3,2)+2000,3,31))</f>
        <v>46660</v>
      </c>
      <c r="AO3" s="6">
        <f t="shared" si="75"/>
        <v>46843</v>
      </c>
      <c r="AP3" s="6">
        <f t="shared" ref="AP3:AQ3" si="76">IF(LEFT(AP1,1)="1",DATE(MID(AP1,3,2)+1999,9,30),DATE(MID(AP1,3,2)+2000,3,31))</f>
        <v>47026</v>
      </c>
      <c r="AQ3" s="6">
        <f t="shared" si="76"/>
        <v>47208</v>
      </c>
      <c r="AR3" s="6">
        <f t="shared" ref="AR3:AS3" si="77">IF(LEFT(AR1,1)="1",DATE(MID(AR1,3,2)+1999,9,30),DATE(MID(AR1,3,2)+2000,3,31))</f>
        <v>47391</v>
      </c>
      <c r="AS3" s="6">
        <f t="shared" si="77"/>
        <v>47573</v>
      </c>
      <c r="AU3" s="6">
        <f t="shared" si="60"/>
        <v>38442</v>
      </c>
      <c r="AV3" s="6">
        <f t="shared" si="60"/>
        <v>38807</v>
      </c>
      <c r="AW3" s="6">
        <f t="shared" si="60"/>
        <v>39172</v>
      </c>
      <c r="AX3" s="6">
        <f t="shared" si="60"/>
        <v>39538</v>
      </c>
      <c r="AY3" s="6">
        <f t="shared" si="60"/>
        <v>39903</v>
      </c>
      <c r="AZ3" s="6">
        <f t="shared" si="60"/>
        <v>40268</v>
      </c>
      <c r="BA3" s="6">
        <f t="shared" si="60"/>
        <v>40633</v>
      </c>
      <c r="BB3" s="6">
        <f t="shared" si="60"/>
        <v>40999</v>
      </c>
      <c r="BC3" s="6">
        <f t="shared" ref="BC3:BD3" si="78">IF(LEFT(BC1,1)="1",DATE(MID(BC1,3,2)+1999,9,30),DATE(MID(BC1,3,2)+2000,3,31))</f>
        <v>41364</v>
      </c>
      <c r="BD3" s="6">
        <f t="shared" si="78"/>
        <v>41729</v>
      </c>
      <c r="BE3" s="6">
        <f t="shared" ref="BE3:BF3" si="79">IF(LEFT(BE1,1)="1",DATE(MID(BE1,3,2)+1999,9,30),DATE(MID(BE1,3,2)+2000,3,31))</f>
        <v>42094</v>
      </c>
      <c r="BF3" s="6">
        <f t="shared" si="79"/>
        <v>42460</v>
      </c>
      <c r="BG3" s="6">
        <f t="shared" ref="BG3:BH3" si="80">IF(LEFT(BG1,1)="1",DATE(MID(BG1,3,2)+1999,9,30),DATE(MID(BG1,3,2)+2000,3,31))</f>
        <v>42825</v>
      </c>
      <c r="BH3" s="6">
        <f t="shared" si="80"/>
        <v>43190</v>
      </c>
      <c r="BI3" s="6">
        <f t="shared" ref="BI3:BJ3" si="81">IF(LEFT(BI1,1)="1",DATE(MID(BI1,3,2)+1999,9,30),DATE(MID(BI1,3,2)+2000,3,31))</f>
        <v>43555</v>
      </c>
      <c r="BJ3" s="6">
        <f t="shared" si="81"/>
        <v>43921</v>
      </c>
      <c r="BK3" s="6">
        <f t="shared" ref="BK3" si="82">IF(LEFT(BK1,1)="1",DATE(MID(BK1,3,2)+1999,9,30),DATE(MID(BK1,3,2)+2000,3,31))</f>
        <v>44286</v>
      </c>
      <c r="BL3" s="6">
        <f t="shared" ref="BL3:BM3" si="83">IF(LEFT(BL1,1)="1",DATE(MID(BL1,3,2)+1999,9,30),DATE(MID(BL1,3,2)+2000,3,31))</f>
        <v>44651</v>
      </c>
      <c r="BM3" s="6">
        <f t="shared" si="83"/>
        <v>45016</v>
      </c>
      <c r="BN3" s="6">
        <f t="shared" ref="BN3" si="84">IF(LEFT(BN1,1)="1",DATE(MID(BN1,3,2)+1999,9,30),DATE(MID(BN1,3,2)+2000,3,31))</f>
        <v>45382</v>
      </c>
      <c r="BO3" s="12">
        <f t="shared" ref="BO3" si="85">IF(LEFT(BO1,1)="1",DATE(MID(BO1,3,2)+1999,9,30),DATE(MID(BO1,3,2)+2000,3,31))</f>
        <v>45747</v>
      </c>
      <c r="BP3" s="6">
        <f t="shared" ref="BP3" si="86">IF(LEFT(BP1,1)="1",DATE(MID(BP1,3,2)+1999,9,30),DATE(MID(BP1,3,2)+2000,3,31))</f>
        <v>46112</v>
      </c>
      <c r="BQ3" s="6">
        <f t="shared" ref="BQ3:BR3" si="87">IF(LEFT(BQ1,1)="1",DATE(MID(BQ1,3,2)+1999,9,30),DATE(MID(BQ1,3,2)+2000,3,31))</f>
        <v>46477</v>
      </c>
      <c r="BR3" s="6">
        <f t="shared" si="87"/>
        <v>46843</v>
      </c>
      <c r="BS3" s="6">
        <f t="shared" ref="BS3:BT3" si="88">IF(LEFT(BS1,1)="1",DATE(MID(BS1,3,2)+1999,9,30),DATE(MID(BS1,3,2)+2000,3,31))</f>
        <v>47208</v>
      </c>
      <c r="BT3" s="6">
        <f t="shared" si="88"/>
        <v>47573</v>
      </c>
    </row>
    <row r="4" spans="1:72" ht="12" customHeight="1">
      <c r="B4" s="3" t="s">
        <v>3</v>
      </c>
      <c r="C4" s="5"/>
      <c r="D4" s="5" t="str">
        <f t="shared" ref="D4:Y4" si="89">IF(AND(D164="Ok",D219="Ok",D274="Ok",D359="Ok",D456="Ok"),"Ok","Error")</f>
        <v>Error</v>
      </c>
      <c r="E4" s="5" t="str">
        <f t="shared" si="89"/>
        <v>Ok</v>
      </c>
      <c r="F4" s="5" t="str">
        <f t="shared" si="89"/>
        <v>Ok</v>
      </c>
      <c r="G4" s="5" t="str">
        <f t="shared" si="89"/>
        <v>Ok</v>
      </c>
      <c r="H4" s="5" t="str">
        <f t="shared" si="89"/>
        <v>Ok</v>
      </c>
      <c r="I4" s="5" t="str">
        <f t="shared" si="89"/>
        <v>Ok</v>
      </c>
      <c r="J4" s="5" t="str">
        <f t="shared" si="89"/>
        <v>Ok</v>
      </c>
      <c r="K4" s="5" t="str">
        <f t="shared" si="89"/>
        <v>Ok</v>
      </c>
      <c r="L4" s="5" t="str">
        <f t="shared" si="89"/>
        <v>Ok</v>
      </c>
      <c r="M4" s="5" t="str">
        <f t="shared" si="89"/>
        <v>Ok</v>
      </c>
      <c r="N4" s="5" t="str">
        <f t="shared" si="89"/>
        <v>Ok</v>
      </c>
      <c r="O4" s="5" t="str">
        <f t="shared" si="89"/>
        <v>Ok</v>
      </c>
      <c r="P4" s="5" t="str">
        <f t="shared" si="89"/>
        <v>Ok</v>
      </c>
      <c r="Q4" s="5" t="str">
        <f t="shared" si="89"/>
        <v>Ok</v>
      </c>
      <c r="R4" s="5" t="str">
        <f t="shared" si="89"/>
        <v>Ok</v>
      </c>
      <c r="S4" s="5" t="str">
        <f t="shared" si="89"/>
        <v>Ok</v>
      </c>
      <c r="T4" s="5" t="str">
        <f t="shared" si="89"/>
        <v>Ok</v>
      </c>
      <c r="U4" s="5" t="str">
        <f t="shared" si="89"/>
        <v>Ok</v>
      </c>
      <c r="V4" s="5" t="str">
        <f t="shared" si="89"/>
        <v>Ok</v>
      </c>
      <c r="W4" s="5" t="str">
        <f t="shared" ref="W4" si="90">IF(AND(W164="Ok",W219="Ok",W274="Ok",W359="Ok",W456="Ok"),"Ok","Error")</f>
        <v>Ok</v>
      </c>
      <c r="X4" s="5" t="str">
        <f t="shared" si="89"/>
        <v>Ok</v>
      </c>
      <c r="Y4" s="5" t="str">
        <f t="shared" si="89"/>
        <v>Ok</v>
      </c>
      <c r="Z4" s="5" t="str">
        <f t="shared" ref="Z4:AA4" si="91">IF(AND(Z164="Ok",Z219="Ok",Z274="Ok",Z359="Ok",Z456="Ok"),"Ok","Error")</f>
        <v>Ok</v>
      </c>
      <c r="AA4" s="5" t="str">
        <f t="shared" si="91"/>
        <v>Ok</v>
      </c>
      <c r="AB4" s="5" t="str">
        <f t="shared" ref="AB4:AC4" si="92">IF(AND(AB164="Ok",AB219="Ok",AB274="Ok",AB359="Ok",AB456="Ok"),"Ok","Error")</f>
        <v>Ok</v>
      </c>
      <c r="AC4" s="5" t="str">
        <f t="shared" si="92"/>
        <v>Ok</v>
      </c>
      <c r="AD4" s="5" t="str">
        <f t="shared" ref="AD4:AE4" si="93">IF(AND(AD164="Ok",AD219="Ok",AD274="Ok",AD359="Ok",AD456="Ok"),"Ok","Error")</f>
        <v>Ok</v>
      </c>
      <c r="AE4" s="5" t="str">
        <f t="shared" si="93"/>
        <v>Ok</v>
      </c>
      <c r="AF4" s="5" t="str">
        <f t="shared" ref="AF4:AG4" si="94">IF(AND(AF164="Ok",AF219="Ok",AF274="Ok",AF359="Ok",AF456="Ok"),"Ok","Error")</f>
        <v>Ok</v>
      </c>
      <c r="AG4" s="5" t="str">
        <f t="shared" si="94"/>
        <v>Ok</v>
      </c>
      <c r="AH4" s="5" t="str">
        <f t="shared" ref="AH4:AI4" si="95">IF(AND(AH164="Ok",AH219="Ok",AH274="Ok",AH359="Ok",AH456="Ok"),"Ok","Error")</f>
        <v>Ok</v>
      </c>
      <c r="AI4" s="5" t="str">
        <f t="shared" si="95"/>
        <v>Ok</v>
      </c>
      <c r="AJ4" s="11" t="str">
        <f t="shared" ref="AJ4:AK4" si="96">IF(AND(AJ164="Ok",AJ219="Ok",AJ274="Ok",AJ359="Ok",AJ456="Ok"),"Ok","Error")</f>
        <v>Ok</v>
      </c>
      <c r="AK4" s="5" t="str">
        <f t="shared" si="96"/>
        <v>Ok</v>
      </c>
      <c r="AL4" s="5" t="str">
        <f t="shared" ref="AL4:AM4" si="97">IF(AND(AL164="Ok",AL219="Ok",AL274="Ok",AL359="Ok",AL456="Ok"),"Ok","Error")</f>
        <v>Ok</v>
      </c>
      <c r="AM4" s="5" t="str">
        <f t="shared" si="97"/>
        <v>Ok</v>
      </c>
      <c r="AN4" s="5" t="str">
        <f t="shared" ref="AN4:AO4" si="98">IF(AND(AN164="Ok",AN219="Ok",AN274="Ok",AN359="Ok",AN456="Ok"),"Ok","Error")</f>
        <v>Ok</v>
      </c>
      <c r="AO4" s="5" t="str">
        <f t="shared" si="98"/>
        <v>Ok</v>
      </c>
      <c r="AP4" s="5" t="str">
        <f t="shared" ref="AP4:AQ4" si="99">IF(AND(AP164="Ok",AP219="Ok",AP274="Ok",AP359="Ok",AP456="Ok"),"Ok","Error")</f>
        <v>Ok</v>
      </c>
      <c r="AQ4" s="5" t="str">
        <f t="shared" si="99"/>
        <v>Ok</v>
      </c>
      <c r="AR4" s="5" t="str">
        <f t="shared" ref="AR4:AS4" si="100">IF(AND(AR164="Ok",AR219="Ok",AR274="Ok",AR359="Ok",AR456="Ok"),"Ok","Error")</f>
        <v>Ok</v>
      </c>
      <c r="AS4" s="5" t="str">
        <f t="shared" si="100"/>
        <v>Ok</v>
      </c>
      <c r="AU4" s="5"/>
      <c r="AV4" s="5" t="str">
        <f t="shared" ref="AV4:BL4" ca="1" si="101">IF(AND(AV164="Ok",AV219="Ok",AV274="Ok",AV359="Ok",AV375="Ok",AV456="Ok"),"Ok","Error")</f>
        <v>Ok</v>
      </c>
      <c r="AW4" s="5" t="str">
        <f t="shared" ca="1" si="101"/>
        <v>Ok</v>
      </c>
      <c r="AX4" s="5" t="str">
        <f t="shared" ca="1" si="101"/>
        <v>Ok</v>
      </c>
      <c r="AY4" s="5" t="str">
        <f t="shared" ca="1" si="101"/>
        <v>Ok</v>
      </c>
      <c r="AZ4" s="5" t="str">
        <f t="shared" ca="1" si="101"/>
        <v>Ok</v>
      </c>
      <c r="BA4" s="5" t="str">
        <f t="shared" ca="1" si="101"/>
        <v>Ok</v>
      </c>
      <c r="BB4" s="5" t="str">
        <f t="shared" ca="1" si="101"/>
        <v>Ok</v>
      </c>
      <c r="BC4" s="5" t="str">
        <f t="shared" ca="1" si="101"/>
        <v>Ok</v>
      </c>
      <c r="BD4" s="5" t="str">
        <f t="shared" ca="1" si="101"/>
        <v>Ok</v>
      </c>
      <c r="BE4" s="5" t="str">
        <f t="shared" ca="1" si="101"/>
        <v>Ok</v>
      </c>
      <c r="BF4" s="5" t="str">
        <f t="shared" ca="1" si="101"/>
        <v>Ok</v>
      </c>
      <c r="BG4" s="5" t="str">
        <f t="shared" ca="1" si="101"/>
        <v>Ok</v>
      </c>
      <c r="BH4" s="5" t="str">
        <f t="shared" ca="1" si="101"/>
        <v>Ok</v>
      </c>
      <c r="BI4" s="5" t="str">
        <f t="shared" ref="BI4:BJ4" ca="1" si="102">IF(AND(BI164="Ok",BI219="Ok",BI274="Ok",BI359="Ok",BI375="Ok",BI456="Ok"),"Ok","Error")</f>
        <v>Ok</v>
      </c>
      <c r="BJ4" s="5" t="str">
        <f t="shared" ca="1" si="102"/>
        <v>Ok</v>
      </c>
      <c r="BK4" s="5" t="str">
        <f t="shared" ref="BK4" ca="1" si="103">IF(AND(BK164="Ok",BK219="Ok",BK274="Ok",BK359="Ok",BK375="Ok",BK456="Ok"),"Ok","Error")</f>
        <v>Ok</v>
      </c>
      <c r="BL4" s="5" t="str">
        <f t="shared" ca="1" si="101"/>
        <v>Ok</v>
      </c>
      <c r="BM4" s="5" t="str">
        <f t="shared" ref="BM4:BN4" ca="1" si="104">IF(AND(BM164="Ok",BM219="Ok",BM274="Ok",BM359="Ok",BM375="Ok",BM456="Ok"),"Ok","Error")</f>
        <v>Ok</v>
      </c>
      <c r="BN4" s="5" t="str">
        <f t="shared" ca="1" si="104"/>
        <v>Ok</v>
      </c>
      <c r="BO4" s="11" t="str">
        <f t="shared" ref="BO4" ca="1" si="105">IF(AND(BO164="Ok",BO219="Ok",BO274="Ok",BO359="Ok",BO375="Ok",BO456="Ok"),"Ok","Error")</f>
        <v>Ok</v>
      </c>
      <c r="BP4" s="5" t="str">
        <f t="shared" ref="BP4" ca="1" si="106">IF(AND(BP164="Ok",BP219="Ok",BP274="Ok",BP359="Ok",BP375="Ok",BP456="Ok"),"Ok","Error")</f>
        <v>Error</v>
      </c>
      <c r="BQ4" s="5" t="str">
        <f ca="1">IF(AND(BQ164="Ok",BQ219="Ok",BQ274="Ok",BQ359="Ok",BQ375="Ok",BQ456="Ok"),"Ok","Error")</f>
        <v>Ok</v>
      </c>
      <c r="BR4" s="5" t="str">
        <f ca="1">IF(AND(BR164="Ok",BR219="Ok",BR274="Ok",BR359="Ok",BR375="Ok",BR456="Ok"),"Ok","Error")</f>
        <v>Ok</v>
      </c>
      <c r="BS4" s="5" t="str">
        <f ca="1">IF(AND(BS164="Ok",BS219="Ok",BS274="Ok",BS359="Ok",BS375="Ok",BS456="Ok"),"Ok","Error")</f>
        <v>Ok</v>
      </c>
      <c r="BT4" s="5" t="str">
        <f ca="1">IF(AND(BT164="Ok",BT219="Ok",BT274="Ok",BT359="Ok",BT375="Ok",BT456="Ok"),"Ok","Error")</f>
        <v>Ok</v>
      </c>
    </row>
    <row r="5" spans="1:72" ht="12" customHeight="1">
      <c r="A5" s="91" t="s">
        <v>299</v>
      </c>
      <c r="B5" s="3" t="s">
        <v>4</v>
      </c>
      <c r="C5" s="7">
        <v>53.92</v>
      </c>
      <c r="D5" s="7">
        <f>IF(LEFT(D$1,1)="2",(D3-#REF!)/(D3-C3),(E3-C3)/(D3-C3))</f>
        <v>1.9945355191256831</v>
      </c>
      <c r="E5" s="7">
        <f>IF(LEFT(E$1,1)="2",(E3-C3)/(E3-D3),(F3-D3)/(E3-D3))</f>
        <v>2.0054945054945055</v>
      </c>
      <c r="F5" s="7">
        <f t="shared" ref="F5:L5" si="107">IF(LEFT(F$1,1)="2",(F3-D3)/(F3-E3),(G3-E3)/(F3-E3))</f>
        <v>1.9945355191256831</v>
      </c>
      <c r="G5" s="7">
        <f t="shared" si="107"/>
        <v>2.0054945054945055</v>
      </c>
      <c r="H5" s="7">
        <f t="shared" si="107"/>
        <v>2</v>
      </c>
      <c r="I5" s="7">
        <f t="shared" si="107"/>
        <v>2</v>
      </c>
      <c r="J5" s="7">
        <f t="shared" si="107"/>
        <v>1.9945355191256831</v>
      </c>
      <c r="K5" s="7">
        <f t="shared" si="107"/>
        <v>2.0054945054945055</v>
      </c>
      <c r="L5" s="7">
        <f t="shared" si="107"/>
        <v>1.9945355191256831</v>
      </c>
      <c r="M5" s="7">
        <f t="shared" ref="M5" si="108">IF(LEFT(M$1,1)="2",(M3-K3)/(M3-L3),(N3-L3)/(M3-L3))</f>
        <v>2.0054945054945055</v>
      </c>
      <c r="N5" s="7">
        <f t="shared" ref="N5" si="109">IF(LEFT(N$1,1)="2",(N3-L3)/(N3-M3),(O3-M3)/(N3-M3))</f>
        <v>1.9945355191256831</v>
      </c>
      <c r="O5" s="7">
        <f t="shared" ref="O5" si="110">IF(LEFT(O$1,1)="2",(O3-M3)/(O3-N3),(P3-N3)/(O3-N3))</f>
        <v>2.0054945054945055</v>
      </c>
      <c r="P5" s="7">
        <f t="shared" ref="P5" si="111">IF(LEFT(P$1,1)="2",(P3-N3)/(P3-O3),(Q3-O3)/(P3-O3))</f>
        <v>2</v>
      </c>
      <c r="Q5" s="7">
        <f t="shared" ref="Q5" si="112">IF(LEFT(Q$1,1)="2",(Q3-O3)/(Q3-P3),(R3-P3)/(Q3-P3))</f>
        <v>2</v>
      </c>
      <c r="R5" s="7">
        <f t="shared" ref="R5" si="113">IF(LEFT(R$1,1)="2",(R3-P3)/(R3-Q3),(S3-Q3)/(R3-Q3))</f>
        <v>1.9945355191256831</v>
      </c>
      <c r="S5" s="7">
        <f t="shared" ref="S5" si="114">IF(LEFT(S$1,1)="2",(S3-Q3)/(S3-R3),(T3-R3)/(S3-R3))</f>
        <v>2.0054945054945055</v>
      </c>
      <c r="T5" s="7">
        <f t="shared" ref="T5" si="115">IF(LEFT(T$1,1)="2",(T3-R3)/(T3-S3),(U3-S3)/(T3-S3))</f>
        <v>1.9945355191256831</v>
      </c>
      <c r="U5" s="7">
        <f t="shared" ref="U5" si="116">IF(LEFT(U$1,1)="2",(U3-S3)/(U3-T3),(V3-T3)/(U3-T3))</f>
        <v>2.0054945054945055</v>
      </c>
      <c r="V5" s="7">
        <f t="shared" ref="V5:W5" si="117">IF(LEFT(V$1,1)="2",(V3-T3)/(V3-U3),(W3-U3)/(V3-U3))</f>
        <v>1.9945355191256831</v>
      </c>
      <c r="W5" s="7">
        <f t="shared" si="117"/>
        <v>2.0054945054945055</v>
      </c>
      <c r="X5" s="7">
        <f t="shared" ref="X5" si="118">IF(LEFT(X$1,1)="2",(X3-V3)/(X3-W3),(Y3-W3)/(X3-W3))</f>
        <v>2</v>
      </c>
      <c r="Y5" s="7">
        <f t="shared" ref="Y5:AI5" si="119">IF(LEFT(Y$1,1)="2",(Y3-W3)/(Y3-X3),(Z3-X3)/(Y3-X3))</f>
        <v>2</v>
      </c>
      <c r="Z5" s="7">
        <f t="shared" si="119"/>
        <v>1.9945355191256831</v>
      </c>
      <c r="AA5" s="7">
        <f t="shared" si="119"/>
        <v>2.0054945054945055</v>
      </c>
      <c r="AB5" s="7">
        <f t="shared" si="119"/>
        <v>1.9945355191256831</v>
      </c>
      <c r="AC5" s="7">
        <f t="shared" si="119"/>
        <v>2.0054945054945055</v>
      </c>
      <c r="AD5" s="7">
        <f t="shared" si="119"/>
        <v>1.9945355191256831</v>
      </c>
      <c r="AE5" s="7">
        <f t="shared" si="119"/>
        <v>2.0054945054945055</v>
      </c>
      <c r="AF5" s="7">
        <f t="shared" si="119"/>
        <v>2</v>
      </c>
      <c r="AG5" s="7">
        <f t="shared" si="119"/>
        <v>2</v>
      </c>
      <c r="AH5" s="7">
        <f t="shared" si="119"/>
        <v>1.9945355191256831</v>
      </c>
      <c r="AI5" s="7">
        <f t="shared" si="119"/>
        <v>2.0054945054945055</v>
      </c>
      <c r="AJ5" s="13">
        <f t="shared" ref="AJ5" si="120">IF(LEFT(AJ$1,1)="2",(AJ3-AH3)/(AJ3-AI3),(AK3-AI3)/(AJ3-AI3))</f>
        <v>1.9945355191256831</v>
      </c>
      <c r="AK5" s="7">
        <f>IF(LEFT(AK$1,1)="2",(AK3-AI3)/(AK3-AJ3),(BH3-AJ3)/(AK3-AJ3))</f>
        <v>2.0054945054945055</v>
      </c>
      <c r="AL5" s="7">
        <f t="shared" ref="AL5" si="121">IF(LEFT(AL$1,1)="2",(AL3-AJ3)/(AL3-AK3),(AM3-AK3)/(AL3-AK3))</f>
        <v>1.9945355191256831</v>
      </c>
      <c r="AM5" s="7">
        <f>IF(LEFT(AM$1,1)="2",(AM3-AK3)/(AM3-AL3),(BJ3-AL3)/(AM3-AL3))</f>
        <v>2.0054945054945055</v>
      </c>
      <c r="AN5" s="7">
        <f t="shared" ref="AN5" si="122">IF(LEFT(AN$1,1)="2",(AN3-AL3)/(AN3-AM3),(AO3-AM3)/(AN3-AM3))</f>
        <v>2</v>
      </c>
      <c r="AO5" s="7">
        <f>IF(LEFT(AO$1,1)="2",(AO3-AM3)/(AO3-AN3),(BL3-AN3)/(AO3-AN3))</f>
        <v>2</v>
      </c>
      <c r="AP5" s="7">
        <f t="shared" ref="AP5" si="123">IF(LEFT(AP$1,1)="2",(AP3-AN3)/(AP3-AO3),(AQ3-AO3)/(AP3-AO3))</f>
        <v>1.9945355191256831</v>
      </c>
      <c r="AQ5" s="7">
        <f>IF(LEFT(AQ$1,1)="2",(AQ3-AO3)/(AQ3-AP3),(BN3-AP3)/(AQ3-AP3))</f>
        <v>2.0054945054945055</v>
      </c>
      <c r="AR5" s="7">
        <f t="shared" ref="AR5" si="124">IF(LEFT(AR$1,1)="2",(AR3-AP3)/(AR3-AQ3),(AS3-AQ3)/(AR3-AQ3))</f>
        <v>1.9945355191256831</v>
      </c>
      <c r="AS5" s="7">
        <f>IF(LEFT(AS$1,1)="2",(AS3-AQ3)/(AS3-AR3),(BP3-AR3)/(AS3-AR3))</f>
        <v>2.0054945054945055</v>
      </c>
      <c r="AU5" s="7">
        <v>1</v>
      </c>
      <c r="AV5" s="7">
        <v>1</v>
      </c>
      <c r="AW5" s="7">
        <v>1</v>
      </c>
      <c r="AX5" s="7">
        <v>1</v>
      </c>
      <c r="AY5" s="7">
        <v>1</v>
      </c>
      <c r="AZ5" s="7">
        <v>1</v>
      </c>
      <c r="BA5" s="7">
        <v>1</v>
      </c>
      <c r="BB5" s="7">
        <v>1</v>
      </c>
      <c r="BC5" s="7">
        <v>1</v>
      </c>
      <c r="BD5" s="7">
        <v>1</v>
      </c>
      <c r="BE5" s="7">
        <v>1</v>
      </c>
      <c r="BF5" s="7">
        <v>1</v>
      </c>
      <c r="BG5" s="7">
        <v>1</v>
      </c>
      <c r="BH5" s="7">
        <v>1</v>
      </c>
      <c r="BI5" s="7">
        <v>1</v>
      </c>
      <c r="BJ5" s="7">
        <v>1</v>
      </c>
      <c r="BK5" s="7">
        <v>1</v>
      </c>
      <c r="BL5" s="7">
        <v>1</v>
      </c>
      <c r="BM5" s="7">
        <v>1</v>
      </c>
      <c r="BN5" s="7">
        <v>1</v>
      </c>
      <c r="BO5" s="13">
        <v>1</v>
      </c>
      <c r="BP5" s="7">
        <v>1</v>
      </c>
      <c r="BQ5" s="7">
        <v>1</v>
      </c>
      <c r="BR5" s="7">
        <v>1</v>
      </c>
      <c r="BS5" s="7">
        <v>1</v>
      </c>
      <c r="BT5" s="7">
        <v>1</v>
      </c>
    </row>
    <row r="6" spans="1:72" ht="12" customHeight="1"/>
    <row r="7" spans="1:72" s="9" customFormat="1" ht="12" customHeight="1">
      <c r="A7" s="91"/>
      <c r="B7" s="2" t="s">
        <v>457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10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10"/>
      <c r="BP7" s="4"/>
      <c r="BQ7" s="4"/>
      <c r="BR7" s="4"/>
      <c r="BS7" s="4"/>
      <c r="BT7" s="4"/>
    </row>
    <row r="8" spans="1:72" ht="12" customHeight="1" outlineLevel="1">
      <c r="C8" s="8"/>
      <c r="D8" s="41"/>
      <c r="E8" s="41"/>
      <c r="F8" s="154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41"/>
      <c r="AL8" s="41"/>
      <c r="AM8" s="41"/>
      <c r="AN8" s="41"/>
      <c r="AO8" s="41"/>
      <c r="AP8" s="41"/>
      <c r="AQ8" s="41"/>
      <c r="AR8" s="41"/>
      <c r="AS8" s="41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43"/>
    </row>
    <row r="9" spans="1:72" ht="12" customHeight="1" outlineLevel="1">
      <c r="B9" s="16" t="s">
        <v>739</v>
      </c>
      <c r="C9" s="8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2"/>
      <c r="AK9" s="41"/>
      <c r="AL9" s="41"/>
      <c r="AM9" s="41"/>
      <c r="AN9" s="41"/>
      <c r="AO9" s="41"/>
      <c r="AP9" s="41"/>
      <c r="AQ9" s="41"/>
      <c r="AR9" s="41"/>
      <c r="AS9" s="41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43"/>
    </row>
    <row r="10" spans="1:72" ht="12" customHeight="1" outlineLevel="1">
      <c r="A10" s="91" t="s">
        <v>740</v>
      </c>
      <c r="B10" s="87" t="s">
        <v>741</v>
      </c>
      <c r="C10" s="277">
        <f>VLOOKUP(RIGHT($A10,LEN($A10)-4),[1]Sheet1!$2:$65536,MATCH(C$3,[1]Sheet1!$2:$2,0),FALSE)</f>
        <v>0.4829</v>
      </c>
      <c r="D10" s="277">
        <f>VLOOKUP(RIGHT($A10,LEN($A10)-4),[1]Sheet1!$2:$65536,MATCH(D$3,[1]Sheet1!$2:$2,0),FALSE)</f>
        <v>0.55230000000000001</v>
      </c>
      <c r="E10" s="277">
        <f>VLOOKUP(RIGHT($A10,LEN($A10)-4),[1]Sheet1!$2:$65536,MATCH(E$3,[1]Sheet1!$2:$2,0),FALSE)</f>
        <v>0.60430000000000006</v>
      </c>
      <c r="F10" s="277">
        <f>VLOOKUP(RIGHT($A10,LEN($A10)-4),[1]Sheet1!$2:$65536,MATCH(F$3,[1]Sheet1!$2:$2,0),FALSE)</f>
        <v>0.61529999999999996</v>
      </c>
      <c r="G10" s="277">
        <f>VLOOKUP(RIGHT($A10,LEN($A10)-4),[1]Sheet1!$2:$65536,MATCH(G$3,[1]Sheet1!$2:$2,0),FALSE)</f>
        <v>0.64420000000000011</v>
      </c>
      <c r="H10" s="277">
        <f>VLOOKUP(RIGHT($A10,LEN($A10)-4),[1]Sheet1!$2:$65536,MATCH(H$3,[1]Sheet1!$2:$2,0),FALSE)</f>
        <v>0.62000000000000011</v>
      </c>
      <c r="I10" s="277">
        <f>VLOOKUP(RIGHT($A10,LEN($A10)-4),[1]Sheet1!$2:$65536,MATCH(I$3,[1]Sheet1!$2:$2,0),FALSE)</f>
        <v>0.64695000000000014</v>
      </c>
      <c r="J10" s="277">
        <f>VLOOKUP(RIGHT($A10,LEN($A10)-4),[1]Sheet1!$2:$65536,MATCH(J$3,[1]Sheet1!$2:$2,0),FALSE)</f>
        <v>0.64250000000000007</v>
      </c>
      <c r="K10" s="277">
        <f>VLOOKUP(RIGHT($A10,LEN($A10)-4),[1]Sheet1!$2:$65536,MATCH(K$3,[1]Sheet1!$2:$2,0),FALSE)</f>
        <v>0.68535000000000013</v>
      </c>
      <c r="L10" s="277">
        <f>VLOOKUP(RIGHT($A10,LEN($A10)-4),[1]Sheet1!$2:$65536,MATCH(L$3,[1]Sheet1!$2:$2,0),FALSE)</f>
        <v>0.57620000000000005</v>
      </c>
      <c r="M10" s="277">
        <f>VLOOKUP(RIGHT($A10,LEN($A10)-4),[1]Sheet1!$2:$65536,MATCH(M$3,[1]Sheet1!$2:$2,0),FALSE)</f>
        <v>0.55610000000000004</v>
      </c>
      <c r="N10" s="277">
        <f>VLOOKUP(RIGHT($A10,LEN($A10)-4),[1]Sheet1!$2:$65536,MATCH(N$3,[1]Sheet1!$2:$2,0),FALSE)</f>
        <v>0.53964999999999996</v>
      </c>
      <c r="O10" s="277">
        <f>VLOOKUP(RIGHT($A10,LEN($A10)-4),[1]Sheet1!$2:$65536,MATCH(O$3,[1]Sheet1!$2:$2,0),FALSE)</f>
        <v>0.51324999999999998</v>
      </c>
      <c r="P10" s="277">
        <f>VLOOKUP(RIGHT($A10,LEN($A10)-4),[1]Sheet1!$2:$65536,MATCH(P$3,[1]Sheet1!$2:$2,0),FALSE)</f>
        <v>0.46399999999999997</v>
      </c>
      <c r="Q10" s="277">
        <f>VLOOKUP(RIGHT($A10,LEN($A10)-4),[1]Sheet1!$2:$65536,MATCH(Q$3,[1]Sheet1!$2:$2,0),FALSE)</f>
        <v>0.53310000000000002</v>
      </c>
      <c r="R10" s="277">
        <f>VLOOKUP(RIGHT($A10,LEN($A10)-4),[1]Sheet1!$2:$65536,MATCH(R$3,[1]Sheet1!$2:$2,0),FALSE)</f>
        <v>0.59014999999999995</v>
      </c>
      <c r="S10" s="277">
        <f>VLOOKUP(RIGHT($A10,LEN($A10)-4),[1]Sheet1!$2:$65536,MATCH(S$3,[1]Sheet1!$2:$2,0),FALSE)</f>
        <v>0.60759999999999992</v>
      </c>
      <c r="T10" s="277">
        <f>VLOOKUP(RIGHT($A10,LEN($A10)-4),[1]Sheet1!$2:$65536,MATCH(T$3,[1]Sheet1!$2:$2,0),FALSE)</f>
        <v>0.58485000000000009</v>
      </c>
      <c r="U10" s="277">
        <f>VLOOKUP(RIGHT($A10,LEN($A10)-4),[1]Sheet1!$2:$65536,MATCH(U$3,[1]Sheet1!$2:$2,0),FALSE)</f>
        <v>0.54744999999999999</v>
      </c>
      <c r="V10" s="277">
        <f>VLOOKUP(RIGHT($A10,LEN($A10)-4),[1]Sheet1!$2:$65536,MATCH(V$3,[1]Sheet1!$2:$2,0),FALSE)</f>
        <v>0.55400000000000005</v>
      </c>
      <c r="W10" s="277">
        <f>VLOOKUP(RIGHT($A10,LEN($A10)-4),[1]Sheet1!$2:$65536,MATCH(W$3,[1]Sheet1!$2:$2,0),FALSE)</f>
        <v>0.54459999999999997</v>
      </c>
      <c r="X10" s="277">
        <f>VLOOKUP(RIGHT($A10,LEN($A10)-4),[1]Sheet1!$2:$65536,MATCH(X$3,[1]Sheet1!$2:$2,0),FALSE)</f>
        <v>0.54895000000000005</v>
      </c>
      <c r="Y10" s="277">
        <f>VLOOKUP(RIGHT($A10,LEN($A10)-4),[1]Sheet1!$2:$65536,MATCH(Y$3,[1]Sheet1!$2:$2,0),FALSE)</f>
        <v>0.49456</v>
      </c>
      <c r="Z10" s="277">
        <f>VLOOKUP(RIGHT($A10,LEN($A10)-4),[1]Sheet1!$2:$65536,MATCH(Z$3,[1]Sheet1!$2:$2,0),FALSE)</f>
        <v>0.55445999999999995</v>
      </c>
      <c r="AA10" s="277">
        <f>VLOOKUP(RIGHT($A10,LEN($A10)-4),[1]Sheet1!$2:$65536,MATCH(AA$3,[1]Sheet1!$2:$2,0),FALSE)</f>
        <v>0.55100000000000005</v>
      </c>
      <c r="AB10" s="277">
        <f>VLOOKUP(RIGHT($A10,LEN($A10)-4),[1]Sheet1!$2:$65536,MATCH(AB$3,[1]Sheet1!$2:$2,0),FALSE)</f>
        <v>0.53649999999999998</v>
      </c>
      <c r="AC10" s="277">
        <f>VLOOKUP(RIGHT($A10,LEN($A10)-4),[1]Sheet1!$2:$65536,MATCH(AC$3,[1]Sheet1!$2:$2,0),FALSE)</f>
        <v>0.56950000000000001</v>
      </c>
      <c r="AD10" s="277">
        <f>VLOOKUP(RIGHT($A10,LEN($A10)-4),[1]Sheet1!$2:$65536,MATCH(AD$3,[1]Sheet1!$2:$2,0),FALSE)</f>
        <v>0.57299999999999995</v>
      </c>
      <c r="AE10" s="277">
        <f>VLOOKUP(RIGHT($A10,LEN($A10)-4),[1]Sheet1!$2:$65536,MATCH(AE$3,[1]Sheet1!$2:$2,0),FALSE)</f>
        <v>0.54200000000000004</v>
      </c>
      <c r="AF10" s="277">
        <f>VLOOKUP(RIGHT($A10,LEN($A10)-4),[1]Sheet1!$2:$65536,MATCH(AF$3,[1]Sheet1!$2:$2,0),FALSE)</f>
        <v>0.52731499999999998</v>
      </c>
      <c r="AG10" s="277">
        <f>VLOOKUP(RIGHT($A10,LEN($A10)-4),[1]Sheet1!$2:$65536,MATCH(AG$3,[1]Sheet1!$2:$2,0),FALSE)</f>
        <v>0.51600000000000001</v>
      </c>
      <c r="AH10" s="277">
        <f>VLOOKUP(RIGHT($A10,LEN($A10)-4),[1]Sheet1!$2:$65536,MATCH(AH$3,[1]Sheet1!$2:$2,0),FALSE)</f>
        <v>0.51688535224444543</v>
      </c>
      <c r="AI10" s="277">
        <f>VLOOKUP(RIGHT($A10,LEN($A10)-4),[1]Sheet1!$2:$65536,MATCH(AI$3,[1]Sheet1!$2:$2,0),FALSE)</f>
        <v>0.48359173251574089</v>
      </c>
      <c r="AJ10" s="350">
        <f>VLOOKUP(RIGHT($A10,LEN($A10)-4),[1]Sheet1!$2:$65536,MATCH(AJ$3,[1]Sheet1!$2:$2,0),FALSE)</f>
        <v>0.49187544729923488</v>
      </c>
      <c r="AK10" s="277">
        <f>VLOOKUP(RIGHT($A10,LEN($A10)-4),[1]Sheet1!$2:$65536,MATCH(AK$3,[1]Sheet1!$2:$2,0),FALSE)</f>
        <v>0.47535211267605654</v>
      </c>
      <c r="AL10" s="277">
        <f>VLOOKUP(RIGHT($A10,LEN($A10)-4),[1]Sheet1!$2:$65536,MATCH(AL$3,[1]Sheet1!$2:$2,0),FALSE)</f>
        <v>0.47499999999999992</v>
      </c>
      <c r="AM10" s="277">
        <f>VLOOKUP(RIGHT($A10,LEN($A10)-4),[1]Sheet1!$2:$65536,MATCH(AM$3,[1]Sheet1!$2:$2,0),FALSE)</f>
        <v>0.48523985239852396</v>
      </c>
      <c r="AN10" s="277">
        <f>VLOOKUP(RIGHT($A10,LEN($A10)-4),[1]Sheet1!$2:$65536,MATCH(AN$3,[1]Sheet1!$2:$2,0),FALSE)</f>
        <v>0.49999999999999983</v>
      </c>
      <c r="AO10" s="277">
        <f>VLOOKUP(RIGHT($A10,LEN($A10)-4),[1]Sheet1!$2:$65536,MATCH(AO$3,[1]Sheet1!$2:$2,0),FALSE)</f>
        <v>0.51401869158878488</v>
      </c>
      <c r="AP10" s="277">
        <f>VLOOKUP(RIGHT($A10,LEN($A10)-4),[1]Sheet1!$2:$65536,MATCH(AP$3,[1]Sheet1!$2:$2,0),FALSE)</f>
        <v>0.52720450281425824</v>
      </c>
      <c r="AQ10" s="277">
        <f>VLOOKUP(RIGHT($A10,LEN($A10)-4),[1]Sheet1!$2:$65536,MATCH(AQ$3,[1]Sheet1!$2:$2,0),FALSE)</f>
        <v>0.54614220877458386</v>
      </c>
      <c r="AR10" s="277">
        <f>VLOOKUP(RIGHT($A10,LEN($A10)-4),[1]Sheet1!$2:$65536,MATCH(AR$3,[1]Sheet1!$2:$2,0),FALSE)</f>
        <v>0.57120980091883578</v>
      </c>
      <c r="AS10" s="277">
        <f>VLOOKUP(RIGHT($A10,LEN($A10)-4),[1]Sheet1!$2:$65536,MATCH(AS$3,[1]Sheet1!$2:$2,0),FALSE)</f>
        <v>0.59689922480620106</v>
      </c>
      <c r="AT10" s="8"/>
      <c r="AU10" s="277">
        <f>VLOOKUP(RIGHT($A10,LEN($A10)-4),[1]Sheet1!$2:$65536,MATCH(AU$3,[1]Sheet1!$2:$2,0),FALSE)</f>
        <v>0.40895617792675232</v>
      </c>
      <c r="AV10" s="277">
        <f>VLOOKUP(RIGHT($A10,LEN($A10)-4),[1]Sheet1!$2:$65536,MATCH(AV$3,[1]Sheet1!$2:$2,0),FALSE)</f>
        <v>0.4123</v>
      </c>
      <c r="AW10" s="277">
        <f>VLOOKUP(RIGHT($A10,LEN($A10)-4),[1]Sheet1!$2:$65536,MATCH(AW$3,[1]Sheet1!$2:$2,0),FALSE)</f>
        <v>0.41100000000000003</v>
      </c>
      <c r="AX10" s="277">
        <f>VLOOKUP(RIGHT($A10,LEN($A10)-4),[1]Sheet1!$2:$65536,MATCH(AX$3,[1]Sheet1!$2:$2,0),FALSE)</f>
        <v>0.46030000000000004</v>
      </c>
      <c r="AY10" s="277">
        <f>VLOOKUP(RIGHT($A10,LEN($A10)-4),[1]Sheet1!$2:$65536,MATCH(AY$3,[1]Sheet1!$2:$2,0),FALSE)</f>
        <v>0.4829</v>
      </c>
      <c r="AZ10" s="279">
        <f>E10</f>
        <v>0.60430000000000006</v>
      </c>
      <c r="BA10" s="279">
        <f>G10</f>
        <v>0.64420000000000011</v>
      </c>
      <c r="BB10" s="279">
        <f>I10</f>
        <v>0.64695000000000014</v>
      </c>
      <c r="BC10" s="279">
        <f>K10</f>
        <v>0.68535000000000013</v>
      </c>
      <c r="BD10" s="279">
        <f>M10</f>
        <v>0.55610000000000004</v>
      </c>
      <c r="BE10" s="279">
        <f>O10</f>
        <v>0.51324999999999998</v>
      </c>
      <c r="BF10" s="279">
        <f>Q10</f>
        <v>0.53310000000000002</v>
      </c>
      <c r="BG10" s="279">
        <f>S10</f>
        <v>0.60759999999999992</v>
      </c>
      <c r="BH10" s="279">
        <f>U10</f>
        <v>0.54744999999999999</v>
      </c>
      <c r="BI10" s="279">
        <f>W10</f>
        <v>0.54459999999999997</v>
      </c>
      <c r="BJ10" s="279">
        <f>Y10</f>
        <v>0.49456</v>
      </c>
      <c r="BK10" s="279">
        <f>AA10</f>
        <v>0.55100000000000005</v>
      </c>
      <c r="BL10" s="279">
        <f>AC10</f>
        <v>0.56950000000000001</v>
      </c>
      <c r="BM10" s="279">
        <f>AE10</f>
        <v>0.54200000000000004</v>
      </c>
      <c r="BN10" s="279">
        <f>AG10</f>
        <v>0.51600000000000001</v>
      </c>
      <c r="BO10" s="280">
        <f>AI10</f>
        <v>0.48359173251574089</v>
      </c>
      <c r="BP10" s="279">
        <f>AK10</f>
        <v>0.47535211267605654</v>
      </c>
      <c r="BQ10" s="279">
        <f>AM10</f>
        <v>0.48523985239852396</v>
      </c>
      <c r="BR10" s="279">
        <f>AO10</f>
        <v>0.51401869158878488</v>
      </c>
      <c r="BS10" s="279">
        <f>AQ10</f>
        <v>0.54614220877458386</v>
      </c>
      <c r="BT10" s="279">
        <f>AS10</f>
        <v>0.59689922480620106</v>
      </c>
    </row>
    <row r="11" spans="1:72" ht="12" customHeight="1" outlineLevel="1">
      <c r="A11" s="91" t="s">
        <v>742</v>
      </c>
      <c r="B11" s="87" t="s">
        <v>743</v>
      </c>
      <c r="C11" s="277">
        <f>VLOOKUP(RIGHT($A11,LEN($A11)-4),[1]Sheet1!$2:$65536,MATCH(C$3,[1]Sheet1!$2:$2,0),FALSE)</f>
        <v>0.69140000000000001</v>
      </c>
      <c r="D11" s="277">
        <f>VLOOKUP(RIGHT($A11,LEN($A11)-4),[1]Sheet1!$2:$65536,MATCH(D$3,[1]Sheet1!$2:$2,0),FALSE)</f>
        <v>0.88260000000000005</v>
      </c>
      <c r="E11" s="277">
        <f>VLOOKUP(RIGHT($A11,LEN($A11)-4),[1]Sheet1!$2:$65536,MATCH(E$3,[1]Sheet1!$2:$2,0),FALSE)</f>
        <v>0.91749999999999998</v>
      </c>
      <c r="F11" s="277">
        <f>VLOOKUP(RIGHT($A11,LEN($A11)-4),[1]Sheet1!$2:$65536,MATCH(F$3,[1]Sheet1!$2:$2,0),FALSE)</f>
        <v>0.96720000000000006</v>
      </c>
      <c r="G11" s="277">
        <f>VLOOKUP(RIGHT($A11,LEN($A11)-4),[1]Sheet1!$2:$65536,MATCH(G$3,[1]Sheet1!$2:$2,0),FALSE)</f>
        <v>1.0327</v>
      </c>
      <c r="H11" s="277">
        <f>VLOOKUP(RIGHT($A11,LEN($A11)-4),[1]Sheet1!$2:$65536,MATCH(H$3,[1]Sheet1!$2:$2,0),FALSE)</f>
        <v>0.96635000000000004</v>
      </c>
      <c r="I11" s="277">
        <f>VLOOKUP(RIGHT($A11,LEN($A11)-4),[1]Sheet1!$2:$65536,MATCH(I$3,[1]Sheet1!$2:$2,0),FALSE)</f>
        <v>1.03552</v>
      </c>
      <c r="J11" s="277">
        <f>VLOOKUP(RIGHT($A11,LEN($A11)-4),[1]Sheet1!$2:$65536,MATCH(J$3,[1]Sheet1!$2:$2,0),FALSE)</f>
        <v>1.0382</v>
      </c>
      <c r="K11" s="277">
        <f>VLOOKUP(RIGHT($A11,LEN($A11)-4),[1]Sheet1!$2:$65536,MATCH(K$3,[1]Sheet1!$2:$2,0),FALSE)</f>
        <v>1.0416500000000002</v>
      </c>
      <c r="L11" s="277">
        <f>VLOOKUP(RIGHT($A11,LEN($A11)-4),[1]Sheet1!$2:$65536,MATCH(L$3,[1]Sheet1!$2:$2,0),FALSE)</f>
        <v>0.93254999999999999</v>
      </c>
      <c r="M11" s="277">
        <f>VLOOKUP(RIGHT($A11,LEN($A11)-4),[1]Sheet1!$2:$65536,MATCH(M$3,[1]Sheet1!$2:$2,0),FALSE)</f>
        <v>0.92656500000000008</v>
      </c>
      <c r="N11" s="277">
        <f>VLOOKUP(RIGHT($A11,LEN($A11)-4),[1]Sheet1!$2:$65536,MATCH(N$3,[1]Sheet1!$2:$2,0),FALSE)</f>
        <v>0.87499500000000008</v>
      </c>
      <c r="O11" s="277">
        <f>VLOOKUP(RIGHT($A11,LEN($A11)-4),[1]Sheet1!$2:$65536,MATCH(O$3,[1]Sheet1!$2:$2,0),FALSE)</f>
        <v>0.76062000000000007</v>
      </c>
      <c r="P11" s="277">
        <f>VLOOKUP(RIGHT($A11,LEN($A11)-4),[1]Sheet1!$2:$65536,MATCH(P$3,[1]Sheet1!$2:$2,0),FALSE)</f>
        <v>0.70178499999999999</v>
      </c>
      <c r="Q11" s="277">
        <f>VLOOKUP(RIGHT($A11,LEN($A11)-4),[1]Sheet1!$2:$65536,MATCH(Q$3,[1]Sheet1!$2:$2,0),FALSE)</f>
        <v>0.76578499999999994</v>
      </c>
      <c r="R11" s="277">
        <f>VLOOKUP(RIGHT($A11,LEN($A11)-4),[1]Sheet1!$2:$65536,MATCH(R$3,[1]Sheet1!$2:$2,0),FALSE)</f>
        <v>0.76595499999999994</v>
      </c>
      <c r="S11" s="277">
        <f>VLOOKUP(RIGHT($A11,LEN($A11)-4),[1]Sheet1!$2:$65536,MATCH(S$3,[1]Sheet1!$2:$2,0),FALSE)</f>
        <v>0.76302000000000003</v>
      </c>
      <c r="T11" s="277">
        <f>VLOOKUP(RIGHT($A11,LEN($A11)-4),[1]Sheet1!$2:$65536,MATCH(T$3,[1]Sheet1!$2:$2,0),FALSE)</f>
        <v>0.78353499999999998</v>
      </c>
      <c r="U11" s="277">
        <f>VLOOKUP(RIGHT($A11,LEN($A11)-4),[1]Sheet1!$2:$65536,MATCH(U$3,[1]Sheet1!$2:$2,0),FALSE)</f>
        <v>0.768015</v>
      </c>
      <c r="V11" s="277">
        <f>VLOOKUP(RIGHT($A11,LEN($A11)-4),[1]Sheet1!$2:$65536,MATCH(V$3,[1]Sheet1!$2:$2,0),FALSE)</f>
        <v>0.7218</v>
      </c>
      <c r="W11" s="277">
        <f>VLOOKUP(RIGHT($A11,LEN($A11)-4),[1]Sheet1!$2:$65536,MATCH(W$3,[1]Sheet1!$2:$2,0),FALSE)</f>
        <v>0.70962999999999998</v>
      </c>
      <c r="X11" s="277">
        <f>VLOOKUP(RIGHT($A11,LEN($A11)-4),[1]Sheet1!$2:$65536,MATCH(X$3,[1]Sheet1!$2:$2,0),FALSE)</f>
        <v>0.67495499999999997</v>
      </c>
      <c r="Y11" s="277">
        <f>VLOOKUP(RIGHT($A11,LEN($A11)-4),[1]Sheet1!$2:$65536,MATCH(Y$3,[1]Sheet1!$2:$2,0),FALSE)</f>
        <v>0.61394499999999996</v>
      </c>
      <c r="Z11" s="277">
        <f>VLOOKUP(RIGHT($A11,LEN($A11)-4),[1]Sheet1!$2:$65536,MATCH(Z$3,[1]Sheet1!$2:$2,0),FALSE)</f>
        <v>0.71655500000000005</v>
      </c>
      <c r="AA11" s="277">
        <f>VLOOKUP(RIGHT($A11,LEN($A11)-4),[1]Sheet1!$2:$65536,MATCH(AA$3,[1]Sheet1!$2:$2,0),FALSE)</f>
        <v>0.75973500000000005</v>
      </c>
      <c r="AB11" s="277">
        <f>VLOOKUP(RIGHT($A11,LEN($A11)-4),[1]Sheet1!$2:$65536,MATCH(AB$3,[1]Sheet1!$2:$2,0),FALSE)</f>
        <v>0.72255999999999998</v>
      </c>
      <c r="AC11" s="277">
        <f>VLOOKUP(RIGHT($A11,LEN($A11)-4),[1]Sheet1!$2:$65536,MATCH(AC$3,[1]Sheet1!$2:$2,0),FALSE)</f>
        <v>0.74817</v>
      </c>
      <c r="AD11" s="277">
        <f>VLOOKUP(RIGHT($A11,LEN($A11)-4),[1]Sheet1!$2:$65536,MATCH(AD$3,[1]Sheet1!$2:$2,0),FALSE)</f>
        <v>0.64005500000000004</v>
      </c>
      <c r="AE11" s="277">
        <f>VLOOKUP(RIGHT($A11,LEN($A11)-4),[1]Sheet1!$2:$65536,MATCH(AE$3,[1]Sheet1!$2:$2,0),FALSE)</f>
        <v>0.66854999999999998</v>
      </c>
      <c r="AF11" s="277">
        <f>VLOOKUP(RIGHT($A11,LEN($A11)-4),[1]Sheet1!$2:$65536,MATCH(AF$3,[1]Sheet1!$2:$2,0),FALSE)</f>
        <v>0.64303500000000002</v>
      </c>
      <c r="AG11" s="277">
        <f>VLOOKUP(RIGHT($A11,LEN($A11)-4),[1]Sheet1!$2:$65536,MATCH(AG$3,[1]Sheet1!$2:$2,0),FALSE)</f>
        <v>0.65139999999999998</v>
      </c>
      <c r="AH11" s="277">
        <f>VLOOKUP(RIGHT($A11,LEN($A11)-4),[1]Sheet1!$2:$65536,MATCH(AH$3,[1]Sheet1!$2:$2,0),FALSE)</f>
        <v>0.69131000000000009</v>
      </c>
      <c r="AI11" s="277">
        <f>VLOOKUP(RIGHT($A11,LEN($A11)-4),[1]Sheet1!$2:$65536,MATCH(AI$3,[1]Sheet1!$2:$2,0),FALSE)</f>
        <v>0.62470000000000003</v>
      </c>
      <c r="AJ11" s="350">
        <f>VLOOKUP(RIGHT($A11,LEN($A11)-4),[1]Sheet1!$2:$65536,MATCH(AJ$3,[1]Sheet1!$2:$2,0),FALSE)</f>
        <v>0.6613150000000001</v>
      </c>
      <c r="AK11" s="277">
        <f>VLOOKUP(RIGHT($A11,LEN($A11)-4),[1]Sheet1!$2:$65536,MATCH(AK$3,[1]Sheet1!$2:$2,0),FALSE)</f>
        <v>0.67500000000000016</v>
      </c>
      <c r="AL11" s="277">
        <f>VLOOKUP(RIGHT($A11,LEN($A11)-4),[1]Sheet1!$2:$65536,MATCH(AL$3,[1]Sheet1!$2:$2,0),FALSE)</f>
        <v>0.66500000000000004</v>
      </c>
      <c r="AM11" s="277">
        <f>VLOOKUP(RIGHT($A11,LEN($A11)-4),[1]Sheet1!$2:$65536,MATCH(AM$3,[1]Sheet1!$2:$2,0),FALSE)</f>
        <v>0.65749999999999997</v>
      </c>
      <c r="AN11" s="277">
        <f>VLOOKUP(RIGHT($A11,LEN($A11)-4),[1]Sheet1!$2:$65536,MATCH(AN$3,[1]Sheet1!$2:$2,0),FALSE)</f>
        <v>0.67249999999999965</v>
      </c>
      <c r="AO11" s="277">
        <f>VLOOKUP(RIGHT($A11,LEN($A11)-4),[1]Sheet1!$2:$65536,MATCH(AO$3,[1]Sheet1!$2:$2,0),FALSE)</f>
        <v>0.68749999999999989</v>
      </c>
      <c r="AP11" s="277">
        <f>VLOOKUP(RIGHT($A11,LEN($A11)-4),[1]Sheet1!$2:$65536,MATCH(AP$3,[1]Sheet1!$2:$2,0),FALSE)</f>
        <v>0.70249999999999957</v>
      </c>
      <c r="AQ11" s="277">
        <f>VLOOKUP(RIGHT($A11,LEN($A11)-4),[1]Sheet1!$2:$65536,MATCH(AQ$3,[1]Sheet1!$2:$2,0),FALSE)</f>
        <v>0.72199999999999998</v>
      </c>
      <c r="AR11" s="277">
        <f>VLOOKUP(RIGHT($A11,LEN($A11)-4),[1]Sheet1!$2:$65536,MATCH(AR$3,[1]Sheet1!$2:$2,0),FALSE)</f>
        <v>0.746</v>
      </c>
      <c r="AS11" s="277">
        <f>VLOOKUP(RIGHT($A11,LEN($A11)-4),[1]Sheet1!$2:$65536,MATCH(AS$3,[1]Sheet1!$2:$2,0),FALSE)</f>
        <v>0.77</v>
      </c>
      <c r="AT11" s="8"/>
      <c r="AU11" s="277">
        <f>VLOOKUP(RIGHT($A11,LEN($A11)-4),[1]Sheet1!$2:$65536,MATCH(AU$3,[1]Sheet1!$2:$2,0),FALSE)</f>
        <v>0.77300000000000002</v>
      </c>
      <c r="AV11" s="277">
        <f>VLOOKUP(RIGHT($A11,LEN($A11)-4),[1]Sheet1!$2:$65536,MATCH(AV$3,[1]Sheet1!$2:$2,0),FALSE)</f>
        <v>0.71625000000000005</v>
      </c>
      <c r="AW11" s="277">
        <f>VLOOKUP(RIGHT($A11,LEN($A11)-4),[1]Sheet1!$2:$65536,MATCH(AW$3,[1]Sheet1!$2:$2,0),FALSE)</f>
        <v>0.80889999999999995</v>
      </c>
      <c r="AX11" s="277">
        <f>VLOOKUP(RIGHT($A11,LEN($A11)-4),[1]Sheet1!$2:$65536,MATCH(AX$3,[1]Sheet1!$2:$2,0),FALSE)</f>
        <v>0.91335000000000011</v>
      </c>
      <c r="AY11" s="277">
        <f>VLOOKUP(RIGHT($A11,LEN($A11)-4),[1]Sheet1!$2:$65536,MATCH(AY$3,[1]Sheet1!$2:$2,0),FALSE)</f>
        <v>0.69140000000000001</v>
      </c>
      <c r="AZ11" s="279">
        <f>E11</f>
        <v>0.91749999999999998</v>
      </c>
      <c r="BA11" s="279">
        <f>G11</f>
        <v>1.0327</v>
      </c>
      <c r="BB11" s="279">
        <f>I11</f>
        <v>1.03552</v>
      </c>
      <c r="BC11" s="279">
        <f>K11</f>
        <v>1.0416500000000002</v>
      </c>
      <c r="BD11" s="279">
        <f>M11</f>
        <v>0.92656500000000008</v>
      </c>
      <c r="BE11" s="279">
        <f>O11</f>
        <v>0.76062000000000007</v>
      </c>
      <c r="BF11" s="279">
        <f>Q11</f>
        <v>0.76578499999999994</v>
      </c>
      <c r="BG11" s="279">
        <f>S11</f>
        <v>0.76302000000000003</v>
      </c>
      <c r="BH11" s="279">
        <f>U11</f>
        <v>0.768015</v>
      </c>
      <c r="BI11" s="279">
        <f>W11</f>
        <v>0.70962999999999998</v>
      </c>
      <c r="BJ11" s="279">
        <f>Y11</f>
        <v>0.61394499999999996</v>
      </c>
      <c r="BK11" s="279">
        <f>AA11</f>
        <v>0.75973500000000005</v>
      </c>
      <c r="BL11" s="279">
        <f>AC11</f>
        <v>0.74817</v>
      </c>
      <c r="BM11" s="279">
        <f>AE11</f>
        <v>0.66854999999999998</v>
      </c>
      <c r="BN11" s="279">
        <f>AG11</f>
        <v>0.65139999999999998</v>
      </c>
      <c r="BO11" s="280">
        <f>AI11</f>
        <v>0.62470000000000003</v>
      </c>
      <c r="BP11" s="279">
        <f>AK11</f>
        <v>0.67500000000000016</v>
      </c>
      <c r="BQ11" s="279">
        <f>AM11</f>
        <v>0.65749999999999997</v>
      </c>
      <c r="BR11" s="279">
        <f>AO11</f>
        <v>0.68749999999999989</v>
      </c>
      <c r="BS11" s="279">
        <f>AQ11</f>
        <v>0.72199999999999998</v>
      </c>
      <c r="BT11" s="279">
        <f>AS11</f>
        <v>0.77</v>
      </c>
    </row>
    <row r="12" spans="1:72" ht="12" customHeight="1" outlineLevel="1">
      <c r="A12" s="91" t="s">
        <v>744</v>
      </c>
      <c r="B12" s="87" t="s">
        <v>745</v>
      </c>
      <c r="C12" s="277">
        <f>VLOOKUP(RIGHT($A12,LEN($A12)-4),[1]Sheet1!$2:$65536,MATCH(C$3,[1]Sheet1!$2:$2,0),FALSE)</f>
        <v>1.2361</v>
      </c>
      <c r="D12" s="277">
        <f>VLOOKUP(RIGHT($A12,LEN($A12)-4),[1]Sheet1!$2:$65536,MATCH(D$3,[1]Sheet1!$2:$2,0),FALSE)</f>
        <v>1.2210000000000001</v>
      </c>
      <c r="E12" s="277">
        <f>VLOOKUP(RIGHT($A12,LEN($A12)-4),[1]Sheet1!$2:$65536,MATCH(E$3,[1]Sheet1!$2:$2,0),FALSE)</f>
        <v>1.29095</v>
      </c>
      <c r="F12" s="277">
        <f>VLOOKUP(RIGHT($A12,LEN($A12)-4),[1]Sheet1!$2:$65536,MATCH(F$3,[1]Sheet1!$2:$2,0),FALSE)</f>
        <v>1.3169</v>
      </c>
      <c r="G12" s="277">
        <f>VLOOKUP(RIGHT($A12,LEN($A12)-4),[1]Sheet1!$2:$65536,MATCH(G$3,[1]Sheet1!$2:$2,0),FALSE)</f>
        <v>1.3553500000000001</v>
      </c>
      <c r="H12" s="277">
        <f>VLOOKUP(RIGHT($A12,LEN($A12)-4),[1]Sheet1!$2:$65536,MATCH(H$3,[1]Sheet1!$2:$2,0),FALSE)</f>
        <v>1.26875</v>
      </c>
      <c r="I12" s="277">
        <f>VLOOKUP(RIGHT($A12,LEN($A12)-4),[1]Sheet1!$2:$65536,MATCH(I$3,[1]Sheet1!$2:$2,0),FALSE)</f>
        <v>1.2652650000000001</v>
      </c>
      <c r="J12" s="277">
        <f>VLOOKUP(RIGHT($A12,LEN($A12)-4),[1]Sheet1!$2:$65536,MATCH(J$3,[1]Sheet1!$2:$2,0),FALSE)</f>
        <v>1.251255</v>
      </c>
      <c r="K12" s="277">
        <f>VLOOKUP(RIGHT($A12,LEN($A12)-4),[1]Sheet1!$2:$65536,MATCH(K$3,[1]Sheet1!$2:$2,0),FALSE)</f>
        <v>1.2447050000000002</v>
      </c>
      <c r="L12" s="277">
        <f>VLOOKUP(RIGHT($A12,LEN($A12)-4),[1]Sheet1!$2:$65536,MATCH(L$3,[1]Sheet1!$2:$2,0),FALSE)</f>
        <v>1.1225800000000001</v>
      </c>
      <c r="M12" s="277">
        <f>VLOOKUP(RIGHT($A12,LEN($A12)-4),[1]Sheet1!$2:$65536,MATCH(M$3,[1]Sheet1!$2:$2,0),FALSE)</f>
        <v>1.0681500000000002</v>
      </c>
      <c r="N12" s="277">
        <f>VLOOKUP(RIGHT($A12,LEN($A12)-4),[1]Sheet1!$2:$65536,MATCH(N$3,[1]Sheet1!$2:$2,0),FALSE)</f>
        <v>1.1203449999999999</v>
      </c>
      <c r="O12" s="277">
        <f>VLOOKUP(RIGHT($A12,LEN($A12)-4),[1]Sheet1!$2:$65536,MATCH(O$3,[1]Sheet1!$2:$2,0),FALSE)</f>
        <v>1.01752</v>
      </c>
      <c r="P12" s="277">
        <f>VLOOKUP(RIGHT($A12,LEN($A12)-4),[1]Sheet1!$2:$65536,MATCH(P$3,[1]Sheet1!$2:$2,0),FALSE)</f>
        <v>1.0964800000000001</v>
      </c>
      <c r="Q12" s="277">
        <f>VLOOKUP(RIGHT($A12,LEN($A12)-4),[1]Sheet1!$2:$65536,MATCH(Q$3,[1]Sheet1!$2:$2,0),FALSE)</f>
        <v>1.1082999999999998</v>
      </c>
      <c r="R12" s="277">
        <f>VLOOKUP(RIGHT($A12,LEN($A12)-4),[1]Sheet1!$2:$65536,MATCH(R$3,[1]Sheet1!$2:$2,0),FALSE)</f>
        <v>1.0513699999999999</v>
      </c>
      <c r="S12" s="277">
        <f>VLOOKUP(RIGHT($A12,LEN($A12)-4),[1]Sheet1!$2:$65536,MATCH(S$3,[1]Sheet1!$2:$2,0),FALSE)</f>
        <v>1.0889</v>
      </c>
      <c r="T12" s="277">
        <f>VLOOKUP(RIGHT($A12,LEN($A12)-4),[1]Sheet1!$2:$65536,MATCH(T$3,[1]Sheet1!$2:$2,0),FALSE)</f>
        <v>1.0868</v>
      </c>
      <c r="U12" s="277">
        <f>VLOOKUP(RIGHT($A12,LEN($A12)-4),[1]Sheet1!$2:$65536,MATCH(U$3,[1]Sheet1!$2:$2,0),FALSE)</f>
        <v>1.0607899999999999</v>
      </c>
      <c r="V12" s="277">
        <f>VLOOKUP(RIGHT($A12,LEN($A12)-4),[1]Sheet1!$2:$65536,MATCH(V$3,[1]Sheet1!$2:$2,0),FALSE)</f>
        <v>1.0909249999999999</v>
      </c>
      <c r="W12" s="277">
        <f>VLOOKUP(RIGHT($A12,LEN($A12)-4),[1]Sheet1!$2:$65536,MATCH(W$3,[1]Sheet1!$2:$2,0),FALSE)</f>
        <v>1.0423849999999999</v>
      </c>
      <c r="X12" s="277">
        <f>VLOOKUP(RIGHT($A12,LEN($A12)-4),[1]Sheet1!$2:$65536,MATCH(X$3,[1]Sheet1!$2:$2,0),FALSE)</f>
        <v>1.0775299999999999</v>
      </c>
      <c r="Y12" s="277">
        <f>VLOOKUP(RIGHT($A12,LEN($A12)-4),[1]Sheet1!$2:$65536,MATCH(Y$3,[1]Sheet1!$2:$2,0),FALSE)</f>
        <v>1.0289950000000001</v>
      </c>
      <c r="Z12" s="277">
        <f>VLOOKUP(RIGHT($A12,LEN($A12)-4),[1]Sheet1!$2:$65536,MATCH(Z$3,[1]Sheet1!$2:$2,0),FALSE)</f>
        <v>1.0822799999999999</v>
      </c>
      <c r="AA12" s="277">
        <f>VLOOKUP(RIGHT($A12,LEN($A12)-4),[1]Sheet1!$2:$65536,MATCH(AA$3,[1]Sheet1!$2:$2,0),FALSE)</f>
        <v>1.08761</v>
      </c>
      <c r="AB12" s="277">
        <f>VLOOKUP(RIGHT($A12,LEN($A12)-4),[1]Sheet1!$2:$65536,MATCH(AB$3,[1]Sheet1!$2:$2,0),FALSE)</f>
        <v>1.04783</v>
      </c>
      <c r="AC12" s="277">
        <f>VLOOKUP(RIGHT($A12,LEN($A12)-4),[1]Sheet1!$2:$65536,MATCH(AC$3,[1]Sheet1!$2:$2,0),FALSE)</f>
        <v>1.076495</v>
      </c>
      <c r="AD12" s="277">
        <f>VLOOKUP(RIGHT($A12,LEN($A12)-4),[1]Sheet1!$2:$65536,MATCH(AD$3,[1]Sheet1!$2:$2,0),FALSE)</f>
        <v>1.1437850000000001</v>
      </c>
      <c r="AE12" s="277">
        <f>VLOOKUP(RIGHT($A12,LEN($A12)-4),[1]Sheet1!$2:$65536,MATCH(AE$3,[1]Sheet1!$2:$2,0),FALSE)</f>
        <v>1.0678650000000001</v>
      </c>
      <c r="AF12" s="277">
        <f>VLOOKUP(RIGHT($A12,LEN($A12)-4),[1]Sheet1!$2:$65536,MATCH(AF$3,[1]Sheet1!$2:$2,0),FALSE)</f>
        <v>1.07311</v>
      </c>
      <c r="AG12" s="277">
        <f>VLOOKUP(RIGHT($A12,LEN($A12)-4),[1]Sheet1!$2:$65536,MATCH(AG$3,[1]Sheet1!$2:$2,0),FALSE)</f>
        <v>1.0948199999999999</v>
      </c>
      <c r="AH12" s="277">
        <f>VLOOKUP(RIGHT($A12,LEN($A12)-4),[1]Sheet1!$2:$65536,MATCH(AH$3,[1]Sheet1!$2:$2,0),FALSE)</f>
        <v>1.088935</v>
      </c>
      <c r="AI12" s="277">
        <f>VLOOKUP(RIGHT($A12,LEN($A12)-4),[1]Sheet1!$2:$65536,MATCH(AI$3,[1]Sheet1!$2:$2,0),FALSE)</f>
        <v>1.1002000000000001</v>
      </c>
      <c r="AJ12" s="350">
        <f>VLOOKUP(RIGHT($A12,LEN($A12)-4),[1]Sheet1!$2:$65536,MATCH(AJ$3,[1]Sheet1!$2:$2,0),FALSE)</f>
        <v>1.1414</v>
      </c>
      <c r="AK12" s="277">
        <f>VLOOKUP(RIGHT($A12,LEN($A12)-4),[1]Sheet1!$2:$65536,MATCH(AK$3,[1]Sheet1!$2:$2,0),FALSE)</f>
        <v>1.08</v>
      </c>
      <c r="AL12" s="277">
        <f>VLOOKUP(RIGHT($A12,LEN($A12)-4),[1]Sheet1!$2:$65536,MATCH(AL$3,[1]Sheet1!$2:$2,0),FALSE)</f>
        <v>1.0991735537190082</v>
      </c>
      <c r="AM12" s="277">
        <f>VLOOKUP(RIGHT($A12,LEN($A12)-4),[1]Sheet1!$2:$65536,MATCH(AM$3,[1]Sheet1!$2:$2,0),FALSE)</f>
        <v>1.1239316239316237</v>
      </c>
      <c r="AN12" s="277">
        <f>VLOOKUP(RIGHT($A12,LEN($A12)-4),[1]Sheet1!$2:$65536,MATCH(AN$3,[1]Sheet1!$2:$2,0),FALSE)</f>
        <v>1.130252100840335</v>
      </c>
      <c r="AO12" s="277">
        <f>VLOOKUP(RIGHT($A12,LEN($A12)-4),[1]Sheet1!$2:$65536,MATCH(AO$3,[1]Sheet1!$2:$2,0),FALSE)</f>
        <v>1.1410788381742736</v>
      </c>
      <c r="AP12" s="277">
        <f>VLOOKUP(RIGHT($A12,LEN($A12)-4),[1]Sheet1!$2:$65536,MATCH(AP$3,[1]Sheet1!$2:$2,0),FALSE)</f>
        <v>1.1563786008230443</v>
      </c>
      <c r="AQ12" s="277">
        <f>VLOOKUP(RIGHT($A12,LEN($A12)-4),[1]Sheet1!$2:$65536,MATCH(AQ$3,[1]Sheet1!$2:$2,0),FALSE)</f>
        <v>1.1701782820097246</v>
      </c>
      <c r="AR12" s="277">
        <f>VLOOKUP(RIGHT($A12,LEN($A12)-4),[1]Sheet1!$2:$65536,MATCH(AR$3,[1]Sheet1!$2:$2,0),FALSE)</f>
        <v>1.1822503961965141</v>
      </c>
      <c r="AS12" s="277">
        <f>VLOOKUP(RIGHT($A12,LEN($A12)-4),[1]Sheet1!$2:$65536,MATCH(AS$3,[1]Sheet1!$2:$2,0),FALSE)</f>
        <v>1.1937984496124041</v>
      </c>
      <c r="AT12" s="8"/>
      <c r="AU12" s="277">
        <f>VLOOKUP(RIGHT($A12,LEN($A12)-4),[1]Sheet1!$2:$65536,MATCH(AU$3,[1]Sheet1!$2:$2,0),FALSE)</f>
        <v>1.0860132008395653</v>
      </c>
      <c r="AV12" s="277">
        <f>VLOOKUP(RIGHT($A12,LEN($A12)-4),[1]Sheet1!$2:$65536,MATCH(AV$3,[1]Sheet1!$2:$2,0),FALSE)</f>
        <v>1.1625000000000001</v>
      </c>
      <c r="AW12" s="277">
        <f>VLOOKUP(RIGHT($A12,LEN($A12)-4),[1]Sheet1!$2:$65536,MATCH(AW$3,[1]Sheet1!$2:$2,0),FALSE)</f>
        <v>1.1316999999999999</v>
      </c>
      <c r="AX12" s="277">
        <f>VLOOKUP(RIGHT($A12,LEN($A12)-4),[1]Sheet1!$2:$65536,MATCH(AX$3,[1]Sheet1!$2:$2,0),FALSE)</f>
        <v>1.1613500000000001</v>
      </c>
      <c r="AY12" s="277">
        <f>VLOOKUP(RIGHT($A12,LEN($A12)-4),[1]Sheet1!$2:$65536,MATCH(AY$3,[1]Sheet1!$2:$2,0),FALSE)</f>
        <v>1.2361</v>
      </c>
      <c r="AZ12" s="279">
        <f>E12</f>
        <v>1.29095</v>
      </c>
      <c r="BA12" s="279">
        <f>G12</f>
        <v>1.3553500000000001</v>
      </c>
      <c r="BB12" s="279">
        <f>I12</f>
        <v>1.2652650000000001</v>
      </c>
      <c r="BC12" s="279">
        <f>K12</f>
        <v>1.2447050000000002</v>
      </c>
      <c r="BD12" s="279">
        <f>M12</f>
        <v>1.0681500000000002</v>
      </c>
      <c r="BE12" s="279">
        <f>O12</f>
        <v>1.01752</v>
      </c>
      <c r="BF12" s="279">
        <f>Q12</f>
        <v>1.1082999999999998</v>
      </c>
      <c r="BG12" s="279">
        <f>S12</f>
        <v>1.0889</v>
      </c>
      <c r="BH12" s="279">
        <f>U12</f>
        <v>1.0607899999999999</v>
      </c>
      <c r="BI12" s="279">
        <f>W12</f>
        <v>1.0423849999999999</v>
      </c>
      <c r="BJ12" s="279">
        <f>Y12</f>
        <v>1.0289950000000001</v>
      </c>
      <c r="BK12" s="279">
        <f>AA12</f>
        <v>1.08761</v>
      </c>
      <c r="BL12" s="279">
        <f>AC12</f>
        <v>1.076495</v>
      </c>
      <c r="BM12" s="279">
        <f>AE12</f>
        <v>1.0678650000000001</v>
      </c>
      <c r="BN12" s="279">
        <f>AG12</f>
        <v>1.0948199999999999</v>
      </c>
      <c r="BO12" s="280">
        <f>AI12</f>
        <v>1.1002000000000001</v>
      </c>
      <c r="BP12" s="279">
        <f>AK12</f>
        <v>1.08</v>
      </c>
      <c r="BQ12" s="279">
        <f>AM12</f>
        <v>1.1239316239316237</v>
      </c>
      <c r="BR12" s="279">
        <f>AO12</f>
        <v>1.1410788381742736</v>
      </c>
      <c r="BS12" s="279">
        <f>AQ12</f>
        <v>1.1701782820097246</v>
      </c>
      <c r="BT12" s="279">
        <f>AS12</f>
        <v>1.1937984496124041</v>
      </c>
    </row>
    <row r="13" spans="1:72" ht="12" customHeight="1" outlineLevel="1">
      <c r="A13" s="91" t="s">
        <v>746</v>
      </c>
      <c r="B13" s="87" t="s">
        <v>747</v>
      </c>
      <c r="C13" s="277">
        <f>VLOOKUP(RIGHT($A13,LEN($A13)-4),[1]Sheet1!$2:$65536,MATCH(C$3,[1]Sheet1!$2:$2,0),FALSE)</f>
        <v>0.52200000000000002</v>
      </c>
      <c r="D13" s="277">
        <f>VLOOKUP(RIGHT($A13,LEN($A13)-4),[1]Sheet1!$2:$65536,MATCH(D$3,[1]Sheet1!$2:$2,0),FALSE)</f>
        <v>0.6028</v>
      </c>
      <c r="E13" s="277">
        <f>VLOOKUP(RIGHT($A13,LEN($A13)-4),[1]Sheet1!$2:$65536,MATCH(E$3,[1]Sheet1!$2:$2,0),FALSE)</f>
        <v>0.67910000000000004</v>
      </c>
      <c r="F13" s="277">
        <f>VLOOKUP(RIGHT($A13,LEN($A13)-4),[1]Sheet1!$2:$65536,MATCH(F$3,[1]Sheet1!$2:$2,0),FALSE)</f>
        <v>0.70940000000000003</v>
      </c>
      <c r="G13" s="277">
        <f>VLOOKUP(RIGHT($A13,LEN($A13)-4),[1]Sheet1!$2:$65536,MATCH(G$3,[1]Sheet1!$2:$2,0),FALSE)</f>
        <v>0.72940000000000005</v>
      </c>
      <c r="H13" s="277">
        <f>VLOOKUP(RIGHT($A13,LEN($A13)-4),[1]Sheet1!$2:$65536,MATCH(H$3,[1]Sheet1!$2:$2,0),FALSE)</f>
        <v>0.72160000000000002</v>
      </c>
      <c r="I13" s="277">
        <f>VLOOKUP(RIGHT($A13,LEN($A13)-4),[1]Sheet1!$2:$65536,MATCH(I$3,[1]Sheet1!$2:$2,0),FALSE)</f>
        <v>0.77625000000000011</v>
      </c>
      <c r="J13" s="277">
        <f>VLOOKUP(RIGHT($A13,LEN($A13)-4),[1]Sheet1!$2:$65536,MATCH(J$3,[1]Sheet1!$2:$2,0),FALSE)</f>
        <v>0.80754999999999999</v>
      </c>
      <c r="K13" s="277">
        <f>VLOOKUP(RIGHT($A13,LEN($A13)-4),[1]Sheet1!$2:$65536,MATCH(K$3,[1]Sheet1!$2:$2,0),FALSE)</f>
        <v>0.81269999999999998</v>
      </c>
      <c r="L13" s="277">
        <f>VLOOKUP(RIGHT($A13,LEN($A13)-4),[1]Sheet1!$2:$65536,MATCH(L$3,[1]Sheet1!$2:$2,0),FALSE)</f>
        <v>0.68955000000000011</v>
      </c>
      <c r="M13" s="277">
        <f>VLOOKUP(RIGHT($A13,LEN($A13)-4),[1]Sheet1!$2:$65536,MATCH(M$3,[1]Sheet1!$2:$2,0),FALSE)</f>
        <v>0.67280000000000006</v>
      </c>
      <c r="N13" s="277">
        <f>VLOOKUP(RIGHT($A13,LEN($A13)-4),[1]Sheet1!$2:$65536,MATCH(N$3,[1]Sheet1!$2:$2,0),FALSE)</f>
        <v>0.69270000000000009</v>
      </c>
      <c r="O13" s="277">
        <f>VLOOKUP(RIGHT($A13,LEN($A13)-4),[1]Sheet1!$2:$65536,MATCH(O$3,[1]Sheet1!$2:$2,0),FALSE)</f>
        <v>0.70840000000000003</v>
      </c>
      <c r="P13" s="277">
        <f>VLOOKUP(RIGHT($A13,LEN($A13)-4),[1]Sheet1!$2:$65536,MATCH(P$3,[1]Sheet1!$2:$2,0),FALSE)</f>
        <v>0.62790000000000001</v>
      </c>
      <c r="Q13" s="277">
        <f>VLOOKUP(RIGHT($A13,LEN($A13)-4),[1]Sheet1!$2:$65536,MATCH(Q$3,[1]Sheet1!$2:$2,0),FALSE)</f>
        <v>0.67300000000000004</v>
      </c>
      <c r="R13" s="277">
        <f>VLOOKUP(RIGHT($A13,LEN($A13)-4),[1]Sheet1!$2:$65536,MATCH(R$3,[1]Sheet1!$2:$2,0),FALSE)</f>
        <v>0.68140000000000001</v>
      </c>
      <c r="S13" s="277">
        <f>VLOOKUP(RIGHT($A13,LEN($A13)-4),[1]Sheet1!$2:$65536,MATCH(S$3,[1]Sheet1!$2:$2,0),FALSE)</f>
        <v>0.71575</v>
      </c>
      <c r="T13" s="277">
        <f>VLOOKUP(RIGHT($A13,LEN($A13)-4),[1]Sheet1!$2:$65536,MATCH(T$3,[1]Sheet1!$2:$2,0),FALSE)</f>
        <v>0.6633</v>
      </c>
      <c r="U13" s="277">
        <f>VLOOKUP(RIGHT($A13,LEN($A13)-4),[1]Sheet1!$2:$65536,MATCH(U$3,[1]Sheet1!$2:$2,0),FALSE)</f>
        <v>0.62314999999999998</v>
      </c>
      <c r="V13" s="277">
        <f>VLOOKUP(RIGHT($A13,LEN($A13)-4),[1]Sheet1!$2:$65536,MATCH(V$3,[1]Sheet1!$2:$2,0),FALSE)</f>
        <v>0.62204999999999999</v>
      </c>
      <c r="W13" s="277">
        <f>VLOOKUP(RIGHT($A13,LEN($A13)-4),[1]Sheet1!$2:$65536,MATCH(W$3,[1]Sheet1!$2:$2,0),FALSE)</f>
        <v>0.63270000000000004</v>
      </c>
      <c r="X13" s="277">
        <f>VLOOKUP(RIGHT($A13,LEN($A13)-4),[1]Sheet1!$2:$65536,MATCH(X$3,[1]Sheet1!$2:$2,0),FALSE)</f>
        <v>0.61924999999999997</v>
      </c>
      <c r="Y13" s="277">
        <f>VLOOKUP(RIGHT($A13,LEN($A13)-4),[1]Sheet1!$2:$65536,MATCH(Y$3,[1]Sheet1!$2:$2,0),FALSE)</f>
        <v>0.55639499999999997</v>
      </c>
      <c r="Z13" s="277">
        <f>VLOOKUP(RIGHT($A13,LEN($A13)-4),[1]Sheet1!$2:$65536,MATCH(Z$3,[1]Sheet1!$2:$2,0),FALSE)</f>
        <v>0.61126000000000003</v>
      </c>
      <c r="AA13" s="277">
        <f>VLOOKUP(RIGHT($A13,LEN($A13)-4),[1]Sheet1!$2:$65536,MATCH(AA$3,[1]Sheet1!$2:$2,0),FALSE)</f>
        <v>0.64749999999999996</v>
      </c>
      <c r="AB13" s="277">
        <f>VLOOKUP(RIGHT($A13,LEN($A13)-4),[1]Sheet1!$2:$65536,MATCH(AB$3,[1]Sheet1!$2:$2,0),FALSE)</f>
        <v>0.62439999999999996</v>
      </c>
      <c r="AC13" s="277">
        <f>VLOOKUP(RIGHT($A13,LEN($A13)-4),[1]Sheet1!$2:$65536,MATCH(AC$3,[1]Sheet1!$2:$2,0),FALSE)</f>
        <v>0.67630000000000001</v>
      </c>
      <c r="AD13" s="277">
        <f>VLOOKUP(RIGHT($A13,LEN($A13)-4),[1]Sheet1!$2:$65536,MATCH(AD$3,[1]Sheet1!$2:$2,0),FALSE)</f>
        <v>0.65288999999999997</v>
      </c>
      <c r="AE13" s="277">
        <f>VLOOKUP(RIGHT($A13,LEN($A13)-4),[1]Sheet1!$2:$65536,MATCH(AE$3,[1]Sheet1!$2:$2,0),FALSE)</f>
        <v>0.61660000000000004</v>
      </c>
      <c r="AF13" s="277">
        <f>VLOOKUP(RIGHT($A13,LEN($A13)-4),[1]Sheet1!$2:$65536,MATCH(AF$3,[1]Sheet1!$2:$2,0),FALSE)</f>
        <v>0.60853000000000002</v>
      </c>
      <c r="AG13" s="277">
        <f>VLOOKUP(RIGHT($A13,LEN($A13)-4),[1]Sheet1!$2:$65536,MATCH(AG$3,[1]Sheet1!$2:$2,0),FALSE)</f>
        <v>0.60350000000000004</v>
      </c>
      <c r="AH13" s="277">
        <f>VLOOKUP(RIGHT($A13,LEN($A13)-4),[1]Sheet1!$2:$65536,MATCH(AH$3,[1]Sheet1!$2:$2,0),FALSE)</f>
        <v>0.62090000000000001</v>
      </c>
      <c r="AI13" s="277">
        <f>VLOOKUP(RIGHT($A13,LEN($A13)-4),[1]Sheet1!$2:$65536,MATCH(AI$3,[1]Sheet1!$2:$2,0),FALSE)</f>
        <v>0.57760565129369223</v>
      </c>
      <c r="AJ13" s="350">
        <f>VLOOKUP(RIGHT($A13,LEN($A13)-4),[1]Sheet1!$2:$65536,MATCH(AJ$3,[1]Sheet1!$2:$2,0),FALSE)</f>
        <v>0.56361843032267156</v>
      </c>
      <c r="AK13" s="277">
        <f>VLOOKUP(RIGHT($A13,LEN($A13)-4),[1]Sheet1!$2:$65536,MATCH(AK$3,[1]Sheet1!$2:$2,0),FALSE)</f>
        <v>0.55102040816326547</v>
      </c>
      <c r="AL13" s="277">
        <f>VLOOKUP(RIGHT($A13,LEN($A13)-4),[1]Sheet1!$2:$65536,MATCH(AL$3,[1]Sheet1!$2:$2,0),FALSE)</f>
        <v>0.53200000000000003</v>
      </c>
      <c r="AM13" s="277">
        <f>VLOOKUP(RIGHT($A13,LEN($A13)-4),[1]Sheet1!$2:$65536,MATCH(AM$3,[1]Sheet1!$2:$2,0),FALSE)</f>
        <v>0.52600000000000002</v>
      </c>
      <c r="AN13" s="277">
        <f>VLOOKUP(RIGHT($A13,LEN($A13)-4),[1]Sheet1!$2:$65536,MATCH(AN$3,[1]Sheet1!$2:$2,0),FALSE)</f>
        <v>0.5379999999999997</v>
      </c>
      <c r="AO13" s="277">
        <f>VLOOKUP(RIGHT($A13,LEN($A13)-4),[1]Sheet1!$2:$65536,MATCH(AO$3,[1]Sheet1!$2:$2,0),FALSE)</f>
        <v>0.54999999999999993</v>
      </c>
      <c r="AP13" s="277">
        <f>VLOOKUP(RIGHT($A13,LEN($A13)-4),[1]Sheet1!$2:$65536,MATCH(AP$3,[1]Sheet1!$2:$2,0),FALSE)</f>
        <v>0.56199999999999961</v>
      </c>
      <c r="AQ13" s="277">
        <f>VLOOKUP(RIGHT($A13,LEN($A13)-4),[1]Sheet1!$2:$65536,MATCH(AQ$3,[1]Sheet1!$2:$2,0),FALSE)</f>
        <v>0.5799196787148595</v>
      </c>
      <c r="AR13" s="277">
        <f>VLOOKUP(RIGHT($A13,LEN($A13)-4),[1]Sheet1!$2:$65536,MATCH(AR$3,[1]Sheet1!$2:$2,0),FALSE)</f>
        <v>0.60404858299595154</v>
      </c>
      <c r="AS13" s="277">
        <f>VLOOKUP(RIGHT($A13,LEN($A13)-4),[1]Sheet1!$2:$65536,MATCH(AS$3,[1]Sheet1!$2:$2,0),FALSE)</f>
        <v>0.62857142857142889</v>
      </c>
      <c r="AT13" s="8"/>
      <c r="AU13" s="277">
        <f>VLOOKUP(RIGHT($A13,LEN($A13)-4),[1]Sheet1!$2:$65536,MATCH(AU$3,[1]Sheet1!$2:$2,0),FALSE)</f>
        <v>0.59633855806730685</v>
      </c>
      <c r="AV13" s="277">
        <f>VLOOKUP(RIGHT($A13,LEN($A13)-4),[1]Sheet1!$2:$65536,MATCH(AV$3,[1]Sheet1!$2:$2,0),FALSE)</f>
        <v>0.59129999999999994</v>
      </c>
      <c r="AW13" s="277">
        <f>VLOOKUP(RIGHT($A13,LEN($A13)-4),[1]Sheet1!$2:$65536,MATCH(AW$3,[1]Sheet1!$2:$2,0),FALSE)</f>
        <v>0.60549999999999993</v>
      </c>
      <c r="AX13" s="277">
        <f>VLOOKUP(RIGHT($A13,LEN($A13)-4),[1]Sheet1!$2:$65536,MATCH(AX$3,[1]Sheet1!$2:$2,0),FALSE)</f>
        <v>0.57905000000000006</v>
      </c>
      <c r="AY13" s="277">
        <f>VLOOKUP(RIGHT($A13,LEN($A13)-4),[1]Sheet1!$2:$65536,MATCH(AY$3,[1]Sheet1!$2:$2,0),FALSE)</f>
        <v>0.52200000000000002</v>
      </c>
      <c r="AZ13" s="279">
        <f>E13</f>
        <v>0.67910000000000004</v>
      </c>
      <c r="BA13" s="279">
        <f>G13</f>
        <v>0.72940000000000005</v>
      </c>
      <c r="BB13" s="279">
        <f>I13</f>
        <v>0.77625000000000011</v>
      </c>
      <c r="BC13" s="279">
        <f>K13</f>
        <v>0.81269999999999998</v>
      </c>
      <c r="BD13" s="279">
        <f>M13</f>
        <v>0.67280000000000006</v>
      </c>
      <c r="BE13" s="279">
        <f>O13</f>
        <v>0.70840000000000003</v>
      </c>
      <c r="BF13" s="279">
        <f>Q13</f>
        <v>0.67300000000000004</v>
      </c>
      <c r="BG13" s="279">
        <f>S13</f>
        <v>0.71575</v>
      </c>
      <c r="BH13" s="279">
        <f>U13</f>
        <v>0.62314999999999998</v>
      </c>
      <c r="BI13" s="279">
        <f>W13</f>
        <v>0.63270000000000004</v>
      </c>
      <c r="BJ13" s="279">
        <f>Y13</f>
        <v>0.55639499999999997</v>
      </c>
      <c r="BK13" s="279">
        <f>AA13</f>
        <v>0.64749999999999996</v>
      </c>
      <c r="BL13" s="279">
        <f>AC13</f>
        <v>0.67630000000000001</v>
      </c>
      <c r="BM13" s="279">
        <f>AE13</f>
        <v>0.61660000000000004</v>
      </c>
      <c r="BN13" s="279">
        <f>AG13</f>
        <v>0.60350000000000004</v>
      </c>
      <c r="BO13" s="280">
        <f>AI13</f>
        <v>0.57760565129369223</v>
      </c>
      <c r="BP13" s="279">
        <f>AK13</f>
        <v>0.55102040816326547</v>
      </c>
      <c r="BQ13" s="279">
        <f>AM13</f>
        <v>0.52600000000000002</v>
      </c>
      <c r="BR13" s="279">
        <f>AO13</f>
        <v>0.54999999999999993</v>
      </c>
      <c r="BS13" s="279">
        <f>AQ13</f>
        <v>0.5799196787148595</v>
      </c>
      <c r="BT13" s="279">
        <f>AS13</f>
        <v>0.62857142857142889</v>
      </c>
    </row>
    <row r="14" spans="1:72" ht="12" customHeight="1" outlineLevel="1">
      <c r="B14" s="87"/>
      <c r="C14" s="8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1"/>
      <c r="AL14" s="41"/>
      <c r="AM14" s="41"/>
      <c r="AN14" s="41"/>
      <c r="AO14" s="41"/>
      <c r="AP14" s="41"/>
      <c r="AQ14" s="41"/>
      <c r="AR14" s="41"/>
      <c r="AS14" s="41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43"/>
      <c r="BP14" s="8"/>
      <c r="BQ14" s="8"/>
      <c r="BR14" s="8"/>
      <c r="BS14" s="8"/>
      <c r="BT14" s="8"/>
    </row>
    <row r="15" spans="1:72" ht="12" customHeight="1" outlineLevel="1">
      <c r="B15" s="16" t="s">
        <v>748</v>
      </c>
      <c r="C15" s="8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41"/>
      <c r="AL15" s="41"/>
      <c r="AM15" s="41"/>
      <c r="AN15" s="41"/>
      <c r="AO15" s="41"/>
      <c r="AP15" s="41"/>
      <c r="AQ15" s="41"/>
      <c r="AR15" s="41"/>
      <c r="AS15" s="41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43"/>
      <c r="BP15" s="8"/>
      <c r="BQ15" s="8"/>
      <c r="BR15" s="8"/>
      <c r="BS15" s="8"/>
      <c r="BT15" s="8"/>
    </row>
    <row r="16" spans="1:72" ht="12" customHeight="1" outlineLevel="1">
      <c r="A16" s="91" t="s">
        <v>749</v>
      </c>
      <c r="B16" s="87" t="s">
        <v>741</v>
      </c>
      <c r="C16" s="278">
        <f t="shared" ref="C16:C19" si="125">AVERAGE(B10:C10)</f>
        <v>0.4829</v>
      </c>
      <c r="D16" s="278">
        <f t="shared" ref="D16:D19" si="126">AVERAGE(C10:D10)</f>
        <v>0.51760000000000006</v>
      </c>
      <c r="E16" s="278">
        <f t="shared" ref="E16:E19" si="127">AVERAGE(D10:E10)</f>
        <v>0.57830000000000004</v>
      </c>
      <c r="F16" s="278">
        <f t="shared" ref="F16:F19" si="128">AVERAGE(E10:F10)</f>
        <v>0.60980000000000001</v>
      </c>
      <c r="G16" s="278">
        <f t="shared" ref="G16:G19" si="129">AVERAGE(F10:G10)</f>
        <v>0.62975000000000003</v>
      </c>
      <c r="H16" s="278">
        <f t="shared" ref="H16:H19" si="130">AVERAGE(G10:H10)</f>
        <v>0.63210000000000011</v>
      </c>
      <c r="I16" s="278">
        <f t="shared" ref="I16:I19" si="131">AVERAGE(H10:I10)</f>
        <v>0.63347500000000012</v>
      </c>
      <c r="J16" s="278">
        <f t="shared" ref="J16:L19" si="132">AVERAGE(I10:J10)</f>
        <v>0.6447250000000001</v>
      </c>
      <c r="K16" s="278">
        <f t="shared" ref="K16:K19" si="133">AVERAGE(J10:K10)</f>
        <v>0.6639250000000001</v>
      </c>
      <c r="L16" s="278">
        <f t="shared" si="132"/>
        <v>0.63077500000000009</v>
      </c>
      <c r="M16" s="278">
        <f t="shared" ref="M16:M19" si="134">AVERAGE(L10:M10)</f>
        <v>0.56615000000000004</v>
      </c>
      <c r="N16" s="278">
        <f t="shared" ref="N16:N19" si="135">AVERAGE(M10:N10)</f>
        <v>0.547875</v>
      </c>
      <c r="O16" s="278">
        <f t="shared" ref="O16:O19" si="136">AVERAGE(N10:O10)</f>
        <v>0.52644999999999997</v>
      </c>
      <c r="P16" s="278">
        <f t="shared" ref="P16:P19" si="137">AVERAGE(O10:P10)</f>
        <v>0.48862499999999998</v>
      </c>
      <c r="Q16" s="278">
        <f t="shared" ref="Q16:Q19" si="138">AVERAGE(P10:Q10)</f>
        <v>0.49854999999999999</v>
      </c>
      <c r="R16" s="278">
        <f t="shared" ref="R16:R19" si="139">AVERAGE(Q10:R10)</f>
        <v>0.56162500000000004</v>
      </c>
      <c r="S16" s="278">
        <f t="shared" ref="S16:AI19" si="140">AVERAGE(R10:S10)</f>
        <v>0.59887499999999994</v>
      </c>
      <c r="T16" s="278">
        <f t="shared" si="140"/>
        <v>0.596225</v>
      </c>
      <c r="U16" s="278">
        <f t="shared" si="140"/>
        <v>0.56615000000000004</v>
      </c>
      <c r="V16" s="278">
        <f t="shared" si="140"/>
        <v>0.55072500000000002</v>
      </c>
      <c r="W16" s="278">
        <f t="shared" si="140"/>
        <v>0.54930000000000001</v>
      </c>
      <c r="X16" s="278">
        <f t="shared" si="140"/>
        <v>0.54677500000000001</v>
      </c>
      <c r="Y16" s="278">
        <f t="shared" si="140"/>
        <v>0.52175499999999997</v>
      </c>
      <c r="Z16" s="278">
        <f t="shared" si="140"/>
        <v>0.52451000000000003</v>
      </c>
      <c r="AA16" s="278">
        <f t="shared" si="140"/>
        <v>0.55272999999999994</v>
      </c>
      <c r="AB16" s="278">
        <f t="shared" si="140"/>
        <v>0.54374999999999996</v>
      </c>
      <c r="AC16" s="278">
        <f t="shared" si="140"/>
        <v>0.55299999999999994</v>
      </c>
      <c r="AD16" s="278">
        <f t="shared" si="140"/>
        <v>0.57125000000000004</v>
      </c>
      <c r="AE16" s="278">
        <f t="shared" si="140"/>
        <v>0.5575</v>
      </c>
      <c r="AF16" s="278">
        <f t="shared" si="140"/>
        <v>0.53465750000000001</v>
      </c>
      <c r="AG16" s="278">
        <f t="shared" si="140"/>
        <v>0.5216575</v>
      </c>
      <c r="AH16" s="278">
        <f t="shared" si="140"/>
        <v>0.51644267612222272</v>
      </c>
      <c r="AI16" s="278">
        <f t="shared" si="140"/>
        <v>0.50023854238009313</v>
      </c>
      <c r="AJ16" s="351">
        <f t="shared" ref="AJ16:AJ19" si="141">AVERAGE(AI10:AJ10)</f>
        <v>0.48773358990748789</v>
      </c>
      <c r="AK16" s="278">
        <f t="shared" ref="AK16:AK19" si="142">AVERAGE(AJ10:AK10)</f>
        <v>0.48361377998764571</v>
      </c>
      <c r="AL16" s="278">
        <f t="shared" ref="AL16:AL19" si="143">AVERAGE(AK10:AL10)</f>
        <v>0.47517605633802823</v>
      </c>
      <c r="AM16" s="278">
        <f t="shared" ref="AM16:AM19" si="144">AVERAGE(AL10:AM10)</f>
        <v>0.48011992619926191</v>
      </c>
      <c r="AN16" s="278">
        <f t="shared" ref="AN16:AN19" si="145">AVERAGE(AM10:AN10)</f>
        <v>0.49261992619926187</v>
      </c>
      <c r="AO16" s="278">
        <f t="shared" ref="AO16:AO19" si="146">AVERAGE(AN10:AO10)</f>
        <v>0.50700934579439239</v>
      </c>
      <c r="AP16" s="278">
        <f t="shared" ref="AP16:AP19" si="147">AVERAGE(AO10:AP10)</f>
        <v>0.5206115972015215</v>
      </c>
      <c r="AQ16" s="278">
        <f t="shared" ref="AQ16:AQ19" si="148">AVERAGE(AP10:AQ10)</f>
        <v>0.53667335579442099</v>
      </c>
      <c r="AR16" s="278">
        <f t="shared" ref="AR16:AR19" si="149">AVERAGE(AQ10:AR10)</f>
        <v>0.55867600484670987</v>
      </c>
      <c r="AS16" s="278">
        <f t="shared" ref="AS16:AS19" si="150">AVERAGE(AR10:AS10)</f>
        <v>0.58405451286251842</v>
      </c>
      <c r="AT16" s="8"/>
      <c r="AU16" s="278">
        <f t="shared" ref="AU16:AU19" si="151">AVERAGE(AT10:AU10)</f>
        <v>0.40895617792675232</v>
      </c>
      <c r="AV16" s="278">
        <f t="shared" ref="AV16:AV19" si="152">AVERAGE(AU10:AV10)</f>
        <v>0.41062808896337616</v>
      </c>
      <c r="AW16" s="278">
        <f t="shared" ref="AW16:AW19" si="153">AVERAGE(AV10:AW10)</f>
        <v>0.41165000000000002</v>
      </c>
      <c r="AX16" s="278">
        <f t="shared" ref="AX16:AX19" si="154">AVERAGE(AW10:AX10)</f>
        <v>0.43565000000000004</v>
      </c>
      <c r="AY16" s="278">
        <f t="shared" ref="AY16:AY19" si="155">AVERAGE(AX10:AY10)</f>
        <v>0.47160000000000002</v>
      </c>
      <c r="AZ16" s="281">
        <f>SUMPRODUCT(D16:E16,D$5:E$5)/SUM(D$5:E$5)</f>
        <v>0.54803315068493152</v>
      </c>
      <c r="BA16" s="281">
        <f>SUMPRODUCT(F16:G16,F$5:G$5)/SUM(F$5:G$5)</f>
        <v>0.61980232876712338</v>
      </c>
      <c r="BB16" s="281">
        <f>SUMPRODUCT(H16:I16,H$5:I$5)/SUM(H$5:I$5)</f>
        <v>0.63278750000000006</v>
      </c>
      <c r="BC16" s="281">
        <f>SUMPRODUCT(J16:K16,J$5:K$5)/SUM(J$5:K$5)</f>
        <v>0.65435130136986319</v>
      </c>
      <c r="BD16" s="281">
        <f>SUMPRODUCT(L16:M16,L$5:M$5)/SUM(L$5:M$5)</f>
        <v>0.59837397260273983</v>
      </c>
      <c r="BE16" s="281">
        <f>SUMPRODUCT(N16:O16,N$5:O$5)/SUM(N$5:O$5)</f>
        <v>0.53713315068493162</v>
      </c>
      <c r="BF16" s="281">
        <f>SUMPRODUCT(P16:Q16,P$5:Q$5)/SUM(P$5:Q$5)</f>
        <v>0.49358749999999996</v>
      </c>
      <c r="BG16" s="281">
        <f>SUMPRODUCT(R16:S16,R$5:S$5)/SUM(R$5:S$5)</f>
        <v>0.58030102739726031</v>
      </c>
      <c r="BH16" s="281">
        <f>SUMPRODUCT(T16:U16,T$5:U$5)/SUM(T$5:U$5)</f>
        <v>0.58114630136986301</v>
      </c>
      <c r="BI16" s="281">
        <f>SUMPRODUCT(V16:W16,V$5:W$5)/SUM(V$5:W$5)</f>
        <v>0.55001054794520554</v>
      </c>
      <c r="BJ16" s="281">
        <f>SUMPRODUCT(X16:Y16,X$5:Y$5)/SUM(X$5:Y$5)</f>
        <v>0.53426499999999999</v>
      </c>
      <c r="BK16" s="281">
        <f>SUMPRODUCT(Z16:AA16,Z$5:AA$5)/SUM(Z$5:AA$5)</f>
        <v>0.53865865753424658</v>
      </c>
      <c r="BL16" s="281">
        <f>SUMPRODUCT(AB16:AC16,AB$5:AC$5)/SUM(AB$5:AC$5)</f>
        <v>0.54838767123287668</v>
      </c>
      <c r="BM16" s="281">
        <f>SUMPRODUCT(AD16:AE16,AD$5:AE$5)/SUM(AD$5:AE$5)</f>
        <v>0.56435616438356162</v>
      </c>
      <c r="BN16" s="281">
        <f>SUMPRODUCT(AF16:AG16,AF$5:AG$5)/SUM(AF$5:AG$5)</f>
        <v>0.52815750000000006</v>
      </c>
      <c r="BO16" s="282">
        <f>SUMPRODUCT(AH16:AI16,AH$5:AI$5)/SUM(AH$5:AI$5)</f>
        <v>0.50831841180767556</v>
      </c>
      <c r="BP16" s="281">
        <f>SUMPRODUCT(AJ16:AK16,AJ$5:AK$5)/SUM(AJ$5:AK$5)</f>
        <v>0.48566804137233416</v>
      </c>
      <c r="BQ16" s="281">
        <f>SUMPRODUCT(AL16:AM16,AL$5:AM$5)/SUM(AL$5:AM$5)</f>
        <v>0.47765476369311249</v>
      </c>
      <c r="BR16" s="281">
        <f>SUMPRODUCT(AN16:AO16,AN$5:AO$5)/SUM(AN$5:AO$5)</f>
        <v>0.49981463599682713</v>
      </c>
      <c r="BS16" s="281">
        <f>SUMPRODUCT(AP16:AQ16,AP$5:AQ$5)/SUM(AP$5:AQ$5)</f>
        <v>0.52866447890700263</v>
      </c>
      <c r="BT16" s="281">
        <f>SUMPRODUCT(AR16:AS16,AR$5:AS$5)/SUM(AR$5:AS$5)</f>
        <v>0.57140002393408784</v>
      </c>
    </row>
    <row r="17" spans="1:72" ht="12" customHeight="1" outlineLevel="1">
      <c r="A17" s="91" t="s">
        <v>750</v>
      </c>
      <c r="B17" s="87" t="s">
        <v>743</v>
      </c>
      <c r="C17" s="278">
        <f t="shared" si="125"/>
        <v>0.69140000000000001</v>
      </c>
      <c r="D17" s="278">
        <f t="shared" si="126"/>
        <v>0.78700000000000003</v>
      </c>
      <c r="E17" s="278">
        <f t="shared" si="127"/>
        <v>0.90005000000000002</v>
      </c>
      <c r="F17" s="278">
        <f t="shared" si="128"/>
        <v>0.94235000000000002</v>
      </c>
      <c r="G17" s="278">
        <f t="shared" si="129"/>
        <v>0.99995000000000001</v>
      </c>
      <c r="H17" s="278">
        <f t="shared" si="130"/>
        <v>0.999525</v>
      </c>
      <c r="I17" s="278">
        <f t="shared" si="131"/>
        <v>1.0009350000000001</v>
      </c>
      <c r="J17" s="278">
        <f t="shared" si="132"/>
        <v>1.0368599999999999</v>
      </c>
      <c r="K17" s="278">
        <f t="shared" si="133"/>
        <v>1.0399250000000002</v>
      </c>
      <c r="L17" s="278">
        <f t="shared" si="132"/>
        <v>0.98710000000000009</v>
      </c>
      <c r="M17" s="278">
        <f t="shared" si="134"/>
        <v>0.92955750000000004</v>
      </c>
      <c r="N17" s="278">
        <f t="shared" si="135"/>
        <v>0.90078000000000014</v>
      </c>
      <c r="O17" s="278">
        <f t="shared" si="136"/>
        <v>0.81780750000000002</v>
      </c>
      <c r="P17" s="278">
        <f t="shared" si="137"/>
        <v>0.73120249999999998</v>
      </c>
      <c r="Q17" s="278">
        <f t="shared" si="138"/>
        <v>0.73378499999999991</v>
      </c>
      <c r="R17" s="278">
        <f t="shared" si="139"/>
        <v>0.76586999999999994</v>
      </c>
      <c r="S17" s="278">
        <f t="shared" si="140"/>
        <v>0.76448749999999999</v>
      </c>
      <c r="T17" s="278">
        <f t="shared" si="140"/>
        <v>0.77327750000000006</v>
      </c>
      <c r="U17" s="278">
        <f t="shared" si="140"/>
        <v>0.77577499999999999</v>
      </c>
      <c r="V17" s="278">
        <f t="shared" si="140"/>
        <v>0.74490750000000006</v>
      </c>
      <c r="W17" s="278">
        <f t="shared" si="140"/>
        <v>0.71571499999999999</v>
      </c>
      <c r="X17" s="278">
        <f t="shared" si="140"/>
        <v>0.69229249999999998</v>
      </c>
      <c r="Y17" s="278">
        <f t="shared" si="140"/>
        <v>0.64444999999999997</v>
      </c>
      <c r="Z17" s="278">
        <f t="shared" si="140"/>
        <v>0.66525000000000001</v>
      </c>
      <c r="AA17" s="278">
        <f t="shared" si="140"/>
        <v>0.73814500000000005</v>
      </c>
      <c r="AB17" s="278">
        <f t="shared" si="140"/>
        <v>0.74114750000000007</v>
      </c>
      <c r="AC17" s="278">
        <f t="shared" si="140"/>
        <v>0.73536500000000005</v>
      </c>
      <c r="AD17" s="278">
        <f t="shared" si="140"/>
        <v>0.69411250000000002</v>
      </c>
      <c r="AE17" s="278">
        <f t="shared" si="140"/>
        <v>0.65430250000000001</v>
      </c>
      <c r="AF17" s="278">
        <f t="shared" si="140"/>
        <v>0.6557925</v>
      </c>
      <c r="AG17" s="278">
        <f t="shared" si="140"/>
        <v>0.6472175</v>
      </c>
      <c r="AH17" s="278">
        <f t="shared" si="140"/>
        <v>0.67135500000000004</v>
      </c>
      <c r="AI17" s="278">
        <f t="shared" si="140"/>
        <v>0.65800500000000006</v>
      </c>
      <c r="AJ17" s="351">
        <f t="shared" si="141"/>
        <v>0.64300750000000007</v>
      </c>
      <c r="AK17" s="278">
        <f t="shared" si="142"/>
        <v>0.66815750000000018</v>
      </c>
      <c r="AL17" s="278">
        <f t="shared" si="143"/>
        <v>0.67000000000000015</v>
      </c>
      <c r="AM17" s="278">
        <f t="shared" si="144"/>
        <v>0.66125</v>
      </c>
      <c r="AN17" s="278">
        <f t="shared" si="145"/>
        <v>0.66499999999999981</v>
      </c>
      <c r="AO17" s="278">
        <f t="shared" si="146"/>
        <v>0.67999999999999972</v>
      </c>
      <c r="AP17" s="278">
        <f t="shared" si="147"/>
        <v>0.69499999999999973</v>
      </c>
      <c r="AQ17" s="278">
        <f t="shared" si="148"/>
        <v>0.71224999999999983</v>
      </c>
      <c r="AR17" s="278">
        <f t="shared" si="149"/>
        <v>0.73399999999999999</v>
      </c>
      <c r="AS17" s="278">
        <f t="shared" si="150"/>
        <v>0.75800000000000001</v>
      </c>
      <c r="AT17" s="8"/>
      <c r="AU17" s="278">
        <f t="shared" si="151"/>
        <v>0.77300000000000002</v>
      </c>
      <c r="AV17" s="278">
        <f t="shared" si="152"/>
        <v>0.74462500000000009</v>
      </c>
      <c r="AW17" s="278">
        <f t="shared" si="153"/>
        <v>0.762575</v>
      </c>
      <c r="AX17" s="278">
        <f t="shared" si="154"/>
        <v>0.86112500000000003</v>
      </c>
      <c r="AY17" s="278">
        <f t="shared" si="155"/>
        <v>0.80237500000000006</v>
      </c>
      <c r="AZ17" s="281">
        <f>SUMPRODUCT(D17:E17,D$5:E$5)/SUM(D$5:E$5)</f>
        <v>0.84367986301369868</v>
      </c>
      <c r="BA17" s="281">
        <f>SUMPRODUCT(F17:G17,F$5:G$5)/SUM(F$5:G$5)</f>
        <v>0.97122890410958906</v>
      </c>
      <c r="BB17" s="281">
        <f>SUMPRODUCT(H17:I17,H$5:I$5)/SUM(H$5:I$5)</f>
        <v>1.0002300000000002</v>
      </c>
      <c r="BC17" s="281">
        <f>SUMPRODUCT(J17:K17,J$5:K$5)/SUM(J$5:K$5)</f>
        <v>1.0383966986301372</v>
      </c>
      <c r="BD17" s="281">
        <f>SUMPRODUCT(L17:M17,L$5:M$5)/SUM(L$5:M$5)</f>
        <v>0.95824992465753434</v>
      </c>
      <c r="BE17" s="281">
        <f>SUMPRODUCT(N17:O17,N$5:O$5)/SUM(N$5:O$5)</f>
        <v>0.859180089041096</v>
      </c>
      <c r="BF17" s="281">
        <f>SUMPRODUCT(P17:Q17,P$5:Q$5)/SUM(P$5:Q$5)</f>
        <v>0.73249374999999994</v>
      </c>
      <c r="BG17" s="281">
        <f>SUMPRODUCT(R17:S17,R$5:S$5)/SUM(R$5:S$5)</f>
        <v>0.76517685616438358</v>
      </c>
      <c r="BH17" s="281">
        <f>SUMPRODUCT(T17:U17,T$5:U$5)/SUM(T$5:U$5)</f>
        <v>0.77452967123287686</v>
      </c>
      <c r="BI17" s="281">
        <f>SUMPRODUCT(V17:W17,V$5:W$5)/SUM(V$5:W$5)</f>
        <v>0.73027126027397271</v>
      </c>
      <c r="BJ17" s="281">
        <f>SUMPRODUCT(X17:Y17,X$5:Y$5)/SUM(X$5:Y$5)</f>
        <v>0.66837124999999997</v>
      </c>
      <c r="BK17" s="281">
        <f>SUMPRODUCT(Z17:AA17,Z$5:AA$5)/SUM(Z$5:AA$5)</f>
        <v>0.70179735616438366</v>
      </c>
      <c r="BL17" s="281">
        <f>SUMPRODUCT(AB17:AC17,AB$5:AC$5)/SUM(AB$5:AC$5)</f>
        <v>0.73824832876712343</v>
      </c>
      <c r="BM17" s="281">
        <f>SUMPRODUCT(AD17:AE17,AD$5:AE$5)/SUM(AD$5:AE$5)</f>
        <v>0.67415296575342476</v>
      </c>
      <c r="BN17" s="281">
        <f>SUMPRODUCT(AF17:AG17,AF$5:AG$5)/SUM(AF$5:AG$5)</f>
        <v>0.651505</v>
      </c>
      <c r="BO17" s="282">
        <f>SUMPRODUCT(AH17:AI17,AH$5:AI$5)/SUM(AH$5:AI$5)</f>
        <v>0.66466171232876725</v>
      </c>
      <c r="BP17" s="281">
        <f>SUMPRODUCT(AJ17:AK17,AJ$5:AK$5)/SUM(AJ$5:AK$5)</f>
        <v>0.65561695205479464</v>
      </c>
      <c r="BQ17" s="281">
        <f>SUMPRODUCT(AL17:AM17,AL$5:AM$5)/SUM(AL$5:AM$5)</f>
        <v>0.66561301369863024</v>
      </c>
      <c r="BR17" s="281">
        <f>SUMPRODUCT(AN17:AO17,AN$5:AO$5)/SUM(AN$5:AO$5)</f>
        <v>0.67249999999999976</v>
      </c>
      <c r="BS17" s="281">
        <f>SUMPRODUCT(AP17:AQ17,AP$5:AQ$5)/SUM(AP$5:AQ$5)</f>
        <v>0.70364863013698609</v>
      </c>
      <c r="BT17" s="281">
        <f>SUMPRODUCT(AR17:AS17,AR$5:AS$5)/SUM(AR$5:AS$5)</f>
        <v>0.74603287671232876</v>
      </c>
    </row>
    <row r="18" spans="1:72" ht="12" customHeight="1" outlineLevel="1">
      <c r="A18" s="91" t="s">
        <v>749</v>
      </c>
      <c r="B18" s="87" t="s">
        <v>745</v>
      </c>
      <c r="C18" s="278">
        <f t="shared" si="125"/>
        <v>1.2361</v>
      </c>
      <c r="D18" s="278">
        <f t="shared" si="126"/>
        <v>1.22855</v>
      </c>
      <c r="E18" s="278">
        <f t="shared" si="127"/>
        <v>1.2559750000000001</v>
      </c>
      <c r="F18" s="278">
        <f t="shared" si="128"/>
        <v>1.303925</v>
      </c>
      <c r="G18" s="278">
        <f t="shared" si="129"/>
        <v>1.336125</v>
      </c>
      <c r="H18" s="278">
        <f t="shared" si="130"/>
        <v>1.3120500000000002</v>
      </c>
      <c r="I18" s="278">
        <f t="shared" si="131"/>
        <v>1.2670075000000001</v>
      </c>
      <c r="J18" s="278">
        <f t="shared" si="132"/>
        <v>1.2582599999999999</v>
      </c>
      <c r="K18" s="278">
        <f t="shared" si="133"/>
        <v>1.2479800000000001</v>
      </c>
      <c r="L18" s="278">
        <f t="shared" si="132"/>
        <v>1.1836425000000002</v>
      </c>
      <c r="M18" s="278">
        <f t="shared" si="134"/>
        <v>1.0953650000000001</v>
      </c>
      <c r="N18" s="278">
        <f t="shared" si="135"/>
        <v>1.0942475</v>
      </c>
      <c r="O18" s="278">
        <f t="shared" si="136"/>
        <v>1.0689324999999998</v>
      </c>
      <c r="P18" s="278">
        <f t="shared" si="137"/>
        <v>1.0569999999999999</v>
      </c>
      <c r="Q18" s="278">
        <f t="shared" si="138"/>
        <v>1.10239</v>
      </c>
      <c r="R18" s="278">
        <f t="shared" si="139"/>
        <v>1.0798349999999999</v>
      </c>
      <c r="S18" s="278">
        <f t="shared" si="140"/>
        <v>1.0701350000000001</v>
      </c>
      <c r="T18" s="278">
        <f t="shared" si="140"/>
        <v>1.08785</v>
      </c>
      <c r="U18" s="278">
        <f t="shared" si="140"/>
        <v>1.0737950000000001</v>
      </c>
      <c r="V18" s="278">
        <f t="shared" si="140"/>
        <v>1.0758574999999999</v>
      </c>
      <c r="W18" s="278">
        <f t="shared" si="140"/>
        <v>1.0666549999999999</v>
      </c>
      <c r="X18" s="278">
        <f t="shared" si="140"/>
        <v>1.0599574999999999</v>
      </c>
      <c r="Y18" s="278">
        <f t="shared" si="140"/>
        <v>1.0532625</v>
      </c>
      <c r="Z18" s="278">
        <f t="shared" si="140"/>
        <v>1.0556375</v>
      </c>
      <c r="AA18" s="278">
        <f t="shared" si="140"/>
        <v>1.0849449999999998</v>
      </c>
      <c r="AB18" s="278">
        <f t="shared" si="140"/>
        <v>1.06772</v>
      </c>
      <c r="AC18" s="278">
        <f t="shared" si="140"/>
        <v>1.0621624999999999</v>
      </c>
      <c r="AD18" s="278">
        <f t="shared" si="140"/>
        <v>1.1101399999999999</v>
      </c>
      <c r="AE18" s="278">
        <f t="shared" si="140"/>
        <v>1.1058250000000001</v>
      </c>
      <c r="AF18" s="278">
        <f t="shared" si="140"/>
        <v>1.0704875</v>
      </c>
      <c r="AG18" s="278">
        <f t="shared" si="140"/>
        <v>1.0839650000000001</v>
      </c>
      <c r="AH18" s="278">
        <f t="shared" si="140"/>
        <v>1.0918774999999998</v>
      </c>
      <c r="AI18" s="278">
        <f t="shared" si="140"/>
        <v>1.0945675000000001</v>
      </c>
      <c r="AJ18" s="351">
        <f t="shared" si="141"/>
        <v>1.1208</v>
      </c>
      <c r="AK18" s="278">
        <f t="shared" si="142"/>
        <v>1.1107</v>
      </c>
      <c r="AL18" s="278">
        <f t="shared" si="143"/>
        <v>1.089586776859504</v>
      </c>
      <c r="AM18" s="278">
        <f t="shared" si="144"/>
        <v>1.1115525888253159</v>
      </c>
      <c r="AN18" s="278">
        <f t="shared" si="145"/>
        <v>1.1270918623859794</v>
      </c>
      <c r="AO18" s="278">
        <f t="shared" si="146"/>
        <v>1.1356654695073043</v>
      </c>
      <c r="AP18" s="278">
        <f t="shared" si="147"/>
        <v>1.1487287194986591</v>
      </c>
      <c r="AQ18" s="278">
        <f t="shared" si="148"/>
        <v>1.1632784414163844</v>
      </c>
      <c r="AR18" s="278">
        <f t="shared" si="149"/>
        <v>1.1762143391031192</v>
      </c>
      <c r="AS18" s="278">
        <f t="shared" si="150"/>
        <v>1.188024422904459</v>
      </c>
      <c r="AT18" s="8"/>
      <c r="AU18" s="278">
        <f t="shared" si="151"/>
        <v>1.0860132008395653</v>
      </c>
      <c r="AV18" s="278">
        <f t="shared" si="152"/>
        <v>1.1242566004197827</v>
      </c>
      <c r="AW18" s="278">
        <f t="shared" si="153"/>
        <v>1.1471</v>
      </c>
      <c r="AX18" s="278">
        <f t="shared" si="154"/>
        <v>1.146525</v>
      </c>
      <c r="AY18" s="278">
        <f t="shared" si="155"/>
        <v>1.198725</v>
      </c>
      <c r="AZ18" s="281">
        <f>SUMPRODUCT(D18:E18,D$5:E$5)/SUM(D$5:E$5)</f>
        <v>1.2423000684931509</v>
      </c>
      <c r="BA18" s="281">
        <f>SUMPRODUCT(F18:G18,F$5:G$5)/SUM(F$5:G$5)</f>
        <v>1.3200691095890413</v>
      </c>
      <c r="BB18" s="281">
        <f>SUMPRODUCT(H18:I18,H$5:I$5)/SUM(H$5:I$5)</f>
        <v>1.2895287500000001</v>
      </c>
      <c r="BC18" s="281">
        <f>SUMPRODUCT(J18:K18,J$5:K$5)/SUM(J$5:K$5)</f>
        <v>1.2531059178082193</v>
      </c>
      <c r="BD18" s="281">
        <f>SUMPRODUCT(L18:M18,L$5:M$5)/SUM(L$5:M$5)</f>
        <v>1.1393828219178084</v>
      </c>
      <c r="BE18" s="281">
        <f>SUMPRODUCT(N18:O18,N$5:O$5)/SUM(N$5:O$5)</f>
        <v>1.0815553219178082</v>
      </c>
      <c r="BF18" s="281">
        <f>SUMPRODUCT(P18:Q18,P$5:Q$5)/SUM(P$5:Q$5)</f>
        <v>1.0796950000000001</v>
      </c>
      <c r="BG18" s="281">
        <f>SUMPRODUCT(R18:S18,R$5:S$5)/SUM(R$5:S$5)</f>
        <v>1.074971712328767</v>
      </c>
      <c r="BH18" s="281">
        <f>SUMPRODUCT(T18:U18,T$5:U$5)/SUM(T$5:U$5)</f>
        <v>1.0808032465753425</v>
      </c>
      <c r="BI18" s="281">
        <f>SUMPRODUCT(V18:W18,V$5:W$5)/SUM(V$5:W$5)</f>
        <v>1.0712436438356163</v>
      </c>
      <c r="BJ18" s="281">
        <f>SUMPRODUCT(X18:Y18,X$5:Y$5)/SUM(X$5:Y$5)</f>
        <v>1.05661</v>
      </c>
      <c r="BK18" s="281">
        <f>SUMPRODUCT(Z18:AA18,Z$5:AA$5)/SUM(Z$5:AA$5)</f>
        <v>1.0703313972602739</v>
      </c>
      <c r="BL18" s="281">
        <f>SUMPRODUCT(AB18:AC18,AB$5:AC$5)/SUM(AB$5:AC$5)</f>
        <v>1.0649336369863014</v>
      </c>
      <c r="BM18" s="281">
        <f>SUMPRODUCT(AD18:AE18,AD$5:AE$5)/SUM(AD$5:AE$5)</f>
        <v>1.1079765890410957</v>
      </c>
      <c r="BN18" s="281">
        <f>SUMPRODUCT(AF18:AG18,AF$5:AG$5)/SUM(AF$5:AG$5)</f>
        <v>1.0772262500000001</v>
      </c>
      <c r="BO18" s="282">
        <f>SUMPRODUCT(AH18:AI18,AH$5:AI$5)/SUM(AH$5:AI$5)</f>
        <v>1.093226184931507</v>
      </c>
      <c r="BP18" s="281">
        <f>SUMPRODUCT(AJ18:AK18,AJ$5:AK$5)/SUM(AJ$5:AK$5)</f>
        <v>1.1157361643835617</v>
      </c>
      <c r="BQ18" s="281">
        <f>SUMPRODUCT(AL18:AM18,AL$5:AM$5)/SUM(AL$5:AM$5)</f>
        <v>1.1005997729957879</v>
      </c>
      <c r="BR18" s="281">
        <f>SUMPRODUCT(AN18:AO18,AN$5:AO$5)/SUM(AN$5:AO$5)</f>
        <v>1.1313786659466418</v>
      </c>
      <c r="BS18" s="281">
        <f>SUMPRODUCT(AP18:AQ18,AP$5:AQ$5)/SUM(AP$5:AQ$5)</f>
        <v>1.1560235115834365</v>
      </c>
      <c r="BT18" s="281">
        <f>SUMPRODUCT(AR18:AS18,AR$5:AS$5)/SUM(AR$5:AS$5)</f>
        <v>1.1821355592007772</v>
      </c>
    </row>
    <row r="19" spans="1:72" ht="12" customHeight="1" outlineLevel="1">
      <c r="A19" s="91" t="s">
        <v>1558</v>
      </c>
      <c r="B19" s="87" t="s">
        <v>747</v>
      </c>
      <c r="C19" s="278">
        <f t="shared" si="125"/>
        <v>0.52200000000000002</v>
      </c>
      <c r="D19" s="278">
        <f t="shared" si="126"/>
        <v>0.56240000000000001</v>
      </c>
      <c r="E19" s="278">
        <f t="shared" si="127"/>
        <v>0.64095000000000002</v>
      </c>
      <c r="F19" s="278">
        <f t="shared" si="128"/>
        <v>0.69425000000000003</v>
      </c>
      <c r="G19" s="278">
        <f t="shared" si="129"/>
        <v>0.71940000000000004</v>
      </c>
      <c r="H19" s="278">
        <f t="shared" si="130"/>
        <v>0.72550000000000003</v>
      </c>
      <c r="I19" s="278">
        <f t="shared" si="131"/>
        <v>0.74892500000000006</v>
      </c>
      <c r="J19" s="278">
        <f t="shared" si="132"/>
        <v>0.79190000000000005</v>
      </c>
      <c r="K19" s="278">
        <f t="shared" si="133"/>
        <v>0.81012499999999998</v>
      </c>
      <c r="L19" s="278">
        <f t="shared" si="132"/>
        <v>0.75112500000000004</v>
      </c>
      <c r="M19" s="278">
        <f t="shared" si="134"/>
        <v>0.68117500000000009</v>
      </c>
      <c r="N19" s="278">
        <f t="shared" si="135"/>
        <v>0.68275000000000008</v>
      </c>
      <c r="O19" s="278">
        <f t="shared" si="136"/>
        <v>0.70055000000000001</v>
      </c>
      <c r="P19" s="278">
        <f t="shared" si="137"/>
        <v>0.66815000000000002</v>
      </c>
      <c r="Q19" s="278">
        <f t="shared" si="138"/>
        <v>0.65044999999999997</v>
      </c>
      <c r="R19" s="278">
        <f t="shared" si="139"/>
        <v>0.67720000000000002</v>
      </c>
      <c r="S19" s="278">
        <f t="shared" si="140"/>
        <v>0.69857499999999995</v>
      </c>
      <c r="T19" s="278">
        <f t="shared" si="140"/>
        <v>0.68952499999999994</v>
      </c>
      <c r="U19" s="278">
        <f t="shared" si="140"/>
        <v>0.64322499999999994</v>
      </c>
      <c r="V19" s="278">
        <f t="shared" si="140"/>
        <v>0.62260000000000004</v>
      </c>
      <c r="W19" s="278">
        <f t="shared" si="140"/>
        <v>0.62737500000000002</v>
      </c>
      <c r="X19" s="278">
        <f t="shared" si="140"/>
        <v>0.62597499999999995</v>
      </c>
      <c r="Y19" s="278">
        <f t="shared" si="140"/>
        <v>0.58782249999999991</v>
      </c>
      <c r="Z19" s="278">
        <f t="shared" si="140"/>
        <v>0.58382749999999994</v>
      </c>
      <c r="AA19" s="278">
        <f t="shared" si="140"/>
        <v>0.62938000000000005</v>
      </c>
      <c r="AB19" s="278">
        <f t="shared" si="140"/>
        <v>0.63595000000000002</v>
      </c>
      <c r="AC19" s="278">
        <f t="shared" si="140"/>
        <v>0.65034999999999998</v>
      </c>
      <c r="AD19" s="278">
        <f t="shared" si="140"/>
        <v>0.66459500000000005</v>
      </c>
      <c r="AE19" s="278">
        <f t="shared" si="140"/>
        <v>0.634745</v>
      </c>
      <c r="AF19" s="278">
        <f t="shared" si="140"/>
        <v>0.61256500000000003</v>
      </c>
      <c r="AG19" s="278">
        <f t="shared" si="140"/>
        <v>0.60601499999999997</v>
      </c>
      <c r="AH19" s="278">
        <f t="shared" si="140"/>
        <v>0.61220000000000008</v>
      </c>
      <c r="AI19" s="278">
        <f>AVERAGE(AH13:AI13)</f>
        <v>0.59925282564684612</v>
      </c>
      <c r="AJ19" s="351">
        <f t="shared" si="141"/>
        <v>0.57061204080818184</v>
      </c>
      <c r="AK19" s="278">
        <f t="shared" si="142"/>
        <v>0.55731941924296846</v>
      </c>
      <c r="AL19" s="278">
        <f t="shared" si="143"/>
        <v>0.54151020408163275</v>
      </c>
      <c r="AM19" s="278">
        <f t="shared" si="144"/>
        <v>0.52900000000000003</v>
      </c>
      <c r="AN19" s="278">
        <f t="shared" si="145"/>
        <v>0.53199999999999981</v>
      </c>
      <c r="AO19" s="278">
        <f t="shared" si="146"/>
        <v>0.54399999999999982</v>
      </c>
      <c r="AP19" s="278">
        <f t="shared" si="147"/>
        <v>0.55599999999999983</v>
      </c>
      <c r="AQ19" s="278">
        <f t="shared" si="148"/>
        <v>0.57095983935742955</v>
      </c>
      <c r="AR19" s="278">
        <f t="shared" si="149"/>
        <v>0.59198413085540547</v>
      </c>
      <c r="AS19" s="278">
        <f t="shared" si="150"/>
        <v>0.61631000578369022</v>
      </c>
      <c r="AT19" s="8"/>
      <c r="AU19" s="278">
        <f t="shared" si="151"/>
        <v>0.59633855806730685</v>
      </c>
      <c r="AV19" s="278">
        <f t="shared" si="152"/>
        <v>0.59381927903365339</v>
      </c>
      <c r="AW19" s="278">
        <f t="shared" si="153"/>
        <v>0.59839999999999993</v>
      </c>
      <c r="AX19" s="278">
        <f t="shared" si="154"/>
        <v>0.592275</v>
      </c>
      <c r="AY19" s="278">
        <f t="shared" si="155"/>
        <v>0.55052500000000004</v>
      </c>
      <c r="AZ19" s="281">
        <f>SUMPRODUCT(D19:E19,D$5:E$5)/SUM(D$5:E$5)</f>
        <v>0.60178260273972606</v>
      </c>
      <c r="BA19" s="281">
        <f>SUMPRODUCT(F19:G19,F$5:G$5)/SUM(F$5:G$5)</f>
        <v>0.70685945205479461</v>
      </c>
      <c r="BB19" s="281">
        <f>SUMPRODUCT(H19:I19,H$5:I$5)/SUM(H$5:I$5)</f>
        <v>0.73721250000000005</v>
      </c>
      <c r="BC19" s="281">
        <f>SUMPRODUCT(J19:K19,J$5:K$5)/SUM(J$5:K$5)</f>
        <v>0.80103746575342483</v>
      </c>
      <c r="BD19" s="281">
        <f>SUMPRODUCT(L19:M19,L$5:M$5)/SUM(L$5:M$5)</f>
        <v>0.71605417808219185</v>
      </c>
      <c r="BE19" s="281">
        <f>SUMPRODUCT(N19:O19,N$5:O$5)/SUM(N$5:O$5)</f>
        <v>0.6916743835616439</v>
      </c>
      <c r="BF19" s="281">
        <f>SUMPRODUCT(P19:Q19,P$5:Q$5)/SUM(P$5:Q$5)</f>
        <v>0.6593</v>
      </c>
      <c r="BG19" s="281">
        <f>SUMPRODUCT(R19:S19,R$5:S$5)/SUM(R$5:S$5)</f>
        <v>0.68791678082191787</v>
      </c>
      <c r="BH19" s="281">
        <f>SUMPRODUCT(T19:U19,T$5:U$5)/SUM(T$5:U$5)</f>
        <v>0.66631157534246577</v>
      </c>
      <c r="BI19" s="281">
        <f>SUMPRODUCT(V19:W19,V$5:W$5)/SUM(V$5:W$5)</f>
        <v>0.62499404109589052</v>
      </c>
      <c r="BJ19" s="281">
        <f>SUMPRODUCT(X19:Y19,X$5:Y$5)/SUM(X$5:Y$5)</f>
        <v>0.60689874999999993</v>
      </c>
      <c r="BK19" s="281">
        <f>SUMPRODUCT(Z19:AA19,Z$5:AA$5)/SUM(Z$5:AA$5)</f>
        <v>0.60666615068493157</v>
      </c>
      <c r="BL19" s="281">
        <f>SUMPRODUCT(AB19:AC19,AB$5:AC$5)/SUM(AB$5:AC$5)</f>
        <v>0.6431697260273973</v>
      </c>
      <c r="BM19" s="281">
        <f>SUMPRODUCT(AD19:AE19,AD$5:AE$5)/SUM(AD$5:AE$5)</f>
        <v>0.64962910958904119</v>
      </c>
      <c r="BN19" s="281">
        <f>SUMPRODUCT(AF19:AG19,AF$5:AG$5)/SUM(AF$5:AG$5)</f>
        <v>0.60929</v>
      </c>
      <c r="BO19" s="282">
        <f>SUMPRODUCT(AH19:AI19,AH$5:AI$5)/SUM(AH$5:AI$5)</f>
        <v>0.6057086769681449</v>
      </c>
      <c r="BP19" s="281">
        <f>SUMPRODUCT(AJ19:AK19,AJ$5:AK$5)/SUM(AJ$5:AK$5)</f>
        <v>0.56394752095493783</v>
      </c>
      <c r="BQ19" s="281">
        <f>SUMPRODUCT(AL19:AM19,AL$5:AM$5)/SUM(AL$5:AM$5)</f>
        <v>0.53523796477495122</v>
      </c>
      <c r="BR19" s="281">
        <f>SUMPRODUCT(AN19:AO19,AN$5:AO$5)/SUM(AN$5:AO$5)</f>
        <v>0.53799999999999981</v>
      </c>
      <c r="BS19" s="281">
        <f>SUMPRODUCT(AP19:AQ19,AP$5:AQ$5)/SUM(AP$5:AQ$5)</f>
        <v>0.56350041260934125</v>
      </c>
      <c r="BT19" s="281">
        <f>SUMPRODUCT(AR19:AS19,AR$5:AS$5)/SUM(AR$5:AS$5)</f>
        <v>0.60418039143588798</v>
      </c>
    </row>
    <row r="20" spans="1:72" ht="12" customHeight="1" outlineLevel="1">
      <c r="B20" s="87"/>
      <c r="C20" s="8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41"/>
      <c r="AL20" s="41"/>
      <c r="AM20" s="41"/>
      <c r="AN20" s="41"/>
      <c r="AO20" s="41"/>
      <c r="AP20" s="41"/>
      <c r="AQ20" s="41"/>
      <c r="AR20" s="41"/>
      <c r="AS20" s="41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</row>
    <row r="21" spans="1:72" s="9" customFormat="1" ht="12" customHeight="1" outlineLevel="1">
      <c r="A21" s="91"/>
      <c r="B21" s="16" t="s">
        <v>74</v>
      </c>
      <c r="C21" s="74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40"/>
      <c r="AK21" s="39"/>
      <c r="AL21" s="39"/>
      <c r="AM21" s="39"/>
      <c r="AN21" s="39"/>
      <c r="AO21" s="39"/>
      <c r="AP21" s="39"/>
      <c r="AQ21" s="39"/>
      <c r="AR21" s="39"/>
      <c r="AS21" s="39"/>
      <c r="AT21" s="74"/>
      <c r="AU21" s="74"/>
      <c r="AV21" s="74"/>
      <c r="AW21" s="74"/>
      <c r="AX21" s="74"/>
      <c r="AY21" s="74"/>
      <c r="AZ21" s="63"/>
      <c r="BA21" s="63"/>
      <c r="BB21" s="63"/>
      <c r="BC21" s="63"/>
      <c r="BD21" s="63"/>
      <c r="BE21" s="63"/>
      <c r="BF21" s="63"/>
      <c r="BG21" s="462"/>
      <c r="BH21" s="63"/>
      <c r="BI21" s="63"/>
      <c r="BJ21" s="63"/>
      <c r="BK21" s="63"/>
      <c r="BL21" s="63"/>
      <c r="BO21" s="500"/>
    </row>
    <row r="22" spans="1:72" ht="12" customHeight="1" outlineLevel="1">
      <c r="A22" s="91" t="s">
        <v>85</v>
      </c>
      <c r="B22" s="1" t="s">
        <v>83</v>
      </c>
      <c r="C22" s="8"/>
      <c r="D22" s="37">
        <f>D563</f>
        <v>-2.2712102184660986E-2</v>
      </c>
      <c r="E22" s="37">
        <f t="shared" ref="E22:K22" si="156">E563</f>
        <v>5.5007743636432942E-3</v>
      </c>
      <c r="F22" s="37">
        <f t="shared" si="156"/>
        <v>2.543452791260645E-3</v>
      </c>
      <c r="G22" s="37">
        <f t="shared" si="156"/>
        <v>4.0045641059399204E-3</v>
      </c>
      <c r="H22" s="37">
        <f t="shared" si="156"/>
        <v>5.6608497806420711E-4</v>
      </c>
      <c r="I22" s="37">
        <f t="shared" si="156"/>
        <v>4.3926598653649751E-3</v>
      </c>
      <c r="J22" s="37">
        <f t="shared" si="156"/>
        <v>3.8266738782712483E-3</v>
      </c>
      <c r="K22" s="37">
        <f t="shared" si="156"/>
        <v>4.3163723551132745E-3</v>
      </c>
      <c r="L22" s="37">
        <f t="shared" ref="L22:M22" si="157">L563</f>
        <v>4.1937248089270037E-3</v>
      </c>
      <c r="M22" s="37">
        <f t="shared" si="157"/>
        <v>3.1866676768736038E-3</v>
      </c>
      <c r="N22" s="78">
        <f t="shared" ref="N22" si="158">N563</f>
        <v>1.0041755153255244E-3</v>
      </c>
      <c r="O22" s="78">
        <f t="shared" ref="O22:P22" si="159">O563</f>
        <v>1.5787036640262295E-3</v>
      </c>
      <c r="P22" s="78">
        <f t="shared" si="159"/>
        <v>2.5158579343200491E-3</v>
      </c>
      <c r="Q22" s="78">
        <f t="shared" ref="Q22:R22" si="160">Q563</f>
        <v>1.5179299103504483E-2</v>
      </c>
      <c r="R22" s="78">
        <f t="shared" si="160"/>
        <v>5.1645145497816753E-3</v>
      </c>
      <c r="S22" s="78">
        <f t="shared" ref="S22" si="161">S563</f>
        <v>7.7294519834888052E-3</v>
      </c>
      <c r="T22" s="78">
        <f t="shared" ref="T22" si="162">T563</f>
        <v>5.3983348290514918E-3</v>
      </c>
      <c r="U22" s="78">
        <f t="shared" ref="U22:V22" si="163">U563</f>
        <v>1.5916180611516131E-2</v>
      </c>
      <c r="V22" s="78">
        <f t="shared" si="163"/>
        <v>-7.4234018603393714E-4</v>
      </c>
      <c r="W22" s="78">
        <f t="shared" ref="W22:X22" si="164">W563</f>
        <v>1.1196061440304288E-2</v>
      </c>
      <c r="X22" s="78">
        <f t="shared" si="164"/>
        <v>1.9892311376069056E-3</v>
      </c>
      <c r="Y22" s="78">
        <f t="shared" ref="Y22" si="165">Y563</f>
        <v>1.0514390316045607E-2</v>
      </c>
      <c r="Z22" s="78">
        <f t="shared" ref="Z22:AA22" si="166">Z563</f>
        <v>5.6794981481094577E-3</v>
      </c>
      <c r="AA22" s="78">
        <f t="shared" si="166"/>
        <v>3.6786938117315056E-3</v>
      </c>
      <c r="AB22" s="78">
        <f t="shared" ref="AB22:AC22" si="167">AB563</f>
        <v>6.3215128479574886E-3</v>
      </c>
      <c r="AC22" s="78">
        <f t="shared" si="167"/>
        <v>3.8984259242415011E-3</v>
      </c>
      <c r="AD22" s="78">
        <f t="shared" ref="AD22:AE22" si="168">AD563</f>
        <v>2.1097414682344027E-3</v>
      </c>
      <c r="AE22" s="78">
        <f t="shared" si="168"/>
        <v>-6.5230788674905686E-4</v>
      </c>
      <c r="AF22" s="78">
        <f t="shared" ref="AF22" si="169">AF563</f>
        <v>-9.9366081204169685E-4</v>
      </c>
      <c r="AG22" s="78">
        <f t="shared" ref="AG22:AH22" si="170">AG563</f>
        <v>-1.8495576765367905E-3</v>
      </c>
      <c r="AH22" s="78">
        <f t="shared" si="170"/>
        <v>1.8878760124347819E-3</v>
      </c>
      <c r="AI22" s="78">
        <f t="shared" ref="AI22" si="171">AI563</f>
        <v>1.5320345485963038E-3</v>
      </c>
      <c r="AJ22" s="88">
        <v>1.25E-3</v>
      </c>
      <c r="AK22" s="66">
        <f>AJ22-0.01%</f>
        <v>1.15E-3</v>
      </c>
      <c r="AL22" s="66">
        <f>AK22-0.005%</f>
        <v>1.1000000000000001E-3</v>
      </c>
      <c r="AM22" s="66">
        <f t="shared" ref="AM22:AS22" si="172">AL22-0.005%</f>
        <v>1.0500000000000002E-3</v>
      </c>
      <c r="AN22" s="66">
        <f t="shared" si="172"/>
        <v>1.0000000000000002E-3</v>
      </c>
      <c r="AO22" s="66">
        <f t="shared" si="172"/>
        <v>9.5000000000000021E-4</v>
      </c>
      <c r="AP22" s="66">
        <f t="shared" si="172"/>
        <v>9.0000000000000019E-4</v>
      </c>
      <c r="AQ22" s="66">
        <f t="shared" si="172"/>
        <v>8.5000000000000017E-4</v>
      </c>
      <c r="AR22" s="66">
        <f t="shared" si="172"/>
        <v>8.0000000000000015E-4</v>
      </c>
      <c r="AS22" s="66">
        <f t="shared" si="172"/>
        <v>7.5000000000000012E-4</v>
      </c>
      <c r="AT22" s="8"/>
      <c r="AU22" s="37">
        <f t="shared" ref="AU22:AV22" si="173">AU563</f>
        <v>2.8144239226033421E-4</v>
      </c>
      <c r="AV22" s="37">
        <f t="shared" si="173"/>
        <v>1.8289606458123109E-3</v>
      </c>
      <c r="AW22" s="37">
        <f t="shared" ref="AW22" si="174">AW563</f>
        <v>2.4754007054892009E-4</v>
      </c>
      <c r="AX22" s="37">
        <f t="shared" ref="AX22" si="175">AX563</f>
        <v>6.3134527458427953E-4</v>
      </c>
      <c r="AY22" s="37">
        <f t="shared" ref="AY22" si="176">AY563</f>
        <v>1.7291422219477552E-3</v>
      </c>
      <c r="AZ22" s="37">
        <f t="shared" ref="AZ22:BI22" si="177">AZ563</f>
        <v>-8.2005886449931474E-3</v>
      </c>
      <c r="BA22" s="37">
        <f t="shared" si="177"/>
        <v>3.2785795775505909E-3</v>
      </c>
      <c r="BB22" s="37">
        <f t="shared" si="177"/>
        <v>2.4771466777736371E-3</v>
      </c>
      <c r="BC22" s="37">
        <f t="shared" si="177"/>
        <v>4.0932757871072417E-3</v>
      </c>
      <c r="BD22" s="37">
        <f t="shared" si="177"/>
        <v>3.562317361658704E-3</v>
      </c>
      <c r="BE22" s="37">
        <f t="shared" si="177"/>
        <v>1.2930313217822534E-3</v>
      </c>
      <c r="BF22" s="37">
        <f t="shared" si="177"/>
        <v>9.0120683349877231E-3</v>
      </c>
      <c r="BG22" s="37">
        <f t="shared" si="177"/>
        <v>6.4064599532570416E-3</v>
      </c>
      <c r="BH22" s="37">
        <f t="shared" si="177"/>
        <v>1.0254907705830648E-2</v>
      </c>
      <c r="BI22" s="37">
        <f t="shared" si="177"/>
        <v>5.3396775046259583E-3</v>
      </c>
      <c r="BJ22" s="37">
        <f t="shared" ref="BJ22" si="178">BJ563</f>
        <v>6.4212926341259136E-3</v>
      </c>
      <c r="BK22" s="37">
        <f t="shared" ref="BK22:BP22" si="179">BK563</f>
        <v>4.509322446684041E-3</v>
      </c>
      <c r="BL22" s="37">
        <f t="shared" si="179"/>
        <v>5.0047962630854568E-3</v>
      </c>
      <c r="BM22" s="37">
        <f t="shared" si="179"/>
        <v>6.8185847345524964E-4</v>
      </c>
      <c r="BN22" s="37">
        <f t="shared" si="179"/>
        <v>-1.3607679266999678E-3</v>
      </c>
      <c r="BO22" s="38">
        <f t="shared" si="179"/>
        <v>1.5657823076324594E-3</v>
      </c>
      <c r="BP22" s="37">
        <f t="shared" si="179"/>
        <v>1.2920983191446675E-3</v>
      </c>
      <c r="BQ22" s="37">
        <f t="shared" ref="BQ22:BR22" si="180">BQ563</f>
        <v>1.0044295013026886E-3</v>
      </c>
      <c r="BR22" s="37">
        <f t="shared" si="180"/>
        <v>9.2644009995814913E-4</v>
      </c>
      <c r="BS22" s="37">
        <f t="shared" ref="BS22" si="181">BS563</f>
        <v>8.3678113485595115E-4</v>
      </c>
      <c r="BT22" s="37">
        <f t="shared" ref="BT22" si="182">BT563</f>
        <v>7.4175213533589834E-4</v>
      </c>
    </row>
    <row r="23" spans="1:72" ht="12" customHeight="1" outlineLevel="1">
      <c r="A23" s="91" t="s">
        <v>84</v>
      </c>
      <c r="B23" s="1" t="s">
        <v>418</v>
      </c>
      <c r="C23" s="8"/>
      <c r="D23" s="37">
        <f>D566</f>
        <v>4.5309867066092489E-2</v>
      </c>
      <c r="E23" s="37">
        <f t="shared" ref="E23:K23" si="183">E566</f>
        <v>3.5111199703847143E-2</v>
      </c>
      <c r="F23" s="37">
        <f t="shared" si="183"/>
        <v>2.6229916552497196E-2</v>
      </c>
      <c r="G23" s="37">
        <f t="shared" si="183"/>
        <v>2.2179928262938291E-2</v>
      </c>
      <c r="H23" s="37">
        <f t="shared" si="183"/>
        <v>2.1371757925072045E-2</v>
      </c>
      <c r="I23" s="37">
        <f t="shared" si="183"/>
        <v>2.2724938373048481E-2</v>
      </c>
      <c r="J23" s="37">
        <f t="shared" si="183"/>
        <v>2.1675E-2</v>
      </c>
      <c r="K23" s="37">
        <f t="shared" si="183"/>
        <v>1.8964970317668917E-2</v>
      </c>
      <c r="L23" s="37">
        <f t="shared" ref="L23:M23" si="184">L566</f>
        <v>1.7876512307050479E-2</v>
      </c>
      <c r="M23" s="37">
        <f t="shared" si="184"/>
        <v>1.6856258502060208E-2</v>
      </c>
      <c r="N23" s="78">
        <f t="shared" ref="N23" si="185">N566</f>
        <v>1.7545777534845586E-2</v>
      </c>
      <c r="O23" s="78">
        <f t="shared" ref="O23:P23" si="186">O566</f>
        <v>1.9105748757984386E-2</v>
      </c>
      <c r="P23" s="78">
        <f t="shared" si="186"/>
        <v>2.220036158672764E-2</v>
      </c>
      <c r="Q23" s="78">
        <f t="shared" ref="Q23:R23" si="187">Q566</f>
        <v>1.3124545157971342E-2</v>
      </c>
      <c r="R23" s="78">
        <f t="shared" si="187"/>
        <v>1.6809059198220514E-2</v>
      </c>
      <c r="S23" s="78">
        <f t="shared" ref="S23" si="188">S566</f>
        <v>1.4737423845678119E-2</v>
      </c>
      <c r="T23" s="78">
        <f t="shared" ref="T23" si="189">T566</f>
        <v>1.2702199617229898E-2</v>
      </c>
      <c r="U23" s="78">
        <f t="shared" ref="U23:V23" si="190">U566</f>
        <v>8.634222919937205E-3</v>
      </c>
      <c r="V23" s="78">
        <f t="shared" si="190"/>
        <v>1.1425814724066575E-2</v>
      </c>
      <c r="W23" s="78">
        <f t="shared" ref="W23:X23" si="191">W566</f>
        <v>3.6953437379079065E-2</v>
      </c>
      <c r="X23" s="78">
        <f t="shared" si="191"/>
        <v>3.183916891111966E-2</v>
      </c>
      <c r="Y23" s="78">
        <f t="shared" ref="Y23" si="192">Y566</f>
        <v>3.2521730541288027E-2</v>
      </c>
      <c r="Z23" s="78">
        <f t="shared" ref="Z23:AA23" si="193">Z566</f>
        <v>3.9910229024146232E-2</v>
      </c>
      <c r="AA23" s="78">
        <f t="shared" si="193"/>
        <v>3.5120957867738986E-2</v>
      </c>
      <c r="AB23" s="78">
        <f t="shared" ref="AB23:AC23" si="194">AB566</f>
        <v>2.3886538940034834E-2</v>
      </c>
      <c r="AC23" s="78">
        <f t="shared" si="194"/>
        <v>2.2260731700572418E-2</v>
      </c>
      <c r="AD23" s="78">
        <f t="shared" ref="AD23:AE23" si="195">AD566</f>
        <v>2.3326902578468423E-2</v>
      </c>
      <c r="AE23" s="78">
        <f t="shared" si="195"/>
        <v>3.2138277683746219E-2</v>
      </c>
      <c r="AF23" s="78">
        <f t="shared" ref="AF23" si="196">AF566</f>
        <v>2.9084810243089291E-2</v>
      </c>
      <c r="AG23" s="78">
        <f t="shared" ref="AG23:AH23" si="197">AG566</f>
        <v>3.6284987277353686E-2</v>
      </c>
      <c r="AH23" s="78">
        <f t="shared" si="197"/>
        <v>2.5812893503323688E-2</v>
      </c>
      <c r="AI23" s="78">
        <f t="shared" ref="AI23" si="198">AI566</f>
        <v>2.7787071734475376E-2</v>
      </c>
      <c r="AJ23" s="88">
        <f>AI23*0.9</f>
        <v>2.500836456102784E-2</v>
      </c>
      <c r="AK23" s="336">
        <f>AJ23*0.9</f>
        <v>2.2507528104925057E-2</v>
      </c>
      <c r="AL23" s="336">
        <f t="shared" ref="AL23:AM23" si="199">AK23*0.9</f>
        <v>2.0256775294432552E-2</v>
      </c>
      <c r="AM23" s="336">
        <f t="shared" si="199"/>
        <v>1.8231097764989299E-2</v>
      </c>
      <c r="AN23" s="336">
        <f t="shared" ref="AN23" si="200">AM23*0.985</f>
        <v>1.7957631298514458E-2</v>
      </c>
      <c r="AO23" s="336">
        <f t="shared" ref="AO23" si="201">AN23*0.985</f>
        <v>1.768826682903674E-2</v>
      </c>
      <c r="AP23" s="336">
        <f t="shared" ref="AP23" si="202">AO23*0.985</f>
        <v>1.7422942826601187E-2</v>
      </c>
      <c r="AQ23" s="336">
        <f t="shared" ref="AQ23" si="203">AP23*0.985</f>
        <v>1.7161598684202171E-2</v>
      </c>
      <c r="AR23" s="336">
        <f t="shared" ref="AR23" si="204">AQ23*0.985</f>
        <v>1.6904174703939137E-2</v>
      </c>
      <c r="AS23" s="336">
        <f t="shared" ref="AS23" si="205">AR23*0.985</f>
        <v>1.6650612083380052E-2</v>
      </c>
      <c r="AT23" s="8"/>
      <c r="AU23" s="37">
        <f t="shared" ref="AU23:AV23" si="206">AU566</f>
        <v>2.8311425682507585E-3</v>
      </c>
      <c r="AV23" s="37">
        <f t="shared" si="206"/>
        <v>6.8136991213914293E-3</v>
      </c>
      <c r="AW23" s="37">
        <f t="shared" ref="AW23" si="207">AW566</f>
        <v>5.4083993092887625E-3</v>
      </c>
      <c r="AX23" s="37">
        <f t="shared" ref="AX23" si="208">AX566</f>
        <v>2.0107680474673113E-2</v>
      </c>
      <c r="AY23" s="37">
        <f t="shared" ref="AY23" si="209">AY566</f>
        <v>5.8518920876335326E-2</v>
      </c>
      <c r="AZ23" s="37">
        <f t="shared" ref="AZ23:BH23" si="210">AZ566</f>
        <v>3.5111199703847143E-2</v>
      </c>
      <c r="BA23" s="37">
        <f t="shared" si="210"/>
        <v>2.2179928262938291E-2</v>
      </c>
      <c r="BB23" s="37">
        <f t="shared" si="210"/>
        <v>2.2724938373048481E-2</v>
      </c>
      <c r="BC23" s="37">
        <f t="shared" si="210"/>
        <v>1.8964970317668917E-2</v>
      </c>
      <c r="BD23" s="37">
        <f t="shared" si="210"/>
        <v>1.6856258502060208E-2</v>
      </c>
      <c r="BE23" s="37">
        <f t="shared" si="210"/>
        <v>1.9105748757984386E-2</v>
      </c>
      <c r="BF23" s="37">
        <f t="shared" si="210"/>
        <v>1.3124545157971342E-2</v>
      </c>
      <c r="BG23" s="37">
        <f t="shared" si="210"/>
        <v>1.4737423845678119E-2</v>
      </c>
      <c r="BH23" s="37">
        <f t="shared" si="210"/>
        <v>8.634222919937205E-3</v>
      </c>
      <c r="BI23" s="37">
        <f t="shared" ref="BI23" si="211">BI566</f>
        <v>3.6953437379079065E-2</v>
      </c>
      <c r="BJ23" s="37">
        <f t="shared" ref="BJ23:BK25" si="212">BJ566</f>
        <v>3.2521730541288027E-2</v>
      </c>
      <c r="BK23" s="37">
        <f t="shared" si="212"/>
        <v>3.5120957867738986E-2</v>
      </c>
      <c r="BL23" s="37">
        <f t="shared" ref="BL23:BM23" si="213">BL566</f>
        <v>2.2260731700572418E-2</v>
      </c>
      <c r="BM23" s="37">
        <f t="shared" si="213"/>
        <v>3.2138277683746219E-2</v>
      </c>
      <c r="BN23" s="37">
        <f t="shared" ref="BN23:BO23" si="214">BN566</f>
        <v>3.6284987277353686E-2</v>
      </c>
      <c r="BO23" s="38">
        <f t="shared" si="214"/>
        <v>2.7787071734475376E-2</v>
      </c>
      <c r="BP23" s="37">
        <f t="shared" ref="BP23:BQ23" si="215">BP566</f>
        <v>2.2507528104925057E-2</v>
      </c>
      <c r="BQ23" s="37">
        <f t="shared" si="215"/>
        <v>1.8231097764989299E-2</v>
      </c>
      <c r="BR23" s="37">
        <f t="shared" ref="BR23:BS23" si="216">BR566</f>
        <v>1.768826682903674E-2</v>
      </c>
      <c r="BS23" s="37">
        <f t="shared" si="216"/>
        <v>1.7161598684202171E-2</v>
      </c>
      <c r="BT23" s="37">
        <f>BT566</f>
        <v>1.6650612083380052E-2</v>
      </c>
    </row>
    <row r="24" spans="1:72" ht="12" customHeight="1" outlineLevel="1">
      <c r="A24" s="91" t="s">
        <v>89</v>
      </c>
      <c r="B24" s="1" t="s">
        <v>86</v>
      </c>
      <c r="C24" s="8"/>
      <c r="D24" s="50">
        <f>D567</f>
        <v>0.27479338842975204</v>
      </c>
      <c r="E24" s="50">
        <f t="shared" ref="E24:K24" si="217">E567</f>
        <v>0.28548256285482565</v>
      </c>
      <c r="F24" s="50">
        <f t="shared" si="217"/>
        <v>0.35992402659069328</v>
      </c>
      <c r="G24" s="50">
        <f t="shared" si="217"/>
        <v>0.36743674367436746</v>
      </c>
      <c r="H24" s="50">
        <f t="shared" si="217"/>
        <v>0.39805825242718446</v>
      </c>
      <c r="I24" s="50">
        <f t="shared" si="217"/>
        <v>0.43954802259887005</v>
      </c>
      <c r="J24" s="50">
        <f t="shared" si="217"/>
        <v>0.44867358708189159</v>
      </c>
      <c r="K24" s="50">
        <f t="shared" si="217"/>
        <v>0.45758661887694146</v>
      </c>
      <c r="L24" s="50">
        <f t="shared" ref="L24:M24" si="218">L567</f>
        <v>0.43757292882147025</v>
      </c>
      <c r="M24" s="50">
        <f t="shared" si="218"/>
        <v>0.41988304093567252</v>
      </c>
      <c r="N24" s="69">
        <f t="shared" ref="N24" si="219">N567</f>
        <v>0.40394600207684322</v>
      </c>
      <c r="O24" s="69">
        <f t="shared" ref="O24:P24" si="220">O567</f>
        <v>0.46136701337295694</v>
      </c>
      <c r="P24" s="69">
        <f t="shared" si="220"/>
        <v>0.48862275449101794</v>
      </c>
      <c r="Q24" s="69">
        <f t="shared" ref="Q24:R24" si="221">Q567</f>
        <v>0.39483747609942638</v>
      </c>
      <c r="R24" s="69">
        <f t="shared" si="221"/>
        <v>0.39097744360902253</v>
      </c>
      <c r="S24" s="69">
        <f t="shared" ref="S24" si="222">S567</f>
        <v>0.37232142857142858</v>
      </c>
      <c r="T24" s="69">
        <f t="shared" ref="T24" si="223">T567</f>
        <v>0.4148606811145511</v>
      </c>
      <c r="U24" s="69">
        <f t="shared" ref="U24:V24" si="224">U567</f>
        <v>0.2637853949329359</v>
      </c>
      <c r="V24" s="69">
        <f t="shared" si="224"/>
        <v>0</v>
      </c>
      <c r="W24" s="69">
        <f t="shared" ref="W24:X24" si="225">W567</f>
        <v>0</v>
      </c>
      <c r="X24" s="69">
        <f t="shared" si="225"/>
        <v>0</v>
      </c>
      <c r="Y24" s="69">
        <f t="shared" ref="Y24" si="226">Y567</f>
        <v>0</v>
      </c>
      <c r="Z24" s="69">
        <f t="shared" ref="Z24:AA24" si="227">Z567</f>
        <v>0</v>
      </c>
      <c r="AA24" s="69">
        <f t="shared" si="227"/>
        <v>0</v>
      </c>
      <c r="AB24" s="69">
        <f t="shared" ref="AB24:AC24" si="228">AB567</f>
        <v>0</v>
      </c>
      <c r="AC24" s="69">
        <f t="shared" si="228"/>
        <v>0</v>
      </c>
      <c r="AD24" s="69">
        <f t="shared" ref="AD24:AE24" si="229">AD567</f>
        <v>0</v>
      </c>
      <c r="AE24" s="69">
        <f t="shared" si="229"/>
        <v>0</v>
      </c>
      <c r="AF24" s="69">
        <f t="shared" ref="AF24" si="230">AF567</f>
        <v>0</v>
      </c>
      <c r="AG24" s="69">
        <f t="shared" ref="AG24:AH24" si="231">AG567</f>
        <v>0</v>
      </c>
      <c r="AH24" s="69">
        <f t="shared" si="231"/>
        <v>0</v>
      </c>
      <c r="AI24" s="69">
        <f t="shared" ref="AI24" si="232">AI567</f>
        <v>0</v>
      </c>
      <c r="AJ24" s="89">
        <f t="shared" ref="AJ24" si="233">AI24</f>
        <v>0</v>
      </c>
      <c r="AK24" s="56">
        <f t="shared" ref="AK24" si="234">AJ24</f>
        <v>0</v>
      </c>
      <c r="AL24" s="56">
        <f t="shared" ref="AL24" si="235">AK24</f>
        <v>0</v>
      </c>
      <c r="AM24" s="56">
        <f t="shared" ref="AM24:AM25" si="236">AL24</f>
        <v>0</v>
      </c>
      <c r="AN24" s="56">
        <f t="shared" ref="AN24:AN25" si="237">AM24</f>
        <v>0</v>
      </c>
      <c r="AO24" s="56">
        <f t="shared" ref="AO24:AO25" si="238">AN24</f>
        <v>0</v>
      </c>
      <c r="AP24" s="56">
        <f t="shared" ref="AP24:AP25" si="239">AO24</f>
        <v>0</v>
      </c>
      <c r="AQ24" s="56">
        <f t="shared" ref="AQ24:AQ25" si="240">AP24</f>
        <v>0</v>
      </c>
      <c r="AR24" s="56">
        <f t="shared" ref="AR24:AR25" si="241">AQ24</f>
        <v>0</v>
      </c>
      <c r="AS24" s="56">
        <f t="shared" ref="AS24:AS25" si="242">AR24</f>
        <v>0</v>
      </c>
      <c r="AT24" s="8"/>
      <c r="AU24" s="50">
        <f t="shared" ref="AU24:AV24" si="243">AU567</f>
        <v>1.0714285714285714</v>
      </c>
      <c r="AV24" s="50">
        <f t="shared" si="243"/>
        <v>0.34210526315789475</v>
      </c>
      <c r="AW24" s="50">
        <f t="shared" ref="AW24" si="244">AW567</f>
        <v>0.42771084337349397</v>
      </c>
      <c r="AX24" s="50">
        <f t="shared" ref="AX24" si="245">AX567</f>
        <v>0.20218579234972678</v>
      </c>
      <c r="AY24" s="50">
        <f t="shared" ref="AY24" si="246">AY567</f>
        <v>0.26670792079207922</v>
      </c>
      <c r="AZ24" s="50">
        <f t="shared" ref="AZ24:BH24" si="247">AZ567</f>
        <v>0.28548256285482565</v>
      </c>
      <c r="BA24" s="50">
        <f t="shared" si="247"/>
        <v>0.36743674367436746</v>
      </c>
      <c r="BB24" s="50">
        <f t="shared" si="247"/>
        <v>0.43954802259887005</v>
      </c>
      <c r="BC24" s="50">
        <f t="shared" si="247"/>
        <v>0.45758661887694146</v>
      </c>
      <c r="BD24" s="50">
        <f t="shared" si="247"/>
        <v>0.41988304093567252</v>
      </c>
      <c r="BE24" s="50">
        <f t="shared" si="247"/>
        <v>0.46136701337295694</v>
      </c>
      <c r="BF24" s="50">
        <f t="shared" si="247"/>
        <v>0.39483747609942638</v>
      </c>
      <c r="BG24" s="50">
        <f t="shared" si="247"/>
        <v>0.37232142857142858</v>
      </c>
      <c r="BH24" s="50">
        <f t="shared" si="247"/>
        <v>0.2637853949329359</v>
      </c>
      <c r="BI24" s="50">
        <f t="shared" ref="BI24" si="248">BI567</f>
        <v>0</v>
      </c>
      <c r="BJ24" s="50">
        <f t="shared" si="212"/>
        <v>0</v>
      </c>
      <c r="BK24" s="50">
        <f t="shared" si="212"/>
        <v>0</v>
      </c>
      <c r="BL24" s="50">
        <f t="shared" ref="BL24:BM24" si="249">BL567</f>
        <v>0</v>
      </c>
      <c r="BM24" s="50">
        <f t="shared" si="249"/>
        <v>0</v>
      </c>
      <c r="BN24" s="50">
        <f t="shared" ref="BN24:BO24" si="250">BN567</f>
        <v>0</v>
      </c>
      <c r="BO24" s="51">
        <f t="shared" si="250"/>
        <v>0</v>
      </c>
      <c r="BP24" s="50">
        <f t="shared" ref="BP24:BQ24" si="251">BP567</f>
        <v>0</v>
      </c>
      <c r="BQ24" s="50">
        <f t="shared" si="251"/>
        <v>0</v>
      </c>
      <c r="BR24" s="50">
        <f t="shared" ref="BR24:BS24" si="252">BR567</f>
        <v>0</v>
      </c>
      <c r="BS24" s="50">
        <f t="shared" si="252"/>
        <v>0</v>
      </c>
      <c r="BT24" s="50">
        <f>BT567</f>
        <v>0</v>
      </c>
    </row>
    <row r="25" spans="1:72" ht="12" customHeight="1" outlineLevel="1">
      <c r="A25" s="91" t="s">
        <v>90</v>
      </c>
      <c r="B25" s="1" t="s">
        <v>87</v>
      </c>
      <c r="C25" s="8"/>
      <c r="D25" s="37">
        <f>D568</f>
        <v>6.7403108032203706E-3</v>
      </c>
      <c r="E25" s="37">
        <f t="shared" ref="E25:K25" si="253">E568</f>
        <v>6.5210581769513344E-3</v>
      </c>
      <c r="F25" s="37">
        <f t="shared" si="253"/>
        <v>5.5299539170506912E-3</v>
      </c>
      <c r="G25" s="37">
        <f t="shared" si="253"/>
        <v>5.5388819754532371E-3</v>
      </c>
      <c r="H25" s="37">
        <f t="shared" si="253"/>
        <v>5.6484149855907783E-3</v>
      </c>
      <c r="I25" s="37">
        <f t="shared" si="253"/>
        <v>6.1113393590797038E-3</v>
      </c>
      <c r="J25" s="37">
        <f t="shared" si="253"/>
        <v>5.9249999999999997E-3</v>
      </c>
      <c r="K25" s="37">
        <f t="shared" si="253"/>
        <v>5.4379843204785429E-3</v>
      </c>
      <c r="L25" s="37">
        <f t="shared" ref="L25:M25" si="254">L568</f>
        <v>4.9645390070921988E-3</v>
      </c>
      <c r="M25" s="37">
        <f t="shared" si="254"/>
        <v>6.072196045186602E-3</v>
      </c>
      <c r="N25" s="78">
        <f t="shared" ref="N25" si="255">N568</f>
        <v>6.3951899426072699E-3</v>
      </c>
      <c r="O25" s="78">
        <f t="shared" ref="O25:P25" si="256">O568</f>
        <v>6.0752306600425831E-3</v>
      </c>
      <c r="P25" s="78">
        <f t="shared" si="256"/>
        <v>6.3144741040093589E-3</v>
      </c>
      <c r="Q25" s="78">
        <f t="shared" ref="Q25:R25" si="257">Q568</f>
        <v>6.5246304800622348E-3</v>
      </c>
      <c r="R25" s="78">
        <f t="shared" si="257"/>
        <v>6.1928112835549264E-3</v>
      </c>
      <c r="S25" s="78">
        <f t="shared" ref="S25" si="258">S568</f>
        <v>6.0133952656025898E-3</v>
      </c>
      <c r="T25" s="78">
        <f t="shared" ref="T25" si="259">T568</f>
        <v>5.4400545316309673E-3</v>
      </c>
      <c r="U25" s="78">
        <f t="shared" ref="U25:V25" si="260">U568</f>
        <v>3.7702344493913582E-3</v>
      </c>
      <c r="V25" s="78">
        <f t="shared" si="260"/>
        <v>7.2871307240157928E-3</v>
      </c>
      <c r="W25" s="78">
        <f t="shared" ref="W25:X25" si="261">W568</f>
        <v>9.9638849477621562E-3</v>
      </c>
      <c r="X25" s="78">
        <f t="shared" si="261"/>
        <v>9.2892870884406092E-3</v>
      </c>
      <c r="Y25" s="78">
        <f t="shared" ref="Y25" si="262">Y568</f>
        <v>1.3655669695772423E-2</v>
      </c>
      <c r="Z25" s="78">
        <f t="shared" ref="Z25:AA25" si="263">Z568</f>
        <v>1.7386366709028472E-2</v>
      </c>
      <c r="AA25" s="78">
        <f t="shared" si="263"/>
        <v>1.5221229813504492E-2</v>
      </c>
      <c r="AB25" s="78">
        <f t="shared" ref="AB25:AC25" si="264">AB568</f>
        <v>1.0958364435597579E-2</v>
      </c>
      <c r="AC25" s="78">
        <f t="shared" si="264"/>
        <v>1.004728677168693E-2</v>
      </c>
      <c r="AD25" s="78">
        <f t="shared" ref="AD25:AE25" si="265">AD568</f>
        <v>1.0800144471753129E-2</v>
      </c>
      <c r="AE25" s="78">
        <f t="shared" si="265"/>
        <v>1.4812535261835154E-2</v>
      </c>
      <c r="AF25" s="78">
        <f t="shared" ref="AF25" si="266">AF568</f>
        <v>1.4399230950165161E-2</v>
      </c>
      <c r="AG25" s="78">
        <f t="shared" ref="AG25:AH25" si="267">AG568</f>
        <v>1.3384223918575064E-2</v>
      </c>
      <c r="AH25" s="78">
        <f t="shared" si="267"/>
        <v>1.1260782337767998E-2</v>
      </c>
      <c r="AI25" s="78">
        <f t="shared" ref="AI25" si="268">AI568</f>
        <v>1.1325615631691649E-2</v>
      </c>
      <c r="AJ25" s="88">
        <v>1.1299999999999999E-2</v>
      </c>
      <c r="AK25" s="66">
        <f>AJ25-0.23%</f>
        <v>8.9999999999999993E-3</v>
      </c>
      <c r="AL25" s="66">
        <f>AK25-0.02%</f>
        <v>8.7999999999999988E-3</v>
      </c>
      <c r="AM25" s="66">
        <f t="shared" si="236"/>
        <v>8.7999999999999988E-3</v>
      </c>
      <c r="AN25" s="66">
        <f t="shared" si="237"/>
        <v>8.7999999999999988E-3</v>
      </c>
      <c r="AO25" s="66">
        <f t="shared" si="238"/>
        <v>8.7999999999999988E-3</v>
      </c>
      <c r="AP25" s="66">
        <f t="shared" si="239"/>
        <v>8.7999999999999988E-3</v>
      </c>
      <c r="AQ25" s="66">
        <f t="shared" si="240"/>
        <v>8.7999999999999988E-3</v>
      </c>
      <c r="AR25" s="66">
        <f t="shared" si="241"/>
        <v>8.7999999999999988E-3</v>
      </c>
      <c r="AS25" s="66">
        <f t="shared" si="242"/>
        <v>8.7999999999999988E-3</v>
      </c>
      <c r="AT25" s="8"/>
      <c r="AU25" s="37">
        <f t="shared" ref="AU25:AV25" si="269">AU568</f>
        <v>7.3474890461745872E-3</v>
      </c>
      <c r="AV25" s="37">
        <f t="shared" si="269"/>
        <v>3.5861574323112783E-3</v>
      </c>
      <c r="AW25" s="37">
        <f t="shared" ref="AW25" si="270">AW568</f>
        <v>2.964845404489623E-3</v>
      </c>
      <c r="AX25" s="37">
        <f t="shared" ref="AX25" si="271">AX568</f>
        <v>4.6881295095777022E-3</v>
      </c>
      <c r="AY25" s="37">
        <f t="shared" ref="AY25" si="272">AY568</f>
        <v>8.1477457903313417E-3</v>
      </c>
      <c r="AZ25" s="37">
        <f t="shared" ref="AZ25:BH25" si="273">AZ568</f>
        <v>6.5210581769513344E-3</v>
      </c>
      <c r="BA25" s="37">
        <f t="shared" si="273"/>
        <v>5.5388819754532371E-3</v>
      </c>
      <c r="BB25" s="37">
        <f t="shared" si="273"/>
        <v>6.1113393590797038E-3</v>
      </c>
      <c r="BC25" s="37">
        <f t="shared" si="273"/>
        <v>5.4379843204785429E-3</v>
      </c>
      <c r="BD25" s="37">
        <f t="shared" si="273"/>
        <v>6.072196045186602E-3</v>
      </c>
      <c r="BE25" s="37">
        <f t="shared" si="273"/>
        <v>6.0752306600425831E-3</v>
      </c>
      <c r="BF25" s="37">
        <f t="shared" si="273"/>
        <v>6.5246304800622348E-3</v>
      </c>
      <c r="BG25" s="37">
        <f t="shared" si="273"/>
        <v>6.0133952656025898E-3</v>
      </c>
      <c r="BH25" s="37">
        <f t="shared" si="273"/>
        <v>3.7702344493913582E-3</v>
      </c>
      <c r="BI25" s="37">
        <f t="shared" ref="BI25" si="274">BI568</f>
        <v>9.9638849477621562E-3</v>
      </c>
      <c r="BJ25" s="37">
        <f t="shared" si="212"/>
        <v>1.3655669695772423E-2</v>
      </c>
      <c r="BK25" s="37">
        <f t="shared" si="212"/>
        <v>1.5221229813504492E-2</v>
      </c>
      <c r="BL25" s="37">
        <f t="shared" ref="BL25:BM25" si="275">BL568</f>
        <v>1.004728677168693E-2</v>
      </c>
      <c r="BM25" s="37">
        <f t="shared" si="275"/>
        <v>1.4812535261835154E-2</v>
      </c>
      <c r="BN25" s="37">
        <f t="shared" ref="BN25:BO25" si="276">BN568</f>
        <v>1.3384223918575064E-2</v>
      </c>
      <c r="BO25" s="38">
        <f t="shared" si="276"/>
        <v>1.1325615631691649E-2</v>
      </c>
      <c r="BP25" s="37">
        <f t="shared" ref="BP25:BQ25" si="277">BP568</f>
        <v>8.9999999999999993E-3</v>
      </c>
      <c r="BQ25" s="37">
        <f t="shared" si="277"/>
        <v>8.7999999999999988E-3</v>
      </c>
      <c r="BR25" s="37">
        <f t="shared" ref="BR25:BS25" si="278">BR568</f>
        <v>8.7999999999999988E-3</v>
      </c>
      <c r="BS25" s="37">
        <f t="shared" si="278"/>
        <v>8.7999999999999988E-3</v>
      </c>
      <c r="BT25" s="37">
        <f>BT568</f>
        <v>8.7999999999999988E-3</v>
      </c>
    </row>
    <row r="26" spans="1:72" ht="12" customHeight="1" outlineLevel="1">
      <c r="A26" s="91" t="s">
        <v>91</v>
      </c>
      <c r="B26" s="1" t="s">
        <v>88</v>
      </c>
      <c r="C26" s="8"/>
      <c r="D26" s="37">
        <f>D564</f>
        <v>6.1472838557656805E-3</v>
      </c>
      <c r="E26" s="37">
        <f t="shared" ref="E26:K26" si="279">E564</f>
        <v>3.9291245454594961E-3</v>
      </c>
      <c r="F26" s="37">
        <f t="shared" si="279"/>
        <v>3.4358923671415731E-3</v>
      </c>
      <c r="G26" s="37">
        <f t="shared" si="279"/>
        <v>2.2443161472850102E-3</v>
      </c>
      <c r="H26" s="37">
        <f t="shared" si="279"/>
        <v>2.8739698886336667E-3</v>
      </c>
      <c r="I26" s="37">
        <f t="shared" si="279"/>
        <v>4.9637056478624222E-3</v>
      </c>
      <c r="J26" s="37">
        <f t="shared" si="279"/>
        <v>3.7836775425603352E-3</v>
      </c>
      <c r="K26" s="37">
        <f t="shared" si="279"/>
        <v>4.1918616141003919E-3</v>
      </c>
      <c r="L26" s="37">
        <f t="shared" ref="L26:M26" si="280">L564</f>
        <v>3.7943224461720513E-3</v>
      </c>
      <c r="M26" s="37">
        <f t="shared" si="280"/>
        <v>5.1645993383813574E-3</v>
      </c>
      <c r="N26" s="78">
        <f t="shared" ref="N26:P26" si="281">N564</f>
        <v>3.3688468901243401E-3</v>
      </c>
      <c r="O26" s="78">
        <f t="shared" si="281"/>
        <v>1.0612396852620764E-2</v>
      </c>
      <c r="P26" s="78">
        <f t="shared" si="281"/>
        <v>8.9928538928886869E-3</v>
      </c>
      <c r="Q26" s="78">
        <f t="shared" ref="Q26:R26" si="282">Q564</f>
        <v>6.0615321923390385E-3</v>
      </c>
      <c r="R26" s="78">
        <f t="shared" si="282"/>
        <v>7.1043566001874761E-3</v>
      </c>
      <c r="S26" s="78">
        <f t="shared" ref="S26" si="283">S564</f>
        <v>4.2019168500845184E-3</v>
      </c>
      <c r="T26" s="78">
        <f t="shared" ref="T26" si="284">T564</f>
        <v>3.8520781192226726E-3</v>
      </c>
      <c r="U26" s="78">
        <f t="shared" ref="U26" si="285">U564</f>
        <v>6.2438256689660481E-3</v>
      </c>
      <c r="V26" s="78">
        <f t="shared" ref="V26:W26" si="286">V564</f>
        <v>2.014923362092115E-3</v>
      </c>
      <c r="W26" s="78">
        <f t="shared" si="286"/>
        <v>1.2336401031446391E-2</v>
      </c>
      <c r="X26" s="78">
        <f t="shared" ref="X26:Y26" si="287">X564</f>
        <v>3.4136188657698753E-3</v>
      </c>
      <c r="Y26" s="78">
        <f t="shared" si="287"/>
        <v>2.011351523302992E-2</v>
      </c>
      <c r="Z26" s="78">
        <f t="shared" ref="Z26:AA26" si="288">Z564</f>
        <v>9.5083733041383053E-3</v>
      </c>
      <c r="AA26" s="78">
        <f t="shared" si="288"/>
        <v>1.5563704588094833E-3</v>
      </c>
      <c r="AB26" s="78">
        <f t="shared" ref="AB26:AD26" si="289">AB564</f>
        <v>4.1071976130797241E-3</v>
      </c>
      <c r="AC26" s="78">
        <f t="shared" si="289"/>
        <v>4.4213854994446296E-3</v>
      </c>
      <c r="AD26" s="78">
        <f t="shared" si="289"/>
        <v>4.0225737327669276E-3</v>
      </c>
      <c r="AE26" s="78">
        <f t="shared" ref="AE26:AG26" si="290">AE564</f>
        <v>2.1917544994768312E-3</v>
      </c>
      <c r="AF26" s="78">
        <f t="shared" si="290"/>
        <v>-1.4352878396157844E-3</v>
      </c>
      <c r="AG26" s="78">
        <f t="shared" si="290"/>
        <v>-2.9313744307375546E-3</v>
      </c>
      <c r="AH26" s="78">
        <f t="shared" ref="AH26:AI26" si="291">AH564</f>
        <v>8.2320174960818972E-4</v>
      </c>
      <c r="AI26" s="78">
        <f t="shared" si="291"/>
        <v>2.9210792059902856E-3</v>
      </c>
      <c r="AJ26" s="88">
        <f t="shared" ref="AJ26:AK26" si="292">AJ564</f>
        <v>2.6922446440291747E-4</v>
      </c>
      <c r="AK26" s="37">
        <f t="shared" si="292"/>
        <v>1.4161459514638892E-3</v>
      </c>
      <c r="AL26" s="37">
        <f t="shared" ref="AL26:AM26" si="293">AL564</f>
        <v>9.8332678563840012E-4</v>
      </c>
      <c r="AM26" s="37">
        <f t="shared" si="293"/>
        <v>1.1925138558806705E-3</v>
      </c>
      <c r="AN26" s="37">
        <f t="shared" ref="AN26:AO26" si="294">AN564</f>
        <v>1.3021708488277961E-3</v>
      </c>
      <c r="AO26" s="37">
        <f t="shared" si="294"/>
        <v>1.2057281907946408E-3</v>
      </c>
      <c r="AP26" s="37">
        <f t="shared" ref="AP26:AQ26" si="295">AP564</f>
        <v>1.3704745287024321E-3</v>
      </c>
      <c r="AQ26" s="37">
        <f t="shared" si="295"/>
        <v>1.3206389538716133E-3</v>
      </c>
      <c r="AR26" s="37">
        <f t="shared" ref="AR26:AS26" si="296">AR564</f>
        <v>1.2658185093570205E-3</v>
      </c>
      <c r="AS26" s="37">
        <f t="shared" si="296"/>
        <v>1.2243677500531015E-3</v>
      </c>
      <c r="AT26" s="8"/>
      <c r="AU26" s="37">
        <f t="shared" ref="AU26:AV26" si="297">AU564</f>
        <v>1.0905892700087952E-3</v>
      </c>
      <c r="AV26" s="37">
        <f t="shared" si="297"/>
        <v>1.1352169525731585E-3</v>
      </c>
      <c r="AW26" s="37">
        <f t="shared" ref="AW26" si="298">AW564</f>
        <v>9.9016028219568036E-4</v>
      </c>
      <c r="AX26" s="37">
        <f t="shared" ref="AX26" si="299">AX564</f>
        <v>2.1995254727452318E-3</v>
      </c>
      <c r="AY26" s="37">
        <f t="shared" ref="AY26" si="300">AY564</f>
        <v>1.0313098252331255E-2</v>
      </c>
      <c r="AZ26" s="37">
        <f t="shared" ref="AZ26:BI26" si="301">AZ564</f>
        <v>4.8529510885438904E-3</v>
      </c>
      <c r="BA26" s="37">
        <f t="shared" si="301"/>
        <v>2.8355282832869975E-3</v>
      </c>
      <c r="BB26" s="37">
        <f t="shared" si="301"/>
        <v>3.9239757108095663E-3</v>
      </c>
      <c r="BC26" s="37">
        <f t="shared" si="301"/>
        <v>4.0084410557682318E-3</v>
      </c>
      <c r="BD26" s="37">
        <f t="shared" si="301"/>
        <v>4.3786817570388237E-3</v>
      </c>
      <c r="BE26" s="37">
        <f t="shared" si="301"/>
        <v>7.1040662032036753E-3</v>
      </c>
      <c r="BF26" s="37">
        <f t="shared" si="301"/>
        <v>7.496995977221671E-3</v>
      </c>
      <c r="BG26" s="37">
        <f t="shared" si="301"/>
        <v>5.6550064000917026E-3</v>
      </c>
      <c r="BH26" s="37">
        <f t="shared" si="301"/>
        <v>4.874410675758464E-3</v>
      </c>
      <c r="BI26" s="37">
        <f t="shared" si="301"/>
        <v>7.2957969865186361E-3</v>
      </c>
      <c r="BJ26" s="37">
        <f t="shared" ref="BJ26" si="302">BJ564</f>
        <v>1.2098087571541575E-2</v>
      </c>
      <c r="BK26" s="37">
        <f t="shared" ref="BK26:BP26" si="303">BK564</f>
        <v>5.2625500268651173E-3</v>
      </c>
      <c r="BL26" s="37">
        <f t="shared" si="303"/>
        <v>4.245735496517496E-3</v>
      </c>
      <c r="BM26" s="37">
        <f t="shared" si="303"/>
        <v>3.0956374694868331E-3</v>
      </c>
      <c r="BN26" s="37">
        <f t="shared" si="303"/>
        <v>-2.0921806873012002E-3</v>
      </c>
      <c r="BO26" s="38">
        <f t="shared" si="303"/>
        <v>1.7554267486189995E-3</v>
      </c>
      <c r="BP26" s="37">
        <f t="shared" si="303"/>
        <v>7.9806292861635188E-4</v>
      </c>
      <c r="BQ26" s="37">
        <f t="shared" ref="BQ26:BR26" si="304">BQ564</f>
        <v>1.0203900471711779E-3</v>
      </c>
      <c r="BR26" s="37">
        <f t="shared" si="304"/>
        <v>1.191097737189906E-3</v>
      </c>
      <c r="BS26" s="37">
        <f t="shared" ref="BS26" si="305">BS564</f>
        <v>1.2870385901684667E-3</v>
      </c>
      <c r="BT26" s="37">
        <f t="shared" ref="BT26" si="306">BT564</f>
        <v>1.1920329617951869E-3</v>
      </c>
    </row>
    <row r="27" spans="1:72" ht="12" customHeight="1" outlineLevel="1">
      <c r="C27" s="8"/>
      <c r="D27" s="41"/>
      <c r="E27" s="41"/>
      <c r="F27" s="41"/>
      <c r="G27" s="41"/>
      <c r="H27" s="41"/>
      <c r="I27" s="41"/>
      <c r="J27" s="59"/>
      <c r="K27" s="59"/>
      <c r="L27" s="59"/>
      <c r="M27" s="59"/>
      <c r="N27" s="59"/>
      <c r="O27" s="59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8"/>
      <c r="AV27" s="8"/>
      <c r="AW27" s="8"/>
      <c r="AX27" s="8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</row>
    <row r="28" spans="1:72" ht="12" customHeight="1" outlineLevel="1">
      <c r="B28" s="9" t="s">
        <v>92</v>
      </c>
      <c r="C28" s="8"/>
      <c r="D28" s="41"/>
      <c r="E28" s="41"/>
      <c r="F28" s="41"/>
      <c r="G28" s="41"/>
      <c r="H28" s="41"/>
      <c r="I28" s="41"/>
      <c r="J28" s="59"/>
      <c r="K28" s="59"/>
      <c r="L28" s="59"/>
      <c r="M28" s="59"/>
      <c r="N28" s="59"/>
      <c r="O28" s="59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1"/>
      <c r="AL28" s="41"/>
      <c r="AM28" s="41"/>
      <c r="AN28" s="41"/>
      <c r="AO28" s="41"/>
      <c r="AP28" s="41"/>
      <c r="AQ28" s="41"/>
      <c r="AR28" s="41"/>
      <c r="AS28" s="41"/>
      <c r="AT28" s="8"/>
      <c r="AU28" s="8"/>
      <c r="AV28" s="8"/>
      <c r="AW28" s="8"/>
      <c r="AX28" s="8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</row>
    <row r="29" spans="1:72" ht="12" customHeight="1" outlineLevel="1">
      <c r="A29" s="91" t="s">
        <v>96</v>
      </c>
      <c r="B29" s="1" t="s">
        <v>93</v>
      </c>
      <c r="C29" s="8"/>
      <c r="D29" s="159">
        <v>0.3</v>
      </c>
      <c r="E29" s="159">
        <v>0.3</v>
      </c>
      <c r="F29" s="159">
        <v>0.3</v>
      </c>
      <c r="G29" s="159">
        <v>0.3</v>
      </c>
      <c r="H29" s="159">
        <v>0.3</v>
      </c>
      <c r="I29" s="159">
        <v>0.3</v>
      </c>
      <c r="J29" s="160">
        <v>0.3</v>
      </c>
      <c r="K29" s="319">
        <v>0.3</v>
      </c>
      <c r="L29" s="319">
        <v>0.3</v>
      </c>
      <c r="M29" s="319">
        <v>0.3</v>
      </c>
      <c r="N29" s="319">
        <v>0.3</v>
      </c>
      <c r="O29" s="319">
        <v>0.3</v>
      </c>
      <c r="P29" s="319">
        <v>0.3</v>
      </c>
      <c r="Q29" s="319">
        <v>0.3</v>
      </c>
      <c r="R29" s="319">
        <v>0.3</v>
      </c>
      <c r="S29" s="319">
        <v>0.3</v>
      </c>
      <c r="T29" s="319">
        <v>0.3</v>
      </c>
      <c r="U29" s="319">
        <v>0.3</v>
      </c>
      <c r="V29" s="319">
        <v>0.3</v>
      </c>
      <c r="W29" s="319">
        <v>0.3</v>
      </c>
      <c r="X29" s="319">
        <v>0.3</v>
      </c>
      <c r="Y29" s="319">
        <v>0.3</v>
      </c>
      <c r="Z29" s="319">
        <v>0.3</v>
      </c>
      <c r="AA29" s="319">
        <v>0.3</v>
      </c>
      <c r="AB29" s="319">
        <v>0.3</v>
      </c>
      <c r="AC29" s="319">
        <v>0.3</v>
      </c>
      <c r="AD29" s="319">
        <v>0.3</v>
      </c>
      <c r="AE29" s="319">
        <v>0.3</v>
      </c>
      <c r="AF29" s="319">
        <v>0.3</v>
      </c>
      <c r="AG29" s="319">
        <v>0.3</v>
      </c>
      <c r="AH29" s="319">
        <v>0.3</v>
      </c>
      <c r="AI29" s="319">
        <v>0.3</v>
      </c>
      <c r="AJ29" s="352">
        <f>VLOOKUP($A29,[1]Sheet1!$2:$65536,MATCH(AJ$3,[1]Sheet1!$2:$2,0),FALSE)</f>
        <v>0.3</v>
      </c>
      <c r="AK29" s="104">
        <f>VLOOKUP($A29,[1]Sheet1!$2:$65536,MATCH(AK$3,[1]Sheet1!$2:$2,0),FALSE)</f>
        <v>0.3</v>
      </c>
      <c r="AL29" s="104">
        <f>VLOOKUP($A29,[1]Sheet1!$2:$65536,MATCH(AL$3,[1]Sheet1!$2:$2,0),FALSE)</f>
        <v>0.3</v>
      </c>
      <c r="AM29" s="104">
        <f>VLOOKUP($A29,[1]Sheet1!$2:$65536,MATCH(AM$3,[1]Sheet1!$2:$2,0),FALSE)</f>
        <v>0.3</v>
      </c>
      <c r="AN29" s="104">
        <f>VLOOKUP($A29,[1]Sheet1!$2:$65536,MATCH(AN$3,[1]Sheet1!$2:$2,0),FALSE)</f>
        <v>0.3</v>
      </c>
      <c r="AO29" s="104">
        <f>VLOOKUP($A29,[1]Sheet1!$2:$65536,MATCH(AO$3,[1]Sheet1!$2:$2,0),FALSE)</f>
        <v>0.3</v>
      </c>
      <c r="AP29" s="104">
        <f>VLOOKUP($A29,[1]Sheet1!$2:$65536,MATCH(AP$3,[1]Sheet1!$2:$2,0),FALSE)</f>
        <v>0.3</v>
      </c>
      <c r="AQ29" s="104">
        <f>VLOOKUP($A29,[1]Sheet1!$2:$65536,MATCH(AQ$3,[1]Sheet1!$2:$2,0),FALSE)</f>
        <v>0.3</v>
      </c>
      <c r="AR29" s="104">
        <f>VLOOKUP($A29,[1]Sheet1!$2:$65536,MATCH(AR$3,[1]Sheet1!$2:$2,0),FALSE)</f>
        <v>0.3</v>
      </c>
      <c r="AS29" s="104">
        <f>VLOOKUP($A29,[1]Sheet1!$2:$65536,MATCH(AS$3,[1]Sheet1!$2:$2,0),FALSE)</f>
        <v>0.3</v>
      </c>
      <c r="AT29" s="8"/>
      <c r="AU29" s="159">
        <v>0.3</v>
      </c>
      <c r="AV29" s="159">
        <v>0.3</v>
      </c>
      <c r="AW29" s="159">
        <v>0.3</v>
      </c>
      <c r="AX29" s="159">
        <v>0.3</v>
      </c>
      <c r="AY29" s="159">
        <v>0.3</v>
      </c>
      <c r="AZ29" s="69">
        <f>SUMPRODUCT(D29:E29,D$5:E$5)/SUM(D$5:E$5)</f>
        <v>0.3</v>
      </c>
      <c r="BA29" s="69">
        <f>SUMPRODUCT(F29:G29,F$5:G$5)/SUM(F$5:G$5)</f>
        <v>0.3</v>
      </c>
      <c r="BB29" s="69">
        <f>SUMPRODUCT(H29:I29,H$5:I$5)/SUM(H$5:I$5)</f>
        <v>0.3</v>
      </c>
      <c r="BC29" s="69">
        <f>SUMPRODUCT(J29:K29,J$5:K$5)/SUM(J$5:K$5)</f>
        <v>0.3</v>
      </c>
      <c r="BD29" s="69">
        <f>SUMPRODUCT(L29:M29,L$5:M$5)/SUM(L$5:M$5)</f>
        <v>0.3</v>
      </c>
      <c r="BE29" s="69">
        <f>SUMPRODUCT(N29:O29,N$5:O$5)/SUM(N$5:O$5)</f>
        <v>0.3</v>
      </c>
      <c r="BF29" s="69">
        <f>SUMPRODUCT(P29:Q29,P$5:Q$5)/SUM(P$5:Q$5)</f>
        <v>0.3</v>
      </c>
      <c r="BG29" s="69">
        <f>SUMPRODUCT(R29:S29,R$5:S$5)/SUM(R$5:S$5)</f>
        <v>0.3</v>
      </c>
      <c r="BH29" s="69">
        <f>SUMPRODUCT(T29:U29,T$5:U$5)/SUM(T$5:U$5)</f>
        <v>0.3</v>
      </c>
      <c r="BI29" s="69">
        <f>SUMPRODUCT(V29:W29,V$5:W$5)/SUM(V$5:W$5)</f>
        <v>0.3</v>
      </c>
      <c r="BJ29" s="69">
        <f>SUMPRODUCT(X29:Y29,X$5:Y$5)/SUM(X$5:Y$5)</f>
        <v>0.3</v>
      </c>
      <c r="BK29" s="69">
        <f>SUMPRODUCT(Z29:AA29,Z$5:AA$5)/SUM(Z$5:AA$5)</f>
        <v>0.3</v>
      </c>
      <c r="BL29" s="69">
        <f>SUMPRODUCT(AB29:AC29,AB$5:AC$5)/SUM(AB$5:AC$5)</f>
        <v>0.3</v>
      </c>
      <c r="BM29" s="69">
        <f>SUMPRODUCT(AD29:AE29,AD$5:AE$5)/SUM(AD$5:AE$5)</f>
        <v>0.3</v>
      </c>
      <c r="BN29" s="69">
        <f>SUMPRODUCT(AF29:AG29,AF$5:AG$5)/SUM(AF$5:AG$5)</f>
        <v>0.3</v>
      </c>
      <c r="BO29" s="89">
        <f>SUMPRODUCT(AH29:AI29,AH$5:AI$5)/SUM(AH$5:AI$5)</f>
        <v>0.3</v>
      </c>
      <c r="BP29" s="69">
        <f>SUMPRODUCT(AJ29:AK29,AJ$5:AK$5)/SUM(AJ$5:AK$5)</f>
        <v>0.3</v>
      </c>
      <c r="BQ29" s="69">
        <f>SUMPRODUCT(AL29:AM29,AL$5:AM$5)/SUM(AL$5:AM$5)</f>
        <v>0.3</v>
      </c>
      <c r="BR29" s="69">
        <f>SUMPRODUCT(AN29:AO29,AN$5:AO$5)/SUM(AN$5:AO$5)</f>
        <v>0.3</v>
      </c>
      <c r="BS29" s="69">
        <f>SUMPRODUCT(AP29:AQ29,AP$5:AQ$5)/SUM(AP$5:AQ$5)</f>
        <v>0.3</v>
      </c>
      <c r="BT29" s="69">
        <f>SUMPRODUCT(AR29:AS29,AR$5:AS$5)/SUM(AR$5:AS$5)</f>
        <v>0.3</v>
      </c>
    </row>
    <row r="30" spans="1:72" ht="12" customHeight="1" outlineLevel="1">
      <c r="A30" s="91" t="s">
        <v>97</v>
      </c>
      <c r="B30" s="1" t="s">
        <v>94</v>
      </c>
      <c r="C30" s="8"/>
      <c r="D30" s="69">
        <f>IF(ISERROR(-D78/D77),"n.a.",-D78/D77)</f>
        <v>6.7669172932330823E-2</v>
      </c>
      <c r="E30" s="69">
        <f t="shared" ref="E30:S30" si="307">IF(ISERROR(-E78/E77),"n.a.",-E78/E77)</f>
        <v>0.21653543307086615</v>
      </c>
      <c r="F30" s="69">
        <f t="shared" si="307"/>
        <v>0.17137096774193547</v>
      </c>
      <c r="G30" s="69">
        <f t="shared" si="307"/>
        <v>0.25419354838709679</v>
      </c>
      <c r="H30" s="69">
        <f t="shared" si="307"/>
        <v>0.25783132530120484</v>
      </c>
      <c r="I30" s="69">
        <f t="shared" si="307"/>
        <v>0.28391167192429023</v>
      </c>
      <c r="J30" s="69">
        <f t="shared" si="307"/>
        <v>0.30174081237911027</v>
      </c>
      <c r="K30" s="69">
        <f t="shared" si="307"/>
        <v>0.42454954954954954</v>
      </c>
      <c r="L30" s="69">
        <f t="shared" ref="L30" si="308">IF(ISERROR(-L78/L77),"n.a.",-L78/L77)</f>
        <v>0.37901234567901232</v>
      </c>
      <c r="M30" s="69">
        <f t="shared" si="307"/>
        <v>0.40123456790123457</v>
      </c>
      <c r="N30" s="69">
        <f t="shared" si="307"/>
        <v>0.38537020517395182</v>
      </c>
      <c r="O30" s="69">
        <f t="shared" ref="O30:P30" si="309">IF(ISERROR(-O78/O77),"n.a.",-O78/O77)</f>
        <v>0.33333333333333331</v>
      </c>
      <c r="P30" s="69">
        <f t="shared" si="309"/>
        <v>0.32736256948733788</v>
      </c>
      <c r="Q30" s="69">
        <f t="shared" ref="Q30:R30" si="310">IF(ISERROR(-Q78/Q77),"n.a.",-Q78/Q77)</f>
        <v>0.28438395415472778</v>
      </c>
      <c r="R30" s="69">
        <f t="shared" si="310"/>
        <v>0.29494949494949496</v>
      </c>
      <c r="S30" s="69">
        <f t="shared" si="307"/>
        <v>0.26559604694255712</v>
      </c>
      <c r="T30" s="69">
        <f t="shared" ref="T30" si="311">IF(ISERROR(-T78/T77),"n.a.",-T78/T77)</f>
        <v>0.26291079812206575</v>
      </c>
      <c r="U30" s="69">
        <f t="shared" ref="U30:V30" si="312">IF(ISERROR(-U78/U77),"n.a.",-U78/U77)</f>
        <v>0.24715909090909091</v>
      </c>
      <c r="V30" s="69">
        <f t="shared" si="312"/>
        <v>0.21935483870967742</v>
      </c>
      <c r="W30" s="69">
        <f t="shared" ref="W30:X30" si="313">IF(ISERROR(-W78/W77),"n.a.",-W78/W77)</f>
        <v>0.2335800185013876</v>
      </c>
      <c r="X30" s="69">
        <f t="shared" si="313"/>
        <v>0.20434782608695654</v>
      </c>
      <c r="Y30" s="69">
        <f t="shared" ref="Y30" si="314">IF(ISERROR(-Y78/Y77),"n.a.",-Y78/Y77)</f>
        <v>0.21809169764560099</v>
      </c>
      <c r="Z30" s="69">
        <f t="shared" ref="Z30:AA30" si="315">IF(ISERROR(-Z78/Z77),"n.a.",-Z78/Z77)</f>
        <v>0.2194732641660016</v>
      </c>
      <c r="AA30" s="69">
        <f t="shared" si="315"/>
        <v>0.23511680482290881</v>
      </c>
      <c r="AB30" s="69">
        <f t="shared" ref="AB30:AC30" si="316">IF(ISERROR(-AB78/AB77),"n.a.",-AB78/AB77)</f>
        <v>0.22047531992687386</v>
      </c>
      <c r="AC30" s="69">
        <f t="shared" si="316"/>
        <v>0.25841219768664564</v>
      </c>
      <c r="AD30" s="69">
        <f t="shared" ref="AD30:AE30" si="317">IF(ISERROR(-AD78/AD77),"n.a.",-AD78/AD77)</f>
        <v>0.24273447820343461</v>
      </c>
      <c r="AE30" s="69">
        <f t="shared" si="317"/>
        <v>0.27472250252270436</v>
      </c>
      <c r="AF30" s="69">
        <f t="shared" ref="AF30:AG30" si="318">IF(ISERROR(-AF78/AF77),"n.a.",-AF78/AF77)</f>
        <v>0.29482672024108486</v>
      </c>
      <c r="AG30" s="69">
        <f t="shared" si="318"/>
        <v>0.24832451499118166</v>
      </c>
      <c r="AH30" s="69">
        <f t="shared" ref="AH30:AI30" si="319">IF(ISERROR(-AH78/AH77),"n.a.",-AH78/AH77)</f>
        <v>0.29865041358293426</v>
      </c>
      <c r="AI30" s="69">
        <f t="shared" si="319"/>
        <v>0.23096355106459762</v>
      </c>
      <c r="AJ30" s="89">
        <f t="shared" ref="AJ30:AK30" si="320">IF(ISERROR(-AJ78/AJ77),"n.a.",-AJ78/AJ77)</f>
        <v>0.31443719412724308</v>
      </c>
      <c r="AK30" s="69">
        <f t="shared" si="320"/>
        <v>0.3</v>
      </c>
      <c r="AL30" s="69">
        <f t="shared" ref="AL30:AM30" si="321">IF(ISERROR(-AL78/AL77),"n.a.",-AL78/AL77)</f>
        <v>0.3</v>
      </c>
      <c r="AM30" s="69">
        <f t="shared" si="321"/>
        <v>0.23000000000000012</v>
      </c>
      <c r="AN30" s="69">
        <f t="shared" ref="AN30:AO30" si="322">IF(ISERROR(-AN78/AN77),"n.a.",-AN78/AN77)</f>
        <v>0.3</v>
      </c>
      <c r="AO30" s="69">
        <f t="shared" si="322"/>
        <v>0.23</v>
      </c>
      <c r="AP30" s="69">
        <f t="shared" ref="AP30:AQ30" si="323">IF(ISERROR(-AP78/AP77),"n.a.",-AP78/AP77)</f>
        <v>0.3</v>
      </c>
      <c r="AQ30" s="69">
        <f t="shared" si="323"/>
        <v>0.23</v>
      </c>
      <c r="AR30" s="69">
        <f t="shared" ref="AR30:AS30" si="324">IF(ISERROR(-AR78/AR77),"n.a.",-AR78/AR77)</f>
        <v>0.3</v>
      </c>
      <c r="AS30" s="69">
        <f t="shared" si="324"/>
        <v>0.23</v>
      </c>
      <c r="AT30" s="8"/>
      <c r="AU30" s="69">
        <f t="shared" ref="AU30" si="325">IF(ISERROR(-AU78/AU77),"n.a.",-AU78/AU77)</f>
        <v>0.24870466321243523</v>
      </c>
      <c r="AV30" s="69">
        <f t="shared" ref="AV30:AX30" si="326">IF(ISERROR(-AV78/AV77),"n.a.",-AV78/AV77)</f>
        <v>0.22533022533022534</v>
      </c>
      <c r="AW30" s="69">
        <f t="shared" si="326"/>
        <v>0.19553941908713693</v>
      </c>
      <c r="AX30" s="69">
        <f t="shared" si="326"/>
        <v>0.1437641723356009</v>
      </c>
      <c r="AY30" s="69">
        <f t="shared" ref="AY30" si="327">IF(ISERROR(-AY78/AY77),"n.a.",-AY78/AY77)</f>
        <v>1.5166835187057633E-2</v>
      </c>
      <c r="AZ30" s="69">
        <f t="shared" ref="AZ30:BI30" si="328">IF(ISERROR(-AZ78/AZ77),"n.a.",-AZ78/AZ77)</f>
        <v>0.15533230293663061</v>
      </c>
      <c r="BA30" s="69">
        <f t="shared" si="328"/>
        <v>0.22187254130605821</v>
      </c>
      <c r="BB30" s="69">
        <f t="shared" si="328"/>
        <v>0.27359389895138225</v>
      </c>
      <c r="BC30" s="69">
        <f t="shared" si="328"/>
        <v>0.37935943060498223</v>
      </c>
      <c r="BD30" s="69">
        <f t="shared" si="328"/>
        <v>0.392687559354226</v>
      </c>
      <c r="BE30" s="69">
        <f t="shared" si="328"/>
        <v>0.35646312450436163</v>
      </c>
      <c r="BF30" s="69">
        <f t="shared" si="328"/>
        <v>0.30746268656716419</v>
      </c>
      <c r="BG30" s="69">
        <f t="shared" si="328"/>
        <v>0.27963917525773196</v>
      </c>
      <c r="BH30" s="69">
        <f t="shared" si="328"/>
        <v>0.25490762124711314</v>
      </c>
      <c r="BI30" s="69">
        <f t="shared" si="328"/>
        <v>0.22730799069045771</v>
      </c>
      <c r="BJ30" s="69">
        <f t="shared" ref="BJ30" si="329">IF(ISERROR(-BJ78/BJ77),"n.a.",-BJ78/BJ77)</f>
        <v>0.21077012159814706</v>
      </c>
      <c r="BK30" s="69">
        <f t="shared" ref="BK30:BP30" si="330">IF(ISERROR(-BK78/BK77),"n.a.",-BK78/BK77)</f>
        <v>0.23009982083439978</v>
      </c>
      <c r="BL30" s="69">
        <f t="shared" si="330"/>
        <v>0.24254473161033796</v>
      </c>
      <c r="BM30" s="69">
        <f t="shared" si="330"/>
        <v>0.2608695652173913</v>
      </c>
      <c r="BN30" s="69">
        <f t="shared" si="330"/>
        <v>0.26750932449233322</v>
      </c>
      <c r="BO30" s="89">
        <f t="shared" si="330"/>
        <v>0.26164167324388321</v>
      </c>
      <c r="BP30" s="69">
        <f t="shared" si="330"/>
        <v>0.30584118750823847</v>
      </c>
      <c r="BQ30" s="69">
        <f t="shared" ref="BQ30:BR30" si="331">IF(ISERROR(-BQ78/BQ77),"n.a.",-BQ78/BQ77)</f>
        <v>0.26415959258560151</v>
      </c>
      <c r="BR30" s="69">
        <f t="shared" si="331"/>
        <v>0.26371211109782783</v>
      </c>
      <c r="BS30" s="69">
        <f t="shared" ref="BS30" si="332">IF(ISERROR(-BS78/BS77),"n.a.",-BS78/BS77)</f>
        <v>0.26397293549891382</v>
      </c>
      <c r="BT30" s="69">
        <f t="shared" ref="BT30" si="333">IF(ISERROR(-BT78/BT77),"n.a.",-BT78/BT77)</f>
        <v>0.26445967146778127</v>
      </c>
    </row>
    <row r="31" spans="1:72" ht="12" customHeight="1" outlineLevel="1">
      <c r="A31" s="91" t="s">
        <v>1112</v>
      </c>
      <c r="B31" s="87" t="s">
        <v>1113</v>
      </c>
      <c r="C31" s="8"/>
      <c r="D31" s="69">
        <f>IF(ISERROR(-D78/(D77+D79)),"n.a.",-D78/(D77+D79))</f>
        <v>6.9902912621359226E-2</v>
      </c>
      <c r="E31" s="69">
        <f t="shared" ref="E31:BH31" si="334">IF(ISERROR(-E78/(E77+E79)),"n.a.",-E78/(E77+E79))</f>
        <v>0.22418478260869565</v>
      </c>
      <c r="F31" s="69">
        <f t="shared" si="334"/>
        <v>0.17418032786885246</v>
      </c>
      <c r="G31" s="69">
        <f t="shared" si="334"/>
        <v>0.26266666666666666</v>
      </c>
      <c r="H31" s="69">
        <f t="shared" si="334"/>
        <v>0.25970873786407767</v>
      </c>
      <c r="I31" s="69">
        <f t="shared" si="334"/>
        <v>0.2975206611570248</v>
      </c>
      <c r="J31" s="69">
        <f t="shared" si="334"/>
        <v>0.30174081237911027</v>
      </c>
      <c r="K31" s="69">
        <f t="shared" si="334"/>
        <v>0.43483275663206461</v>
      </c>
      <c r="L31" s="69">
        <f t="shared" si="334"/>
        <v>0.37995049504950495</v>
      </c>
      <c r="M31" s="69">
        <f t="shared" ref="M31:N31" si="335">IF(ISERROR(-M78/(M77+M79)),"n.a.",-M78/(M77+M79))</f>
        <v>0.40498442367601245</v>
      </c>
      <c r="N31" s="69">
        <f t="shared" si="335"/>
        <v>0.38918918918918921</v>
      </c>
      <c r="O31" s="69">
        <f t="shared" ref="O31:P31" si="336">IF(ISERROR(-O78/(O77+O79)),"n.a.",-O78/(O77+O79))</f>
        <v>0.33524766690595836</v>
      </c>
      <c r="P31" s="69">
        <f t="shared" si="336"/>
        <v>0.33124999999999999</v>
      </c>
      <c r="Q31" s="69">
        <f t="shared" ref="Q31:R31" si="337">IF(ISERROR(-Q78/(Q77+Q79)),"n.a.",-Q78/(Q77+Q79))</f>
        <v>0.28561151079136693</v>
      </c>
      <c r="R31" s="69">
        <f t="shared" si="337"/>
        <v>0.29435483870967744</v>
      </c>
      <c r="S31" s="69">
        <f t="shared" si="334"/>
        <v>0.26925485284909206</v>
      </c>
      <c r="T31" s="69">
        <f t="shared" ref="T31" si="338">IF(ISERROR(-T78/(T77+T79)),"n.a.",-T78/(T77+T79))</f>
        <v>0.26415094339622641</v>
      </c>
      <c r="U31" s="69">
        <f t="shared" ref="U31:V31" si="339">IF(ISERROR(-U78/(U77+U79)),"n.a.",-U78/(U77+U79))</f>
        <v>0.24942660550458715</v>
      </c>
      <c r="V31" s="69">
        <f t="shared" si="339"/>
        <v>0.22209026128266032</v>
      </c>
      <c r="W31" s="69">
        <f t="shared" ref="W31:X31" si="340">IF(ISERROR(-W78/(W77+W79)),"n.a.",-W78/(W77+W79))</f>
        <v>0.23197060174552137</v>
      </c>
      <c r="X31" s="69">
        <f t="shared" si="340"/>
        <v>0.20512820512820512</v>
      </c>
      <c r="Y31" s="69">
        <f t="shared" ref="Y31" si="341">IF(ISERROR(-Y78/(Y77+Y79)),"n.a.",-Y78/(Y77+Y79))</f>
        <v>0.21648216482164823</v>
      </c>
      <c r="Z31" s="69">
        <f t="shared" ref="Z31:AA31" si="342">IF(ISERROR(-Z78/(Z77+Z79)),"n.a.",-Z78/(Z77+Z79))</f>
        <v>0.21825396825396826</v>
      </c>
      <c r="AA31" s="69">
        <f t="shared" si="342"/>
        <v>0.23511680482290881</v>
      </c>
      <c r="AB31" s="69">
        <f t="shared" ref="AB31:AC31" si="343">IF(ISERROR(-AB78/(AB77+AB79)),"n.a.",-AB78/(AB77+AB79))</f>
        <v>0.22789115646258504</v>
      </c>
      <c r="AC31" s="69">
        <f t="shared" si="343"/>
        <v>0.26961053208996161</v>
      </c>
      <c r="AD31" s="69">
        <f t="shared" ref="AD31:AE31" si="344">IF(ISERROR(-AD78/(AD77+AD79)),"n.a.",-AD78/(AD77+AD79))</f>
        <v>0.24177631578947367</v>
      </c>
      <c r="AE31" s="69">
        <f t="shared" si="344"/>
        <v>0.27458396369137672</v>
      </c>
      <c r="AF31" s="69">
        <f t="shared" ref="AF31:AG31" si="345">IF(ISERROR(-AF78/(AF77+AF79)),"n.a.",-AF78/(AF77+AF79))</f>
        <v>0.29320679320679321</v>
      </c>
      <c r="AG31" s="69">
        <f t="shared" si="345"/>
        <v>0.25044468160796868</v>
      </c>
      <c r="AH31" s="69">
        <f t="shared" ref="AH31:AI31" si="346">IF(ISERROR(-AH78/(AH77+AH79)),"n.a.",-AH78/(AH77+AH79))</f>
        <v>0.29852045256744997</v>
      </c>
      <c r="AI31" s="69">
        <f t="shared" si="346"/>
        <v>0.23332118118847978</v>
      </c>
      <c r="AJ31" s="89">
        <f t="shared" ref="AJ31:AK31" si="347">IF(ISERROR(-AJ78/(AJ77+AJ79)),"n.a.",-AJ78/(AJ77+AJ79))</f>
        <v>0.31780708985985162</v>
      </c>
      <c r="AK31" s="69">
        <f t="shared" si="347"/>
        <v>0.30217730430488932</v>
      </c>
      <c r="AL31" s="69">
        <f t="shared" ref="AL31:AM31" si="348">IF(ISERROR(-AL78/(AL77+AL79)),"n.a.",-AL78/(AL77+AL79))</f>
        <v>0.30255511519633499</v>
      </c>
      <c r="AM31" s="69">
        <f t="shared" si="348"/>
        <v>0.23186630825428645</v>
      </c>
      <c r="AN31" s="69">
        <f t="shared" ref="AN31:AO31" si="349">IF(ISERROR(-AN78/(AN77+AN79)),"n.a.",-AN78/(AN77+AN79))</f>
        <v>0.30234399730580319</v>
      </c>
      <c r="AO31" s="69">
        <f t="shared" si="349"/>
        <v>0.23166858041311594</v>
      </c>
      <c r="AP31" s="69">
        <f t="shared" ref="AP31:AQ31" si="350">IF(ISERROR(-AP78/(AP77+AP79)),"n.a.",-AP78/(AP77+AP79))</f>
        <v>0.30219053957036507</v>
      </c>
      <c r="AQ31" s="69">
        <f t="shared" si="350"/>
        <v>0.23158300072262245</v>
      </c>
      <c r="AR31" s="69">
        <f t="shared" ref="AR31:AS31" si="351">IF(ISERROR(-AR78/(AR77+AR79)),"n.a.",-AR78/(AR77+AR79))</f>
        <v>0.30205362041686212</v>
      </c>
      <c r="AS31" s="69">
        <f t="shared" si="351"/>
        <v>0.23152625135518198</v>
      </c>
      <c r="AT31" s="69"/>
      <c r="AU31" s="69">
        <f t="shared" si="334"/>
        <v>0.26181818181818184</v>
      </c>
      <c r="AV31" s="69">
        <f t="shared" si="334"/>
        <v>0.24046434494195687</v>
      </c>
      <c r="AW31" s="69">
        <f t="shared" si="334"/>
        <v>0.2048913043478261</v>
      </c>
      <c r="AX31" s="69">
        <f t="shared" si="334"/>
        <v>0.14952830188679245</v>
      </c>
      <c r="AY31" s="69">
        <f t="shared" si="334"/>
        <v>1.6930022573363433E-2</v>
      </c>
      <c r="AZ31" s="69">
        <f t="shared" si="334"/>
        <v>0.16067146282973621</v>
      </c>
      <c r="BA31" s="69">
        <f t="shared" si="334"/>
        <v>0.22778675282714056</v>
      </c>
      <c r="BB31" s="69">
        <f t="shared" si="334"/>
        <v>0.28220255653883974</v>
      </c>
      <c r="BC31" s="69">
        <f t="shared" si="334"/>
        <v>0.38511560693641617</v>
      </c>
      <c r="BD31" s="69">
        <f t="shared" si="334"/>
        <v>0.39531548757170171</v>
      </c>
      <c r="BE31" s="69">
        <f t="shared" si="334"/>
        <v>0.35916899720335599</v>
      </c>
      <c r="BF31" s="69">
        <f t="shared" si="334"/>
        <v>0.31003344481605349</v>
      </c>
      <c r="BG31" s="69">
        <f t="shared" si="334"/>
        <v>0.2813614262560778</v>
      </c>
      <c r="BH31" s="69">
        <f t="shared" si="334"/>
        <v>0.25668604651162791</v>
      </c>
      <c r="BI31" s="69">
        <f t="shared" ref="BI31" si="352">IF(ISERROR(-BI78/(BI77+BI79)),"n.a.",-BI78/(BI77+BI79))</f>
        <v>0.22766122766122765</v>
      </c>
      <c r="BJ31" s="69">
        <f t="shared" ref="BJ31:BO31" si="353">IF(ISERROR(-BJ78/(BJ77+BJ79)),"n.a.",-BJ78/(BJ77+BJ79))</f>
        <v>0.21046545244290257</v>
      </c>
      <c r="BK31" s="69">
        <f t="shared" si="353"/>
        <v>0.22968829841594277</v>
      </c>
      <c r="BL31" s="69">
        <f t="shared" si="353"/>
        <v>0.25206611570247933</v>
      </c>
      <c r="BM31" s="69">
        <f t="shared" si="353"/>
        <v>0.2603482729089352</v>
      </c>
      <c r="BN31" s="69">
        <f t="shared" si="353"/>
        <v>0.26823187201329735</v>
      </c>
      <c r="BO31" s="89">
        <f t="shared" si="353"/>
        <v>0.26304304701448128</v>
      </c>
      <c r="BP31" s="69">
        <f t="shared" ref="BP31:BQ31" si="354">IF(ISERROR(-BP78/(BP77+BP79)),"n.a.",-BP78/(BP77+BP79))</f>
        <v>0.30848810037815927</v>
      </c>
      <c r="BQ31" s="69">
        <f t="shared" si="354"/>
        <v>0.2663549813967066</v>
      </c>
      <c r="BR31" s="69">
        <f t="shared" ref="BR31:BS31" si="355">IF(ISERROR(-BR78/(BR77+BR79)),"n.a.",-BR78/(BR77+BR79))</f>
        <v>0.26569619023226038</v>
      </c>
      <c r="BS31" s="69">
        <f t="shared" si="355"/>
        <v>0.26584345066739867</v>
      </c>
      <c r="BT31" s="69">
        <f>IF(ISERROR(-BT78/(BT77+BT79)),"n.a.",-BT78/(BT77+BT79))</f>
        <v>0.26624186789075466</v>
      </c>
    </row>
    <row r="32" spans="1:72" ht="12" customHeight="1" outlineLevel="1">
      <c r="A32" s="91" t="s">
        <v>98</v>
      </c>
      <c r="B32" s="87" t="s">
        <v>467</v>
      </c>
      <c r="C32" s="8"/>
      <c r="D32" s="41"/>
      <c r="E32" s="41"/>
      <c r="F32" s="41"/>
      <c r="G32" s="41"/>
      <c r="H32" s="41"/>
      <c r="I32" s="41"/>
      <c r="J32" s="59"/>
      <c r="K32" s="59"/>
      <c r="L32" s="59"/>
      <c r="M32" s="59"/>
      <c r="N32" s="59"/>
      <c r="O32" s="59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41"/>
      <c r="AL32" s="41"/>
      <c r="AM32" s="41"/>
      <c r="AN32" s="41"/>
      <c r="AO32" s="41"/>
      <c r="AP32" s="41"/>
      <c r="AQ32" s="41"/>
      <c r="AR32" s="41"/>
      <c r="AS32" s="41"/>
      <c r="AT32" s="8"/>
      <c r="AU32" s="327"/>
      <c r="AV32" s="327">
        <f>(AU38-AV38-(D36*D103+C36*C103)*AV29/(1-AV29)*AV39)/AV78</f>
        <v>0.78442977109753698</v>
      </c>
      <c r="AW32" s="327">
        <f>(AV38-AW38-(E36*E103+D36*D103)*AW29/(1-AW29)*AW39)/AW78</f>
        <v>0.78819818678287235</v>
      </c>
      <c r="AX32" s="327">
        <f>(AW38-AX38-(F36*F103+E36*E103)*AX29/(1-AX29)*AX39)/AX78</f>
        <v>0.73158367263632285</v>
      </c>
      <c r="AY32" s="327">
        <f>(AX38-AY38-(G36*G103+F36*F103)*AY29/(1-AY29)*AY39)/AY78</f>
        <v>5.7916846095855892</v>
      </c>
      <c r="AZ32" s="327">
        <f>(AY38-AZ38-(E36*F103+D36*E103)*AZ29/(1-AZ29)*AZ39)/AZ78</f>
        <v>1.9900497512437811E-2</v>
      </c>
      <c r="BA32" s="327">
        <f>(AZ38-BA38-(G36*G103+F36*F103)*BA29/(1-BA29)*BA39)/BA78</f>
        <v>0.12056737588652482</v>
      </c>
      <c r="BB32" s="327">
        <f>(BA38-BB38-(I36*I103+H36*H103)*BB29/(1-BB29)*BB39)/BB78</f>
        <v>9.0592334494773524E-2</v>
      </c>
      <c r="BC32" s="327">
        <f>(BB38-BC38-(K36*K103+J36*J103)*BC29/(1-BC29)*BC39)/BC78</f>
        <v>0.55292952072165646</v>
      </c>
      <c r="BD32" s="327">
        <f>(BC38-BD38-(M36*M103+L36*L103)*BD29/(1-BD29)*BD39)/BD78</f>
        <v>0.19707024413715668</v>
      </c>
      <c r="BE32" s="327">
        <f>(BD38-BE38-(O36*O103+N36*N103)*BE29/(1-BE29)*BE39)/BE78</f>
        <v>8.8888500784999214E-2</v>
      </c>
      <c r="BF32" s="327">
        <f>(BE38-BF38-(Q36*Q103+P36*P103)*BF29/(1-BF29)*BF39)/BF78</f>
        <v>0.42448023478502089</v>
      </c>
      <c r="BG32" s="327">
        <f>(BF38-BG38-(S36*S103+R36*R103)*BG29/(1-BG29)*BG39)/BG78</f>
        <v>0.23214248337557614</v>
      </c>
      <c r="BH32" s="327">
        <f>(BG38-BH38-(U36*U103+T36*T103)*BH29/(1-BH29)*BH39)/BH78</f>
        <v>0.29741409463719476</v>
      </c>
      <c r="BI32" s="327">
        <f>(BH38-BI38-(W36*W103+V36*V103)*BI29/(1-BI29)*BI39)/BI78</f>
        <v>0.52157012899804989</v>
      </c>
      <c r="BJ32" s="327">
        <f>(BI38-BJ38-(Y36*Y103+X36*X103)*BJ29/(1-BJ29)*BJ39)/BJ78</f>
        <v>0.44948846474882259</v>
      </c>
      <c r="BK32" s="327">
        <f>(BJ38-BK38-(AA36*AA103+Z36*Z103)*BK29/(1-BK29)*BK39)/BK78</f>
        <v>0.5043950121214047</v>
      </c>
      <c r="BL32" s="327">
        <f>(BK38-BL38-(AC36*AC103+AB36*AB103)*BL29/(1-BL29)*BL39)/BL78</f>
        <v>0.273118257882904</v>
      </c>
      <c r="BM32" s="327">
        <f>(BL38-BM38-(AE36*AE103+AD36*AD103)*BM29/(1-BM29)*BM39)/BM78</f>
        <v>0.27516375203634097</v>
      </c>
      <c r="BN32" s="327">
        <f>(BM38-BN38-(AG36*AG103+AF36*AF103)*BN29/(1-BN29)*BN39)/BN78</f>
        <v>0.14229343473497838</v>
      </c>
      <c r="BO32" s="408">
        <v>0.3</v>
      </c>
      <c r="BP32" s="68">
        <f t="shared" ref="BP32:BT32" si="356">BO32</f>
        <v>0.3</v>
      </c>
      <c r="BQ32" s="68">
        <f t="shared" si="356"/>
        <v>0.3</v>
      </c>
      <c r="BR32" s="68">
        <f t="shared" si="356"/>
        <v>0.3</v>
      </c>
      <c r="BS32" s="68">
        <f t="shared" si="356"/>
        <v>0.3</v>
      </c>
      <c r="BT32" s="68">
        <f t="shared" si="356"/>
        <v>0.3</v>
      </c>
    </row>
    <row r="33" spans="1:72" ht="12" customHeight="1" outlineLevel="1">
      <c r="A33" s="91" t="s">
        <v>99</v>
      </c>
      <c r="B33" s="1" t="s">
        <v>95</v>
      </c>
      <c r="C33" s="8"/>
      <c r="D33" s="376">
        <f>VLOOKUP($A33,[1]Sheet1!$2:$65536,MATCH(D$3,[1]Sheet1!$2:$2,0),FALSE)</f>
        <v>0.6</v>
      </c>
      <c r="E33" s="376">
        <f>VLOOKUP($A33,[1]Sheet1!$2:$65536,MATCH(E$3,[1]Sheet1!$2:$2,0),FALSE)</f>
        <v>0.6</v>
      </c>
      <c r="F33" s="376">
        <f>VLOOKUP($A33,[1]Sheet1!$2:$65536,MATCH(F$3,[1]Sheet1!$2:$2,0),FALSE)</f>
        <v>0.6</v>
      </c>
      <c r="G33" s="376">
        <f>VLOOKUP($A33,[1]Sheet1!$2:$65536,MATCH(G$3,[1]Sheet1!$2:$2,0),FALSE)</f>
        <v>0.6</v>
      </c>
      <c r="H33" s="376">
        <f>VLOOKUP($A33,[1]Sheet1!$2:$65536,MATCH(H$3,[1]Sheet1!$2:$2,0),FALSE)</f>
        <v>0.6</v>
      </c>
      <c r="I33" s="376">
        <f>VLOOKUP($A33,[1]Sheet1!$2:$65536,MATCH(I$3,[1]Sheet1!$2:$2,0),FALSE)</f>
        <v>0.6</v>
      </c>
      <c r="J33" s="376">
        <f>VLOOKUP($A33,[1]Sheet1!$2:$65536,MATCH(J$3,[1]Sheet1!$2:$2,0),FALSE)</f>
        <v>0.6</v>
      </c>
      <c r="K33" s="376">
        <f>VLOOKUP($A33,[1]Sheet1!$2:$65536,MATCH(K$3,[1]Sheet1!$2:$2,0),FALSE)</f>
        <v>0.6</v>
      </c>
      <c r="L33" s="376">
        <f>VLOOKUP($A33,[1]Sheet1!$2:$65536,MATCH(L$3,[1]Sheet1!$2:$2,0),FALSE)</f>
        <v>0.6</v>
      </c>
      <c r="M33" s="376">
        <f>VLOOKUP($A33,[1]Sheet1!$2:$65536,MATCH(M$3,[1]Sheet1!$2:$2,0),FALSE)</f>
        <v>0.6</v>
      </c>
      <c r="N33" s="376">
        <f>VLOOKUP($A33,[1]Sheet1!$2:$65536,MATCH(N$3,[1]Sheet1!$2:$2,0),FALSE)</f>
        <v>0.6</v>
      </c>
      <c r="O33" s="376">
        <f>VLOOKUP($A33,[1]Sheet1!$2:$65536,MATCH(O$3,[1]Sheet1!$2:$2,0),FALSE)</f>
        <v>0.6</v>
      </c>
      <c r="P33" s="376">
        <f>VLOOKUP($A33,[1]Sheet1!$2:$65536,MATCH(P$3,[1]Sheet1!$2:$2,0),FALSE)</f>
        <v>0.6</v>
      </c>
      <c r="Q33" s="376">
        <f>VLOOKUP($A33,[1]Sheet1!$2:$65536,MATCH(Q$3,[1]Sheet1!$2:$2,0),FALSE)</f>
        <v>0.6</v>
      </c>
      <c r="R33" s="376">
        <f>VLOOKUP($A33,[1]Sheet1!$2:$65536,MATCH(R$3,[1]Sheet1!$2:$2,0),FALSE)</f>
        <v>0.6</v>
      </c>
      <c r="S33" s="376">
        <f>VLOOKUP($A33,[1]Sheet1!$2:$65536,MATCH(S$3,[1]Sheet1!$2:$2,0),FALSE)</f>
        <v>0.6</v>
      </c>
      <c r="T33" s="376">
        <f>VLOOKUP($A33,[1]Sheet1!$2:$65536,MATCH(T$3,[1]Sheet1!$2:$2,0),FALSE)</f>
        <v>0.6</v>
      </c>
      <c r="U33" s="376">
        <f>VLOOKUP($A33,[1]Sheet1!$2:$65536,MATCH(U$3,[1]Sheet1!$2:$2,0),FALSE)</f>
        <v>0.6</v>
      </c>
      <c r="V33" s="376">
        <f>VLOOKUP($A33,[1]Sheet1!$2:$65536,MATCH(V$3,[1]Sheet1!$2:$2,0),FALSE)</f>
        <v>0.6</v>
      </c>
      <c r="W33" s="376">
        <f>VLOOKUP($A33,[1]Sheet1!$2:$65536,MATCH(W$3,[1]Sheet1!$2:$2,0),FALSE)</f>
        <v>0.6</v>
      </c>
      <c r="X33" s="376">
        <f>VLOOKUP($A33,[1]Sheet1!$2:$65536,MATCH(X$3,[1]Sheet1!$2:$2,0),FALSE)</f>
        <v>0.6</v>
      </c>
      <c r="Y33" s="376">
        <f>VLOOKUP($A33,[1]Sheet1!$2:$65536,MATCH(Y$3,[1]Sheet1!$2:$2,0),FALSE)</f>
        <v>0.6</v>
      </c>
      <c r="Z33" s="376">
        <f>VLOOKUP($A33,[1]Sheet1!$2:$65536,MATCH(Z$3,[1]Sheet1!$2:$2,0),FALSE)</f>
        <v>0.6</v>
      </c>
      <c r="AA33" s="376">
        <f>VLOOKUP($A33,[1]Sheet1!$2:$65536,MATCH(AA$3,[1]Sheet1!$2:$2,0),FALSE)</f>
        <v>0.6</v>
      </c>
      <c r="AB33" s="376">
        <f>VLOOKUP($A33,[1]Sheet1!$2:$65536,MATCH(AB$3,[1]Sheet1!$2:$2,0),FALSE)</f>
        <v>0.6</v>
      </c>
      <c r="AC33" s="376">
        <f>VLOOKUP($A33,[1]Sheet1!$2:$65536,MATCH(AC$3,[1]Sheet1!$2:$2,0),FALSE)</f>
        <v>0.6</v>
      </c>
      <c r="AD33" s="376">
        <f>VLOOKUP($A33,[1]Sheet1!$2:$65536,MATCH(AD$3,[1]Sheet1!$2:$2,0),FALSE)</f>
        <v>0.6</v>
      </c>
      <c r="AE33" s="376">
        <f>VLOOKUP($A33,[1]Sheet1!$2:$65536,MATCH(AE$3,[1]Sheet1!$2:$2,0),FALSE)</f>
        <v>0.6</v>
      </c>
      <c r="AF33" s="376">
        <f>VLOOKUP($A33,[1]Sheet1!$2:$65536,MATCH(AF$3,[1]Sheet1!$2:$2,0),FALSE)</f>
        <v>0.6</v>
      </c>
      <c r="AG33" s="376">
        <f>VLOOKUP($A33,[1]Sheet1!$2:$65536,MATCH(AG$3,[1]Sheet1!$2:$2,0),FALSE)</f>
        <v>0.6</v>
      </c>
      <c r="AH33" s="376">
        <f>VLOOKUP($A33,[1]Sheet1!$2:$65536,MATCH(AH$3,[1]Sheet1!$2:$2,0),FALSE)</f>
        <v>0.6</v>
      </c>
      <c r="AI33" s="376">
        <f>VLOOKUP($A33,[1]Sheet1!$2:$65536,MATCH(AI$3,[1]Sheet1!$2:$2,0),FALSE)</f>
        <v>0.6</v>
      </c>
      <c r="AJ33" s="377">
        <f>VLOOKUP($A33,[1]Sheet1!$2:$65536,MATCH(AJ$3,[1]Sheet1!$2:$2,0),FALSE)</f>
        <v>0.6</v>
      </c>
      <c r="AK33" s="376">
        <f>VLOOKUP($A33,[1]Sheet1!$2:$65536,MATCH(AK$3,[1]Sheet1!$2:$2,0),FALSE)</f>
        <v>0.6</v>
      </c>
      <c r="AL33" s="376">
        <f>VLOOKUP($A33,[1]Sheet1!$2:$65536,MATCH(AL$3,[1]Sheet1!$2:$2,0),FALSE)</f>
        <v>0.6</v>
      </c>
      <c r="AM33" s="376">
        <f>VLOOKUP($A33,[1]Sheet1!$2:$65536,MATCH(AM$3,[1]Sheet1!$2:$2,0),FALSE)</f>
        <v>0.6</v>
      </c>
      <c r="AN33" s="376">
        <f>VLOOKUP($A33,[1]Sheet1!$2:$65536,MATCH(AN$3,[1]Sheet1!$2:$2,0),FALSE)</f>
        <v>0.6</v>
      </c>
      <c r="AO33" s="376">
        <f>VLOOKUP($A33,[1]Sheet1!$2:$65536,MATCH(AO$3,[1]Sheet1!$2:$2,0),FALSE)</f>
        <v>0.6</v>
      </c>
      <c r="AP33" s="376">
        <f>VLOOKUP($A33,[1]Sheet1!$2:$65536,MATCH(AP$3,[1]Sheet1!$2:$2,0),FALSE)</f>
        <v>0.6</v>
      </c>
      <c r="AQ33" s="376">
        <f>VLOOKUP($A33,[1]Sheet1!$2:$65536,MATCH(AQ$3,[1]Sheet1!$2:$2,0),FALSE)</f>
        <v>0.6</v>
      </c>
      <c r="AR33" s="376">
        <f>VLOOKUP($A33,[1]Sheet1!$2:$65536,MATCH(AR$3,[1]Sheet1!$2:$2,0),FALSE)</f>
        <v>0.6</v>
      </c>
      <c r="AS33" s="376">
        <f>VLOOKUP($A33,[1]Sheet1!$2:$65536,MATCH(AS$3,[1]Sheet1!$2:$2,0),FALSE)</f>
        <v>0.6</v>
      </c>
      <c r="AT33" s="8"/>
      <c r="AU33" s="376">
        <f>VLOOKUP($A33,[1]Sheet1!$2:$65536,MATCH(AU$3,[1]Sheet1!$2:$2,0),FALSE)</f>
        <v>0.6</v>
      </c>
      <c r="AV33" s="376">
        <f>VLOOKUP($A33,[1]Sheet1!$2:$65536,MATCH(AV$3,[1]Sheet1!$2:$2,0),FALSE)</f>
        <v>0.6</v>
      </c>
      <c r="AW33" s="376">
        <f>VLOOKUP($A33,[1]Sheet1!$2:$65536,MATCH(AW$3,[1]Sheet1!$2:$2,0),FALSE)</f>
        <v>0.6</v>
      </c>
      <c r="AX33" s="376">
        <f>VLOOKUP($A33,[1]Sheet1!$2:$65536,MATCH(AX$3,[1]Sheet1!$2:$2,0),FALSE)</f>
        <v>0.6</v>
      </c>
      <c r="AY33" s="376">
        <f>VLOOKUP($A33,[1]Sheet1!$2:$65536,MATCH(AY$3,[1]Sheet1!$2:$2,0),FALSE)</f>
        <v>0.6</v>
      </c>
      <c r="AZ33" s="157">
        <f>SUMPRODUCT(D33:E33,D$5:E$5)/SUM(D$5:E$5)</f>
        <v>0.6</v>
      </c>
      <c r="BA33" s="157">
        <f>SUMPRODUCT(F33:G33,F$5:G$5)/SUM(F$5:G$5)</f>
        <v>0.6</v>
      </c>
      <c r="BB33" s="157">
        <f>SUMPRODUCT(H33:I33,H$5:I$5)/SUM(H$5:I$5)</f>
        <v>0.6</v>
      </c>
      <c r="BC33" s="157">
        <f>SUMPRODUCT(J33:K33,J$5:K$5)/SUM(J$5:K$5)</f>
        <v>0.6</v>
      </c>
      <c r="BD33" s="157">
        <f>SUMPRODUCT(L33:M33,L$5:M$5)/SUM(L$5:M$5)</f>
        <v>0.6</v>
      </c>
      <c r="BE33" s="157">
        <f>SUMPRODUCT(N33:O33,N$5:O$5)/SUM(N$5:O$5)</f>
        <v>0.6</v>
      </c>
      <c r="BF33" s="157">
        <f>SUMPRODUCT(P33:Q33,P$5:Q$5)/SUM(P$5:Q$5)</f>
        <v>0.6</v>
      </c>
      <c r="BG33" s="157">
        <f>SUMPRODUCT(R33:S33,R$5:S$5)/SUM(R$5:S$5)</f>
        <v>0.6</v>
      </c>
      <c r="BH33" s="157">
        <f>SUMPRODUCT(T33:U33,T$5:U$5)/SUM(T$5:U$5)</f>
        <v>0.6</v>
      </c>
      <c r="BI33" s="157">
        <f>SUMPRODUCT(V33:W33,V$5:W$5)/SUM(V$5:W$5)</f>
        <v>0.6</v>
      </c>
      <c r="BJ33" s="157">
        <f>SUMPRODUCT(X33:Y33,X$5:Y$5)/SUM(X$5:Y$5)</f>
        <v>0.6</v>
      </c>
      <c r="BK33" s="157">
        <f>SUMPRODUCT(Z33:AA33,Z$5:AA$5)/SUM(Z$5:AA$5)</f>
        <v>0.6</v>
      </c>
      <c r="BL33" s="157">
        <f>SUMPRODUCT(AB33:AC33,AB$5:AC$5)/SUM(AB$5:AC$5)</f>
        <v>0.6</v>
      </c>
      <c r="BM33" s="157">
        <f>SUMPRODUCT(AD33:AE33,AD$5:AE$5)/SUM(AD$5:AE$5)</f>
        <v>0.6</v>
      </c>
      <c r="BN33" s="157">
        <f>SUMPRODUCT(AF33:AG33,AF$5:AG$5)/SUM(AF$5:AG$5)</f>
        <v>0.6</v>
      </c>
      <c r="BO33" s="158">
        <f>SUMPRODUCT(AH33:AI33,AH$5:AI$5)/SUM(AH$5:AI$5)</f>
        <v>0.6</v>
      </c>
      <c r="BP33" s="157">
        <f>SUMPRODUCT(AJ33:AK33,AJ$5:AK$5)/SUM(AJ$5:AK$5)</f>
        <v>0.6</v>
      </c>
      <c r="BQ33" s="157">
        <f>SUMPRODUCT(AL33:AM33,AL$5:AM$5)/SUM(AL$5:AM$5)</f>
        <v>0.6</v>
      </c>
      <c r="BR33" s="157">
        <f>SUMPRODUCT(AN33:AO33,AN$5:AO$5)/SUM(AN$5:AO$5)</f>
        <v>0.6</v>
      </c>
      <c r="BS33" s="157">
        <f>SUMPRODUCT(AP33:AQ33,AP$5:AQ$5)/SUM(AP$5:AQ$5)</f>
        <v>0.6</v>
      </c>
      <c r="BT33" s="157">
        <f>SUMPRODUCT(AR33:AS33,AR$5:AS$5)/SUM(AR$5:AS$5)</f>
        <v>0.6</v>
      </c>
    </row>
    <row r="34" spans="1:72" ht="12" customHeight="1" outlineLevel="1">
      <c r="C34" s="8"/>
      <c r="D34" s="41"/>
      <c r="E34" s="41"/>
      <c r="F34" s="41"/>
      <c r="G34" s="41"/>
      <c r="H34" s="41"/>
      <c r="I34" s="41"/>
      <c r="J34" s="59"/>
      <c r="K34" s="69"/>
      <c r="L34" s="69"/>
      <c r="M34" s="69"/>
      <c r="N34" s="69"/>
      <c r="O34" s="69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47"/>
      <c r="AM34" s="47"/>
      <c r="AO34" s="47"/>
      <c r="AQ34" s="47"/>
      <c r="AS34" s="47"/>
      <c r="AT34" s="8"/>
      <c r="AU34" s="8"/>
      <c r="AV34" s="8"/>
      <c r="AW34" s="8"/>
      <c r="AX34" s="8"/>
      <c r="AY34" s="8"/>
      <c r="AZ34" s="41"/>
      <c r="BA34" s="41"/>
      <c r="BB34" s="41"/>
      <c r="BC34" s="41"/>
      <c r="BD34" s="41"/>
      <c r="BE34" s="41"/>
      <c r="BF34" s="41"/>
      <c r="BG34" s="41"/>
      <c r="BH34" s="41"/>
      <c r="BI34" s="44"/>
      <c r="BJ34" s="41"/>
      <c r="BK34" s="41"/>
      <c r="BL34" s="41"/>
    </row>
    <row r="35" spans="1:72" ht="12" customHeight="1" outlineLevel="1">
      <c r="B35" s="16" t="s">
        <v>100</v>
      </c>
      <c r="C35" s="8"/>
      <c r="D35" s="65"/>
      <c r="E35" s="65"/>
      <c r="F35" s="65"/>
      <c r="G35" s="47"/>
      <c r="H35" s="65"/>
      <c r="I35" s="65"/>
      <c r="J35" s="287"/>
      <c r="K35" s="287"/>
      <c r="L35" s="287"/>
      <c r="M35" s="287"/>
      <c r="N35" s="50"/>
      <c r="O35" s="50"/>
      <c r="P35" s="50"/>
      <c r="Q35" s="41"/>
      <c r="R35" s="50"/>
      <c r="S35" s="415"/>
      <c r="T35" s="50"/>
      <c r="U35" s="415"/>
      <c r="V35" s="50"/>
      <c r="W35" s="415"/>
      <c r="X35" s="415"/>
      <c r="Y35" s="415"/>
      <c r="Z35" s="415"/>
      <c r="AA35" s="415"/>
      <c r="AB35" s="415"/>
      <c r="AC35" s="415"/>
      <c r="AD35" s="415"/>
      <c r="AE35" s="415"/>
      <c r="AF35" s="415"/>
      <c r="AG35" s="415"/>
      <c r="AH35" s="415"/>
      <c r="AI35" s="415"/>
      <c r="AJ35" s="414"/>
      <c r="AK35" s="176"/>
      <c r="AL35" s="176"/>
      <c r="AM35" s="176"/>
      <c r="AN35" s="176"/>
      <c r="AO35" s="176"/>
      <c r="AP35" s="176"/>
      <c r="AQ35" s="176"/>
      <c r="AR35" s="176"/>
      <c r="AS35" s="176"/>
      <c r="AT35" s="8"/>
      <c r="AU35" s="8"/>
      <c r="AV35" s="8"/>
      <c r="AW35" s="8"/>
      <c r="AX35" s="8"/>
      <c r="AY35" s="8"/>
      <c r="AZ35" s="41"/>
      <c r="BA35" s="41"/>
      <c r="BB35" s="41"/>
      <c r="BC35" s="41"/>
      <c r="BD35" s="50"/>
      <c r="BE35" s="378"/>
      <c r="BF35" s="378"/>
      <c r="BG35" s="378"/>
      <c r="BH35" s="378"/>
      <c r="BI35" s="378"/>
      <c r="BJ35" s="378"/>
      <c r="BK35" s="378"/>
      <c r="BL35" s="34"/>
      <c r="BM35" s="34"/>
      <c r="BN35" s="34"/>
      <c r="BO35" s="35"/>
    </row>
    <row r="36" spans="1:72" ht="12" customHeight="1" outlineLevel="1">
      <c r="A36" s="91" t="s">
        <v>101</v>
      </c>
      <c r="B36" s="87" t="s">
        <v>102</v>
      </c>
      <c r="C36" s="8"/>
      <c r="D36" s="161">
        <f>0.86*0.9834</f>
        <v>0.84572400000000003</v>
      </c>
      <c r="E36" s="161">
        <f>1*0.9834</f>
        <v>0.98340000000000005</v>
      </c>
      <c r="F36" s="161">
        <f>0.86*0.9834</f>
        <v>0.84572400000000003</v>
      </c>
      <c r="G36" s="161">
        <f>1*0.9834</f>
        <v>0.98340000000000005</v>
      </c>
      <c r="H36" s="161">
        <f>0.65*0.9834</f>
        <v>0.63921000000000006</v>
      </c>
      <c r="I36" s="161">
        <f>0.75*0.9834</f>
        <v>0.73755000000000004</v>
      </c>
      <c r="J36" s="161">
        <f>0.75*0.9834</f>
        <v>0.73755000000000004</v>
      </c>
      <c r="K36" s="161">
        <f>1.25*0.9834</f>
        <v>1.22925</v>
      </c>
      <c r="L36" s="161">
        <f>1*0.9834</f>
        <v>0.98340000000000005</v>
      </c>
      <c r="M36" s="161">
        <f>1.6+3.73*(1-69%)</f>
        <v>2.7563000000000004</v>
      </c>
      <c r="N36" s="161">
        <v>1.3</v>
      </c>
      <c r="O36" s="161">
        <v>2</v>
      </c>
      <c r="P36" s="161">
        <v>1.6</v>
      </c>
      <c r="Q36" s="161">
        <v>2.4</v>
      </c>
      <c r="R36" s="161">
        <v>1.9</v>
      </c>
      <c r="S36" s="161">
        <v>2.8</v>
      </c>
      <c r="T36" s="161">
        <v>2.0499999999999998</v>
      </c>
      <c r="U36" s="161">
        <v>3.2</v>
      </c>
      <c r="V36" s="161">
        <v>2.15</v>
      </c>
      <c r="W36" s="161">
        <v>3.6</v>
      </c>
      <c r="X36" s="161">
        <v>2.5</v>
      </c>
      <c r="Y36" s="161">
        <v>1.8</v>
      </c>
      <c r="Z36" s="161">
        <v>1.35</v>
      </c>
      <c r="AA36" s="161">
        <v>3.35</v>
      </c>
      <c r="AB36" s="161">
        <v>2.72</v>
      </c>
      <c r="AC36" s="161">
        <v>3.5</v>
      </c>
      <c r="AD36" s="161">
        <v>3</v>
      </c>
      <c r="AE36" s="161">
        <v>4.5</v>
      </c>
      <c r="AF36" s="161">
        <v>2.5499999999999998</v>
      </c>
      <c r="AG36" s="161">
        <v>3.85</v>
      </c>
      <c r="AH36" s="161">
        <v>2.6</v>
      </c>
      <c r="AI36" s="161">
        <v>3.9</v>
      </c>
      <c r="AJ36" s="354">
        <v>2.8</v>
      </c>
      <c r="AK36" s="98">
        <v>4</v>
      </c>
      <c r="AL36" s="98">
        <v>3.4</v>
      </c>
      <c r="AM36" s="98">
        <v>4.2</v>
      </c>
      <c r="AN36" s="98">
        <v>3.8</v>
      </c>
      <c r="AO36" s="98">
        <v>4.9000000000000004</v>
      </c>
      <c r="AP36" s="98">
        <v>3.9</v>
      </c>
      <c r="AQ36" s="98">
        <v>4.5999999999999996</v>
      </c>
      <c r="AR36" s="98">
        <v>4.2</v>
      </c>
      <c r="AS36" s="98">
        <v>5</v>
      </c>
      <c r="AT36" s="8"/>
      <c r="AU36" s="161">
        <f>2.01*0.9834</f>
        <v>1.976634</v>
      </c>
      <c r="AV36" s="161">
        <f>2.15*0.9834</f>
        <v>2.1143100000000001</v>
      </c>
      <c r="AW36" s="161">
        <f>3.15*0.9834</f>
        <v>3.0977100000000002</v>
      </c>
      <c r="AX36" s="161">
        <f>3.45*0.9834</f>
        <v>3.3927300000000002</v>
      </c>
      <c r="AY36" s="161">
        <f>1.85*0.9834</f>
        <v>1.8192900000000001</v>
      </c>
      <c r="AZ36" s="65">
        <f>D36+E36</f>
        <v>1.8291240000000002</v>
      </c>
      <c r="BA36" s="65">
        <f>F36+G36</f>
        <v>1.8291240000000002</v>
      </c>
      <c r="BB36" s="65">
        <f>H36+I36</f>
        <v>1.37676</v>
      </c>
      <c r="BC36" s="65">
        <f>J36+K36</f>
        <v>1.9668000000000001</v>
      </c>
      <c r="BD36" s="65">
        <f>L36+M36</f>
        <v>3.7397000000000005</v>
      </c>
      <c r="BE36" s="65">
        <f>N36+O36</f>
        <v>3.3</v>
      </c>
      <c r="BF36" s="65">
        <f>P36+Q36</f>
        <v>4</v>
      </c>
      <c r="BG36" s="65">
        <f>R36+S36</f>
        <v>4.6999999999999993</v>
      </c>
      <c r="BH36" s="65">
        <f>T36+U36</f>
        <v>5.25</v>
      </c>
      <c r="BI36" s="65">
        <f>V36+W36</f>
        <v>5.75</v>
      </c>
      <c r="BJ36" s="65">
        <f>X36+Y36</f>
        <v>4.3</v>
      </c>
      <c r="BK36" s="65">
        <f>Z36+AA36</f>
        <v>4.7</v>
      </c>
      <c r="BL36" s="65">
        <f>AB36+AC36</f>
        <v>6.2200000000000006</v>
      </c>
      <c r="BM36" s="65">
        <f>AD36+AE36</f>
        <v>7.5</v>
      </c>
      <c r="BN36" s="65">
        <f>AF36+AG36</f>
        <v>6.4</v>
      </c>
      <c r="BO36" s="73">
        <f>AH36+AI36</f>
        <v>6.5</v>
      </c>
      <c r="BP36" s="65">
        <f>AJ36+AK36</f>
        <v>6.8</v>
      </c>
      <c r="BQ36" s="65">
        <f>AL36+AM36</f>
        <v>7.6</v>
      </c>
      <c r="BR36" s="65">
        <f>AN36+AO36</f>
        <v>8.6999999999999993</v>
      </c>
      <c r="BS36" s="65">
        <f>AP36+AQ36</f>
        <v>8.5</v>
      </c>
      <c r="BT36" s="65">
        <f>AR36+AS36</f>
        <v>9.1999999999999993</v>
      </c>
    </row>
    <row r="37" spans="1:72" ht="12" customHeight="1" outlineLevel="1">
      <c r="A37" s="91" t="s">
        <v>103</v>
      </c>
      <c r="B37" s="87" t="s">
        <v>104</v>
      </c>
      <c r="C37" s="8"/>
      <c r="D37" s="69">
        <f t="shared" ref="D37:AS37" si="357">IF(ISERROR(D36*D103/D81),"n.a.",D36*D103/D81)</f>
        <v>0.59730146271398743</v>
      </c>
      <c r="E37" s="69">
        <f t="shared" si="357"/>
        <v>0.60287963397548161</v>
      </c>
      <c r="F37" s="69">
        <f t="shared" si="357"/>
        <v>0.73751146119106692</v>
      </c>
      <c r="G37" s="69">
        <f t="shared" si="357"/>
        <v>0.62715182820976489</v>
      </c>
      <c r="H37" s="69">
        <f t="shared" si="357"/>
        <v>0.74224678950819678</v>
      </c>
      <c r="I37" s="69">
        <f t="shared" si="357"/>
        <v>0.61514891117647053</v>
      </c>
      <c r="J37" s="69">
        <f t="shared" si="357"/>
        <v>0.70431255747922439</v>
      </c>
      <c r="K37" s="69">
        <f t="shared" si="357"/>
        <v>0.86608820918367346</v>
      </c>
      <c r="L37" s="69">
        <f t="shared" si="357"/>
        <v>0.6784192335329341</v>
      </c>
      <c r="M37" s="69">
        <f t="shared" si="357"/>
        <v>1.1583486039594242</v>
      </c>
      <c r="N37" s="69">
        <f t="shared" si="357"/>
        <v>0.61587594719764016</v>
      </c>
      <c r="O37" s="69">
        <f t="shared" si="357"/>
        <v>0.72021118142548601</v>
      </c>
      <c r="P37" s="69">
        <f t="shared" si="357"/>
        <v>0.49873937943925239</v>
      </c>
      <c r="Q37" s="69">
        <f t="shared" si="357"/>
        <v>0.82248311540785501</v>
      </c>
      <c r="R37" s="69">
        <f t="shared" si="357"/>
        <v>0.61585057200000004</v>
      </c>
      <c r="S37" s="69">
        <f t="shared" si="357"/>
        <v>0.81661083701799475</v>
      </c>
      <c r="T37" s="69">
        <f t="shared" si="357"/>
        <v>0.55908149130608975</v>
      </c>
      <c r="U37" s="69">
        <f t="shared" si="357"/>
        <v>0.83206067532467531</v>
      </c>
      <c r="V37" s="69">
        <f t="shared" si="357"/>
        <v>0.55864342496183206</v>
      </c>
      <c r="W37" s="69">
        <f t="shared" si="357"/>
        <v>0.73288149330143537</v>
      </c>
      <c r="X37" s="69">
        <f t="shared" si="357"/>
        <v>0.6080584540150995</v>
      </c>
      <c r="Y37" s="69">
        <f t="shared" si="357"/>
        <v>0.50069584992150706</v>
      </c>
      <c r="Z37" s="69">
        <f t="shared" si="357"/>
        <v>0.49546182380710663</v>
      </c>
      <c r="AA37" s="69">
        <f t="shared" si="357"/>
        <v>0.59709439061576353</v>
      </c>
      <c r="AB37" s="69">
        <f t="shared" si="357"/>
        <v>0.49104210459128739</v>
      </c>
      <c r="AC37" s="69">
        <f t="shared" si="357"/>
        <v>0.50423084096883208</v>
      </c>
      <c r="AD37" s="69">
        <f t="shared" si="357"/>
        <v>0.50300662125813456</v>
      </c>
      <c r="AE37" s="69">
        <f t="shared" si="357"/>
        <v>0.60449961522419193</v>
      </c>
      <c r="AF37" s="69">
        <f t="shared" si="357"/>
        <v>0.6964775425441696</v>
      </c>
      <c r="AG37" s="69">
        <f t="shared" si="357"/>
        <v>0.69976542574750833</v>
      </c>
      <c r="AH37" s="69">
        <f t="shared" si="357"/>
        <v>0.61473937903225806</v>
      </c>
      <c r="AI37" s="69">
        <f t="shared" si="357"/>
        <v>0.70681874393723254</v>
      </c>
      <c r="AJ37" s="89">
        <f t="shared" si="357"/>
        <v>0.64482632145015106</v>
      </c>
      <c r="AK37" s="69">
        <f t="shared" si="357"/>
        <v>0.60752170490166679</v>
      </c>
      <c r="AL37" s="69">
        <f t="shared" si="357"/>
        <v>0.60410500577971671</v>
      </c>
      <c r="AM37" s="69">
        <f>IF(ISERROR(AM36*AM103/AM81),"n.a.",AM36*AM103/AM81)</f>
        <v>0.64326587591610751</v>
      </c>
      <c r="AN37" s="69">
        <f t="shared" si="357"/>
        <v>0.61702194651525144</v>
      </c>
      <c r="AO37" s="69">
        <f t="shared" si="357"/>
        <v>0.67079418434280413</v>
      </c>
      <c r="AP37" s="69">
        <f t="shared" si="357"/>
        <v>0.59167074845733336</v>
      </c>
      <c r="AQ37" s="69">
        <f t="shared" si="357"/>
        <v>0.59736069215787502</v>
      </c>
      <c r="AR37" s="69">
        <f t="shared" si="357"/>
        <v>0.597239670216408</v>
      </c>
      <c r="AS37" s="69">
        <f t="shared" si="357"/>
        <v>0.62598177781325326</v>
      </c>
      <c r="AT37" s="8"/>
      <c r="AU37" s="69">
        <f>IF(ISERROR(AU36*AU103/AU81),"n.a.",AU36*AU103/AU81)</f>
        <v>0.55369953192118226</v>
      </c>
      <c r="AV37" s="69">
        <f>IF(ISERROR(AV36*AV103/AV81),"n.a.",AV36*AV103/AV81)</f>
        <v>0.54557510191048042</v>
      </c>
      <c r="AW37" s="69">
        <f>IF(ISERROR(AW36*AW103/AW81),"n.a.",AW36*AW103/AW81)</f>
        <v>0.54676336004784698</v>
      </c>
      <c r="AX37" s="69">
        <f>IF(ISERROR(AX36*AX103/AX81),"n.a.",AX36*AX103/AX81)</f>
        <v>0.5253851347753743</v>
      </c>
      <c r="AY37" s="69">
        <f>IF(ISERROR(AY36*AY103/AY81),"n.a.",AY36*AY103/AY81)</f>
        <v>0.60202101033295052</v>
      </c>
      <c r="AZ37" s="50">
        <f>IF(ISERROR((E36*E103+D36*D103)/(E81+D81)),"n.a.",(E36*E103+D36*D103)/(E81+D81))</f>
        <v>0.60033492537142852</v>
      </c>
      <c r="BA37" s="50">
        <f>IF(ISERROR((G36*G103+F36*F103)/(G81+F81)),"n.a.",(G36*G103+F36*F103)/(G81+F81))</f>
        <v>0.67367372370292877</v>
      </c>
      <c r="BB37" s="50">
        <f>IF(ISERROR((I36*I103+H36*H103)/(I81+H81)),"n.a.",(I36*I103+H36*H103)/(I81+H81))</f>
        <v>0.66825144938356162</v>
      </c>
      <c r="BC37" s="50">
        <f>IF(ISERROR((K36*K103+J36*J103)/(K81+J81)),"n.a.",(K36*K103+J36*J103)/(K81+J81))</f>
        <v>0.79746187514688605</v>
      </c>
      <c r="BD37" s="50">
        <f>IF(ISERROR((M36*M103+L36*L103)/(M81+L81)),"n.a.",(M36*M103+L36*L103)/(M81+L81))</f>
        <v>0.96827380982213451</v>
      </c>
      <c r="BE37" s="50">
        <f>IF(ISERROR((O36*O103+N36*N103)/(O81+N81)),"n.a.",(O36*O103+N36*N103)/(O81+N81))</f>
        <v>0.67610938042394009</v>
      </c>
      <c r="BF37" s="50">
        <f>IF(ISERROR((Q36*Q103+P36*P103)/(Q81+P81)),"n.a.",(Q36*Q103+P36*P103)/(Q81+P81))</f>
        <v>0.6545694956858944</v>
      </c>
      <c r="BG37" s="50">
        <f>IF(ISERROR((S36*S103+R36*R103)/(S81+R81)),"n.a.",(S36*S103+R36*R103)/(S81+R81))</f>
        <v>0.72152816752368054</v>
      </c>
      <c r="BH37" s="50">
        <f>IF(ISERROR((U36*U103+T36*T103)/(U81+T81)),"n.a.",(U36*U103+T36*T103)/(U81+T81))</f>
        <v>0.69882719012514671</v>
      </c>
      <c r="BI37" s="50">
        <f>IF(ISERROR((W36*W103+V36*V103)/(W81+V81)),"n.a.",(W36*W103+V36*V103)/(W81+V81))</f>
        <v>0.6563382774983233</v>
      </c>
      <c r="BJ37" s="50">
        <f>IF(ISERROR((Y36*Y103+X36*X103)/(Y81+X81)),"n.a.",(Y36*Y103+X36*X103)/(Y81+X81))</f>
        <v>0.55797425129989009</v>
      </c>
      <c r="BK37" s="50">
        <f>IF(ISERROR((AA36*AA103+Z36*Z103)/(AA81+Z81)),"n.a.",(AA36*AA103+Z36*Z103)/(AA81+Z81))</f>
        <v>0.56389104789386402</v>
      </c>
      <c r="BL37" s="50">
        <f>IF(ISERROR((AC36*AC103+AB36*AB103)/(AC81+AB81)),"n.a.",(AC36*AC103+AB36*AB103)/(AC81+AB81))</f>
        <v>0.49850525906927323</v>
      </c>
      <c r="BM37" s="50">
        <f>IF(ISERROR((AE36*AE103+AD36*AD103)/(AE81+AD81)),"n.a.",(AE36*AE103+AD36*AD103)/(AE81+AD81))</f>
        <v>0.55935462273253578</v>
      </c>
      <c r="BN37" s="50">
        <f>IF(ISERROR((AG36*AG103+AF36*AF103)/(AG81+AF81)),"n.a.",(AG36*AG103+AF36*AF103)/(AG81+AF81))</f>
        <v>0.69844448459681996</v>
      </c>
      <c r="BO37" s="51">
        <f>IF(ISERROR((AI36*AI103+AH36*AH103)/(AI81+AH81)),"n.a.",(AI36*AI103+AH36*AH103)/(AI81+AH81))</f>
        <v>0.66686398317631224</v>
      </c>
      <c r="BP37" s="50">
        <f>IF(ISERROR((AK36*AK103+AJ36*AJ103)/(AK81+AJ81)),"n.a.",(AK36*AK103+AJ36*AJ103)/(AK81+AJ81))</f>
        <v>0.62238110413293746</v>
      </c>
      <c r="BQ37" s="50">
        <f>IF(ISERROR((AM36*AM103+AL36*AL103)/(AM81+AL81)),"n.a.",(AM36*AM103+AL36*AL103)/(AM81+AL81))</f>
        <v>0.62510226927992574</v>
      </c>
      <c r="BR37" s="50">
        <f>IF(ISERROR((AO36*AO103+AN36*AN103)/(AO81+AN81)),"n.a.",(AO36*AO103+AN36*AN103)/(AO81+AN81))</f>
        <v>0.64619692444457211</v>
      </c>
      <c r="BS37" s="50">
        <f>IF(ISERROR((AQ36*AQ103+AP36*AP103)/(AQ81+AP81)),"n.a.",(AQ36*AQ103+AP36*AP103)/(AQ81+AP81))</f>
        <v>0.59473648489283315</v>
      </c>
      <c r="BT37" s="50">
        <f>IF(ISERROR((AS36*AS103+AR36*AR103)/(AS81+AR81)),"n.a.",(AS36*AS103+AR36*AR103)/(AS81+AR81))</f>
        <v>0.61252457054727716</v>
      </c>
    </row>
    <row r="38" spans="1:72" ht="12" customHeight="1" outlineLevel="1">
      <c r="A38" s="91" t="s">
        <v>105</v>
      </c>
      <c r="B38" s="87" t="s">
        <v>466</v>
      </c>
      <c r="C38" s="8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44"/>
      <c r="O38" s="44"/>
      <c r="P38" s="41"/>
      <c r="Q38" s="41"/>
      <c r="R38" s="41"/>
      <c r="S38" s="41"/>
      <c r="T38" s="41"/>
      <c r="U38" s="41"/>
      <c r="V38" s="41"/>
      <c r="W38" s="41"/>
      <c r="X38" s="41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1"/>
      <c r="AK38" s="182"/>
      <c r="AL38" s="182"/>
      <c r="AM38" s="182"/>
      <c r="AN38" s="182"/>
      <c r="AO38" s="182"/>
      <c r="AP38" s="182"/>
      <c r="AQ38" s="182"/>
      <c r="AR38" s="182"/>
      <c r="AS38" s="182"/>
      <c r="AT38" s="8"/>
      <c r="AU38" s="62">
        <v>39</v>
      </c>
      <c r="AV38" s="62">
        <v>149</v>
      </c>
      <c r="AW38" s="62">
        <v>176</v>
      </c>
      <c r="AX38" s="62">
        <v>133</v>
      </c>
      <c r="AY38" s="62">
        <v>11</v>
      </c>
      <c r="AZ38" s="62">
        <v>15</v>
      </c>
      <c r="BA38" s="62">
        <v>49</v>
      </c>
      <c r="BB38" s="62">
        <v>75</v>
      </c>
      <c r="BC38" s="62">
        <v>297</v>
      </c>
      <c r="BD38" s="62">
        <v>250</v>
      </c>
      <c r="BE38" s="62">
        <v>144</v>
      </c>
      <c r="BF38" s="62">
        <v>306</v>
      </c>
      <c r="BG38" s="62">
        <v>199</v>
      </c>
      <c r="BH38" s="62">
        <v>117</v>
      </c>
      <c r="BI38" s="62">
        <v>198</v>
      </c>
      <c r="BJ38" s="62">
        <v>264</v>
      </c>
      <c r="BK38" s="62">
        <v>426</v>
      </c>
      <c r="BL38" s="62">
        <v>457</v>
      </c>
      <c r="BM38" s="62">
        <v>462</v>
      </c>
      <c r="BN38" s="62">
        <v>224</v>
      </c>
      <c r="BO38" s="57">
        <v>206</v>
      </c>
      <c r="BP38" s="41">
        <f>BO38-BP78*BP32-((AJ36*AJ103+AK36*AK103)*BP29/(1-BP29)*BP39)</f>
        <v>374.16846340080934</v>
      </c>
      <c r="BQ38" s="41">
        <f>BP38-BQ78*BQ32-((AL36*AL103+AM36*AM103)*BQ29/(1-BQ29)*BQ39)</f>
        <v>443.72013689932675</v>
      </c>
      <c r="BR38" s="41">
        <f>BQ38-BR78*BR32-((AN36*AN103+AO36*AO103)*BR29/(1-BR29)*BR39)</f>
        <v>502.69713540840007</v>
      </c>
      <c r="BS38" s="41">
        <f>BR38-BS78*BS32-((AP36*AP103+AQ36*AQ103)*BS29/(1-BS29)*BS39)</f>
        <v>607.33234780761563</v>
      </c>
      <c r="BT38" s="41">
        <f>BS38-BT78*BT32-((AS36*AQ103+AR36*AR103)*BT29/(1-BT29)*BT39)</f>
        <v>703.44483598809654</v>
      </c>
    </row>
    <row r="39" spans="1:72" ht="12" customHeight="1" outlineLevel="1">
      <c r="A39" s="91" t="s">
        <v>106</v>
      </c>
      <c r="B39" s="87" t="s">
        <v>107</v>
      </c>
      <c r="C39" s="8"/>
      <c r="D39" s="162">
        <v>0</v>
      </c>
      <c r="E39" s="162">
        <v>0</v>
      </c>
      <c r="F39" s="162">
        <v>0</v>
      </c>
      <c r="G39" s="162">
        <v>0</v>
      </c>
      <c r="H39" s="162">
        <v>0</v>
      </c>
      <c r="I39" s="162">
        <v>0</v>
      </c>
      <c r="J39" s="163">
        <v>0</v>
      </c>
      <c r="K39" s="321">
        <v>0.4</v>
      </c>
      <c r="L39" s="321">
        <v>0.4</v>
      </c>
      <c r="M39" s="321">
        <f t="shared" ref="M39:N39" si="358">L39</f>
        <v>0.4</v>
      </c>
      <c r="N39" s="163">
        <f t="shared" si="358"/>
        <v>0.4</v>
      </c>
      <c r="O39" s="163">
        <f t="shared" ref="O39" si="359">N39</f>
        <v>0.4</v>
      </c>
      <c r="P39" s="163">
        <f t="shared" ref="P39:Q39" si="360">O39</f>
        <v>0.4</v>
      </c>
      <c r="Q39" s="163">
        <f t="shared" si="360"/>
        <v>0.4</v>
      </c>
      <c r="R39" s="163">
        <v>0.45</v>
      </c>
      <c r="S39" s="163">
        <v>0.45</v>
      </c>
      <c r="T39" s="163">
        <v>0.45</v>
      </c>
      <c r="U39" s="163">
        <v>0.45</v>
      </c>
      <c r="V39" s="163">
        <v>0.45</v>
      </c>
      <c r="W39" s="163">
        <v>0.45</v>
      </c>
      <c r="X39" s="163">
        <v>0.4</v>
      </c>
      <c r="Y39" s="163">
        <f>0.72/Y36</f>
        <v>0.39999999999999997</v>
      </c>
      <c r="Z39" s="163">
        <v>0.4</v>
      </c>
      <c r="AA39" s="163">
        <v>0.4</v>
      </c>
      <c r="AB39" s="163">
        <v>0.4</v>
      </c>
      <c r="AC39" s="163">
        <v>0.4</v>
      </c>
      <c r="AD39" s="163">
        <v>0.4</v>
      </c>
      <c r="AE39" s="163">
        <v>0.4</v>
      </c>
      <c r="AF39" s="163">
        <v>0.4</v>
      </c>
      <c r="AG39" s="163">
        <v>0.4</v>
      </c>
      <c r="AH39" s="163">
        <v>0.35</v>
      </c>
      <c r="AI39" s="163">
        <v>0.35</v>
      </c>
      <c r="AJ39" s="366">
        <f t="shared" ref="AJ39" si="361">AI39</f>
        <v>0.35</v>
      </c>
      <c r="AK39" s="68">
        <f t="shared" ref="AK39" si="362">AJ39</f>
        <v>0.35</v>
      </c>
      <c r="AL39" s="68">
        <f t="shared" ref="AL39" si="363">AK39</f>
        <v>0.35</v>
      </c>
      <c r="AM39" s="68">
        <f t="shared" ref="AM39" si="364">AL39</f>
        <v>0.35</v>
      </c>
      <c r="AN39" s="68">
        <f t="shared" ref="AN39" si="365">AM39</f>
        <v>0.35</v>
      </c>
      <c r="AO39" s="68">
        <f t="shared" ref="AO39" si="366">AN39</f>
        <v>0.35</v>
      </c>
      <c r="AP39" s="68">
        <f t="shared" ref="AP39" si="367">AO39</f>
        <v>0.35</v>
      </c>
      <c r="AQ39" s="68">
        <f t="shared" ref="AQ39" si="368">AP39</f>
        <v>0.35</v>
      </c>
      <c r="AR39" s="68">
        <f t="shared" ref="AR39" si="369">AQ39</f>
        <v>0.35</v>
      </c>
      <c r="AS39" s="68">
        <f t="shared" ref="AS39" si="370">AR39</f>
        <v>0.35</v>
      </c>
      <c r="AT39" s="8"/>
      <c r="AU39" s="163">
        <v>0.9</v>
      </c>
      <c r="AV39" s="163">
        <v>0.95813953488372094</v>
      </c>
      <c r="AW39" s="163">
        <v>1</v>
      </c>
      <c r="AX39" s="163">
        <v>1</v>
      </c>
      <c r="AY39" s="163">
        <v>0.75675675675675702</v>
      </c>
      <c r="AZ39" s="157">
        <f>SUMPRODUCT(D39:E39,D$36:E$36)/SUM(D$36:E$36)</f>
        <v>0</v>
      </c>
      <c r="BA39" s="157">
        <f>SUMPRODUCT(F39:G39,F$36:G$36)/SUM(F$36:G$36)</f>
        <v>0</v>
      </c>
      <c r="BB39" s="157">
        <f>SUMPRODUCT(H39:I39,H$36:I$36)/SUM(H$36:I$36)</f>
        <v>0</v>
      </c>
      <c r="BC39" s="157">
        <f>SUMPRODUCT(J39:K39,J$36:K$36)/SUM(J$36:K$36)</f>
        <v>0.25</v>
      </c>
      <c r="BD39" s="157">
        <f>SUMPRODUCT(L39:M39,L$36:M$36)/SUM(L$36:M$36)</f>
        <v>0.39999999999999997</v>
      </c>
      <c r="BE39" s="157">
        <f>SUMPRODUCT(N39:O39,N$36:O$36)/SUM(N$36:O$36)</f>
        <v>0.4</v>
      </c>
      <c r="BF39" s="157">
        <f>SUMPRODUCT(P39:Q39,P$36:Q$36)/SUM(P$36:Q$36)</f>
        <v>0.4</v>
      </c>
      <c r="BG39" s="157">
        <f>SUMPRODUCT(R39:S39,R$36:S$36)/SUM(R$36:S$36)</f>
        <v>0.45000000000000012</v>
      </c>
      <c r="BH39" s="157">
        <f>SUMPRODUCT(T39:U39,T$36:U$36)/SUM(T$36:U$36)</f>
        <v>0.45000000000000007</v>
      </c>
      <c r="BI39" s="157">
        <f>SUMPRODUCT(V39:W39,V$36:W$36)/SUM(V$36:W$36)</f>
        <v>0.45000000000000007</v>
      </c>
      <c r="BJ39" s="157">
        <f>SUMPRODUCT(X39:Y39,X$36:Y$36)/SUM(X$36:Y$36)</f>
        <v>0.4</v>
      </c>
      <c r="BK39" s="157">
        <f>SUMPRODUCT(Z39:AA39,Z$36:AA$36)/SUM(Z$36:AA$36)</f>
        <v>0.4</v>
      </c>
      <c r="BL39" s="157">
        <f>SUMPRODUCT(AB39:AC39,AB$36:AC$36)/SUM(AB$36:AC$36)</f>
        <v>0.4</v>
      </c>
      <c r="BM39" s="157">
        <f>SUMPRODUCT(AD39:AE39,AD$36:AE$36)/SUM(AD$36:AE$36)</f>
        <v>0.4</v>
      </c>
      <c r="BN39" s="157">
        <f>SUMPRODUCT(AF39:AG39,AF$36:AG$36)/SUM(AF$36:AG$36)</f>
        <v>0.39999999999999997</v>
      </c>
      <c r="BO39" s="158">
        <f>SUMPRODUCT(AH39:AI39,AH$36:AI$36)/SUM(AH$36:AI$36)</f>
        <v>0.35</v>
      </c>
      <c r="BP39" s="157">
        <f>SUMPRODUCT(AJ39:AK39,AJ$36:AK$36)/SUM(AJ$36:AK$36)</f>
        <v>0.35</v>
      </c>
      <c r="BQ39" s="157">
        <f>SUMPRODUCT(AL39:AM39,AL$36:AM$36)/SUM(AL$36:AM$36)</f>
        <v>0.35000000000000003</v>
      </c>
      <c r="BR39" s="157">
        <f>SUMPRODUCT(AN39:AO39,AN$36:AO$36)/SUM(AN$36:AO$36)</f>
        <v>0.35000000000000003</v>
      </c>
      <c r="BS39" s="157">
        <f>SUMPRODUCT(AP39:AQ39,AP$36:AQ$36)/SUM(AP$36:AQ$36)</f>
        <v>0.35</v>
      </c>
      <c r="BT39" s="157">
        <f>SUMPRODUCT(AR39:AS39,AR$36:AS$36)/SUM(AR$36:AS$36)</f>
        <v>0.35</v>
      </c>
    </row>
    <row r="40" spans="1:72" ht="12" customHeight="1" outlineLevel="1">
      <c r="C40" s="59"/>
      <c r="D40" s="59"/>
      <c r="E40" s="59"/>
      <c r="F40" s="59"/>
      <c r="G40" s="59"/>
      <c r="H40" s="59"/>
      <c r="I40" s="59"/>
      <c r="J40" s="59"/>
      <c r="K40" s="59"/>
      <c r="L40" s="287"/>
      <c r="M40" s="287"/>
      <c r="N40" s="65"/>
      <c r="O40" s="65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2"/>
      <c r="AK40" s="41"/>
      <c r="AL40" s="41"/>
      <c r="AM40" s="41"/>
      <c r="AN40" s="41"/>
      <c r="AO40" s="41"/>
      <c r="AP40" s="41"/>
      <c r="AQ40" s="41"/>
      <c r="AR40" s="41"/>
      <c r="AS40" s="41"/>
      <c r="AT40" s="8"/>
      <c r="AU40" s="362"/>
      <c r="AV40" s="362"/>
      <c r="AW40" s="362"/>
      <c r="AX40" s="362"/>
      <c r="AY40" s="362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</row>
    <row r="41" spans="1:72" ht="12" customHeight="1" outlineLevel="1">
      <c r="A41" s="91" t="s">
        <v>108</v>
      </c>
      <c r="B41" s="87" t="s">
        <v>109</v>
      </c>
      <c r="C41" s="8"/>
      <c r="D41" s="59">
        <f>D103-C103</f>
        <v>338.29878381126701</v>
      </c>
      <c r="E41" s="59">
        <f t="shared" ref="E41:N41" si="371">E103-D103</f>
        <v>11.756403294691893</v>
      </c>
      <c r="F41" s="59">
        <f t="shared" si="371"/>
        <v>1.3799369534268635</v>
      </c>
      <c r="G41" s="59">
        <f t="shared" si="371"/>
        <v>1.2341468375025215</v>
      </c>
      <c r="H41" s="59">
        <f t="shared" si="371"/>
        <v>1.4948861094163703</v>
      </c>
      <c r="I41" s="59">
        <f t="shared" si="371"/>
        <v>0.30440410819602448</v>
      </c>
      <c r="J41" s="59">
        <f t="shared" si="371"/>
        <v>-9.7369046166361386</v>
      </c>
      <c r="K41" s="59">
        <f>K103-J103</f>
        <v>0.50586434817978443</v>
      </c>
      <c r="L41" s="59">
        <f t="shared" si="371"/>
        <v>0.387897091722607</v>
      </c>
      <c r="M41" s="59">
        <f t="shared" si="371"/>
        <v>-24.550667937766946</v>
      </c>
      <c r="N41" s="59">
        <f t="shared" si="371"/>
        <v>0.12824399999999514</v>
      </c>
      <c r="O41" s="59">
        <f t="shared" ref="O41" si="372">O103-N103</f>
        <v>12.254783000000032</v>
      </c>
      <c r="P41" s="59">
        <f t="shared" ref="P41:AI41" si="373">P103-O103</f>
        <v>7.4183000000004995E-2</v>
      </c>
      <c r="Q41" s="59">
        <f t="shared" si="373"/>
        <v>6.7704289999999787</v>
      </c>
      <c r="R41" s="59">
        <f t="shared" si="373"/>
        <v>3.6085000000014134E-2</v>
      </c>
      <c r="S41" s="59">
        <f t="shared" si="373"/>
        <v>1.3256999999953223E-2</v>
      </c>
      <c r="T41" s="59">
        <f t="shared" si="373"/>
        <v>6.1720000000491382E-3</v>
      </c>
      <c r="U41" s="59">
        <f t="shared" si="373"/>
        <v>6.9169999999871834E-3</v>
      </c>
      <c r="V41" s="59">
        <f t="shared" si="373"/>
        <v>1.791800000000876E-2</v>
      </c>
      <c r="W41" s="59">
        <f t="shared" si="373"/>
        <v>0</v>
      </c>
      <c r="X41" s="59">
        <f t="shared" si="373"/>
        <v>13.993728999999973</v>
      </c>
      <c r="Y41" s="59">
        <f t="shared" si="373"/>
        <v>4.92900000000418E-3</v>
      </c>
      <c r="Z41" s="59">
        <f t="shared" si="373"/>
        <v>7.1222309999999993</v>
      </c>
      <c r="AA41" s="59">
        <f t="shared" si="373"/>
        <v>0.31774999999998954</v>
      </c>
      <c r="AB41" s="59">
        <f t="shared" si="373"/>
        <v>7.0017920000000231</v>
      </c>
      <c r="AC41" s="59">
        <f t="shared" si="373"/>
        <v>14.824467999999968</v>
      </c>
      <c r="AD41" s="59">
        <f t="shared" si="373"/>
        <v>2.8291170000000534</v>
      </c>
      <c r="AE41" s="59">
        <f t="shared" si="373"/>
        <v>0</v>
      </c>
      <c r="AF41" s="59">
        <f t="shared" si="373"/>
        <v>0</v>
      </c>
      <c r="AG41" s="59">
        <f t="shared" si="373"/>
        <v>-3.5142210000000205</v>
      </c>
      <c r="AH41" s="59">
        <f t="shared" si="373"/>
        <v>-1.8241179999999986</v>
      </c>
      <c r="AI41" s="59">
        <f t="shared" si="373"/>
        <v>0</v>
      </c>
      <c r="AJ41" s="60">
        <f t="shared" ref="AJ41:AS41" si="374">(-AJ95*0%)/(AJ43*(1-0%))</f>
        <v>0</v>
      </c>
      <c r="AK41" s="575">
        <f>-(1000/AK42)/3</f>
        <v>-1.4543515143675296</v>
      </c>
      <c r="AL41" s="575">
        <f t="shared" ref="AL41:AM41" si="375">-(1000/AL42)/3</f>
        <v>-1.3917398680085038</v>
      </c>
      <c r="AM41" s="575">
        <f t="shared" si="375"/>
        <v>-1.3318237311057961</v>
      </c>
      <c r="AN41" s="58">
        <f t="shared" si="374"/>
        <v>0</v>
      </c>
      <c r="AO41" s="58">
        <f t="shared" si="374"/>
        <v>0</v>
      </c>
      <c r="AP41" s="58">
        <f t="shared" si="374"/>
        <v>0</v>
      </c>
      <c r="AQ41" s="58">
        <f t="shared" si="374"/>
        <v>0</v>
      </c>
      <c r="AR41" s="58">
        <f t="shared" si="374"/>
        <v>0</v>
      </c>
      <c r="AS41" s="58">
        <f t="shared" si="374"/>
        <v>0</v>
      </c>
      <c r="AT41" s="8"/>
      <c r="AU41" s="59">
        <f t="shared" ref="AU41:AV41" si="376">AU103-AT103</f>
        <v>227.45941834451901</v>
      </c>
      <c r="AV41" s="59">
        <f t="shared" si="376"/>
        <v>8.9045932479153862</v>
      </c>
      <c r="AW41" s="59">
        <f t="shared" ref="AW41" si="377">AW103-AV103</f>
        <v>21.863774659345154</v>
      </c>
      <c r="AX41" s="59">
        <f t="shared" ref="AX41" si="378">AX103-AW103</f>
        <v>20.977867602196397</v>
      </c>
      <c r="AY41" s="59">
        <f t="shared" ref="AY41" si="379">AY103-AX103</f>
        <v>9.0168395363026548</v>
      </c>
      <c r="AZ41" s="59">
        <f t="shared" ref="AZ41:BT41" si="380">AZ103-AY103</f>
        <v>61.832693715680307</v>
      </c>
      <c r="BA41" s="59">
        <f t="shared" si="380"/>
        <v>2.614083790929385</v>
      </c>
      <c r="BB41" s="59">
        <f t="shared" si="380"/>
        <v>1.7992902176123948</v>
      </c>
      <c r="BC41" s="59">
        <f t="shared" si="380"/>
        <v>-9.2310402684563542</v>
      </c>
      <c r="BD41" s="59">
        <f t="shared" si="380"/>
        <v>-24.162770846044339</v>
      </c>
      <c r="BE41" s="59">
        <f t="shared" si="380"/>
        <v>12.383027000000027</v>
      </c>
      <c r="BF41" s="59">
        <f t="shared" si="380"/>
        <v>6.8446119999999837</v>
      </c>
      <c r="BG41" s="59">
        <f t="shared" si="380"/>
        <v>4.9341999999967356E-2</v>
      </c>
      <c r="BH41" s="59">
        <f t="shared" si="380"/>
        <v>1.3089000000036322E-2</v>
      </c>
      <c r="BI41" s="59">
        <f t="shared" si="380"/>
        <v>1.791800000000876E-2</v>
      </c>
      <c r="BJ41" s="59">
        <f t="shared" si="380"/>
        <v>13.998657999999978</v>
      </c>
      <c r="BK41" s="59">
        <f t="shared" si="380"/>
        <v>7.4399809999999889</v>
      </c>
      <c r="BL41" s="59">
        <f t="shared" si="380"/>
        <v>21.826259999999991</v>
      </c>
      <c r="BM41" s="59">
        <f t="shared" si="380"/>
        <v>2.8291170000000534</v>
      </c>
      <c r="BN41" s="59">
        <f t="shared" si="380"/>
        <v>-3.5142210000000205</v>
      </c>
      <c r="BO41" s="60">
        <f t="shared" si="380"/>
        <v>-1.8241179999999986</v>
      </c>
      <c r="BP41" s="59">
        <f t="shared" si="380"/>
        <v>-1.454351514367545</v>
      </c>
      <c r="BQ41" s="59">
        <f t="shared" si="380"/>
        <v>-2.7235635991142999</v>
      </c>
      <c r="BR41" s="59">
        <f t="shared" si="380"/>
        <v>0</v>
      </c>
      <c r="BS41" s="59">
        <f t="shared" si="380"/>
        <v>0</v>
      </c>
      <c r="BT41" s="59">
        <f t="shared" si="380"/>
        <v>0</v>
      </c>
    </row>
    <row r="42" spans="1:72" ht="12" customHeight="1" outlineLevel="1">
      <c r="A42" s="91" t="s">
        <v>110</v>
      </c>
      <c r="B42" s="87" t="s">
        <v>111</v>
      </c>
      <c r="C42" s="360">
        <v>26.601800000000001</v>
      </c>
      <c r="D42" s="360">
        <v>57.815800000000003</v>
      </c>
      <c r="E42" s="360">
        <v>46.466999999999999</v>
      </c>
      <c r="F42" s="360">
        <v>35.668999999999997</v>
      </c>
      <c r="G42" s="360">
        <v>35.993499999999997</v>
      </c>
      <c r="H42" s="360">
        <v>22.491</v>
      </c>
      <c r="I42" s="360">
        <v>28.598099999999999</v>
      </c>
      <c r="J42" s="360">
        <v>27.988399999999999</v>
      </c>
      <c r="K42" s="360">
        <v>36.534399999999998</v>
      </c>
      <c r="L42" s="360">
        <v>47.116100000000003</v>
      </c>
      <c r="M42" s="360">
        <v>57.93</v>
      </c>
      <c r="N42" s="360">
        <v>57.59</v>
      </c>
      <c r="O42" s="360">
        <v>76.67</v>
      </c>
      <c r="P42" s="360">
        <v>76.66</v>
      </c>
      <c r="Q42" s="360">
        <v>66.09</v>
      </c>
      <c r="R42" s="360">
        <v>81.94</v>
      </c>
      <c r="S42" s="360">
        <v>90.2</v>
      </c>
      <c r="T42" s="360">
        <v>90.92</v>
      </c>
      <c r="U42" s="360">
        <v>102.9</v>
      </c>
      <c r="V42" s="360">
        <v>126.04</v>
      </c>
      <c r="W42" s="360">
        <v>129.41999999999999</v>
      </c>
      <c r="X42" s="360">
        <v>131.08000000000001</v>
      </c>
      <c r="Y42" s="360">
        <v>85.75</v>
      </c>
      <c r="Z42" s="360">
        <v>127.5</v>
      </c>
      <c r="AA42" s="360">
        <v>152.83000000000001</v>
      </c>
      <c r="AB42" s="360">
        <v>182</v>
      </c>
      <c r="AC42" s="360">
        <v>203.27</v>
      </c>
      <c r="AD42" s="360">
        <v>152.74</v>
      </c>
      <c r="AE42" s="360">
        <v>175.66</v>
      </c>
      <c r="AF42" s="360">
        <v>167.73</v>
      </c>
      <c r="AG42" s="360">
        <v>199.7</v>
      </c>
      <c r="AH42" s="360">
        <v>232.37</v>
      </c>
      <c r="AI42" s="360">
        <v>196.64</v>
      </c>
      <c r="AJ42" s="361">
        <v>219.33</v>
      </c>
      <c r="AK42" s="164">
        <f>AJ42*(1+Summary!$G$8)^(1/2)</f>
        <v>229.19722642039108</v>
      </c>
      <c r="AL42" s="164">
        <f>AK42*(1+Summary!$G$8)^(1/2)</f>
        <v>239.50836000000007</v>
      </c>
      <c r="AM42" s="164">
        <f>AL42*(1+Summary!$G$8)^(1/2)</f>
        <v>250.28337125106711</v>
      </c>
      <c r="AN42" s="164">
        <f>AM42*(1+Summary!$G$8)^(1/2)</f>
        <v>261.54312912000012</v>
      </c>
      <c r="AO42" s="164">
        <f>AN42*(1+Summary!$G$8)^(1/2)</f>
        <v>273.30944140616532</v>
      </c>
      <c r="AP42" s="164">
        <f>AO42*(1+Summary!$G$8)^(1/2)</f>
        <v>285.60509699904014</v>
      </c>
      <c r="AQ42" s="164">
        <f>AP42*(1+Summary!$G$8)^(1/2)</f>
        <v>298.45391001553259</v>
      </c>
      <c r="AR42" s="164">
        <f>AQ42*(1+Summary!$G$8)^(1/2)</f>
        <v>311.88076592295192</v>
      </c>
      <c r="AS42" s="164">
        <f>AR42*(1+Summary!$G$8)^(1/2)</f>
        <v>325.91166973696164</v>
      </c>
      <c r="AT42" s="8"/>
      <c r="AU42" s="360">
        <v>47.234099999999998</v>
      </c>
      <c r="AV42" s="360">
        <v>63.608199999999997</v>
      </c>
      <c r="AW42" s="360">
        <v>81.378799999999998</v>
      </c>
      <c r="AX42" s="360">
        <v>51.944699999999997</v>
      </c>
      <c r="AY42" s="360">
        <v>26.601800000000001</v>
      </c>
      <c r="AZ42" s="164">
        <f>E42</f>
        <v>46.466999999999999</v>
      </c>
      <c r="BA42" s="164">
        <f>G42</f>
        <v>35.993499999999997</v>
      </c>
      <c r="BB42" s="164">
        <f>I42</f>
        <v>28.598099999999999</v>
      </c>
      <c r="BC42" s="164">
        <f>K42</f>
        <v>36.534399999999998</v>
      </c>
      <c r="BD42" s="164">
        <f>M42</f>
        <v>57.93</v>
      </c>
      <c r="BE42" s="164">
        <f>O42</f>
        <v>76.67</v>
      </c>
      <c r="BF42" s="164">
        <f>Q42</f>
        <v>66.09</v>
      </c>
      <c r="BG42" s="164">
        <f>S42</f>
        <v>90.2</v>
      </c>
      <c r="BH42" s="164">
        <f>U42</f>
        <v>102.9</v>
      </c>
      <c r="BI42" s="164">
        <f>W42</f>
        <v>129.41999999999999</v>
      </c>
      <c r="BJ42" s="164">
        <f>Y42</f>
        <v>85.75</v>
      </c>
      <c r="BK42" s="164">
        <f>AA42</f>
        <v>152.83000000000001</v>
      </c>
      <c r="BL42" s="164">
        <f>AC42</f>
        <v>203.27</v>
      </c>
      <c r="BM42" s="164">
        <f>AE42</f>
        <v>175.66</v>
      </c>
      <c r="BN42" s="164">
        <f>AG42</f>
        <v>199.7</v>
      </c>
      <c r="BO42" s="165">
        <f>AI42</f>
        <v>196.64</v>
      </c>
      <c r="BP42" s="164">
        <f>AK42</f>
        <v>229.19722642039108</v>
      </c>
      <c r="BQ42" s="164">
        <f>AM42</f>
        <v>250.28337125106711</v>
      </c>
      <c r="BR42" s="164">
        <f>AO42</f>
        <v>273.30944140616532</v>
      </c>
      <c r="BS42" s="164">
        <f>AQ42</f>
        <v>298.45391001553259</v>
      </c>
      <c r="BT42" s="164">
        <f>AS42</f>
        <v>325.91166973696164</v>
      </c>
    </row>
    <row r="43" spans="1:72" ht="12" customHeight="1" outlineLevel="1">
      <c r="A43" s="91" t="s">
        <v>112</v>
      </c>
      <c r="B43" s="87" t="s">
        <v>113</v>
      </c>
      <c r="C43" s="8"/>
      <c r="D43" s="164">
        <f t="shared" ref="D43:M43" si="381">IF(ISERROR(D97/D41),"n.a.",D97/D41)</f>
        <v>3.972819484771787</v>
      </c>
      <c r="E43" s="164">
        <f t="shared" si="381"/>
        <v>23.901868025136029</v>
      </c>
      <c r="F43" s="164">
        <f t="shared" si="381"/>
        <v>-153.63020714354394</v>
      </c>
      <c r="G43" s="164">
        <f t="shared" si="381"/>
        <v>33.221330520904267</v>
      </c>
      <c r="H43" s="164">
        <f t="shared" si="381"/>
        <v>-235.46944331259252</v>
      </c>
      <c r="I43" s="164">
        <f t="shared" si="381"/>
        <v>3.2851067810032268</v>
      </c>
      <c r="J43" s="164">
        <f t="shared" si="381"/>
        <v>50.632107369900417</v>
      </c>
      <c r="K43" s="164">
        <f t="shared" si="381"/>
        <v>5.9304436274164916</v>
      </c>
      <c r="L43" s="164">
        <f t="shared" si="381"/>
        <v>-528.49068573733882</v>
      </c>
      <c r="M43" s="164">
        <f t="shared" si="381"/>
        <v>35.477649822313694</v>
      </c>
      <c r="N43" s="392">
        <f>AVERAGE(M42:N42)</f>
        <v>57.760000000000005</v>
      </c>
      <c r="O43" s="392">
        <f>AVERAGE(N42:O42)</f>
        <v>67.13</v>
      </c>
      <c r="P43" s="392">
        <f>AVERAGE(O42:P42)</f>
        <v>76.664999999999992</v>
      </c>
      <c r="Q43" s="164">
        <f>IF(ISERROR(Q97/Q41),"n.a.",Q97/Q41)</f>
        <v>77.543092173332241</v>
      </c>
      <c r="R43" s="392">
        <f>AVERAGE(Q42:R42)</f>
        <v>74.015000000000001</v>
      </c>
      <c r="S43" s="164">
        <f t="shared" ref="S43:Y43" si="382">R43/AVERAGE(Q42:R42)*AVERAGE(R42:S42)</f>
        <v>86.07</v>
      </c>
      <c r="T43" s="164">
        <f t="shared" si="382"/>
        <v>90.56</v>
      </c>
      <c r="U43" s="164">
        <f t="shared" si="382"/>
        <v>96.91</v>
      </c>
      <c r="V43" s="164">
        <f t="shared" si="382"/>
        <v>114.47</v>
      </c>
      <c r="W43" s="164">
        <f t="shared" si="382"/>
        <v>127.72999999999999</v>
      </c>
      <c r="X43" s="164">
        <f t="shared" si="382"/>
        <v>130.25</v>
      </c>
      <c r="Y43" s="164">
        <f t="shared" si="382"/>
        <v>108.41500000000001</v>
      </c>
      <c r="Z43" s="164">
        <f>Z97/Z41</f>
        <v>111.622327329737</v>
      </c>
      <c r="AA43" s="164">
        <f>AA97/AA41</f>
        <v>138.47364280094871</v>
      </c>
      <c r="AB43" s="164">
        <f>AB97/AB41</f>
        <v>150.67571273182588</v>
      </c>
      <c r="AC43" s="164">
        <f>AC97/AC41</f>
        <v>193.12666059922057</v>
      </c>
      <c r="AD43" s="164">
        <f>AD97/AD41</f>
        <v>171.43158094910561</v>
      </c>
      <c r="AE43" s="164" t="str">
        <f>IF(ISERROR(AE97/AE41),"n.a.",AE97/AE41)</f>
        <v>n.a.</v>
      </c>
      <c r="AF43" s="164" t="str">
        <f>IF(ISERROR(AF97/AF41),"n.a.",AF97/AF41)</f>
        <v>n.a.</v>
      </c>
      <c r="AG43" s="164">
        <f>IF(ISERROR(AG97/AG41),"n.a.",AG97/AG41)</f>
        <v>183.25540710160126</v>
      </c>
      <c r="AH43" s="164">
        <f>IF(ISERROR(AH97/AH41),"n.a.",AH97/AH41)</f>
        <v>202.28954486497051</v>
      </c>
      <c r="AI43" s="164" t="str">
        <f>IF(ISERROR(AI97/AI41),"n.a.",AI97/AI41)</f>
        <v>n.a.</v>
      </c>
      <c r="AJ43" s="165">
        <f t="shared" ref="AJ43:AO43" si="383">IF(ISERROR(AI43/AVERAGE(AH42:AI42)*AVERAGE(AI42:AJ42)),AVERAGE(AI42:AJ42),AI43/AVERAGE(AH42:AI42)*AVERAGE(AI42:AJ42))</f>
        <v>207.98500000000001</v>
      </c>
      <c r="AK43" s="164">
        <f t="shared" si="383"/>
        <v>224.26361321019556</v>
      </c>
      <c r="AL43" s="164">
        <f t="shared" si="383"/>
        <v>234.35279321019556</v>
      </c>
      <c r="AM43" s="164">
        <f t="shared" si="383"/>
        <v>244.89586562553359</v>
      </c>
      <c r="AN43" s="164">
        <f t="shared" si="383"/>
        <v>255.91325018553363</v>
      </c>
      <c r="AO43" s="164">
        <f t="shared" si="383"/>
        <v>267.42628526308272</v>
      </c>
      <c r="AP43" s="164">
        <f t="shared" ref="AP43" si="384">IF(ISERROR(AO43/AVERAGE(AN42:AO42)*AVERAGE(AO42:AP42)),AVERAGE(AO42:AP42),AO43/AVERAGE(AN42:AO42)*AVERAGE(AO42:AP42))</f>
        <v>279.45726920260273</v>
      </c>
      <c r="AQ43" s="164">
        <f t="shared" ref="AQ43" si="385">IF(ISERROR(AP43/AVERAGE(AO42:AP42)*AVERAGE(AP42:AQ42)),AVERAGE(AP42:AQ42),AP43/AVERAGE(AO42:AP42)*AVERAGE(AP42:AQ42))</f>
        <v>292.02950350728634</v>
      </c>
      <c r="AR43" s="164">
        <f t="shared" ref="AR43" si="386">IF(ISERROR(AQ43/AVERAGE(AP42:AQ42)*AVERAGE(AQ42:AR42)),AVERAGE(AQ42:AR42),AQ43/AVERAGE(AP42:AQ42)*AVERAGE(AQ42:AR42))</f>
        <v>305.16733796924223</v>
      </c>
      <c r="AS43" s="164">
        <f t="shared" ref="AS43" si="387">IF(ISERROR(AR43/AVERAGE(AQ42:AR42)*AVERAGE(AR42:AS42)),AVERAGE(AR42:AS42),AR43/AVERAGE(AQ42:AR42)*AVERAGE(AR42:AS42))</f>
        <v>318.89621782995675</v>
      </c>
      <c r="AT43" s="8"/>
      <c r="AU43" s="164">
        <f>IF(ISERROR(AU97/AU41),"n.a.",AU97/AU41)</f>
        <v>4.8272347128617286</v>
      </c>
      <c r="AV43" s="164">
        <f>IF(ISERROR(AV97/AV41),"n.a.",AV97/AV41)</f>
        <v>33.241271303357422</v>
      </c>
      <c r="AW43" s="164">
        <f>IF(ISERROR(AW97/AW41),"n.a.",AW97/AW41)</f>
        <v>53.467437266160196</v>
      </c>
      <c r="AX43" s="164">
        <f>IF(ISERROR(AX97/AX41),"n.a.",AX97/AX41)</f>
        <v>69.644828907540258</v>
      </c>
      <c r="AY43" s="164">
        <f>IF(ISERROR(AY97/AY41),"n.a.",AY97/AY41)</f>
        <v>40.479815408766591</v>
      </c>
      <c r="AZ43" s="164">
        <f t="shared" ref="AZ43:BT43" si="388">AZ97/AZ41</f>
        <v>26.280595302415431</v>
      </c>
      <c r="BA43" s="164">
        <f t="shared" si="388"/>
        <v>-65.41488860967398</v>
      </c>
      <c r="BB43" s="164">
        <f t="shared" si="388"/>
        <v>-195.07692342470835</v>
      </c>
      <c r="BC43" s="164">
        <f t="shared" si="388"/>
        <v>53.081774724176292</v>
      </c>
      <c r="BD43" s="164">
        <f t="shared" si="388"/>
        <v>44.531316662970831</v>
      </c>
      <c r="BE43" s="164">
        <f t="shared" si="388"/>
        <v>-16.23189548080607</v>
      </c>
      <c r="BF43" s="164">
        <f t="shared" si="388"/>
        <v>21.768947604334674</v>
      </c>
      <c r="BG43" s="164">
        <f t="shared" si="388"/>
        <v>-8755.2186778056384</v>
      </c>
      <c r="BH43" s="164">
        <f t="shared" si="388"/>
        <v>-28497.211398805481</v>
      </c>
      <c r="BI43" s="164">
        <f t="shared" si="388"/>
        <v>-25337.64929120315</v>
      </c>
      <c r="BJ43" s="164">
        <f t="shared" si="388"/>
        <v>75.935850422233457</v>
      </c>
      <c r="BK43" s="164">
        <f t="shared" si="388"/>
        <v>112.76910518991933</v>
      </c>
      <c r="BL43" s="164">
        <f t="shared" si="388"/>
        <v>179.50853696418909</v>
      </c>
      <c r="BM43" s="164">
        <f t="shared" si="388"/>
        <v>171.43158094910561</v>
      </c>
      <c r="BN43" s="164">
        <f t="shared" si="388"/>
        <v>183.25540710160126</v>
      </c>
      <c r="BO43" s="165">
        <f t="shared" si="388"/>
        <v>202.28954486497051</v>
      </c>
      <c r="BP43" s="164">
        <f t="shared" si="388"/>
        <v>224.26361321019317</v>
      </c>
      <c r="BQ43" s="164">
        <f t="shared" si="388"/>
        <v>239.50836000000007</v>
      </c>
      <c r="BR43" s="164" t="e">
        <f t="shared" si="388"/>
        <v>#DIV/0!</v>
      </c>
      <c r="BS43" s="164" t="e">
        <f t="shared" si="388"/>
        <v>#DIV/0!</v>
      </c>
      <c r="BT43" s="164" t="e">
        <f t="shared" si="388"/>
        <v>#DIV/0!</v>
      </c>
    </row>
    <row r="44" spans="1:72" ht="12" customHeight="1" outlineLevel="1">
      <c r="C44" s="8"/>
      <c r="D44" s="41"/>
      <c r="E44" s="41"/>
      <c r="F44" s="41"/>
      <c r="G44" s="41"/>
      <c r="H44" s="41"/>
      <c r="I44" s="41"/>
      <c r="J44" s="59"/>
      <c r="K44" s="59"/>
      <c r="L44" s="59"/>
      <c r="M44" s="59"/>
      <c r="N44" s="41"/>
      <c r="O44" s="41"/>
      <c r="P44" s="41"/>
      <c r="Q44" s="41"/>
      <c r="R44" s="41"/>
      <c r="S44" s="41"/>
      <c r="T44" s="41"/>
      <c r="U44" s="41"/>
      <c r="V44" s="50"/>
      <c r="W44" s="50"/>
      <c r="X44" s="19"/>
      <c r="Y44" s="19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2"/>
      <c r="AK44" s="41"/>
      <c r="AL44" s="41"/>
      <c r="AM44" s="41"/>
      <c r="AN44" s="41"/>
      <c r="AO44" s="41"/>
      <c r="AP44" s="41"/>
      <c r="AQ44" s="41"/>
      <c r="AR44" s="41"/>
      <c r="AS44" s="41"/>
      <c r="AT44" s="8"/>
      <c r="AU44" s="8"/>
      <c r="AV44" s="8"/>
      <c r="AW44" s="8"/>
      <c r="AX44" s="8"/>
      <c r="AY44" s="8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</row>
    <row r="45" spans="1:72" ht="12" customHeight="1" outlineLevel="1">
      <c r="B45" s="1" t="s">
        <v>217</v>
      </c>
      <c r="C45" s="8"/>
      <c r="D45" s="69">
        <f>IF(ISERROR(D312/(D168+D170+D171)),"n.a.",D312/(D168+D170+D171))</f>
        <v>1.3242148760330579</v>
      </c>
      <c r="E45" s="69">
        <f t="shared" ref="E45:K45" si="389">IF(ISERROR(E312/(E168+E170+E171)),"n.a.",E312/(E168+E170+E171))</f>
        <v>1.2497153024911032</v>
      </c>
      <c r="F45" s="69">
        <f t="shared" si="389"/>
        <v>1.2949999999999999</v>
      </c>
      <c r="G45" s="69">
        <f t="shared" si="389"/>
        <v>1.2270359281437127</v>
      </c>
      <c r="H45" s="69">
        <f t="shared" si="389"/>
        <v>1.214985994397759</v>
      </c>
      <c r="I45" s="69">
        <f t="shared" si="389"/>
        <v>1.0787811634349032</v>
      </c>
      <c r="J45" s="69">
        <f t="shared" si="389"/>
        <v>1.0389610389610389</v>
      </c>
      <c r="K45" s="69">
        <f t="shared" si="389"/>
        <v>1.0634698795180724</v>
      </c>
      <c r="L45" s="69">
        <f t="shared" ref="L45:M45" si="390">IF(ISERROR(L312/(L168+L170+L171)),"n.a.",L312/(L168+L170+L171))</f>
        <v>1.0773033707865169</v>
      </c>
      <c r="M45" s="69">
        <f t="shared" si="390"/>
        <v>1.1026739130434782</v>
      </c>
      <c r="N45" s="69">
        <f t="shared" ref="N45" si="391">IF(ISERROR(N312/(N168+N170+N171)),"n.a.",N312/(N168+N170+N171))</f>
        <v>1.1270020533880905</v>
      </c>
      <c r="O45" s="69">
        <f t="shared" ref="O45:P45" si="392">IF(ISERROR(O312/(O168+O170+O171)),"n.a.",O312/(O168+O170+O171))</f>
        <v>1.3022181146025877</v>
      </c>
      <c r="P45" s="69">
        <f t="shared" si="392"/>
        <v>1.2642689075630251</v>
      </c>
      <c r="Q45" s="69">
        <f t="shared" ref="Q45:R45" si="393">IF(ISERROR(Q312/(Q168+Q170+Q171)),"n.a.",Q312/(Q168+Q170+Q171))</f>
        <v>1.180711111111111</v>
      </c>
      <c r="R45" s="69">
        <f t="shared" si="393"/>
        <v>1.1827204783258596</v>
      </c>
      <c r="S45" s="69">
        <f t="shared" ref="S45:T45" si="394">IF(ISERROR(S312/(S168+S170+S171)),"n.a.",S312/(S168+S170+S171))</f>
        <v>1.1479909365558911</v>
      </c>
      <c r="T45" s="69">
        <f t="shared" si="394"/>
        <v>1.1055942028985508</v>
      </c>
      <c r="U45" s="69">
        <f t="shared" ref="U45:V45" si="395">IF(ISERROR(U312/(U168+U170+U171)),"n.a.",U312/(U168+U170+U171))</f>
        <v>1.0459488559892329</v>
      </c>
      <c r="V45" s="69">
        <f t="shared" si="395"/>
        <v>0.99707594936708865</v>
      </c>
      <c r="W45" s="69">
        <f t="shared" ref="W45:X45" si="396">IF(ISERROR(W312/(W168+W170+W171)),"n.a.",W312/(W168+W170+W171))</f>
        <v>0.90282387190684132</v>
      </c>
      <c r="X45" s="69">
        <f t="shared" si="396"/>
        <v>0.97549597855227888</v>
      </c>
      <c r="Y45" s="69">
        <f t="shared" ref="Y45:Z45" si="397">IF(ISERROR(Y312/(Y168+Y170+Y171)),"n.a.",Y312/(Y168+Y170+Y171))</f>
        <v>1.0464082687338501</v>
      </c>
      <c r="Z45" s="69">
        <f t="shared" si="397"/>
        <v>0.82643575418994408</v>
      </c>
      <c r="AA45" s="69">
        <f t="shared" ref="AA45:AB45" si="398">IF(ISERROR(AA312/(AA168+AA170+AA171)),"n.a.",AA312/(AA168+AA170+AA171))</f>
        <v>0.88370159453302966</v>
      </c>
      <c r="AB45" s="69">
        <f t="shared" si="398"/>
        <v>0.86044603033006239</v>
      </c>
      <c r="AC45" s="69">
        <f t="shared" ref="AC45:AD45" si="399">IF(ISERROR(AC312/(AC168+AC170+AC171)),"n.a.",AC312/(AC168+AC170+AC171))</f>
        <v>0.91395956192080874</v>
      </c>
      <c r="AD45" s="69">
        <f t="shared" si="399"/>
        <v>0.84399256505576203</v>
      </c>
      <c r="AE45" s="69">
        <f t="shared" ref="AE45:AF45" si="400">IF(ISERROR(AE312/(AE168+AE170+AE171)),"n.a.",AE312/(AE168+AE170+AE171))</f>
        <v>0.67231034482758623</v>
      </c>
      <c r="AF45" s="69">
        <f t="shared" si="400"/>
        <v>0.64036018336607725</v>
      </c>
      <c r="AG45" s="69">
        <f t="shared" ref="AG45:AH45" si="401">IF(ISERROR(AG312/(AG168+AG170+AG171)),"n.a.",AG312/(AG168+AG170+AG171))</f>
        <v>0.61406249999999996</v>
      </c>
      <c r="AH45" s="69">
        <f t="shared" si="401"/>
        <v>0.63850649350649347</v>
      </c>
      <c r="AI45" s="69">
        <f t="shared" ref="AI45" si="402">IF(ISERROR(AI312/(AI168+AI170+AI171)),"n.a.",AI312/(AI168+AI170+AI171))</f>
        <v>0.65905181918412348</v>
      </c>
      <c r="AJ45" s="89">
        <f>AI45*0.97</f>
        <v>0.63928026460859977</v>
      </c>
      <c r="AK45" s="56">
        <f>AJ45*0.99</f>
        <v>0.63288746196251378</v>
      </c>
      <c r="AL45" s="56">
        <f>AK45*0.94</f>
        <v>0.59491421424476287</v>
      </c>
      <c r="AM45" s="56">
        <f>AL45*0.95</f>
        <v>0.56516850353252468</v>
      </c>
      <c r="AN45" s="56">
        <f>AM45*0.98</f>
        <v>0.55386513346187416</v>
      </c>
      <c r="AO45" s="56">
        <f t="shared" ref="AO45" si="403">AN45*0.98</f>
        <v>0.54278783079263671</v>
      </c>
      <c r="AP45" s="56">
        <f>AO45*1.01</f>
        <v>0.54821570910056305</v>
      </c>
      <c r="AQ45" s="56">
        <f t="shared" ref="AQ45:AS45" si="404">AP45*1.01</f>
        <v>0.55369786619156869</v>
      </c>
      <c r="AR45" s="56">
        <f t="shared" si="404"/>
        <v>0.5592348448534844</v>
      </c>
      <c r="AS45" s="56">
        <f t="shared" si="404"/>
        <v>0.56482719330201925</v>
      </c>
      <c r="AT45" s="8"/>
      <c r="AU45" s="8" t="str">
        <f t="shared" ref="AU45" si="405">IF(ISERROR(AU312/(AU168+AU170+AU171)),"n.a.",AU312/(AU168+AU170+AU171))</f>
        <v>n.a.</v>
      </c>
      <c r="AV45" s="69" t="str">
        <f t="shared" ref="AV45:AY45" si="406">IF(ISERROR(AV312/(AV168+AV170+AV171)),"n.a.",AV312/(AV168+AV170+AV171))</f>
        <v>n.a.</v>
      </c>
      <c r="AW45" s="69" t="str">
        <f t="shared" si="406"/>
        <v>n.a.</v>
      </c>
      <c r="AX45" s="69">
        <f t="shared" si="406"/>
        <v>1.0791699604743084</v>
      </c>
      <c r="AY45" s="69">
        <f t="shared" si="406"/>
        <v>1.1751063829787234</v>
      </c>
      <c r="AZ45" s="69">
        <f t="shared" ref="AZ45:BH45" si="407">IF(ISERROR(AZ312/(AZ168+AZ170+AZ171)),"n.a.",AZ312/(AZ168+AZ170+AZ171))</f>
        <v>1.2497153024911032</v>
      </c>
      <c r="BA45" s="69">
        <f t="shared" si="407"/>
        <v>1.2270359281437127</v>
      </c>
      <c r="BB45" s="69">
        <f t="shared" si="407"/>
        <v>1.0787811634349032</v>
      </c>
      <c r="BC45" s="69">
        <f t="shared" si="407"/>
        <v>1.0634698795180724</v>
      </c>
      <c r="BD45" s="69">
        <f t="shared" si="407"/>
        <v>1.1026739130434782</v>
      </c>
      <c r="BE45" s="69">
        <f t="shared" si="407"/>
        <v>1.3022181146025877</v>
      </c>
      <c r="BF45" s="69">
        <f t="shared" si="407"/>
        <v>1.180711111111111</v>
      </c>
      <c r="BG45" s="69">
        <f t="shared" si="407"/>
        <v>1.1479909365558911</v>
      </c>
      <c r="BH45" s="69">
        <f t="shared" si="407"/>
        <v>1.0459488559892329</v>
      </c>
      <c r="BI45" s="69">
        <f t="shared" ref="BI45" si="408">IF(ISERROR(BI312/(BI168+BI170+BI171)),"n.a.",BI312/(BI168+BI170+BI171))</f>
        <v>0.90282387190684132</v>
      </c>
      <c r="BJ45" s="69">
        <f t="shared" ref="BJ45:BO45" si="409">IF(ISERROR(BJ312/(BJ168+BJ170+BJ171)),"n.a.",BJ312/(BJ168+BJ170+BJ171))</f>
        <v>1.0464082687338501</v>
      </c>
      <c r="BK45" s="69">
        <f t="shared" si="409"/>
        <v>0.88370159453302966</v>
      </c>
      <c r="BL45" s="69">
        <f t="shared" si="409"/>
        <v>0.91395956192080874</v>
      </c>
      <c r="BM45" s="69">
        <f t="shared" si="409"/>
        <v>0.67231034482758623</v>
      </c>
      <c r="BN45" s="69">
        <f t="shared" si="409"/>
        <v>0.61406249999999996</v>
      </c>
      <c r="BO45" s="89">
        <f t="shared" si="409"/>
        <v>0.65905181918412348</v>
      </c>
      <c r="BP45" s="69">
        <f t="shared" ref="BP45:BQ45" si="410">IF(ISERROR(BP312/(BP168+BP170+BP171)),"n.a.",BP312/(BP168+BP170+BP171))</f>
        <v>0.63288746196251378</v>
      </c>
      <c r="BQ45" s="69">
        <f t="shared" si="410"/>
        <v>0.56516850353252468</v>
      </c>
      <c r="BR45" s="69">
        <f t="shared" ref="BR45:BS45" si="411">IF(ISERROR(BR312/(BR168+BR170+BR171)),"n.a.",BR312/(BR168+BR170+BR171))</f>
        <v>0.54278783079263671</v>
      </c>
      <c r="BS45" s="69">
        <f t="shared" si="411"/>
        <v>0.55369786619156869</v>
      </c>
      <c r="BT45" s="69">
        <f>IF(ISERROR(BT312/(BT168+BT170+BT171)),"n.a.",BT312/(BT168+BT170+BT171))</f>
        <v>0.56482719330201925</v>
      </c>
    </row>
    <row r="46" spans="1:72" ht="12" customHeight="1" outlineLevel="1">
      <c r="B46" s="1" t="s">
        <v>114</v>
      </c>
      <c r="C46" s="8"/>
      <c r="D46" s="69">
        <f>IF(ISERROR(D313/(D187-(D168+D170+D171))),"n.a.",D313/(D187-(D168+D170+D171)))</f>
        <v>0.34311526479750781</v>
      </c>
      <c r="E46" s="69">
        <f t="shared" ref="E46:K46" si="412">IF(ISERROR(E313/(E187-(E168+E170+E171))),"n.a.",E313/(E187-(E168+E170+E171)))</f>
        <v>0.39279742765273312</v>
      </c>
      <c r="F46" s="69">
        <f t="shared" si="412"/>
        <v>0.3473846153846154</v>
      </c>
      <c r="G46" s="69">
        <f t="shared" si="412"/>
        <v>0.37253229974160207</v>
      </c>
      <c r="H46" s="69">
        <f t="shared" si="412"/>
        <v>0.33394366197183101</v>
      </c>
      <c r="I46" s="69">
        <f t="shared" si="412"/>
        <v>0.44791122715404702</v>
      </c>
      <c r="J46" s="69">
        <f t="shared" si="412"/>
        <v>0.42807486631016045</v>
      </c>
      <c r="K46" s="69">
        <f t="shared" si="412"/>
        <v>0.43947530864197532</v>
      </c>
      <c r="L46" s="69">
        <f t="shared" ref="L46:M46" si="413">IF(ISERROR(L313/(L187-(L168+L170+L171))),"n.a.",L313/(L187-(L168+L170+L171)))</f>
        <v>0.4295100864553314</v>
      </c>
      <c r="M46" s="69">
        <f t="shared" si="413"/>
        <v>0.46219135802469136</v>
      </c>
      <c r="N46" s="69">
        <f t="shared" ref="N46" si="414">IF(ISERROR(N313/(N187-(N168+N170+N171))),"n.a.",N313/(N187-(N168+N170+N171)))</f>
        <v>0.4182777777777778</v>
      </c>
      <c r="O46" s="69">
        <f t="shared" ref="O46:P46" si="415">IF(ISERROR(O313/(O187-(O168+O170+O171))),"n.a.",O313/(O187-(O168+O170+O171)))</f>
        <v>0.36979262672811058</v>
      </c>
      <c r="P46" s="69">
        <f t="shared" si="415"/>
        <v>0.35734475374732333</v>
      </c>
      <c r="Q46" s="69">
        <f t="shared" ref="Q46:R46" si="416">IF(ISERROR(Q313/(Q187-(Q168+Q170+Q171))),"n.a.",Q313/(Q187-(Q168+Q170+Q171)))</f>
        <v>0.29991507430997877</v>
      </c>
      <c r="R46" s="69">
        <f t="shared" si="416"/>
        <v>0.36004975124378108</v>
      </c>
      <c r="S46" s="69">
        <f t="shared" ref="S46:T46" si="417">IF(ISERROR(S313/(S187-(S168+S170+S171))),"n.a.",S313/(S187-(S168+S170+S171)))</f>
        <v>0.36507812499999998</v>
      </c>
      <c r="T46" s="69">
        <f t="shared" si="417"/>
        <v>0.34290488431876609</v>
      </c>
      <c r="U46" s="69">
        <f t="shared" ref="U46:V46" si="418">IF(ISERROR(U313/(U187-(U168+U170+U171))),"n.a.",U313/(U187-(U168+U170+U171)))</f>
        <v>0.46105263157894738</v>
      </c>
      <c r="V46" s="69">
        <f t="shared" si="418"/>
        <v>0.59829861111111116</v>
      </c>
      <c r="W46" s="69">
        <f t="shared" ref="W46:X46" si="419">IF(ISERROR(W313/(W187-(W168+W170+W171))),"n.a.",W313/(W187-(W168+W170+W171)))</f>
        <v>0.48567398119122257</v>
      </c>
      <c r="X46" s="69">
        <f t="shared" si="419"/>
        <v>0.43033707865168541</v>
      </c>
      <c r="Y46" s="69">
        <f t="shared" ref="Y46:Z46" si="420">IF(ISERROR(Y313/(Y187-(Y168+Y170+Y171))),"n.a.",Y313/(Y187-(Y168+Y170+Y171)))</f>
        <v>0.31726681127982648</v>
      </c>
      <c r="Z46" s="69">
        <f t="shared" si="420"/>
        <v>0.29135826771653545</v>
      </c>
      <c r="AA46" s="69">
        <f t="shared" ref="AA46:AB46" si="421">IF(ISERROR(AA313/(AA187-(AA168+AA170+AA171))),"n.a.",AA313/(AA187-(AA168+AA170+AA171)))</f>
        <v>0.25016768292682928</v>
      </c>
      <c r="AB46" s="69">
        <f t="shared" si="421"/>
        <v>0.26539617486338796</v>
      </c>
      <c r="AC46" s="69">
        <f t="shared" ref="AC46:AD46" si="422">IF(ISERROR(AC313/(AC187-(AC168+AC170+AC171))),"n.a.",AC313/(AC187-(AC168+AC170+AC171)))</f>
        <v>0.22744353182751539</v>
      </c>
      <c r="AD46" s="69">
        <f t="shared" si="422"/>
        <v>0.19553571428571428</v>
      </c>
      <c r="AE46" s="69">
        <f t="shared" ref="AE46:AF46" si="423">IF(ISERROR(AE313/(AE187-(AE168+AE170+AE171))),"n.a.",AE313/(AE187-(AE168+AE170+AE171)))</f>
        <v>0.25890609874152953</v>
      </c>
      <c r="AF46" s="69">
        <f t="shared" si="423"/>
        <v>0.27140748031496065</v>
      </c>
      <c r="AG46" s="69">
        <f t="shared" ref="AG46:AH46" si="424">IF(ISERROR(AG313/(AG187-(AG168+AG170+AG171))),"n.a.",AG313/(AG187-(AG168+AG170+AG171)))</f>
        <v>0.28842105263157897</v>
      </c>
      <c r="AH46" s="69">
        <f t="shared" si="424"/>
        <v>0.26326623970722779</v>
      </c>
      <c r="AI46" s="69">
        <f t="shared" ref="AI46" si="425">IF(ISERROR(AI313/(AI187-(AI168+AI170+AI171))),"n.a.",AI313/(AI187-(AI168+AI170+AI171)))</f>
        <v>0.24616019818331958</v>
      </c>
      <c r="AJ46" s="89">
        <f>AI46*0.98</f>
        <v>0.24123699421965319</v>
      </c>
      <c r="AK46" s="56">
        <f>AJ46*0.98</f>
        <v>0.23641225433526011</v>
      </c>
      <c r="AL46" s="56">
        <f t="shared" ref="AL46:AS46" si="426">AK46*0.98</f>
        <v>0.2316840092485549</v>
      </c>
      <c r="AM46" s="56">
        <f t="shared" si="426"/>
        <v>0.2270503290635838</v>
      </c>
      <c r="AN46" s="56">
        <f t="shared" si="426"/>
        <v>0.22250932248231212</v>
      </c>
      <c r="AO46" s="56">
        <f t="shared" si="426"/>
        <v>0.21805913603266586</v>
      </c>
      <c r="AP46" s="56">
        <f t="shared" si="426"/>
        <v>0.21369795331201252</v>
      </c>
      <c r="AQ46" s="56">
        <f t="shared" si="426"/>
        <v>0.20942399424577227</v>
      </c>
      <c r="AR46" s="56">
        <f t="shared" si="426"/>
        <v>0.20523551436085682</v>
      </c>
      <c r="AS46" s="56">
        <f t="shared" si="426"/>
        <v>0.20113080407363967</v>
      </c>
      <c r="AT46" s="8"/>
      <c r="AU46" s="8" t="str">
        <f t="shared" ref="AU46" si="427">IF(ISERROR(AU313/(AU187-(AU168+AU170+AU171))),"n.a.",AU313/(AU187-(AU168+AU170+AU171)))</f>
        <v>n.a.</v>
      </c>
      <c r="AV46" s="69" t="str">
        <f t="shared" ref="AV46:AY46" si="428">IF(ISERROR(AV313/(AV187-(AV168+AV170+AV171))),"n.a.",AV313/(AV187-(AV168+AV170+AV171)))</f>
        <v>n.a.</v>
      </c>
      <c r="AW46" s="69" t="str">
        <f t="shared" si="428"/>
        <v>n.a.</v>
      </c>
      <c r="AX46" s="69">
        <f t="shared" si="428"/>
        <v>0.2811436170212766</v>
      </c>
      <c r="AY46" s="69">
        <f t="shared" si="428"/>
        <v>0.2340153452685422</v>
      </c>
      <c r="AZ46" s="69">
        <f t="shared" ref="AZ46:BH46" si="429">IF(ISERROR(AZ313/(AZ187-(AZ168+AZ170+AZ171))),"n.a.",AZ313/(AZ187-(AZ168+AZ170+AZ171)))</f>
        <v>0.39279742765273312</v>
      </c>
      <c r="BA46" s="69">
        <f t="shared" si="429"/>
        <v>0.37253229974160207</v>
      </c>
      <c r="BB46" s="69">
        <f t="shared" si="429"/>
        <v>0.44791122715404702</v>
      </c>
      <c r="BC46" s="69">
        <f t="shared" si="429"/>
        <v>0.43947530864197532</v>
      </c>
      <c r="BD46" s="69">
        <f t="shared" si="429"/>
        <v>0.46219135802469136</v>
      </c>
      <c r="BE46" s="69">
        <f t="shared" si="429"/>
        <v>0.36979262672811058</v>
      </c>
      <c r="BF46" s="69">
        <f t="shared" si="429"/>
        <v>0.29991507430997877</v>
      </c>
      <c r="BG46" s="69">
        <f t="shared" si="429"/>
        <v>0.36507812499999998</v>
      </c>
      <c r="BH46" s="69">
        <f t="shared" si="429"/>
        <v>0.46105263157894738</v>
      </c>
      <c r="BI46" s="69">
        <f t="shared" ref="BI46" si="430">IF(ISERROR(BI313/(BI187-(BI168+BI170+BI171))),"n.a.",BI313/(BI187-(BI168+BI170+BI171)))</f>
        <v>0.48567398119122257</v>
      </c>
      <c r="BJ46" s="69">
        <f t="shared" ref="BJ46:BO46" si="431">IF(ISERROR(BJ313/(BJ187-(BJ168+BJ170+BJ171))),"n.a.",BJ313/(BJ187-(BJ168+BJ170+BJ171)))</f>
        <v>0.31726681127982648</v>
      </c>
      <c r="BK46" s="69">
        <f t="shared" si="431"/>
        <v>0.25016768292682928</v>
      </c>
      <c r="BL46" s="69">
        <f t="shared" si="431"/>
        <v>0.22744353182751539</v>
      </c>
      <c r="BM46" s="69">
        <f t="shared" si="431"/>
        <v>0.25890609874152953</v>
      </c>
      <c r="BN46" s="69">
        <f t="shared" si="431"/>
        <v>0.28842105263157897</v>
      </c>
      <c r="BO46" s="89">
        <f t="shared" si="431"/>
        <v>0.24616019818331958</v>
      </c>
      <c r="BP46" s="69">
        <f t="shared" ref="BP46:BQ46" si="432">IF(ISERROR(BP313/(BP187-(BP168+BP170+BP171))),"n.a.",BP313/(BP187-(BP168+BP170+BP171)))</f>
        <v>0.23641225433526011</v>
      </c>
      <c r="BQ46" s="69">
        <f t="shared" si="432"/>
        <v>0.2270503290635838</v>
      </c>
      <c r="BR46" s="69">
        <f t="shared" ref="BR46:BS46" si="433">IF(ISERROR(BR313/(BR187-(BR168+BR170+BR171))),"n.a.",BR313/(BR187-(BR168+BR170+BR171)))</f>
        <v>0.21805913603266583</v>
      </c>
      <c r="BS46" s="69">
        <f t="shared" si="433"/>
        <v>0.20942399424577227</v>
      </c>
      <c r="BT46" s="69">
        <f>IF(ISERROR(BT313/(BT187-(BT168+BT170+BT171))),"n.a.",BT313/(BT187-(BT168+BT170+BT171)))</f>
        <v>0.20113080407363965</v>
      </c>
    </row>
    <row r="47" spans="1:72" ht="12" customHeight="1" outlineLevel="1">
      <c r="A47" s="91" t="s">
        <v>115</v>
      </c>
      <c r="B47" s="87" t="s">
        <v>462</v>
      </c>
      <c r="C47" s="8"/>
      <c r="D47" s="41" t="s">
        <v>214</v>
      </c>
      <c r="E47" s="41" t="s">
        <v>214</v>
      </c>
      <c r="F47" s="41" t="s">
        <v>214</v>
      </c>
      <c r="G47" s="41" t="s">
        <v>214</v>
      </c>
      <c r="H47" s="41" t="s">
        <v>214</v>
      </c>
      <c r="I47" s="41" t="s">
        <v>214</v>
      </c>
      <c r="J47" s="59" t="s">
        <v>214</v>
      </c>
      <c r="K47" s="59" t="s">
        <v>214</v>
      </c>
      <c r="L47" s="59" t="s">
        <v>214</v>
      </c>
      <c r="M47" s="59" t="s">
        <v>214</v>
      </c>
      <c r="N47" s="59" t="s">
        <v>214</v>
      </c>
      <c r="O47" s="59" t="s">
        <v>214</v>
      </c>
      <c r="P47" s="59" t="s">
        <v>214</v>
      </c>
      <c r="Q47" s="59" t="s">
        <v>214</v>
      </c>
      <c r="R47" s="59" t="s">
        <v>214</v>
      </c>
      <c r="S47" s="59" t="s">
        <v>214</v>
      </c>
      <c r="T47" s="59" t="s">
        <v>214</v>
      </c>
      <c r="U47" s="59" t="s">
        <v>214</v>
      </c>
      <c r="V47" s="59" t="s">
        <v>214</v>
      </c>
      <c r="W47" s="59" t="s">
        <v>214</v>
      </c>
      <c r="X47" s="59" t="s">
        <v>214</v>
      </c>
      <c r="Y47" s="59" t="s">
        <v>214</v>
      </c>
      <c r="Z47" s="59" t="s">
        <v>214</v>
      </c>
      <c r="AA47" s="59" t="s">
        <v>214</v>
      </c>
      <c r="AB47" s="59" t="s">
        <v>214</v>
      </c>
      <c r="AC47" s="59" t="s">
        <v>214</v>
      </c>
      <c r="AD47" s="59" t="s">
        <v>214</v>
      </c>
      <c r="AE47" s="59" t="s">
        <v>214</v>
      </c>
      <c r="AF47" s="59" t="s">
        <v>214</v>
      </c>
      <c r="AG47" s="59" t="s">
        <v>214</v>
      </c>
      <c r="AH47" s="59" t="s">
        <v>214</v>
      </c>
      <c r="AI47" s="59" t="s">
        <v>214</v>
      </c>
      <c r="AJ47" s="60" t="s">
        <v>214</v>
      </c>
      <c r="AK47" s="59" t="s">
        <v>214</v>
      </c>
      <c r="AL47" s="59" t="s">
        <v>214</v>
      </c>
      <c r="AM47" s="59" t="s">
        <v>214</v>
      </c>
      <c r="AN47" s="59" t="s">
        <v>214</v>
      </c>
      <c r="AO47" s="59" t="s">
        <v>214</v>
      </c>
      <c r="AP47" s="59" t="s">
        <v>214</v>
      </c>
      <c r="AQ47" s="59" t="s">
        <v>214</v>
      </c>
      <c r="AR47" s="59" t="s">
        <v>214</v>
      </c>
      <c r="AS47" s="59" t="s">
        <v>214</v>
      </c>
      <c r="AT47" s="8"/>
      <c r="AU47" s="8" t="s">
        <v>214</v>
      </c>
      <c r="AV47" s="41" t="s">
        <v>214</v>
      </c>
      <c r="AW47" s="41" t="s">
        <v>214</v>
      </c>
      <c r="AX47" s="41" t="s">
        <v>214</v>
      </c>
      <c r="AY47" s="41" t="s">
        <v>214</v>
      </c>
      <c r="AZ47" s="41" t="str">
        <f>E47</f>
        <v>CET1</v>
      </c>
      <c r="BA47" s="41" t="str">
        <f>G47</f>
        <v>CET1</v>
      </c>
      <c r="BB47" s="41" t="str">
        <f>I47</f>
        <v>CET1</v>
      </c>
      <c r="BC47" s="41" t="str">
        <f>K47</f>
        <v>CET1</v>
      </c>
      <c r="BD47" s="41" t="str">
        <f>M47</f>
        <v>CET1</v>
      </c>
      <c r="BE47" s="41" t="str">
        <f>O47</f>
        <v>CET1</v>
      </c>
      <c r="BF47" s="41" t="str">
        <f>Q47</f>
        <v>CET1</v>
      </c>
      <c r="BG47" s="41" t="str">
        <f>S47</f>
        <v>CET1</v>
      </c>
      <c r="BH47" s="41" t="str">
        <f>U47</f>
        <v>CET1</v>
      </c>
      <c r="BI47" s="41" t="str">
        <f>W47</f>
        <v>CET1</v>
      </c>
      <c r="BJ47" s="41" t="str">
        <f>Y47</f>
        <v>CET1</v>
      </c>
      <c r="BK47" s="41" t="str">
        <f>AA47</f>
        <v>CET1</v>
      </c>
      <c r="BL47" s="41" t="str">
        <f>AC47</f>
        <v>CET1</v>
      </c>
      <c r="BM47" s="41" t="str">
        <f>AE47</f>
        <v>CET1</v>
      </c>
      <c r="BN47" s="41" t="str">
        <f>AG47</f>
        <v>CET1</v>
      </c>
      <c r="BO47" s="42" t="str">
        <f>AI47</f>
        <v>CET1</v>
      </c>
      <c r="BP47" s="41" t="str">
        <f>AK47</f>
        <v>CET1</v>
      </c>
      <c r="BQ47" s="41" t="str">
        <f>AM47</f>
        <v>CET1</v>
      </c>
      <c r="BR47" s="41" t="str">
        <f>AO47</f>
        <v>CET1</v>
      </c>
      <c r="BS47" s="41" t="str">
        <f>AQ47</f>
        <v>CET1</v>
      </c>
      <c r="BT47" s="41" t="str">
        <f>AS47</f>
        <v>CET1</v>
      </c>
    </row>
    <row r="48" spans="1:72" ht="12" customHeight="1" outlineLevel="1">
      <c r="A48" s="91" t="s">
        <v>213</v>
      </c>
      <c r="B48" s="87" t="s">
        <v>463</v>
      </c>
      <c r="C48" s="8"/>
      <c r="D48" s="166">
        <v>8.2500000000000004E-2</v>
      </c>
      <c r="E48" s="166">
        <v>8.2500000000000004E-2</v>
      </c>
      <c r="F48" s="166">
        <v>8.2500000000000004E-2</v>
      </c>
      <c r="G48" s="166">
        <v>8.2500000000000004E-2</v>
      </c>
      <c r="H48" s="166">
        <v>8.2500000000000004E-2</v>
      </c>
      <c r="I48" s="166">
        <v>8.2500000000000004E-2</v>
      </c>
      <c r="J48" s="166">
        <v>8.2500000000000004E-2</v>
      </c>
      <c r="K48" s="166">
        <v>8.2500000000000004E-2</v>
      </c>
      <c r="L48" s="166">
        <v>8.2500000000000004E-2</v>
      </c>
      <c r="M48" s="166">
        <v>8.2500000000000004E-2</v>
      </c>
      <c r="N48" s="166">
        <v>8.5000000000000006E-2</v>
      </c>
      <c r="O48" s="166">
        <v>8.5000000000000006E-2</v>
      </c>
      <c r="P48" s="166">
        <v>8.5000000000000006E-2</v>
      </c>
      <c r="Q48" s="166">
        <v>8.5000000000000006E-2</v>
      </c>
      <c r="R48" s="166">
        <v>8.5000000000000006E-2</v>
      </c>
      <c r="S48" s="166">
        <v>8.5000000000000006E-2</v>
      </c>
      <c r="T48" s="166">
        <v>9.5000000000000001E-2</v>
      </c>
      <c r="U48" s="166">
        <v>9.5000000000000001E-2</v>
      </c>
      <c r="V48" s="166">
        <v>9.5000000000000001E-2</v>
      </c>
      <c r="W48" s="166">
        <v>9.5000000000000001E-2</v>
      </c>
      <c r="X48" s="166">
        <v>9.5000000000000001E-2</v>
      </c>
      <c r="Y48" s="166">
        <v>9.5000000000000001E-2</v>
      </c>
      <c r="Z48" s="166">
        <v>9.5000000000000001E-2</v>
      </c>
      <c r="AA48" s="166">
        <v>9.5000000000000001E-2</v>
      </c>
      <c r="AB48" s="166">
        <v>9.5000000000000001E-2</v>
      </c>
      <c r="AC48" s="166">
        <v>9.5000000000000001E-2</v>
      </c>
      <c r="AD48" s="166">
        <v>9.5000000000000001E-2</v>
      </c>
      <c r="AE48" s="166">
        <v>0.10249999999999999</v>
      </c>
      <c r="AF48" s="166">
        <v>0.105</v>
      </c>
      <c r="AG48" s="166">
        <v>0.105</v>
      </c>
      <c r="AH48" s="166">
        <v>0.105</v>
      </c>
      <c r="AI48" s="166">
        <v>0.105</v>
      </c>
      <c r="AJ48" s="355">
        <f t="shared" ref="AJ48:AO48" si="434">AI48</f>
        <v>0.105</v>
      </c>
      <c r="AK48" s="66">
        <f t="shared" si="434"/>
        <v>0.105</v>
      </c>
      <c r="AL48" s="66">
        <f t="shared" si="434"/>
        <v>0.105</v>
      </c>
      <c r="AM48" s="66">
        <f t="shared" si="434"/>
        <v>0.105</v>
      </c>
      <c r="AN48" s="66">
        <f t="shared" si="434"/>
        <v>0.105</v>
      </c>
      <c r="AO48" s="66">
        <f t="shared" si="434"/>
        <v>0.105</v>
      </c>
      <c r="AP48" s="66">
        <f t="shared" ref="AP48" si="435">AO48</f>
        <v>0.105</v>
      </c>
      <c r="AQ48" s="66">
        <f t="shared" ref="AQ48" si="436">AP48</f>
        <v>0.105</v>
      </c>
      <c r="AR48" s="66">
        <f t="shared" ref="AR48" si="437">AQ48</f>
        <v>0.105</v>
      </c>
      <c r="AS48" s="66">
        <f t="shared" ref="AS48" si="438">AR48</f>
        <v>0.105</v>
      </c>
      <c r="AT48" s="8"/>
      <c r="AU48" s="166">
        <v>8.2500000000000004E-2</v>
      </c>
      <c r="AV48" s="166">
        <v>8.2500000000000004E-2</v>
      </c>
      <c r="AW48" s="166">
        <v>8.2500000000000004E-2</v>
      </c>
      <c r="AX48" s="166">
        <v>8.2500000000000004E-2</v>
      </c>
      <c r="AY48" s="166">
        <v>8.2500000000000004E-2</v>
      </c>
      <c r="AZ48" s="37">
        <f>E48</f>
        <v>8.2500000000000004E-2</v>
      </c>
      <c r="BA48" s="37">
        <f>G48</f>
        <v>8.2500000000000004E-2</v>
      </c>
      <c r="BB48" s="37">
        <f>I48</f>
        <v>8.2500000000000004E-2</v>
      </c>
      <c r="BC48" s="37">
        <f>K48</f>
        <v>8.2500000000000004E-2</v>
      </c>
      <c r="BD48" s="37">
        <f>M48</f>
        <v>8.2500000000000004E-2</v>
      </c>
      <c r="BE48" s="37">
        <f>O48</f>
        <v>8.5000000000000006E-2</v>
      </c>
      <c r="BF48" s="37">
        <f>Q48</f>
        <v>8.5000000000000006E-2</v>
      </c>
      <c r="BG48" s="37">
        <f>S48</f>
        <v>8.5000000000000006E-2</v>
      </c>
      <c r="BH48" s="37">
        <f>U48</f>
        <v>9.5000000000000001E-2</v>
      </c>
      <c r="BI48" s="37">
        <f>W48</f>
        <v>9.5000000000000001E-2</v>
      </c>
      <c r="BJ48" s="37">
        <f>Y48</f>
        <v>9.5000000000000001E-2</v>
      </c>
      <c r="BK48" s="37">
        <f>AA48</f>
        <v>9.5000000000000001E-2</v>
      </c>
      <c r="BL48" s="37">
        <f>AC48</f>
        <v>9.5000000000000001E-2</v>
      </c>
      <c r="BM48" s="37">
        <f>AE48</f>
        <v>0.10249999999999999</v>
      </c>
      <c r="BN48" s="37">
        <f>AG48</f>
        <v>0.105</v>
      </c>
      <c r="BO48" s="38">
        <f>AI48</f>
        <v>0.105</v>
      </c>
      <c r="BP48" s="37">
        <f>AK48</f>
        <v>0.105</v>
      </c>
      <c r="BQ48" s="37">
        <f>AM48</f>
        <v>0.105</v>
      </c>
      <c r="BR48" s="37">
        <f>AO48</f>
        <v>0.105</v>
      </c>
      <c r="BS48" s="37">
        <f>AQ48</f>
        <v>0.105</v>
      </c>
      <c r="BT48" s="37">
        <f>AS48</f>
        <v>0.105</v>
      </c>
    </row>
    <row r="49" spans="1:72" ht="12" customHeight="1" outlineLevel="1">
      <c r="A49" s="91" t="s">
        <v>116</v>
      </c>
      <c r="B49" s="1" t="s">
        <v>464</v>
      </c>
      <c r="C49" s="8"/>
      <c r="D49" s="69">
        <f>IF(ISERROR(D304/D314),"n.a.",D304/D314)</f>
        <v>0.10638643752902927</v>
      </c>
      <c r="E49" s="69">
        <f t="shared" ref="E49:K49" si="439">IF(ISERROR(E304/E314),"n.a.",E304/E314)</f>
        <v>0.10574018126888217</v>
      </c>
      <c r="F49" s="69">
        <f t="shared" si="439"/>
        <v>9.9174939005084464E-2</v>
      </c>
      <c r="G49" s="69">
        <f t="shared" si="439"/>
        <v>9.886281588447654E-2</v>
      </c>
      <c r="H49" s="69">
        <f t="shared" si="439"/>
        <v>0.11301887120015278</v>
      </c>
      <c r="I49" s="69">
        <f t="shared" si="439"/>
        <v>0.1013387047897467</v>
      </c>
      <c r="J49" s="69">
        <f t="shared" si="439"/>
        <v>9.8357436172112123E-2</v>
      </c>
      <c r="K49" s="69">
        <f t="shared" si="439"/>
        <v>9.7168211330580914E-2</v>
      </c>
      <c r="L49" s="69">
        <f t="shared" ref="L49:M49" si="440">IF(ISERROR(L304/L314),"n.a.",L304/L314)</f>
        <v>9.7622684743173579E-2</v>
      </c>
      <c r="M49" s="69">
        <f t="shared" si="440"/>
        <v>9.6167311029255076E-2</v>
      </c>
      <c r="N49" s="69">
        <f t="shared" ref="N49:P49" si="441">IF(ISERROR(N304/N314),"n.a.",N304/N314)</f>
        <v>8.7299658293181592E-2</v>
      </c>
      <c r="O49" s="69">
        <f t="shared" si="441"/>
        <v>9.7284361668921029E-2</v>
      </c>
      <c r="P49" s="69">
        <f t="shared" si="441"/>
        <v>9.8659587431456169E-2</v>
      </c>
      <c r="Q49" s="69">
        <f t="shared" ref="Q49:R49" si="442">IF(ISERROR(Q304/Q314),"n.a.",Q304/Q314)</f>
        <v>0.10739256480218282</v>
      </c>
      <c r="R49" s="69">
        <f t="shared" si="442"/>
        <v>0.1042436804205218</v>
      </c>
      <c r="S49" s="69">
        <f t="shared" ref="S49" si="443">S304/S314</f>
        <v>0.11135798080341272</v>
      </c>
      <c r="T49" s="69">
        <f t="shared" ref="T49:U49" si="444">T304/T314</f>
        <v>0.11044909344490934</v>
      </c>
      <c r="U49" s="69">
        <f t="shared" si="444"/>
        <v>0.11041098877139431</v>
      </c>
      <c r="V49" s="69">
        <f t="shared" ref="V49:AA49" si="445">V304/V314</f>
        <v>0.10394791666666667</v>
      </c>
      <c r="W49" s="69">
        <f t="shared" si="445"/>
        <v>0.11402660061663893</v>
      </c>
      <c r="X49" s="69">
        <f t="shared" si="445"/>
        <v>0.11391499795668165</v>
      </c>
      <c r="Y49" s="69">
        <f t="shared" si="445"/>
        <v>0.12187035913740091</v>
      </c>
      <c r="Z49" s="69">
        <f t="shared" si="445"/>
        <v>0.13530929286784504</v>
      </c>
      <c r="AA49" s="69">
        <f t="shared" si="445"/>
        <v>0.12595744680851065</v>
      </c>
      <c r="AB49" s="69">
        <f t="shared" ref="AB49:AC49" si="446">AB304/AB314</f>
        <v>0.11725619806183823</v>
      </c>
      <c r="AC49" s="69">
        <f t="shared" si="446"/>
        <v>0.11462798530312308</v>
      </c>
      <c r="AD49" s="69">
        <f t="shared" ref="AD49:AE49" si="447">AD304/AD314</f>
        <v>0.128551068181986</v>
      </c>
      <c r="AE49" s="69">
        <f t="shared" si="447"/>
        <v>0.13732592771472268</v>
      </c>
      <c r="AF49" s="69">
        <f t="shared" ref="AF49:AG49" si="448">AF304/AF314</f>
        <v>0.13331418816509516</v>
      </c>
      <c r="AG49" s="69">
        <f t="shared" si="448"/>
        <v>0.13733732491585102</v>
      </c>
      <c r="AH49" s="69">
        <f t="shared" ref="AH49:AI49" si="449">AH304/AH314</f>
        <v>0.12859834377601542</v>
      </c>
      <c r="AI49" s="69">
        <f t="shared" si="449"/>
        <v>0.12888150935311524</v>
      </c>
      <c r="AJ49" s="89">
        <f t="shared" ref="AJ49" si="450">AJ304/AJ314</f>
        <v>0.12517428045898762</v>
      </c>
      <c r="AK49" s="69">
        <f>AK304/AK314</f>
        <v>0.11780542443957</v>
      </c>
      <c r="AL49" s="69">
        <f t="shared" ref="AL49:AM49" si="451">AL304/AL314</f>
        <v>0.11703791472239167</v>
      </c>
      <c r="AM49" s="69">
        <f t="shared" si="451"/>
        <v>0.11884734914058585</v>
      </c>
      <c r="AN49" s="69">
        <f t="shared" ref="AN49:AO49" si="452">AN304/AN314</f>
        <v>0.11851102291653719</v>
      </c>
      <c r="AO49" s="69">
        <f t="shared" si="452"/>
        <v>0.12147328949221813</v>
      </c>
      <c r="AP49" s="69">
        <f t="shared" ref="AP49:AQ49" si="453">AP304/AP314</f>
        <v>0.11849563299820486</v>
      </c>
      <c r="AQ49" s="69">
        <f t="shared" si="453"/>
        <v>0.11916744373329412</v>
      </c>
      <c r="AR49" s="69">
        <f t="shared" ref="AR49:AS49" si="454">AR304/AR314</f>
        <v>0.11739075566401649</v>
      </c>
      <c r="AS49" s="69">
        <f t="shared" si="454"/>
        <v>0.11754998888776548</v>
      </c>
      <c r="AT49" s="8"/>
      <c r="AU49" s="69">
        <f t="shared" ref="AU49:AY49" si="455">IF(ISERROR(AU304/AU314),"n.a.",AU304/AU314)</f>
        <v>0.11203277527692074</v>
      </c>
      <c r="AV49" s="69">
        <f t="shared" si="455"/>
        <v>8.994469757573649E-2</v>
      </c>
      <c r="AW49" s="69">
        <f t="shared" si="455"/>
        <v>0.11841771187731681</v>
      </c>
      <c r="AX49" s="69">
        <f t="shared" si="455"/>
        <v>9.4840787875587473E-2</v>
      </c>
      <c r="AY49" s="69">
        <f t="shared" si="455"/>
        <v>9.1636066911464711E-2</v>
      </c>
      <c r="AZ49" s="69">
        <f t="shared" ref="AZ49:BH49" si="456">IF(ISERROR(AZ304/AZ314),"n.a.",AZ304/AZ314)</f>
        <v>0.10574018126888217</v>
      </c>
      <c r="BA49" s="69">
        <f t="shared" si="456"/>
        <v>9.886281588447654E-2</v>
      </c>
      <c r="BB49" s="69">
        <f t="shared" si="456"/>
        <v>0.1013387047897467</v>
      </c>
      <c r="BC49" s="69">
        <f t="shared" si="456"/>
        <v>9.7168211330580914E-2</v>
      </c>
      <c r="BD49" s="69">
        <f t="shared" si="456"/>
        <v>9.6167311029255076E-2</v>
      </c>
      <c r="BE49" s="69">
        <f t="shared" si="456"/>
        <v>9.7284361668921029E-2</v>
      </c>
      <c r="BF49" s="69">
        <f t="shared" si="456"/>
        <v>0.10739256480218282</v>
      </c>
      <c r="BG49" s="69">
        <f t="shared" si="456"/>
        <v>0.11135798080341272</v>
      </c>
      <c r="BH49" s="69">
        <f t="shared" si="456"/>
        <v>0.11041098877139431</v>
      </c>
      <c r="BI49" s="69">
        <f t="shared" ref="BI49" si="457">IF(ISERROR(BI304/BI314),"n.a.",BI304/BI314)</f>
        <v>0.11402660061663893</v>
      </c>
      <c r="BJ49" s="69">
        <f t="shared" ref="BJ49:BO49" si="458">IF(ISERROR(BJ304/BJ314),"n.a.",BJ304/BJ314)</f>
        <v>0.12187035913740091</v>
      </c>
      <c r="BK49" s="69">
        <f t="shared" si="458"/>
        <v>0.12595744680851065</v>
      </c>
      <c r="BL49" s="69">
        <f t="shared" si="458"/>
        <v>0.11462798530312308</v>
      </c>
      <c r="BM49" s="69">
        <f t="shared" si="458"/>
        <v>0.13732592771472268</v>
      </c>
      <c r="BN49" s="69">
        <f t="shared" si="458"/>
        <v>0.13733732491585102</v>
      </c>
      <c r="BO49" s="89">
        <f t="shared" si="458"/>
        <v>0.12888150935311524</v>
      </c>
      <c r="BP49" s="69">
        <f t="shared" ref="BP49:BQ49" si="459">IF(ISERROR(BP304/BP314),"n.a.",BP304/BP314)</f>
        <v>0.11780542443957</v>
      </c>
      <c r="BQ49" s="69">
        <f t="shared" si="459"/>
        <v>0.11884734914058585</v>
      </c>
      <c r="BR49" s="69">
        <f t="shared" ref="BR49:BS49" si="460">IF(ISERROR(BR304/BR314),"n.a.",BR304/BR314)</f>
        <v>0.12147328949221813</v>
      </c>
      <c r="BS49" s="69">
        <f t="shared" si="460"/>
        <v>0.11916744373329412</v>
      </c>
      <c r="BT49" s="69">
        <f>IF(ISERROR(BT304/BT314),"n.a.",BT304/BT314)</f>
        <v>0.11754998888776548</v>
      </c>
    </row>
    <row r="50" spans="1:72" ht="12" customHeight="1" outlineLevel="1">
      <c r="B50" s="1" t="s">
        <v>119</v>
      </c>
      <c r="C50" s="8"/>
      <c r="D50" s="157">
        <f>IF(ISERROR(D321/(D222*8%)),"n.a.",D321/(D222*8%))</f>
        <v>0.1125</v>
      </c>
      <c r="E50" s="157">
        <f t="shared" ref="E50:K50" si="461">IF(ISERROR(E321/(E222*8%)),"n.a.",E321/(E222*8%))</f>
        <v>0.13690476190476192</v>
      </c>
      <c r="F50" s="157">
        <f t="shared" si="461"/>
        <v>0.13020833333333334</v>
      </c>
      <c r="G50" s="157">
        <f t="shared" si="461"/>
        <v>0.13636363636363635</v>
      </c>
      <c r="H50" s="157">
        <f t="shared" si="461"/>
        <v>0.14772727272727273</v>
      </c>
      <c r="I50" s="157">
        <f t="shared" si="461"/>
        <v>8.6956521739130432E-2</v>
      </c>
      <c r="J50" s="157">
        <f t="shared" si="461"/>
        <v>0.11805555555555555</v>
      </c>
      <c r="K50" s="157">
        <f t="shared" si="461"/>
        <v>0.1388888888888889</v>
      </c>
      <c r="L50" s="157">
        <f t="shared" ref="L50:M50" si="462">IF(ISERROR(L321/(L222*8%)),"n.a.",L321/(L222*8%))</f>
        <v>0.125</v>
      </c>
      <c r="M50" s="157">
        <f t="shared" si="462"/>
        <v>0.15277777777777779</v>
      </c>
      <c r="N50" s="157">
        <f t="shared" ref="N50" si="463">IF(ISERROR(N321/(N222*8%)),"n.a.",N321/(N222*8%))</f>
        <v>0.16911764705882354</v>
      </c>
      <c r="O50" s="157">
        <f t="shared" ref="O50:P50" si="464">IF(ISERROR(O321/(O222*8%)),"n.a.",O321/(O222*8%))</f>
        <v>0.19736842105263158</v>
      </c>
      <c r="P50" s="157">
        <f t="shared" si="464"/>
        <v>0.13970588235294118</v>
      </c>
      <c r="Q50" s="157">
        <f t="shared" ref="Q50:R50" si="465">IF(ISERROR(Q321/(Q222*8%)),"n.a.",Q321/(Q222*8%))</f>
        <v>0.15</v>
      </c>
      <c r="R50" s="157">
        <f t="shared" si="465"/>
        <v>0.16176470588235295</v>
      </c>
      <c r="S50" s="157">
        <f t="shared" ref="S50:T50" si="466">IF(ISERROR(S321/(S222*8%)),"n.a.",S321/(S222*8%))</f>
        <v>0.14705882352941177</v>
      </c>
      <c r="T50" s="157">
        <f t="shared" si="466"/>
        <v>0.15277777777777779</v>
      </c>
      <c r="U50" s="157">
        <f t="shared" ref="U50:V50" si="467">IF(ISERROR(U321/(U222*8%)),"n.a.",U321/(U222*8%))</f>
        <v>0.19444444444444445</v>
      </c>
      <c r="V50" s="157">
        <f t="shared" si="467"/>
        <v>0.22619047619047619</v>
      </c>
      <c r="W50" s="157">
        <f t="shared" ref="W50:X50" si="468">IF(ISERROR(W321/(W222*8%)),"n.a.",W321/(W222*8%))</f>
        <v>0.21249999999999999</v>
      </c>
      <c r="X50" s="157">
        <f t="shared" si="468"/>
        <v>0.39583333333333331</v>
      </c>
      <c r="Y50" s="157">
        <f t="shared" ref="Y50:Z50" si="469">IF(ISERROR(Y321/(Y222*8%)),"n.a.",Y321/(Y222*8%))</f>
        <v>0.12028301886792453</v>
      </c>
      <c r="Z50" s="157">
        <f t="shared" si="469"/>
        <v>0.19090909090909092</v>
      </c>
      <c r="AA50" s="157">
        <f t="shared" ref="AA50:AB50" si="470">IF(ISERROR(AA321/(AA222*8%)),"n.a.",AA321/(AA222*8%))</f>
        <v>0.21739130434782608</v>
      </c>
      <c r="AB50" s="157">
        <f t="shared" si="470"/>
        <v>0.1581858407079646</v>
      </c>
      <c r="AC50" s="157">
        <f t="shared" ref="AC50:AD50" si="471">IF(ISERROR(AC321/(AC222*8%)),"n.a.",AC321/(AC222*8%))</f>
        <v>0.17845394736842105</v>
      </c>
      <c r="AD50" s="157">
        <f t="shared" si="471"/>
        <v>0.22890625000000001</v>
      </c>
      <c r="AE50" s="157">
        <f t="shared" ref="AE50:AF50" si="472">IF(ISERROR(AE321/(AE222*8%)),"n.a.",AE321/(AE222*8%))</f>
        <v>0.21266233766233766</v>
      </c>
      <c r="AF50" s="157">
        <f t="shared" si="472"/>
        <v>0.26113013698630139</v>
      </c>
      <c r="AG50" s="157">
        <f t="shared" ref="AG50:AH50" si="473">IF(ISERROR(AG321/(AG222*8%)),"n.a.",AG321/(AG222*8%))</f>
        <v>0.22373188405797101</v>
      </c>
      <c r="AH50" s="157">
        <f t="shared" si="473"/>
        <v>0.30104166666666665</v>
      </c>
      <c r="AI50" s="157">
        <f t="shared" ref="AI50" si="474">IF(ISERROR(AI321/(AI222*8%)),"n.a.",AI321/(AI222*8%))</f>
        <v>0.34478007399096339</v>
      </c>
      <c r="AJ50" s="158">
        <f>AI50</f>
        <v>0.34478007399096339</v>
      </c>
      <c r="AK50" s="68">
        <f t="shared" ref="AK50:AS50" si="475">AJ50</f>
        <v>0.34478007399096339</v>
      </c>
      <c r="AL50" s="68">
        <f t="shared" si="475"/>
        <v>0.34478007399096339</v>
      </c>
      <c r="AM50" s="68">
        <f t="shared" si="475"/>
        <v>0.34478007399096339</v>
      </c>
      <c r="AN50" s="68">
        <f t="shared" si="475"/>
        <v>0.34478007399096339</v>
      </c>
      <c r="AO50" s="68">
        <f t="shared" si="475"/>
        <v>0.34478007399096339</v>
      </c>
      <c r="AP50" s="68">
        <f t="shared" si="475"/>
        <v>0.34478007399096339</v>
      </c>
      <c r="AQ50" s="68">
        <f t="shared" si="475"/>
        <v>0.34478007399096339</v>
      </c>
      <c r="AR50" s="68">
        <f t="shared" si="475"/>
        <v>0.34478007399096339</v>
      </c>
      <c r="AS50" s="68">
        <f t="shared" si="475"/>
        <v>0.34478007399096339</v>
      </c>
      <c r="AT50" s="8"/>
      <c r="AU50" s="8" t="str">
        <f t="shared" ref="AU50" si="476">IF(ISERROR(AU321/(AU222*8%)),"n.a.",AU321/(AU222*8%))</f>
        <v>n.a.</v>
      </c>
      <c r="AV50" s="157" t="str">
        <f t="shared" ref="AV50:AY50" si="477">IF(ISERROR(AV321/(AV222*8%)),"n.a.",AV321/(AV222*8%))</f>
        <v>n.a.</v>
      </c>
      <c r="AW50" s="157" t="str">
        <f t="shared" si="477"/>
        <v>n.a.</v>
      </c>
      <c r="AX50" s="157">
        <f t="shared" si="477"/>
        <v>0</v>
      </c>
      <c r="AY50" s="157">
        <f t="shared" si="477"/>
        <v>4.1666666666666664E-2</v>
      </c>
      <c r="AZ50" s="157">
        <f t="shared" ref="AZ50:BH50" si="478">IF(ISERROR(AZ321/(AZ222*8%)),"n.a.",AZ321/(AZ222*8%))</f>
        <v>0.13690476190476192</v>
      </c>
      <c r="BA50" s="157">
        <f t="shared" si="478"/>
        <v>0.13636363636363635</v>
      </c>
      <c r="BB50" s="157">
        <f t="shared" si="478"/>
        <v>8.6956521739130432E-2</v>
      </c>
      <c r="BC50" s="157">
        <f t="shared" si="478"/>
        <v>0.1388888888888889</v>
      </c>
      <c r="BD50" s="157">
        <f t="shared" si="478"/>
        <v>0.15277777777777779</v>
      </c>
      <c r="BE50" s="157">
        <f t="shared" si="478"/>
        <v>0.19736842105263158</v>
      </c>
      <c r="BF50" s="157">
        <f t="shared" si="478"/>
        <v>0.15</v>
      </c>
      <c r="BG50" s="157">
        <f t="shared" si="478"/>
        <v>0.14705882352941177</v>
      </c>
      <c r="BH50" s="157">
        <f t="shared" si="478"/>
        <v>0.19444444444444445</v>
      </c>
      <c r="BI50" s="157">
        <f t="shared" ref="BI50" si="479">IF(ISERROR(BI321/(BI222*8%)),"n.a.",BI321/(BI222*8%))</f>
        <v>0.21249999999999999</v>
      </c>
      <c r="BJ50" s="157">
        <f t="shared" ref="BJ50:BO50" si="480">IF(ISERROR(BJ321/(BJ222*8%)),"n.a.",BJ321/(BJ222*8%))</f>
        <v>0.12028301886792453</v>
      </c>
      <c r="BK50" s="157">
        <f t="shared" si="480"/>
        <v>0.21739130434782608</v>
      </c>
      <c r="BL50" s="157">
        <f t="shared" si="480"/>
        <v>0.17845394736842105</v>
      </c>
      <c r="BM50" s="157">
        <f t="shared" si="480"/>
        <v>0.21266233766233766</v>
      </c>
      <c r="BN50" s="157">
        <f t="shared" si="480"/>
        <v>0.22373188405797101</v>
      </c>
      <c r="BO50" s="158">
        <f t="shared" si="480"/>
        <v>0.34478007399096339</v>
      </c>
      <c r="BP50" s="157">
        <f t="shared" ref="BP50:BQ50" si="481">IF(ISERROR(BP321/(BP222*8%)),"n.a.",BP321/(BP222*8%))</f>
        <v>0.34478007399096339</v>
      </c>
      <c r="BQ50" s="157">
        <f t="shared" si="481"/>
        <v>0.34478007399096339</v>
      </c>
      <c r="BR50" s="157">
        <f t="shared" ref="BR50:BS50" si="482">IF(ISERROR(BR321/(BR222*8%)),"n.a.",BR321/(BR222*8%))</f>
        <v>0.34478007399096333</v>
      </c>
      <c r="BS50" s="157">
        <f t="shared" si="482"/>
        <v>0.34478007399096339</v>
      </c>
      <c r="BT50" s="157">
        <f>IF(ISERROR(BT321/(BT222*8%)),"n.a.",BT321/(BT222*8%))</f>
        <v>0.34478007399096339</v>
      </c>
    </row>
    <row r="51" spans="1:72" ht="12" customHeight="1" outlineLevel="1">
      <c r="B51" s="1" t="s">
        <v>120</v>
      </c>
      <c r="C51" s="8"/>
      <c r="D51" s="157">
        <f>IF(ISERROR(D322/(SUM(D225:D226)*8%)),"n.a.",D322/(SUM(D225:D226)*8%))</f>
        <v>0.90909090909090906</v>
      </c>
      <c r="E51" s="157">
        <f t="shared" ref="E51:K51" si="483">IF(ISERROR(E322/(SUM(E225:E226)*8%)),"n.a.",E322/(SUM(E225:E226)*8%))</f>
        <v>0.7589285714285714</v>
      </c>
      <c r="F51" s="157">
        <f t="shared" si="483"/>
        <v>1</v>
      </c>
      <c r="G51" s="157">
        <f t="shared" si="483"/>
        <v>1.2410714285714286</v>
      </c>
      <c r="H51" s="157">
        <f t="shared" si="483"/>
        <v>1.3194444444444444</v>
      </c>
      <c r="I51" s="157">
        <f t="shared" si="483"/>
        <v>1.1057692307692308</v>
      </c>
      <c r="J51" s="157">
        <f t="shared" si="483"/>
        <v>0.88235294117647056</v>
      </c>
      <c r="K51" s="157">
        <f t="shared" si="483"/>
        <v>1.3303571428571428</v>
      </c>
      <c r="L51" s="157">
        <f t="shared" ref="L51:M51" si="484">IF(ISERROR(L322/(SUM(L225:L226)*8%)),"n.a.",L322/(SUM(L225:L226)*8%))</f>
        <v>1.7142857142857142</v>
      </c>
      <c r="M51" s="157">
        <f t="shared" si="484"/>
        <v>1.5625</v>
      </c>
      <c r="N51" s="157">
        <f t="shared" ref="N51" si="485">IF(ISERROR(N322/(SUM(N225:N226)*8%)),"n.a.",N322/(SUM(N225:N226)*8%))</f>
        <v>1.4270833333333333</v>
      </c>
      <c r="O51" s="157">
        <f t="shared" ref="O51:P51" si="486">IF(ISERROR(O322/(SUM(O225:O226)*8%)),"n.a.",O322/(SUM(O225:O226)*8%))</f>
        <v>1.3229166666666667</v>
      </c>
      <c r="P51" s="157">
        <f t="shared" si="486"/>
        <v>1.1736111111111112</v>
      </c>
      <c r="Q51" s="157">
        <f t="shared" ref="Q51:R51" si="487">IF(ISERROR(Q322/(SUM(Q225:Q226)*8%)),"n.a.",Q322/(SUM(Q225:Q226)*8%))</f>
        <v>0.9375</v>
      </c>
      <c r="R51" s="157">
        <f t="shared" si="487"/>
        <v>1.3269230769230769</v>
      </c>
      <c r="S51" s="157">
        <f t="shared" ref="S51:T51" si="488">IF(ISERROR(S322/(SUM(S225:S226)*8%)),"n.a.",S322/(SUM(S225:S226)*8%))</f>
        <v>1.1346153846153846</v>
      </c>
      <c r="T51" s="157">
        <f t="shared" si="488"/>
        <v>1.3295454545454546</v>
      </c>
      <c r="U51" s="157">
        <f t="shared" ref="U51:V51" si="489">IF(ISERROR(U322/(SUM(U225:U226)*8%)),"n.a.",U322/(SUM(U225:U226)*8%))</f>
        <v>1.55</v>
      </c>
      <c r="V51" s="157">
        <f t="shared" si="489"/>
        <v>1.515625</v>
      </c>
      <c r="W51" s="157">
        <f t="shared" ref="W51:X51" si="490">IF(ISERROR(W322/(SUM(W225:W226)*8%)),"n.a.",W322/(SUM(W225:W226)*8%))</f>
        <v>1.552389705882353</v>
      </c>
      <c r="X51" s="157">
        <f t="shared" si="490"/>
        <v>1.0738636363636365</v>
      </c>
      <c r="Y51" s="157">
        <f t="shared" ref="Y51:Z51" si="491">IF(ISERROR(Y322/(SUM(Y225:Y226)*8%)),"n.a.",Y322/(SUM(Y225:Y226)*8%))</f>
        <v>1.0412087912087913</v>
      </c>
      <c r="Z51" s="157">
        <f t="shared" si="491"/>
        <v>1.2113970588235294</v>
      </c>
      <c r="AA51" s="157">
        <f t="shared" ref="AA51:AB51" si="492">IF(ISERROR(AA322/(SUM(AA225:AA226)*8%)),"n.a.",AA322/(SUM(AA225:AA226)*8%))</f>
        <v>1.2590579710144927</v>
      </c>
      <c r="AB51" s="157">
        <f t="shared" si="492"/>
        <v>1.20875</v>
      </c>
      <c r="AC51" s="157">
        <f t="shared" ref="AC51:AD51" si="493">IF(ISERROR(AC322/(SUM(AC225:AC226)*8%)),"n.a.",AC322/(SUM(AC225:AC226)*8%))</f>
        <v>1.3</v>
      </c>
      <c r="AD51" s="157">
        <f t="shared" si="493"/>
        <v>1.2760736196319018</v>
      </c>
      <c r="AE51" s="157">
        <f t="shared" ref="AE51:AF51" si="494">IF(ISERROR(AE322/(SUM(AE225:AE226)*8%)),"n.a.",AE322/(SUM(AE225:AE226)*8%))</f>
        <v>1.2445945945945946</v>
      </c>
      <c r="AF51" s="157">
        <f t="shared" si="494"/>
        <v>1.243718592964824</v>
      </c>
      <c r="AG51" s="157">
        <f t="shared" ref="AG51:AH51" si="495">IF(ISERROR(AG322/(SUM(AG225:AG226)*8%)),"n.a.",AG322/(SUM(AG225:AG226)*8%))</f>
        <v>1.1709302325581394</v>
      </c>
      <c r="AH51" s="157">
        <f t="shared" si="495"/>
        <v>1.173888888888889</v>
      </c>
      <c r="AI51" s="157">
        <f t="shared" ref="AI51" si="496">IF(ISERROR(AI322/(SUM(AI225:AI226)*8%)),"n.a.",AI322/(SUM(AI225:AI226)*8%))</f>
        <v>1.2395824196403356</v>
      </c>
      <c r="AJ51" s="158">
        <f>AI51</f>
        <v>1.2395824196403356</v>
      </c>
      <c r="AK51" s="68">
        <f t="shared" ref="AK51:AS51" si="497">AJ51</f>
        <v>1.2395824196403356</v>
      </c>
      <c r="AL51" s="68">
        <f t="shared" si="497"/>
        <v>1.2395824196403356</v>
      </c>
      <c r="AM51" s="68">
        <f t="shared" si="497"/>
        <v>1.2395824196403356</v>
      </c>
      <c r="AN51" s="68">
        <f t="shared" si="497"/>
        <v>1.2395824196403356</v>
      </c>
      <c r="AO51" s="68">
        <f t="shared" si="497"/>
        <v>1.2395824196403356</v>
      </c>
      <c r="AP51" s="68">
        <f t="shared" si="497"/>
        <v>1.2395824196403356</v>
      </c>
      <c r="AQ51" s="68">
        <f t="shared" si="497"/>
        <v>1.2395824196403356</v>
      </c>
      <c r="AR51" s="68">
        <f t="shared" si="497"/>
        <v>1.2395824196403356</v>
      </c>
      <c r="AS51" s="68">
        <f t="shared" si="497"/>
        <v>1.2395824196403356</v>
      </c>
      <c r="AT51" s="8"/>
      <c r="AU51" s="8" t="str">
        <f t="shared" ref="AU51" si="498">IF(ISERROR(AU322/(SUM(AU225:AU226)*8%)),"n.a.",AU322/(SUM(AU225:AU226)*8%))</f>
        <v>n.a.</v>
      </c>
      <c r="AV51" s="157" t="str">
        <f t="shared" ref="AV51:AY51" si="499">IF(ISERROR(AV322/(SUM(AV225:AV226)*8%)),"n.a.",AV322/(SUM(AV225:AV226)*8%))</f>
        <v>n.a.</v>
      </c>
      <c r="AW51" s="157" t="str">
        <f t="shared" si="499"/>
        <v>n.a.</v>
      </c>
      <c r="AX51" s="157">
        <f t="shared" si="499"/>
        <v>0</v>
      </c>
      <c r="AY51" s="157">
        <f t="shared" si="499"/>
        <v>1.2916666666666667</v>
      </c>
      <c r="AZ51" s="157">
        <f t="shared" ref="AZ51:BH51" si="500">IF(ISERROR(AZ322/(SUM(AZ225:AZ226)*8%)),"n.a.",AZ322/(SUM(AZ225:AZ226)*8%))</f>
        <v>0.7589285714285714</v>
      </c>
      <c r="BA51" s="157">
        <f t="shared" si="500"/>
        <v>1.2410714285714286</v>
      </c>
      <c r="BB51" s="157">
        <f t="shared" si="500"/>
        <v>1.1057692307692308</v>
      </c>
      <c r="BC51" s="157">
        <f t="shared" si="500"/>
        <v>1.3303571428571428</v>
      </c>
      <c r="BD51" s="157">
        <f t="shared" si="500"/>
        <v>1.5625</v>
      </c>
      <c r="BE51" s="157">
        <f t="shared" si="500"/>
        <v>1.3229166666666667</v>
      </c>
      <c r="BF51" s="157">
        <f t="shared" si="500"/>
        <v>0.9375</v>
      </c>
      <c r="BG51" s="157">
        <f t="shared" si="500"/>
        <v>1.1346153846153846</v>
      </c>
      <c r="BH51" s="157">
        <f t="shared" si="500"/>
        <v>1.55</v>
      </c>
      <c r="BI51" s="157">
        <f t="shared" ref="BI51" si="501">IF(ISERROR(BI322/(SUM(BI225:BI226)*8%)),"n.a.",BI322/(SUM(BI225:BI226)*8%))</f>
        <v>1.552389705882353</v>
      </c>
      <c r="BJ51" s="157">
        <f t="shared" ref="BJ51:BO51" si="502">IF(ISERROR(BJ322/(SUM(BJ225:BJ226)*8%)),"n.a.",BJ322/(SUM(BJ225:BJ226)*8%))</f>
        <v>1.0412087912087913</v>
      </c>
      <c r="BK51" s="157">
        <f t="shared" si="502"/>
        <v>1.2590579710144927</v>
      </c>
      <c r="BL51" s="157">
        <f t="shared" si="502"/>
        <v>1.3</v>
      </c>
      <c r="BM51" s="157">
        <f t="shared" si="502"/>
        <v>1.2445945945945946</v>
      </c>
      <c r="BN51" s="157">
        <f t="shared" si="502"/>
        <v>1.1709302325581394</v>
      </c>
      <c r="BO51" s="158">
        <f t="shared" si="502"/>
        <v>1.2395824196403356</v>
      </c>
      <c r="BP51" s="157">
        <f t="shared" ref="BP51:BQ51" si="503">IF(ISERROR(BP322/(SUM(BP225:BP226)*8%)),"n.a.",BP322/(SUM(BP225:BP226)*8%))</f>
        <v>1.2395824196403356</v>
      </c>
      <c r="BQ51" s="157">
        <f t="shared" si="503"/>
        <v>1.2395824196403353</v>
      </c>
      <c r="BR51" s="157">
        <f t="shared" ref="BR51:BS51" si="504">IF(ISERROR(BR322/(SUM(BR225:BR226)*8%)),"n.a.",BR322/(SUM(BR225:BR226)*8%))</f>
        <v>1.2395824196403356</v>
      </c>
      <c r="BS51" s="157">
        <f t="shared" si="504"/>
        <v>1.2395824196403356</v>
      </c>
      <c r="BT51" s="157">
        <f>IF(ISERROR(BT322/(SUM(BT225:BT226)*8%)),"n.a.",BT322/(SUM(BT225:BT226)*8%))</f>
        <v>1.2395824196403356</v>
      </c>
    </row>
    <row r="52" spans="1:72" ht="12" customHeight="1" outlineLevel="1">
      <c r="B52" s="1" t="s">
        <v>121</v>
      </c>
      <c r="C52" s="8"/>
      <c r="D52" s="157">
        <f>IF(ISERROR(D323/(SUM(D227)*8%)),"n.a.",D323/(SUM(D227)*8%))</f>
        <v>0.875</v>
      </c>
      <c r="E52" s="157">
        <f t="shared" ref="E52:K52" si="505">IF(ISERROR(E323/(SUM(E227)*8%)),"n.a.",E323/(SUM(E227)*8%))</f>
        <v>0.70833333333333337</v>
      </c>
      <c r="F52" s="157">
        <f t="shared" si="505"/>
        <v>0.625</v>
      </c>
      <c r="G52" s="157">
        <f t="shared" si="505"/>
        <v>0.5625</v>
      </c>
      <c r="H52" s="157">
        <f t="shared" si="505"/>
        <v>0.75</v>
      </c>
      <c r="I52" s="157">
        <f t="shared" si="505"/>
        <v>0.3125</v>
      </c>
      <c r="J52" s="157">
        <f t="shared" si="505"/>
        <v>-0.25</v>
      </c>
      <c r="K52" s="157">
        <f t="shared" si="505"/>
        <v>0.3125</v>
      </c>
      <c r="L52" s="157">
        <f t="shared" ref="L52:M52" si="506">IF(ISERROR(L323/(SUM(L227)*8%)),"n.a.",L323/(SUM(L227)*8%))</f>
        <v>1.375</v>
      </c>
      <c r="M52" s="157">
        <f t="shared" si="506"/>
        <v>1.35</v>
      </c>
      <c r="N52" s="157">
        <f t="shared" ref="N52" si="507">IF(ISERROR(N323/(SUM(N227)*8%)),"n.a.",N323/(SUM(N227)*8%))</f>
        <v>1.1805555555555556</v>
      </c>
      <c r="O52" s="157">
        <f t="shared" ref="O52:P52" si="508">IF(ISERROR(O323/(SUM(O227)*8%)),"n.a.",O323/(SUM(O227)*8%))</f>
        <v>1.6041666666666667</v>
      </c>
      <c r="P52" s="157">
        <f t="shared" si="508"/>
        <v>1.2</v>
      </c>
      <c r="Q52" s="157">
        <f t="shared" ref="Q52:R52" si="509">IF(ISERROR(Q323/(SUM(Q227)*8%)),"n.a.",Q323/(SUM(Q227)*8%))</f>
        <v>1.7</v>
      </c>
      <c r="R52" s="157">
        <f t="shared" si="509"/>
        <v>1.3035714285714286</v>
      </c>
      <c r="S52" s="157">
        <f t="shared" ref="S52:T52" si="510">IF(ISERROR(S323/(SUM(S227)*8%)),"n.a.",S323/(SUM(S227)*8%))</f>
        <v>2.125</v>
      </c>
      <c r="T52" s="157">
        <f t="shared" si="510"/>
        <v>3.5416666666666665</v>
      </c>
      <c r="U52" s="157">
        <f t="shared" ref="U52:V52" si="511">IF(ISERROR(U323/(SUM(U227)*8%)),"n.a.",U323/(SUM(U227)*8%))</f>
        <v>2.53125</v>
      </c>
      <c r="V52" s="157">
        <f t="shared" si="511"/>
        <v>3.25</v>
      </c>
      <c r="W52" s="157">
        <f t="shared" ref="W52:X52" si="512">IF(ISERROR(W323/(SUM(W227)*8%)),"n.a.",W323/(SUM(W227)*8%))</f>
        <v>2</v>
      </c>
      <c r="X52" s="157">
        <f t="shared" si="512"/>
        <v>2.125</v>
      </c>
      <c r="Y52" s="157">
        <f t="shared" ref="Y52:Z52" si="513">IF(ISERROR(Y323/(SUM(Y227)*8%)),"n.a.",Y323/(SUM(Y227)*8%))</f>
        <v>3.375</v>
      </c>
      <c r="Z52" s="157">
        <f t="shared" si="513"/>
        <v>1.09375</v>
      </c>
      <c r="AA52" s="157">
        <f t="shared" ref="AA52:AB52" si="514">IF(ISERROR(AA323/(SUM(AA227)*8%)),"n.a.",AA323/(SUM(AA227)*8%))</f>
        <v>1.3958333333333333</v>
      </c>
      <c r="AB52" s="157">
        <f t="shared" si="514"/>
        <v>1.5568181818181819</v>
      </c>
      <c r="AC52" s="157">
        <f t="shared" ref="AC52:AD52" si="515">IF(ISERROR(AC323/(SUM(AC227)*8%)),"n.a.",AC323/(SUM(AC227)*8%))</f>
        <v>1.5454545454545454</v>
      </c>
      <c r="AD52" s="157">
        <f t="shared" si="515"/>
        <v>0.75</v>
      </c>
      <c r="AE52" s="157">
        <f t="shared" ref="AE52:AF52" si="516">IF(ISERROR(AE323/(SUM(AE227)*8%)),"n.a.",AE323/(SUM(AE227)*8%))</f>
        <v>0.89130434782608692</v>
      </c>
      <c r="AF52" s="157">
        <f t="shared" si="516"/>
        <v>1.51</v>
      </c>
      <c r="AG52" s="157">
        <f t="shared" ref="AG52:AH52" si="517">IF(ISERROR(AG323/(SUM(AG227)*8%)),"n.a.",AG323/(SUM(AG227)*8%))</f>
        <v>0.9642857142857143</v>
      </c>
      <c r="AH52" s="157">
        <f t="shared" si="517"/>
        <v>1.65625</v>
      </c>
      <c r="AI52" s="157">
        <f t="shared" ref="AI52" si="518">IF(ISERROR(AI323/(SUM(AI227)*8%)),"n.a.",AI323/(SUM(AI227)*8%))</f>
        <v>1.6123538754283289</v>
      </c>
      <c r="AJ52" s="158">
        <f>AI52</f>
        <v>1.6123538754283289</v>
      </c>
      <c r="AK52" s="68">
        <f t="shared" ref="AK52:AS52" si="519">AJ52</f>
        <v>1.6123538754283289</v>
      </c>
      <c r="AL52" s="68">
        <f t="shared" si="519"/>
        <v>1.6123538754283289</v>
      </c>
      <c r="AM52" s="68">
        <f t="shared" si="519"/>
        <v>1.6123538754283289</v>
      </c>
      <c r="AN52" s="68">
        <f t="shared" si="519"/>
        <v>1.6123538754283289</v>
      </c>
      <c r="AO52" s="68">
        <f t="shared" si="519"/>
        <v>1.6123538754283289</v>
      </c>
      <c r="AP52" s="68">
        <f t="shared" si="519"/>
        <v>1.6123538754283289</v>
      </c>
      <c r="AQ52" s="68">
        <f t="shared" si="519"/>
        <v>1.6123538754283289</v>
      </c>
      <c r="AR52" s="68">
        <f t="shared" si="519"/>
        <v>1.6123538754283289</v>
      </c>
      <c r="AS52" s="68">
        <f t="shared" si="519"/>
        <v>1.6123538754283289</v>
      </c>
      <c r="AT52" s="8"/>
      <c r="AU52" s="8" t="str">
        <f t="shared" ref="AU52" si="520">IF(ISERROR(AU323/(SUM(AU227)*8%)),"n.a.",AU323/(SUM(AU227)*8%))</f>
        <v>n.a.</v>
      </c>
      <c r="AV52" s="157" t="str">
        <f t="shared" ref="AV52:AY52" si="521">IF(ISERROR(AV323/(SUM(AV227)*8%)),"n.a.",AV323/(SUM(AV227)*8%))</f>
        <v>n.a.</v>
      </c>
      <c r="AW52" s="157" t="str">
        <f t="shared" si="521"/>
        <v>n.a.</v>
      </c>
      <c r="AX52" s="157">
        <f t="shared" si="521"/>
        <v>0</v>
      </c>
      <c r="AY52" s="157">
        <f t="shared" si="521"/>
        <v>1.5208333333333333</v>
      </c>
      <c r="AZ52" s="157">
        <f t="shared" ref="AZ52:BH52" si="522">IF(ISERROR(AZ323/(SUM(AZ227)*8%)),"n.a.",AZ323/(SUM(AZ227)*8%))</f>
        <v>0.70833333333333337</v>
      </c>
      <c r="BA52" s="157">
        <f t="shared" si="522"/>
        <v>0.5625</v>
      </c>
      <c r="BB52" s="157">
        <f t="shared" si="522"/>
        <v>0.3125</v>
      </c>
      <c r="BC52" s="157">
        <f t="shared" si="522"/>
        <v>0.3125</v>
      </c>
      <c r="BD52" s="157">
        <f t="shared" si="522"/>
        <v>1.35</v>
      </c>
      <c r="BE52" s="157">
        <f t="shared" si="522"/>
        <v>1.6041666666666667</v>
      </c>
      <c r="BF52" s="157">
        <f t="shared" si="522"/>
        <v>1.7</v>
      </c>
      <c r="BG52" s="157">
        <f t="shared" si="522"/>
        <v>2.125</v>
      </c>
      <c r="BH52" s="157">
        <f t="shared" si="522"/>
        <v>2.53125</v>
      </c>
      <c r="BI52" s="157">
        <f t="shared" ref="BI52" si="523">IF(ISERROR(BI323/(SUM(BI227)*8%)),"n.a.",BI323/(SUM(BI227)*8%))</f>
        <v>2</v>
      </c>
      <c r="BJ52" s="157">
        <f t="shared" ref="BJ52:BL53" si="524">IF(ISERROR(BJ323/(SUM(BJ227)*8%)),"n.a.",BJ323/(SUM(BJ227)*8%))</f>
        <v>3.375</v>
      </c>
      <c r="BK52" s="157">
        <f t="shared" si="524"/>
        <v>1.3958333333333333</v>
      </c>
      <c r="BL52" s="157">
        <f t="shared" si="524"/>
        <v>1.5454545454545454</v>
      </c>
      <c r="BM52" s="157">
        <f t="shared" ref="BM52:BN52" si="525">IF(ISERROR(BM323/(SUM(BM227)*8%)),"n.a.",BM323/(SUM(BM227)*8%))</f>
        <v>0.89130434782608692</v>
      </c>
      <c r="BN52" s="157">
        <f t="shared" si="525"/>
        <v>0.9642857142857143</v>
      </c>
      <c r="BO52" s="158">
        <f t="shared" ref="BO52:BP52" si="526">IF(ISERROR(BO323/(SUM(BO227)*8%)),"n.a.",BO323/(SUM(BO227)*8%))</f>
        <v>1.6123538754283289</v>
      </c>
      <c r="BP52" s="157">
        <f t="shared" si="526"/>
        <v>1.6123538754283289</v>
      </c>
      <c r="BQ52" s="157">
        <f t="shared" ref="BQ52:BR52" si="527">IF(ISERROR(BQ323/(SUM(BQ227)*8%)),"n.a.",BQ323/(SUM(BQ227)*8%))</f>
        <v>1.6123538754283289</v>
      </c>
      <c r="BR52" s="157">
        <f t="shared" si="527"/>
        <v>1.6123538754283289</v>
      </c>
      <c r="BS52" s="157">
        <f t="shared" ref="BS52" si="528">IF(ISERROR(BS323/(SUM(BS227)*8%)),"n.a.",BS323/(SUM(BS227)*8%))</f>
        <v>1.6123538754283289</v>
      </c>
      <c r="BT52" s="157">
        <f t="shared" ref="BT52" si="529">IF(ISERROR(BT323/(SUM(BT227)*8%)),"n.a.",BT323/(SUM(BT227)*8%))</f>
        <v>1.6123538754283289</v>
      </c>
    </row>
    <row r="53" spans="1:72" ht="12" customHeight="1" outlineLevel="1">
      <c r="B53" s="1" t="s">
        <v>122</v>
      </c>
      <c r="C53" s="8"/>
      <c r="D53" s="157">
        <f>IF(ISERROR(D324/(SUM(D228)*8%)),"n.a.",D324/(SUM(D228)*8%))</f>
        <v>5.5875000000000004</v>
      </c>
      <c r="E53" s="157">
        <f t="shared" ref="E53:K53" si="530">IF(ISERROR(E324/(SUM(E228)*8%)),"n.a.",E324/(SUM(E228)*8%))</f>
        <v>5.4006410256410255</v>
      </c>
      <c r="F53" s="157">
        <f t="shared" si="530"/>
        <v>5.5213414634146343</v>
      </c>
      <c r="G53" s="157">
        <f t="shared" si="530"/>
        <v>5.5592105263157894</v>
      </c>
      <c r="H53" s="157">
        <f t="shared" si="530"/>
        <v>5.5535714285714288</v>
      </c>
      <c r="I53" s="157">
        <f t="shared" si="530"/>
        <v>5.7937500000000002</v>
      </c>
      <c r="J53" s="157">
        <f t="shared" si="530"/>
        <v>6.0705128205128203</v>
      </c>
      <c r="K53" s="157">
        <f t="shared" si="530"/>
        <v>6.0255681818181817</v>
      </c>
      <c r="L53" s="157">
        <f t="shared" ref="L53:M53" si="531">IF(ISERROR(L324/(SUM(L228)*8%)),"n.a.",L324/(SUM(L228)*8%))</f>
        <v>5.7324999999999999</v>
      </c>
      <c r="M53" s="157">
        <f t="shared" si="531"/>
        <v>5.8040540540540544</v>
      </c>
      <c r="N53" s="157">
        <f t="shared" ref="N53" si="532">IF(ISERROR(N324/(SUM(N228)*8%)),"n.a.",N324/(SUM(N228)*8%))</f>
        <v>5.770833333333333</v>
      </c>
      <c r="O53" s="157">
        <f t="shared" ref="O53:P53" si="533">IF(ISERROR(O324/(SUM(O228)*8%)),"n.a.",O324/(SUM(O228)*8%))</f>
        <v>5.8375000000000004</v>
      </c>
      <c r="P53" s="157">
        <f t="shared" si="533"/>
        <v>5.6446078431372548</v>
      </c>
      <c r="Q53" s="157">
        <f t="shared" ref="Q53:R53" si="534">IF(ISERROR(Q324/(SUM(Q228)*8%)),"n.a.",Q324/(SUM(Q228)*8%))</f>
        <v>5.6223404255319149</v>
      </c>
      <c r="R53" s="157">
        <f t="shared" si="534"/>
        <v>5.4527777777777775</v>
      </c>
      <c r="S53" s="157">
        <f t="shared" ref="S53:T53" si="535">IF(ISERROR(S324/(SUM(S228)*8%)),"n.a.",S324/(SUM(S228)*8%))</f>
        <v>5.4627659574468082</v>
      </c>
      <c r="T53" s="157">
        <f t="shared" si="535"/>
        <v>4.9184782608695654</v>
      </c>
      <c r="U53" s="157">
        <f t="shared" ref="U53:V53" si="536">IF(ISERROR(U324/(SUM(U228)*8%)),"n.a.",U324/(SUM(U228)*8%))</f>
        <v>5.4104166666666664</v>
      </c>
      <c r="V53" s="157">
        <f t="shared" si="536"/>
        <v>5.7022727272727272</v>
      </c>
      <c r="W53" s="157">
        <f t="shared" ref="W53:X53" si="537">IF(ISERROR(W324/(SUM(W228)*8%)),"n.a.",W324/(SUM(W228)*8%))</f>
        <v>5.6204545454545451</v>
      </c>
      <c r="X53" s="157">
        <f t="shared" si="537"/>
        <v>6.3156249999999998</v>
      </c>
      <c r="Y53" s="157">
        <f t="shared" ref="Y53:Z53" si="538">IF(ISERROR(Y324/(SUM(Y228)*8%)),"n.a.",Y324/(SUM(Y228)*8%))</f>
        <v>6.0910714285714285</v>
      </c>
      <c r="Z53" s="157">
        <f t="shared" si="538"/>
        <v>6.0381355932203391</v>
      </c>
      <c r="AA53" s="157">
        <f t="shared" ref="AA53:AB53" si="539">IF(ISERROR(AA324/(SUM(AA228)*8%)),"n.a.",AA324/(SUM(AA228)*8%))</f>
        <v>5.6610576923076925</v>
      </c>
      <c r="AB53" s="157">
        <f t="shared" si="539"/>
        <v>5.1188524590163933</v>
      </c>
      <c r="AC53" s="157">
        <f t="shared" ref="AC53:AD53" si="540">IF(ISERROR(AC324/(SUM(AC228)*8%)),"n.a.",AC324/(SUM(AC228)*8%))</f>
        <v>5.2675438596491224</v>
      </c>
      <c r="AD53" s="157">
        <f t="shared" si="540"/>
        <v>5.9141791044776122</v>
      </c>
      <c r="AE53" s="157">
        <f t="shared" ref="AE53:AF53" si="541">IF(ISERROR(AE324/(SUM(AE228)*8%)),"n.a.",AE324/(SUM(AE228)*8%))</f>
        <v>6.3694029850746272</v>
      </c>
      <c r="AF53" s="157">
        <f t="shared" si="541"/>
        <v>6.4230769230769234</v>
      </c>
      <c r="AG53" s="157">
        <f t="shared" ref="AG53:AH53" si="542">IF(ISERROR(AG324/(SUM(AG228)*8%)),"n.a.",AG324/(SUM(AG228)*8%))</f>
        <v>5.6729797979797976</v>
      </c>
      <c r="AH53" s="157">
        <f t="shared" si="542"/>
        <v>6.071236559139785</v>
      </c>
      <c r="AI53" s="157">
        <f t="shared" ref="AI53" si="543">IF(ISERROR(AI324/(SUM(AI228)*8%)),"n.a.",AI324/(SUM(AI228)*8%))</f>
        <v>4.1640951717036945</v>
      </c>
      <c r="AJ53" s="158">
        <f>AI53</f>
        <v>4.1640951717036945</v>
      </c>
      <c r="AK53" s="68">
        <f t="shared" ref="AK53:AS53" si="544">AJ53</f>
        <v>4.1640951717036945</v>
      </c>
      <c r="AL53" s="68">
        <f t="shared" si="544"/>
        <v>4.1640951717036945</v>
      </c>
      <c r="AM53" s="68">
        <f t="shared" si="544"/>
        <v>4.1640951717036945</v>
      </c>
      <c r="AN53" s="68">
        <f t="shared" si="544"/>
        <v>4.1640951717036945</v>
      </c>
      <c r="AO53" s="68">
        <f t="shared" si="544"/>
        <v>4.1640951717036945</v>
      </c>
      <c r="AP53" s="68">
        <f t="shared" si="544"/>
        <v>4.1640951717036945</v>
      </c>
      <c r="AQ53" s="68">
        <f t="shared" si="544"/>
        <v>4.1640951717036945</v>
      </c>
      <c r="AR53" s="68">
        <f t="shared" si="544"/>
        <v>4.1640951717036945</v>
      </c>
      <c r="AS53" s="68">
        <f t="shared" si="544"/>
        <v>4.1640951717036945</v>
      </c>
      <c r="AT53" s="8"/>
      <c r="AU53" s="8" t="str">
        <f t="shared" ref="AU53" si="545">IF(ISERROR(AU324/(SUM(AU228)*8%)),"n.a.",AU324/(SUM(AU228)*8%))</f>
        <v>n.a.</v>
      </c>
      <c r="AV53" s="157" t="str">
        <f t="shared" ref="AV53:AY53" si="546">IF(ISERROR(AV324/(SUM(AV228)*8%)),"n.a.",AV324/(SUM(AV228)*8%))</f>
        <v>n.a.</v>
      </c>
      <c r="AW53" s="157" t="str">
        <f t="shared" si="546"/>
        <v>n.a.</v>
      </c>
      <c r="AX53" s="157">
        <f t="shared" si="546"/>
        <v>0</v>
      </c>
      <c r="AY53" s="157">
        <f t="shared" si="546"/>
        <v>5.0961538461538458</v>
      </c>
      <c r="AZ53" s="157">
        <f t="shared" ref="AZ53:BH53" si="547">IF(ISERROR(AZ324/(SUM(AZ228)*8%)),"n.a.",AZ324/(SUM(AZ228)*8%))</f>
        <v>5.4006410256410255</v>
      </c>
      <c r="BA53" s="157">
        <f t="shared" si="547"/>
        <v>5.5592105263157894</v>
      </c>
      <c r="BB53" s="157">
        <f t="shared" si="547"/>
        <v>5.7937500000000002</v>
      </c>
      <c r="BC53" s="157">
        <f t="shared" si="547"/>
        <v>6.0255681818181817</v>
      </c>
      <c r="BD53" s="157">
        <f t="shared" si="547"/>
        <v>5.8040540540540544</v>
      </c>
      <c r="BE53" s="157">
        <f t="shared" si="547"/>
        <v>5.8375000000000004</v>
      </c>
      <c r="BF53" s="157">
        <f t="shared" si="547"/>
        <v>5.6223404255319149</v>
      </c>
      <c r="BG53" s="157">
        <f t="shared" si="547"/>
        <v>5.4627659574468082</v>
      </c>
      <c r="BH53" s="157">
        <f t="shared" si="547"/>
        <v>5.4104166666666664</v>
      </c>
      <c r="BI53" s="157">
        <f t="shared" ref="BI53" si="548">IF(ISERROR(BI324/(SUM(BI228)*8%)),"n.a.",BI324/(SUM(BI228)*8%))</f>
        <v>5.6204545454545451</v>
      </c>
      <c r="BJ53" s="157">
        <f t="shared" si="524"/>
        <v>6.0910714285714285</v>
      </c>
      <c r="BK53" s="157">
        <f t="shared" si="524"/>
        <v>5.6610576923076925</v>
      </c>
      <c r="BL53" s="157">
        <f t="shared" si="524"/>
        <v>5.2675438596491224</v>
      </c>
      <c r="BM53" s="157">
        <f t="shared" ref="BM53:BN53" si="549">IF(ISERROR(BM324/(SUM(BM228)*8%)),"n.a.",BM324/(SUM(BM228)*8%))</f>
        <v>6.3694029850746272</v>
      </c>
      <c r="BN53" s="157">
        <f t="shared" si="549"/>
        <v>5.6729797979797976</v>
      </c>
      <c r="BO53" s="158">
        <f t="shared" ref="BO53:BP53" si="550">IF(ISERROR(BO324/(SUM(BO228)*8%)),"n.a.",BO324/(SUM(BO228)*8%))</f>
        <v>4.1640951717036945</v>
      </c>
      <c r="BP53" s="157">
        <f t="shared" si="550"/>
        <v>4.1640951717036945</v>
      </c>
      <c r="BQ53" s="157">
        <f t="shared" ref="BQ53:BR53" si="551">IF(ISERROR(BQ324/(SUM(BQ228)*8%)),"n.a.",BQ324/(SUM(BQ228)*8%))</f>
        <v>4.1640951717036945</v>
      </c>
      <c r="BR53" s="157">
        <f t="shared" si="551"/>
        <v>4.1640951717036945</v>
      </c>
      <c r="BS53" s="157">
        <f t="shared" ref="BS53" si="552">IF(ISERROR(BS324/(SUM(BS228)*8%)),"n.a.",BS324/(SUM(BS228)*8%))</f>
        <v>4.1640951717036945</v>
      </c>
      <c r="BT53" s="157">
        <f t="shared" ref="BT53" si="553">IF(ISERROR(BT324/(SUM(BT228)*8%)),"n.a.",BT324/(SUM(BT228)*8%))</f>
        <v>4.1640951717036936</v>
      </c>
    </row>
    <row r="54" spans="1:72" ht="12" customHeight="1" outlineLevel="1">
      <c r="B54" s="1" t="s">
        <v>123</v>
      </c>
      <c r="C54" s="8"/>
      <c r="D54" s="157">
        <f>IF(ISERROR(D325/(SUM(D231)*8%)),"n.a.",D325/(SUM(D231)*8%))</f>
        <v>2.1979166666666665</v>
      </c>
      <c r="E54" s="157">
        <f t="shared" ref="E54:K54" si="554">IF(ISERROR(E325/(SUM(E231)*8%)),"n.a.",E325/(SUM(E231)*8%))</f>
        <v>3.8333333333333335</v>
      </c>
      <c r="F54" s="157">
        <f t="shared" si="554"/>
        <v>3.55</v>
      </c>
      <c r="G54" s="157">
        <f t="shared" si="554"/>
        <v>4.0625</v>
      </c>
      <c r="H54" s="157">
        <f t="shared" si="554"/>
        <v>3.0961538461538463</v>
      </c>
      <c r="I54" s="157">
        <f t="shared" si="554"/>
        <v>5.0555555555555554</v>
      </c>
      <c r="J54" s="157">
        <f t="shared" si="554"/>
        <v>2.1029411764705883</v>
      </c>
      <c r="K54" s="157">
        <f t="shared" si="554"/>
        <v>3.2954545454545454</v>
      </c>
      <c r="L54" s="157">
        <f t="shared" ref="L54:M54" si="555">IF(ISERROR(L325/(SUM(L231)*8%)),"n.a.",L325/(SUM(L231)*8%))</f>
        <v>3.0520833333333335</v>
      </c>
      <c r="M54" s="157">
        <f t="shared" si="555"/>
        <v>5.1071428571428568</v>
      </c>
      <c r="N54" s="157">
        <f t="shared" ref="N54" si="556">IF(ISERROR(N325/(SUM(N231)*8%)),"n.a.",N325/(SUM(N231)*8%))</f>
        <v>5.5357142857142856</v>
      </c>
      <c r="O54" s="157">
        <f t="shared" ref="O54:P54" si="557">IF(ISERROR(O325/(SUM(O231)*8%)),"n.a.",O325/(SUM(O231)*8%))</f>
        <v>4.5357142857142856</v>
      </c>
      <c r="P54" s="157">
        <f t="shared" si="557"/>
        <v>3.5104166666666665</v>
      </c>
      <c r="Q54" s="157">
        <f t="shared" ref="Q54:R54" si="558">IF(ISERROR(Q325/(SUM(Q231)*8%)),"n.a.",Q325/(SUM(Q231)*8%))</f>
        <v>3.1124999999999998</v>
      </c>
      <c r="R54" s="157">
        <f t="shared" si="558"/>
        <v>2.2589285714285716</v>
      </c>
      <c r="S54" s="157">
        <f t="shared" ref="S54:T54" si="559">IF(ISERROR(S325/(SUM(S231)*8%)),"n.a.",S325/(SUM(S231)*8%))</f>
        <v>2.25</v>
      </c>
      <c r="T54" s="157">
        <f t="shared" si="559"/>
        <v>3.4375</v>
      </c>
      <c r="U54" s="157">
        <f t="shared" ref="U54:V54" si="560">IF(ISERROR(U325/(SUM(U231)*8%)),"n.a.",U325/(SUM(U231)*8%))</f>
        <v>3</v>
      </c>
      <c r="V54" s="157">
        <f t="shared" si="560"/>
        <v>4.9673913043478262</v>
      </c>
      <c r="W54" s="157">
        <f t="shared" ref="W54:X54" si="561">IF(ISERROR(W325/(SUM(W231)*8%)),"n.a.",W325/(SUM(W231)*8%))</f>
        <v>4.84375</v>
      </c>
      <c r="X54" s="157">
        <f t="shared" si="561"/>
        <v>4.3146551724137927</v>
      </c>
      <c r="Y54" s="157">
        <f t="shared" ref="Y54:Z54" si="562">IF(ISERROR(Y325/(SUM(Y231)*8%)),"n.a.",Y325/(SUM(Y231)*8%))</f>
        <v>4.540322580645161</v>
      </c>
      <c r="Z54" s="157">
        <f t="shared" si="562"/>
        <v>4.4800000000000004</v>
      </c>
      <c r="AA54" s="157">
        <f t="shared" ref="AA54:AB54" si="563">IF(ISERROR(AA325/(SUM(AA231)*8%)),"n.a.",AA325/(SUM(AA231)*8%))</f>
        <v>5.6904761904761907</v>
      </c>
      <c r="AB54" s="157">
        <f t="shared" si="563"/>
        <v>6.5535714285714288</v>
      </c>
      <c r="AC54" s="157">
        <f t="shared" ref="AC54:AD54" si="564">IF(ISERROR(AC325/(SUM(AC231)*8%)),"n.a.",AC325/(SUM(AC231)*8%))</f>
        <v>6.2263513513513518</v>
      </c>
      <c r="AD54" s="157">
        <f t="shared" si="564"/>
        <v>4.4910714285714288</v>
      </c>
      <c r="AE54" s="157">
        <f t="shared" ref="AE54:AF54" si="565">IF(ISERROR(AE325/(SUM(AE231)*8%)),"n.a.",AE325/(SUM(AE231)*8%))</f>
        <v>6.015625</v>
      </c>
      <c r="AF54" s="157">
        <f t="shared" si="565"/>
        <v>5.9857954545454541</v>
      </c>
      <c r="AG54" s="157">
        <f t="shared" ref="AG54:AH54" si="566">IF(ISERROR(AG325/(SUM(AG231)*8%)),"n.a.",AG325/(SUM(AG231)*8%))</f>
        <v>5.7062499999999998</v>
      </c>
      <c r="AH54" s="157">
        <f t="shared" si="566"/>
        <v>5.7865853658536581</v>
      </c>
      <c r="AI54" s="157">
        <f t="shared" ref="AI54" si="567">IF(ISERROR(AI325/(SUM(AI231)*8%)),"n.a.",AI325/(SUM(AI231)*8%))</f>
        <v>7.5535714285714288</v>
      </c>
      <c r="AJ54" s="158">
        <f>AI54</f>
        <v>7.5535714285714288</v>
      </c>
      <c r="AK54" s="68">
        <f t="shared" ref="AK54:AS54" si="568">AJ54</f>
        <v>7.5535714285714288</v>
      </c>
      <c r="AL54" s="68">
        <f t="shared" si="568"/>
        <v>7.5535714285714288</v>
      </c>
      <c r="AM54" s="68">
        <f t="shared" si="568"/>
        <v>7.5535714285714288</v>
      </c>
      <c r="AN54" s="68">
        <f t="shared" si="568"/>
        <v>7.5535714285714288</v>
      </c>
      <c r="AO54" s="68">
        <f t="shared" si="568"/>
        <v>7.5535714285714288</v>
      </c>
      <c r="AP54" s="68">
        <f t="shared" si="568"/>
        <v>7.5535714285714288</v>
      </c>
      <c r="AQ54" s="68">
        <f t="shared" si="568"/>
        <v>7.5535714285714288</v>
      </c>
      <c r="AR54" s="68">
        <f t="shared" si="568"/>
        <v>7.5535714285714288</v>
      </c>
      <c r="AS54" s="68">
        <f t="shared" si="568"/>
        <v>7.5535714285714288</v>
      </c>
      <c r="AT54" s="8"/>
      <c r="AU54" s="8" t="str">
        <f t="shared" ref="AU54" si="569">IF(ISERROR(AU325/(SUM(AU231)*8%)),"n.a.",AU325/(SUM(AU231)*8%))</f>
        <v>n.a.</v>
      </c>
      <c r="AV54" s="157" t="str">
        <f t="shared" ref="AV54:AY54" si="570">IF(ISERROR(AV325/(SUM(AV231)*8%)),"n.a.",AV325/(SUM(AV231)*8%))</f>
        <v>n.a.</v>
      </c>
      <c r="AW54" s="157" t="str">
        <f t="shared" si="570"/>
        <v>n.a.</v>
      </c>
      <c r="AX54" s="157">
        <f t="shared" si="570"/>
        <v>0</v>
      </c>
      <c r="AY54" s="157">
        <f t="shared" si="570"/>
        <v>3.0833333333333335</v>
      </c>
      <c r="AZ54" s="157">
        <f t="shared" ref="AZ54:BH54" si="571">IF(ISERROR(AZ325/(SUM(AZ231)*8%)),"n.a.",AZ325/(SUM(AZ231)*8%))</f>
        <v>3.8333333333333335</v>
      </c>
      <c r="BA54" s="157">
        <f t="shared" si="571"/>
        <v>4.0625</v>
      </c>
      <c r="BB54" s="157">
        <f t="shared" si="571"/>
        <v>5.0555555555555554</v>
      </c>
      <c r="BC54" s="157">
        <f t="shared" si="571"/>
        <v>3.2954545454545454</v>
      </c>
      <c r="BD54" s="157">
        <f t="shared" si="571"/>
        <v>5.1071428571428568</v>
      </c>
      <c r="BE54" s="157">
        <f t="shared" si="571"/>
        <v>4.5357142857142856</v>
      </c>
      <c r="BF54" s="157">
        <f t="shared" si="571"/>
        <v>3.1124999999999998</v>
      </c>
      <c r="BG54" s="157">
        <f t="shared" si="571"/>
        <v>2.25</v>
      </c>
      <c r="BH54" s="157">
        <f t="shared" si="571"/>
        <v>3</v>
      </c>
      <c r="BI54" s="157">
        <f t="shared" ref="BI54" si="572">IF(ISERROR(BI325/(SUM(BI231)*8%)),"n.a.",BI325/(SUM(BI231)*8%))</f>
        <v>4.84375</v>
      </c>
      <c r="BJ54" s="157">
        <f t="shared" ref="BJ54:BO54" si="573">IF(ISERROR(BJ325/(SUM(BJ231)*8%)),"n.a.",BJ325/(SUM(BJ231)*8%))</f>
        <v>4.540322580645161</v>
      </c>
      <c r="BK54" s="157">
        <f t="shared" si="573"/>
        <v>5.6904761904761907</v>
      </c>
      <c r="BL54" s="157">
        <f t="shared" si="573"/>
        <v>6.2263513513513518</v>
      </c>
      <c r="BM54" s="157">
        <f t="shared" si="573"/>
        <v>6.015625</v>
      </c>
      <c r="BN54" s="157">
        <f t="shared" si="573"/>
        <v>5.7062499999999998</v>
      </c>
      <c r="BO54" s="158">
        <f t="shared" si="573"/>
        <v>7.5535714285714288</v>
      </c>
      <c r="BP54" s="157">
        <f t="shared" ref="BP54:BQ54" si="574">IF(ISERROR(BP325/(SUM(BP231)*8%)),"n.a.",BP325/(SUM(BP231)*8%))</f>
        <v>7.5535714285714288</v>
      </c>
      <c r="BQ54" s="157">
        <f t="shared" si="574"/>
        <v>7.5535714285714279</v>
      </c>
      <c r="BR54" s="157">
        <f t="shared" ref="BR54:BS54" si="575">IF(ISERROR(BR325/(SUM(BR231)*8%)),"n.a.",BR325/(SUM(BR231)*8%))</f>
        <v>7.5535714285714279</v>
      </c>
      <c r="BS54" s="157">
        <f t="shared" si="575"/>
        <v>7.5535714285714279</v>
      </c>
      <c r="BT54" s="157">
        <f>IF(ISERROR(BT325/(SUM(BT231)*8%)),"n.a.",BT325/(SUM(BT231)*8%))</f>
        <v>7.5535714285714288</v>
      </c>
    </row>
    <row r="55" spans="1:72" ht="12" customHeight="1" outlineLevel="1">
      <c r="A55" s="91" t="s">
        <v>117</v>
      </c>
      <c r="B55" s="87" t="s">
        <v>465</v>
      </c>
      <c r="C55" s="8"/>
      <c r="D55" s="41">
        <f t="shared" ref="D55:K55" si="576">(D304-D318)+(D307-D337)</f>
        <v>3454.5499999999997</v>
      </c>
      <c r="E55" s="41">
        <f t="shared" si="576"/>
        <v>2886.0274999999997</v>
      </c>
      <c r="F55" s="41">
        <f t="shared" si="576"/>
        <v>1715.3274999999994</v>
      </c>
      <c r="G55" s="41">
        <f t="shared" si="576"/>
        <v>1791.5</v>
      </c>
      <c r="H55" s="41">
        <f t="shared" si="576"/>
        <v>2354.9174999999996</v>
      </c>
      <c r="I55" s="41">
        <f t="shared" si="576"/>
        <v>1656.8324999999995</v>
      </c>
      <c r="J55" s="41">
        <f t="shared" si="576"/>
        <v>1636.1750000000002</v>
      </c>
      <c r="K55" s="41">
        <f t="shared" si="576"/>
        <v>1715.2275</v>
      </c>
      <c r="L55" s="41">
        <f t="shared" ref="L55:M55" si="577">(L304-L318)+(L307-L337)</f>
        <v>1583.37</v>
      </c>
      <c r="M55" s="41">
        <f t="shared" si="577"/>
        <v>1271.915</v>
      </c>
      <c r="N55" s="59">
        <f t="shared" ref="N55" si="578">(N304-N318)+(N307-N337)</f>
        <v>758.84499999999935</v>
      </c>
      <c r="O55" s="59">
        <f t="shared" ref="O55:P55" si="579">(O304-O318)+(O307-O337)</f>
        <v>1626.5849999999991</v>
      </c>
      <c r="P55" s="59">
        <f t="shared" si="579"/>
        <v>1907.4799999999996</v>
      </c>
      <c r="Q55" s="59">
        <f t="shared" ref="Q55:S55" si="580">(Q304-Q318)+(Q307-Q337)</f>
        <v>2867.9599999999991</v>
      </c>
      <c r="R55" s="59">
        <f t="shared" si="580"/>
        <v>2653.1699999999992</v>
      </c>
      <c r="S55" s="59">
        <f t="shared" si="580"/>
        <v>3486.6399999999994</v>
      </c>
      <c r="T55" s="59">
        <f t="shared" ref="T55:U55" si="581">(T304-T318)+(T307-T337)</f>
        <v>1649.625</v>
      </c>
      <c r="U55" s="59">
        <f t="shared" si="581"/>
        <v>1695.6499999999996</v>
      </c>
      <c r="V55" s="59">
        <f t="shared" ref="V55:W55" si="582">(V304-V318)+(V307-V337)</f>
        <v>800</v>
      </c>
      <c r="W55" s="59">
        <f t="shared" si="582"/>
        <v>3679.8850000000002</v>
      </c>
      <c r="X55" s="59">
        <f t="shared" ref="X55:Y55" si="583">(X304-X318)+(X307-X337)</f>
        <v>4003.26</v>
      </c>
      <c r="Y55" s="59">
        <f t="shared" si="583"/>
        <v>4727.2899999999991</v>
      </c>
      <c r="Z55" s="59">
        <f t="shared" ref="Z55:AA55" si="584">(Z304-Z318)+(Z307-Z337)</f>
        <v>6725.1350000000002</v>
      </c>
      <c r="AA55" s="59">
        <f t="shared" si="584"/>
        <v>6180</v>
      </c>
      <c r="AB55" s="59">
        <f t="shared" ref="AB55:AC55" si="585">(AB304-AB318)+(AB307-AB337)</f>
        <v>4848.1149999999998</v>
      </c>
      <c r="AC55" s="59">
        <f t="shared" si="585"/>
        <v>6994.2000000000007</v>
      </c>
      <c r="AD55" s="59">
        <f t="shared" ref="AD55:AG55" si="586">(AD304-AD318)+(AD307-AD337)</f>
        <v>8364.3850000000002</v>
      </c>
      <c r="AE55" s="59">
        <f t="shared" si="586"/>
        <v>10229.425000000001</v>
      </c>
      <c r="AF55" s="59">
        <f t="shared" si="586"/>
        <v>8025.41</v>
      </c>
      <c r="AG55" s="59">
        <f t="shared" si="586"/>
        <v>8219.51</v>
      </c>
      <c r="AH55" s="59">
        <f t="shared" ref="AH55" si="587">(AH304-AH318)+(AH307-AH337)</f>
        <v>7420.51</v>
      </c>
      <c r="AI55" s="59">
        <f>(AI304-AI318)+(AI307-AI337)</f>
        <v>7050.99</v>
      </c>
      <c r="AJ55" s="60">
        <f>(AJ304-AJ318)+(AJ307-AJ337)</f>
        <v>5156.0450000000001</v>
      </c>
      <c r="AK55" s="41">
        <f t="shared" ref="AK55" si="588">(AK304-AK318)+(AK307-AK337)</f>
        <v>3687.8011131571147</v>
      </c>
      <c r="AL55" s="41">
        <f t="shared" ref="AL55:AM55" si="589">(AL304-AL318)+(AL307-AL337)</f>
        <v>3003.6144340604314</v>
      </c>
      <c r="AM55" s="41">
        <f t="shared" si="589"/>
        <v>2922.4615629243581</v>
      </c>
      <c r="AN55" s="41">
        <f t="shared" ref="AN55:AO55" si="590">(AN304-AN318)+(AN307-AN337)</f>
        <v>2688.4562372137498</v>
      </c>
      <c r="AO55" s="41">
        <f t="shared" si="590"/>
        <v>3111.7714809897734</v>
      </c>
      <c r="AP55" s="41">
        <f t="shared" ref="AP55:AQ55" si="591">(AP304-AP318)+(AP307-AP337)</f>
        <v>2443.0249095645122</v>
      </c>
      <c r="AQ55" s="41">
        <f t="shared" si="591"/>
        <v>2587.910603808763</v>
      </c>
      <c r="AR55" s="41">
        <f t="shared" ref="AR55:AS55" si="592">(AR304-AR318)+(AR307-AR337)</f>
        <v>2231.3284112797301</v>
      </c>
      <c r="AS55" s="41">
        <f t="shared" si="592"/>
        <v>2307.2495873378684</v>
      </c>
      <c r="AT55" s="8"/>
      <c r="AU55" s="41">
        <f t="shared" ref="AU55:AY55" si="593">(AU304-AU318)+(AU307-AU337)</f>
        <v>583.89249999999993</v>
      </c>
      <c r="AV55" s="41">
        <f t="shared" si="593"/>
        <v>214.04250000000002</v>
      </c>
      <c r="AW55" s="41">
        <f t="shared" si="593"/>
        <v>1414.6549999999997</v>
      </c>
      <c r="AX55" s="41">
        <f t="shared" si="593"/>
        <v>467.39499999999998</v>
      </c>
      <c r="AY55" s="41">
        <f t="shared" si="593"/>
        <v>1761.8874999999998</v>
      </c>
      <c r="AZ55" s="41">
        <f t="shared" ref="AZ55:BI55" si="594">(AZ304-AZ318)+(AZ307-AZ337)</f>
        <v>2886.0274999999997</v>
      </c>
      <c r="BA55" s="41">
        <f t="shared" si="594"/>
        <v>1791.5</v>
      </c>
      <c r="BB55" s="41">
        <f t="shared" si="594"/>
        <v>1656.8324999999995</v>
      </c>
      <c r="BC55" s="41">
        <f t="shared" si="594"/>
        <v>1715.2275</v>
      </c>
      <c r="BD55" s="41">
        <f t="shared" si="594"/>
        <v>1271.915</v>
      </c>
      <c r="BE55" s="41">
        <f t="shared" si="594"/>
        <v>1626.5849999999991</v>
      </c>
      <c r="BF55" s="41">
        <f t="shared" si="594"/>
        <v>2867.9599999999991</v>
      </c>
      <c r="BG55" s="41">
        <f t="shared" si="594"/>
        <v>3486.6399999999994</v>
      </c>
      <c r="BH55" s="41">
        <f t="shared" si="594"/>
        <v>1695.6499999999996</v>
      </c>
      <c r="BI55" s="41">
        <f t="shared" si="594"/>
        <v>3679.8850000000002</v>
      </c>
      <c r="BJ55" s="41">
        <f t="shared" ref="BJ55" si="595">(BJ304-BJ318)+(BJ307-BJ337)</f>
        <v>4727.2899999999991</v>
      </c>
      <c r="BK55" s="41">
        <f t="shared" ref="BK55:BP55" si="596">(BK304-BK318)+(BK307-BK337)</f>
        <v>6180</v>
      </c>
      <c r="BL55" s="41">
        <f t="shared" si="596"/>
        <v>6994.2000000000007</v>
      </c>
      <c r="BM55" s="41">
        <f t="shared" si="596"/>
        <v>10229.425000000001</v>
      </c>
      <c r="BN55" s="41">
        <f t="shared" si="596"/>
        <v>8219.51</v>
      </c>
      <c r="BO55" s="42">
        <f t="shared" si="596"/>
        <v>7050.99</v>
      </c>
      <c r="BP55" s="41">
        <f t="shared" si="596"/>
        <v>3687.8011131571147</v>
      </c>
      <c r="BQ55" s="41">
        <f t="shared" ref="BQ55:BR55" si="597">(BQ304-BQ318)+(BQ307-BQ337)</f>
        <v>2922.4615629243581</v>
      </c>
      <c r="BR55" s="41">
        <f t="shared" si="597"/>
        <v>3111.7714809897734</v>
      </c>
      <c r="BS55" s="41">
        <f t="shared" ref="BS55" si="598">(BS304-BS318)+(BS307-BS337)</f>
        <v>2587.910603808763</v>
      </c>
      <c r="BT55" s="41">
        <f t="shared" ref="BT55" si="599">(BT304-BT318)+(BT307-BT337)</f>
        <v>2307.2495873378684</v>
      </c>
    </row>
    <row r="56" spans="1:72" ht="12" customHeight="1" outlineLevel="1">
      <c r="A56" s="91" t="s">
        <v>161</v>
      </c>
      <c r="B56" s="87" t="s">
        <v>160</v>
      </c>
      <c r="C56" s="167">
        <v>4.2395307692307697E-2</v>
      </c>
      <c r="D56" s="167">
        <v>3.216022900763358E-2</v>
      </c>
      <c r="E56" s="167">
        <v>4.1024615384615402E-2</v>
      </c>
      <c r="F56" s="167">
        <v>4.7748091603053433E-2</v>
      </c>
      <c r="G56" s="167">
        <v>4.9392307692307597E-2</v>
      </c>
      <c r="H56" s="167">
        <v>4.9166412213740462E-2</v>
      </c>
      <c r="I56" s="167">
        <v>4.5109230769230797E-2</v>
      </c>
      <c r="J56" s="167">
        <v>3.6663076923076902E-2</v>
      </c>
      <c r="K56" s="166">
        <v>3.0902538461538499E-2</v>
      </c>
      <c r="L56" s="365">
        <f>2.76022900763359%</f>
        <v>2.7602290076335901E-2</v>
      </c>
      <c r="M56" s="365">
        <v>2.6119230769230804E-2</v>
      </c>
      <c r="N56" s="365">
        <v>2.6741666666666698E-2</v>
      </c>
      <c r="O56" s="365">
        <v>2.5995876923076939E-2</v>
      </c>
      <c r="P56" s="365">
        <v>2.1649618320610672E-2</v>
      </c>
      <c r="Q56" s="365">
        <v>2.26862595419847E-2</v>
      </c>
      <c r="R56" s="365">
        <v>1.94579923664122E-2</v>
      </c>
      <c r="S56" s="365">
        <v>1.7719200000000001E-2</v>
      </c>
      <c r="T56" s="365">
        <v>1.7227309999999999E-2</v>
      </c>
      <c r="U56" s="365">
        <v>1.7827692307692301E-2</v>
      </c>
      <c r="V56" s="365">
        <v>1.9993076923076926E-2</v>
      </c>
      <c r="W56" s="365">
        <v>1.9621538461538499E-2</v>
      </c>
      <c r="X56" s="365">
        <v>1.2658778625954201E-2</v>
      </c>
      <c r="Y56" s="475">
        <v>8.3061068702290197E-3</v>
      </c>
      <c r="Z56" s="475">
        <v>1.1099236641221399E-3</v>
      </c>
      <c r="AA56" s="477">
        <v>3.4490740740740738E-4</v>
      </c>
      <c r="AB56" s="477">
        <v>3.83571428571428E-4</v>
      </c>
      <c r="AC56" s="477">
        <v>8.6689230769230769E-4</v>
      </c>
      <c r="AD56" s="477">
        <v>1.713309160305344E-2</v>
      </c>
      <c r="AE56" s="477">
        <v>3.2851469230769231E-2</v>
      </c>
      <c r="AF56" s="477">
        <v>4.0793623076923101E-2</v>
      </c>
      <c r="AG56" s="477">
        <v>4.3398653846153802E-2</v>
      </c>
      <c r="AH56" s="477">
        <v>4.4162999999999994E-2</v>
      </c>
      <c r="AI56" s="477">
        <v>4.1253999999999999E-2</v>
      </c>
      <c r="AJ56" s="476">
        <f>VLOOKUP($A56,[1]Sheet1!$2:$65536,MATCH(AJ$3,[1]Sheet1!$2:$2,0),FALSE)</f>
        <v>3.6722999999999999E-2</v>
      </c>
      <c r="AK56" s="99">
        <f>VLOOKUP($A56,[1]Sheet1!$2:$65536,MATCH(AK$3,[1]Sheet1!$2:$2,0),FALSE)</f>
        <v>3.8000000000000006E-2</v>
      </c>
      <c r="AL56" s="99">
        <f>VLOOKUP($A56,[1]Sheet1!$2:$65536,MATCH(AL$3,[1]Sheet1!$2:$2,0),FALSE)</f>
        <v>4.2749999999999996E-2</v>
      </c>
      <c r="AM56" s="99">
        <f>VLOOKUP($A56,[1]Sheet1!$2:$65536,MATCH(AM$3,[1]Sheet1!$2:$2,0),FALSE)</f>
        <v>4.2249999999999996E-2</v>
      </c>
      <c r="AN56" s="99">
        <f>VLOOKUP($A56,[1]Sheet1!$2:$65536,MATCH(AN$3,[1]Sheet1!$2:$2,0),FALSE)</f>
        <v>3.8500000000000006E-2</v>
      </c>
      <c r="AO56" s="99">
        <f>VLOOKUP($A56,[1]Sheet1!$2:$65536,MATCH(AO$3,[1]Sheet1!$2:$2,0),FALSE)</f>
        <v>3.8500000000000006E-2</v>
      </c>
      <c r="AP56" s="99">
        <f>VLOOKUP($A56,[1]Sheet1!$2:$65536,MATCH(AP$3,[1]Sheet1!$2:$2,0),FALSE)</f>
        <v>3.8500000000000006E-2</v>
      </c>
      <c r="AQ56" s="99">
        <f>VLOOKUP($A56,[1]Sheet1!$2:$65536,MATCH(AQ$3,[1]Sheet1!$2:$2,0),FALSE)</f>
        <v>3.8500000000000006E-2</v>
      </c>
      <c r="AR56" s="99">
        <f>VLOOKUP($A56,[1]Sheet1!$2:$65536,MATCH(AR$3,[1]Sheet1!$2:$2,0),FALSE)</f>
        <v>3.8500000000000006E-2</v>
      </c>
      <c r="AS56" s="99">
        <f>VLOOKUP($A56,[1]Sheet1!$2:$65536,MATCH(AS$3,[1]Sheet1!$2:$2,0),FALSE)</f>
        <v>3.8500000000000006E-2</v>
      </c>
      <c r="AT56" s="8"/>
      <c r="AU56" s="167">
        <v>5.9249999999999997E-2</v>
      </c>
      <c r="AV56" s="167">
        <v>5.6099999999999997E-2</v>
      </c>
      <c r="AW56" s="167">
        <v>6.1971416438356186E-2</v>
      </c>
      <c r="AX56" s="167">
        <v>6.9545061133768127E-2</v>
      </c>
      <c r="AY56" s="167">
        <v>5.9374674052164872E-2</v>
      </c>
      <c r="AZ56" s="168">
        <f>SUMPRODUCT(D56:E56,D$5:E$5)/SUM(D$5:E$5)</f>
        <v>3.6604565191161453E-2</v>
      </c>
      <c r="BA56" s="168">
        <f>SUMPRODUCT(F56:G56,F$5:G$5)/SUM(F$5:G$5)</f>
        <v>4.8572451998487719E-2</v>
      </c>
      <c r="BB56" s="168">
        <f>SUMPRODUCT(H56:I56,H$5:I$5)/SUM(H$5:I$5)</f>
        <v>4.7137821491485626E-2</v>
      </c>
      <c r="BC56" s="168">
        <f>SUMPRODUCT(J56:K56,J$5:K$5)/SUM(J$5:K$5)</f>
        <v>3.377491654373025E-2</v>
      </c>
      <c r="BD56" s="168">
        <f>SUMPRODUCT(L56:M56,L$5:M$5)/SUM(L$5:M$5)</f>
        <v>2.6858728834691429E-2</v>
      </c>
      <c r="BE56" s="168">
        <f>SUMPRODUCT(N56:O56,N$5:O$5)/SUM(N$5:O$5)</f>
        <v>2.6367750165086079E-2</v>
      </c>
      <c r="BF56" s="168">
        <f>SUMPRODUCT(P56:Q56,P$5:Q$5)/SUM(P$5:Q$5)</f>
        <v>2.2167938931297686E-2</v>
      </c>
      <c r="BG56" s="168">
        <f>SUMPRODUCT(R56:S56,R$5:S$5)/SUM(R$5:S$5)</f>
        <v>1.8586214275854853E-2</v>
      </c>
      <c r="BH56" s="168">
        <f>SUMPRODUCT(T56:U56,T$5:U$5)/SUM(T$5:U$5)</f>
        <v>1.7528323595363535E-2</v>
      </c>
      <c r="BI56" s="168">
        <f>SUMPRODUCT(V56:W56,V$5:W$5)/SUM(V$5:W$5)</f>
        <v>1.9806798735511083E-2</v>
      </c>
      <c r="BJ56" s="168">
        <f>SUMPRODUCT(X56:Y56,X$5:Y$5)/SUM(X$5:Y$5)</f>
        <v>1.0482442748091611E-2</v>
      </c>
      <c r="BK56" s="168">
        <f>SUMPRODUCT(Z56:AA56,Z$5:AA$5)/SUM(Z$5:AA$5)</f>
        <v>7.2636756828982189E-4</v>
      </c>
      <c r="BL56" s="168">
        <f>SUMPRODUCT(AB56:AC56,AB$5:AC$5)/SUM(AB$5:AC$5)</f>
        <v>6.2589395152792382E-4</v>
      </c>
      <c r="BM56" s="168">
        <f>SUMPRODUCT(AD56:AE56,AD$5:AE$5)/SUM(AD$5:AE$5)</f>
        <v>2.5013812441058891E-2</v>
      </c>
      <c r="BN56" s="168">
        <f>SUMPRODUCT(AF56:AG56,AF$5:AG$5)/SUM(AF$5:AG$5)</f>
        <v>4.2096138461538452E-2</v>
      </c>
      <c r="BO56" s="169">
        <f>SUMPRODUCT(AH56:AI56,AH$5:AI$5)/SUM(AH$5:AI$5)</f>
        <v>4.2704515068493154E-2</v>
      </c>
      <c r="BP56" s="168">
        <f>SUMPRODUCT(AJ56:AK56,AJ$5:AK$5)/SUM(AJ$5:AK$5)</f>
        <v>3.7363249315068493E-2</v>
      </c>
      <c r="BQ56" s="168">
        <f>SUMPRODUCT(AL56:AM56,AL$5:AM$5)/SUM(AL$5:AM$5)</f>
        <v>4.2499315068493151E-2</v>
      </c>
      <c r="BR56" s="168">
        <f>SUMPRODUCT(AN56:AO56,AN$5:AO$5)/SUM(AN$5:AO$5)</f>
        <v>3.8500000000000006E-2</v>
      </c>
      <c r="BS56" s="168">
        <f>SUMPRODUCT(AP56:AQ56,AP$5:AQ$5)/SUM(AP$5:AQ$5)</f>
        <v>3.8500000000000006E-2</v>
      </c>
      <c r="BT56" s="168">
        <f>SUMPRODUCT(AR56:AS56,AR$5:AS$5)/SUM(AR$5:AS$5)</f>
        <v>3.8500000000000006E-2</v>
      </c>
    </row>
    <row r="57" spans="1:72" s="9" customFormat="1" ht="12" customHeight="1">
      <c r="A57" s="91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20"/>
      <c r="AK57" s="19"/>
      <c r="AL57" s="19"/>
      <c r="AM57" s="19"/>
      <c r="AN57" s="19"/>
      <c r="AO57" s="19"/>
      <c r="AP57" s="19"/>
      <c r="AQ57" s="19"/>
      <c r="AR57" s="19"/>
      <c r="AS57" s="19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272"/>
      <c r="BL57" s="17"/>
      <c r="BO57" s="500"/>
    </row>
    <row r="58" spans="1:72" s="9" customFormat="1" ht="12" customHeight="1">
      <c r="A58" s="91" t="s">
        <v>292</v>
      </c>
      <c r="B58" s="2" t="s">
        <v>73</v>
      </c>
      <c r="C58" s="93">
        <f>C81</f>
        <v>0</v>
      </c>
      <c r="D58" s="93">
        <f t="shared" ref="D58:BH58" si="600">D81</f>
        <v>479</v>
      </c>
      <c r="E58" s="93">
        <f t="shared" si="600"/>
        <v>571</v>
      </c>
      <c r="F58" s="93">
        <f t="shared" si="600"/>
        <v>403</v>
      </c>
      <c r="G58" s="93">
        <f t="shared" si="600"/>
        <v>553</v>
      </c>
      <c r="H58" s="93">
        <f t="shared" si="600"/>
        <v>305</v>
      </c>
      <c r="I58" s="93">
        <f t="shared" si="600"/>
        <v>425</v>
      </c>
      <c r="J58" s="93">
        <f t="shared" si="600"/>
        <v>361</v>
      </c>
      <c r="K58" s="93">
        <f t="shared" si="600"/>
        <v>490</v>
      </c>
      <c r="L58" s="93">
        <f t="shared" ref="L58" si="601">L81</f>
        <v>501</v>
      </c>
      <c r="M58" s="93">
        <f t="shared" si="600"/>
        <v>764</v>
      </c>
      <c r="N58" s="93">
        <f t="shared" ref="N58:O58" si="602">N81</f>
        <v>678</v>
      </c>
      <c r="O58" s="93">
        <f t="shared" si="602"/>
        <v>926</v>
      </c>
      <c r="P58" s="93">
        <f t="shared" ref="P58:Q58" si="603">P81</f>
        <v>1070</v>
      </c>
      <c r="Q58" s="93">
        <f t="shared" si="603"/>
        <v>993</v>
      </c>
      <c r="R58" s="93">
        <f t="shared" ref="R58:S58" si="604">R81</f>
        <v>1050</v>
      </c>
      <c r="S58" s="93">
        <f t="shared" si="604"/>
        <v>1167</v>
      </c>
      <c r="T58" s="93">
        <f t="shared" ref="T58:U58" si="605">T81</f>
        <v>1248</v>
      </c>
      <c r="U58" s="93">
        <f t="shared" si="605"/>
        <v>1309</v>
      </c>
      <c r="V58" s="93">
        <f t="shared" ref="V58:W58" si="606">V81</f>
        <v>1310</v>
      </c>
      <c r="W58" s="93">
        <f t="shared" si="606"/>
        <v>1672</v>
      </c>
      <c r="X58" s="93">
        <f t="shared" ref="X58:Y58" si="607">X81</f>
        <v>1457</v>
      </c>
      <c r="Y58" s="93">
        <f t="shared" si="607"/>
        <v>1274</v>
      </c>
      <c r="Z58" s="93">
        <f t="shared" ref="Z58:AA58" si="608">Z81</f>
        <v>985</v>
      </c>
      <c r="AA58" s="93">
        <f t="shared" si="608"/>
        <v>2030</v>
      </c>
      <c r="AB58" s="93">
        <f t="shared" ref="AB58:AC58" si="609">AB81</f>
        <v>2043</v>
      </c>
      <c r="AC58" s="93">
        <f t="shared" si="609"/>
        <v>2663</v>
      </c>
      <c r="AD58" s="93">
        <f t="shared" ref="AD58:AE58" si="610">AD81</f>
        <v>2305</v>
      </c>
      <c r="AE58" s="93">
        <f t="shared" si="610"/>
        <v>2877</v>
      </c>
      <c r="AF58" s="93">
        <f t="shared" ref="AF58:AG58" si="611">AF81</f>
        <v>1415</v>
      </c>
      <c r="AG58" s="93">
        <f t="shared" si="611"/>
        <v>2107</v>
      </c>
      <c r="AH58" s="93">
        <f t="shared" ref="AH58:AI58" si="612">AH81</f>
        <v>1612</v>
      </c>
      <c r="AI58" s="93">
        <f t="shared" si="612"/>
        <v>2103</v>
      </c>
      <c r="AJ58" s="94">
        <f t="shared" ref="AJ58:AK58" si="613">AJ81</f>
        <v>1655</v>
      </c>
      <c r="AK58" s="93">
        <f t="shared" si="613"/>
        <v>2499.8880561614696</v>
      </c>
      <c r="AL58" s="93">
        <f t="shared" ref="AL58:AM58" si="614">AL81</f>
        <v>2129.0899562069253</v>
      </c>
      <c r="AM58" s="93">
        <f t="shared" si="614"/>
        <v>2461.2437233183127</v>
      </c>
      <c r="AN58" s="93">
        <f t="shared" ref="AN58:AO58" si="615">AN81</f>
        <v>2321.5542131990633</v>
      </c>
      <c r="AO58" s="93">
        <f t="shared" si="615"/>
        <v>2753.611305163</v>
      </c>
      <c r="AP58" s="93">
        <f t="shared" ref="AP58:AQ58" si="616">AP81</f>
        <v>2484.7365758583487</v>
      </c>
      <c r="AQ58" s="93">
        <f t="shared" si="616"/>
        <v>2902.7994681305609</v>
      </c>
      <c r="AR58" s="93">
        <f t="shared" ref="AR58:AS58" si="617">AR81</f>
        <v>2650.9191845037622</v>
      </c>
      <c r="AS58" s="93">
        <f t="shared" si="617"/>
        <v>3010.9542581523465</v>
      </c>
      <c r="AT58" s="93"/>
      <c r="AU58" s="93">
        <f t="shared" si="600"/>
        <v>812</v>
      </c>
      <c r="AV58" s="93">
        <f t="shared" si="600"/>
        <v>916</v>
      </c>
      <c r="AW58" s="93">
        <f t="shared" si="600"/>
        <v>1463</v>
      </c>
      <c r="AX58" s="93">
        <f t="shared" si="600"/>
        <v>1803</v>
      </c>
      <c r="AY58" s="93">
        <f t="shared" si="600"/>
        <v>871</v>
      </c>
      <c r="AZ58" s="93">
        <f t="shared" si="600"/>
        <v>1050</v>
      </c>
      <c r="BA58" s="93">
        <f t="shared" si="600"/>
        <v>956</v>
      </c>
      <c r="BB58" s="93">
        <f t="shared" si="600"/>
        <v>730</v>
      </c>
      <c r="BC58" s="93">
        <f t="shared" si="600"/>
        <v>851</v>
      </c>
      <c r="BD58" s="93">
        <f t="shared" si="600"/>
        <v>1265</v>
      </c>
      <c r="BE58" s="93">
        <f t="shared" si="600"/>
        <v>1604</v>
      </c>
      <c r="BF58" s="93">
        <f t="shared" si="600"/>
        <v>2063</v>
      </c>
      <c r="BG58" s="93">
        <f t="shared" si="600"/>
        <v>2217</v>
      </c>
      <c r="BH58" s="93">
        <f t="shared" si="600"/>
        <v>2557</v>
      </c>
      <c r="BI58" s="93">
        <f t="shared" ref="BI58" si="618">BI81</f>
        <v>2982</v>
      </c>
      <c r="BJ58" s="93">
        <f t="shared" ref="BJ58:BO58" si="619">BJ81</f>
        <v>2731</v>
      </c>
      <c r="BK58" s="93">
        <f t="shared" si="619"/>
        <v>3015</v>
      </c>
      <c r="BL58" s="93">
        <f t="shared" si="619"/>
        <v>4706</v>
      </c>
      <c r="BM58" s="93">
        <f t="shared" si="619"/>
        <v>5182</v>
      </c>
      <c r="BN58" s="93">
        <f t="shared" si="619"/>
        <v>3522</v>
      </c>
      <c r="BO58" s="94">
        <f t="shared" si="619"/>
        <v>3715</v>
      </c>
      <c r="BP58" s="93">
        <f t="shared" ref="BP58:BQ58" si="620">BP81</f>
        <v>4154.8880561614706</v>
      </c>
      <c r="BQ58" s="93">
        <f t="shared" si="620"/>
        <v>4590.333679525238</v>
      </c>
      <c r="BR58" s="93">
        <f t="shared" ref="BR58:BS58" si="621">BR81</f>
        <v>5075.1655183620624</v>
      </c>
      <c r="BS58" s="93">
        <f t="shared" si="621"/>
        <v>5387.5360439889146</v>
      </c>
      <c r="BT58" s="93">
        <f>BT81</f>
        <v>5661.8734426561086</v>
      </c>
    </row>
    <row r="59" spans="1:72" ht="12" customHeight="1" outlineLevel="1"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20"/>
      <c r="AK59" s="19"/>
      <c r="AL59" s="19"/>
      <c r="AM59" s="19"/>
      <c r="AN59" s="19"/>
      <c r="AO59" s="19"/>
      <c r="AP59" s="19"/>
      <c r="AQ59" s="19"/>
      <c r="AR59" s="19"/>
      <c r="AS59" s="19"/>
      <c r="AW59" s="19"/>
      <c r="AX59" s="19"/>
      <c r="BE59" s="33"/>
      <c r="BF59" s="33"/>
      <c r="BG59" s="33"/>
      <c r="BH59" s="33"/>
      <c r="BI59" s="33"/>
      <c r="BJ59" s="33"/>
      <c r="BK59" s="33"/>
      <c r="BL59" s="33"/>
    </row>
    <row r="60" spans="1:72" s="9" customFormat="1" ht="12" customHeight="1" outlineLevel="1">
      <c r="A60" s="91" t="s">
        <v>312</v>
      </c>
      <c r="B60" s="16" t="s">
        <v>6</v>
      </c>
      <c r="C60" s="30"/>
      <c r="D60" s="30">
        <f>'Divisional Model'!C10</f>
        <v>44872</v>
      </c>
      <c r="E60" s="30">
        <f>'Divisional Model'!D10</f>
        <v>46151</v>
      </c>
      <c r="F60" s="30">
        <f>'Divisional Model'!E10</f>
        <v>46698</v>
      </c>
      <c r="G60" s="30">
        <f>'Divisional Model'!F10</f>
        <v>47289</v>
      </c>
      <c r="H60" s="30">
        <f>'Divisional Model'!G10</f>
        <v>47407</v>
      </c>
      <c r="I60" s="30">
        <f>'Divisional Model'!H10</f>
        <v>48241</v>
      </c>
      <c r="J60" s="30">
        <f>'Divisional Model'!I10</f>
        <v>47941</v>
      </c>
      <c r="K60" s="30">
        <f>'Divisional Model'!J10</f>
        <v>48963</v>
      </c>
      <c r="L60" s="30">
        <f>'Divisional Model'!K10</f>
        <v>51690.928416485898</v>
      </c>
      <c r="M60" s="30">
        <f>'Divisional Model'!L10</f>
        <v>55774.731019522776</v>
      </c>
      <c r="N60" s="30">
        <f>'Divisional Model'!M10</f>
        <v>60027.65075921909</v>
      </c>
      <c r="O60" s="30">
        <f>'Divisional Model'!N10</f>
        <v>66354.084598698479</v>
      </c>
      <c r="P60" s="30">
        <f>'Divisional Model'!O10</f>
        <v>71973.167028199561</v>
      </c>
      <c r="Q60" s="30">
        <f>'Divisional Model'!P10</f>
        <v>76851.095444685459</v>
      </c>
      <c r="R60" s="30">
        <f>'Divisional Model'!Q10</f>
        <v>78836.392624728847</v>
      </c>
      <c r="S60" s="30">
        <f>'Divisional Model'!R10</f>
        <v>77409.924078091106</v>
      </c>
      <c r="T60" s="30">
        <f>'Divisional Model'!S10</f>
        <v>77127.563991323201</v>
      </c>
      <c r="U60" s="30">
        <f>'Divisional Model'!T10</f>
        <v>83408.342733188721</v>
      </c>
      <c r="V60" s="30">
        <f>'Divisional Model'!U10</f>
        <v>82850</v>
      </c>
      <c r="W60" s="30">
        <f>'Divisional Model'!V10</f>
        <v>81700</v>
      </c>
      <c r="X60" s="30">
        <f>'Divisional Model'!W10</f>
        <v>81300</v>
      </c>
      <c r="Y60" s="30">
        <f>'Divisional Model'!X10</f>
        <v>83400</v>
      </c>
      <c r="Z60" s="30">
        <f>'Divisional Model'!Y10</f>
        <v>91400</v>
      </c>
      <c r="AA60" s="30">
        <f>'Divisional Model'!Z10</f>
        <v>101850</v>
      </c>
      <c r="AB60" s="30">
        <f>'Divisional Model'!AA10</f>
        <v>114750</v>
      </c>
      <c r="AC60" s="30">
        <f>'Divisional Model'!AB10</f>
        <v>130350</v>
      </c>
      <c r="AD60" s="30">
        <f>'Divisional Model'!AC10</f>
        <v>145850</v>
      </c>
      <c r="AE60" s="30">
        <f>'Divisional Model'!AD10</f>
        <v>158300</v>
      </c>
      <c r="AF60" s="30">
        <f>'Divisional Model'!AE10</f>
        <v>168050</v>
      </c>
      <c r="AG60" s="30">
        <f>'Divisional Model'!AF10</f>
        <v>177000</v>
      </c>
      <c r="AH60" s="30">
        <f>'Divisional Model'!AG10</f>
        <v>186650</v>
      </c>
      <c r="AI60" s="30">
        <f>'Divisional Model'!AH10</f>
        <v>198750</v>
      </c>
      <c r="AJ60" s="27">
        <f>'Divisional Model'!AI10</f>
        <v>214800</v>
      </c>
      <c r="AK60" s="30">
        <f>'Divisional Model'!AJ10</f>
        <v>233440.5</v>
      </c>
      <c r="AL60" s="30">
        <f>'Divisional Model'!AK10</f>
        <v>251990.07000000004</v>
      </c>
      <c r="AM60" s="30">
        <f>'Divisional Model'!AL10</f>
        <v>270134.18707500002</v>
      </c>
      <c r="AN60" s="30">
        <f>'Divisional Model'!AM10</f>
        <v>287005.978902</v>
      </c>
      <c r="AO60" s="30">
        <f>'Divisional Model'!AN10</f>
        <v>302389.79623673251</v>
      </c>
      <c r="AP60" s="30">
        <f>'Divisional Model'!AO10</f>
        <v>317095.27594670485</v>
      </c>
      <c r="AQ60" s="30">
        <f>'Divisional Model'!AP10</f>
        <v>331602.86955184769</v>
      </c>
      <c r="AR60" s="30">
        <f>'Divisional Model'!AQ10</f>
        <v>346493.43978140247</v>
      </c>
      <c r="AS60" s="30">
        <f>'Divisional Model'!AR10</f>
        <v>361939.10964507837</v>
      </c>
      <c r="AU60" s="22">
        <v>41310</v>
      </c>
      <c r="AV60" s="22">
        <v>49697</v>
      </c>
      <c r="AW60" s="22">
        <v>41855</v>
      </c>
      <c r="AX60" s="22">
        <v>53935</v>
      </c>
      <c r="AY60" s="22">
        <v>50420</v>
      </c>
      <c r="AZ60" s="30">
        <f>SUMPRODUCT(D60:E60,D$5:E$5)/SUM(D$5:E$5)</f>
        <v>45513.252054794517</v>
      </c>
      <c r="BA60" s="30">
        <f>SUMPRODUCT(F60:G60,F$5:G$5)/SUM(F$5:G$5)</f>
        <v>46994.309589041099</v>
      </c>
      <c r="BB60" s="30">
        <f>SUMPRODUCT(H60:I60,H$5:I$5)/SUM(H$5:I$5)</f>
        <v>47824</v>
      </c>
      <c r="BC60" s="30">
        <f>SUMPRODUCT(J60:K60,J$5:K$5)/SUM(J$5:K$5)</f>
        <v>48453.4</v>
      </c>
      <c r="BD60" s="30">
        <f>SUMPRODUCT(L60:M60,L$5:M$5)/SUM(L$5:M$5)</f>
        <v>53738.423968145478</v>
      </c>
      <c r="BE60" s="30">
        <f>SUMPRODUCT(N60:O60,N$5:O$5)/SUM(N$5:O$5)</f>
        <v>63199.534026684109</v>
      </c>
      <c r="BF60" s="30">
        <f>SUMPRODUCT(P60:Q60,P$5:Q$5)/SUM(P$5:Q$5)</f>
        <v>74412.13123644251</v>
      </c>
      <c r="BG60" s="30">
        <f>SUMPRODUCT(R60:S60,R$5:S$5)/SUM(R$5:S$5)</f>
        <v>78121.204284907741</v>
      </c>
      <c r="BH60" s="30">
        <f>SUMPRODUCT(T60:U60,T$5:U$5)/SUM(T$5:U$5)</f>
        <v>80276.557168751664</v>
      </c>
      <c r="BI60" s="30">
        <f>SUMPRODUCT(V60:W60,V$5:W$5)/SUM(V$5:W$5)</f>
        <v>82273.424657534255</v>
      </c>
      <c r="BJ60" s="30">
        <f>SUMPRODUCT(X60:Y60,X$5:Y$5)/SUM(X$5:Y$5)</f>
        <v>82350</v>
      </c>
      <c r="BK60" s="30">
        <f>SUMPRODUCT(Z60:AA60,Z$5:AA$5)/SUM(Z$5:AA$5)</f>
        <v>96639.315068493161</v>
      </c>
      <c r="BL60" s="30">
        <f>SUMPRODUCT(AB60:AC60,AB$5:AC$5)/SUM(AB$5:AC$5)</f>
        <v>122571.36986301371</v>
      </c>
      <c r="BM60" s="30">
        <f>SUMPRODUCT(AD60:AE60,AD$5:AE$5)/SUM(AD$5:AE$5)</f>
        <v>152092.05479452058</v>
      </c>
      <c r="BN60" s="30">
        <f>SUMPRODUCT(AF60:AG60,AF$5:AG$5)/SUM(AF$5:AG$5)</f>
        <v>172525</v>
      </c>
      <c r="BO60" s="27">
        <f>SUMPRODUCT(AH60:AI60,AH$5:AI$5)/SUM(AH$5:AI$5)</f>
        <v>192716.57534246577</v>
      </c>
      <c r="BP60" s="30">
        <f>SUMPRODUCT(AJ60:AK60,AJ$5:AK$5)/SUM(AJ$5:AK$5)</f>
        <v>224145.78493150687</v>
      </c>
      <c r="BQ60" s="30">
        <f>SUMPRODUCT(AL60:AM60,AL$5:AM$5)/SUM(AL$5:AM$5)</f>
        <v>261086.9834923973</v>
      </c>
      <c r="BR60" s="30">
        <f>SUMPRODUCT(AN60:AO60,AN$5:AO$5)/SUM(AN$5:AO$5)</f>
        <v>294697.88756936626</v>
      </c>
      <c r="BS60" s="30">
        <f>SUMPRODUCT(AP60:AQ60,AP$5:AQ$5)/SUM(AP$5:AQ$5)</f>
        <v>324368.94616517372</v>
      </c>
      <c r="BT60" s="30">
        <f>SUMPRODUCT(AR60:AS60,AR$5:AS$5)/SUM(AR$5:AS$5)</f>
        <v>354237.43316510849</v>
      </c>
    </row>
    <row r="61" spans="1:72" ht="12" customHeight="1" outlineLevel="1">
      <c r="A61" s="91" t="s">
        <v>313</v>
      </c>
      <c r="B61" s="1" t="s">
        <v>5</v>
      </c>
      <c r="C61" s="37"/>
      <c r="D61" s="37">
        <f t="shared" ref="D61:I61" si="622">IF(ISERROR(D62/D60),"n.a.",D62/D60*D$5)</f>
        <v>1.8891014343653399E-2</v>
      </c>
      <c r="E61" s="37">
        <f t="shared" si="622"/>
        <v>2.8463064746135535E-2</v>
      </c>
      <c r="F61" s="37">
        <f t="shared" si="622"/>
        <v>2.5840378368903127E-2</v>
      </c>
      <c r="G61" s="37">
        <f t="shared" si="622"/>
        <v>2.8414246837135879E-2</v>
      </c>
      <c r="H61" s="37">
        <f t="shared" si="622"/>
        <v>2.9447128061256777E-2</v>
      </c>
      <c r="I61" s="37">
        <f t="shared" si="622"/>
        <v>2.6326154101283143E-2</v>
      </c>
      <c r="J61" s="37">
        <f t="shared" ref="J61:S61" si="623">IF(ISERROR(J62/J60),"n.a.",J62/J60*J$5)</f>
        <v>2.6792951217474395E-2</v>
      </c>
      <c r="K61" s="37">
        <f t="shared" si="623"/>
        <v>2.9613637388896261E-2</v>
      </c>
      <c r="L61" s="37">
        <f t="shared" ref="L61:M61" si="624">IF(ISERROR(L62/L60),"n.a.",L62/L60*L$5)</f>
        <v>3.3183782899535288E-2</v>
      </c>
      <c r="M61" s="37">
        <f t="shared" si="624"/>
        <v>3.0383702909292074E-2</v>
      </c>
      <c r="N61" s="37">
        <f t="shared" ref="N61" si="625">IF(ISERROR(N62/N60),"n.a.",N62/N60*N$5)</f>
        <v>3.1764960516821643E-2</v>
      </c>
      <c r="O61" s="37">
        <f t="shared" si="623"/>
        <v>3.4334612134585087E-2</v>
      </c>
      <c r="P61" s="37">
        <f t="shared" si="623"/>
        <v>3.2373175951630563E-2</v>
      </c>
      <c r="Q61" s="37">
        <f t="shared" ref="Q61" si="626">IF(ISERROR(Q62/Q60),"n.a.",Q62/Q60*Q$5)</f>
        <v>2.8991128715967762E-2</v>
      </c>
      <c r="R61" s="37">
        <f t="shared" si="623"/>
        <v>2.7728449465812519E-2</v>
      </c>
      <c r="S61" s="37">
        <f t="shared" si="623"/>
        <v>2.8213223853317756E-2</v>
      </c>
      <c r="T61" s="37">
        <f t="shared" ref="T61:U61" si="627">IF(ISERROR(T62/T60),"n.a.",T62/T60*T$5)</f>
        <v>2.6144679093753277E-2</v>
      </c>
      <c r="U61" s="37">
        <f t="shared" si="627"/>
        <v>2.3443184204151479E-2</v>
      </c>
      <c r="V61" s="37">
        <f t="shared" ref="V61:W61" si="628">IF(ISERROR(V62/V60),"n.a.",V62/V60*V$5)</f>
        <v>2.4025907641369124E-2</v>
      </c>
      <c r="W61" s="37">
        <f t="shared" si="628"/>
        <v>1.8704856954550955E-2</v>
      </c>
      <c r="X61" s="37">
        <f t="shared" ref="X61:Y61" si="629">IF(ISERROR(X62/X60),"n.a.",X62/X60*X$5)</f>
        <v>1.943419434194342E-2</v>
      </c>
      <c r="Y61" s="37">
        <f t="shared" si="629"/>
        <v>2.563549160671463E-2</v>
      </c>
      <c r="Z61" s="37">
        <f t="shared" ref="Z61:AA61" si="630">IF(ISERROR(Z62/Z60),"n.a.",Z62/Z60*Z$5)</f>
        <v>2.2542179335413901E-2</v>
      </c>
      <c r="AA61" s="37">
        <f t="shared" si="630"/>
        <v>2.288055587024659E-2</v>
      </c>
      <c r="AB61" s="37">
        <f t="shared" ref="AB61:AC61" si="631">IF(ISERROR(AB62/AB60),"n.a.",AB62/AB60*AB$5)</f>
        <v>2.3864899936902509E-2</v>
      </c>
      <c r="AC61" s="37">
        <f t="shared" si="631"/>
        <v>2.287817667564503E-2</v>
      </c>
      <c r="AD61" s="37">
        <f t="shared" ref="AD61:AE61" si="632">IF(ISERROR(AD62/AD60),"n.a.",AD62/AD60*AD$5)</f>
        <v>1.9569285758442596E-2</v>
      </c>
      <c r="AE61" s="37">
        <f t="shared" si="632"/>
        <v>2.023231033022568E-2</v>
      </c>
      <c r="AF61" s="37">
        <f t="shared" ref="AF61:AG61" si="633">IF(ISERROR(AF62/AF60),"n.a.",AF62/AF60*AF$5)</f>
        <v>1.9434692055935732E-2</v>
      </c>
      <c r="AG61" s="37">
        <f t="shared" si="633"/>
        <v>2.063276836158192E-2</v>
      </c>
      <c r="AH61" s="37">
        <f t="shared" ref="AH61:AI61" si="634">IF(ISERROR(AH62/AH60),"n.a.",AH62/AH60*AH$5)</f>
        <v>1.7834876943052587E-2</v>
      </c>
      <c r="AI61" s="37">
        <f t="shared" si="634"/>
        <v>1.8546409565277488E-2</v>
      </c>
      <c r="AJ61" s="38">
        <f t="shared" ref="AJ61" si="635">IF(ISERROR(AJ62/AJ60),"n.a.",AJ62/AJ60*AJ$5)</f>
        <v>1.9183940328275889E-2</v>
      </c>
      <c r="AK61" s="37">
        <f t="shared" ref="AK61" si="636">IF(ISERROR(AK62/AK60),"n.a.",AK62/AK60*AK$5)</f>
        <v>1.7541242312464119E-2</v>
      </c>
      <c r="AL61" s="37">
        <f t="shared" ref="AL61:AM61" si="637">IF(ISERROR(AL62/AL60),"n.a.",AL62/AL60*AL$5)</f>
        <v>1.7265251524885568E-2</v>
      </c>
      <c r="AM61" s="37">
        <f t="shared" si="637"/>
        <v>1.6612236684334043E-2</v>
      </c>
      <c r="AN61" s="37">
        <f t="shared" ref="AN61:AO61" si="638">IF(ISERROR(AN62/AN60),"n.a.",AN62/AN60*AN$5)</f>
        <v>1.6041999921011654E-2</v>
      </c>
      <c r="AO61" s="37">
        <f t="shared" si="638"/>
        <v>1.5534316975148921E-2</v>
      </c>
      <c r="AP61" s="37">
        <f t="shared" ref="AP61:AQ61" si="639">IF(ISERROR(AP62/AP60),"n.a.",AP62/AP60*AP$5)</f>
        <v>1.5053392852814708E-2</v>
      </c>
      <c r="AQ61" s="37">
        <f t="shared" si="639"/>
        <v>1.4632584873814004E-2</v>
      </c>
      <c r="AR61" s="37">
        <f t="shared" ref="AR61:AS61" si="640">IF(ISERROR(AR62/AR60),"n.a.",AR62/AR60*AR$5)</f>
        <v>1.4197707049345519E-2</v>
      </c>
      <c r="AS61" s="37">
        <f t="shared" si="640"/>
        <v>1.3814649022940228E-2</v>
      </c>
      <c r="AU61" s="37">
        <f t="shared" ref="AU61:AY61" si="641">IF(ISERROR(AU62/AU60),"n.a.",AU62/AU60*AU$5)</f>
        <v>1.2975066569837811E-2</v>
      </c>
      <c r="AV61" s="37">
        <f t="shared" si="641"/>
        <v>1.1912187858422038E-2</v>
      </c>
      <c r="AW61" s="37">
        <f t="shared" si="641"/>
        <v>1.739338191374985E-2</v>
      </c>
      <c r="AX61" s="37">
        <f t="shared" si="641"/>
        <v>1.5147863168628905E-2</v>
      </c>
      <c r="AY61" s="37">
        <f t="shared" si="641"/>
        <v>1.8603728679095596E-2</v>
      </c>
      <c r="AZ61" s="37">
        <f t="shared" ref="AZ61" si="642">IF(ISERROR(AZ62/AZ60),"n.a.",AZ62/AZ60*AZ$5)</f>
        <v>2.3729352468590061E-2</v>
      </c>
      <c r="BA61" s="37">
        <f t="shared" ref="BA61" si="643">IF(ISERROR(BA62/BA60),"n.a.",BA62/BA60*BA$5)</f>
        <v>2.7130944387729134E-2</v>
      </c>
      <c r="BB61" s="37">
        <f t="shared" ref="BB61" si="644">IF(ISERROR(BB62/BB60),"n.a.",BB62/BB60*BB$5)</f>
        <v>2.7873034459685513E-2</v>
      </c>
      <c r="BC61" s="37">
        <f t="shared" ref="BC61:BD61" si="645">IF(ISERROR(BC62/BC60),"n.a.",BC62/BC60*BC$5)</f>
        <v>2.821267444596251E-2</v>
      </c>
      <c r="BD61" s="37">
        <f t="shared" si="645"/>
        <v>3.1727763378596154E-2</v>
      </c>
      <c r="BE61" s="37">
        <f t="shared" ref="BE61" si="646">IF(ISERROR(BE62/BE60),"n.a.",BE62/BE60*BE$5)</f>
        <v>3.3101509880068353E-2</v>
      </c>
      <c r="BF61" s="37">
        <f t="shared" ref="BF61" si="647">IF(ISERROR(BF62/BF60),"n.a.",BF62/BF60*BF$5)</f>
        <v>3.0626726612070013E-2</v>
      </c>
      <c r="BG61" s="37">
        <f t="shared" ref="BG61" si="648">IF(ISERROR(BG62/BG60),"n.a.",BG62/BG60*BG$5)</f>
        <v>2.7969358895586313E-2</v>
      </c>
      <c r="BH61" s="37">
        <f t="shared" ref="BH61" si="649">IF(ISERROR(BH62/BH60),"n.a.",BH62/BH60*BH$5)</f>
        <v>2.4739476505266315E-2</v>
      </c>
      <c r="BI61" s="37">
        <f t="shared" ref="BI61:BN61" si="650">IF(ISERROR(BI62/BI60),"n.a.",BI62/BI60*BI$5)</f>
        <v>2.1392083863362391E-2</v>
      </c>
      <c r="BJ61" s="37">
        <f t="shared" si="650"/>
        <v>2.257437765634487E-2</v>
      </c>
      <c r="BK61" s="37">
        <f t="shared" si="650"/>
        <v>2.2713323231278001E-2</v>
      </c>
      <c r="BL61" s="37">
        <f t="shared" si="650"/>
        <v>2.3333344509377258E-2</v>
      </c>
      <c r="BM61" s="37">
        <f t="shared" si="650"/>
        <v>1.990899527323034E-2</v>
      </c>
      <c r="BN61" s="37">
        <f t="shared" si="650"/>
        <v>2.0049268221996812E-2</v>
      </c>
      <c r="BO61" s="38">
        <f t="shared" ref="BO61:BP61" si="651">IF(ISERROR(BO62/BO60),"n.a.",BO62/BO60*BO$5)</f>
        <v>1.8197708182432715E-2</v>
      </c>
      <c r="BP61" s="37">
        <f t="shared" si="651"/>
        <v>1.8326504887780693E-2</v>
      </c>
      <c r="BQ61" s="37">
        <f t="shared" ref="BQ61:BR61" si="652">IF(ISERROR(BQ62/BQ60),"n.a.",BQ62/BQ60*BQ$5)</f>
        <v>1.6925068251919466E-2</v>
      </c>
      <c r="BR61" s="37">
        <f t="shared" si="652"/>
        <v>1.578153293256716E-2</v>
      </c>
      <c r="BS61" s="37">
        <f t="shared" ref="BS61:BT61" si="653">IF(ISERROR(BS62/BS60),"n.a.",BS62/BS60*BS$5)</f>
        <v>1.4837041257049087E-2</v>
      </c>
      <c r="BT61" s="37">
        <f t="shared" si="653"/>
        <v>1.4000853995057965E-2</v>
      </c>
    </row>
    <row r="62" spans="1:72" s="9" customFormat="1" ht="12" customHeight="1" outlineLevel="1">
      <c r="A62" s="91" t="s">
        <v>314</v>
      </c>
      <c r="B62" s="9" t="s">
        <v>7</v>
      </c>
      <c r="C62" s="30"/>
      <c r="D62" s="30">
        <f>'Divisional Model'!C12</f>
        <v>425</v>
      </c>
      <c r="E62" s="30">
        <f>'Divisional Model'!D12</f>
        <v>655</v>
      </c>
      <c r="F62" s="30">
        <f>'Divisional Model'!E12</f>
        <v>605</v>
      </c>
      <c r="G62" s="30">
        <f>'Divisional Model'!F12</f>
        <v>670</v>
      </c>
      <c r="H62" s="30">
        <f>'Divisional Model'!G12</f>
        <v>698</v>
      </c>
      <c r="I62" s="30">
        <f>'Divisional Model'!H12</f>
        <v>635</v>
      </c>
      <c r="J62" s="30">
        <f>'Divisional Model'!I12</f>
        <v>644</v>
      </c>
      <c r="K62" s="30">
        <f>'Divisional Model'!J12</f>
        <v>723</v>
      </c>
      <c r="L62" s="30">
        <f>'Divisional Model'!K12</f>
        <v>860</v>
      </c>
      <c r="M62" s="30">
        <f>'Divisional Model'!L12</f>
        <v>845</v>
      </c>
      <c r="N62" s="30">
        <f>'Divisional Model'!M12</f>
        <v>956</v>
      </c>
      <c r="O62" s="30">
        <f>'Divisional Model'!N12</f>
        <v>1136</v>
      </c>
      <c r="P62" s="30">
        <f>'Divisional Model'!O12</f>
        <v>1165</v>
      </c>
      <c r="Q62" s="30">
        <f>'Divisional Model'!P12</f>
        <v>1114</v>
      </c>
      <c r="R62" s="30">
        <f>'Divisional Model'!Q12</f>
        <v>1096</v>
      </c>
      <c r="S62" s="30">
        <f>'Divisional Model'!R12</f>
        <v>1089</v>
      </c>
      <c r="T62" s="30">
        <f>'Divisional Model'!S12</f>
        <v>1011</v>
      </c>
      <c r="U62" s="30">
        <f>'Divisional Model'!T12</f>
        <v>975</v>
      </c>
      <c r="V62" s="30">
        <f>'Divisional Model'!U12</f>
        <v>998</v>
      </c>
      <c r="W62" s="30">
        <f>'Divisional Model'!V12</f>
        <v>762</v>
      </c>
      <c r="X62" s="30">
        <f>'Divisional Model'!W12</f>
        <v>790</v>
      </c>
      <c r="Y62" s="30">
        <f>'Divisional Model'!X12</f>
        <v>1069</v>
      </c>
      <c r="Z62" s="30">
        <f>'Divisional Model'!Y12</f>
        <v>1033</v>
      </c>
      <c r="AA62" s="30">
        <f>'Divisional Model'!Z12</f>
        <v>1162</v>
      </c>
      <c r="AB62" s="30">
        <f>'Divisional Model'!AA12</f>
        <v>1373</v>
      </c>
      <c r="AC62" s="30">
        <f>'Divisional Model'!AB12</f>
        <v>1487</v>
      </c>
      <c r="AD62" s="30">
        <f>'Divisional Model'!AC12</f>
        <v>1431</v>
      </c>
      <c r="AE62" s="30">
        <f>'Divisional Model'!AD12</f>
        <v>1597</v>
      </c>
      <c r="AF62" s="30">
        <f>'Divisional Model'!AE12</f>
        <v>1633</v>
      </c>
      <c r="AG62" s="30">
        <f>'Divisional Model'!AF12</f>
        <v>1826</v>
      </c>
      <c r="AH62" s="30">
        <f>'Divisional Model'!AG12</f>
        <v>1669</v>
      </c>
      <c r="AI62" s="30">
        <f>'Divisional Model'!AH12</f>
        <v>1838</v>
      </c>
      <c r="AJ62" s="27">
        <f>'Divisional Model'!AI12</f>
        <v>2066</v>
      </c>
      <c r="AK62" s="30">
        <f>'Divisional Model'!AJ12</f>
        <v>2041.8088231227016</v>
      </c>
      <c r="AL62" s="30">
        <f>'Divisional Model'!AK12</f>
        <v>2181.2957947375462</v>
      </c>
      <c r="AM62" s="30">
        <f>'Divisional Model'!AL12</f>
        <v>2237.6192205590487</v>
      </c>
      <c r="AN62" s="30">
        <f>'Divisional Model'!AM12</f>
        <v>2302.0749454378783</v>
      </c>
      <c r="AO62" s="30">
        <f>'Divisional Model'!AN12</f>
        <v>2348.7094723960486</v>
      </c>
      <c r="AP62" s="30">
        <f>'Divisional Model'!AO12</f>
        <v>2393.2187292858371</v>
      </c>
      <c r="AQ62" s="30">
        <f>'Divisional Model'!AP12</f>
        <v>2419.45670747238</v>
      </c>
      <c r="AR62" s="30">
        <f>'Divisional Model'!AQ12</f>
        <v>2466.4450972990694</v>
      </c>
      <c r="AS62" s="30">
        <f>'Divisional Model'!AR12</f>
        <v>2493.1814840297188</v>
      </c>
      <c r="AU62" s="22">
        <v>536</v>
      </c>
      <c r="AV62" s="22">
        <v>592</v>
      </c>
      <c r="AW62" s="22">
        <v>728</v>
      </c>
      <c r="AX62" s="22">
        <v>817</v>
      </c>
      <c r="AY62" s="22">
        <v>938</v>
      </c>
      <c r="AZ62" s="17">
        <f t="shared" ref="AZ62:AZ67" si="654">D62+E62</f>
        <v>1080</v>
      </c>
      <c r="BA62" s="17">
        <f t="shared" ref="BA62:BA67" si="655">F62+G62</f>
        <v>1275</v>
      </c>
      <c r="BB62" s="17">
        <f t="shared" ref="BB62:BB67" si="656">H62+I62</f>
        <v>1333</v>
      </c>
      <c r="BC62" s="17">
        <f t="shared" ref="BC62:BC67" si="657">J62+K62</f>
        <v>1367</v>
      </c>
      <c r="BD62" s="17">
        <f t="shared" ref="BD62:BD67" si="658">L62+M62</f>
        <v>1705</v>
      </c>
      <c r="BE62" s="17">
        <f t="shared" ref="BE62:BE67" si="659">N62+O62</f>
        <v>2092</v>
      </c>
      <c r="BF62" s="17">
        <f t="shared" ref="BF62:BF67" si="660">P62+Q62</f>
        <v>2279</v>
      </c>
      <c r="BG62" s="17">
        <f t="shared" ref="BG62:BG67" si="661">R62+S62</f>
        <v>2185</v>
      </c>
      <c r="BH62" s="17">
        <f t="shared" ref="BH62:BH67" si="662">T62+U62</f>
        <v>1986</v>
      </c>
      <c r="BI62" s="17">
        <f t="shared" ref="BI62:BI67" si="663">V62+W62</f>
        <v>1760</v>
      </c>
      <c r="BJ62" s="17">
        <f t="shared" ref="BJ62:BJ67" si="664">X62+Y62</f>
        <v>1859</v>
      </c>
      <c r="BK62" s="17">
        <f t="shared" ref="BK62:BK67" si="665">Z62+AA62</f>
        <v>2195</v>
      </c>
      <c r="BL62" s="17">
        <f t="shared" ref="BL62:BL67" si="666">AB62+AC62</f>
        <v>2860</v>
      </c>
      <c r="BM62" s="17">
        <f t="shared" ref="BM62:BM67" si="667">AD62+AE62</f>
        <v>3028</v>
      </c>
      <c r="BN62" s="17">
        <f t="shared" ref="BN62:BN67" si="668">AF62+AG62</f>
        <v>3459</v>
      </c>
      <c r="BO62" s="18">
        <f t="shared" ref="BO62:BO67" si="669">AH62+AI62</f>
        <v>3507</v>
      </c>
      <c r="BP62" s="17">
        <f t="shared" ref="BP62:BP67" si="670">AJ62+AK62</f>
        <v>4107.8088231227011</v>
      </c>
      <c r="BQ62" s="17">
        <f t="shared" ref="BQ62:BQ67" si="671">AL62+AM62</f>
        <v>4418.9150152965949</v>
      </c>
      <c r="BR62" s="17">
        <f t="shared" ref="BR62:BR67" si="672">AN62+AO62</f>
        <v>4650.7844178339274</v>
      </c>
      <c r="BS62" s="17">
        <f t="shared" ref="BS62:BS67" si="673">AP62+AQ62</f>
        <v>4812.6754367582171</v>
      </c>
      <c r="BT62" s="17">
        <f t="shared" ref="BT62:BT67" si="674">AR62+AS62</f>
        <v>4959.6265813287882</v>
      </c>
    </row>
    <row r="63" spans="1:72" ht="12" customHeight="1" outlineLevel="1">
      <c r="A63" s="91" t="s">
        <v>547</v>
      </c>
      <c r="B63" s="1" t="s">
        <v>17</v>
      </c>
      <c r="C63" s="25"/>
      <c r="D63" s="25">
        <f>'Divisional Model'!C13+'Divisional Model'!C14</f>
        <v>442</v>
      </c>
      <c r="E63" s="25">
        <f>'Divisional Model'!D13+'Divisional Model'!D14</f>
        <v>484</v>
      </c>
      <c r="F63" s="25">
        <f>'Divisional Model'!E13+'Divisional Model'!E14</f>
        <v>496</v>
      </c>
      <c r="G63" s="25">
        <f>'Divisional Model'!F13+'Divisional Model'!F14</f>
        <v>454</v>
      </c>
      <c r="H63" s="25">
        <f>'Divisional Model'!G13+'Divisional Model'!G14</f>
        <v>463</v>
      </c>
      <c r="I63" s="25">
        <f>'Divisional Model'!H13+'Divisional Model'!H14</f>
        <v>475</v>
      </c>
      <c r="J63" s="25">
        <f>'Divisional Model'!I13+'Divisional Model'!I14</f>
        <v>500</v>
      </c>
      <c r="K63" s="25">
        <f>'Divisional Model'!J13+'Divisional Model'!J14</f>
        <v>519</v>
      </c>
      <c r="L63" s="25">
        <f>'Divisional Model'!K13+'Divisional Model'!K14</f>
        <v>628</v>
      </c>
      <c r="M63" s="25">
        <f>'Divisional Model'!L13+'Divisional Model'!L14</f>
        <v>661</v>
      </c>
      <c r="N63" s="25">
        <f>'Divisional Model'!M13+'Divisional Model'!M14</f>
        <v>650</v>
      </c>
      <c r="O63" s="25">
        <f>'Divisional Model'!N13+'Divisional Model'!N14</f>
        <v>738</v>
      </c>
      <c r="P63" s="25">
        <f>'Divisional Model'!O13+'Divisional Model'!O14</f>
        <v>791</v>
      </c>
      <c r="Q63" s="25">
        <f>'Divisional Model'!P13+'Divisional Model'!P14</f>
        <v>791</v>
      </c>
      <c r="R63" s="25">
        <f>'Divisional Model'!Q13+'Divisional Model'!Q14</f>
        <v>794</v>
      </c>
      <c r="S63" s="25">
        <f>'Divisional Model'!R13+'Divisional Model'!R14</f>
        <v>786</v>
      </c>
      <c r="T63" s="25">
        <f>'Divisional Model'!S13+'Divisional Model'!S14</f>
        <v>804</v>
      </c>
      <c r="U63" s="25">
        <f>'Divisional Model'!T13+'Divisional Model'!T14</f>
        <v>828</v>
      </c>
      <c r="V63" s="25">
        <f>'Divisional Model'!U13+'Divisional Model'!U14</f>
        <v>899</v>
      </c>
      <c r="W63" s="25">
        <f>'Divisional Model'!V13+'Divisional Model'!V14</f>
        <v>916</v>
      </c>
      <c r="X63" s="25">
        <f>'Divisional Model'!W13+'Divisional Model'!W14</f>
        <v>967</v>
      </c>
      <c r="Y63" s="25">
        <f>'Divisional Model'!X13+'Divisional Model'!X14</f>
        <v>1086</v>
      </c>
      <c r="Z63" s="25">
        <f>'Divisional Model'!Y13+'Divisional Model'!Y14</f>
        <v>985</v>
      </c>
      <c r="AA63" s="25">
        <f>'Divisional Model'!Z13+'Divisional Model'!Z14</f>
        <v>1026</v>
      </c>
      <c r="AB63" s="25">
        <f>'Divisional Model'!AA13+'Divisional Model'!AA14</f>
        <v>1374</v>
      </c>
      <c r="AC63" s="25">
        <f>'Divisional Model'!AB13+'Divisional Model'!AB14</f>
        <v>1422</v>
      </c>
      <c r="AD63" s="25">
        <f>'Divisional Model'!AC13+'Divisional Model'!AC14</f>
        <v>1389</v>
      </c>
      <c r="AE63" s="25">
        <f>'Divisional Model'!AD13+'Divisional Model'!AD14</f>
        <v>1415</v>
      </c>
      <c r="AF63" s="25">
        <f>'Divisional Model'!AE13+'Divisional Model'!AE14</f>
        <v>1417</v>
      </c>
      <c r="AG63" s="25">
        <f>'Divisional Model'!AF13+'Divisional Model'!AF14</f>
        <v>1478</v>
      </c>
      <c r="AH63" s="25">
        <f>'Divisional Model'!AG13+'Divisional Model'!AG14</f>
        <v>1448</v>
      </c>
      <c r="AI63" s="25">
        <f>'Divisional Model'!AH13+'Divisional Model'!AH14</f>
        <v>1500</v>
      </c>
      <c r="AJ63" s="26">
        <f>'Divisional Model'!AI13+'Divisional Model'!AI14</f>
        <v>1477</v>
      </c>
      <c r="AK63" s="25">
        <f>'Divisional Model'!AJ13+'Divisional Model'!AJ14</f>
        <v>1273.0898811034426</v>
      </c>
      <c r="AL63" s="25">
        <f>'Divisional Model'!AK13+'Divisional Model'!AK14</f>
        <v>1083.0674896331986</v>
      </c>
      <c r="AM63" s="25">
        <f>'Divisional Model'!AL13+'Divisional Model'!AL14</f>
        <v>1108.2054891695614</v>
      </c>
      <c r="AN63" s="25">
        <f>'Divisional Model'!AM13+'Divisional Model'!AM14</f>
        <v>1127.8909408405034</v>
      </c>
      <c r="AO63" s="25">
        <f>'Divisional Model'!AN13+'Divisional Model'!AN14</f>
        <v>1132.9677286542715</v>
      </c>
      <c r="AP63" s="25">
        <f>'Divisional Model'!AO13+'Divisional Model'!AO14</f>
        <v>1141.6647421037776</v>
      </c>
      <c r="AQ63" s="25">
        <f>'Divisional Model'!AP13+'Divisional Model'!AP14</f>
        <v>1137.5679268597075</v>
      </c>
      <c r="AR63" s="25">
        <f>'Divisional Model'!AQ13+'Divisional Model'!AQ14</f>
        <v>1138.4574300510053</v>
      </c>
      <c r="AS63" s="25">
        <f>'Divisional Model'!AR13+'Divisional Model'!AR14</f>
        <v>1123.9888132019828</v>
      </c>
      <c r="AU63" s="21">
        <v>388</v>
      </c>
      <c r="AV63" s="21">
        <f>753-AV64</f>
        <v>553</v>
      </c>
      <c r="AW63" s="21">
        <f>859-AW64</f>
        <v>785</v>
      </c>
      <c r="AX63" s="21">
        <v>960</v>
      </c>
      <c r="AY63" s="21">
        <v>921</v>
      </c>
      <c r="AZ63" s="19">
        <f t="shared" si="654"/>
        <v>926</v>
      </c>
      <c r="BA63" s="19">
        <f t="shared" si="655"/>
        <v>950</v>
      </c>
      <c r="BB63" s="19">
        <f t="shared" si="656"/>
        <v>938</v>
      </c>
      <c r="BC63" s="19">
        <f t="shared" si="657"/>
        <v>1019</v>
      </c>
      <c r="BD63" s="19">
        <f t="shared" si="658"/>
        <v>1289</v>
      </c>
      <c r="BE63" s="19">
        <f t="shared" si="659"/>
        <v>1388</v>
      </c>
      <c r="BF63" s="19">
        <f t="shared" si="660"/>
        <v>1582</v>
      </c>
      <c r="BG63" s="19">
        <f t="shared" si="661"/>
        <v>1580</v>
      </c>
      <c r="BH63" s="19">
        <f t="shared" si="662"/>
        <v>1632</v>
      </c>
      <c r="BI63" s="19">
        <f t="shared" si="663"/>
        <v>1815</v>
      </c>
      <c r="BJ63" s="19">
        <f t="shared" si="664"/>
        <v>2053</v>
      </c>
      <c r="BK63" s="19">
        <f t="shared" si="665"/>
        <v>2011</v>
      </c>
      <c r="BL63" s="19">
        <f t="shared" si="666"/>
        <v>2796</v>
      </c>
      <c r="BM63" s="19">
        <f t="shared" si="667"/>
        <v>2804</v>
      </c>
      <c r="BN63" s="19">
        <f t="shared" si="668"/>
        <v>2895</v>
      </c>
      <c r="BO63" s="20">
        <f t="shared" si="669"/>
        <v>2948</v>
      </c>
      <c r="BP63" s="19">
        <f t="shared" si="670"/>
        <v>2750.0898811034426</v>
      </c>
      <c r="BQ63" s="19">
        <f t="shared" si="671"/>
        <v>2191.27297880276</v>
      </c>
      <c r="BR63" s="19">
        <f t="shared" si="672"/>
        <v>2260.8586694947749</v>
      </c>
      <c r="BS63" s="19">
        <f t="shared" si="673"/>
        <v>2279.2326689634851</v>
      </c>
      <c r="BT63" s="19">
        <f t="shared" si="674"/>
        <v>2262.4462432529881</v>
      </c>
    </row>
    <row r="64" spans="1:72" ht="12" customHeight="1" outlineLevel="1">
      <c r="A64" s="91" t="s">
        <v>546</v>
      </c>
      <c r="B64" s="1" t="s">
        <v>18</v>
      </c>
      <c r="C64" s="25"/>
      <c r="D64" s="25">
        <f>'Divisional Model'!C15+'Divisional Model'!C16</f>
        <v>52</v>
      </c>
      <c r="E64" s="25">
        <f>'Divisional Model'!D15+'Divisional Model'!D16</f>
        <v>5</v>
      </c>
      <c r="F64" s="25">
        <f>'Divisional Model'!E15+'Divisional Model'!E16</f>
        <v>15</v>
      </c>
      <c r="G64" s="25">
        <f>'Divisional Model'!F15+'Divisional Model'!F16</f>
        <v>21</v>
      </c>
      <c r="H64" s="25">
        <f>'Divisional Model'!G15+'Divisional Model'!G16</f>
        <v>89</v>
      </c>
      <c r="I64" s="25">
        <f>'Divisional Model'!H15+'Divisional Model'!H16</f>
        <v>41</v>
      </c>
      <c r="J64" s="25">
        <f>'Divisional Model'!I15+'Divisional Model'!I16</f>
        <v>76</v>
      </c>
      <c r="K64" s="25">
        <f>'Divisional Model'!J15+'Divisional Model'!J16</f>
        <v>88</v>
      </c>
      <c r="L64" s="25">
        <f>'Divisional Model'!K15+'Divisional Model'!K16</f>
        <v>76</v>
      </c>
      <c r="M64" s="25">
        <f>'Divisional Model'!L15+'Divisional Model'!L16</f>
        <v>143</v>
      </c>
      <c r="N64" s="25">
        <f>'Divisional Model'!M15+'Divisional Model'!M16</f>
        <v>373</v>
      </c>
      <c r="O64" s="25">
        <f>'Divisional Model'!N15+'Divisional Model'!N16</f>
        <v>294</v>
      </c>
      <c r="P64" s="25">
        <f>'Divisional Model'!O15+'Divisional Model'!O16</f>
        <v>629</v>
      </c>
      <c r="Q64" s="25">
        <f>'Divisional Model'!P15+'Divisional Model'!P16</f>
        <v>85</v>
      </c>
      <c r="R64" s="25">
        <f>'Divisional Model'!Q15+'Divisional Model'!Q16</f>
        <v>170</v>
      </c>
      <c r="S64" s="25">
        <f>'Divisional Model'!R15+'Divisional Model'!R16</f>
        <v>94</v>
      </c>
      <c r="T64" s="25">
        <f>'Divisional Model'!S15+'Divisional Model'!S16</f>
        <v>537</v>
      </c>
      <c r="U64" s="25">
        <f>'Divisional Model'!T15+'Divisional Model'!T16</f>
        <v>58</v>
      </c>
      <c r="V64" s="25">
        <f>'Divisional Model'!U15+'Divisional Model'!U16</f>
        <v>282</v>
      </c>
      <c r="W64" s="25">
        <f>'Divisional Model'!V15+'Divisional Model'!V16</f>
        <v>577</v>
      </c>
      <c r="X64" s="25">
        <f>'Divisional Model'!W15+'Divisional Model'!W16</f>
        <v>546</v>
      </c>
      <c r="Y64" s="25">
        <f>'Divisional Model'!X15+'Divisional Model'!X16</f>
        <v>275</v>
      </c>
      <c r="Z64" s="25">
        <f>'Divisional Model'!Y15+'Divisional Model'!Y16</f>
        <v>413</v>
      </c>
      <c r="AA64" s="25">
        <f>'Divisional Model'!Z15+'Divisional Model'!Z16</f>
        <v>247</v>
      </c>
      <c r="AB64" s="25">
        <f>'Divisional Model'!AA15+'Divisional Model'!AA16</f>
        <v>177</v>
      </c>
      <c r="AC64" s="25">
        <f>'Divisional Model'!AB15+'Divisional Model'!AB16</f>
        <v>218</v>
      </c>
      <c r="AD64" s="25">
        <f>'Divisional Model'!AC15+'Divisional Model'!AC16</f>
        <v>237</v>
      </c>
      <c r="AE64" s="25">
        <f>'Divisional Model'!AD15+'Divisional Model'!AD16</f>
        <v>455</v>
      </c>
      <c r="AF64" s="25">
        <f>'Divisional Model'!AE15+'Divisional Model'!AE16</f>
        <v>236</v>
      </c>
      <c r="AG64" s="25">
        <f>'Divisional Model'!AF15+'Divisional Model'!AF16</f>
        <v>396</v>
      </c>
      <c r="AH64" s="25">
        <f>'Divisional Model'!AG15+'Divisional Model'!AG16</f>
        <v>403</v>
      </c>
      <c r="AI64" s="25">
        <f>'Divisional Model'!AH15+'Divisional Model'!AH16</f>
        <v>434</v>
      </c>
      <c r="AJ64" s="26">
        <f>'Divisional Model'!AI15+'Divisional Model'!AI16</f>
        <v>756</v>
      </c>
      <c r="AK64" s="25">
        <f>'Divisional Model'!AJ15+'Divisional Model'!AJ16</f>
        <v>737.27088942157832</v>
      </c>
      <c r="AL64" s="25">
        <f>'Divisional Model'!AK15+'Divisional Model'!AK16</f>
        <v>679.83598544359006</v>
      </c>
      <c r="AM64" s="25">
        <f>'Divisional Model'!AL15+'Divisional Model'!AL16</f>
        <v>672.10877660667211</v>
      </c>
      <c r="AN64" s="25">
        <f>'Divisional Model'!AM15+'Divisional Model'!AM16</f>
        <v>687.00819662123467</v>
      </c>
      <c r="AO64" s="25">
        <f>'Divisional Model'!AN15+'Divisional Model'!AN16</f>
        <v>692.46264692048828</v>
      </c>
      <c r="AP64" s="25">
        <f>'Divisional Model'!AO15+'Divisional Model'!AO16</f>
        <v>700.20332973494044</v>
      </c>
      <c r="AQ64" s="25">
        <f>'Divisional Model'!AP15+'Divisional Model'!AP16</f>
        <v>699.60471762239763</v>
      </c>
      <c r="AR64" s="25">
        <f>'Divisional Model'!AQ15+'Divisional Model'!AQ16</f>
        <v>701.27442266390869</v>
      </c>
      <c r="AS64" s="25">
        <f>'Divisional Model'!AR15+'Divisional Model'!AR16</f>
        <v>693.00839827615744</v>
      </c>
      <c r="AU64" s="21">
        <v>312</v>
      </c>
      <c r="AV64" s="21">
        <v>200</v>
      </c>
      <c r="AW64" s="21">
        <v>74</v>
      </c>
      <c r="AX64" s="21">
        <v>384</v>
      </c>
      <c r="AY64" s="21">
        <v>234</v>
      </c>
      <c r="AZ64" s="19">
        <f t="shared" si="654"/>
        <v>57</v>
      </c>
      <c r="BA64" s="19">
        <f t="shared" si="655"/>
        <v>36</v>
      </c>
      <c r="BB64" s="19">
        <f t="shared" si="656"/>
        <v>130</v>
      </c>
      <c r="BC64" s="19">
        <f t="shared" si="657"/>
        <v>164</v>
      </c>
      <c r="BD64" s="19">
        <f t="shared" si="658"/>
        <v>219</v>
      </c>
      <c r="BE64" s="19">
        <f t="shared" si="659"/>
        <v>667</v>
      </c>
      <c r="BF64" s="19">
        <f t="shared" si="660"/>
        <v>714</v>
      </c>
      <c r="BG64" s="19">
        <f t="shared" si="661"/>
        <v>264</v>
      </c>
      <c r="BH64" s="19">
        <f t="shared" si="662"/>
        <v>595</v>
      </c>
      <c r="BI64" s="19">
        <f t="shared" si="663"/>
        <v>859</v>
      </c>
      <c r="BJ64" s="19">
        <f t="shared" si="664"/>
        <v>821</v>
      </c>
      <c r="BK64" s="19">
        <f t="shared" si="665"/>
        <v>660</v>
      </c>
      <c r="BL64" s="19">
        <f t="shared" si="666"/>
        <v>395</v>
      </c>
      <c r="BM64" s="19">
        <f t="shared" si="667"/>
        <v>692</v>
      </c>
      <c r="BN64" s="19">
        <f t="shared" si="668"/>
        <v>632</v>
      </c>
      <c r="BO64" s="20">
        <f t="shared" si="669"/>
        <v>837</v>
      </c>
      <c r="BP64" s="19">
        <f t="shared" si="670"/>
        <v>1493.2708894215784</v>
      </c>
      <c r="BQ64" s="19">
        <f t="shared" si="671"/>
        <v>1351.9447620502622</v>
      </c>
      <c r="BR64" s="19">
        <f t="shared" si="672"/>
        <v>1379.4708435417228</v>
      </c>
      <c r="BS64" s="19">
        <f t="shared" si="673"/>
        <v>1399.8080473573382</v>
      </c>
      <c r="BT64" s="19">
        <f t="shared" si="674"/>
        <v>1394.2828209400661</v>
      </c>
    </row>
    <row r="65" spans="1:74" ht="12" customHeight="1" outlineLevel="1">
      <c r="A65" s="91" t="s">
        <v>545</v>
      </c>
      <c r="B65" s="1" t="s">
        <v>20</v>
      </c>
      <c r="C65" s="25"/>
      <c r="D65" s="25">
        <f>'Divisional Model'!C17</f>
        <v>596</v>
      </c>
      <c r="E65" s="25">
        <f>'Divisional Model'!D17</f>
        <v>489</v>
      </c>
      <c r="F65" s="25">
        <f>'Divisional Model'!E17</f>
        <v>402</v>
      </c>
      <c r="G65" s="25">
        <f>'Divisional Model'!F17</f>
        <v>529</v>
      </c>
      <c r="H65" s="25">
        <f>'Divisional Model'!G17</f>
        <v>339</v>
      </c>
      <c r="I65" s="25">
        <f>'Divisional Model'!H17</f>
        <v>343</v>
      </c>
      <c r="J65" s="25">
        <f>'Divisional Model'!I17</f>
        <v>327</v>
      </c>
      <c r="K65" s="25">
        <f>'Divisional Model'!J17</f>
        <v>332</v>
      </c>
      <c r="L65" s="25">
        <f>'Divisional Model'!K17</f>
        <v>357</v>
      </c>
      <c r="M65" s="25">
        <f>'Divisional Model'!L17</f>
        <v>452</v>
      </c>
      <c r="N65" s="25">
        <f>'Divisional Model'!M17</f>
        <v>429</v>
      </c>
      <c r="O65" s="25">
        <f>'Divisional Model'!N17</f>
        <v>544</v>
      </c>
      <c r="P65" s="25">
        <f>'Divisional Model'!O17</f>
        <v>537</v>
      </c>
      <c r="Q65" s="25">
        <f>'Divisional Model'!P17</f>
        <v>425</v>
      </c>
      <c r="R65" s="25">
        <f>'Divisional Model'!Q17</f>
        <v>471</v>
      </c>
      <c r="S65" s="25">
        <f>'Divisional Model'!R17</f>
        <v>492</v>
      </c>
      <c r="T65" s="25">
        <f>'Divisional Model'!S17</f>
        <v>458</v>
      </c>
      <c r="U65" s="25">
        <f>'Divisional Model'!T17</f>
        <v>462</v>
      </c>
      <c r="V65" s="25">
        <f>'Divisional Model'!U17</f>
        <v>573</v>
      </c>
      <c r="W65" s="25">
        <f>'Divisional Model'!V17</f>
        <v>433</v>
      </c>
      <c r="X65" s="25">
        <f>'Divisional Model'!W17</f>
        <v>482</v>
      </c>
      <c r="Y65" s="25">
        <f>'Divisional Model'!X17</f>
        <v>578</v>
      </c>
      <c r="Z65" s="25">
        <f>'Divisional Model'!Y17</f>
        <v>413</v>
      </c>
      <c r="AA65" s="25">
        <f>'Divisional Model'!Z17</f>
        <v>445</v>
      </c>
      <c r="AB65" s="25">
        <f>'Divisional Model'!AA17</f>
        <v>618</v>
      </c>
      <c r="AC65" s="25">
        <f>'Divisional Model'!AB17</f>
        <v>755</v>
      </c>
      <c r="AD65" s="25">
        <f>'Divisional Model'!AC17</f>
        <v>438</v>
      </c>
      <c r="AE65" s="25">
        <f>'Divisional Model'!AD17</f>
        <v>553</v>
      </c>
      <c r="AF65" s="25">
        <f>'Divisional Model'!AE17</f>
        <v>408</v>
      </c>
      <c r="AG65" s="25">
        <f>'Divisional Model'!AF17</f>
        <v>335</v>
      </c>
      <c r="AH65" s="25">
        <f>'Divisional Model'!AG17</f>
        <v>413</v>
      </c>
      <c r="AI65" s="25">
        <f>'Divisional Model'!AH17</f>
        <v>503</v>
      </c>
      <c r="AJ65" s="26">
        <f>'Divisional Model'!AI17</f>
        <v>558</v>
      </c>
      <c r="AK65" s="25">
        <f>'Divisional Model'!AJ17</f>
        <v>440.125</v>
      </c>
      <c r="AL65" s="25">
        <f>'Divisional Model'!AK17</f>
        <v>513.36</v>
      </c>
      <c r="AM65" s="25">
        <f>'Divisional Model'!AL17</f>
        <v>510.54499999999996</v>
      </c>
      <c r="AN65" s="25">
        <f>'Divisional Model'!AM17</f>
        <v>528.76080000000002</v>
      </c>
      <c r="AO65" s="25">
        <f>'Divisional Model'!AN17</f>
        <v>530.96679999999992</v>
      </c>
      <c r="AP65" s="25">
        <f>'Divisional Model'!AO17</f>
        <v>549.91123200000004</v>
      </c>
      <c r="AQ65" s="25">
        <f>'Divisional Model'!AP17</f>
        <v>552.20547199999999</v>
      </c>
      <c r="AR65" s="25">
        <f>'Divisional Model'!AQ17</f>
        <v>571.90768128000002</v>
      </c>
      <c r="AS65" s="25">
        <f>'Divisional Model'!AR17</f>
        <v>574.29369087999999</v>
      </c>
      <c r="AU65" s="21">
        <v>517</v>
      </c>
      <c r="AV65" s="21">
        <v>950</v>
      </c>
      <c r="AW65" s="21">
        <v>1227</v>
      </c>
      <c r="AX65" s="21">
        <v>1459</v>
      </c>
      <c r="AY65" s="21">
        <v>1229</v>
      </c>
      <c r="AZ65" s="19">
        <f t="shared" si="654"/>
        <v>1085</v>
      </c>
      <c r="BA65" s="19">
        <f t="shared" si="655"/>
        <v>931</v>
      </c>
      <c r="BB65" s="19">
        <f t="shared" si="656"/>
        <v>682</v>
      </c>
      <c r="BC65" s="19">
        <f t="shared" si="657"/>
        <v>659</v>
      </c>
      <c r="BD65" s="19">
        <f t="shared" si="658"/>
        <v>809</v>
      </c>
      <c r="BE65" s="19">
        <f t="shared" si="659"/>
        <v>973</v>
      </c>
      <c r="BF65" s="19">
        <f t="shared" si="660"/>
        <v>962</v>
      </c>
      <c r="BG65" s="19">
        <f t="shared" si="661"/>
        <v>963</v>
      </c>
      <c r="BH65" s="19">
        <f t="shared" si="662"/>
        <v>920</v>
      </c>
      <c r="BI65" s="19">
        <f t="shared" si="663"/>
        <v>1006</v>
      </c>
      <c r="BJ65" s="19">
        <f t="shared" si="664"/>
        <v>1060</v>
      </c>
      <c r="BK65" s="19">
        <f t="shared" si="665"/>
        <v>858</v>
      </c>
      <c r="BL65" s="19">
        <f t="shared" si="666"/>
        <v>1373</v>
      </c>
      <c r="BM65" s="19">
        <f t="shared" si="667"/>
        <v>991</v>
      </c>
      <c r="BN65" s="19">
        <f t="shared" si="668"/>
        <v>743</v>
      </c>
      <c r="BO65" s="20">
        <f t="shared" si="669"/>
        <v>916</v>
      </c>
      <c r="BP65" s="19">
        <f t="shared" si="670"/>
        <v>998.125</v>
      </c>
      <c r="BQ65" s="19">
        <f t="shared" si="671"/>
        <v>1023.905</v>
      </c>
      <c r="BR65" s="19">
        <f t="shared" si="672"/>
        <v>1059.7275999999999</v>
      </c>
      <c r="BS65" s="19">
        <f t="shared" si="673"/>
        <v>1102.116704</v>
      </c>
      <c r="BT65" s="19">
        <f t="shared" si="674"/>
        <v>1146.2013721600001</v>
      </c>
    </row>
    <row r="66" spans="1:74" ht="12" customHeight="1" outlineLevel="1">
      <c r="A66" s="91" t="s">
        <v>544</v>
      </c>
      <c r="B66" s="1" t="s">
        <v>19</v>
      </c>
      <c r="C66" s="25"/>
      <c r="D66" s="25">
        <f>'Divisional Model'!C18</f>
        <v>546</v>
      </c>
      <c r="E66" s="25">
        <f>'Divisional Model'!D18</f>
        <v>531</v>
      </c>
      <c r="F66" s="25">
        <f>'Divisional Model'!E18</f>
        <v>582</v>
      </c>
      <c r="G66" s="25">
        <f>'Divisional Model'!F18</f>
        <v>555</v>
      </c>
      <c r="H66" s="25">
        <f>'Divisional Model'!G18</f>
        <v>488</v>
      </c>
      <c r="I66" s="25">
        <f>'Divisional Model'!H18</f>
        <v>422</v>
      </c>
      <c r="J66" s="25">
        <f>'Divisional Model'!I18</f>
        <v>393</v>
      </c>
      <c r="K66" s="25">
        <f>'Divisional Model'!J18</f>
        <v>418</v>
      </c>
      <c r="L66" s="25">
        <f>'Divisional Model'!K18</f>
        <v>469</v>
      </c>
      <c r="M66" s="25">
        <f>'Divisional Model'!L18</f>
        <v>434</v>
      </c>
      <c r="N66" s="25">
        <f>'Divisional Model'!M18</f>
        <v>396</v>
      </c>
      <c r="O66" s="25">
        <f>'Divisional Model'!N18</f>
        <v>440</v>
      </c>
      <c r="P66" s="25">
        <f>'Divisional Model'!O18</f>
        <v>461</v>
      </c>
      <c r="Q66" s="25">
        <f>'Divisional Model'!P18</f>
        <v>427</v>
      </c>
      <c r="R66" s="25">
        <f>'Divisional Model'!Q18</f>
        <v>419</v>
      </c>
      <c r="S66" s="25">
        <f>'Divisional Model'!R18</f>
        <v>394</v>
      </c>
      <c r="T66" s="25">
        <f>'Divisional Model'!S18</f>
        <v>386</v>
      </c>
      <c r="U66" s="25">
        <f>'Divisional Model'!T18</f>
        <v>388</v>
      </c>
      <c r="V66" s="25">
        <f>'Divisional Model'!U18</f>
        <v>473</v>
      </c>
      <c r="W66" s="25">
        <f>'Divisional Model'!V18</f>
        <v>459</v>
      </c>
      <c r="X66" s="25">
        <f>'Divisional Model'!W18</f>
        <v>412</v>
      </c>
      <c r="Y66" s="25">
        <f>'Divisional Model'!X18</f>
        <v>458</v>
      </c>
      <c r="Z66" s="25">
        <f>'Divisional Model'!Y18</f>
        <v>401</v>
      </c>
      <c r="AA66" s="25">
        <f>'Divisional Model'!Z18</f>
        <v>415</v>
      </c>
      <c r="AB66" s="25">
        <f>'Divisional Model'!AA18</f>
        <v>381</v>
      </c>
      <c r="AC66" s="25">
        <f>'Divisional Model'!AB18</f>
        <v>420</v>
      </c>
      <c r="AD66" s="25">
        <f>'Divisional Model'!AC18</f>
        <v>358</v>
      </c>
      <c r="AE66" s="25">
        <f>'Divisional Model'!AD18</f>
        <v>357</v>
      </c>
      <c r="AF66" s="25">
        <f>'Divisional Model'!AE18</f>
        <v>377</v>
      </c>
      <c r="AG66" s="25">
        <f>'Divisional Model'!AF18</f>
        <v>414</v>
      </c>
      <c r="AH66" s="25">
        <f>'Divisional Model'!AG18</f>
        <v>429</v>
      </c>
      <c r="AI66" s="25">
        <f>'Divisional Model'!AH18</f>
        <v>434</v>
      </c>
      <c r="AJ66" s="26">
        <f>'Divisional Model'!AI18</f>
        <v>484</v>
      </c>
      <c r="AK66" s="25">
        <f>'Divisional Model'!AJ18</f>
        <v>498.69000000000005</v>
      </c>
      <c r="AL66" s="25">
        <f>'Divisional Model'!AK18</f>
        <v>507.98250000000007</v>
      </c>
      <c r="AM66" s="25">
        <f>'Divisional Model'!AL18</f>
        <v>523.69642500000009</v>
      </c>
      <c r="AN66" s="25">
        <f>'Divisional Model'!AM18</f>
        <v>542.87660625000012</v>
      </c>
      <c r="AO66" s="25">
        <f>'Divisional Model'!AN18</f>
        <v>559.88847656250005</v>
      </c>
      <c r="AP66" s="25">
        <f>'Divisional Model'!AO18</f>
        <v>580.5655283906251</v>
      </c>
      <c r="AQ66" s="25">
        <f>'Divisional Model'!AP18</f>
        <v>598.9927468101564</v>
      </c>
      <c r="AR66" s="25">
        <f>'Divisional Model'!AQ18</f>
        <v>621.29664355066416</v>
      </c>
      <c r="AS66" s="25">
        <f>'Divisional Model'!AR18</f>
        <v>641.26786482819739</v>
      </c>
      <c r="AU66" s="21">
        <v>329</v>
      </c>
      <c r="AV66" s="21">
        <v>715</v>
      </c>
      <c r="AW66" s="21">
        <v>949</v>
      </c>
      <c r="AX66" s="21">
        <v>1253</v>
      </c>
      <c r="AY66" s="21">
        <v>1037</v>
      </c>
      <c r="AZ66" s="19">
        <f t="shared" si="654"/>
        <v>1077</v>
      </c>
      <c r="BA66" s="19">
        <f t="shared" si="655"/>
        <v>1137</v>
      </c>
      <c r="BB66" s="19">
        <f t="shared" si="656"/>
        <v>910</v>
      </c>
      <c r="BC66" s="19">
        <f t="shared" si="657"/>
        <v>811</v>
      </c>
      <c r="BD66" s="19">
        <f t="shared" si="658"/>
        <v>903</v>
      </c>
      <c r="BE66" s="19">
        <f t="shared" si="659"/>
        <v>836</v>
      </c>
      <c r="BF66" s="19">
        <f t="shared" si="660"/>
        <v>888</v>
      </c>
      <c r="BG66" s="19">
        <f t="shared" si="661"/>
        <v>813</v>
      </c>
      <c r="BH66" s="19">
        <f t="shared" si="662"/>
        <v>774</v>
      </c>
      <c r="BI66" s="19">
        <f t="shared" si="663"/>
        <v>932</v>
      </c>
      <c r="BJ66" s="19">
        <f t="shared" si="664"/>
        <v>870</v>
      </c>
      <c r="BK66" s="19">
        <f t="shared" si="665"/>
        <v>816</v>
      </c>
      <c r="BL66" s="19">
        <f t="shared" si="666"/>
        <v>801</v>
      </c>
      <c r="BM66" s="19">
        <f t="shared" si="667"/>
        <v>715</v>
      </c>
      <c r="BN66" s="19">
        <f t="shared" si="668"/>
        <v>791</v>
      </c>
      <c r="BO66" s="20">
        <f t="shared" si="669"/>
        <v>863</v>
      </c>
      <c r="BP66" s="19">
        <f t="shared" si="670"/>
        <v>982.69</v>
      </c>
      <c r="BQ66" s="19">
        <f t="shared" si="671"/>
        <v>1031.6789250000002</v>
      </c>
      <c r="BR66" s="19">
        <f t="shared" si="672"/>
        <v>1102.7650828125002</v>
      </c>
      <c r="BS66" s="19">
        <f t="shared" si="673"/>
        <v>1179.5582752007815</v>
      </c>
      <c r="BT66" s="19">
        <f t="shared" si="674"/>
        <v>1262.5645083788615</v>
      </c>
    </row>
    <row r="67" spans="1:74" ht="12" customHeight="1" outlineLevel="1">
      <c r="A67" s="91" t="s">
        <v>543</v>
      </c>
      <c r="B67" s="1" t="s">
        <v>29</v>
      </c>
      <c r="C67" s="25"/>
      <c r="D67" s="25">
        <f>'Divisional Model'!C19</f>
        <v>246</v>
      </c>
      <c r="E67" s="25">
        <f>'Divisional Model'!D19</f>
        <v>330</v>
      </c>
      <c r="F67" s="25">
        <f>'Divisional Model'!E19</f>
        <v>500</v>
      </c>
      <c r="G67" s="25">
        <f>'Divisional Model'!F19</f>
        <v>337</v>
      </c>
      <c r="H67" s="25">
        <f>'Divisional Model'!G19</f>
        <v>387</v>
      </c>
      <c r="I67" s="25">
        <f>'Divisional Model'!H19</f>
        <v>317</v>
      </c>
      <c r="J67" s="25">
        <f>'Divisional Model'!I19</f>
        <v>340</v>
      </c>
      <c r="K67" s="25">
        <f>'Divisional Model'!J19</f>
        <v>386</v>
      </c>
      <c r="L67" s="25">
        <f>'Divisional Model'!K19</f>
        <v>308</v>
      </c>
      <c r="M67" s="25">
        <f>'Divisional Model'!L19</f>
        <v>325</v>
      </c>
      <c r="N67" s="25">
        <f>'Divisional Model'!M19</f>
        <v>319</v>
      </c>
      <c r="O67" s="25">
        <f>'Divisional Model'!N19</f>
        <v>556</v>
      </c>
      <c r="P67" s="25">
        <f>'Divisional Model'!O19</f>
        <v>376</v>
      </c>
      <c r="Q67" s="25">
        <f>'Divisional Model'!P19</f>
        <v>340</v>
      </c>
      <c r="R67" s="25">
        <f>'Divisional Model'!Q19</f>
        <v>348</v>
      </c>
      <c r="S67" s="25">
        <f>'Divisional Model'!R19</f>
        <v>363</v>
      </c>
      <c r="T67" s="25">
        <f>'Divisional Model'!S19</f>
        <v>383</v>
      </c>
      <c r="U67" s="25">
        <f>'Divisional Model'!T19</f>
        <v>366</v>
      </c>
      <c r="V67" s="25">
        <f>'Divisional Model'!U19</f>
        <v>434</v>
      </c>
      <c r="W67" s="25">
        <f>'Divisional Model'!V19</f>
        <v>480</v>
      </c>
      <c r="X67" s="25">
        <f>'Divisional Model'!W19</f>
        <v>467</v>
      </c>
      <c r="Y67" s="25">
        <f>'Divisional Model'!X19</f>
        <v>566</v>
      </c>
      <c r="Z67" s="25">
        <f>'Divisional Model'!Y19</f>
        <v>401</v>
      </c>
      <c r="AA67" s="25">
        <f>'Divisional Model'!Z19</f>
        <v>430</v>
      </c>
      <c r="AB67" s="25">
        <f>'Divisional Model'!AA19</f>
        <v>902</v>
      </c>
      <c r="AC67" s="25">
        <f>'Divisional Model'!AB19</f>
        <v>620</v>
      </c>
      <c r="AD67" s="25">
        <f>'Divisional Model'!AC19</f>
        <v>633</v>
      </c>
      <c r="AE67" s="25">
        <f>'Divisional Model'!AD19</f>
        <v>565</v>
      </c>
      <c r="AF67" s="25">
        <f>'Divisional Model'!AE19</f>
        <v>585</v>
      </c>
      <c r="AG67" s="25">
        <f>'Divisional Model'!AF19</f>
        <v>603</v>
      </c>
      <c r="AH67" s="25">
        <f>'Divisional Model'!AG19</f>
        <v>607</v>
      </c>
      <c r="AI67" s="25">
        <f>'Divisional Model'!AH19</f>
        <v>619</v>
      </c>
      <c r="AJ67" s="26">
        <f>'Divisional Model'!AI19</f>
        <v>626</v>
      </c>
      <c r="AK67" s="25">
        <f>'Divisional Model'!AJ19</f>
        <v>726.85799999999995</v>
      </c>
      <c r="AL67" s="25">
        <f>'Divisional Model'!AK19</f>
        <v>687.94123999999999</v>
      </c>
      <c r="AM67" s="25">
        <f>'Divisional Model'!AL19</f>
        <v>761.30712719999997</v>
      </c>
      <c r="AN67" s="25">
        <f>'Divisional Model'!AM19</f>
        <v>721.56043601600004</v>
      </c>
      <c r="AO67" s="25">
        <f>'Divisional Model'!AN19</f>
        <v>797.47463199648018</v>
      </c>
      <c r="AP67" s="25">
        <f>'Divisional Model'!AO19</f>
        <v>756.89291827437455</v>
      </c>
      <c r="AQ67" s="25">
        <f>'Divisional Model'!AP19</f>
        <v>835.45225826696583</v>
      </c>
      <c r="AR67" s="25">
        <f>'Divisional Model'!AQ19</f>
        <v>794.03145377102192</v>
      </c>
      <c r="AS67" s="25">
        <f>'Divisional Model'!AR19</f>
        <v>875.33688860072073</v>
      </c>
      <c r="AU67" s="21">
        <f>1821-AU63-AU64-AU65-AU66</f>
        <v>275</v>
      </c>
      <c r="AV67" s="21">
        <f>2842-AV63-AV64-AV65-AV66</f>
        <v>424</v>
      </c>
      <c r="AW67" s="21">
        <f>4645-AW63-AW64-AW65-AW66</f>
        <v>1610</v>
      </c>
      <c r="AX67" s="21">
        <f>4645-AX63-AX64-AX65-AX66</f>
        <v>589</v>
      </c>
      <c r="AY67" s="21">
        <f>569+55</f>
        <v>624</v>
      </c>
      <c r="AZ67" s="19">
        <f t="shared" si="654"/>
        <v>576</v>
      </c>
      <c r="BA67" s="19">
        <f t="shared" si="655"/>
        <v>837</v>
      </c>
      <c r="BB67" s="19">
        <f t="shared" si="656"/>
        <v>704</v>
      </c>
      <c r="BC67" s="19">
        <f t="shared" si="657"/>
        <v>726</v>
      </c>
      <c r="BD67" s="19">
        <f t="shared" si="658"/>
        <v>633</v>
      </c>
      <c r="BE67" s="19">
        <f t="shared" si="659"/>
        <v>875</v>
      </c>
      <c r="BF67" s="19">
        <f t="shared" si="660"/>
        <v>716</v>
      </c>
      <c r="BG67" s="19">
        <f t="shared" si="661"/>
        <v>711</v>
      </c>
      <c r="BH67" s="19">
        <f t="shared" si="662"/>
        <v>749</v>
      </c>
      <c r="BI67" s="19">
        <f t="shared" si="663"/>
        <v>914</v>
      </c>
      <c r="BJ67" s="19">
        <f t="shared" si="664"/>
        <v>1033</v>
      </c>
      <c r="BK67" s="19">
        <f t="shared" si="665"/>
        <v>831</v>
      </c>
      <c r="BL67" s="19">
        <f t="shared" si="666"/>
        <v>1522</v>
      </c>
      <c r="BM67" s="19">
        <f t="shared" si="667"/>
        <v>1198</v>
      </c>
      <c r="BN67" s="19">
        <f t="shared" si="668"/>
        <v>1188</v>
      </c>
      <c r="BO67" s="20">
        <f t="shared" si="669"/>
        <v>1226</v>
      </c>
      <c r="BP67" s="19">
        <f t="shared" si="670"/>
        <v>1352.8579999999999</v>
      </c>
      <c r="BQ67" s="19">
        <f t="shared" si="671"/>
        <v>1449.2483671999998</v>
      </c>
      <c r="BR67" s="19">
        <f t="shared" si="672"/>
        <v>1519.0350680124802</v>
      </c>
      <c r="BS67" s="19">
        <f t="shared" si="673"/>
        <v>1592.3451765413404</v>
      </c>
      <c r="BT67" s="19">
        <f t="shared" si="674"/>
        <v>1669.3683423717425</v>
      </c>
    </row>
    <row r="68" spans="1:74" s="9" customFormat="1" ht="12" customHeight="1" outlineLevel="1">
      <c r="A68" s="91" t="s">
        <v>540</v>
      </c>
      <c r="B68" s="9" t="s">
        <v>118</v>
      </c>
      <c r="C68" s="30"/>
      <c r="D68" s="30">
        <f t="shared" ref="D68:I68" si="675">D63+D64+D65+D66+D67</f>
        <v>1882</v>
      </c>
      <c r="E68" s="30">
        <f t="shared" si="675"/>
        <v>1839</v>
      </c>
      <c r="F68" s="30">
        <f t="shared" si="675"/>
        <v>1995</v>
      </c>
      <c r="G68" s="30">
        <f t="shared" si="675"/>
        <v>1896</v>
      </c>
      <c r="H68" s="30">
        <f t="shared" si="675"/>
        <v>1766</v>
      </c>
      <c r="I68" s="30">
        <f t="shared" si="675"/>
        <v>1598</v>
      </c>
      <c r="J68" s="30">
        <f t="shared" ref="J68:N68" si="676">J63+J64+J65+J66+J67</f>
        <v>1636</v>
      </c>
      <c r="K68" s="30">
        <f t="shared" si="676"/>
        <v>1743</v>
      </c>
      <c r="L68" s="30">
        <f t="shared" si="676"/>
        <v>1838</v>
      </c>
      <c r="M68" s="30">
        <f t="shared" si="676"/>
        <v>2015</v>
      </c>
      <c r="N68" s="30">
        <f t="shared" si="676"/>
        <v>2167</v>
      </c>
      <c r="O68" s="30">
        <f t="shared" ref="O68:S68" si="677">O63+O64+O65+O66+O67</f>
        <v>2572</v>
      </c>
      <c r="P68" s="30">
        <f t="shared" si="677"/>
        <v>2794</v>
      </c>
      <c r="Q68" s="30">
        <f t="shared" ref="Q68" si="678">Q63+Q64+Q65+Q66+Q67</f>
        <v>2068</v>
      </c>
      <c r="R68" s="30">
        <f t="shared" si="677"/>
        <v>2202</v>
      </c>
      <c r="S68" s="30">
        <f t="shared" si="677"/>
        <v>2129</v>
      </c>
      <c r="T68" s="30">
        <f t="shared" ref="T68:U68" si="679">T63+T64+T65+T66+T67</f>
        <v>2568</v>
      </c>
      <c r="U68" s="30">
        <f t="shared" si="679"/>
        <v>2102</v>
      </c>
      <c r="V68" s="30">
        <f t="shared" ref="V68:W68" si="680">V63+V64+V65+V66+V67</f>
        <v>2661</v>
      </c>
      <c r="W68" s="30">
        <f t="shared" si="680"/>
        <v>2865</v>
      </c>
      <c r="X68" s="30">
        <f t="shared" ref="X68:Y68" si="681">X63+X64+X65+X66+X67</f>
        <v>2874</v>
      </c>
      <c r="Y68" s="30">
        <f t="shared" si="681"/>
        <v>2963</v>
      </c>
      <c r="Z68" s="30">
        <f t="shared" ref="Z68:AA68" si="682">Z63+Z64+Z65+Z66+Z67</f>
        <v>2613</v>
      </c>
      <c r="AA68" s="30">
        <f t="shared" si="682"/>
        <v>2563</v>
      </c>
      <c r="AB68" s="30">
        <f t="shared" ref="AB68:AC68" si="683">AB63+AB64+AB65+AB66+AB67</f>
        <v>3452</v>
      </c>
      <c r="AC68" s="30">
        <f t="shared" si="683"/>
        <v>3435</v>
      </c>
      <c r="AD68" s="30">
        <f t="shared" ref="AD68:AE68" si="684">AD63+AD64+AD65+AD66+AD67</f>
        <v>3055</v>
      </c>
      <c r="AE68" s="30">
        <f t="shared" si="684"/>
        <v>3345</v>
      </c>
      <c r="AF68" s="30">
        <f t="shared" ref="AF68:AG68" si="685">AF63+AF64+AF65+AF66+AF67</f>
        <v>3023</v>
      </c>
      <c r="AG68" s="30">
        <f t="shared" si="685"/>
        <v>3226</v>
      </c>
      <c r="AH68" s="30">
        <f t="shared" ref="AH68:AI68" si="686">AH63+AH64+AH65+AH66+AH67</f>
        <v>3300</v>
      </c>
      <c r="AI68" s="30">
        <f t="shared" si="686"/>
        <v>3490</v>
      </c>
      <c r="AJ68" s="27">
        <f t="shared" ref="AJ68" si="687">AJ63+AJ64+AJ65+AJ66+AJ67</f>
        <v>3901</v>
      </c>
      <c r="AK68" s="30">
        <f t="shared" ref="AK68" si="688">AK63+AK64+AK65+AK66+AK67</f>
        <v>3676.0337705250213</v>
      </c>
      <c r="AL68" s="30">
        <f t="shared" ref="AL68:AM68" si="689">AL63+AL64+AL65+AL66+AL67</f>
        <v>3472.187215076789</v>
      </c>
      <c r="AM68" s="30">
        <f t="shared" si="689"/>
        <v>3575.8628179762336</v>
      </c>
      <c r="AN68" s="30">
        <f t="shared" ref="AN68:AO68" si="690">AN63+AN64+AN65+AN66+AN67</f>
        <v>3608.096979727738</v>
      </c>
      <c r="AO68" s="30">
        <f t="shared" si="690"/>
        <v>3713.7602841337398</v>
      </c>
      <c r="AP68" s="30">
        <f t="shared" ref="AP68:AQ68" si="691">AP63+AP64+AP65+AP66+AP67</f>
        <v>3729.237750503718</v>
      </c>
      <c r="AQ68" s="30">
        <f t="shared" si="691"/>
        <v>3823.8231215592277</v>
      </c>
      <c r="AR68" s="30">
        <f t="shared" ref="AR68:AS68" si="692">AR63+AR64+AR65+AR66+AR67</f>
        <v>3826.9676313166001</v>
      </c>
      <c r="AS68" s="30">
        <f t="shared" si="692"/>
        <v>3907.8956557870583</v>
      </c>
      <c r="AU68" s="30">
        <f t="shared" ref="AU68:AX68" si="693">AU63+AU64+AU65+AU66+AU67</f>
        <v>1821</v>
      </c>
      <c r="AV68" s="30">
        <f t="shared" si="693"/>
        <v>2842</v>
      </c>
      <c r="AW68" s="30">
        <f t="shared" si="693"/>
        <v>4645</v>
      </c>
      <c r="AX68" s="30">
        <f t="shared" si="693"/>
        <v>4645</v>
      </c>
      <c r="AY68" s="30">
        <f t="shared" ref="AY68:BH68" si="694">AY63+AY64+AY65+AY66+AY67</f>
        <v>4045</v>
      </c>
      <c r="AZ68" s="30">
        <f t="shared" si="694"/>
        <v>3721</v>
      </c>
      <c r="BA68" s="30">
        <f t="shared" si="694"/>
        <v>3891</v>
      </c>
      <c r="BB68" s="30">
        <f t="shared" si="694"/>
        <v>3364</v>
      </c>
      <c r="BC68" s="30">
        <f t="shared" si="694"/>
        <v>3379</v>
      </c>
      <c r="BD68" s="30">
        <f t="shared" si="694"/>
        <v>3853</v>
      </c>
      <c r="BE68" s="30">
        <f t="shared" si="694"/>
        <v>4739</v>
      </c>
      <c r="BF68" s="30">
        <f t="shared" si="694"/>
        <v>4862</v>
      </c>
      <c r="BG68" s="30">
        <f t="shared" si="694"/>
        <v>4331</v>
      </c>
      <c r="BH68" s="30">
        <f t="shared" si="694"/>
        <v>4670</v>
      </c>
      <c r="BI68" s="30">
        <f t="shared" ref="BI68" si="695">BI63+BI64+BI65+BI66+BI67</f>
        <v>5526</v>
      </c>
      <c r="BJ68" s="30">
        <f t="shared" ref="BJ68:BO68" si="696">BJ63+BJ64+BJ65+BJ66+BJ67</f>
        <v>5837</v>
      </c>
      <c r="BK68" s="30">
        <f t="shared" si="696"/>
        <v>5176</v>
      </c>
      <c r="BL68" s="30">
        <f t="shared" si="696"/>
        <v>6887</v>
      </c>
      <c r="BM68" s="30">
        <f t="shared" si="696"/>
        <v>6400</v>
      </c>
      <c r="BN68" s="30">
        <f t="shared" si="696"/>
        <v>6249</v>
      </c>
      <c r="BO68" s="27">
        <f t="shared" si="696"/>
        <v>6790</v>
      </c>
      <c r="BP68" s="30">
        <f t="shared" ref="BP68:BQ68" si="697">BP63+BP64+BP65+BP66+BP67</f>
        <v>7577.0337705250222</v>
      </c>
      <c r="BQ68" s="30">
        <f t="shared" si="697"/>
        <v>7048.0500330530222</v>
      </c>
      <c r="BR68" s="30">
        <f t="shared" ref="BR68:BS68" si="698">BR63+BR64+BR65+BR66+BR67</f>
        <v>7321.8572638614778</v>
      </c>
      <c r="BS68" s="30">
        <f t="shared" si="698"/>
        <v>7553.0608720629452</v>
      </c>
      <c r="BT68" s="30">
        <f>BT63+BT64+BT65+BT66+BT67</f>
        <v>7734.8632871036571</v>
      </c>
    </row>
    <row r="69" spans="1:74" ht="12" customHeight="1" outlineLevel="1">
      <c r="A69" s="91" t="s">
        <v>315</v>
      </c>
      <c r="B69" s="1" t="s">
        <v>8</v>
      </c>
      <c r="C69" s="25"/>
      <c r="D69" s="25">
        <f>'Divisional Model'!C21</f>
        <v>633</v>
      </c>
      <c r="E69" s="25">
        <f>'Divisional Model'!D21</f>
        <v>666</v>
      </c>
      <c r="F69" s="25">
        <f>'Divisional Model'!E21</f>
        <v>606</v>
      </c>
      <c r="G69" s="25">
        <f>'Divisional Model'!F21</f>
        <v>783</v>
      </c>
      <c r="H69" s="25">
        <f>'Divisional Model'!G21</f>
        <v>374</v>
      </c>
      <c r="I69" s="25">
        <f>'Divisional Model'!H21</f>
        <v>661</v>
      </c>
      <c r="J69" s="25">
        <f>'Divisional Model'!I21</f>
        <v>555</v>
      </c>
      <c r="K69" s="25">
        <f>'Divisional Model'!J21</f>
        <v>679</v>
      </c>
      <c r="L69" s="25">
        <f>'Divisional Model'!K21</f>
        <v>591</v>
      </c>
      <c r="M69" s="25">
        <f>'Divisional Model'!L21</f>
        <v>979</v>
      </c>
      <c r="N69" s="25">
        <f>'Divisional Model'!M21</f>
        <v>687</v>
      </c>
      <c r="O69" s="25">
        <f>'Divisional Model'!N21</f>
        <v>1040</v>
      </c>
      <c r="P69" s="25">
        <f>'Divisional Model'!O21</f>
        <v>1108</v>
      </c>
      <c r="Q69" s="25">
        <f>'Divisional Model'!P21</f>
        <v>959</v>
      </c>
      <c r="R69" s="25">
        <f>'Divisional Model'!Q21</f>
        <v>768</v>
      </c>
      <c r="S69" s="25">
        <f>'Divisional Model'!R21</f>
        <v>1001</v>
      </c>
      <c r="T69" s="25">
        <f>'Divisional Model'!S21</f>
        <v>881</v>
      </c>
      <c r="U69" s="25">
        <f>'Divisional Model'!T21</f>
        <v>1076</v>
      </c>
      <c r="V69" s="25">
        <f>'Divisional Model'!U21</f>
        <v>1231</v>
      </c>
      <c r="W69" s="25">
        <f>'Divisional Model'!V21</f>
        <v>1560</v>
      </c>
      <c r="X69" s="25">
        <f>'Divisional Model'!W21</f>
        <v>1627</v>
      </c>
      <c r="Y69" s="25">
        <f>'Divisional Model'!X21</f>
        <v>1234</v>
      </c>
      <c r="Z69" s="25">
        <f>'Divisional Model'!Y21</f>
        <v>1487</v>
      </c>
      <c r="AA69" s="25">
        <f>'Divisional Model'!Z21</f>
        <v>1995</v>
      </c>
      <c r="AB69" s="25">
        <f>'Divisional Model'!AA21</f>
        <v>1659</v>
      </c>
      <c r="AC69" s="25">
        <f>'Divisional Model'!AB21</f>
        <v>2337</v>
      </c>
      <c r="AD69" s="25">
        <f>'Divisional Model'!AC21</f>
        <v>2739</v>
      </c>
      <c r="AE69" s="25">
        <f>'Divisional Model'!AD21</f>
        <v>4834</v>
      </c>
      <c r="AF69" s="25">
        <f>'Divisional Model'!AE21</f>
        <v>2612</v>
      </c>
      <c r="AG69" s="25">
        <f>'Divisional Model'!AF21</f>
        <v>2836</v>
      </c>
      <c r="AH69" s="25">
        <f>'Divisional Model'!AG21</f>
        <v>2460</v>
      </c>
      <c r="AI69" s="25">
        <f>'Divisional Model'!AH21</f>
        <v>2910</v>
      </c>
      <c r="AJ69" s="26">
        <f>'Divisional Model'!AI21</f>
        <v>2445</v>
      </c>
      <c r="AK69" s="25">
        <f>'Divisional Model'!AJ21</f>
        <v>3417.1929649698013</v>
      </c>
      <c r="AL69" s="25">
        <f>'Divisional Model'!AK21</f>
        <v>3028.121159065653</v>
      </c>
      <c r="AM69" s="25">
        <f>'Divisional Model'!AL21</f>
        <v>3324.2924602459016</v>
      </c>
      <c r="AN69" s="25">
        <f>'Divisional Model'!AM21</f>
        <v>3224.121132186569</v>
      </c>
      <c r="AO69" s="25">
        <f>'Divisional Model'!AN21</f>
        <v>3597.2791162960698</v>
      </c>
      <c r="AP69" s="25">
        <f>'Divisional Model'!AO21</f>
        <v>3387.9885157736012</v>
      </c>
      <c r="AQ69" s="25">
        <f>'Divisional Model'!AP21</f>
        <v>3776.9536437207839</v>
      </c>
      <c r="AR69" s="25">
        <f>'Divisional Model'!AQ21</f>
        <v>3593.1039829328065</v>
      </c>
      <c r="AS69" s="25">
        <f>'Divisional Model'!AR21</f>
        <v>3917.1084841175057</v>
      </c>
      <c r="AU69" s="21">
        <v>734</v>
      </c>
      <c r="AV69" s="21">
        <v>876</v>
      </c>
      <c r="AW69" s="21">
        <v>1047</v>
      </c>
      <c r="AX69" s="21">
        <v>1835</v>
      </c>
      <c r="AY69" s="21">
        <v>1157</v>
      </c>
      <c r="AZ69" s="19">
        <f>D69+E69</f>
        <v>1299</v>
      </c>
      <c r="BA69" s="19">
        <f>F69+G69</f>
        <v>1389</v>
      </c>
      <c r="BB69" s="19">
        <f>H69+I69</f>
        <v>1035</v>
      </c>
      <c r="BC69" s="19">
        <f>J69+K69</f>
        <v>1234</v>
      </c>
      <c r="BD69" s="19">
        <f>L69+M69</f>
        <v>1570</v>
      </c>
      <c r="BE69" s="19">
        <f>N69+O69</f>
        <v>1727</v>
      </c>
      <c r="BF69" s="19">
        <f>P69+Q69</f>
        <v>2067</v>
      </c>
      <c r="BG69" s="19">
        <f>R69+S69</f>
        <v>1769</v>
      </c>
      <c r="BH69" s="19">
        <f>T69+U69</f>
        <v>1957</v>
      </c>
      <c r="BI69" s="19">
        <f>V69+W69</f>
        <v>2791</v>
      </c>
      <c r="BJ69" s="19">
        <f>X69+Y69</f>
        <v>2861</v>
      </c>
      <c r="BK69" s="19">
        <f>Z69+AA69</f>
        <v>3482</v>
      </c>
      <c r="BL69" s="19">
        <f>AB69+AC69</f>
        <v>3996</v>
      </c>
      <c r="BM69" s="19">
        <f>AD69+AE69</f>
        <v>7573</v>
      </c>
      <c r="BN69" s="19">
        <f>AF69+AG69</f>
        <v>5448</v>
      </c>
      <c r="BO69" s="20">
        <f>AH69+AI69</f>
        <v>5370</v>
      </c>
      <c r="BP69" s="19">
        <f>AJ69+AK69</f>
        <v>5862.1929649698013</v>
      </c>
      <c r="BQ69" s="19">
        <f>AL69+AM69</f>
        <v>6352.4136193115546</v>
      </c>
      <c r="BR69" s="19">
        <f>AN69+AO69</f>
        <v>6821.4002484826387</v>
      </c>
      <c r="BS69" s="19">
        <f>AP69+AQ69</f>
        <v>7164.9421594943851</v>
      </c>
      <c r="BT69" s="19">
        <f>AR69+AS69</f>
        <v>7510.2124670503126</v>
      </c>
    </row>
    <row r="70" spans="1:74" ht="12" customHeight="1" outlineLevel="1">
      <c r="A70" s="91" t="s">
        <v>542</v>
      </c>
      <c r="B70" s="1" t="s">
        <v>9</v>
      </c>
      <c r="C70" s="25"/>
      <c r="D70" s="25">
        <f>'Divisional Model'!C22</f>
        <v>-197</v>
      </c>
      <c r="E70" s="25">
        <f>'Divisional Model'!D22</f>
        <v>-33</v>
      </c>
      <c r="F70" s="25">
        <f>'Divisional Model'!E22</f>
        <v>85</v>
      </c>
      <c r="G70" s="25">
        <f>'Divisional Model'!F22</f>
        <v>94</v>
      </c>
      <c r="H70" s="25">
        <f>'Divisional Model'!G22</f>
        <v>49</v>
      </c>
      <c r="I70" s="25">
        <f>'Divisional Model'!H22</f>
        <v>59</v>
      </c>
      <c r="J70" s="25">
        <f>'Divisional Model'!I22</f>
        <v>75</v>
      </c>
      <c r="K70" s="25">
        <f>'Divisional Model'!J22</f>
        <v>17</v>
      </c>
      <c r="L70" s="25">
        <f>'Divisional Model'!K22</f>
        <v>70</v>
      </c>
      <c r="M70" s="25">
        <f>'Divisional Model'!L22</f>
        <v>79</v>
      </c>
      <c r="N70" s="25">
        <f>'Divisional Model'!M22</f>
        <v>19</v>
      </c>
      <c r="O70" s="25">
        <f>'Divisional Model'!N22</f>
        <v>-14</v>
      </c>
      <c r="P70" s="25">
        <f>'Divisional Model'!O22</f>
        <v>-63</v>
      </c>
      <c r="Q70" s="25">
        <f>'Divisional Model'!P22</f>
        <v>67</v>
      </c>
      <c r="R70" s="25">
        <f>'Divisional Model'!Q22</f>
        <v>-8</v>
      </c>
      <c r="S70" s="25">
        <f>'Divisional Model'!R22</f>
        <v>59</v>
      </c>
      <c r="T70" s="25">
        <f>'Divisional Model'!S22</f>
        <v>103</v>
      </c>
      <c r="U70" s="25">
        <f>'Divisional Model'!T22</f>
        <v>138</v>
      </c>
      <c r="V70" s="25">
        <f>'Divisional Model'!U22</f>
        <v>7</v>
      </c>
      <c r="W70" s="25">
        <f>'Divisional Model'!V22</f>
        <v>-63</v>
      </c>
      <c r="X70" s="25">
        <f>'Divisional Model'!W22</f>
        <v>-49</v>
      </c>
      <c r="Y70" s="25">
        <f>'Divisional Model'!X22</f>
        <v>144</v>
      </c>
      <c r="Z70" s="25">
        <f>'Divisional Model'!Y22</f>
        <v>-54</v>
      </c>
      <c r="AA70" s="25">
        <f>'Divisional Model'!Z22</f>
        <v>51</v>
      </c>
      <c r="AB70" s="25">
        <f>'Divisional Model'!AA22</f>
        <v>242</v>
      </c>
      <c r="AC70" s="25">
        <f>'Divisional Model'!AB22</f>
        <v>-2</v>
      </c>
      <c r="AD70" s="25">
        <f>'Divisional Model'!AC22</f>
        <v>-61</v>
      </c>
      <c r="AE70" s="25">
        <f>'Divisional Model'!AD22</f>
        <v>-52</v>
      </c>
      <c r="AF70" s="25">
        <f>'Divisional Model'!AE22</f>
        <v>-5</v>
      </c>
      <c r="AG70" s="25">
        <f>'Divisional Model'!AF22</f>
        <v>-44</v>
      </c>
      <c r="AH70" s="25">
        <f>'Divisional Model'!AG22</f>
        <v>1</v>
      </c>
      <c r="AI70" s="25">
        <f>'Divisional Model'!AH22</f>
        <v>166</v>
      </c>
      <c r="AJ70" s="26">
        <f>'Divisional Model'!AI22</f>
        <v>-50</v>
      </c>
      <c r="AK70" s="25">
        <f>'Divisional Model'!AJ22</f>
        <v>-8.7028571428571411</v>
      </c>
      <c r="AL70" s="25">
        <f>'Divisional Model'!AK22</f>
        <v>-8.2584571428571394</v>
      </c>
      <c r="AM70" s="25">
        <f>'Divisional Model'!AL22</f>
        <v>-7.8096131428571312</v>
      </c>
      <c r="AN70" s="25">
        <f>'Divisional Model'!AM22</f>
        <v>-7.3562807028571342</v>
      </c>
      <c r="AO70" s="25">
        <f>'Divisional Model'!AN22</f>
        <v>-6.8984149384571367</v>
      </c>
      <c r="AP70" s="25">
        <f>'Divisional Model'!AO22</f>
        <v>-6.4359705164131356</v>
      </c>
      <c r="AQ70" s="25">
        <f>'Divisional Model'!AP22</f>
        <v>-5.9689016501486947</v>
      </c>
      <c r="AR70" s="25">
        <f>'Divisional Model'!AQ22</f>
        <v>-5.4971620952216256</v>
      </c>
      <c r="AS70" s="25">
        <f>'Divisional Model'!AR22</f>
        <v>-5.0207051447452642</v>
      </c>
      <c r="AU70" s="21">
        <v>17</v>
      </c>
      <c r="AV70" s="21">
        <v>172</v>
      </c>
      <c r="AW70" s="21">
        <v>242</v>
      </c>
      <c r="AX70" s="21">
        <v>156</v>
      </c>
      <c r="AY70" s="21">
        <v>74</v>
      </c>
      <c r="AZ70" s="19">
        <f>D70+E70</f>
        <v>-230</v>
      </c>
      <c r="BA70" s="19">
        <f>F70+G70</f>
        <v>179</v>
      </c>
      <c r="BB70" s="19">
        <f>H70+I70</f>
        <v>108</v>
      </c>
      <c r="BC70" s="19">
        <f>J70+K70</f>
        <v>92</v>
      </c>
      <c r="BD70" s="19">
        <f>L70+M70</f>
        <v>149</v>
      </c>
      <c r="BE70" s="19">
        <f>N70+O70</f>
        <v>5</v>
      </c>
      <c r="BF70" s="19">
        <f>P70+Q70</f>
        <v>4</v>
      </c>
      <c r="BG70" s="19">
        <f>R70+S70</f>
        <v>51</v>
      </c>
      <c r="BH70" s="19">
        <f>T70+U70</f>
        <v>241</v>
      </c>
      <c r="BI70" s="19">
        <f>V70+W70</f>
        <v>-56</v>
      </c>
      <c r="BJ70" s="19">
        <f>X70+Y70</f>
        <v>95</v>
      </c>
      <c r="BK70" s="19">
        <f>Z70+AA70</f>
        <v>-3</v>
      </c>
      <c r="BL70" s="19">
        <f>AB70+AC70</f>
        <v>240</v>
      </c>
      <c r="BM70" s="19">
        <f>AD70+AE70</f>
        <v>-113</v>
      </c>
      <c r="BN70" s="19">
        <f>AF70+AG70</f>
        <v>-49</v>
      </c>
      <c r="BO70" s="20">
        <f>AH70+AI70</f>
        <v>167</v>
      </c>
      <c r="BP70" s="19">
        <f>AJ70+AK70</f>
        <v>-58.702857142857141</v>
      </c>
      <c r="BQ70" s="19">
        <f>AL70+AM70</f>
        <v>-16.068070285714271</v>
      </c>
      <c r="BR70" s="19">
        <f>AN70+AO70</f>
        <v>-14.254695641314271</v>
      </c>
      <c r="BS70" s="19">
        <f>AP70+AQ70</f>
        <v>-12.40487216656183</v>
      </c>
      <c r="BT70" s="19">
        <f>AR70+AS70</f>
        <v>-10.51786723996689</v>
      </c>
    </row>
    <row r="71" spans="1:74" ht="12" customHeight="1" outlineLevel="1">
      <c r="A71" s="91" t="s">
        <v>539</v>
      </c>
      <c r="B71" s="1" t="s">
        <v>45</v>
      </c>
      <c r="C71" s="25"/>
      <c r="D71" s="25">
        <f>'Divisional Model'!C23</f>
        <v>-131</v>
      </c>
      <c r="E71" s="25">
        <f>'Divisional Model'!D23</f>
        <v>-85</v>
      </c>
      <c r="F71" s="25">
        <f>'Divisional Model'!E23</f>
        <v>-77</v>
      </c>
      <c r="G71" s="25">
        <f>'Divisional Model'!F23</f>
        <v>-51</v>
      </c>
      <c r="H71" s="25">
        <f>'Divisional Model'!G23</f>
        <v>-66</v>
      </c>
      <c r="I71" s="25">
        <f>'Divisional Model'!H23</f>
        <v>-113</v>
      </c>
      <c r="J71" s="25">
        <f>'Divisional Model'!I23</f>
        <v>-88</v>
      </c>
      <c r="K71" s="25">
        <f>'Divisional Model'!J23</f>
        <v>-101</v>
      </c>
      <c r="L71" s="25">
        <f>'Divisional Model'!K23</f>
        <v>-95</v>
      </c>
      <c r="M71" s="25">
        <f>'Divisional Model'!L23</f>
        <v>-141</v>
      </c>
      <c r="N71" s="25">
        <f>'Divisional Model'!M23</f>
        <v>-104</v>
      </c>
      <c r="O71" s="25">
        <f>'Divisional Model'!N23</f>
        <v>-363</v>
      </c>
      <c r="P71" s="25">
        <f>'Divisional Model'!O23</f>
        <v>-336</v>
      </c>
      <c r="Q71" s="25">
        <f>'Divisional Model'!P23</f>
        <v>-238</v>
      </c>
      <c r="R71" s="25">
        <f>'Divisional Model'!Q23</f>
        <v>-282</v>
      </c>
      <c r="S71" s="25">
        <f>'Divisional Model'!R23</f>
        <v>-162</v>
      </c>
      <c r="T71" s="25">
        <f>'Divisional Model'!S23</f>
        <v>-142</v>
      </c>
      <c r="U71" s="25">
        <f>'Divisional Model'!T23</f>
        <v>-224</v>
      </c>
      <c r="V71" s="25">
        <f>'Divisional Model'!U23</f>
        <v>-76</v>
      </c>
      <c r="W71" s="25">
        <f>'Divisional Model'!V23</f>
        <v>-476</v>
      </c>
      <c r="X71" s="25">
        <f>'Divisional Model'!W23</f>
        <v>-139</v>
      </c>
      <c r="Y71" s="25">
        <f>'Divisional Model'!X23</f>
        <v>-901</v>
      </c>
      <c r="Z71" s="25">
        <f>'Divisional Model'!Y23</f>
        <v>-447</v>
      </c>
      <c r="AA71" s="25">
        <f>'Divisional Model'!Z23</f>
        <v>-77</v>
      </c>
      <c r="AB71" s="25">
        <f>'Divisional Model'!AA23</f>
        <v>-230</v>
      </c>
      <c r="AC71" s="25">
        <f>'Divisional Model'!AB23</f>
        <v>-279</v>
      </c>
      <c r="AD71" s="25">
        <f>'Divisional Model'!AC23</f>
        <v>-286</v>
      </c>
      <c r="AE71" s="25">
        <f>'Divisional Model'!AD23</f>
        <v>-168</v>
      </c>
      <c r="AF71" s="25">
        <f>'Divisional Model'!AE23</f>
        <v>117</v>
      </c>
      <c r="AG71" s="25">
        <f>'Divisional Model'!AF23</f>
        <v>252</v>
      </c>
      <c r="AH71" s="25">
        <f>'Divisional Model'!AG23</f>
        <v>-75</v>
      </c>
      <c r="AI71" s="25">
        <f>'Divisional Model'!AH23</f>
        <v>-286</v>
      </c>
      <c r="AJ71" s="26">
        <f>'Divisional Model'!AI23</f>
        <v>-29</v>
      </c>
      <c r="AK71" s="25">
        <f>'Divisional Model'!AJ23</f>
        <v>-164.87119267257026</v>
      </c>
      <c r="AL71" s="25">
        <f>'Divisional Model'!AK23</f>
        <v>-124.25747429866578</v>
      </c>
      <c r="AM71" s="25">
        <f>'Divisional Model'!AL23</f>
        <v>-160.65901897818094</v>
      </c>
      <c r="AN71" s="25">
        <f>'Divisional Model'!AM23</f>
        <v>-186.90154685566472</v>
      </c>
      <c r="AO71" s="25">
        <f>'Divisional Model'!AN23</f>
        <v>-182.33533336607593</v>
      </c>
      <c r="AP71" s="25">
        <f>'Divisional Model'!AO23</f>
        <v>-217.92324374838472</v>
      </c>
      <c r="AQ71" s="25">
        <f>'Divisional Model'!AP23</f>
        <v>-218.40664095713601</v>
      </c>
      <c r="AR71" s="25">
        <f>'Divisional Model'!AQ23</f>
        <v>-219.94294223402494</v>
      </c>
      <c r="AS71" s="25">
        <f>'Divisional Model'!AR23</f>
        <v>-221.00989022664908</v>
      </c>
      <c r="AU71" s="21">
        <f>3-34</f>
        <v>-31</v>
      </c>
      <c r="AV71" s="21">
        <f>-11-25</f>
        <v>-36</v>
      </c>
      <c r="AW71" s="21">
        <f>-11-29</f>
        <v>-40</v>
      </c>
      <c r="AX71" s="21">
        <f>-37-71</f>
        <v>-108</v>
      </c>
      <c r="AY71" s="21">
        <f>-411-90</f>
        <v>-501</v>
      </c>
      <c r="AZ71" s="19">
        <f>D71+E71</f>
        <v>-216</v>
      </c>
      <c r="BA71" s="19">
        <f>F71+G71</f>
        <v>-128</v>
      </c>
      <c r="BB71" s="19">
        <f>H71+I71</f>
        <v>-179</v>
      </c>
      <c r="BC71" s="19">
        <f>J71+K71</f>
        <v>-189</v>
      </c>
      <c r="BD71" s="19">
        <f>L71+M71</f>
        <v>-236</v>
      </c>
      <c r="BE71" s="19">
        <f>N71+O71</f>
        <v>-467</v>
      </c>
      <c r="BF71" s="19">
        <f>P71+Q71</f>
        <v>-574</v>
      </c>
      <c r="BG71" s="19">
        <f>R71+S71</f>
        <v>-444</v>
      </c>
      <c r="BH71" s="19">
        <f>T71+U71</f>
        <v>-366</v>
      </c>
      <c r="BI71" s="19">
        <f>V71+W71</f>
        <v>-552</v>
      </c>
      <c r="BJ71" s="19">
        <f>X71+Y71</f>
        <v>-1040</v>
      </c>
      <c r="BK71" s="19">
        <f>Z71+AA71</f>
        <v>-524</v>
      </c>
      <c r="BL71" s="19">
        <f>AB71+AC71</f>
        <v>-509</v>
      </c>
      <c r="BM71" s="19">
        <f>AD71+AE71</f>
        <v>-454</v>
      </c>
      <c r="BN71" s="19">
        <f>AF71+AG71</f>
        <v>369</v>
      </c>
      <c r="BO71" s="20">
        <f>AH71+AI71</f>
        <v>-361</v>
      </c>
      <c r="BP71" s="19">
        <f>AJ71+AK71</f>
        <v>-193.87119267257026</v>
      </c>
      <c r="BQ71" s="19">
        <f>AL71+AM71</f>
        <v>-284.91649327684672</v>
      </c>
      <c r="BR71" s="19">
        <f>AN71+AO71</f>
        <v>-369.23688022174065</v>
      </c>
      <c r="BS71" s="19">
        <f>AP71+AQ71</f>
        <v>-436.32988470552073</v>
      </c>
      <c r="BT71" s="19">
        <f>AR71+AS71</f>
        <v>-440.95283246067402</v>
      </c>
    </row>
    <row r="72" spans="1:74" ht="12" customHeight="1" outlineLevel="1">
      <c r="A72" s="91" t="s">
        <v>541</v>
      </c>
      <c r="B72" s="1" t="s">
        <v>10</v>
      </c>
      <c r="C72" s="25"/>
      <c r="D72" s="25">
        <f>'Divisional Model'!C27</f>
        <v>493</v>
      </c>
      <c r="E72" s="25">
        <f>'Divisional Model'!D27</f>
        <v>491</v>
      </c>
      <c r="F72" s="25">
        <f>'Divisional Model'!E27</f>
        <v>447</v>
      </c>
      <c r="G72" s="25">
        <f>'Divisional Model'!F27</f>
        <v>612</v>
      </c>
      <c r="H72" s="25">
        <f>'Divisional Model'!G27</f>
        <v>422</v>
      </c>
      <c r="I72" s="25">
        <f>'Divisional Model'!H27</f>
        <v>880</v>
      </c>
      <c r="J72" s="25">
        <f>'Divisional Model'!I27</f>
        <v>232</v>
      </c>
      <c r="K72" s="25">
        <f>'Divisional Model'!J27</f>
        <v>542</v>
      </c>
      <c r="L72" s="25">
        <f>'Divisional Model'!K27</f>
        <v>415</v>
      </c>
      <c r="M72" s="25">
        <f>'Divisional Model'!L27</f>
        <v>676</v>
      </c>
      <c r="N72" s="25">
        <f>'Divisional Model'!M27</f>
        <v>559</v>
      </c>
      <c r="O72" s="25">
        <f>'Divisional Model'!N27</f>
        <v>607</v>
      </c>
      <c r="P72" s="25">
        <f>'Divisional Model'!O27</f>
        <v>650</v>
      </c>
      <c r="Q72" s="25">
        <f>'Divisional Model'!P27</f>
        <v>847</v>
      </c>
      <c r="R72" s="25">
        <f>SUM('Divisional Model'!Q24:Q27)</f>
        <v>1442</v>
      </c>
      <c r="S72" s="25">
        <f>SUM('Divisional Model'!R24:R27)</f>
        <v>1030</v>
      </c>
      <c r="T72" s="25">
        <f>SUM('Divisional Model'!S24:S27)</f>
        <v>976</v>
      </c>
      <c r="U72" s="25">
        <f>SUM('Divisional Model'!T24:T27)</f>
        <v>1456</v>
      </c>
      <c r="V72" s="25">
        <f>SUM('Divisional Model'!U24:U27)</f>
        <v>1009</v>
      </c>
      <c r="W72" s="25">
        <f>SUM('Divisional Model'!V24:V27)</f>
        <v>2276</v>
      </c>
      <c r="X72" s="25">
        <f>SUM('Divisional Model'!W24:W27)</f>
        <v>1217</v>
      </c>
      <c r="Y72" s="25">
        <f>SUM('Divisional Model'!X24:X27)</f>
        <v>1496</v>
      </c>
      <c r="Z72" s="25">
        <f>SUM('Divisional Model'!Y24:Y27)</f>
        <v>887</v>
      </c>
      <c r="AA72" s="25">
        <f>SUM('Divisional Model'!Z24:Z27)</f>
        <v>1561</v>
      </c>
      <c r="AB72" s="25">
        <f>SUM('Divisional Model'!AA24:AA27)</f>
        <v>1308</v>
      </c>
      <c r="AC72" s="25">
        <f>SUM('Divisional Model'!AB24:AB27)</f>
        <v>2542</v>
      </c>
      <c r="AD72" s="25">
        <f>SUM('Divisional Model'!AC24:AC27)</f>
        <v>1746</v>
      </c>
      <c r="AE72" s="25">
        <f>SUM('Divisional Model'!AD24:AD27)</f>
        <v>942</v>
      </c>
      <c r="AF72" s="25">
        <f>SUM('Divisional Model'!AE24:AE27)</f>
        <v>530</v>
      </c>
      <c r="AG72" s="25">
        <f>SUM('Divisional Model'!AF24:AF27)</f>
        <v>881</v>
      </c>
      <c r="AH72" s="25">
        <f>SUM('Divisional Model'!AG24:AG27)</f>
        <v>861</v>
      </c>
      <c r="AI72" s="25">
        <f>SUM('Divisional Model'!AH24:AH27)</f>
        <v>874</v>
      </c>
      <c r="AJ72" s="26">
        <f>SUM('Divisional Model'!AI24:AI27)</f>
        <v>358</v>
      </c>
      <c r="AK72" s="25">
        <f>SUM('Divisional Model'!AJ24:AJ27)</f>
        <v>1010.7299999999999</v>
      </c>
      <c r="AL72" s="25">
        <f>SUM('Divisional Model'!AK24:AK27)</f>
        <v>612.06919999999991</v>
      </c>
      <c r="AM72" s="25">
        <f>SUM('Divisional Model'!AL24:AL27)</f>
        <v>651.82863699999996</v>
      </c>
      <c r="AN72" s="25">
        <f>SUM('Divisional Model'!AM24:AM27)</f>
        <v>693.75101495499996</v>
      </c>
      <c r="AO72" s="25">
        <f>SUM('Divisional Model'!AN24:AN27)</f>
        <v>738.02334250367517</v>
      </c>
      <c r="AP72" s="25">
        <f>SUM('Divisional Model'!AO24:AO27)</f>
        <v>784.92258887651394</v>
      </c>
      <c r="AQ72" s="25">
        <f>SUM('Divisional Model'!AP24:AP27)</f>
        <v>820.88764166828571</v>
      </c>
      <c r="AR72" s="25">
        <f>SUM('Divisional Model'!AQ24:AQ27)</f>
        <v>858.07334917206515</v>
      </c>
      <c r="AS72" s="25">
        <f>SUM('Divisional Model'!AR24:AR27)</f>
        <v>886.47738122735041</v>
      </c>
      <c r="AU72" s="21">
        <f>3752-AU62-AU68-AU69-AU70-AU71</f>
        <v>675</v>
      </c>
      <c r="AV72" s="21">
        <f>4832-AV62-AV68-AV69-AV70-AV71</f>
        <v>386</v>
      </c>
      <c r="AW72" s="21">
        <f>7181-AW62-AW68-AW69-AW70-AW71</f>
        <v>559</v>
      </c>
      <c r="AX72" s="21">
        <f>8248-AX62-AX68-AX69-AX70-AX71</f>
        <v>903</v>
      </c>
      <c r="AY72" s="21">
        <f>-688-AY71</f>
        <v>-187</v>
      </c>
      <c r="AZ72" s="19">
        <f>D72+E72</f>
        <v>984</v>
      </c>
      <c r="BA72" s="19">
        <f>F72+G72</f>
        <v>1059</v>
      </c>
      <c r="BB72" s="19">
        <f>H72+I72</f>
        <v>1302</v>
      </c>
      <c r="BC72" s="19">
        <f>J72+K72</f>
        <v>774</v>
      </c>
      <c r="BD72" s="19">
        <f>L72+M72</f>
        <v>1091</v>
      </c>
      <c r="BE72" s="19">
        <f>N72+O72</f>
        <v>1166</v>
      </c>
      <c r="BF72" s="19">
        <f>P72+Q72</f>
        <v>1497</v>
      </c>
      <c r="BG72" s="19">
        <f>R72+S72</f>
        <v>2472</v>
      </c>
      <c r="BH72" s="19">
        <f>T72+U72</f>
        <v>2432</v>
      </c>
      <c r="BI72" s="19">
        <f>V72+W72</f>
        <v>3285</v>
      </c>
      <c r="BJ72" s="19">
        <f>X72+Y72</f>
        <v>2713</v>
      </c>
      <c r="BK72" s="19">
        <f>Z72+AA72</f>
        <v>2448</v>
      </c>
      <c r="BL72" s="19">
        <f>AB72+AC72</f>
        <v>3850</v>
      </c>
      <c r="BM72" s="19">
        <f>AD72+AE72</f>
        <v>2688</v>
      </c>
      <c r="BN72" s="19">
        <f>AF72+AG72</f>
        <v>1411</v>
      </c>
      <c r="BO72" s="20">
        <f>AH72+AI72</f>
        <v>1735</v>
      </c>
      <c r="BP72" s="19">
        <f>AJ72+AK72</f>
        <v>1368.73</v>
      </c>
      <c r="BQ72" s="19">
        <f>AL72+AM72</f>
        <v>1263.897837</v>
      </c>
      <c r="BR72" s="19">
        <f>AN72+AO72</f>
        <v>1431.7743574586752</v>
      </c>
      <c r="BS72" s="19">
        <f>AP72+AQ72</f>
        <v>1605.8102305447997</v>
      </c>
      <c r="BT72" s="19">
        <f>AR72+AS72</f>
        <v>1744.5507303994154</v>
      </c>
    </row>
    <row r="73" spans="1:74" s="9" customFormat="1" ht="12" customHeight="1" outlineLevel="1">
      <c r="A73" s="91" t="s">
        <v>316</v>
      </c>
      <c r="B73" s="9" t="s">
        <v>35</v>
      </c>
      <c r="C73" s="30"/>
      <c r="D73" s="30">
        <f t="shared" ref="D73:W73" si="699">D62+D68+D69+D70+D72+D71</f>
        <v>3105</v>
      </c>
      <c r="E73" s="30">
        <f t="shared" si="699"/>
        <v>3533</v>
      </c>
      <c r="F73" s="30">
        <f t="shared" si="699"/>
        <v>3661</v>
      </c>
      <c r="G73" s="30">
        <f t="shared" si="699"/>
        <v>4004</v>
      </c>
      <c r="H73" s="30">
        <f t="shared" si="699"/>
        <v>3243</v>
      </c>
      <c r="I73" s="30">
        <f t="shared" si="699"/>
        <v>3720</v>
      </c>
      <c r="J73" s="30">
        <f t="shared" si="699"/>
        <v>3054</v>
      </c>
      <c r="K73" s="30">
        <f t="shared" si="699"/>
        <v>3603</v>
      </c>
      <c r="L73" s="30">
        <f t="shared" si="699"/>
        <v>3679</v>
      </c>
      <c r="M73" s="30">
        <f t="shared" si="699"/>
        <v>4453</v>
      </c>
      <c r="N73" s="30">
        <f t="shared" si="699"/>
        <v>4284</v>
      </c>
      <c r="O73" s="30">
        <f t="shared" si="699"/>
        <v>4978</v>
      </c>
      <c r="P73" s="30">
        <f t="shared" si="699"/>
        <v>5318</v>
      </c>
      <c r="Q73" s="30">
        <f t="shared" si="699"/>
        <v>4817</v>
      </c>
      <c r="R73" s="30">
        <f t="shared" si="699"/>
        <v>5218</v>
      </c>
      <c r="S73" s="30">
        <f t="shared" si="699"/>
        <v>5146</v>
      </c>
      <c r="T73" s="30">
        <f t="shared" si="699"/>
        <v>5397</v>
      </c>
      <c r="U73" s="30">
        <f t="shared" si="699"/>
        <v>5523</v>
      </c>
      <c r="V73" s="30">
        <f t="shared" si="699"/>
        <v>5830</v>
      </c>
      <c r="W73" s="30">
        <f t="shared" si="699"/>
        <v>6924</v>
      </c>
      <c r="X73" s="30">
        <f t="shared" ref="X73:AH73" si="700">X62+X68+X69+X70+X72+X71</f>
        <v>6320</v>
      </c>
      <c r="Y73" s="30">
        <f t="shared" si="700"/>
        <v>6005</v>
      </c>
      <c r="Z73" s="30">
        <f t="shared" si="700"/>
        <v>5519</v>
      </c>
      <c r="AA73" s="30">
        <f t="shared" si="700"/>
        <v>7255</v>
      </c>
      <c r="AB73" s="30">
        <f t="shared" si="700"/>
        <v>7804</v>
      </c>
      <c r="AC73" s="30">
        <f t="shared" si="700"/>
        <v>9520</v>
      </c>
      <c r="AD73" s="30">
        <f t="shared" si="700"/>
        <v>8624</v>
      </c>
      <c r="AE73" s="30">
        <f t="shared" si="700"/>
        <v>10498</v>
      </c>
      <c r="AF73" s="30">
        <f t="shared" si="700"/>
        <v>7910</v>
      </c>
      <c r="AG73" s="30">
        <f t="shared" si="700"/>
        <v>8977</v>
      </c>
      <c r="AH73" s="30">
        <f t="shared" si="700"/>
        <v>8216</v>
      </c>
      <c r="AI73" s="30">
        <f t="shared" ref="AI73:AS73" si="701">AI62+AI68+AI69+AI70+AI72+AI71</f>
        <v>8992</v>
      </c>
      <c r="AJ73" s="27">
        <f t="shared" ref="AJ73" si="702">AJ62+AJ68+AJ69+AJ70+AJ72+AJ71</f>
        <v>8691</v>
      </c>
      <c r="AK73" s="30">
        <f t="shared" si="701"/>
        <v>9972.1915088020978</v>
      </c>
      <c r="AL73" s="30">
        <f t="shared" si="701"/>
        <v>9161.1574374384654</v>
      </c>
      <c r="AM73" s="30">
        <f t="shared" si="701"/>
        <v>9621.1345036601451</v>
      </c>
      <c r="AN73" s="30">
        <f t="shared" si="701"/>
        <v>9633.7862447486623</v>
      </c>
      <c r="AO73" s="30">
        <f t="shared" si="701"/>
        <v>10208.538467024999</v>
      </c>
      <c r="AP73" s="30">
        <f t="shared" si="701"/>
        <v>10071.008370174872</v>
      </c>
      <c r="AQ73" s="30">
        <f t="shared" si="701"/>
        <v>10616.745571813393</v>
      </c>
      <c r="AR73" s="30">
        <f t="shared" si="701"/>
        <v>10519.149956391295</v>
      </c>
      <c r="AS73" s="30">
        <f t="shared" si="701"/>
        <v>10978.63240979024</v>
      </c>
      <c r="AT73" s="467"/>
      <c r="AU73" s="30">
        <f t="shared" ref="AU73:BT73" si="703">AU62+AU68+AU69+AU70+AU72+AU71</f>
        <v>3752</v>
      </c>
      <c r="AV73" s="30">
        <f t="shared" si="703"/>
        <v>4832</v>
      </c>
      <c r="AW73" s="30">
        <f t="shared" si="703"/>
        <v>7181</v>
      </c>
      <c r="AX73" s="30">
        <f t="shared" si="703"/>
        <v>8248</v>
      </c>
      <c r="AY73" s="30">
        <f t="shared" si="703"/>
        <v>5526</v>
      </c>
      <c r="AZ73" s="30">
        <f t="shared" si="703"/>
        <v>6638</v>
      </c>
      <c r="BA73" s="30">
        <f t="shared" si="703"/>
        <v>7665</v>
      </c>
      <c r="BB73" s="30">
        <f t="shared" si="703"/>
        <v>6963</v>
      </c>
      <c r="BC73" s="30">
        <f t="shared" si="703"/>
        <v>6657</v>
      </c>
      <c r="BD73" s="30">
        <f t="shared" si="703"/>
        <v>8132</v>
      </c>
      <c r="BE73" s="30">
        <f t="shared" si="703"/>
        <v>9262</v>
      </c>
      <c r="BF73" s="30">
        <f t="shared" si="703"/>
        <v>10135</v>
      </c>
      <c r="BG73" s="30">
        <f t="shared" si="703"/>
        <v>10364</v>
      </c>
      <c r="BH73" s="30">
        <f t="shared" si="703"/>
        <v>10920</v>
      </c>
      <c r="BI73" s="30">
        <f t="shared" si="703"/>
        <v>12754</v>
      </c>
      <c r="BJ73" s="30">
        <f t="shared" si="703"/>
        <v>12325</v>
      </c>
      <c r="BK73" s="30">
        <f t="shared" si="703"/>
        <v>12774</v>
      </c>
      <c r="BL73" s="30">
        <f t="shared" si="703"/>
        <v>17324</v>
      </c>
      <c r="BM73" s="30">
        <f t="shared" si="703"/>
        <v>19122</v>
      </c>
      <c r="BN73" s="30">
        <f t="shared" si="703"/>
        <v>16887</v>
      </c>
      <c r="BO73" s="27">
        <f t="shared" si="703"/>
        <v>17208</v>
      </c>
      <c r="BP73" s="30">
        <f t="shared" si="703"/>
        <v>18663.191508802098</v>
      </c>
      <c r="BQ73" s="30">
        <f t="shared" si="703"/>
        <v>18782.291941098611</v>
      </c>
      <c r="BR73" s="30">
        <f t="shared" si="703"/>
        <v>19842.324711773661</v>
      </c>
      <c r="BS73" s="30">
        <f t="shared" si="703"/>
        <v>20687.753941988271</v>
      </c>
      <c r="BT73" s="30">
        <f t="shared" si="703"/>
        <v>21497.782366181535</v>
      </c>
      <c r="BV73" s="17"/>
    </row>
    <row r="74" spans="1:74" ht="12" customHeight="1" outlineLevel="1">
      <c r="A74" s="91" t="s">
        <v>536</v>
      </c>
      <c r="B74" s="1" t="s">
        <v>14</v>
      </c>
      <c r="C74" s="25"/>
      <c r="D74" s="25">
        <f>'Divisional Model'!C29</f>
        <v>-1509</v>
      </c>
      <c r="E74" s="25">
        <f>'Divisional Model'!D29</f>
        <v>-1592</v>
      </c>
      <c r="F74" s="25">
        <f>'Divisional Model'!E29</f>
        <v>-1896</v>
      </c>
      <c r="G74" s="25">
        <f>'Divisional Model'!F29</f>
        <v>-1994</v>
      </c>
      <c r="H74" s="25">
        <f>'Divisional Model'!G29</f>
        <v>-1652</v>
      </c>
      <c r="I74" s="25">
        <f>'Divisional Model'!H29</f>
        <v>-1908</v>
      </c>
      <c r="J74" s="25">
        <f>'Divisional Model'!I29</f>
        <v>-1538</v>
      </c>
      <c r="K74" s="25">
        <f>'Divisional Model'!J29</f>
        <v>-1735</v>
      </c>
      <c r="L74" s="25">
        <f>'Divisional Model'!K29</f>
        <v>-1730</v>
      </c>
      <c r="M74" s="25">
        <f>'Divisional Model'!L29</f>
        <v>-2006</v>
      </c>
      <c r="N74" s="25">
        <f>'Divisional Model'!M29</f>
        <v>-1944</v>
      </c>
      <c r="O74" s="25">
        <f>'Divisional Model'!N29</f>
        <v>-2199</v>
      </c>
      <c r="P74" s="25">
        <f>'Divisional Model'!O29</f>
        <v>-2263</v>
      </c>
      <c r="Q74" s="25">
        <f>'Divisional Model'!P29</f>
        <v>-1981</v>
      </c>
      <c r="R74" s="25">
        <f>'Divisional Model'!Q29</f>
        <v>-2290</v>
      </c>
      <c r="S74" s="25">
        <f>'Divisional Model'!R29</f>
        <v>-2089</v>
      </c>
      <c r="T74" s="25">
        <f>'Divisional Model'!S29</f>
        <v>-2261</v>
      </c>
      <c r="U74" s="25">
        <f>'Divisional Model'!T29</f>
        <v>-2232</v>
      </c>
      <c r="V74" s="25">
        <f>'Divisional Model'!U29</f>
        <v>-2454</v>
      </c>
      <c r="W74" s="25">
        <f>'Divisional Model'!V29</f>
        <v>-2763</v>
      </c>
      <c r="X74" s="25">
        <f>'Divisional Model'!W29</f>
        <v>-2776</v>
      </c>
      <c r="Y74" s="25">
        <f>'Divisional Model'!X29</f>
        <v>-2547</v>
      </c>
      <c r="Z74" s="25">
        <f>'Divisional Model'!Y29</f>
        <v>-2615</v>
      </c>
      <c r="AA74" s="25">
        <f>'Divisional Model'!Z29</f>
        <v>-2902</v>
      </c>
      <c r="AB74" s="25">
        <f>'Divisional Model'!AA29</f>
        <v>-3164</v>
      </c>
      <c r="AC74" s="25">
        <f>'Divisional Model'!AB29</f>
        <v>-3561</v>
      </c>
      <c r="AD74" s="25">
        <f>'Divisional Model'!AC29</f>
        <v>-3613</v>
      </c>
      <c r="AE74" s="25">
        <f>'Divisional Model'!AD29</f>
        <v>-4090</v>
      </c>
      <c r="AF74" s="25">
        <f>'Divisional Model'!AE29</f>
        <v>-3734</v>
      </c>
      <c r="AG74" s="25">
        <f>'Divisional Model'!AF29</f>
        <v>-3989</v>
      </c>
      <c r="AH74" s="25">
        <f>'Divisional Model'!AG29</f>
        <v>-3756</v>
      </c>
      <c r="AI74" s="25">
        <f>'Divisional Model'!AH29</f>
        <v>-3904</v>
      </c>
      <c r="AJ74" s="26">
        <f>'Divisional Model'!AI29</f>
        <v>-3956</v>
      </c>
      <c r="AK74" s="25">
        <f>'Divisional Model'!AJ29</f>
        <v>-3930.0358010918389</v>
      </c>
      <c r="AL74" s="25">
        <f>'Divisional Model'!AK29</f>
        <v>-3843.0549475595499</v>
      </c>
      <c r="AM74" s="25">
        <f>'Divisional Model'!AL29</f>
        <v>-3975.8540863760973</v>
      </c>
      <c r="AN74" s="25">
        <f>'Divisional Model'!AM29</f>
        <v>-4003.7130181637058</v>
      </c>
      <c r="AO74" s="25">
        <f>'Divisional Model'!AN29</f>
        <v>-4129.2307063784301</v>
      </c>
      <c r="AP74" s="25">
        <f>'Divisional Model'!AO29</f>
        <v>-4133.9471606595853</v>
      </c>
      <c r="AQ74" s="25">
        <f>'Divisional Model'!AP29</f>
        <v>-4244.5084290408931</v>
      </c>
      <c r="AR74" s="25">
        <f>'Divisional Model'!AQ29</f>
        <v>-4264.2625531303675</v>
      </c>
      <c r="AS74" s="25">
        <f>'Divisional Model'!AR29</f>
        <v>-4360.3685298019136</v>
      </c>
      <c r="AT74" s="467"/>
      <c r="AU74" s="21">
        <v>-2045</v>
      </c>
      <c r="AV74" s="21">
        <v>-2407</v>
      </c>
      <c r="AW74" s="21">
        <v>-3733</v>
      </c>
      <c r="AX74" s="21">
        <v>-4177</v>
      </c>
      <c r="AY74" s="21">
        <v>-2359</v>
      </c>
      <c r="AZ74" s="19">
        <f>D74+E74</f>
        <v>-3101</v>
      </c>
      <c r="BA74" s="19">
        <f>F74+G74</f>
        <v>-3890</v>
      </c>
      <c r="BB74" s="19">
        <f>H74+I74</f>
        <v>-3560</v>
      </c>
      <c r="BC74" s="19">
        <f>J74+K74</f>
        <v>-3273</v>
      </c>
      <c r="BD74" s="19">
        <f>L74+M74</f>
        <v>-3736</v>
      </c>
      <c r="BE74" s="19">
        <f>N74+O74</f>
        <v>-4143</v>
      </c>
      <c r="BF74" s="19">
        <f>P74+Q74</f>
        <v>-4244</v>
      </c>
      <c r="BG74" s="19">
        <f>R74+S74</f>
        <v>-4379</v>
      </c>
      <c r="BH74" s="19">
        <f>T74+U74</f>
        <v>-4493</v>
      </c>
      <c r="BI74" s="19">
        <f>V74+W74</f>
        <v>-5217</v>
      </c>
      <c r="BJ74" s="19">
        <f>X74+Y74</f>
        <v>-5323</v>
      </c>
      <c r="BK74" s="19">
        <f>Z74+AA74</f>
        <v>-5517</v>
      </c>
      <c r="BL74" s="19">
        <f>AB74+AC74</f>
        <v>-6725</v>
      </c>
      <c r="BM74" s="19">
        <f>AD74+AE74</f>
        <v>-7703</v>
      </c>
      <c r="BN74" s="19">
        <f>AF74+AG74</f>
        <v>-7723</v>
      </c>
      <c r="BO74" s="20">
        <f>AH74+AI74</f>
        <v>-7660</v>
      </c>
      <c r="BP74" s="19">
        <f>AJ74+AK74</f>
        <v>-7886.0358010918389</v>
      </c>
      <c r="BQ74" s="19">
        <f>AL74+AM74</f>
        <v>-7818.9090339356471</v>
      </c>
      <c r="BR74" s="19">
        <f>AN74+AO74</f>
        <v>-8132.9437245421359</v>
      </c>
      <c r="BS74" s="19">
        <f>AP74+AQ74</f>
        <v>-8378.4555897004793</v>
      </c>
      <c r="BT74" s="19">
        <f>AR74+AS74</f>
        <v>-8624.6310829322811</v>
      </c>
    </row>
    <row r="75" spans="1:74" ht="12" customHeight="1" outlineLevel="1">
      <c r="A75" s="91" t="s">
        <v>537</v>
      </c>
      <c r="B75" s="1" t="s">
        <v>21</v>
      </c>
      <c r="C75" s="25"/>
      <c r="D75" s="25">
        <f>'Divisional Model'!C30</f>
        <v>-329</v>
      </c>
      <c r="E75" s="25">
        <f>'Divisional Model'!D30</f>
        <v>-316</v>
      </c>
      <c r="F75" s="25">
        <f>'Divisional Model'!E30</f>
        <v>-441</v>
      </c>
      <c r="G75" s="25">
        <f>'Divisional Model'!F30</f>
        <v>-344</v>
      </c>
      <c r="H75" s="25">
        <f>'Divisional Model'!G30</f>
        <v>-386</v>
      </c>
      <c r="I75" s="25">
        <f>'Divisional Model'!H30</f>
        <v>-338</v>
      </c>
      <c r="J75" s="25">
        <f>'Divisional Model'!I30</f>
        <v>-320</v>
      </c>
      <c r="K75" s="25">
        <f>'Divisional Model'!J30</f>
        <v>-284</v>
      </c>
      <c r="L75" s="25">
        <f>'Divisional Model'!K30</f>
        <v>-379</v>
      </c>
      <c r="M75" s="25">
        <f>'Divisional Model'!L30</f>
        <v>-400</v>
      </c>
      <c r="N75" s="25">
        <f>'Divisional Model'!M30</f>
        <v>-387</v>
      </c>
      <c r="O75" s="25">
        <f>'Divisional Model'!N30</f>
        <v>-437</v>
      </c>
      <c r="P75" s="25">
        <f>'Divisional Model'!O30</f>
        <v>-444</v>
      </c>
      <c r="Q75" s="25">
        <f>'Divisional Model'!P30</f>
        <v>-448</v>
      </c>
      <c r="R75" s="25">
        <f>'Divisional Model'!Q30</f>
        <v>-418</v>
      </c>
      <c r="S75" s="25">
        <f>'Divisional Model'!R30</f>
        <v>-434</v>
      </c>
      <c r="T75" s="25">
        <f>'Divisional Model'!S30</f>
        <v>-422</v>
      </c>
      <c r="U75" s="25">
        <f>'Divisional Model'!T30</f>
        <v>-408</v>
      </c>
      <c r="V75" s="25">
        <f>'Divisional Model'!U30</f>
        <v>-579</v>
      </c>
      <c r="W75" s="25">
        <f>'Divisional Model'!V30</f>
        <v>-561</v>
      </c>
      <c r="X75" s="25">
        <f>'Divisional Model'!W30</f>
        <v>-482</v>
      </c>
      <c r="Y75" s="25">
        <f>'Divisional Model'!X30</f>
        <v>-482</v>
      </c>
      <c r="Z75" s="25">
        <f>'Divisional Model'!Y30</f>
        <v>-471</v>
      </c>
      <c r="AA75" s="25">
        <f>'Divisional Model'!Z30</f>
        <v>-408</v>
      </c>
      <c r="AB75" s="25">
        <f>'Divisional Model'!AA30</f>
        <v>-498</v>
      </c>
      <c r="AC75" s="25">
        <f>'Divisional Model'!AB30</f>
        <v>-531</v>
      </c>
      <c r="AD75" s="25">
        <f>'Divisional Model'!AC30</f>
        <v>-500</v>
      </c>
      <c r="AE75" s="25">
        <f>'Divisional Model'!AD30</f>
        <v>-528</v>
      </c>
      <c r="AF75" s="25">
        <f>'Divisional Model'!AE30</f>
        <v>-529</v>
      </c>
      <c r="AG75" s="25">
        <f>'Divisional Model'!AF30</f>
        <v>-542</v>
      </c>
      <c r="AH75" s="25">
        <f>'Divisional Model'!AG30</f>
        <v>-580</v>
      </c>
      <c r="AI75" s="25">
        <f>'Divisional Model'!AH30</f>
        <v>-626</v>
      </c>
      <c r="AJ75" s="26">
        <f>'Divisional Model'!AI30</f>
        <v>-628</v>
      </c>
      <c r="AK75" s="25">
        <f>'Divisional Model'!AJ30</f>
        <v>-644.96629976080544</v>
      </c>
      <c r="AL75" s="25">
        <f>'Divisional Model'!AK30</f>
        <v>-653.34575925511217</v>
      </c>
      <c r="AM75" s="25">
        <f>'Divisional Model'!AL30</f>
        <v>-623.82472620162173</v>
      </c>
      <c r="AN75" s="25">
        <f>'Divisional Model'!AM30</f>
        <v>-655.67131284859454</v>
      </c>
      <c r="AO75" s="25">
        <f>'Divisional Model'!AN30</f>
        <v>-632.11193937638575</v>
      </c>
      <c r="AP75" s="25">
        <f>'Divisional Model'!AO30</f>
        <v>-656.09628719081343</v>
      </c>
      <c r="AQ75" s="25">
        <f>'Divisional Model'!AP30</f>
        <v>-634.90346000207262</v>
      </c>
      <c r="AR75" s="25">
        <f>'Divisional Model'!AQ30</f>
        <v>-660.30000659528378</v>
      </c>
      <c r="AS75" s="25">
        <f>'Divisional Model'!AR30</f>
        <v>-636.77117491658657</v>
      </c>
      <c r="AU75" s="325"/>
      <c r="AV75" s="21">
        <v>-366</v>
      </c>
      <c r="AW75" s="21">
        <v>-421</v>
      </c>
      <c r="AX75" s="21">
        <v>-702</v>
      </c>
      <c r="AY75" s="21">
        <v>-685</v>
      </c>
      <c r="AZ75" s="19">
        <f>D75+E75</f>
        <v>-645</v>
      </c>
      <c r="BA75" s="19">
        <f>F75+G75</f>
        <v>-785</v>
      </c>
      <c r="BB75" s="19">
        <f>H75+I75</f>
        <v>-724</v>
      </c>
      <c r="BC75" s="19">
        <f>J75+K75</f>
        <v>-604</v>
      </c>
      <c r="BD75" s="19">
        <f>L75+M75</f>
        <v>-779</v>
      </c>
      <c r="BE75" s="19">
        <f>N75+O75</f>
        <v>-824</v>
      </c>
      <c r="BF75" s="19">
        <f>P75+Q75</f>
        <v>-892</v>
      </c>
      <c r="BG75" s="19">
        <f>R75+S75</f>
        <v>-852</v>
      </c>
      <c r="BH75" s="19">
        <f>T75+U75</f>
        <v>-830</v>
      </c>
      <c r="BI75" s="19">
        <f>V75+W75</f>
        <v>-1140</v>
      </c>
      <c r="BJ75" s="19">
        <f>X75+Y75</f>
        <v>-964</v>
      </c>
      <c r="BK75" s="19">
        <f>Z75+AA75</f>
        <v>-879</v>
      </c>
      <c r="BL75" s="19">
        <f>AB75+AC75</f>
        <v>-1029</v>
      </c>
      <c r="BM75" s="19">
        <f>AD75+AE75</f>
        <v>-1028</v>
      </c>
      <c r="BN75" s="19">
        <f>AF75+AG75</f>
        <v>-1071</v>
      </c>
      <c r="BO75" s="20">
        <f>AH75+AI75</f>
        <v>-1206</v>
      </c>
      <c r="BP75" s="19">
        <f>AJ75+AK75</f>
        <v>-1272.9662997608054</v>
      </c>
      <c r="BQ75" s="19">
        <f>AL75+AM75</f>
        <v>-1277.1704854567338</v>
      </c>
      <c r="BR75" s="19">
        <f>AN75+AO75</f>
        <v>-1287.7832522249803</v>
      </c>
      <c r="BS75" s="19">
        <f>AP75+AQ75</f>
        <v>-1290.9997471928859</v>
      </c>
      <c r="BT75" s="19">
        <f>AR75+AS75</f>
        <v>-1297.0711815118702</v>
      </c>
    </row>
    <row r="76" spans="1:74" ht="12" customHeight="1" outlineLevel="1">
      <c r="A76" s="91" t="s">
        <v>538</v>
      </c>
      <c r="B76" s="1" t="s">
        <v>11</v>
      </c>
      <c r="C76" s="25"/>
      <c r="D76" s="25">
        <f>'Divisional Model'!C31</f>
        <v>-735</v>
      </c>
      <c r="E76" s="25">
        <f>'Divisional Model'!D31</f>
        <v>-863</v>
      </c>
      <c r="F76" s="25">
        <f>'Divisional Model'!E31</f>
        <v>-828</v>
      </c>
      <c r="G76" s="25">
        <f>'Divisional Model'!F31</f>
        <v>-891</v>
      </c>
      <c r="H76" s="25">
        <f>'Divisional Model'!G31</f>
        <v>-790</v>
      </c>
      <c r="I76" s="25">
        <f>'Divisional Model'!H31</f>
        <v>-840</v>
      </c>
      <c r="J76" s="25">
        <f>'Divisional Model'!I31</f>
        <v>-679</v>
      </c>
      <c r="K76" s="25">
        <f>'Divisional Model'!J31</f>
        <v>-696</v>
      </c>
      <c r="L76" s="25">
        <f>'Divisional Model'!K31</f>
        <v>-760</v>
      </c>
      <c r="M76" s="25">
        <f>'Divisional Model'!L31</f>
        <v>-751</v>
      </c>
      <c r="N76" s="25">
        <f>'Divisional Model'!M31</f>
        <v>-832</v>
      </c>
      <c r="O76" s="25">
        <f>'Divisional Model'!N31</f>
        <v>-941</v>
      </c>
      <c r="P76" s="25">
        <f>'Divisional Model'!O31</f>
        <v>-992</v>
      </c>
      <c r="Q76" s="25">
        <f>'Divisional Model'!P31</f>
        <v>-992</v>
      </c>
      <c r="R76" s="25">
        <f>'Divisional Model'!Q31</f>
        <v>-1025</v>
      </c>
      <c r="S76" s="25">
        <f>'Divisional Model'!R31</f>
        <v>-1004</v>
      </c>
      <c r="T76" s="25">
        <f>'Divisional Model'!S31</f>
        <v>-1010</v>
      </c>
      <c r="U76" s="25">
        <f>'Divisional Model'!T31</f>
        <v>-1123</v>
      </c>
      <c r="V76" s="25">
        <f>'Divisional Model'!U31</f>
        <v>-1092</v>
      </c>
      <c r="W76" s="25">
        <f>'Divisional Model'!V31</f>
        <v>-1438</v>
      </c>
      <c r="X76" s="25">
        <f>'Divisional Model'!W31</f>
        <v>-1222</v>
      </c>
      <c r="Y76" s="25">
        <f>'Divisional Model'!X31</f>
        <v>-1362</v>
      </c>
      <c r="Z76" s="25">
        <f>'Divisional Model'!Y31</f>
        <v>-1180</v>
      </c>
      <c r="AA76" s="25">
        <f>'Divisional Model'!Z31</f>
        <v>-1291</v>
      </c>
      <c r="AB76" s="25">
        <f>'Divisional Model'!AA31</f>
        <v>-1407</v>
      </c>
      <c r="AC76" s="25">
        <f>'Divisional Model'!AB31</f>
        <v>-1624</v>
      </c>
      <c r="AD76" s="25">
        <f>'Divisional Model'!AC31</f>
        <v>-1483</v>
      </c>
      <c r="AE76" s="25">
        <f>'Divisional Model'!AD31</f>
        <v>-1916</v>
      </c>
      <c r="AF76" s="25">
        <f>'Divisional Model'!AE31</f>
        <v>-1656</v>
      </c>
      <c r="AG76" s="25">
        <f>'Divisional Model'!AF31</f>
        <v>-1611</v>
      </c>
      <c r="AH76" s="25">
        <f>'Divisional Model'!AG31</f>
        <v>-1583</v>
      </c>
      <c r="AI76" s="25">
        <f>'Divisional Model'!AH31</f>
        <v>-1691</v>
      </c>
      <c r="AJ76" s="26">
        <f>'Divisional Model'!AI31</f>
        <v>-1655</v>
      </c>
      <c r="AK76" s="25">
        <f>'Divisional Model'!AJ31</f>
        <v>-1788.7778991473542</v>
      </c>
      <c r="AL76" s="25">
        <f>'Divisional Model'!AK31</f>
        <v>-1586.0567931853384</v>
      </c>
      <c r="AM76" s="25">
        <f>'Divisional Model'!AL31</f>
        <v>-1791.2690374222789</v>
      </c>
      <c r="AN76" s="25">
        <f>'Divisional Model'!AM31</f>
        <v>-1620.7530377377002</v>
      </c>
      <c r="AO76" s="25">
        <f>'Divisional Model'!AN31</f>
        <v>-1837.311009370183</v>
      </c>
      <c r="AP76" s="25">
        <f>'Divisional Model'!AO31</f>
        <v>-1694.1983853839752</v>
      </c>
      <c r="AQ76" s="25">
        <f>'Divisional Model'!AP31</f>
        <v>-1933.6980098735953</v>
      </c>
      <c r="AR76" s="25">
        <f>'Divisional Model'!AQ31</f>
        <v>-1770.4171330888407</v>
      </c>
      <c r="AS76" s="25">
        <f>'Divisional Model'!AR31</f>
        <v>-2037.3962659128479</v>
      </c>
      <c r="AU76" s="21">
        <f>-2594-AU74-AU75</f>
        <v>-549</v>
      </c>
      <c r="AV76" s="21">
        <v>-772</v>
      </c>
      <c r="AW76" s="21">
        <v>-1099</v>
      </c>
      <c r="AX76" s="21">
        <f>2205-AX73-AX74-AX75</f>
        <v>-1164</v>
      </c>
      <c r="AY76" s="21">
        <f>-4537-AY74-AY75</f>
        <v>-1493</v>
      </c>
      <c r="AZ76" s="19">
        <f>D76+E76</f>
        <v>-1598</v>
      </c>
      <c r="BA76" s="19">
        <f>F76+G76</f>
        <v>-1719</v>
      </c>
      <c r="BB76" s="19">
        <f>H76+I76</f>
        <v>-1630</v>
      </c>
      <c r="BC76" s="19">
        <f>J76+K76</f>
        <v>-1375</v>
      </c>
      <c r="BD76" s="19">
        <f>L76+M76</f>
        <v>-1511</v>
      </c>
      <c r="BE76" s="19">
        <f>N76+O76</f>
        <v>-1773</v>
      </c>
      <c r="BF76" s="19">
        <f>P76+Q76</f>
        <v>-1984</v>
      </c>
      <c r="BG76" s="19">
        <f>R76+S76</f>
        <v>-2029</v>
      </c>
      <c r="BH76" s="19">
        <f>T76+U76</f>
        <v>-2133</v>
      </c>
      <c r="BI76" s="19">
        <f>V76+W76</f>
        <v>-2530</v>
      </c>
      <c r="BJ76" s="19">
        <f>X76+Y76</f>
        <v>-2584</v>
      </c>
      <c r="BK76" s="19">
        <f>Z76+AA76</f>
        <v>-2471</v>
      </c>
      <c r="BL76" s="19">
        <f>AB76+AC76</f>
        <v>-3031</v>
      </c>
      <c r="BM76" s="19">
        <f>AD76+AE76</f>
        <v>-3399</v>
      </c>
      <c r="BN76" s="19">
        <f>AF76+AG76</f>
        <v>-3267</v>
      </c>
      <c r="BO76" s="20">
        <f>AH76+AI76</f>
        <v>-3274</v>
      </c>
      <c r="BP76" s="19">
        <f>AJ76+AK76</f>
        <v>-3443.7778991473542</v>
      </c>
      <c r="BQ76" s="19">
        <f>AL76+AM76</f>
        <v>-3377.3258306076173</v>
      </c>
      <c r="BR76" s="19">
        <f>AN76+AO76</f>
        <v>-3458.0640471078832</v>
      </c>
      <c r="BS76" s="19">
        <f>AP76+AQ76</f>
        <v>-3627.8963952575705</v>
      </c>
      <c r="BT76" s="19">
        <f>AR76+AS76</f>
        <v>-3807.8133990016886</v>
      </c>
    </row>
    <row r="77" spans="1:74" s="9" customFormat="1" ht="12" customHeight="1" outlineLevel="1">
      <c r="A77" s="91" t="s">
        <v>317</v>
      </c>
      <c r="B77" s="9" t="s">
        <v>52</v>
      </c>
      <c r="C77" s="17"/>
      <c r="D77" s="17">
        <f t="shared" ref="D77:I77" si="704">D73+D74+D75+D76</f>
        <v>532</v>
      </c>
      <c r="E77" s="17">
        <f t="shared" si="704"/>
        <v>762</v>
      </c>
      <c r="F77" s="17">
        <f t="shared" si="704"/>
        <v>496</v>
      </c>
      <c r="G77" s="17">
        <f t="shared" si="704"/>
        <v>775</v>
      </c>
      <c r="H77" s="17">
        <f t="shared" si="704"/>
        <v>415</v>
      </c>
      <c r="I77" s="17">
        <f t="shared" si="704"/>
        <v>634</v>
      </c>
      <c r="J77" s="17">
        <f t="shared" ref="J77:N77" si="705">J73+J74+J75+J76</f>
        <v>517</v>
      </c>
      <c r="K77" s="17">
        <f t="shared" si="705"/>
        <v>888</v>
      </c>
      <c r="L77" s="17">
        <f t="shared" si="705"/>
        <v>810</v>
      </c>
      <c r="M77" s="17">
        <f t="shared" si="705"/>
        <v>1296</v>
      </c>
      <c r="N77" s="17">
        <f t="shared" si="705"/>
        <v>1121</v>
      </c>
      <c r="O77" s="17">
        <f t="shared" ref="O77:S77" si="706">O73+O74+O75+O76</f>
        <v>1401</v>
      </c>
      <c r="P77" s="17">
        <f t="shared" si="706"/>
        <v>1619</v>
      </c>
      <c r="Q77" s="17">
        <f t="shared" ref="Q77" si="707">Q73+Q74+Q75+Q76</f>
        <v>1396</v>
      </c>
      <c r="R77" s="17">
        <f t="shared" si="706"/>
        <v>1485</v>
      </c>
      <c r="S77" s="17">
        <f t="shared" si="706"/>
        <v>1619</v>
      </c>
      <c r="T77" s="17">
        <f t="shared" ref="T77:U77" si="708">T73+T74+T75+T76</f>
        <v>1704</v>
      </c>
      <c r="U77" s="17">
        <f t="shared" si="708"/>
        <v>1760</v>
      </c>
      <c r="V77" s="17">
        <f t="shared" ref="V77:W77" si="709">V73+V74+V75+V76</f>
        <v>1705</v>
      </c>
      <c r="W77" s="17">
        <f t="shared" si="709"/>
        <v>2162</v>
      </c>
      <c r="X77" s="17">
        <f t="shared" ref="X77:Y77" si="710">X73+X74+X75+X76</f>
        <v>1840</v>
      </c>
      <c r="Y77" s="17">
        <f t="shared" si="710"/>
        <v>1614</v>
      </c>
      <c r="Z77" s="17">
        <f t="shared" ref="Z77:AA77" si="711">Z73+Z74+Z75+Z76</f>
        <v>1253</v>
      </c>
      <c r="AA77" s="17">
        <f t="shared" si="711"/>
        <v>2654</v>
      </c>
      <c r="AB77" s="17">
        <f t="shared" ref="AB77:AC77" si="712">AB73+AB74+AB75+AB76</f>
        <v>2735</v>
      </c>
      <c r="AC77" s="17">
        <f t="shared" si="712"/>
        <v>3804</v>
      </c>
      <c r="AD77" s="17">
        <f t="shared" ref="AD77:AE77" si="713">AD73+AD74+AD75+AD76</f>
        <v>3028</v>
      </c>
      <c r="AE77" s="17">
        <f t="shared" si="713"/>
        <v>3964</v>
      </c>
      <c r="AF77" s="17">
        <f t="shared" ref="AF77:AG77" si="714">AF73+AF74+AF75+AF76</f>
        <v>1991</v>
      </c>
      <c r="AG77" s="17">
        <f t="shared" si="714"/>
        <v>2835</v>
      </c>
      <c r="AH77" s="17">
        <f t="shared" ref="AH77:AI77" si="715">AH73+AH74+AH75+AH76</f>
        <v>2297</v>
      </c>
      <c r="AI77" s="17">
        <f t="shared" si="715"/>
        <v>2771</v>
      </c>
      <c r="AJ77" s="18">
        <f t="shared" ref="AJ77" si="716">AJ73+AJ74+AJ75+AJ76</f>
        <v>2452</v>
      </c>
      <c r="AK77" s="17">
        <f t="shared" ref="AK77" si="717">AK73+AK74+AK75+AK76</f>
        <v>3608.411508802099</v>
      </c>
      <c r="AL77" s="17">
        <f t="shared" ref="AL77:AM77" si="718">AL73+AL74+AL75+AL76</f>
        <v>3078.699937438465</v>
      </c>
      <c r="AM77" s="17">
        <f t="shared" si="718"/>
        <v>3230.1866536601469</v>
      </c>
      <c r="AN77" s="17">
        <f t="shared" ref="AN77:AO77" si="719">AN73+AN74+AN75+AN76</f>
        <v>3353.6488759986619</v>
      </c>
      <c r="AO77" s="17">
        <f t="shared" si="719"/>
        <v>3609.8848118999999</v>
      </c>
      <c r="AP77" s="17">
        <f t="shared" ref="AP77:AQ77" si="720">AP73+AP74+AP75+AP76</f>
        <v>3586.7665369404981</v>
      </c>
      <c r="AQ77" s="17">
        <f t="shared" si="720"/>
        <v>3803.6356728968326</v>
      </c>
      <c r="AR77" s="17">
        <f t="shared" ref="AR77:AS77" si="721">AR73+AR74+AR75+AR76</f>
        <v>3824.1702635768029</v>
      </c>
      <c r="AS77" s="17">
        <f t="shared" si="721"/>
        <v>3944.0964391588918</v>
      </c>
      <c r="AU77" s="17">
        <f t="shared" ref="AU77:AX77" si="722">AU73+AU74+AU75+AU76</f>
        <v>1158</v>
      </c>
      <c r="AV77" s="17">
        <f t="shared" si="722"/>
        <v>1287</v>
      </c>
      <c r="AW77" s="17">
        <f t="shared" si="722"/>
        <v>1928</v>
      </c>
      <c r="AX77" s="17">
        <f t="shared" si="722"/>
        <v>2205</v>
      </c>
      <c r="AY77" s="17">
        <f t="shared" ref="AY77:BH77" si="723">AY73+AY74+AY75+AY76</f>
        <v>989</v>
      </c>
      <c r="AZ77" s="17">
        <f t="shared" si="723"/>
        <v>1294</v>
      </c>
      <c r="BA77" s="17">
        <f t="shared" si="723"/>
        <v>1271</v>
      </c>
      <c r="BB77" s="17">
        <f t="shared" si="723"/>
        <v>1049</v>
      </c>
      <c r="BC77" s="17">
        <f t="shared" si="723"/>
        <v>1405</v>
      </c>
      <c r="BD77" s="17">
        <f t="shared" si="723"/>
        <v>2106</v>
      </c>
      <c r="BE77" s="17">
        <f t="shared" si="723"/>
        <v>2522</v>
      </c>
      <c r="BF77" s="17">
        <f t="shared" si="723"/>
        <v>3015</v>
      </c>
      <c r="BG77" s="17">
        <f t="shared" si="723"/>
        <v>3104</v>
      </c>
      <c r="BH77" s="17">
        <f t="shared" si="723"/>
        <v>3464</v>
      </c>
      <c r="BI77" s="17">
        <f t="shared" ref="BI77" si="724">BI73+BI74+BI75+BI76</f>
        <v>3867</v>
      </c>
      <c r="BJ77" s="17">
        <f t="shared" ref="BJ77:BO77" si="725">BJ73+BJ74+BJ75+BJ76</f>
        <v>3454</v>
      </c>
      <c r="BK77" s="17">
        <f t="shared" si="725"/>
        <v>3907</v>
      </c>
      <c r="BL77" s="17">
        <f t="shared" si="725"/>
        <v>6539</v>
      </c>
      <c r="BM77" s="17">
        <f t="shared" si="725"/>
        <v>6992</v>
      </c>
      <c r="BN77" s="17">
        <f t="shared" si="725"/>
        <v>4826</v>
      </c>
      <c r="BO77" s="18">
        <f t="shared" si="725"/>
        <v>5068</v>
      </c>
      <c r="BP77" s="17">
        <f t="shared" ref="BP77:BQ77" si="726">BP73+BP74+BP75+BP76</f>
        <v>6060.4115088020999</v>
      </c>
      <c r="BQ77" s="17">
        <f t="shared" si="726"/>
        <v>6308.8865910986115</v>
      </c>
      <c r="BR77" s="17">
        <f t="shared" ref="BR77:BS77" si="727">BR73+BR74+BR75+BR76</f>
        <v>6963.5336878986609</v>
      </c>
      <c r="BS77" s="17">
        <f t="shared" si="727"/>
        <v>7390.4022098373352</v>
      </c>
      <c r="BT77" s="17">
        <f>BT73+BT74+BT75+BT76</f>
        <v>7768.2667027356947</v>
      </c>
    </row>
    <row r="78" spans="1:74" ht="12" customHeight="1" outlineLevel="1">
      <c r="A78" s="91" t="s">
        <v>318</v>
      </c>
      <c r="B78" s="1" t="s">
        <v>15</v>
      </c>
      <c r="C78" s="25"/>
      <c r="D78" s="25">
        <f>'Divisional Model'!C33</f>
        <v>-36</v>
      </c>
      <c r="E78" s="25">
        <f>'Divisional Model'!D33</f>
        <v>-165</v>
      </c>
      <c r="F78" s="25">
        <f>'Divisional Model'!E33</f>
        <v>-85</v>
      </c>
      <c r="G78" s="25">
        <f>'Divisional Model'!F33</f>
        <v>-197</v>
      </c>
      <c r="H78" s="25">
        <f>'Divisional Model'!G33</f>
        <v>-107</v>
      </c>
      <c r="I78" s="25">
        <f>'Divisional Model'!H33</f>
        <v>-180</v>
      </c>
      <c r="J78" s="25">
        <f>'Divisional Model'!I33</f>
        <v>-156</v>
      </c>
      <c r="K78" s="25">
        <f>'Divisional Model'!J33</f>
        <v>-377</v>
      </c>
      <c r="L78" s="25">
        <f>'Divisional Model'!K33</f>
        <v>-307</v>
      </c>
      <c r="M78" s="25">
        <f>'Divisional Model'!L33</f>
        <v>-520</v>
      </c>
      <c r="N78" s="25">
        <f>'Divisional Model'!M33</f>
        <v>-432</v>
      </c>
      <c r="O78" s="25">
        <f>'Divisional Model'!N33</f>
        <v>-467</v>
      </c>
      <c r="P78" s="25">
        <f>'Divisional Model'!O33</f>
        <v>-530</v>
      </c>
      <c r="Q78" s="25">
        <f>'Divisional Model'!P33</f>
        <v>-397</v>
      </c>
      <c r="R78" s="25">
        <f>'Divisional Model'!Q33</f>
        <v>-438</v>
      </c>
      <c r="S78" s="25">
        <f>'Divisional Model'!R33</f>
        <v>-430</v>
      </c>
      <c r="T78" s="25">
        <f>'Divisional Model'!S33</f>
        <v>-448</v>
      </c>
      <c r="U78" s="25">
        <f>'Divisional Model'!T33</f>
        <v>-435</v>
      </c>
      <c r="V78" s="25">
        <f>'Divisional Model'!U33</f>
        <v>-374</v>
      </c>
      <c r="W78" s="25">
        <f>'Divisional Model'!V33</f>
        <v>-505</v>
      </c>
      <c r="X78" s="25">
        <f>'Divisional Model'!W33</f>
        <v>-376</v>
      </c>
      <c r="Y78" s="25">
        <f>'Divisional Model'!X33</f>
        <v>-352</v>
      </c>
      <c r="Z78" s="25">
        <f>'Divisional Model'!Y33</f>
        <v>-275</v>
      </c>
      <c r="AA78" s="25">
        <f>'Divisional Model'!Z33</f>
        <v>-624</v>
      </c>
      <c r="AB78" s="25">
        <f>'Divisional Model'!AA33</f>
        <v>-603</v>
      </c>
      <c r="AC78" s="25">
        <f>'Divisional Model'!AB33</f>
        <v>-983</v>
      </c>
      <c r="AD78" s="25">
        <f>'Divisional Model'!AC33</f>
        <v>-735</v>
      </c>
      <c r="AE78" s="25">
        <f>'Divisional Model'!AD33</f>
        <v>-1089</v>
      </c>
      <c r="AF78" s="25">
        <f>'Divisional Model'!AE33</f>
        <v>-587</v>
      </c>
      <c r="AG78" s="25">
        <f>'Divisional Model'!AF33</f>
        <v>-704</v>
      </c>
      <c r="AH78" s="25">
        <f>'Divisional Model'!AG33</f>
        <v>-686</v>
      </c>
      <c r="AI78" s="25">
        <f>'Divisional Model'!AH33</f>
        <v>-640</v>
      </c>
      <c r="AJ78" s="26">
        <f>'Divisional Model'!AI33</f>
        <v>-771</v>
      </c>
      <c r="AK78" s="25">
        <f>'Divisional Model'!AJ33</f>
        <v>-1082.5234526406296</v>
      </c>
      <c r="AL78" s="25">
        <f>'Divisional Model'!AK33</f>
        <v>-923.60998123153945</v>
      </c>
      <c r="AM78" s="25">
        <f>'Divisional Model'!AL33</f>
        <v>-742.9429303418342</v>
      </c>
      <c r="AN78" s="25">
        <f>'Divisional Model'!AM33</f>
        <v>-1006.0946627995985</v>
      </c>
      <c r="AO78" s="25">
        <f>'Divisional Model'!AN33</f>
        <v>-830.27350673700005</v>
      </c>
      <c r="AP78" s="25">
        <f>'Divisional Model'!AO33</f>
        <v>-1076.0299610821494</v>
      </c>
      <c r="AQ78" s="25">
        <f>'Divisional Model'!AP33</f>
        <v>-874.83620476627152</v>
      </c>
      <c r="AR78" s="25">
        <f>'Divisional Model'!AQ33</f>
        <v>-1147.2510790730407</v>
      </c>
      <c r="AS78" s="25">
        <f>'Divisional Model'!AR33</f>
        <v>-907.14218100654512</v>
      </c>
      <c r="AU78" s="21">
        <v>-288</v>
      </c>
      <c r="AV78" s="21">
        <v>-290</v>
      </c>
      <c r="AW78" s="21">
        <v>-377</v>
      </c>
      <c r="AX78" s="21">
        <v>-317</v>
      </c>
      <c r="AY78" s="21">
        <v>-15</v>
      </c>
      <c r="AZ78" s="19">
        <f>D78+E78</f>
        <v>-201</v>
      </c>
      <c r="BA78" s="19">
        <f>F78+G78</f>
        <v>-282</v>
      </c>
      <c r="BB78" s="19">
        <f>H78+I78</f>
        <v>-287</v>
      </c>
      <c r="BC78" s="19">
        <f>J78+K78</f>
        <v>-533</v>
      </c>
      <c r="BD78" s="19">
        <f>L78+M78</f>
        <v>-827</v>
      </c>
      <c r="BE78" s="19">
        <f>N78+O78</f>
        <v>-899</v>
      </c>
      <c r="BF78" s="19">
        <f>P78+Q78</f>
        <v>-927</v>
      </c>
      <c r="BG78" s="19">
        <f>R78+S78</f>
        <v>-868</v>
      </c>
      <c r="BH78" s="19">
        <f>T78+U78</f>
        <v>-883</v>
      </c>
      <c r="BI78" s="19">
        <f>V78+W78</f>
        <v>-879</v>
      </c>
      <c r="BJ78" s="19">
        <f>X78+Y78</f>
        <v>-728</v>
      </c>
      <c r="BK78" s="19">
        <f>Z78+AA78</f>
        <v>-899</v>
      </c>
      <c r="BL78" s="19">
        <f>AB78+AC78</f>
        <v>-1586</v>
      </c>
      <c r="BM78" s="19">
        <f>AD78+AE78</f>
        <v>-1824</v>
      </c>
      <c r="BN78" s="19">
        <f>AF78+AG78</f>
        <v>-1291</v>
      </c>
      <c r="BO78" s="20">
        <f>AH78+AI78</f>
        <v>-1326</v>
      </c>
      <c r="BP78" s="19">
        <f>AJ78+AK78</f>
        <v>-1853.5234526406296</v>
      </c>
      <c r="BQ78" s="19">
        <f>AL78+AM78</f>
        <v>-1666.5529115733736</v>
      </c>
      <c r="BR78" s="19">
        <f>AN78+AO78</f>
        <v>-1836.3681695365985</v>
      </c>
      <c r="BS78" s="19">
        <f>AP78+AQ78</f>
        <v>-1950.8661658484209</v>
      </c>
      <c r="BT78" s="19">
        <f>AR78+AS78</f>
        <v>-2054.3932600795861</v>
      </c>
    </row>
    <row r="79" spans="1:74" ht="12" customHeight="1" outlineLevel="1">
      <c r="A79" s="91" t="s">
        <v>319</v>
      </c>
      <c r="B79" s="1" t="s">
        <v>16</v>
      </c>
      <c r="C79" s="25"/>
      <c r="D79" s="25">
        <f>'Divisional Model'!C34</f>
        <v>-17</v>
      </c>
      <c r="E79" s="25">
        <f>'Divisional Model'!D34</f>
        <v>-26</v>
      </c>
      <c r="F79" s="25">
        <f>'Divisional Model'!E34</f>
        <v>-8</v>
      </c>
      <c r="G79" s="25">
        <f>'Divisional Model'!F34</f>
        <v>-25</v>
      </c>
      <c r="H79" s="25">
        <f>'Divisional Model'!G34</f>
        <v>-3</v>
      </c>
      <c r="I79" s="25">
        <f>'Divisional Model'!H34</f>
        <v>-29</v>
      </c>
      <c r="J79" s="25">
        <f>'Divisional Model'!I34</f>
        <v>0</v>
      </c>
      <c r="K79" s="25">
        <f>'Divisional Model'!J34</f>
        <v>-21</v>
      </c>
      <c r="L79" s="25">
        <f>'Divisional Model'!K34</f>
        <v>-2</v>
      </c>
      <c r="M79" s="25">
        <f>'Divisional Model'!L34</f>
        <v>-12</v>
      </c>
      <c r="N79" s="25">
        <f>'Divisional Model'!M34</f>
        <v>-11</v>
      </c>
      <c r="O79" s="25">
        <f>'Divisional Model'!N34</f>
        <v>-8</v>
      </c>
      <c r="P79" s="25">
        <f>'Divisional Model'!O34</f>
        <v>-19</v>
      </c>
      <c r="Q79" s="25">
        <f>'Divisional Model'!P34</f>
        <v>-6</v>
      </c>
      <c r="R79" s="25">
        <f>'Divisional Model'!Q34</f>
        <v>3</v>
      </c>
      <c r="S79" s="25">
        <f>'Divisional Model'!R34</f>
        <v>-22</v>
      </c>
      <c r="T79" s="25">
        <f>'Divisional Model'!S34</f>
        <v>-8</v>
      </c>
      <c r="U79" s="25">
        <f>'Divisional Model'!T34</f>
        <v>-16</v>
      </c>
      <c r="V79" s="25">
        <f>'Divisional Model'!U34</f>
        <v>-21</v>
      </c>
      <c r="W79" s="25">
        <f>'Divisional Model'!V34</f>
        <v>15</v>
      </c>
      <c r="X79" s="25">
        <f>'Divisional Model'!W34</f>
        <v>-7</v>
      </c>
      <c r="Y79" s="25">
        <f>'Divisional Model'!X34</f>
        <v>12</v>
      </c>
      <c r="Z79" s="25">
        <f>'Divisional Model'!Y34</f>
        <v>7</v>
      </c>
      <c r="AA79" s="25">
        <f>'Divisional Model'!Z34</f>
        <v>0</v>
      </c>
      <c r="AB79" s="25">
        <f>'Divisional Model'!AA34</f>
        <v>-89</v>
      </c>
      <c r="AC79" s="25">
        <f>'Divisional Model'!AB34</f>
        <v>-158</v>
      </c>
      <c r="AD79" s="25">
        <f>'Divisional Model'!AC34</f>
        <v>12</v>
      </c>
      <c r="AE79" s="25">
        <f>'Divisional Model'!AD34</f>
        <v>2</v>
      </c>
      <c r="AF79" s="25">
        <f>'Divisional Model'!AE34</f>
        <v>11</v>
      </c>
      <c r="AG79" s="25">
        <f>'Divisional Model'!AF34</f>
        <v>-24</v>
      </c>
      <c r="AH79" s="25">
        <f>'Divisional Model'!AG34</f>
        <v>1</v>
      </c>
      <c r="AI79" s="25">
        <f>'Divisional Model'!AH34</f>
        <v>-28</v>
      </c>
      <c r="AJ79" s="26">
        <f>'Divisional Model'!AI34</f>
        <v>-26</v>
      </c>
      <c r="AK79" s="25">
        <f>'Divisional Model'!AJ34</f>
        <v>-26</v>
      </c>
      <c r="AL79" s="25">
        <f>'Divisional Model'!AK34</f>
        <v>-26</v>
      </c>
      <c r="AM79" s="25">
        <f>'Divisional Model'!AL34</f>
        <v>-26</v>
      </c>
      <c r="AN79" s="25">
        <f>'Divisional Model'!AM34</f>
        <v>-26</v>
      </c>
      <c r="AO79" s="25">
        <f>'Divisional Model'!AN34</f>
        <v>-26</v>
      </c>
      <c r="AP79" s="25">
        <f>'Divisional Model'!AO34</f>
        <v>-26</v>
      </c>
      <c r="AQ79" s="25">
        <f>'Divisional Model'!AP34</f>
        <v>-26</v>
      </c>
      <c r="AR79" s="25">
        <f>'Divisional Model'!AQ34</f>
        <v>-26</v>
      </c>
      <c r="AS79" s="25">
        <f>'Divisional Model'!AR34</f>
        <v>-26</v>
      </c>
      <c r="AU79" s="21">
        <f>-29-29</f>
        <v>-58</v>
      </c>
      <c r="AV79" s="21">
        <f>-52-29</f>
        <v>-81</v>
      </c>
      <c r="AW79" s="21">
        <f>-57-31</f>
        <v>-88</v>
      </c>
      <c r="AX79" s="21">
        <v>-85</v>
      </c>
      <c r="AY79" s="21">
        <v>-103</v>
      </c>
      <c r="AZ79" s="19">
        <f>D79+E79</f>
        <v>-43</v>
      </c>
      <c r="BA79" s="19">
        <f>F79+G79</f>
        <v>-33</v>
      </c>
      <c r="BB79" s="19">
        <f>H79+I79</f>
        <v>-32</v>
      </c>
      <c r="BC79" s="19">
        <f>J79+K79</f>
        <v>-21</v>
      </c>
      <c r="BD79" s="19">
        <f>L79+M79</f>
        <v>-14</v>
      </c>
      <c r="BE79" s="19">
        <f>N79+O79</f>
        <v>-19</v>
      </c>
      <c r="BF79" s="19">
        <f>P79+Q79</f>
        <v>-25</v>
      </c>
      <c r="BG79" s="19">
        <f>R79+S79</f>
        <v>-19</v>
      </c>
      <c r="BH79" s="19">
        <f>T79+U79</f>
        <v>-24</v>
      </c>
      <c r="BI79" s="19">
        <f>V79+W79</f>
        <v>-6</v>
      </c>
      <c r="BJ79" s="19">
        <f>X79+Y79</f>
        <v>5</v>
      </c>
      <c r="BK79" s="19">
        <f>Z79+AA79</f>
        <v>7</v>
      </c>
      <c r="BL79" s="19">
        <f>AB79+AC79</f>
        <v>-247</v>
      </c>
      <c r="BM79" s="19">
        <f>AD79+AE79</f>
        <v>14</v>
      </c>
      <c r="BN79" s="19">
        <f>AF79+AG79</f>
        <v>-13</v>
      </c>
      <c r="BO79" s="20">
        <f>AH79+AI79</f>
        <v>-27</v>
      </c>
      <c r="BP79" s="19">
        <f>AJ79+AK79</f>
        <v>-52</v>
      </c>
      <c r="BQ79" s="19">
        <f>AL79+AM79</f>
        <v>-52</v>
      </c>
      <c r="BR79" s="19">
        <f>AN79+AO79</f>
        <v>-52</v>
      </c>
      <c r="BS79" s="19">
        <f>AP79+AQ79</f>
        <v>-52</v>
      </c>
      <c r="BT79" s="19">
        <f>AR79+AS79</f>
        <v>-52</v>
      </c>
    </row>
    <row r="80" spans="1:74" ht="12" customHeight="1" outlineLevel="1">
      <c r="A80" s="91" t="s">
        <v>320</v>
      </c>
      <c r="B80" s="1" t="s">
        <v>159</v>
      </c>
      <c r="C80" s="25"/>
      <c r="D80" s="25">
        <f>'Divisional Model'!C35</f>
        <v>0</v>
      </c>
      <c r="E80" s="25">
        <f>'Divisional Model'!D35</f>
        <v>0</v>
      </c>
      <c r="F80" s="25">
        <f>'Divisional Model'!E35</f>
        <v>0</v>
      </c>
      <c r="G80" s="25">
        <f>'Divisional Model'!F35</f>
        <v>0</v>
      </c>
      <c r="H80" s="25">
        <f>'Divisional Model'!G35</f>
        <v>0</v>
      </c>
      <c r="I80" s="25">
        <f>'Divisional Model'!H35</f>
        <v>0</v>
      </c>
      <c r="J80" s="25">
        <f>'Divisional Model'!I35</f>
        <v>0</v>
      </c>
      <c r="K80" s="25">
        <f>'Divisional Model'!J35</f>
        <v>0</v>
      </c>
      <c r="L80" s="25">
        <f>'Divisional Model'!K35</f>
        <v>0</v>
      </c>
      <c r="M80" s="25">
        <f>'Divisional Model'!L35</f>
        <v>0</v>
      </c>
      <c r="N80" s="25">
        <f>'Divisional Model'!M35</f>
        <v>0</v>
      </c>
      <c r="O80" s="25">
        <f>'Divisional Model'!N35</f>
        <v>0</v>
      </c>
      <c r="P80" s="25">
        <f>'Divisional Model'!O35</f>
        <v>0</v>
      </c>
      <c r="Q80" s="25">
        <f>'Divisional Model'!P35</f>
        <v>0</v>
      </c>
      <c r="R80" s="25">
        <f>'Divisional Model'!Q35</f>
        <v>0</v>
      </c>
      <c r="S80" s="25">
        <f>'Divisional Model'!R35</f>
        <v>0</v>
      </c>
      <c r="T80" s="25">
        <f>'Divisional Model'!S35</f>
        <v>0</v>
      </c>
      <c r="U80" s="25">
        <f>'Divisional Model'!T35</f>
        <v>0</v>
      </c>
      <c r="V80" s="25">
        <f>'Divisional Model'!U35</f>
        <v>0</v>
      </c>
      <c r="W80" s="25">
        <f>'Divisional Model'!V35</f>
        <v>0</v>
      </c>
      <c r="X80" s="25">
        <f>'Divisional Model'!W35</f>
        <v>0</v>
      </c>
      <c r="Y80" s="25">
        <f>'Divisional Model'!X35</f>
        <v>0</v>
      </c>
      <c r="Z80" s="25">
        <f>'Divisional Model'!Y35</f>
        <v>0</v>
      </c>
      <c r="AA80" s="25">
        <f>'Divisional Model'!Z35</f>
        <v>0</v>
      </c>
      <c r="AB80" s="25">
        <f>'Divisional Model'!AA35</f>
        <v>0</v>
      </c>
      <c r="AC80" s="25">
        <f>'Divisional Model'!AB35</f>
        <v>0</v>
      </c>
      <c r="AD80" s="25">
        <f>'Divisional Model'!AC35</f>
        <v>0</v>
      </c>
      <c r="AE80" s="25">
        <f>'Divisional Model'!AD35</f>
        <v>0</v>
      </c>
      <c r="AF80" s="25">
        <f>'Divisional Model'!AE35</f>
        <v>0</v>
      </c>
      <c r="AG80" s="25">
        <f>'Divisional Model'!AF35</f>
        <v>0</v>
      </c>
      <c r="AH80" s="25">
        <f>'Divisional Model'!AG35</f>
        <v>0</v>
      </c>
      <c r="AI80" s="25">
        <f>'Divisional Model'!AH35</f>
        <v>0</v>
      </c>
      <c r="AJ80" s="26">
        <f>'Divisional Model'!AI35</f>
        <v>0</v>
      </c>
      <c r="AK80" s="25">
        <f>'Divisional Model'!AJ35</f>
        <v>0</v>
      </c>
      <c r="AL80" s="25">
        <f>'Divisional Model'!AK35</f>
        <v>0</v>
      </c>
      <c r="AM80" s="25">
        <f>'Divisional Model'!AL35</f>
        <v>0</v>
      </c>
      <c r="AN80" s="25">
        <f>'Divisional Model'!AM35</f>
        <v>0</v>
      </c>
      <c r="AO80" s="25">
        <f>'Divisional Model'!AN35</f>
        <v>0</v>
      </c>
      <c r="AP80" s="25">
        <f>'Divisional Model'!AO35</f>
        <v>0</v>
      </c>
      <c r="AQ80" s="25">
        <f>'Divisional Model'!AP35</f>
        <v>0</v>
      </c>
      <c r="AR80" s="25">
        <f>'Divisional Model'!AQ35</f>
        <v>0</v>
      </c>
      <c r="AS80" s="25">
        <f>'Divisional Model'!AR35</f>
        <v>0</v>
      </c>
      <c r="AU80" s="21">
        <v>0</v>
      </c>
      <c r="AV80" s="21">
        <v>0</v>
      </c>
      <c r="AW80" s="21">
        <v>0</v>
      </c>
      <c r="AX80" s="21">
        <v>0</v>
      </c>
      <c r="AY80" s="21">
        <v>0</v>
      </c>
      <c r="AZ80" s="19">
        <f>D80+E80</f>
        <v>0</v>
      </c>
      <c r="BA80" s="19">
        <f>F80+G80</f>
        <v>0</v>
      </c>
      <c r="BB80" s="19">
        <f>H80+I80</f>
        <v>0</v>
      </c>
      <c r="BC80" s="19">
        <f>J80+K80</f>
        <v>0</v>
      </c>
      <c r="BD80" s="19">
        <f>L80+M80</f>
        <v>0</v>
      </c>
      <c r="BE80" s="19">
        <f>N80+O80</f>
        <v>0</v>
      </c>
      <c r="BF80" s="19">
        <f>P80+Q80</f>
        <v>0</v>
      </c>
      <c r="BG80" s="19">
        <f>R80+S80</f>
        <v>0</v>
      </c>
      <c r="BH80" s="19">
        <f>T80+U80</f>
        <v>0</v>
      </c>
      <c r="BI80" s="19">
        <f>V80+W80</f>
        <v>0</v>
      </c>
      <c r="BJ80" s="19">
        <f>X80+Y80</f>
        <v>0</v>
      </c>
      <c r="BK80" s="19">
        <f>Z80+AA80</f>
        <v>0</v>
      </c>
      <c r="BL80" s="19">
        <f>AB80+AC80</f>
        <v>0</v>
      </c>
      <c r="BM80" s="19">
        <f>AD80+AE80</f>
        <v>0</v>
      </c>
      <c r="BN80" s="19">
        <f>AF80+AG80</f>
        <v>0</v>
      </c>
      <c r="BO80" s="20">
        <f>AH80+AI80</f>
        <v>0</v>
      </c>
      <c r="BP80" s="19">
        <f>AJ80+AK80</f>
        <v>0</v>
      </c>
      <c r="BQ80" s="19">
        <f>AL80+AM80</f>
        <v>0</v>
      </c>
      <c r="BR80" s="19">
        <f>AN80+AO80</f>
        <v>0</v>
      </c>
      <c r="BS80" s="19">
        <f>AP80+AQ80</f>
        <v>0</v>
      </c>
      <c r="BT80" s="19">
        <f>AR80+AS80</f>
        <v>0</v>
      </c>
    </row>
    <row r="81" spans="1:72" s="9" customFormat="1" ht="12" customHeight="1" outlineLevel="1">
      <c r="A81" s="91" t="s">
        <v>529</v>
      </c>
      <c r="B81" s="16" t="s">
        <v>128</v>
      </c>
      <c r="C81" s="17"/>
      <c r="D81" s="17">
        <f t="shared" ref="D81:I81" si="728">D77+D78+D79+D80</f>
        <v>479</v>
      </c>
      <c r="E81" s="17">
        <f t="shared" si="728"/>
        <v>571</v>
      </c>
      <c r="F81" s="17">
        <f t="shared" si="728"/>
        <v>403</v>
      </c>
      <c r="G81" s="17">
        <f t="shared" si="728"/>
        <v>553</v>
      </c>
      <c r="H81" s="17">
        <f t="shared" si="728"/>
        <v>305</v>
      </c>
      <c r="I81" s="17">
        <f t="shared" si="728"/>
        <v>425</v>
      </c>
      <c r="J81" s="17">
        <f>J77+J78+J79+J80</f>
        <v>361</v>
      </c>
      <c r="K81" s="17">
        <f t="shared" ref="K81" si="729">K77+K78+K79+K80</f>
        <v>490</v>
      </c>
      <c r="L81" s="17">
        <f t="shared" ref="L81:Q81" si="730">L77+L78+L79+L80</f>
        <v>501</v>
      </c>
      <c r="M81" s="17">
        <f t="shared" si="730"/>
        <v>764</v>
      </c>
      <c r="N81" s="17">
        <f t="shared" si="730"/>
        <v>678</v>
      </c>
      <c r="O81" s="17">
        <f t="shared" si="730"/>
        <v>926</v>
      </c>
      <c r="P81" s="17">
        <f t="shared" si="730"/>
        <v>1070</v>
      </c>
      <c r="Q81" s="17">
        <f t="shared" si="730"/>
        <v>993</v>
      </c>
      <c r="R81" s="17">
        <f t="shared" ref="R81:S81" si="731">R77+R78+R79+R80</f>
        <v>1050</v>
      </c>
      <c r="S81" s="17">
        <f t="shared" si="731"/>
        <v>1167</v>
      </c>
      <c r="T81" s="17">
        <f t="shared" ref="T81:U81" si="732">T77+T78+T79+T80</f>
        <v>1248</v>
      </c>
      <c r="U81" s="17">
        <f t="shared" si="732"/>
        <v>1309</v>
      </c>
      <c r="V81" s="17">
        <f t="shared" ref="V81:W81" si="733">V77+V78+V79+V80</f>
        <v>1310</v>
      </c>
      <c r="W81" s="17">
        <f t="shared" si="733"/>
        <v>1672</v>
      </c>
      <c r="X81" s="17">
        <f t="shared" ref="X81:Y81" si="734">X77+X78+X79+X80</f>
        <v>1457</v>
      </c>
      <c r="Y81" s="17">
        <f t="shared" si="734"/>
        <v>1274</v>
      </c>
      <c r="Z81" s="17">
        <f t="shared" ref="Z81:AA81" si="735">Z77+Z78+Z79+Z80</f>
        <v>985</v>
      </c>
      <c r="AA81" s="17">
        <f t="shared" si="735"/>
        <v>2030</v>
      </c>
      <c r="AB81" s="17">
        <f t="shared" ref="AB81:AC81" si="736">AB77+AB78+AB79+AB80</f>
        <v>2043</v>
      </c>
      <c r="AC81" s="17">
        <f t="shared" si="736"/>
        <v>2663</v>
      </c>
      <c r="AD81" s="17">
        <f t="shared" ref="AD81:AE81" si="737">AD77+AD78+AD79+AD80</f>
        <v>2305</v>
      </c>
      <c r="AE81" s="17">
        <f t="shared" si="737"/>
        <v>2877</v>
      </c>
      <c r="AF81" s="17">
        <f t="shared" ref="AF81:AG81" si="738">AF77+AF78+AF79+AF80</f>
        <v>1415</v>
      </c>
      <c r="AG81" s="17">
        <f t="shared" si="738"/>
        <v>2107</v>
      </c>
      <c r="AH81" s="17">
        <f t="shared" ref="AH81:AI81" si="739">AH77+AH78+AH79+AH80</f>
        <v>1612</v>
      </c>
      <c r="AI81" s="17">
        <f t="shared" si="739"/>
        <v>2103</v>
      </c>
      <c r="AJ81" s="18">
        <f t="shared" ref="AJ81" si="740">AJ77+AJ78+AJ79+AJ80</f>
        <v>1655</v>
      </c>
      <c r="AK81" s="17">
        <f t="shared" ref="AK81" si="741">AK77+AK78+AK79+AK80</f>
        <v>2499.8880561614696</v>
      </c>
      <c r="AL81" s="17">
        <f t="shared" ref="AL81:AM81" si="742">AL77+AL78+AL79+AL80</f>
        <v>2129.0899562069253</v>
      </c>
      <c r="AM81" s="17">
        <f t="shared" si="742"/>
        <v>2461.2437233183127</v>
      </c>
      <c r="AN81" s="17">
        <f t="shared" ref="AN81:AO81" si="743">AN77+AN78+AN79+AN80</f>
        <v>2321.5542131990633</v>
      </c>
      <c r="AO81" s="17">
        <f t="shared" si="743"/>
        <v>2753.611305163</v>
      </c>
      <c r="AP81" s="17">
        <f t="shared" ref="AP81:AQ81" si="744">AP77+AP78+AP79+AP80</f>
        <v>2484.7365758583487</v>
      </c>
      <c r="AQ81" s="17">
        <f t="shared" si="744"/>
        <v>2902.7994681305609</v>
      </c>
      <c r="AR81" s="17">
        <f t="shared" ref="AR81:AS81" si="745">AR77+AR78+AR79+AR80</f>
        <v>2650.9191845037622</v>
      </c>
      <c r="AS81" s="17">
        <f t="shared" si="745"/>
        <v>3010.9542581523465</v>
      </c>
      <c r="AU81" s="17">
        <f t="shared" ref="AU81:AX81" si="746">AU77+AU78+AU79+AU80</f>
        <v>812</v>
      </c>
      <c r="AV81" s="17">
        <f t="shared" si="746"/>
        <v>916</v>
      </c>
      <c r="AW81" s="17">
        <f t="shared" si="746"/>
        <v>1463</v>
      </c>
      <c r="AX81" s="17">
        <f t="shared" si="746"/>
        <v>1803</v>
      </c>
      <c r="AY81" s="17">
        <f t="shared" ref="AY81:BH81" si="747">AY77+AY78+AY79+AY80</f>
        <v>871</v>
      </c>
      <c r="AZ81" s="17">
        <f t="shared" si="747"/>
        <v>1050</v>
      </c>
      <c r="BA81" s="17">
        <f t="shared" si="747"/>
        <v>956</v>
      </c>
      <c r="BB81" s="17">
        <f t="shared" si="747"/>
        <v>730</v>
      </c>
      <c r="BC81" s="17">
        <f t="shared" si="747"/>
        <v>851</v>
      </c>
      <c r="BD81" s="17">
        <f t="shared" si="747"/>
        <v>1265</v>
      </c>
      <c r="BE81" s="17">
        <f t="shared" si="747"/>
        <v>1604</v>
      </c>
      <c r="BF81" s="17">
        <f t="shared" si="747"/>
        <v>2063</v>
      </c>
      <c r="BG81" s="17">
        <f t="shared" si="747"/>
        <v>2217</v>
      </c>
      <c r="BH81" s="17">
        <f t="shared" si="747"/>
        <v>2557</v>
      </c>
      <c r="BI81" s="17">
        <f t="shared" ref="BI81" si="748">BI77+BI78+BI79+BI80</f>
        <v>2982</v>
      </c>
      <c r="BJ81" s="17">
        <f t="shared" ref="BJ81:BO81" si="749">BJ77+BJ78+BJ79+BJ80</f>
        <v>2731</v>
      </c>
      <c r="BK81" s="17">
        <f t="shared" si="749"/>
        <v>3015</v>
      </c>
      <c r="BL81" s="17">
        <f t="shared" si="749"/>
        <v>4706</v>
      </c>
      <c r="BM81" s="17">
        <f t="shared" si="749"/>
        <v>5182</v>
      </c>
      <c r="BN81" s="17">
        <f t="shared" si="749"/>
        <v>3522</v>
      </c>
      <c r="BO81" s="18">
        <f t="shared" si="749"/>
        <v>3715</v>
      </c>
      <c r="BP81" s="17">
        <f t="shared" ref="BP81:BQ81" si="750">BP77+BP78+BP79+BP80</f>
        <v>4154.8880561614706</v>
      </c>
      <c r="BQ81" s="17">
        <f t="shared" si="750"/>
        <v>4590.333679525238</v>
      </c>
      <c r="BR81" s="17">
        <f t="shared" ref="BR81:BS81" si="751">BR77+BR78+BR79+BR80</f>
        <v>5075.1655183620624</v>
      </c>
      <c r="BS81" s="17">
        <f t="shared" si="751"/>
        <v>5387.5360439889146</v>
      </c>
      <c r="BT81" s="17">
        <f>BT77+BT78+BT79+BT80</f>
        <v>5661.8734426561086</v>
      </c>
    </row>
    <row r="82" spans="1:72" ht="12" customHeight="1" outlineLevel="1">
      <c r="A82" s="91" t="s">
        <v>320</v>
      </c>
      <c r="B82" s="1" t="s">
        <v>125</v>
      </c>
      <c r="C82" s="25"/>
      <c r="D82" s="25">
        <f t="shared" ref="D82:I82" si="752">-D80</f>
        <v>0</v>
      </c>
      <c r="E82" s="25">
        <f t="shared" si="752"/>
        <v>0</v>
      </c>
      <c r="F82" s="25">
        <f t="shared" si="752"/>
        <v>0</v>
      </c>
      <c r="G82" s="25">
        <f t="shared" si="752"/>
        <v>0</v>
      </c>
      <c r="H82" s="25">
        <f t="shared" si="752"/>
        <v>0</v>
      </c>
      <c r="I82" s="25">
        <f t="shared" si="752"/>
        <v>0</v>
      </c>
      <c r="J82" s="25">
        <f>-J80</f>
        <v>0</v>
      </c>
      <c r="K82" s="25">
        <f t="shared" ref="K82" si="753">-K80</f>
        <v>0</v>
      </c>
      <c r="L82" s="25">
        <f t="shared" ref="L82:Q82" si="754">-L80</f>
        <v>0</v>
      </c>
      <c r="M82" s="25">
        <f t="shared" si="754"/>
        <v>0</v>
      </c>
      <c r="N82" s="25">
        <f t="shared" si="754"/>
        <v>0</v>
      </c>
      <c r="O82" s="25">
        <f t="shared" si="754"/>
        <v>0</v>
      </c>
      <c r="P82" s="25">
        <f t="shared" si="754"/>
        <v>0</v>
      </c>
      <c r="Q82" s="25">
        <f t="shared" si="754"/>
        <v>0</v>
      </c>
      <c r="R82" s="25">
        <f t="shared" ref="R82:S82" si="755">-R80</f>
        <v>0</v>
      </c>
      <c r="S82" s="25">
        <f t="shared" si="755"/>
        <v>0</v>
      </c>
      <c r="T82" s="25">
        <f t="shared" ref="T82:U82" si="756">-T80</f>
        <v>0</v>
      </c>
      <c r="U82" s="25">
        <f t="shared" si="756"/>
        <v>0</v>
      </c>
      <c r="V82" s="25">
        <f t="shared" ref="V82:W82" si="757">-V80</f>
        <v>0</v>
      </c>
      <c r="W82" s="25">
        <f t="shared" si="757"/>
        <v>0</v>
      </c>
      <c r="X82" s="25">
        <f t="shared" ref="X82:Y82" si="758">-X80</f>
        <v>0</v>
      </c>
      <c r="Y82" s="25">
        <f t="shared" si="758"/>
        <v>0</v>
      </c>
      <c r="Z82" s="25">
        <f t="shared" ref="Z82:AA82" si="759">-Z80</f>
        <v>0</v>
      </c>
      <c r="AA82" s="25">
        <f t="shared" si="759"/>
        <v>0</v>
      </c>
      <c r="AB82" s="25">
        <f t="shared" ref="AB82:AC82" si="760">-AB80</f>
        <v>0</v>
      </c>
      <c r="AC82" s="25">
        <f t="shared" si="760"/>
        <v>0</v>
      </c>
      <c r="AD82" s="25">
        <f t="shared" ref="AD82:AE82" si="761">-AD80</f>
        <v>0</v>
      </c>
      <c r="AE82" s="25">
        <f t="shared" si="761"/>
        <v>0</v>
      </c>
      <c r="AF82" s="25">
        <f t="shared" ref="AF82:AG82" si="762">-AF80</f>
        <v>0</v>
      </c>
      <c r="AG82" s="25">
        <f t="shared" si="762"/>
        <v>0</v>
      </c>
      <c r="AH82" s="25">
        <f t="shared" ref="AH82:AI82" si="763">-AH80</f>
        <v>0</v>
      </c>
      <c r="AI82" s="25">
        <f t="shared" si="763"/>
        <v>0</v>
      </c>
      <c r="AJ82" s="26">
        <f t="shared" ref="AJ82" si="764">-AJ80</f>
        <v>0</v>
      </c>
      <c r="AK82" s="25">
        <f t="shared" ref="AK82" si="765">-AK80</f>
        <v>0</v>
      </c>
      <c r="AL82" s="25">
        <f t="shared" ref="AL82:AM82" si="766">-AL80</f>
        <v>0</v>
      </c>
      <c r="AM82" s="25">
        <f t="shared" si="766"/>
        <v>0</v>
      </c>
      <c r="AN82" s="25">
        <f t="shared" ref="AN82:AO82" si="767">-AN80</f>
        <v>0</v>
      </c>
      <c r="AO82" s="25">
        <f t="shared" si="767"/>
        <v>0</v>
      </c>
      <c r="AP82" s="25">
        <f t="shared" ref="AP82:AQ82" si="768">-AP80</f>
        <v>0</v>
      </c>
      <c r="AQ82" s="25">
        <f t="shared" si="768"/>
        <v>0</v>
      </c>
      <c r="AR82" s="25">
        <f t="shared" ref="AR82:AS82" si="769">-AR80</f>
        <v>0</v>
      </c>
      <c r="AS82" s="25">
        <f t="shared" si="769"/>
        <v>0</v>
      </c>
      <c r="AU82" s="21">
        <f>-AU80</f>
        <v>0</v>
      </c>
      <c r="AV82" s="19">
        <f>-AV80</f>
        <v>0</v>
      </c>
      <c r="AW82" s="19">
        <f>-AW80</f>
        <v>0</v>
      </c>
      <c r="AX82" s="19">
        <f>-AX80</f>
        <v>0</v>
      </c>
      <c r="AY82" s="19">
        <f>-AY80</f>
        <v>0</v>
      </c>
      <c r="AZ82" s="19">
        <f>D82+E82</f>
        <v>0</v>
      </c>
      <c r="BA82" s="19">
        <f>F82+G82</f>
        <v>0</v>
      </c>
      <c r="BB82" s="19">
        <f>H82+I82</f>
        <v>0</v>
      </c>
      <c r="BC82" s="19">
        <f>J82+K82</f>
        <v>0</v>
      </c>
      <c r="BD82" s="19">
        <f>L82+M82</f>
        <v>0</v>
      </c>
      <c r="BE82" s="19">
        <f>N82+O82</f>
        <v>0</v>
      </c>
      <c r="BF82" s="19">
        <f>P82+Q82</f>
        <v>0</v>
      </c>
      <c r="BG82" s="19">
        <f>R82+S82</f>
        <v>0</v>
      </c>
      <c r="BH82" s="19">
        <f>T82+U82</f>
        <v>0</v>
      </c>
      <c r="BI82" s="19">
        <f>V82+W82</f>
        <v>0</v>
      </c>
      <c r="BJ82" s="19">
        <f>X82+Y82</f>
        <v>0</v>
      </c>
      <c r="BK82" s="19">
        <f>Z82+AA82</f>
        <v>0</v>
      </c>
      <c r="BL82" s="19">
        <f>AB82+AC82</f>
        <v>0</v>
      </c>
      <c r="BM82" s="19">
        <f>AD82+AE82</f>
        <v>0</v>
      </c>
      <c r="BN82" s="19">
        <f>AF82+AG82</f>
        <v>0</v>
      </c>
      <c r="BO82" s="20">
        <f>AH82+AI82</f>
        <v>0</v>
      </c>
      <c r="BP82" s="19">
        <f>AJ82+AK82</f>
        <v>0</v>
      </c>
      <c r="BQ82" s="19">
        <f>AL82+AM82</f>
        <v>0</v>
      </c>
      <c r="BR82" s="19">
        <f>AN82+AO82</f>
        <v>0</v>
      </c>
      <c r="BS82" s="19">
        <f>AP82+AQ82</f>
        <v>0</v>
      </c>
      <c r="BT82" s="19">
        <f>AR82+AS82</f>
        <v>0</v>
      </c>
    </row>
    <row r="83" spans="1:72" ht="12" customHeight="1" outlineLevel="1">
      <c r="A83" s="91" t="s">
        <v>530</v>
      </c>
      <c r="B83" s="1" t="s">
        <v>126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J83" s="21">
        <v>0</v>
      </c>
      <c r="K83" s="21">
        <v>0</v>
      </c>
      <c r="L83" s="21">
        <v>0</v>
      </c>
      <c r="M83" s="21">
        <v>0</v>
      </c>
      <c r="N83" s="62">
        <v>0</v>
      </c>
      <c r="O83" s="62">
        <v>0</v>
      </c>
      <c r="P83" s="62">
        <v>0</v>
      </c>
      <c r="Q83" s="62">
        <v>0</v>
      </c>
      <c r="R83" s="62">
        <v>0</v>
      </c>
      <c r="S83" s="62">
        <v>0</v>
      </c>
      <c r="T83" s="62">
        <v>0</v>
      </c>
      <c r="U83" s="62">
        <v>0</v>
      </c>
      <c r="V83" s="62">
        <v>0</v>
      </c>
      <c r="W83" s="62">
        <v>0</v>
      </c>
      <c r="X83" s="62">
        <v>0</v>
      </c>
      <c r="Y83" s="62">
        <v>0</v>
      </c>
      <c r="Z83" s="62">
        <v>0</v>
      </c>
      <c r="AA83" s="62">
        <v>0</v>
      </c>
      <c r="AB83" s="62">
        <v>0</v>
      </c>
      <c r="AC83" s="62">
        <v>0</v>
      </c>
      <c r="AD83" s="62">
        <v>0</v>
      </c>
      <c r="AE83" s="62">
        <v>0</v>
      </c>
      <c r="AF83" s="62">
        <v>0</v>
      </c>
      <c r="AG83" s="62">
        <v>0</v>
      </c>
      <c r="AH83" s="62">
        <v>0</v>
      </c>
      <c r="AI83" s="62">
        <v>0</v>
      </c>
      <c r="AJ83" s="57">
        <v>0</v>
      </c>
      <c r="AK83" s="58">
        <v>0</v>
      </c>
      <c r="AL83" s="58">
        <v>0</v>
      </c>
      <c r="AM83" s="58">
        <v>0</v>
      </c>
      <c r="AN83" s="58">
        <v>0</v>
      </c>
      <c r="AO83" s="58">
        <v>0</v>
      </c>
      <c r="AP83" s="58">
        <v>0</v>
      </c>
      <c r="AQ83" s="58">
        <v>0</v>
      </c>
      <c r="AR83" s="58">
        <v>0</v>
      </c>
      <c r="AS83" s="58">
        <v>0</v>
      </c>
      <c r="AU83" s="21">
        <v>0</v>
      </c>
      <c r="AV83" s="21">
        <v>0</v>
      </c>
      <c r="AW83" s="21">
        <v>0</v>
      </c>
      <c r="AX83" s="21">
        <v>0</v>
      </c>
      <c r="AY83" s="21">
        <v>0</v>
      </c>
      <c r="AZ83" s="19">
        <f>D83+E83</f>
        <v>0</v>
      </c>
      <c r="BA83" s="19">
        <f>F83+G83</f>
        <v>0</v>
      </c>
      <c r="BB83" s="19">
        <f>H83+I83</f>
        <v>0</v>
      </c>
      <c r="BC83" s="19">
        <f>J83+K83</f>
        <v>0</v>
      </c>
      <c r="BD83" s="19">
        <f>L83+M83</f>
        <v>0</v>
      </c>
      <c r="BE83" s="19">
        <f>N83+O83</f>
        <v>0</v>
      </c>
      <c r="BF83" s="19">
        <f>P83+Q83</f>
        <v>0</v>
      </c>
      <c r="BG83" s="19">
        <f>R83+S83</f>
        <v>0</v>
      </c>
      <c r="BH83" s="19">
        <f>T83+U83</f>
        <v>0</v>
      </c>
      <c r="BI83" s="19">
        <f>V83+W83</f>
        <v>0</v>
      </c>
      <c r="BJ83" s="19">
        <f>X83+Y83</f>
        <v>0</v>
      </c>
      <c r="BK83" s="19">
        <f>Z83+AA83</f>
        <v>0</v>
      </c>
      <c r="BL83" s="19">
        <f>AB83+AC83</f>
        <v>0</v>
      </c>
      <c r="BM83" s="19">
        <f>AD83+AE83</f>
        <v>0</v>
      </c>
      <c r="BN83" s="19">
        <f>AF83+AG83</f>
        <v>0</v>
      </c>
      <c r="BO83" s="20">
        <f>AH83+AI83</f>
        <v>0</v>
      </c>
      <c r="BP83" s="19">
        <f>AJ83+AK83</f>
        <v>0</v>
      </c>
      <c r="BQ83" s="19">
        <f>AL83+AM83</f>
        <v>0</v>
      </c>
      <c r="BR83" s="19">
        <f>AN83+AO83</f>
        <v>0</v>
      </c>
      <c r="BS83" s="19">
        <f>AP83+AQ83</f>
        <v>0</v>
      </c>
      <c r="BT83" s="19">
        <f>AR83+AS83</f>
        <v>0</v>
      </c>
    </row>
    <row r="84" spans="1:72" s="9" customFormat="1" outlineLevel="1">
      <c r="A84" s="91" t="s">
        <v>531</v>
      </c>
      <c r="B84" s="9" t="s">
        <v>127</v>
      </c>
      <c r="D84" s="17">
        <f t="shared" ref="D84:I84" si="770">D81+D82+D83</f>
        <v>479</v>
      </c>
      <c r="E84" s="17">
        <f t="shared" si="770"/>
        <v>571</v>
      </c>
      <c r="F84" s="17">
        <f t="shared" si="770"/>
        <v>403</v>
      </c>
      <c r="G84" s="17">
        <f t="shared" si="770"/>
        <v>553</v>
      </c>
      <c r="H84" s="17">
        <f t="shared" si="770"/>
        <v>305</v>
      </c>
      <c r="I84" s="17">
        <f t="shared" si="770"/>
        <v>425</v>
      </c>
      <c r="J84" s="17">
        <f>J81+J82+J83</f>
        <v>361</v>
      </c>
      <c r="K84" s="17">
        <f>K81+K82+K83</f>
        <v>490</v>
      </c>
      <c r="L84" s="17">
        <f>L81+L82+L83</f>
        <v>501</v>
      </c>
      <c r="M84" s="17">
        <f t="shared" ref="M84" si="771">M81+M82+M83</f>
        <v>764</v>
      </c>
      <c r="N84" s="17">
        <f t="shared" ref="N84:O84" si="772">N81+N82+N83</f>
        <v>678</v>
      </c>
      <c r="O84" s="17">
        <f t="shared" si="772"/>
        <v>926</v>
      </c>
      <c r="P84" s="17">
        <f t="shared" ref="P84:Q84" si="773">P81+P82+P83</f>
        <v>1070</v>
      </c>
      <c r="Q84" s="17">
        <f t="shared" si="773"/>
        <v>993</v>
      </c>
      <c r="R84" s="17">
        <f t="shared" ref="R84:S84" si="774">R81+R82+R83</f>
        <v>1050</v>
      </c>
      <c r="S84" s="17">
        <f t="shared" si="774"/>
        <v>1167</v>
      </c>
      <c r="T84" s="17">
        <f t="shared" ref="T84:U84" si="775">T81+T82+T83</f>
        <v>1248</v>
      </c>
      <c r="U84" s="17">
        <f t="shared" si="775"/>
        <v>1309</v>
      </c>
      <c r="V84" s="17">
        <f t="shared" ref="V84:W84" si="776">V81+V82+V83</f>
        <v>1310</v>
      </c>
      <c r="W84" s="17">
        <f t="shared" si="776"/>
        <v>1672</v>
      </c>
      <c r="X84" s="17">
        <f t="shared" ref="X84:Y84" si="777">X81+X82+X83</f>
        <v>1457</v>
      </c>
      <c r="Y84" s="17">
        <f t="shared" si="777"/>
        <v>1274</v>
      </c>
      <c r="Z84" s="17">
        <f t="shared" ref="Z84:AA84" si="778">Z81+Z82+Z83</f>
        <v>985</v>
      </c>
      <c r="AA84" s="17">
        <f t="shared" si="778"/>
        <v>2030</v>
      </c>
      <c r="AB84" s="17">
        <f t="shared" ref="AB84:AC84" si="779">AB81+AB82+AB83</f>
        <v>2043</v>
      </c>
      <c r="AC84" s="17">
        <f t="shared" si="779"/>
        <v>2663</v>
      </c>
      <c r="AD84" s="17">
        <f t="shared" ref="AD84:AE84" si="780">AD81+AD82+AD83</f>
        <v>2305</v>
      </c>
      <c r="AE84" s="17">
        <f t="shared" si="780"/>
        <v>2877</v>
      </c>
      <c r="AF84" s="17">
        <f t="shared" ref="AF84:AG84" si="781">AF81+AF82+AF83</f>
        <v>1415</v>
      </c>
      <c r="AG84" s="17">
        <f t="shared" si="781"/>
        <v>2107</v>
      </c>
      <c r="AH84" s="17">
        <f t="shared" ref="AH84:AJ84" si="782">AH81+AH82+AH83</f>
        <v>1612</v>
      </c>
      <c r="AI84" s="17">
        <f t="shared" si="782"/>
        <v>2103</v>
      </c>
      <c r="AJ84" s="18">
        <f t="shared" si="782"/>
        <v>1655</v>
      </c>
      <c r="AK84" s="17">
        <f t="shared" ref="AK84" si="783">AK81+AK82+AK83</f>
        <v>2499.8880561614696</v>
      </c>
      <c r="AL84" s="17">
        <f t="shared" ref="AL84:AM84" si="784">AL81+AL82+AL83</f>
        <v>2129.0899562069253</v>
      </c>
      <c r="AM84" s="17">
        <f t="shared" si="784"/>
        <v>2461.2437233183127</v>
      </c>
      <c r="AN84" s="17">
        <f t="shared" ref="AN84:AO84" si="785">AN81+AN82+AN83</f>
        <v>2321.5542131990633</v>
      </c>
      <c r="AO84" s="17">
        <f t="shared" si="785"/>
        <v>2753.611305163</v>
      </c>
      <c r="AP84" s="17">
        <f t="shared" ref="AP84:AQ84" si="786">AP81+AP82+AP83</f>
        <v>2484.7365758583487</v>
      </c>
      <c r="AQ84" s="17">
        <f t="shared" si="786"/>
        <v>2902.7994681305609</v>
      </c>
      <c r="AR84" s="17">
        <f t="shared" ref="AR84:AS84" si="787">AR81+AR82+AR83</f>
        <v>2650.9191845037622</v>
      </c>
      <c r="AS84" s="17">
        <f t="shared" si="787"/>
        <v>3010.9542581523465</v>
      </c>
      <c r="AU84" s="17">
        <f t="shared" ref="AU84:AX84" si="788">AU81+AU82+AU83</f>
        <v>812</v>
      </c>
      <c r="AV84" s="17">
        <f t="shared" si="788"/>
        <v>916</v>
      </c>
      <c r="AW84" s="17">
        <f t="shared" si="788"/>
        <v>1463</v>
      </c>
      <c r="AX84" s="17">
        <f t="shared" si="788"/>
        <v>1803</v>
      </c>
      <c r="AY84" s="17">
        <f t="shared" ref="AY84:BH84" si="789">AY81+AY82+AY83</f>
        <v>871</v>
      </c>
      <c r="AZ84" s="17">
        <f t="shared" si="789"/>
        <v>1050</v>
      </c>
      <c r="BA84" s="17">
        <f t="shared" si="789"/>
        <v>956</v>
      </c>
      <c r="BB84" s="17">
        <f t="shared" si="789"/>
        <v>730</v>
      </c>
      <c r="BC84" s="17">
        <f t="shared" si="789"/>
        <v>851</v>
      </c>
      <c r="BD84" s="17">
        <f t="shared" si="789"/>
        <v>1265</v>
      </c>
      <c r="BE84" s="17">
        <f t="shared" si="789"/>
        <v>1604</v>
      </c>
      <c r="BF84" s="17">
        <f t="shared" si="789"/>
        <v>2063</v>
      </c>
      <c r="BG84" s="17">
        <f t="shared" si="789"/>
        <v>2217</v>
      </c>
      <c r="BH84" s="17">
        <f t="shared" si="789"/>
        <v>2557</v>
      </c>
      <c r="BI84" s="17">
        <f t="shared" ref="BI84" si="790">BI81+BI82+BI83</f>
        <v>2982</v>
      </c>
      <c r="BJ84" s="17">
        <f t="shared" ref="BJ84:BO84" si="791">BJ81+BJ82+BJ83</f>
        <v>2731</v>
      </c>
      <c r="BK84" s="17">
        <f t="shared" si="791"/>
        <v>3015</v>
      </c>
      <c r="BL84" s="17">
        <f t="shared" si="791"/>
        <v>4706</v>
      </c>
      <c r="BM84" s="17">
        <f t="shared" si="791"/>
        <v>5182</v>
      </c>
      <c r="BN84" s="17">
        <f t="shared" si="791"/>
        <v>3522</v>
      </c>
      <c r="BO84" s="18">
        <f t="shared" si="791"/>
        <v>3715</v>
      </c>
      <c r="BP84" s="17">
        <f t="shared" ref="BP84:BQ84" si="792">BP81+BP82+BP83</f>
        <v>4154.8880561614706</v>
      </c>
      <c r="BQ84" s="17">
        <f t="shared" si="792"/>
        <v>4590.333679525238</v>
      </c>
      <c r="BR84" s="17">
        <f t="shared" ref="BR84:BS84" si="793">BR81+BR82+BR83</f>
        <v>5075.1655183620624</v>
      </c>
      <c r="BS84" s="17">
        <f t="shared" si="793"/>
        <v>5387.5360439889146</v>
      </c>
      <c r="BT84" s="17">
        <f>BT81+BT82+BT83</f>
        <v>5661.8734426561086</v>
      </c>
    </row>
    <row r="85" spans="1:72" ht="12" customHeight="1" outlineLevel="2">
      <c r="A85" s="91" t="s">
        <v>532</v>
      </c>
      <c r="B85" s="1" t="s">
        <v>129</v>
      </c>
      <c r="D85" s="21">
        <v>-42</v>
      </c>
      <c r="E85" s="21">
        <v>-200</v>
      </c>
      <c r="F85" s="21">
        <v>-284</v>
      </c>
      <c r="G85" s="21">
        <v>-219</v>
      </c>
      <c r="H85" s="21">
        <v>333</v>
      </c>
      <c r="I85" s="21">
        <f>40-H85</f>
        <v>-293</v>
      </c>
      <c r="J85" s="21">
        <v>-28</v>
      </c>
      <c r="K85" s="21">
        <f>-122-J85</f>
        <v>-94</v>
      </c>
      <c r="L85" s="21">
        <v>599</v>
      </c>
      <c r="M85" s="21">
        <v>13</v>
      </c>
      <c r="N85" s="62">
        <v>250</v>
      </c>
      <c r="O85" s="62">
        <f>877-N85</f>
        <v>627</v>
      </c>
      <c r="P85" s="62">
        <v>474</v>
      </c>
      <c r="Q85" s="62">
        <f>-188-P85</f>
        <v>-662</v>
      </c>
      <c r="R85" s="62">
        <v>-80</v>
      </c>
      <c r="S85" s="62">
        <f>-130-R85</f>
        <v>-50</v>
      </c>
      <c r="T85" s="62">
        <v>-10</v>
      </c>
      <c r="U85" s="62">
        <f>263-T85</f>
        <v>273</v>
      </c>
      <c r="V85" s="62">
        <v>308</v>
      </c>
      <c r="W85" s="62">
        <f>422-V85</f>
        <v>114</v>
      </c>
      <c r="X85" s="62">
        <v>338</v>
      </c>
      <c r="Y85" s="62">
        <f>1230-X85</f>
        <v>892</v>
      </c>
      <c r="Z85" s="62">
        <v>-1319</v>
      </c>
      <c r="AA85" s="62">
        <f>-1761-Z85</f>
        <v>-442</v>
      </c>
      <c r="AB85" s="62">
        <v>441</v>
      </c>
      <c r="AC85" s="62">
        <f>0-AB85</f>
        <v>-441</v>
      </c>
      <c r="AD85" s="62">
        <v>1719</v>
      </c>
      <c r="AE85" s="62">
        <f>1338-AD85</f>
        <v>-381</v>
      </c>
      <c r="AF85" s="62">
        <v>572</v>
      </c>
      <c r="AG85" s="62">
        <f>447-AF85</f>
        <v>-125</v>
      </c>
      <c r="AH85" s="62">
        <v>-794</v>
      </c>
      <c r="AI85" s="62">
        <f>-834-AH85</f>
        <v>-40</v>
      </c>
      <c r="AJ85" s="57">
        <v>-832</v>
      </c>
      <c r="AK85" s="58">
        <v>0</v>
      </c>
      <c r="AL85" s="58">
        <v>0</v>
      </c>
      <c r="AM85" s="58">
        <v>0</v>
      </c>
      <c r="AN85" s="58">
        <v>0</v>
      </c>
      <c r="AO85" s="58">
        <v>0</v>
      </c>
      <c r="AP85" s="58">
        <v>0</v>
      </c>
      <c r="AQ85" s="58">
        <v>0</v>
      </c>
      <c r="AR85" s="58">
        <v>0</v>
      </c>
      <c r="AS85" s="58">
        <v>0</v>
      </c>
      <c r="AU85" s="21">
        <v>-39</v>
      </c>
      <c r="AV85" s="21">
        <v>0</v>
      </c>
      <c r="AW85" s="21">
        <v>-3</v>
      </c>
      <c r="AX85" s="21">
        <v>-109</v>
      </c>
      <c r="AY85" s="21">
        <v>21</v>
      </c>
      <c r="AZ85" s="19">
        <f>D85+E85</f>
        <v>-242</v>
      </c>
      <c r="BA85" s="19">
        <f>F85+G85</f>
        <v>-503</v>
      </c>
      <c r="BB85" s="19">
        <f>H85+I85</f>
        <v>40</v>
      </c>
      <c r="BC85" s="19">
        <f>J85+K85</f>
        <v>-122</v>
      </c>
      <c r="BD85" s="19">
        <f>L85+M85</f>
        <v>612</v>
      </c>
      <c r="BE85" s="19">
        <f>N85+O85</f>
        <v>877</v>
      </c>
      <c r="BF85" s="19">
        <f>P85+Q85</f>
        <v>-188</v>
      </c>
      <c r="BG85" s="19">
        <f>R85+S85</f>
        <v>-130</v>
      </c>
      <c r="BH85" s="19">
        <f>T85+U85</f>
        <v>263</v>
      </c>
      <c r="BI85" s="19">
        <f>V85+W85</f>
        <v>422</v>
      </c>
      <c r="BJ85" s="19">
        <f>X85+Y85</f>
        <v>1230</v>
      </c>
      <c r="BK85" s="19">
        <f>Z85+AA85</f>
        <v>-1761</v>
      </c>
      <c r="BL85" s="19">
        <f>AB85+AC85</f>
        <v>0</v>
      </c>
      <c r="BM85" s="19">
        <f>AD85+AE85</f>
        <v>1338</v>
      </c>
      <c r="BN85" s="19">
        <f>AF85+AG85</f>
        <v>447</v>
      </c>
      <c r="BO85" s="20">
        <f>AH85+AI85</f>
        <v>-834</v>
      </c>
      <c r="BP85" s="19">
        <f>AJ85+AK85</f>
        <v>-832</v>
      </c>
      <c r="BQ85" s="19">
        <f>AL85+AM85</f>
        <v>0</v>
      </c>
      <c r="BR85" s="19">
        <f>AN85+AO85</f>
        <v>0</v>
      </c>
      <c r="BS85" s="19">
        <f>AP85+AQ85</f>
        <v>0</v>
      </c>
      <c r="BT85" s="19">
        <f>AR85+AS85</f>
        <v>0</v>
      </c>
    </row>
    <row r="86" spans="1:72" ht="12" customHeight="1" outlineLevel="2">
      <c r="A86" s="91" t="s">
        <v>533</v>
      </c>
      <c r="B86" s="1" t="s">
        <v>130</v>
      </c>
      <c r="D86" s="21">
        <f>11220-SUM(D84:D85,D87,D95:D97,D99:D100,D93)</f>
        <v>45</v>
      </c>
      <c r="E86" s="21">
        <f>11769-SUM(E84:E85,E87,E95:E97,E99:E100,E93)</f>
        <v>156</v>
      </c>
      <c r="F86" s="21">
        <f>11593-SUM(F84:F85,F87,F95:F97,F99:F100,F93)</f>
        <v>106</v>
      </c>
      <c r="G86" s="21">
        <f>11932-SUM(G84:G85,G87,G95:G97,G99:G100,G93)</f>
        <v>142</v>
      </c>
      <c r="H86" s="21">
        <f>11764-SUM(H84:H85,H87,H95:H97,H99:H100,H93)</f>
        <v>91</v>
      </c>
      <c r="I86" s="21">
        <f>11732-SUM(I84:I85,I87,I95:I97,I99:I100,I93)</f>
        <v>149</v>
      </c>
      <c r="J86" s="21">
        <f>11499-SUM(J84:J85,J87,J95:J97,J99:J100,J93)</f>
        <v>119</v>
      </c>
      <c r="K86" s="21">
        <f>11955-SUM(K84:K85,K87,K95:K97,K99:K100,K93)</f>
        <v>138</v>
      </c>
      <c r="L86" s="21">
        <f>12719-SUM(L84:L85,L87,L95:L97,L99:L100,L93)</f>
        <v>127</v>
      </c>
      <c r="M86" s="21">
        <f>11914-SUM(M84:M85,M87,M95:M97,M99:M100,M93)</f>
        <v>139</v>
      </c>
      <c r="N86" s="62">
        <f>12216-SUM(N84:N85,N87,N95:N97,N99:N100,N93)</f>
        <v>165</v>
      </c>
      <c r="O86" s="62">
        <f>14396-SUM(O84:O85,O87,O95:O97,O99:O100,O93)</f>
        <v>1217</v>
      </c>
      <c r="P86" s="62">
        <f>15217-SUM(P84:P85,P87,P95:P97,P99:P100,P93)</f>
        <v>138</v>
      </c>
      <c r="Q86" s="62">
        <f>15664-SUM(Q84:Q85,Q87,Q95:Q97,Q99:Q100,Q93)</f>
        <v>250</v>
      </c>
      <c r="R86" s="62">
        <f>15463-SUM(R84:R85,R87,R95:R97,R99:R100,R93)</f>
        <v>233</v>
      </c>
      <c r="S86" s="62">
        <f>17270-SUM(S84:S85,S87,S95:S97,S99:S100,S93)</f>
        <v>168</v>
      </c>
      <c r="T86" s="62">
        <f>17099-SUM(T84:T85,T87,T95:T97,T99:T100,T93)</f>
        <v>162</v>
      </c>
      <c r="U86" s="62">
        <f>18180-SUM(U84:U85,U87,U95:U97,U99:U100,U93)</f>
        <v>156</v>
      </c>
      <c r="V86" s="62">
        <f>17159-SUM(V84:V85,V87,V95:V97,V99:V100,V93)</f>
        <v>128</v>
      </c>
      <c r="W86" s="62">
        <f>18364-SUM(W84:W85,W87,W95:W97,W99:W100,W93)</f>
        <v>265</v>
      </c>
      <c r="X86" s="62">
        <f>20312-SUM(X84:X85,X87,X95:X97,X99:X100,X93)</f>
        <v>222</v>
      </c>
      <c r="Y86" s="62">
        <f>21784-SUM(Y84:Y85,Y87,Y95:Y97,Y99:Y100,Y93)</f>
        <v>339</v>
      </c>
      <c r="Z86" s="62">
        <f>20789-SUM(Z84:Z85,Z87,Z95:Z97,Z99:Z100,Z93)</f>
        <v>-373</v>
      </c>
      <c r="AA86" s="62">
        <f>22351-SUM(AA84:AA85,AA87,AA95:AA97,AA99:AA100,AA93)</f>
        <v>309</v>
      </c>
      <c r="AB86" s="62">
        <f>24414-SUM(AB84:AB85,AB87,AB95:AB97,AB99:AB100,AB93)</f>
        <v>-301</v>
      </c>
      <c r="AC86" s="62">
        <f>28806-SUM(AC84:AC85,AC87,AC95:AC97,AC99:AC100,AC93)</f>
        <v>408</v>
      </c>
      <c r="AD86" s="62">
        <f>31687-SUM(AD84:AD85,AD87,AD95:AD97,AD99:AD100,AD93)</f>
        <v>-584</v>
      </c>
      <c r="AE86" s="62">
        <f>34106-SUM(AE84:AE85,AE87,AE95:AE97,AE99:AE100,AE93)</f>
        <v>406</v>
      </c>
      <c r="AF86" s="62">
        <f>33138-SUM(AF84:AF85,AF87,AF95:AF97,AF99:AF100,AF93)</f>
        <v>-659</v>
      </c>
      <c r="AG86" s="62">
        <f>33996-SUM(AG84:AG85,AG87,AG95:AG97,AG99:AG100,AG93)</f>
        <v>427</v>
      </c>
      <c r="AH86" s="62">
        <f>32834-SUM(AH84:AH85,AH87,AH95:AH97,AH99:AH100,AH93)</f>
        <v>-205</v>
      </c>
      <c r="AI86" s="62">
        <f>35789-SUM(AI84:AI85,AI87,AI95:AI97,AI99:AI100,AI93)</f>
        <v>1989</v>
      </c>
      <c r="AJ86" s="57">
        <f>35194-SUM(AJ84:AJ85,AJ87,AJ95:AJ97,AJ99:AJ100,AJ93)</f>
        <v>-196</v>
      </c>
      <c r="AK86" s="58">
        <v>0</v>
      </c>
      <c r="AL86" s="58">
        <v>0</v>
      </c>
      <c r="AM86" s="58">
        <v>0</v>
      </c>
      <c r="AN86" s="58">
        <v>0</v>
      </c>
      <c r="AO86" s="58">
        <v>0</v>
      </c>
      <c r="AP86" s="58">
        <v>0</v>
      </c>
      <c r="AQ86" s="58">
        <v>0</v>
      </c>
      <c r="AR86" s="58">
        <v>0</v>
      </c>
      <c r="AS86" s="58">
        <v>0</v>
      </c>
      <c r="AU86" s="21">
        <f>4425-SUM(AU84:AU85,AU87,AU95:AU97,AU99:AU100,AU93)</f>
        <v>-1231</v>
      </c>
      <c r="AV86" s="21">
        <f>5337-SUM(AV84:AV85,AV87,AV95:AV97,AV99:AV100,AV93)</f>
        <v>185</v>
      </c>
      <c r="AW86" s="21">
        <f>7519-SUM(AW84:AW85,AW87,AW95:AW97,AW99:AW100,AW93)</f>
        <v>73</v>
      </c>
      <c r="AX86" s="21">
        <f>10061-SUM(AX84:AX85,AX87,AX95:AX97,AX99:AX100,AX93)</f>
        <v>270</v>
      </c>
      <c r="AY86" s="21">
        <f>9560-SUM(AY84:AY85,AY87,AY95:AY97,AY99:AY100,AY93)</f>
        <v>75</v>
      </c>
      <c r="AZ86" s="19">
        <f>D86+E86</f>
        <v>201</v>
      </c>
      <c r="BA86" s="19">
        <f>F86+G86</f>
        <v>248</v>
      </c>
      <c r="BB86" s="19">
        <f>H86+I86</f>
        <v>240</v>
      </c>
      <c r="BC86" s="19">
        <f>J86+K86</f>
        <v>257</v>
      </c>
      <c r="BD86" s="19">
        <f>L86+M86</f>
        <v>266</v>
      </c>
      <c r="BE86" s="19">
        <f>N86+O86</f>
        <v>1382</v>
      </c>
      <c r="BF86" s="19">
        <f>P86+Q86</f>
        <v>388</v>
      </c>
      <c r="BG86" s="19">
        <f>R86+S86</f>
        <v>401</v>
      </c>
      <c r="BH86" s="19">
        <f>T86+U86</f>
        <v>318</v>
      </c>
      <c r="BI86" s="19">
        <f>V86+W86</f>
        <v>393</v>
      </c>
      <c r="BJ86" s="19">
        <f>X86+Y86</f>
        <v>561</v>
      </c>
      <c r="BK86" s="19">
        <f>Z86+AA86</f>
        <v>-64</v>
      </c>
      <c r="BL86" s="19">
        <f>AB86+AC86</f>
        <v>107</v>
      </c>
      <c r="BM86" s="19">
        <f>AD86+AE86</f>
        <v>-178</v>
      </c>
      <c r="BN86" s="19">
        <f>AF86+AG86</f>
        <v>-232</v>
      </c>
      <c r="BO86" s="20">
        <f>AH86+AI86</f>
        <v>1784</v>
      </c>
      <c r="BP86" s="19">
        <f>AJ86+AK86</f>
        <v>-196</v>
      </c>
      <c r="BQ86" s="19">
        <f>AL86+AM86</f>
        <v>0</v>
      </c>
      <c r="BR86" s="19">
        <f>AN86+AO86</f>
        <v>0</v>
      </c>
      <c r="BS86" s="19">
        <f>AP86+AQ86</f>
        <v>0</v>
      </c>
      <c r="BT86" s="19">
        <f>AR86+AS86</f>
        <v>0</v>
      </c>
    </row>
    <row r="87" spans="1:72" ht="12" customHeight="1" outlineLevel="2">
      <c r="A87" s="91" t="s">
        <v>534</v>
      </c>
      <c r="B87" s="1" t="s">
        <v>131</v>
      </c>
      <c r="D87" s="21">
        <f>181+137-2</f>
        <v>316</v>
      </c>
      <c r="E87" s="21">
        <f>-52+41+38</f>
        <v>27</v>
      </c>
      <c r="F87" s="21">
        <f>108+33+21</f>
        <v>162</v>
      </c>
      <c r="G87" s="21">
        <f>148-31+6</f>
        <v>123</v>
      </c>
      <c r="H87" s="21">
        <f>-180+2-4-1</f>
        <v>-183</v>
      </c>
      <c r="I87" s="21">
        <f>-82-12-10-1</f>
        <v>-105</v>
      </c>
      <c r="J87" s="21">
        <f>79-14+16+1</f>
        <v>82</v>
      </c>
      <c r="K87" s="21">
        <f>193-2+18-J87+4</f>
        <v>131</v>
      </c>
      <c r="L87" s="21">
        <f>207+5+11+0</f>
        <v>223</v>
      </c>
      <c r="M87" s="21">
        <f>-135+16+3</f>
        <v>-116</v>
      </c>
      <c r="N87" s="21">
        <f>-22-21-3</f>
        <v>-46</v>
      </c>
      <c r="O87" s="21">
        <f>(58-(-22))+(-56-(-21))+(-14--3)</f>
        <v>34</v>
      </c>
      <c r="P87" s="62">
        <f>60+22+1</f>
        <v>83</v>
      </c>
      <c r="Q87" s="62">
        <f>20-17-P87</f>
        <v>-80</v>
      </c>
      <c r="R87" s="62">
        <f>-78-70-2</f>
        <v>-150</v>
      </c>
      <c r="S87" s="62">
        <f>107+32-301+15-R87</f>
        <v>3</v>
      </c>
      <c r="T87" s="62">
        <f>-86+7-238+36</f>
        <v>-281</v>
      </c>
      <c r="U87" s="62">
        <f>-129+16-263+54-T87</f>
        <v>-41</v>
      </c>
      <c r="V87" s="62">
        <f>-17+6+0-0+11</f>
        <v>0</v>
      </c>
      <c r="W87" s="62">
        <f>-114+52+0-0-58-V87</f>
        <v>-120</v>
      </c>
      <c r="X87" s="62">
        <f>-17+6+0-0+11</f>
        <v>0</v>
      </c>
      <c r="Y87" s="62">
        <f>-108+27-29+42-6-101-X87</f>
        <v>-175</v>
      </c>
      <c r="Z87" s="62">
        <f>174-60-64+8-64</f>
        <v>-6</v>
      </c>
      <c r="AA87" s="62">
        <f>233-127-13+8-0-22-Z87</f>
        <v>85</v>
      </c>
      <c r="AB87" s="62">
        <f>3-2-24+17-8</f>
        <v>-14</v>
      </c>
      <c r="AC87" s="62">
        <f>-25+7-39+25-0+43-AB87</f>
        <v>25</v>
      </c>
      <c r="AD87" s="62">
        <f>-51+25+16+95+105</f>
        <v>190</v>
      </c>
      <c r="AE87" s="62">
        <f>-15+29-14+124-0+138-AD87</f>
        <v>72</v>
      </c>
      <c r="AF87" s="62">
        <f>-37+8-45-54+26+6-2</f>
        <v>-98</v>
      </c>
      <c r="AG87" s="62">
        <f>-8-24-41+42-55+13+22-AF87</f>
        <v>47</v>
      </c>
      <c r="AH87" s="62">
        <f>-3-25+59+32-14+6-16</f>
        <v>39</v>
      </c>
      <c r="AI87" s="62">
        <f>-27-11+69+26+9+12-47-AH87</f>
        <v>-8</v>
      </c>
      <c r="AJ87" s="57">
        <f>-4-16+50-2+2+6+22</f>
        <v>58</v>
      </c>
      <c r="AK87" s="58">
        <v>0</v>
      </c>
      <c r="AL87" s="58">
        <v>0</v>
      </c>
      <c r="AM87" s="58">
        <v>0</v>
      </c>
      <c r="AN87" s="58">
        <v>0</v>
      </c>
      <c r="AO87" s="58">
        <v>0</v>
      </c>
      <c r="AP87" s="58">
        <v>0</v>
      </c>
      <c r="AQ87" s="58">
        <v>0</v>
      </c>
      <c r="AR87" s="58">
        <v>0</v>
      </c>
      <c r="AS87" s="58">
        <v>0</v>
      </c>
      <c r="AU87" s="21">
        <f>0+12+0</f>
        <v>12</v>
      </c>
      <c r="AV87" s="21">
        <f>84-2-2</f>
        <v>80</v>
      </c>
      <c r="AW87" s="21">
        <f>77-12+8</f>
        <v>73</v>
      </c>
      <c r="AX87" s="21">
        <f>-5+24-6</f>
        <v>13</v>
      </c>
      <c r="AY87" s="21">
        <f>-226-251-58</f>
        <v>-535</v>
      </c>
      <c r="AZ87" s="19">
        <f>D87+E87</f>
        <v>343</v>
      </c>
      <c r="BA87" s="19">
        <f>F87+G87</f>
        <v>285</v>
      </c>
      <c r="BB87" s="19">
        <f>H87+I87</f>
        <v>-288</v>
      </c>
      <c r="BC87" s="19">
        <f>J87+K87</f>
        <v>213</v>
      </c>
      <c r="BD87" s="19">
        <f>L87+M87</f>
        <v>107</v>
      </c>
      <c r="BE87" s="19">
        <f>N87+O87</f>
        <v>-12</v>
      </c>
      <c r="BF87" s="19">
        <f>P87+Q87</f>
        <v>3</v>
      </c>
      <c r="BG87" s="19">
        <f>R87+S87</f>
        <v>-147</v>
      </c>
      <c r="BH87" s="19">
        <f>T87+U87</f>
        <v>-322</v>
      </c>
      <c r="BI87" s="19">
        <f>V87+W87</f>
        <v>-120</v>
      </c>
      <c r="BJ87" s="19">
        <f>X87+Y87</f>
        <v>-175</v>
      </c>
      <c r="BK87" s="19">
        <f>Z87+AA87</f>
        <v>79</v>
      </c>
      <c r="BL87" s="19">
        <f>AB87+AC87</f>
        <v>11</v>
      </c>
      <c r="BM87" s="19">
        <f>AD87+AE87</f>
        <v>262</v>
      </c>
      <c r="BN87" s="19">
        <f>AF87+AG87</f>
        <v>-51</v>
      </c>
      <c r="BO87" s="20">
        <f>AH87+AI87</f>
        <v>31</v>
      </c>
      <c r="BP87" s="19">
        <f>AJ87+AK87</f>
        <v>58</v>
      </c>
      <c r="BQ87" s="19">
        <f>AL87+AM87</f>
        <v>0</v>
      </c>
      <c r="BR87" s="19">
        <f>AN87+AO87</f>
        <v>0</v>
      </c>
      <c r="BS87" s="19">
        <f>AP87+AQ87</f>
        <v>0</v>
      </c>
      <c r="BT87" s="19">
        <f>AR87+AS87</f>
        <v>0</v>
      </c>
    </row>
    <row r="88" spans="1:72" s="9" customFormat="1" ht="12" customHeight="1" outlineLevel="2">
      <c r="A88" s="91" t="s">
        <v>535</v>
      </c>
      <c r="B88" s="9" t="s">
        <v>132</v>
      </c>
      <c r="D88" s="17">
        <f t="shared" ref="D88:G88" si="794">D84+D85+D86+D87</f>
        <v>798</v>
      </c>
      <c r="E88" s="17">
        <f t="shared" si="794"/>
        <v>554</v>
      </c>
      <c r="F88" s="17">
        <f t="shared" si="794"/>
        <v>387</v>
      </c>
      <c r="G88" s="17">
        <f t="shared" si="794"/>
        <v>599</v>
      </c>
      <c r="H88" s="17">
        <f>H84+H85+H86+H87</f>
        <v>546</v>
      </c>
      <c r="I88" s="17">
        <f>I84+I85+I86+I87</f>
        <v>176</v>
      </c>
      <c r="J88" s="17">
        <f>J84+J85+J86+J87</f>
        <v>534</v>
      </c>
      <c r="K88" s="17">
        <f>K84+K85+K86+K87</f>
        <v>665</v>
      </c>
      <c r="L88" s="17">
        <f>L84+L85+L86+L87</f>
        <v>1450</v>
      </c>
      <c r="M88" s="17">
        <f t="shared" ref="M88:O88" si="795">M84+M85+M86+M87</f>
        <v>800</v>
      </c>
      <c r="N88" s="17">
        <f t="shared" ref="N88" si="796">N84+N85+N86+N87</f>
        <v>1047</v>
      </c>
      <c r="O88" s="17">
        <f t="shared" si="795"/>
        <v>2804</v>
      </c>
      <c r="P88" s="17">
        <f t="shared" ref="P88:Q88" si="797">P84+P85+P86+P87</f>
        <v>1765</v>
      </c>
      <c r="Q88" s="17">
        <f t="shared" si="797"/>
        <v>501</v>
      </c>
      <c r="R88" s="17">
        <f t="shared" ref="R88:S88" si="798">R84+R85+R86+R87</f>
        <v>1053</v>
      </c>
      <c r="S88" s="17">
        <f t="shared" si="798"/>
        <v>1288</v>
      </c>
      <c r="T88" s="17">
        <f t="shared" ref="T88:U88" si="799">T84+T85+T86+T87</f>
        <v>1119</v>
      </c>
      <c r="U88" s="17">
        <f t="shared" si="799"/>
        <v>1697</v>
      </c>
      <c r="V88" s="17">
        <f t="shared" ref="V88:W88" si="800">V84+V85+V86+V87</f>
        <v>1746</v>
      </c>
      <c r="W88" s="17">
        <f t="shared" si="800"/>
        <v>1931</v>
      </c>
      <c r="X88" s="17">
        <f t="shared" ref="X88:Y88" si="801">X84+X85+X86+X87</f>
        <v>2017</v>
      </c>
      <c r="Y88" s="17">
        <f t="shared" si="801"/>
        <v>2330</v>
      </c>
      <c r="Z88" s="17">
        <f t="shared" ref="Z88:AA88" si="802">Z84+Z85+Z86+Z87</f>
        <v>-713</v>
      </c>
      <c r="AA88" s="17">
        <f t="shared" si="802"/>
        <v>1982</v>
      </c>
      <c r="AB88" s="17">
        <f t="shared" ref="AB88:AC88" si="803">AB84+AB85+AB86+AB87</f>
        <v>2169</v>
      </c>
      <c r="AC88" s="17">
        <f t="shared" si="803"/>
        <v>2655</v>
      </c>
      <c r="AD88" s="17">
        <f t="shared" ref="AD88:AE88" si="804">AD84+AD85+AD86+AD87</f>
        <v>3630</v>
      </c>
      <c r="AE88" s="17">
        <f t="shared" si="804"/>
        <v>2974</v>
      </c>
      <c r="AF88" s="17">
        <f t="shared" ref="AF88:AG88" si="805">AF84+AF85+AF86+AF87</f>
        <v>1230</v>
      </c>
      <c r="AG88" s="17">
        <f t="shared" si="805"/>
        <v>2456</v>
      </c>
      <c r="AH88" s="17">
        <f t="shared" ref="AH88:AI88" si="806">AH84+AH85+AH86+AH87</f>
        <v>652</v>
      </c>
      <c r="AI88" s="17">
        <f t="shared" si="806"/>
        <v>4044</v>
      </c>
      <c r="AJ88" s="18">
        <f t="shared" ref="AJ88:AK88" si="807">AJ84+AJ85+AJ86+AJ87</f>
        <v>685</v>
      </c>
      <c r="AK88" s="17">
        <f t="shared" si="807"/>
        <v>2499.8880561614696</v>
      </c>
      <c r="AL88" s="17">
        <f t="shared" ref="AL88:AM88" si="808">AL84+AL85+AL86+AL87</f>
        <v>2129.0899562069253</v>
      </c>
      <c r="AM88" s="17">
        <f t="shared" si="808"/>
        <v>2461.2437233183127</v>
      </c>
      <c r="AN88" s="17">
        <f t="shared" ref="AN88:AO88" si="809">AN84+AN85+AN86+AN87</f>
        <v>2321.5542131990633</v>
      </c>
      <c r="AO88" s="17">
        <f t="shared" si="809"/>
        <v>2753.611305163</v>
      </c>
      <c r="AP88" s="17">
        <f t="shared" ref="AP88:AQ88" si="810">AP84+AP85+AP86+AP87</f>
        <v>2484.7365758583487</v>
      </c>
      <c r="AQ88" s="17">
        <f t="shared" si="810"/>
        <v>2902.7994681305609</v>
      </c>
      <c r="AR88" s="17">
        <f t="shared" ref="AR88:AS88" si="811">AR84+AR85+AR86+AR87</f>
        <v>2650.9191845037622</v>
      </c>
      <c r="AS88" s="17">
        <f t="shared" si="811"/>
        <v>3010.9542581523465</v>
      </c>
      <c r="AU88" s="17">
        <f t="shared" ref="AU88:AX88" si="812">AU84+AU85+AU86+AU87</f>
        <v>-446</v>
      </c>
      <c r="AV88" s="17">
        <f t="shared" si="812"/>
        <v>1181</v>
      </c>
      <c r="AW88" s="17">
        <f t="shared" si="812"/>
        <v>1606</v>
      </c>
      <c r="AX88" s="17">
        <f t="shared" si="812"/>
        <v>1977</v>
      </c>
      <c r="AY88" s="17">
        <f t="shared" ref="AY88:BH88" si="813">AY84+AY85+AY86+AY87</f>
        <v>432</v>
      </c>
      <c r="AZ88" s="17">
        <f t="shared" si="813"/>
        <v>1352</v>
      </c>
      <c r="BA88" s="17">
        <f t="shared" si="813"/>
        <v>986</v>
      </c>
      <c r="BB88" s="17">
        <f t="shared" si="813"/>
        <v>722</v>
      </c>
      <c r="BC88" s="17">
        <f t="shared" si="813"/>
        <v>1199</v>
      </c>
      <c r="BD88" s="17">
        <f t="shared" si="813"/>
        <v>2250</v>
      </c>
      <c r="BE88" s="17">
        <f t="shared" si="813"/>
        <v>3851</v>
      </c>
      <c r="BF88" s="17">
        <f t="shared" si="813"/>
        <v>2266</v>
      </c>
      <c r="BG88" s="17">
        <f t="shared" si="813"/>
        <v>2341</v>
      </c>
      <c r="BH88" s="17">
        <f t="shared" si="813"/>
        <v>2816</v>
      </c>
      <c r="BI88" s="17">
        <f t="shared" ref="BI88" si="814">BI84+BI85+BI86+BI87</f>
        <v>3677</v>
      </c>
      <c r="BJ88" s="17">
        <f t="shared" ref="BJ88:BO88" si="815">BJ84+BJ85+BJ86+BJ87</f>
        <v>4347</v>
      </c>
      <c r="BK88" s="17">
        <f t="shared" si="815"/>
        <v>1269</v>
      </c>
      <c r="BL88" s="17">
        <f t="shared" si="815"/>
        <v>4824</v>
      </c>
      <c r="BM88" s="17">
        <f t="shared" si="815"/>
        <v>6604</v>
      </c>
      <c r="BN88" s="17">
        <f t="shared" si="815"/>
        <v>3686</v>
      </c>
      <c r="BO88" s="18">
        <f t="shared" si="815"/>
        <v>4696</v>
      </c>
      <c r="BP88" s="17">
        <f t="shared" ref="BP88:BQ88" si="816">BP84+BP85+BP86+BP87</f>
        <v>3184.8880561614706</v>
      </c>
      <c r="BQ88" s="17">
        <f t="shared" si="816"/>
        <v>4590.333679525238</v>
      </c>
      <c r="BR88" s="17">
        <f t="shared" ref="BR88:BS88" si="817">BR84+BR85+BR86+BR87</f>
        <v>5075.1655183620624</v>
      </c>
      <c r="BS88" s="17">
        <f t="shared" si="817"/>
        <v>5387.5360439889146</v>
      </c>
      <c r="BT88" s="17">
        <f>BT84+BT85+BT86+BT87</f>
        <v>5661.8734426561086</v>
      </c>
    </row>
    <row r="89" spans="1:72" s="9" customFormat="1" ht="12" customHeight="1" outlineLevel="1">
      <c r="A89" s="91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8"/>
      <c r="AK89" s="17"/>
      <c r="AL89" s="17"/>
      <c r="AM89" s="17"/>
      <c r="AN89" s="17"/>
      <c r="AO89" s="17"/>
      <c r="AP89" s="17"/>
      <c r="AQ89" s="17"/>
      <c r="AR89" s="17"/>
      <c r="AS89" s="17"/>
      <c r="AU89" s="17"/>
      <c r="AV89" s="17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  <c r="BI89" s="17"/>
      <c r="BJ89" s="17"/>
      <c r="BK89" s="17"/>
      <c r="BL89" s="17"/>
      <c r="BM89" s="17"/>
      <c r="BN89" s="17"/>
      <c r="BO89" s="18"/>
      <c r="BP89" s="17"/>
      <c r="BQ89" s="17"/>
      <c r="BR89" s="17"/>
      <c r="BS89" s="17"/>
      <c r="BT89" s="17"/>
    </row>
    <row r="90" spans="1:72" ht="12" customHeight="1">
      <c r="L90" s="19"/>
      <c r="M90" s="19"/>
      <c r="P90" s="33"/>
      <c r="Q90" s="33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272"/>
      <c r="AG90" s="272"/>
      <c r="AH90" s="272"/>
      <c r="AI90" s="17"/>
      <c r="AJ90" s="18"/>
      <c r="AK90" s="19"/>
      <c r="AM90" s="19"/>
      <c r="AO90" s="19"/>
      <c r="AQ90" s="19"/>
      <c r="AS90" s="19"/>
      <c r="AV90" s="36"/>
      <c r="AW90" s="36"/>
      <c r="AX90" s="36"/>
      <c r="AY90" s="36"/>
      <c r="AZ90" s="36"/>
      <c r="BA90" s="36"/>
      <c r="BB90" s="36"/>
      <c r="BC90" s="36"/>
      <c r="BD90" s="36"/>
      <c r="BJ90" s="33"/>
    </row>
    <row r="91" spans="1:72" s="9" customFormat="1" ht="12" customHeight="1">
      <c r="A91" s="346" t="s">
        <v>515</v>
      </c>
      <c r="B91" s="2" t="s">
        <v>133</v>
      </c>
      <c r="C91" s="2"/>
      <c r="D91" s="93">
        <f t="shared" ref="D91:P91" si="818">D98</f>
        <v>10684</v>
      </c>
      <c r="E91" s="93">
        <f t="shared" si="818"/>
        <v>11232</v>
      </c>
      <c r="F91" s="93">
        <f t="shared" si="818"/>
        <v>11061</v>
      </c>
      <c r="G91" s="93">
        <f t="shared" si="818"/>
        <v>11404</v>
      </c>
      <c r="H91" s="93">
        <f t="shared" si="818"/>
        <v>11251</v>
      </c>
      <c r="I91" s="93">
        <f t="shared" si="818"/>
        <v>11203</v>
      </c>
      <c r="J91" s="93">
        <f>J98</f>
        <v>10987</v>
      </c>
      <c r="K91" s="93">
        <f t="shared" si="818"/>
        <v>11403</v>
      </c>
      <c r="L91" s="93">
        <f t="shared" si="818"/>
        <v>12229</v>
      </c>
      <c r="M91" s="93">
        <f t="shared" si="818"/>
        <v>11418</v>
      </c>
      <c r="N91" s="93">
        <f t="shared" ref="N91" si="819">N98</f>
        <v>11690</v>
      </c>
      <c r="O91" s="93">
        <f t="shared" si="818"/>
        <v>13909</v>
      </c>
      <c r="P91" s="93">
        <f t="shared" si="818"/>
        <v>14631</v>
      </c>
      <c r="Q91" s="93">
        <f t="shared" ref="Q91:R91" si="820">Q98</f>
        <v>15116</v>
      </c>
      <c r="R91" s="93">
        <f t="shared" si="820"/>
        <v>14921</v>
      </c>
      <c r="S91" s="93">
        <f t="shared" ref="S91:T91" si="821">S98</f>
        <v>15563</v>
      </c>
      <c r="T91" s="93">
        <f t="shared" si="821"/>
        <v>15357</v>
      </c>
      <c r="U91" s="93">
        <f t="shared" ref="U91:V91" si="822">U98</f>
        <v>16357</v>
      </c>
      <c r="V91" s="93">
        <f t="shared" si="822"/>
        <v>16560</v>
      </c>
      <c r="W91" s="93">
        <f t="shared" ref="W91:X91" si="823">W98</f>
        <v>17761</v>
      </c>
      <c r="X91" s="93">
        <f t="shared" si="823"/>
        <v>19617</v>
      </c>
      <c r="Y91" s="93">
        <f t="shared" ref="Y91:Z91" si="824">Y98</f>
        <v>21063</v>
      </c>
      <c r="Z91" s="93">
        <f t="shared" si="824"/>
        <v>20508</v>
      </c>
      <c r="AA91" s="93">
        <f t="shared" ref="AA91:AB91" si="825">AA98</f>
        <v>22048</v>
      </c>
      <c r="AB91" s="93">
        <f t="shared" si="825"/>
        <v>24064</v>
      </c>
      <c r="AC91" s="93">
        <f t="shared" ref="AC91:AD91" si="826">AC98</f>
        <v>28561</v>
      </c>
      <c r="AD91" s="93">
        <f t="shared" si="826"/>
        <v>31337</v>
      </c>
      <c r="AE91" s="93">
        <f t="shared" ref="AE91:AF91" si="827">AE98</f>
        <v>33155</v>
      </c>
      <c r="AF91" s="93">
        <f t="shared" si="827"/>
        <v>32651</v>
      </c>
      <c r="AG91" s="93">
        <f t="shared" ref="AG91:AH91" si="828">AG98</f>
        <v>33481</v>
      </c>
      <c r="AH91" s="93">
        <f t="shared" si="828"/>
        <v>32299</v>
      </c>
      <c r="AI91" s="93">
        <f t="shared" ref="AI91" si="829">AI98</f>
        <v>35356</v>
      </c>
      <c r="AJ91" s="94">
        <f t="shared" ref="AJ91:AK91" si="830">AJ98</f>
        <v>34561</v>
      </c>
      <c r="AK91" s="93">
        <f t="shared" si="830"/>
        <v>35667.542368671689</v>
      </c>
      <c r="AL91" s="93">
        <f t="shared" ref="AL91:AM91" si="831">AL98</f>
        <v>35951.737945446301</v>
      </c>
      <c r="AM91" s="93">
        <f t="shared" si="831"/>
        <v>36800.629642974913</v>
      </c>
      <c r="AN91" s="93">
        <f t="shared" ref="AN91:AO91" si="832">AN98</f>
        <v>37538.949756650603</v>
      </c>
      <c r="AO91" s="93">
        <f t="shared" si="832"/>
        <v>38860.111162244837</v>
      </c>
      <c r="AP91" s="93">
        <f t="shared" ref="AP91:AQ91" si="833">AP98</f>
        <v>39497.741288659243</v>
      </c>
      <c r="AQ91" s="93">
        <f t="shared" si="833"/>
        <v>40930.394807232384</v>
      </c>
      <c r="AR91" s="93">
        <f t="shared" ref="AR91:AS91" si="834">AR98</f>
        <v>41847.295692258165</v>
      </c>
      <c r="AS91" s="93">
        <f t="shared" si="834"/>
        <v>43275.015850887139</v>
      </c>
      <c r="AT91" s="2"/>
      <c r="AU91" s="93">
        <f t="shared" ref="AU91:BH91" si="835">AU98</f>
        <v>3171</v>
      </c>
      <c r="AV91" s="93">
        <f t="shared" si="835"/>
        <v>4098</v>
      </c>
      <c r="AW91" s="93">
        <f t="shared" si="835"/>
        <v>6271</v>
      </c>
      <c r="AX91" s="93">
        <f t="shared" si="835"/>
        <v>8829</v>
      </c>
      <c r="AY91" s="93">
        <f t="shared" si="835"/>
        <v>8664</v>
      </c>
      <c r="AZ91" s="93">
        <f t="shared" si="835"/>
        <v>11232</v>
      </c>
      <c r="BA91" s="93">
        <f t="shared" si="835"/>
        <v>11404</v>
      </c>
      <c r="BB91" s="93">
        <f t="shared" si="835"/>
        <v>11203</v>
      </c>
      <c r="BC91" s="93">
        <f t="shared" si="835"/>
        <v>11403</v>
      </c>
      <c r="BD91" s="93">
        <f t="shared" si="835"/>
        <v>11418</v>
      </c>
      <c r="BE91" s="93">
        <f t="shared" si="835"/>
        <v>13909</v>
      </c>
      <c r="BF91" s="93">
        <f t="shared" si="835"/>
        <v>15116</v>
      </c>
      <c r="BG91" s="93">
        <f t="shared" si="835"/>
        <v>15563</v>
      </c>
      <c r="BH91" s="93">
        <f t="shared" si="835"/>
        <v>16357</v>
      </c>
      <c r="BI91" s="93">
        <f t="shared" ref="BI91" si="836">BI98</f>
        <v>17761</v>
      </c>
      <c r="BJ91" s="93">
        <f t="shared" ref="BJ91:BO91" si="837">BJ98</f>
        <v>21063</v>
      </c>
      <c r="BK91" s="93">
        <f t="shared" si="837"/>
        <v>22048</v>
      </c>
      <c r="BL91" s="93">
        <f t="shared" si="837"/>
        <v>28561</v>
      </c>
      <c r="BM91" s="93">
        <f t="shared" si="837"/>
        <v>33155</v>
      </c>
      <c r="BN91" s="93">
        <f t="shared" si="837"/>
        <v>33481</v>
      </c>
      <c r="BO91" s="94">
        <f t="shared" si="837"/>
        <v>35356</v>
      </c>
      <c r="BP91" s="93">
        <f t="shared" ref="BP91:BQ91" si="838">BP98</f>
        <v>35667.542368671689</v>
      </c>
      <c r="BQ91" s="93">
        <f t="shared" si="838"/>
        <v>36800.629642974913</v>
      </c>
      <c r="BR91" s="93">
        <f t="shared" ref="BR91:BS91" si="839">BR98</f>
        <v>38860.11116224483</v>
      </c>
      <c r="BS91" s="93">
        <f t="shared" si="839"/>
        <v>40930.394807232384</v>
      </c>
      <c r="BT91" s="93">
        <f>BT98</f>
        <v>43275.015850887132</v>
      </c>
    </row>
    <row r="92" spans="1:72" ht="12" customHeight="1" outlineLevel="1">
      <c r="N92" s="393"/>
      <c r="O92" s="393"/>
      <c r="AV92" s="36"/>
      <c r="AW92" s="36"/>
      <c r="AX92" s="36"/>
      <c r="AY92" s="36"/>
      <c r="AZ92" s="36"/>
      <c r="BA92" s="36"/>
      <c r="BB92" s="36"/>
      <c r="BC92" s="36"/>
      <c r="BD92" s="36"/>
    </row>
    <row r="93" spans="1:72" s="9" customFormat="1" ht="12" customHeight="1" outlineLevel="1">
      <c r="A93" s="91" t="s">
        <v>134</v>
      </c>
      <c r="B93" s="16" t="s">
        <v>135</v>
      </c>
      <c r="C93" s="17"/>
      <c r="D93" s="17">
        <f t="shared" ref="D93:G93" si="840">C98</f>
        <v>8664</v>
      </c>
      <c r="E93" s="17">
        <f t="shared" si="840"/>
        <v>10684</v>
      </c>
      <c r="F93" s="17">
        <f t="shared" si="840"/>
        <v>11232</v>
      </c>
      <c r="G93" s="17">
        <f t="shared" si="840"/>
        <v>11061</v>
      </c>
      <c r="H93" s="17">
        <f>G98</f>
        <v>11404</v>
      </c>
      <c r="I93" s="17">
        <f>H98</f>
        <v>11251</v>
      </c>
      <c r="J93" s="17">
        <f>I98</f>
        <v>11203</v>
      </c>
      <c r="K93" s="17">
        <f>J98</f>
        <v>10987</v>
      </c>
      <c r="L93" s="17">
        <f>K98</f>
        <v>11403</v>
      </c>
      <c r="M93" s="17">
        <f t="shared" ref="M93:AI93" si="841">L98</f>
        <v>12229</v>
      </c>
      <c r="N93" s="17">
        <f t="shared" si="841"/>
        <v>11418</v>
      </c>
      <c r="O93" s="17">
        <f t="shared" si="841"/>
        <v>11690</v>
      </c>
      <c r="P93" s="17">
        <f t="shared" si="841"/>
        <v>13909</v>
      </c>
      <c r="Q93" s="17">
        <f t="shared" si="841"/>
        <v>14631</v>
      </c>
      <c r="R93" s="17">
        <f t="shared" si="841"/>
        <v>15116</v>
      </c>
      <c r="S93" s="17">
        <f t="shared" si="841"/>
        <v>14921</v>
      </c>
      <c r="T93" s="17">
        <f t="shared" si="841"/>
        <v>15563</v>
      </c>
      <c r="U93" s="17">
        <f t="shared" si="841"/>
        <v>15357</v>
      </c>
      <c r="V93" s="17">
        <f t="shared" si="841"/>
        <v>16357</v>
      </c>
      <c r="W93" s="17">
        <f t="shared" si="841"/>
        <v>16560</v>
      </c>
      <c r="X93" s="17">
        <f t="shared" si="841"/>
        <v>17761</v>
      </c>
      <c r="Y93" s="17">
        <f t="shared" si="841"/>
        <v>19617</v>
      </c>
      <c r="Z93" s="17">
        <f t="shared" si="841"/>
        <v>21063</v>
      </c>
      <c r="AA93" s="17">
        <f t="shared" si="841"/>
        <v>20508</v>
      </c>
      <c r="AB93" s="17">
        <f t="shared" si="841"/>
        <v>22048</v>
      </c>
      <c r="AC93" s="17">
        <f t="shared" si="841"/>
        <v>24064</v>
      </c>
      <c r="AD93" s="17">
        <f t="shared" si="841"/>
        <v>28561</v>
      </c>
      <c r="AE93" s="17">
        <f t="shared" si="841"/>
        <v>31337</v>
      </c>
      <c r="AF93" s="17">
        <f t="shared" si="841"/>
        <v>33155</v>
      </c>
      <c r="AG93" s="17">
        <f t="shared" si="841"/>
        <v>32651</v>
      </c>
      <c r="AH93" s="17">
        <f t="shared" si="841"/>
        <v>33481</v>
      </c>
      <c r="AI93" s="17">
        <f t="shared" si="841"/>
        <v>32299</v>
      </c>
      <c r="AJ93" s="18">
        <f t="shared" ref="AJ93" si="842">AI98</f>
        <v>35356</v>
      </c>
      <c r="AK93" s="17">
        <f t="shared" ref="AK93" si="843">AJ98</f>
        <v>34561</v>
      </c>
      <c r="AL93" s="17">
        <f t="shared" ref="AL93" si="844">AK98</f>
        <v>35667.542368671689</v>
      </c>
      <c r="AM93" s="17">
        <f t="shared" ref="AM93" si="845">AL98</f>
        <v>35951.737945446301</v>
      </c>
      <c r="AN93" s="17">
        <f t="shared" ref="AN93" si="846">AM98</f>
        <v>36800.629642974913</v>
      </c>
      <c r="AO93" s="17">
        <f t="shared" ref="AO93" si="847">AN98</f>
        <v>37538.949756650603</v>
      </c>
      <c r="AP93" s="17">
        <f t="shared" ref="AP93" si="848">AO98</f>
        <v>38860.111162244837</v>
      </c>
      <c r="AQ93" s="17">
        <f t="shared" ref="AQ93" si="849">AP98</f>
        <v>39497.741288659243</v>
      </c>
      <c r="AR93" s="17">
        <f t="shared" ref="AR93" si="850">AQ98</f>
        <v>40930.394807232384</v>
      </c>
      <c r="AS93" s="17">
        <f t="shared" ref="AS93" si="851">AR98</f>
        <v>41847.295692258165</v>
      </c>
      <c r="AT93" s="17"/>
      <c r="AU93" s="22">
        <v>2833</v>
      </c>
      <c r="AV93" s="17">
        <f t="shared" ref="AV93:AX93" si="852">AU98</f>
        <v>3171</v>
      </c>
      <c r="AW93" s="17">
        <f t="shared" si="852"/>
        <v>4098</v>
      </c>
      <c r="AX93" s="17">
        <f t="shared" si="852"/>
        <v>6271</v>
      </c>
      <c r="AY93" s="17">
        <f>AX98</f>
        <v>8829</v>
      </c>
      <c r="AZ93" s="17">
        <f>AY98</f>
        <v>8664</v>
      </c>
      <c r="BA93" s="17">
        <f>AZ98</f>
        <v>11232</v>
      </c>
      <c r="BB93" s="17">
        <f>BA98</f>
        <v>11404</v>
      </c>
      <c r="BC93" s="17">
        <f>BB98</f>
        <v>11203</v>
      </c>
      <c r="BD93" s="17">
        <f t="shared" ref="BD93:BO93" si="853">BC98</f>
        <v>11403</v>
      </c>
      <c r="BE93" s="17">
        <f t="shared" si="853"/>
        <v>11418</v>
      </c>
      <c r="BF93" s="17">
        <f t="shared" si="853"/>
        <v>13909</v>
      </c>
      <c r="BG93" s="17">
        <f t="shared" si="853"/>
        <v>15116</v>
      </c>
      <c r="BH93" s="17">
        <f t="shared" si="853"/>
        <v>15563</v>
      </c>
      <c r="BI93" s="17">
        <f t="shared" si="853"/>
        <v>16357</v>
      </c>
      <c r="BJ93" s="17">
        <f t="shared" si="853"/>
        <v>17761</v>
      </c>
      <c r="BK93" s="17">
        <f t="shared" si="853"/>
        <v>21063</v>
      </c>
      <c r="BL93" s="17">
        <f t="shared" si="853"/>
        <v>22048</v>
      </c>
      <c r="BM93" s="17">
        <f t="shared" si="853"/>
        <v>28561</v>
      </c>
      <c r="BN93" s="17">
        <f t="shared" si="853"/>
        <v>33155</v>
      </c>
      <c r="BO93" s="18">
        <f t="shared" si="853"/>
        <v>33481</v>
      </c>
      <c r="BP93" s="17">
        <f t="shared" ref="BP93:BT93" si="854">BO98</f>
        <v>35356</v>
      </c>
      <c r="BQ93" s="17">
        <f t="shared" si="854"/>
        <v>35667.542368671689</v>
      </c>
      <c r="BR93" s="17">
        <f t="shared" si="854"/>
        <v>36800.629642974913</v>
      </c>
      <c r="BS93" s="17">
        <f t="shared" si="854"/>
        <v>38860.11116224483</v>
      </c>
      <c r="BT93" s="17">
        <f t="shared" si="854"/>
        <v>40930.394807232384</v>
      </c>
    </row>
    <row r="94" spans="1:72" ht="12" customHeight="1" outlineLevel="1">
      <c r="A94" s="91" t="s">
        <v>136</v>
      </c>
      <c r="B94" s="87" t="s">
        <v>132</v>
      </c>
      <c r="C94" s="19"/>
      <c r="D94" s="19">
        <f t="shared" ref="D94:I94" si="855">D88</f>
        <v>798</v>
      </c>
      <c r="E94" s="19">
        <f t="shared" si="855"/>
        <v>554</v>
      </c>
      <c r="F94" s="19">
        <f t="shared" si="855"/>
        <v>387</v>
      </c>
      <c r="G94" s="19">
        <f t="shared" si="855"/>
        <v>599</v>
      </c>
      <c r="H94" s="19">
        <f t="shared" si="855"/>
        <v>546</v>
      </c>
      <c r="I94" s="19">
        <f t="shared" si="855"/>
        <v>176</v>
      </c>
      <c r="J94" s="19">
        <f>J88</f>
        <v>534</v>
      </c>
      <c r="K94" s="19">
        <f>K88</f>
        <v>665</v>
      </c>
      <c r="L94" s="19">
        <f>L88</f>
        <v>1450</v>
      </c>
      <c r="M94" s="19">
        <f t="shared" ref="M94:P94" si="856">M88</f>
        <v>800</v>
      </c>
      <c r="N94" s="19">
        <f t="shared" ref="N94:O94" si="857">N88</f>
        <v>1047</v>
      </c>
      <c r="O94" s="19">
        <f t="shared" si="857"/>
        <v>2804</v>
      </c>
      <c r="P94" s="19">
        <f t="shared" si="856"/>
        <v>1765</v>
      </c>
      <c r="Q94" s="19">
        <f t="shared" ref="Q94:R94" si="858">Q88</f>
        <v>501</v>
      </c>
      <c r="R94" s="19">
        <f t="shared" si="858"/>
        <v>1053</v>
      </c>
      <c r="S94" s="19">
        <f t="shared" ref="S94:T94" si="859">S88</f>
        <v>1288</v>
      </c>
      <c r="T94" s="19">
        <f t="shared" si="859"/>
        <v>1119</v>
      </c>
      <c r="U94" s="19">
        <f t="shared" ref="U94:V94" si="860">U88</f>
        <v>1697</v>
      </c>
      <c r="V94" s="19">
        <f t="shared" si="860"/>
        <v>1746</v>
      </c>
      <c r="W94" s="19">
        <f t="shared" ref="W94:X94" si="861">W88</f>
        <v>1931</v>
      </c>
      <c r="X94" s="19">
        <f t="shared" si="861"/>
        <v>2017</v>
      </c>
      <c r="Y94" s="19">
        <f t="shared" ref="Y94:Z94" si="862">Y88</f>
        <v>2330</v>
      </c>
      <c r="Z94" s="19">
        <f t="shared" si="862"/>
        <v>-713</v>
      </c>
      <c r="AA94" s="19">
        <f t="shared" ref="AA94:AB94" si="863">AA88</f>
        <v>1982</v>
      </c>
      <c r="AB94" s="19">
        <f t="shared" si="863"/>
        <v>2169</v>
      </c>
      <c r="AC94" s="19">
        <f t="shared" ref="AC94:AD94" si="864">AC88</f>
        <v>2655</v>
      </c>
      <c r="AD94" s="19">
        <f t="shared" si="864"/>
        <v>3630</v>
      </c>
      <c r="AE94" s="19">
        <f t="shared" ref="AE94:AF94" si="865">AE88</f>
        <v>2974</v>
      </c>
      <c r="AF94" s="19">
        <f t="shared" si="865"/>
        <v>1230</v>
      </c>
      <c r="AG94" s="19">
        <f t="shared" ref="AG94:AH94" si="866">AG88</f>
        <v>2456</v>
      </c>
      <c r="AH94" s="19">
        <f t="shared" si="866"/>
        <v>652</v>
      </c>
      <c r="AI94" s="19">
        <f t="shared" ref="AI94" si="867">AI88</f>
        <v>4044</v>
      </c>
      <c r="AJ94" s="20">
        <f t="shared" ref="AJ94:AK94" si="868">AJ88</f>
        <v>685</v>
      </c>
      <c r="AK94" s="19">
        <f t="shared" si="868"/>
        <v>2499.8880561614696</v>
      </c>
      <c r="AL94" s="19">
        <f t="shared" ref="AL94:AM94" si="869">AL88</f>
        <v>2129.0899562069253</v>
      </c>
      <c r="AM94" s="19">
        <f t="shared" si="869"/>
        <v>2461.2437233183127</v>
      </c>
      <c r="AN94" s="19">
        <f t="shared" ref="AN94:AO94" si="870">AN88</f>
        <v>2321.5542131990633</v>
      </c>
      <c r="AO94" s="19">
        <f t="shared" si="870"/>
        <v>2753.611305163</v>
      </c>
      <c r="AP94" s="19">
        <f t="shared" ref="AP94:AQ94" si="871">AP88</f>
        <v>2484.7365758583487</v>
      </c>
      <c r="AQ94" s="19">
        <f t="shared" si="871"/>
        <v>2902.7994681305609</v>
      </c>
      <c r="AR94" s="19">
        <f t="shared" ref="AR94:AS94" si="872">AR88</f>
        <v>2650.9191845037622</v>
      </c>
      <c r="AS94" s="19">
        <f t="shared" si="872"/>
        <v>3010.9542581523465</v>
      </c>
      <c r="AT94" s="19"/>
      <c r="AU94" s="19">
        <f t="shared" ref="AU94:AY94" si="873">AU88</f>
        <v>-446</v>
      </c>
      <c r="AV94" s="19">
        <f t="shared" si="873"/>
        <v>1181</v>
      </c>
      <c r="AW94" s="19">
        <f t="shared" si="873"/>
        <v>1606</v>
      </c>
      <c r="AX94" s="19">
        <f t="shared" si="873"/>
        <v>1977</v>
      </c>
      <c r="AY94" s="19">
        <f t="shared" si="873"/>
        <v>432</v>
      </c>
      <c r="AZ94" s="19">
        <f>E94+D94</f>
        <v>1352</v>
      </c>
      <c r="BA94" s="19">
        <f>G94+F94</f>
        <v>986</v>
      </c>
      <c r="BB94" s="19">
        <f>I94+H94</f>
        <v>722</v>
      </c>
      <c r="BC94" s="19">
        <f>K94+J94</f>
        <v>1199</v>
      </c>
      <c r="BD94" s="19">
        <f>M94+L94</f>
        <v>2250</v>
      </c>
      <c r="BE94" s="19">
        <f>O94+N94</f>
        <v>3851</v>
      </c>
      <c r="BF94" s="19">
        <f>Q94+P94</f>
        <v>2266</v>
      </c>
      <c r="BG94" s="19">
        <f>S94+R94</f>
        <v>2341</v>
      </c>
      <c r="BH94" s="19">
        <f>U94+T94</f>
        <v>2816</v>
      </c>
      <c r="BI94" s="19">
        <f>W94+V94</f>
        <v>3677</v>
      </c>
      <c r="BJ94" s="19">
        <f>Y94+X94</f>
        <v>4347</v>
      </c>
      <c r="BK94" s="19">
        <f>AA94+Z94</f>
        <v>1269</v>
      </c>
      <c r="BL94" s="19">
        <f>AC94+AB94</f>
        <v>4824</v>
      </c>
      <c r="BM94" s="19">
        <f>AE94+AD94</f>
        <v>6604</v>
      </c>
      <c r="BN94" s="19">
        <f>AG94+AF94</f>
        <v>3686</v>
      </c>
      <c r="BO94" s="20">
        <f>AI94+AH94</f>
        <v>4696</v>
      </c>
      <c r="BP94" s="19">
        <f>AK94+AJ94</f>
        <v>3184.8880561614696</v>
      </c>
      <c r="BQ94" s="19">
        <f>AM94+AL94</f>
        <v>4590.333679525238</v>
      </c>
      <c r="BR94" s="19">
        <f>AO94+AN94</f>
        <v>5075.1655183620633</v>
      </c>
      <c r="BS94" s="19">
        <f>AQ94+AP94</f>
        <v>5387.53604398891</v>
      </c>
      <c r="BT94" s="19">
        <f>AS94+AR94</f>
        <v>5661.8734426561086</v>
      </c>
    </row>
    <row r="95" spans="1:72" ht="12" customHeight="1" outlineLevel="1">
      <c r="A95" s="91" t="s">
        <v>137</v>
      </c>
      <c r="B95" s="87" t="s">
        <v>138</v>
      </c>
      <c r="C95" s="19"/>
      <c r="D95" s="21">
        <v>-122</v>
      </c>
      <c r="E95" s="21">
        <v>-287</v>
      </c>
      <c r="F95" s="21">
        <v>-346</v>
      </c>
      <c r="G95" s="21">
        <v>-297</v>
      </c>
      <c r="H95" s="21">
        <v>-347</v>
      </c>
      <c r="I95" s="21">
        <f>-572-H95</f>
        <v>-225</v>
      </c>
      <c r="J95" s="21">
        <v>-257</v>
      </c>
      <c r="K95" s="21">
        <f>-509-J95</f>
        <v>-252</v>
      </c>
      <c r="L95" s="21">
        <v>-419</v>
      </c>
      <c r="M95" s="21">
        <f>-1159-L95</f>
        <v>-740</v>
      </c>
      <c r="N95" s="62">
        <v>-514</v>
      </c>
      <c r="O95" s="62">
        <f>-1159-(-514)</f>
        <v>-645</v>
      </c>
      <c r="P95" s="62">
        <v>-667</v>
      </c>
      <c r="Q95" s="62">
        <f>-1208-P95</f>
        <v>-541</v>
      </c>
      <c r="R95" s="62">
        <v>-816</v>
      </c>
      <c r="S95" s="62">
        <f>-1462-R95</f>
        <v>-646</v>
      </c>
      <c r="T95" s="62">
        <v>-952</v>
      </c>
      <c r="U95" s="62">
        <f>-1649-T95</f>
        <v>-697</v>
      </c>
      <c r="V95" s="62">
        <v>-1089</v>
      </c>
      <c r="W95" s="62">
        <v>-730</v>
      </c>
      <c r="X95" s="62">
        <v>-1224</v>
      </c>
      <c r="Y95" s="62">
        <v>-884</v>
      </c>
      <c r="Z95" s="62">
        <v>-637</v>
      </c>
      <c r="AA95" s="62">
        <v>-486</v>
      </c>
      <c r="AB95" s="62">
        <v>-1208</v>
      </c>
      <c r="AC95" s="62">
        <v>-1021</v>
      </c>
      <c r="AD95" s="62">
        <v>-1339</v>
      </c>
      <c r="AE95" s="62">
        <f>-2495-AD95</f>
        <v>-1156</v>
      </c>
      <c r="AF95" s="62">
        <v>-1734</v>
      </c>
      <c r="AG95" s="62">
        <f>-2716-AF95</f>
        <v>-982</v>
      </c>
      <c r="AH95" s="62">
        <v>-1465</v>
      </c>
      <c r="AI95" s="62">
        <f>-2452-AH95</f>
        <v>-987</v>
      </c>
      <c r="AJ95" s="57">
        <v>-1480</v>
      </c>
      <c r="AK95" s="19">
        <f t="shared" ref="AK95:AS95" si="874">-AJ103*AJ36</f>
        <v>-1067.1875620000001</v>
      </c>
      <c r="AL95" s="19">
        <f t="shared" si="874"/>
        <v>-1518.7362539425299</v>
      </c>
      <c r="AM95" s="19">
        <f t="shared" si="874"/>
        <v>-1286.1939002999213</v>
      </c>
      <c r="AN95" s="19">
        <f t="shared" si="874"/>
        <v>-1583.2340995233762</v>
      </c>
      <c r="AO95" s="19">
        <f t="shared" si="874"/>
        <v>-1432.4498995687691</v>
      </c>
      <c r="AP95" s="19">
        <f t="shared" si="874"/>
        <v>-1847.106449443939</v>
      </c>
      <c r="AQ95" s="19">
        <f t="shared" si="874"/>
        <v>-1470.1459495574209</v>
      </c>
      <c r="AR95" s="19">
        <f t="shared" si="874"/>
        <v>-1734.0182994779834</v>
      </c>
      <c r="AS95" s="19">
        <f t="shared" si="874"/>
        <v>-1583.2340995233762</v>
      </c>
      <c r="AT95" s="19"/>
      <c r="AU95" s="21">
        <v>-314</v>
      </c>
      <c r="AV95" s="21">
        <v>-550</v>
      </c>
      <c r="AW95" s="21">
        <v>-602</v>
      </c>
      <c r="AX95" s="21">
        <v>-880</v>
      </c>
      <c r="AY95" s="21">
        <v>-962</v>
      </c>
      <c r="AZ95" s="19">
        <f>E95+D95</f>
        <v>-409</v>
      </c>
      <c r="BA95" s="19">
        <f>G95+F95</f>
        <v>-643</v>
      </c>
      <c r="BB95" s="19">
        <f>I95+H95</f>
        <v>-572</v>
      </c>
      <c r="BC95" s="19">
        <f>K95+J95</f>
        <v>-509</v>
      </c>
      <c r="BD95" s="19">
        <f>M95+L95</f>
        <v>-1159</v>
      </c>
      <c r="BE95" s="19">
        <f>O95+N95</f>
        <v>-1159</v>
      </c>
      <c r="BF95" s="19">
        <f>Q95+P95</f>
        <v>-1208</v>
      </c>
      <c r="BG95" s="19">
        <f>S95+R95</f>
        <v>-1462</v>
      </c>
      <c r="BH95" s="19">
        <f>U95+T95</f>
        <v>-1649</v>
      </c>
      <c r="BI95" s="19">
        <f>W95+V95</f>
        <v>-1819</v>
      </c>
      <c r="BJ95" s="19">
        <f>Y95+X95</f>
        <v>-2108</v>
      </c>
      <c r="BK95" s="19">
        <f>AA95+Z95</f>
        <v>-1123</v>
      </c>
      <c r="BL95" s="19">
        <f>AC95+AB95</f>
        <v>-2229</v>
      </c>
      <c r="BM95" s="19">
        <f>AE95+AD95</f>
        <v>-2495</v>
      </c>
      <c r="BN95" s="19">
        <f>AG95+AF95</f>
        <v>-2716</v>
      </c>
      <c r="BO95" s="20">
        <f>AI95+AH95</f>
        <v>-2452</v>
      </c>
      <c r="BP95" s="19">
        <f>AK95+AJ95</f>
        <v>-2547.1875620000001</v>
      </c>
      <c r="BQ95" s="19">
        <f>AM95+AL95</f>
        <v>-2804.930154242451</v>
      </c>
      <c r="BR95" s="19">
        <f>AO95+AN95</f>
        <v>-3015.6839990921453</v>
      </c>
      <c r="BS95" s="19">
        <f>AQ95+AP95</f>
        <v>-3317.2523990013597</v>
      </c>
      <c r="BT95" s="19">
        <f>AS95+AR95</f>
        <v>-3317.2523990013597</v>
      </c>
    </row>
    <row r="96" spans="1:72" ht="12" customHeight="1" outlineLevel="1">
      <c r="A96" s="91" t="s">
        <v>139</v>
      </c>
      <c r="B96" s="87" t="s">
        <v>125</v>
      </c>
      <c r="C96" s="19"/>
      <c r="D96" s="19">
        <f t="shared" ref="D96:K96" si="875">-D82</f>
        <v>0</v>
      </c>
      <c r="E96" s="19">
        <f t="shared" si="875"/>
        <v>0</v>
      </c>
      <c r="F96" s="19">
        <f t="shared" si="875"/>
        <v>0</v>
      </c>
      <c r="G96" s="19">
        <f t="shared" si="875"/>
        <v>0</v>
      </c>
      <c r="H96" s="19">
        <f t="shared" si="875"/>
        <v>0</v>
      </c>
      <c r="I96" s="19">
        <f t="shared" si="875"/>
        <v>0</v>
      </c>
      <c r="J96" s="19">
        <f t="shared" si="875"/>
        <v>0</v>
      </c>
      <c r="K96" s="19">
        <f t="shared" si="875"/>
        <v>0</v>
      </c>
      <c r="L96" s="19">
        <f t="shared" ref="L96" si="876">-L82</f>
        <v>0</v>
      </c>
      <c r="M96" s="19">
        <f t="shared" ref="M96" si="877">-M82</f>
        <v>0</v>
      </c>
      <c r="N96" s="19">
        <f t="shared" ref="N96:O96" si="878">-N82</f>
        <v>0</v>
      </c>
      <c r="O96" s="19">
        <f t="shared" si="878"/>
        <v>0</v>
      </c>
      <c r="P96" s="19">
        <f t="shared" ref="P96:Q96" si="879">-P82</f>
        <v>0</v>
      </c>
      <c r="Q96" s="19">
        <f t="shared" si="879"/>
        <v>0</v>
      </c>
      <c r="R96" s="19">
        <f t="shared" ref="R96:S96" si="880">-R82</f>
        <v>0</v>
      </c>
      <c r="S96" s="19">
        <f t="shared" si="880"/>
        <v>0</v>
      </c>
      <c r="T96" s="19">
        <f t="shared" ref="T96:U96" si="881">-T82</f>
        <v>0</v>
      </c>
      <c r="U96" s="19">
        <f t="shared" si="881"/>
        <v>0</v>
      </c>
      <c r="V96" s="19">
        <f t="shared" ref="V96:W96" si="882">-V82</f>
        <v>0</v>
      </c>
      <c r="W96" s="19">
        <f t="shared" si="882"/>
        <v>0</v>
      </c>
      <c r="X96" s="19">
        <f t="shared" ref="X96:Y96" si="883">-X82</f>
        <v>0</v>
      </c>
      <c r="Y96" s="19">
        <f t="shared" si="883"/>
        <v>0</v>
      </c>
      <c r="Z96" s="19">
        <f t="shared" ref="Z96:AA96" si="884">-Z82</f>
        <v>0</v>
      </c>
      <c r="AA96" s="19">
        <f t="shared" si="884"/>
        <v>0</v>
      </c>
      <c r="AB96" s="19">
        <f t="shared" ref="AB96:AC96" si="885">-AB82</f>
        <v>0</v>
      </c>
      <c r="AC96" s="19">
        <f t="shared" si="885"/>
        <v>0</v>
      </c>
      <c r="AD96" s="19">
        <f t="shared" ref="AD96:AE96" si="886">-AD82</f>
        <v>0</v>
      </c>
      <c r="AE96" s="19">
        <f t="shared" si="886"/>
        <v>0</v>
      </c>
      <c r="AF96" s="19">
        <f t="shared" ref="AF96:AG96" si="887">-AF82</f>
        <v>0</v>
      </c>
      <c r="AG96" s="19">
        <f t="shared" si="887"/>
        <v>0</v>
      </c>
      <c r="AH96" s="19">
        <f t="shared" ref="AH96:AI96" si="888">-AH82</f>
        <v>0</v>
      </c>
      <c r="AI96" s="19">
        <f t="shared" si="888"/>
        <v>0</v>
      </c>
      <c r="AJ96" s="20">
        <f t="shared" ref="AJ96:AK96" si="889">-AJ82</f>
        <v>0</v>
      </c>
      <c r="AK96" s="19">
        <f t="shared" si="889"/>
        <v>0</v>
      </c>
      <c r="AL96" s="19">
        <f t="shared" ref="AL96:AM96" si="890">-AL82</f>
        <v>0</v>
      </c>
      <c r="AM96" s="19">
        <f t="shared" si="890"/>
        <v>0</v>
      </c>
      <c r="AN96" s="19">
        <f t="shared" ref="AN96:AO96" si="891">-AN82</f>
        <v>0</v>
      </c>
      <c r="AO96" s="19">
        <f t="shared" si="891"/>
        <v>0</v>
      </c>
      <c r="AP96" s="19">
        <f t="shared" ref="AP96:AQ96" si="892">-AP82</f>
        <v>0</v>
      </c>
      <c r="AQ96" s="19">
        <f t="shared" si="892"/>
        <v>0</v>
      </c>
      <c r="AR96" s="19">
        <f t="shared" ref="AR96:AS96" si="893">-AR82</f>
        <v>0</v>
      </c>
      <c r="AS96" s="19">
        <f t="shared" si="893"/>
        <v>0</v>
      </c>
      <c r="AT96" s="19"/>
      <c r="AU96" s="19">
        <f t="shared" ref="AU96:AX96" si="894">-AU82</f>
        <v>0</v>
      </c>
      <c r="AV96" s="19">
        <f t="shared" si="894"/>
        <v>0</v>
      </c>
      <c r="AW96" s="19">
        <f t="shared" si="894"/>
        <v>0</v>
      </c>
      <c r="AX96" s="19">
        <f t="shared" si="894"/>
        <v>0</v>
      </c>
      <c r="AY96" s="19">
        <f t="shared" ref="AY96" si="895">-AY82</f>
        <v>0</v>
      </c>
      <c r="AZ96" s="19">
        <f>E96+D96</f>
        <v>0</v>
      </c>
      <c r="BA96" s="19">
        <f>G96+F96</f>
        <v>0</v>
      </c>
      <c r="BB96" s="19">
        <f>I96+H96</f>
        <v>0</v>
      </c>
      <c r="BC96" s="19">
        <f>K96+J96</f>
        <v>0</v>
      </c>
      <c r="BD96" s="19">
        <f>M96+L96</f>
        <v>0</v>
      </c>
      <c r="BE96" s="19">
        <f>O96+N96</f>
        <v>0</v>
      </c>
      <c r="BF96" s="19">
        <f>Q96+P96</f>
        <v>0</v>
      </c>
      <c r="BG96" s="19">
        <f>S96+R96</f>
        <v>0</v>
      </c>
      <c r="BH96" s="19">
        <f>U96+T96</f>
        <v>0</v>
      </c>
      <c r="BI96" s="19">
        <f>W96+V96</f>
        <v>0</v>
      </c>
      <c r="BJ96" s="19">
        <f>Y96+X96</f>
        <v>0</v>
      </c>
      <c r="BK96" s="19">
        <f>AA96+Z96</f>
        <v>0</v>
      </c>
      <c r="BL96" s="19">
        <f>AC96+AB96</f>
        <v>0</v>
      </c>
      <c r="BM96" s="19">
        <f>AE96+AD96</f>
        <v>0</v>
      </c>
      <c r="BN96" s="19">
        <f>AG96+AF96</f>
        <v>0</v>
      </c>
      <c r="BO96" s="20">
        <f>AI96+AH96</f>
        <v>0</v>
      </c>
      <c r="BP96" s="19">
        <f>AK96+AJ96</f>
        <v>0</v>
      </c>
      <c r="BQ96" s="19">
        <f>AM96+AL96</f>
        <v>0</v>
      </c>
      <c r="BR96" s="19">
        <f>AO96+AN96</f>
        <v>0</v>
      </c>
      <c r="BS96" s="19">
        <f>AQ96+AP96</f>
        <v>0</v>
      </c>
      <c r="BT96" s="19">
        <f>AS96+AR96</f>
        <v>0</v>
      </c>
    </row>
    <row r="97" spans="1:72" ht="12" customHeight="1" outlineLevel="1">
      <c r="A97" s="91" t="s">
        <v>140</v>
      </c>
      <c r="B97" s="87" t="s">
        <v>109</v>
      </c>
      <c r="C97" s="19"/>
      <c r="D97" s="21">
        <v>1344</v>
      </c>
      <c r="E97" s="21">
        <f>722-438-3</f>
        <v>281</v>
      </c>
      <c r="F97" s="21">
        <f>64-19-257</f>
        <v>-212</v>
      </c>
      <c r="G97" s="21">
        <f>53-12</f>
        <v>41</v>
      </c>
      <c r="H97" s="21">
        <f>-404+52</f>
        <v>-352</v>
      </c>
      <c r="I97" s="21">
        <f>1-0-0</f>
        <v>1</v>
      </c>
      <c r="J97" s="21">
        <f>-250-1-242</f>
        <v>-493</v>
      </c>
      <c r="K97" s="21">
        <f>3-242-251-J97</f>
        <v>3</v>
      </c>
      <c r="L97" s="21">
        <f>11-216</f>
        <v>-205</v>
      </c>
      <c r="M97" s="21">
        <f>15-216-875-L97</f>
        <v>-871</v>
      </c>
      <c r="N97" s="62">
        <f>5-266</f>
        <v>-261</v>
      </c>
      <c r="O97" s="62">
        <f>(15-5)+(-216-(-266))</f>
        <v>60</v>
      </c>
      <c r="P97" s="62">
        <f>1-383+6</f>
        <v>-376</v>
      </c>
      <c r="Q97" s="62">
        <f>532-383-P97</f>
        <v>525</v>
      </c>
      <c r="R97" s="62">
        <f>1-433+0</f>
        <v>-432</v>
      </c>
      <c r="S97" s="62">
        <f>1-433+0-R97</f>
        <v>0</v>
      </c>
      <c r="T97" s="62">
        <v>-373</v>
      </c>
      <c r="U97" s="62">
        <f>0-373+0-T97</f>
        <v>0</v>
      </c>
      <c r="V97" s="62">
        <v>-454</v>
      </c>
      <c r="W97" s="62">
        <v>0</v>
      </c>
      <c r="X97" s="62">
        <f>1670-607</f>
        <v>1063</v>
      </c>
      <c r="Y97" s="62">
        <f>1670-607-X97</f>
        <v>0</v>
      </c>
      <c r="Z97" s="62">
        <f>216+579</f>
        <v>795</v>
      </c>
      <c r="AA97" s="62">
        <f>579+258+2-Z97</f>
        <v>44</v>
      </c>
      <c r="AB97" s="62">
        <f>623+432</f>
        <v>1055</v>
      </c>
      <c r="AC97" s="62">
        <f>1500+1277+2+84</f>
        <v>2863</v>
      </c>
      <c r="AD97" s="62">
        <v>485</v>
      </c>
      <c r="AE97" s="62">
        <f>485-AD97</f>
        <v>0</v>
      </c>
      <c r="AF97" s="62">
        <v>0</v>
      </c>
      <c r="AG97" s="62">
        <v>-644</v>
      </c>
      <c r="AH97" s="62">
        <v>-369</v>
      </c>
      <c r="AI97" s="62">
        <v>0</v>
      </c>
      <c r="AJ97" s="57">
        <v>0</v>
      </c>
      <c r="AK97" s="19">
        <f t="shared" ref="AK97:AS97" si="896">AK41*AK43</f>
        <v>-326.15812548978181</v>
      </c>
      <c r="AL97" s="19">
        <f t="shared" si="896"/>
        <v>-326.15812548978175</v>
      </c>
      <c r="AM97" s="19">
        <f t="shared" si="896"/>
        <v>-326.15812548978181</v>
      </c>
      <c r="AN97" s="19">
        <f t="shared" si="896"/>
        <v>0</v>
      </c>
      <c r="AO97" s="19">
        <f t="shared" si="896"/>
        <v>0</v>
      </c>
      <c r="AP97" s="19">
        <f t="shared" si="896"/>
        <v>0</v>
      </c>
      <c r="AQ97" s="19">
        <f t="shared" si="896"/>
        <v>0</v>
      </c>
      <c r="AR97" s="19">
        <f t="shared" si="896"/>
        <v>0</v>
      </c>
      <c r="AS97" s="19">
        <f t="shared" si="896"/>
        <v>0</v>
      </c>
      <c r="AT97" s="19"/>
      <c r="AU97" s="21">
        <f>217+881</f>
        <v>1098</v>
      </c>
      <c r="AV97" s="21">
        <f>308-12</f>
        <v>296</v>
      </c>
      <c r="AW97" s="21">
        <f>1160-21+30</f>
        <v>1169</v>
      </c>
      <c r="AX97" s="21">
        <f>1388+73</f>
        <v>1461</v>
      </c>
      <c r="AY97" s="21">
        <f>355+10</f>
        <v>365</v>
      </c>
      <c r="AZ97" s="19">
        <f>E97+D97</f>
        <v>1625</v>
      </c>
      <c r="BA97" s="19">
        <f>G97+F97</f>
        <v>-171</v>
      </c>
      <c r="BB97" s="19">
        <f>I97+H97</f>
        <v>-351</v>
      </c>
      <c r="BC97" s="19">
        <f>K97+J97</f>
        <v>-490</v>
      </c>
      <c r="BD97" s="19">
        <f>M97+L97</f>
        <v>-1076</v>
      </c>
      <c r="BE97" s="19">
        <f>O97+N97</f>
        <v>-201</v>
      </c>
      <c r="BF97" s="19">
        <f>Q97+P97</f>
        <v>149</v>
      </c>
      <c r="BG97" s="19">
        <f>S97+R97</f>
        <v>-432</v>
      </c>
      <c r="BH97" s="19">
        <f>U97+T97</f>
        <v>-373</v>
      </c>
      <c r="BI97" s="19">
        <f>W97+V97</f>
        <v>-454</v>
      </c>
      <c r="BJ97" s="19">
        <f>Y97+X97</f>
        <v>1063</v>
      </c>
      <c r="BK97" s="19">
        <f>AA97+Z97</f>
        <v>839</v>
      </c>
      <c r="BL97" s="19">
        <f>AC97+AB97</f>
        <v>3918</v>
      </c>
      <c r="BM97" s="19">
        <f>AE97+AD97</f>
        <v>485</v>
      </c>
      <c r="BN97" s="19">
        <f>AG97+AF97</f>
        <v>-644</v>
      </c>
      <c r="BO97" s="20">
        <f>AI97+AH97</f>
        <v>-369</v>
      </c>
      <c r="BP97" s="19">
        <f>AK97+AJ97</f>
        <v>-326.15812548978181</v>
      </c>
      <c r="BQ97" s="19">
        <f>AM97+AL97</f>
        <v>-652.31625097956362</v>
      </c>
      <c r="BR97" s="19">
        <f>AO97+AN97</f>
        <v>0</v>
      </c>
      <c r="BS97" s="19">
        <f>AQ97+AP97</f>
        <v>0</v>
      </c>
      <c r="BT97" s="19">
        <f>AS97+AR97</f>
        <v>0</v>
      </c>
    </row>
    <row r="98" spans="1:72" s="9" customFormat="1" ht="12" customHeight="1" outlineLevel="1">
      <c r="A98" s="91" t="s">
        <v>141</v>
      </c>
      <c r="B98" s="16" t="s">
        <v>142</v>
      </c>
      <c r="C98" s="22">
        <f>AY98</f>
        <v>8664</v>
      </c>
      <c r="D98" s="17">
        <f t="shared" ref="D98:K98" si="897">D93+D94+D95+D96+D97</f>
        <v>10684</v>
      </c>
      <c r="E98" s="17">
        <f t="shared" si="897"/>
        <v>11232</v>
      </c>
      <c r="F98" s="17">
        <f t="shared" si="897"/>
        <v>11061</v>
      </c>
      <c r="G98" s="17">
        <f t="shared" si="897"/>
        <v>11404</v>
      </c>
      <c r="H98" s="17">
        <f t="shared" si="897"/>
        <v>11251</v>
      </c>
      <c r="I98" s="17">
        <f t="shared" si="897"/>
        <v>11203</v>
      </c>
      <c r="J98" s="17">
        <f t="shared" si="897"/>
        <v>10987</v>
      </c>
      <c r="K98" s="17">
        <f t="shared" si="897"/>
        <v>11403</v>
      </c>
      <c r="L98" s="17">
        <f t="shared" ref="L98" si="898">L93+L94+L95+L96+L97</f>
        <v>12229</v>
      </c>
      <c r="M98" s="17">
        <f t="shared" ref="M98" si="899">M93+M94+M95+M96+M97</f>
        <v>11418</v>
      </c>
      <c r="N98" s="17">
        <f t="shared" ref="N98:O98" si="900">N93+N94+N95+N96+N97</f>
        <v>11690</v>
      </c>
      <c r="O98" s="17">
        <f t="shared" si="900"/>
        <v>13909</v>
      </c>
      <c r="P98" s="17">
        <f t="shared" ref="P98:Q98" si="901">P93+P94+P95+P96+P97</f>
        <v>14631</v>
      </c>
      <c r="Q98" s="17">
        <f t="shared" si="901"/>
        <v>15116</v>
      </c>
      <c r="R98" s="17">
        <f t="shared" ref="R98:S98" si="902">R93+R94+R95+R96+R97</f>
        <v>14921</v>
      </c>
      <c r="S98" s="17">
        <f t="shared" si="902"/>
        <v>15563</v>
      </c>
      <c r="T98" s="17">
        <f t="shared" ref="T98:U98" si="903">T93+T94+T95+T96+T97</f>
        <v>15357</v>
      </c>
      <c r="U98" s="17">
        <f t="shared" si="903"/>
        <v>16357</v>
      </c>
      <c r="V98" s="17">
        <f t="shared" ref="V98:W98" si="904">V93+V94+V95+V96+V97</f>
        <v>16560</v>
      </c>
      <c r="W98" s="17">
        <f t="shared" si="904"/>
        <v>17761</v>
      </c>
      <c r="X98" s="17">
        <f t="shared" ref="X98:Y98" si="905">X93+X94+X95+X96+X97</f>
        <v>19617</v>
      </c>
      <c r="Y98" s="17">
        <f t="shared" si="905"/>
        <v>21063</v>
      </c>
      <c r="Z98" s="17">
        <f t="shared" ref="Z98:AA98" si="906">Z93+Z94+Z95+Z96+Z97</f>
        <v>20508</v>
      </c>
      <c r="AA98" s="17">
        <f t="shared" si="906"/>
        <v>22048</v>
      </c>
      <c r="AB98" s="17">
        <f t="shared" ref="AB98:AC98" si="907">AB93+AB94+AB95+AB96+AB97</f>
        <v>24064</v>
      </c>
      <c r="AC98" s="17">
        <f t="shared" si="907"/>
        <v>28561</v>
      </c>
      <c r="AD98" s="17">
        <f t="shared" ref="AD98:AE98" si="908">AD93+AD94+AD95+AD96+AD97</f>
        <v>31337</v>
      </c>
      <c r="AE98" s="17">
        <f t="shared" si="908"/>
        <v>33155</v>
      </c>
      <c r="AF98" s="17">
        <f t="shared" ref="AF98:AG98" si="909">AF93+AF94+AF95+AF96+AF97</f>
        <v>32651</v>
      </c>
      <c r="AG98" s="17">
        <f t="shared" si="909"/>
        <v>33481</v>
      </c>
      <c r="AH98" s="17">
        <f t="shared" ref="AH98:AI98" si="910">AH93+AH94+AH95+AH96+AH97</f>
        <v>32299</v>
      </c>
      <c r="AI98" s="17">
        <f t="shared" si="910"/>
        <v>35356</v>
      </c>
      <c r="AJ98" s="18">
        <f t="shared" ref="AJ98:AK98" si="911">AJ93+AJ94+AJ95+AJ96+AJ97</f>
        <v>34561</v>
      </c>
      <c r="AK98" s="17">
        <f t="shared" si="911"/>
        <v>35667.542368671689</v>
      </c>
      <c r="AL98" s="17">
        <f t="shared" ref="AL98:AM98" si="912">AL93+AL94+AL95+AL96+AL97</f>
        <v>35951.737945446301</v>
      </c>
      <c r="AM98" s="17">
        <f t="shared" si="912"/>
        <v>36800.629642974913</v>
      </c>
      <c r="AN98" s="17">
        <f t="shared" ref="AN98:AO98" si="913">AN93+AN94+AN95+AN96+AN97</f>
        <v>37538.949756650603</v>
      </c>
      <c r="AO98" s="17">
        <f t="shared" si="913"/>
        <v>38860.111162244837</v>
      </c>
      <c r="AP98" s="17">
        <f t="shared" ref="AP98:AQ98" si="914">AP93+AP94+AP95+AP96+AP97</f>
        <v>39497.741288659243</v>
      </c>
      <c r="AQ98" s="17">
        <f t="shared" si="914"/>
        <v>40930.394807232384</v>
      </c>
      <c r="AR98" s="17">
        <f t="shared" ref="AR98:AS98" si="915">AR93+AR94+AR95+AR96+AR97</f>
        <v>41847.295692258165</v>
      </c>
      <c r="AS98" s="17">
        <f t="shared" si="915"/>
        <v>43275.015850887139</v>
      </c>
      <c r="AT98" s="17"/>
      <c r="AU98" s="17">
        <f t="shared" ref="AU98:AX98" si="916">AU93+AU94+AU95+AU96+AU97</f>
        <v>3171</v>
      </c>
      <c r="AV98" s="17">
        <f t="shared" si="916"/>
        <v>4098</v>
      </c>
      <c r="AW98" s="17">
        <f t="shared" si="916"/>
        <v>6271</v>
      </c>
      <c r="AX98" s="17">
        <f t="shared" si="916"/>
        <v>8829</v>
      </c>
      <c r="AY98" s="17">
        <f t="shared" ref="AY98:BH98" si="917">AY93+AY94+AY95+AY96+AY97</f>
        <v>8664</v>
      </c>
      <c r="AZ98" s="17">
        <f t="shared" si="917"/>
        <v>11232</v>
      </c>
      <c r="BA98" s="17">
        <f t="shared" si="917"/>
        <v>11404</v>
      </c>
      <c r="BB98" s="17">
        <f t="shared" si="917"/>
        <v>11203</v>
      </c>
      <c r="BC98" s="17">
        <f t="shared" si="917"/>
        <v>11403</v>
      </c>
      <c r="BD98" s="17">
        <f t="shared" si="917"/>
        <v>11418</v>
      </c>
      <c r="BE98" s="17">
        <f t="shared" si="917"/>
        <v>13909</v>
      </c>
      <c r="BF98" s="17">
        <f t="shared" si="917"/>
        <v>15116</v>
      </c>
      <c r="BG98" s="17">
        <f t="shared" si="917"/>
        <v>15563</v>
      </c>
      <c r="BH98" s="17">
        <f t="shared" si="917"/>
        <v>16357</v>
      </c>
      <c r="BI98" s="17">
        <f t="shared" ref="BI98" si="918">BI93+BI94+BI95+BI96+BI97</f>
        <v>17761</v>
      </c>
      <c r="BJ98" s="17">
        <f t="shared" ref="BJ98:BO98" si="919">BJ93+BJ94+BJ95+BJ96+BJ97</f>
        <v>21063</v>
      </c>
      <c r="BK98" s="17">
        <f t="shared" si="919"/>
        <v>22048</v>
      </c>
      <c r="BL98" s="17">
        <f t="shared" si="919"/>
        <v>28561</v>
      </c>
      <c r="BM98" s="17">
        <f t="shared" si="919"/>
        <v>33155</v>
      </c>
      <c r="BN98" s="17">
        <f t="shared" si="919"/>
        <v>33481</v>
      </c>
      <c r="BO98" s="18">
        <f t="shared" si="919"/>
        <v>35356</v>
      </c>
      <c r="BP98" s="17">
        <f t="shared" ref="BP98:BQ98" si="920">BP93+BP94+BP95+BP96+BP97</f>
        <v>35667.542368671689</v>
      </c>
      <c r="BQ98" s="17">
        <f t="shared" si="920"/>
        <v>36800.629642974913</v>
      </c>
      <c r="BR98" s="17">
        <f t="shared" ref="BR98:BS98" si="921">BR93+BR94+BR95+BR96+BR97</f>
        <v>38860.11116224483</v>
      </c>
      <c r="BS98" s="17">
        <f t="shared" si="921"/>
        <v>40930.394807232384</v>
      </c>
      <c r="BT98" s="17">
        <f>BT93+BT94+BT95+BT96+BT97</f>
        <v>43275.015850887132</v>
      </c>
    </row>
    <row r="99" spans="1:72" ht="12" customHeight="1" outlineLevel="1">
      <c r="A99" s="91" t="s">
        <v>143</v>
      </c>
      <c r="B99" s="87" t="s">
        <v>144</v>
      </c>
      <c r="C99" s="19"/>
      <c r="D99" s="21">
        <v>0</v>
      </c>
      <c r="E99" s="21">
        <v>0</v>
      </c>
      <c r="F99" s="21">
        <v>0</v>
      </c>
      <c r="G99" s="21">
        <v>0</v>
      </c>
      <c r="H99" s="21">
        <v>0</v>
      </c>
      <c r="I99" s="21">
        <v>0</v>
      </c>
      <c r="J99" s="21">
        <v>0</v>
      </c>
      <c r="K99" s="21">
        <v>0</v>
      </c>
      <c r="L99" s="21">
        <v>0</v>
      </c>
      <c r="M99" s="21">
        <v>0</v>
      </c>
      <c r="N99" s="21">
        <v>0</v>
      </c>
      <c r="O99" s="21">
        <v>0</v>
      </c>
      <c r="P99" s="21">
        <v>0</v>
      </c>
      <c r="Q99" s="21">
        <v>0</v>
      </c>
      <c r="R99" s="21">
        <v>0</v>
      </c>
      <c r="S99" s="21">
        <v>0</v>
      </c>
      <c r="T99" s="21">
        <v>0</v>
      </c>
      <c r="U99" s="21">
        <v>0</v>
      </c>
      <c r="V99" s="21">
        <v>0</v>
      </c>
      <c r="W99" s="21">
        <v>0</v>
      </c>
      <c r="X99" s="21">
        <v>0</v>
      </c>
      <c r="Y99" s="21">
        <v>0</v>
      </c>
      <c r="Z99" s="21">
        <v>0</v>
      </c>
      <c r="AA99" s="21">
        <v>0</v>
      </c>
      <c r="AB99" s="21">
        <v>0</v>
      </c>
      <c r="AC99" s="21">
        <v>0</v>
      </c>
      <c r="AD99" s="21">
        <v>0</v>
      </c>
      <c r="AE99" s="21">
        <v>0</v>
      </c>
      <c r="AF99" s="21">
        <v>0</v>
      </c>
      <c r="AG99" s="21">
        <v>0</v>
      </c>
      <c r="AH99" s="21">
        <v>0</v>
      </c>
      <c r="AI99" s="21">
        <v>0</v>
      </c>
      <c r="AJ99" s="24">
        <v>0</v>
      </c>
      <c r="AK99" s="58">
        <f t="shared" ref="AK99" si="922">AJ99</f>
        <v>0</v>
      </c>
      <c r="AL99" s="58">
        <f t="shared" ref="AL99" si="923">AK99</f>
        <v>0</v>
      </c>
      <c r="AM99" s="58">
        <f t="shared" ref="AM99" si="924">AL99</f>
        <v>0</v>
      </c>
      <c r="AN99" s="58">
        <f t="shared" ref="AN99" si="925">AM99</f>
        <v>0</v>
      </c>
      <c r="AO99" s="58">
        <f t="shared" ref="AO99" si="926">AN99</f>
        <v>0</v>
      </c>
      <c r="AP99" s="58">
        <f t="shared" ref="AP99" si="927">AO99</f>
        <v>0</v>
      </c>
      <c r="AQ99" s="58">
        <f t="shared" ref="AQ99" si="928">AP99</f>
        <v>0</v>
      </c>
      <c r="AR99" s="58">
        <f t="shared" ref="AR99" si="929">AQ99</f>
        <v>0</v>
      </c>
      <c r="AS99" s="58">
        <f t="shared" ref="AS99" si="930">AR99</f>
        <v>0</v>
      </c>
      <c r="AT99" s="19"/>
      <c r="AU99" s="21">
        <v>0</v>
      </c>
      <c r="AV99" s="21">
        <v>0</v>
      </c>
      <c r="AW99" s="21">
        <v>0</v>
      </c>
      <c r="AX99" s="21">
        <v>0</v>
      </c>
      <c r="AY99" s="21">
        <v>0</v>
      </c>
      <c r="AZ99" s="19">
        <f>E99</f>
        <v>0</v>
      </c>
      <c r="BA99" s="19">
        <f>G99</f>
        <v>0</v>
      </c>
      <c r="BB99" s="19">
        <f>I99</f>
        <v>0</v>
      </c>
      <c r="BC99" s="19">
        <f>K99</f>
        <v>0</v>
      </c>
      <c r="BD99" s="19">
        <f>M99</f>
        <v>0</v>
      </c>
      <c r="BE99" s="19">
        <f>O99</f>
        <v>0</v>
      </c>
      <c r="BF99" s="19">
        <f>Q99</f>
        <v>0</v>
      </c>
      <c r="BG99" s="19">
        <f>S99</f>
        <v>0</v>
      </c>
      <c r="BH99" s="19">
        <f>U99</f>
        <v>0</v>
      </c>
      <c r="BI99" s="19">
        <f>W99</f>
        <v>0</v>
      </c>
      <c r="BJ99" s="19">
        <f>Y99</f>
        <v>0</v>
      </c>
      <c r="BK99" s="19">
        <f>AA99</f>
        <v>0</v>
      </c>
      <c r="BL99" s="19">
        <f>AC99</f>
        <v>0</v>
      </c>
      <c r="BM99" s="19">
        <f>AE99</f>
        <v>0</v>
      </c>
      <c r="BN99" s="19">
        <f>AG99</f>
        <v>0</v>
      </c>
      <c r="BO99" s="20">
        <f>AI99</f>
        <v>0</v>
      </c>
      <c r="BP99" s="19">
        <f>AK99</f>
        <v>0</v>
      </c>
      <c r="BQ99" s="19">
        <f>AM99</f>
        <v>0</v>
      </c>
      <c r="BR99" s="19">
        <f>AO99</f>
        <v>0</v>
      </c>
      <c r="BS99" s="19">
        <f>AQ99</f>
        <v>0</v>
      </c>
      <c r="BT99" s="19">
        <f>AS99</f>
        <v>0</v>
      </c>
    </row>
    <row r="100" spans="1:72" ht="12" customHeight="1" outlineLevel="1">
      <c r="A100" s="91" t="s">
        <v>145</v>
      </c>
      <c r="B100" s="87" t="s">
        <v>146</v>
      </c>
      <c r="C100" s="19"/>
      <c r="D100" s="21">
        <v>536</v>
      </c>
      <c r="E100" s="21">
        <v>537</v>
      </c>
      <c r="F100" s="21">
        <v>532</v>
      </c>
      <c r="G100" s="21">
        <v>528</v>
      </c>
      <c r="H100" s="21">
        <f>56+391+66</f>
        <v>513</v>
      </c>
      <c r="I100" s="21">
        <f>75+391+63</f>
        <v>529</v>
      </c>
      <c r="J100" s="21">
        <f>57+391+64</f>
        <v>512</v>
      </c>
      <c r="K100" s="21">
        <f>101+391+60</f>
        <v>552</v>
      </c>
      <c r="L100" s="21">
        <v>490</v>
      </c>
      <c r="M100" s="21">
        <f>391+76+29</f>
        <v>496</v>
      </c>
      <c r="N100" s="62">
        <v>526</v>
      </c>
      <c r="O100" s="62">
        <v>487</v>
      </c>
      <c r="P100" s="62">
        <v>586</v>
      </c>
      <c r="Q100" s="62">
        <v>548</v>
      </c>
      <c r="R100" s="62">
        <v>542</v>
      </c>
      <c r="S100" s="62">
        <v>1707</v>
      </c>
      <c r="T100" s="62">
        <v>1742</v>
      </c>
      <c r="U100" s="62">
        <v>1823</v>
      </c>
      <c r="V100" s="62">
        <v>599</v>
      </c>
      <c r="W100" s="62">
        <v>603</v>
      </c>
      <c r="X100" s="62">
        <v>695</v>
      </c>
      <c r="Y100" s="62">
        <v>721</v>
      </c>
      <c r="Z100" s="62">
        <v>281</v>
      </c>
      <c r="AA100" s="62">
        <v>303</v>
      </c>
      <c r="AB100" s="62">
        <v>350</v>
      </c>
      <c r="AC100" s="62">
        <v>245</v>
      </c>
      <c r="AD100" s="62">
        <v>350</v>
      </c>
      <c r="AE100" s="62">
        <v>951</v>
      </c>
      <c r="AF100" s="62">
        <v>487</v>
      </c>
      <c r="AG100" s="62">
        <v>515</v>
      </c>
      <c r="AH100" s="62">
        <v>535</v>
      </c>
      <c r="AI100" s="62">
        <v>433</v>
      </c>
      <c r="AJ100" s="57">
        <v>633</v>
      </c>
      <c r="AK100" s="41">
        <f t="shared" ref="AK100" si="931">AK451+AK452+AK453</f>
        <v>633</v>
      </c>
      <c r="AL100" s="41">
        <f t="shared" ref="AL100:AM100" si="932">AL451+AL452+AL453</f>
        <v>633</v>
      </c>
      <c r="AM100" s="41">
        <f t="shared" si="932"/>
        <v>633</v>
      </c>
      <c r="AN100" s="41">
        <f t="shared" ref="AN100:AO100" si="933">AN451+AN452+AN453</f>
        <v>633</v>
      </c>
      <c r="AO100" s="41">
        <f t="shared" si="933"/>
        <v>633</v>
      </c>
      <c r="AP100" s="41">
        <f t="shared" ref="AP100:AQ100" si="934">AP451+AP452+AP453</f>
        <v>633</v>
      </c>
      <c r="AQ100" s="41">
        <f t="shared" si="934"/>
        <v>633</v>
      </c>
      <c r="AR100" s="41">
        <f t="shared" ref="AR100:AS100" si="935">AR451+AR452+AR453</f>
        <v>633</v>
      </c>
      <c r="AS100" s="41">
        <f t="shared" si="935"/>
        <v>633</v>
      </c>
      <c r="AT100" s="19"/>
      <c r="AU100" s="21">
        <f>863+391</f>
        <v>1254</v>
      </c>
      <c r="AV100" s="21">
        <f>848+391</f>
        <v>1239</v>
      </c>
      <c r="AW100" s="21">
        <f>841+391+16</f>
        <v>1248</v>
      </c>
      <c r="AX100" s="21">
        <v>1232</v>
      </c>
      <c r="AY100" s="21">
        <v>896</v>
      </c>
      <c r="AZ100" s="19">
        <f>E100</f>
        <v>537</v>
      </c>
      <c r="BA100" s="19">
        <f>G100</f>
        <v>528</v>
      </c>
      <c r="BB100" s="19">
        <f>I100</f>
        <v>529</v>
      </c>
      <c r="BC100" s="19">
        <f>K100</f>
        <v>552</v>
      </c>
      <c r="BD100" s="19">
        <f>M100</f>
        <v>496</v>
      </c>
      <c r="BE100" s="19">
        <f>O100</f>
        <v>487</v>
      </c>
      <c r="BF100" s="19">
        <f>Q100</f>
        <v>548</v>
      </c>
      <c r="BG100" s="19">
        <f>S100</f>
        <v>1707</v>
      </c>
      <c r="BH100" s="19">
        <f>U100</f>
        <v>1823</v>
      </c>
      <c r="BI100" s="19">
        <f>W100</f>
        <v>603</v>
      </c>
      <c r="BJ100" s="19">
        <f>Y100</f>
        <v>721</v>
      </c>
      <c r="BK100" s="19">
        <f>AA100</f>
        <v>303</v>
      </c>
      <c r="BL100" s="19">
        <f>AC100</f>
        <v>245</v>
      </c>
      <c r="BM100" s="19">
        <f>AE100</f>
        <v>951</v>
      </c>
      <c r="BN100" s="19">
        <f>AG100</f>
        <v>515</v>
      </c>
      <c r="BO100" s="20">
        <f>AI100</f>
        <v>433</v>
      </c>
      <c r="BP100" s="19">
        <f>AK100</f>
        <v>633</v>
      </c>
      <c r="BQ100" s="19">
        <f>AM100</f>
        <v>633</v>
      </c>
      <c r="BR100" s="19">
        <f>AO100</f>
        <v>633</v>
      </c>
      <c r="BS100" s="19">
        <f>AQ100</f>
        <v>633</v>
      </c>
      <c r="BT100" s="19">
        <f>AS100</f>
        <v>633</v>
      </c>
    </row>
    <row r="101" spans="1:72" s="9" customFormat="1" ht="12" customHeight="1" outlineLevel="1">
      <c r="A101" s="91" t="s">
        <v>147</v>
      </c>
      <c r="B101" s="16" t="s">
        <v>148</v>
      </c>
      <c r="C101" s="17"/>
      <c r="D101" s="17">
        <f t="shared" ref="D101:G101" si="936">D98+D99+D100</f>
        <v>11220</v>
      </c>
      <c r="E101" s="17">
        <f t="shared" si="936"/>
        <v>11769</v>
      </c>
      <c r="F101" s="17">
        <f t="shared" si="936"/>
        <v>11593</v>
      </c>
      <c r="G101" s="17">
        <f t="shared" si="936"/>
        <v>11932</v>
      </c>
      <c r="H101" s="17">
        <f>H98+H99+H100</f>
        <v>11764</v>
      </c>
      <c r="I101" s="17">
        <f>I98+I99+I100</f>
        <v>11732</v>
      </c>
      <c r="J101" s="17">
        <f>J98+J99+J100</f>
        <v>11499</v>
      </c>
      <c r="K101" s="17">
        <f>K98+K99+K100</f>
        <v>11955</v>
      </c>
      <c r="L101" s="17">
        <f>L98+L99+L100</f>
        <v>12719</v>
      </c>
      <c r="M101" s="17">
        <f t="shared" ref="M101" si="937">M98+M99+M100</f>
        <v>11914</v>
      </c>
      <c r="N101" s="17">
        <f t="shared" ref="N101:O101" si="938">N98+N99+N100</f>
        <v>12216</v>
      </c>
      <c r="O101" s="17">
        <f t="shared" si="938"/>
        <v>14396</v>
      </c>
      <c r="P101" s="17">
        <f t="shared" ref="P101:Q101" si="939">P98+P99+P100</f>
        <v>15217</v>
      </c>
      <c r="Q101" s="17">
        <f t="shared" si="939"/>
        <v>15664</v>
      </c>
      <c r="R101" s="17">
        <f t="shared" ref="R101:S101" si="940">R98+R99+R100</f>
        <v>15463</v>
      </c>
      <c r="S101" s="17">
        <f t="shared" si="940"/>
        <v>17270</v>
      </c>
      <c r="T101" s="17">
        <f t="shared" ref="T101:U101" si="941">T98+T99+T100</f>
        <v>17099</v>
      </c>
      <c r="U101" s="17">
        <f t="shared" si="941"/>
        <v>18180</v>
      </c>
      <c r="V101" s="17">
        <f t="shared" ref="V101:W101" si="942">V98+V99+V100</f>
        <v>17159</v>
      </c>
      <c r="W101" s="17">
        <f t="shared" si="942"/>
        <v>18364</v>
      </c>
      <c r="X101" s="17">
        <f t="shared" ref="X101:Y101" si="943">X98+X99+X100</f>
        <v>20312</v>
      </c>
      <c r="Y101" s="17">
        <f t="shared" si="943"/>
        <v>21784</v>
      </c>
      <c r="Z101" s="17">
        <f t="shared" ref="Z101:AA101" si="944">Z98+Z99+Z100</f>
        <v>20789</v>
      </c>
      <c r="AA101" s="17">
        <f t="shared" si="944"/>
        <v>22351</v>
      </c>
      <c r="AB101" s="17">
        <f t="shared" ref="AB101:AC101" si="945">AB98+AB99+AB100</f>
        <v>24414</v>
      </c>
      <c r="AC101" s="17">
        <f t="shared" si="945"/>
        <v>28806</v>
      </c>
      <c r="AD101" s="17">
        <f t="shared" ref="AD101:AE101" si="946">AD98+AD99+AD100</f>
        <v>31687</v>
      </c>
      <c r="AE101" s="17">
        <f t="shared" si="946"/>
        <v>34106</v>
      </c>
      <c r="AF101" s="17">
        <f t="shared" ref="AF101:AG101" si="947">AF98+AF99+AF100</f>
        <v>33138</v>
      </c>
      <c r="AG101" s="17">
        <f t="shared" si="947"/>
        <v>33996</v>
      </c>
      <c r="AH101" s="17">
        <f t="shared" ref="AH101:AJ101" si="948">AH98+AH99+AH100</f>
        <v>32834</v>
      </c>
      <c r="AI101" s="17">
        <f t="shared" si="948"/>
        <v>35789</v>
      </c>
      <c r="AJ101" s="18">
        <f t="shared" si="948"/>
        <v>35194</v>
      </c>
      <c r="AK101" s="17">
        <f t="shared" ref="AK101" si="949">AK98+AK99+AK100</f>
        <v>36300.542368671689</v>
      </c>
      <c r="AL101" s="17">
        <f t="shared" ref="AL101:AM101" si="950">AL98+AL99+AL100</f>
        <v>36584.737945446301</v>
      </c>
      <c r="AM101" s="17">
        <f t="shared" si="950"/>
        <v>37433.629642974913</v>
      </c>
      <c r="AN101" s="17">
        <f t="shared" ref="AN101:AO101" si="951">AN98+AN99+AN100</f>
        <v>38171.949756650603</v>
      </c>
      <c r="AO101" s="17">
        <f t="shared" si="951"/>
        <v>39493.111162244837</v>
      </c>
      <c r="AP101" s="17">
        <f t="shared" ref="AP101:AQ101" si="952">AP98+AP99+AP100</f>
        <v>40130.741288659243</v>
      </c>
      <c r="AQ101" s="17">
        <f t="shared" si="952"/>
        <v>41563.394807232384</v>
      </c>
      <c r="AR101" s="17">
        <f t="shared" ref="AR101:AS101" si="953">AR98+AR99+AR100</f>
        <v>42480.295692258165</v>
      </c>
      <c r="AS101" s="17">
        <f t="shared" si="953"/>
        <v>43908.015850887139</v>
      </c>
      <c r="AT101" s="17"/>
      <c r="AU101" s="17">
        <f t="shared" ref="AU101:AX101" si="954">AU98+AU99+AU100</f>
        <v>4425</v>
      </c>
      <c r="AV101" s="17">
        <f t="shared" si="954"/>
        <v>5337</v>
      </c>
      <c r="AW101" s="17">
        <f t="shared" si="954"/>
        <v>7519</v>
      </c>
      <c r="AX101" s="17">
        <f t="shared" si="954"/>
        <v>10061</v>
      </c>
      <c r="AY101" s="17">
        <f t="shared" ref="AY101:BH101" si="955">AY98+AY99+AY100</f>
        <v>9560</v>
      </c>
      <c r="AZ101" s="17">
        <f t="shared" si="955"/>
        <v>11769</v>
      </c>
      <c r="BA101" s="17">
        <f t="shared" si="955"/>
        <v>11932</v>
      </c>
      <c r="BB101" s="17">
        <f t="shared" si="955"/>
        <v>11732</v>
      </c>
      <c r="BC101" s="17">
        <f t="shared" si="955"/>
        <v>11955</v>
      </c>
      <c r="BD101" s="17">
        <f t="shared" si="955"/>
        <v>11914</v>
      </c>
      <c r="BE101" s="17">
        <f t="shared" si="955"/>
        <v>14396</v>
      </c>
      <c r="BF101" s="17">
        <f t="shared" si="955"/>
        <v>15664</v>
      </c>
      <c r="BG101" s="17">
        <f t="shared" si="955"/>
        <v>17270</v>
      </c>
      <c r="BH101" s="17">
        <f t="shared" si="955"/>
        <v>18180</v>
      </c>
      <c r="BI101" s="17">
        <f t="shared" ref="BI101" si="956">BI98+BI99+BI100</f>
        <v>18364</v>
      </c>
      <c r="BJ101" s="17">
        <f t="shared" ref="BJ101:BO101" si="957">BJ98+BJ99+BJ100</f>
        <v>21784</v>
      </c>
      <c r="BK101" s="17">
        <f t="shared" si="957"/>
        <v>22351</v>
      </c>
      <c r="BL101" s="17">
        <f t="shared" si="957"/>
        <v>28806</v>
      </c>
      <c r="BM101" s="17">
        <f t="shared" si="957"/>
        <v>34106</v>
      </c>
      <c r="BN101" s="17">
        <f t="shared" si="957"/>
        <v>33996</v>
      </c>
      <c r="BO101" s="18">
        <f t="shared" si="957"/>
        <v>35789</v>
      </c>
      <c r="BP101" s="17">
        <f t="shared" ref="BP101:BQ101" si="958">BP98+BP99+BP100</f>
        <v>36300.542368671689</v>
      </c>
      <c r="BQ101" s="17">
        <f t="shared" si="958"/>
        <v>37433.629642974913</v>
      </c>
      <c r="BR101" s="17">
        <f t="shared" ref="BR101:BS101" si="959">BR98+BR99+BR100</f>
        <v>39493.11116224483</v>
      </c>
      <c r="BS101" s="17">
        <f t="shared" si="959"/>
        <v>41563.394807232384</v>
      </c>
      <c r="BT101" s="17">
        <f>BT98+BT99+BT100</f>
        <v>43908.015850887132</v>
      </c>
    </row>
    <row r="102" spans="1:72" ht="12" customHeight="1" outlineLevel="1">
      <c r="B102" s="87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279"/>
      <c r="Z102" s="279"/>
      <c r="AA102" s="19"/>
      <c r="AB102" s="19"/>
      <c r="AC102" s="19"/>
      <c r="AD102" s="19"/>
      <c r="AE102" s="19"/>
      <c r="AF102" s="19"/>
      <c r="AG102" s="19"/>
      <c r="AH102" s="19"/>
      <c r="AI102" s="19"/>
      <c r="AJ102" s="20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36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  <c r="BO102" s="20"/>
      <c r="BP102" s="19"/>
      <c r="BQ102" s="19"/>
      <c r="BR102" s="19"/>
      <c r="BS102" s="19"/>
      <c r="BT102" s="19"/>
    </row>
    <row r="103" spans="1:72" s="9" customFormat="1" ht="12" customHeight="1" outlineLevel="1">
      <c r="A103" s="91" t="s">
        <v>149</v>
      </c>
      <c r="B103" s="16" t="s">
        <v>150</v>
      </c>
      <c r="C103" s="17"/>
      <c r="D103" s="22">
        <f>332.683024/0.9834</f>
        <v>338.29878381126701</v>
      </c>
      <c r="E103" s="22">
        <f>344.244271/0.9834</f>
        <v>350.05518710595891</v>
      </c>
      <c r="F103" s="22">
        <f>345.601301/0.9834</f>
        <v>351.43512405938577</v>
      </c>
      <c r="G103" s="22">
        <f>346.814961/0.9834</f>
        <v>352.66927089688829</v>
      </c>
      <c r="H103" s="22">
        <f>348.285032/0.9834</f>
        <v>354.16415700630466</v>
      </c>
      <c r="I103" s="22">
        <f>348.584383/0.9834</f>
        <v>354.46856111450069</v>
      </c>
      <c r="J103" s="22">
        <f>339.009111/0.9834</f>
        <v>344.73165649786455</v>
      </c>
      <c r="K103" s="22">
        <f>339.506578/0.9834</f>
        <v>345.23752084604433</v>
      </c>
      <c r="L103" s="22">
        <f>339.888036/0.9834</f>
        <v>345.62541793776694</v>
      </c>
      <c r="M103" s="22">
        <v>321.07474999999999</v>
      </c>
      <c r="N103" s="22">
        <v>321.20299399999999</v>
      </c>
      <c r="O103" s="22">
        <v>333.45777700000002</v>
      </c>
      <c r="P103" s="22">
        <v>333.53196000000003</v>
      </c>
      <c r="Q103" s="22">
        <v>340.30238900000001</v>
      </c>
      <c r="R103" s="22">
        <v>340.33847400000002</v>
      </c>
      <c r="S103" s="22">
        <v>340.35173099999997</v>
      </c>
      <c r="T103" s="22">
        <v>340.35790300000002</v>
      </c>
      <c r="U103" s="22">
        <v>340.36482000000001</v>
      </c>
      <c r="V103" s="22">
        <v>340.38273800000002</v>
      </c>
      <c r="W103" s="22">
        <v>340.38273800000002</v>
      </c>
      <c r="X103" s="22">
        <v>354.37646699999999</v>
      </c>
      <c r="Y103" s="22">
        <v>354.381396</v>
      </c>
      <c r="Z103" s="22">
        <v>361.50362699999999</v>
      </c>
      <c r="AA103" s="22">
        <v>361.82137699999998</v>
      </c>
      <c r="AB103" s="22">
        <v>368.82316900000001</v>
      </c>
      <c r="AC103" s="22">
        <v>383.64763699999997</v>
      </c>
      <c r="AD103" s="22">
        <v>386.47675400000003</v>
      </c>
      <c r="AE103" s="22">
        <v>386.47675400000003</v>
      </c>
      <c r="AF103" s="22">
        <v>386.47675400000003</v>
      </c>
      <c r="AG103" s="22">
        <v>382.96253300000001</v>
      </c>
      <c r="AH103" s="22">
        <v>381.13841500000001</v>
      </c>
      <c r="AI103" s="22">
        <v>381.13841500000001</v>
      </c>
      <c r="AJ103" s="23">
        <v>381.13841500000001</v>
      </c>
      <c r="AK103" s="17">
        <f t="shared" ref="AK103:AS103" si="960">AJ103+AK41</f>
        <v>379.68406348563246</v>
      </c>
      <c r="AL103" s="17">
        <f t="shared" si="960"/>
        <v>378.29232361762394</v>
      </c>
      <c r="AM103" s="17">
        <f t="shared" si="960"/>
        <v>376.96049988651816</v>
      </c>
      <c r="AN103" s="17">
        <f t="shared" si="960"/>
        <v>376.96049988651816</v>
      </c>
      <c r="AO103" s="17">
        <f t="shared" si="960"/>
        <v>376.96049988651816</v>
      </c>
      <c r="AP103" s="17">
        <f t="shared" si="960"/>
        <v>376.96049988651816</v>
      </c>
      <c r="AQ103" s="17">
        <f t="shared" si="960"/>
        <v>376.96049988651816</v>
      </c>
      <c r="AR103" s="17">
        <f t="shared" si="960"/>
        <v>376.96049988651816</v>
      </c>
      <c r="AS103" s="17">
        <f t="shared" si="960"/>
        <v>376.96049988651816</v>
      </c>
      <c r="AT103" s="17"/>
      <c r="AU103" s="22">
        <f>223.683592/0.9834</f>
        <v>227.45941834451901</v>
      </c>
      <c r="AV103" s="22">
        <f>232.440369/0.9834</f>
        <v>236.36401159243439</v>
      </c>
      <c r="AW103" s="22">
        <f>253.941205/0.9834</f>
        <v>258.22778625177955</v>
      </c>
      <c r="AX103" s="22">
        <f>274.57084/0.9834</f>
        <v>279.20565385397595</v>
      </c>
      <c r="AY103" s="22">
        <f>283.438/0.9834</f>
        <v>288.2224933902786</v>
      </c>
      <c r="AZ103" s="17">
        <f>E103</f>
        <v>350.05518710595891</v>
      </c>
      <c r="BA103" s="17">
        <f>G103</f>
        <v>352.66927089688829</v>
      </c>
      <c r="BB103" s="17">
        <f>I103</f>
        <v>354.46856111450069</v>
      </c>
      <c r="BC103" s="17">
        <f>K103</f>
        <v>345.23752084604433</v>
      </c>
      <c r="BD103" s="17">
        <f>M103</f>
        <v>321.07474999999999</v>
      </c>
      <c r="BE103" s="17">
        <f>O103</f>
        <v>333.45777700000002</v>
      </c>
      <c r="BF103" s="17">
        <f>Q103</f>
        <v>340.30238900000001</v>
      </c>
      <c r="BG103" s="17">
        <f>S103</f>
        <v>340.35173099999997</v>
      </c>
      <c r="BH103" s="17">
        <f>U103</f>
        <v>340.36482000000001</v>
      </c>
      <c r="BI103" s="17">
        <f>W103</f>
        <v>340.38273800000002</v>
      </c>
      <c r="BJ103" s="17">
        <f>Y103</f>
        <v>354.381396</v>
      </c>
      <c r="BK103" s="17">
        <f>AA103</f>
        <v>361.82137699999998</v>
      </c>
      <c r="BL103" s="17">
        <f>AC103</f>
        <v>383.64763699999997</v>
      </c>
      <c r="BM103" s="17">
        <f>AE103</f>
        <v>386.47675400000003</v>
      </c>
      <c r="BN103" s="17">
        <f>AG103</f>
        <v>382.96253300000001</v>
      </c>
      <c r="BO103" s="18">
        <f>AI103</f>
        <v>381.13841500000001</v>
      </c>
      <c r="BP103" s="17">
        <f>AK103</f>
        <v>379.68406348563246</v>
      </c>
      <c r="BQ103" s="17">
        <f>AM103</f>
        <v>376.96049988651816</v>
      </c>
      <c r="BR103" s="17">
        <f>AO103</f>
        <v>376.96049988651816</v>
      </c>
      <c r="BS103" s="17">
        <f>AQ103</f>
        <v>376.96049988651816</v>
      </c>
      <c r="BT103" s="17">
        <f>AS103</f>
        <v>376.96049988651816</v>
      </c>
    </row>
    <row r="104" spans="1:72" ht="12" customHeight="1" outlineLevel="1">
      <c r="A104" s="91" t="s">
        <v>151</v>
      </c>
      <c r="B104" s="87" t="s">
        <v>152</v>
      </c>
      <c r="C104" s="19"/>
      <c r="D104" s="21">
        <f>318.880002/0.9834</f>
        <v>324.26276388041487</v>
      </c>
      <c r="E104" s="21">
        <f>336.949981/0.9834</f>
        <v>342.63776794793569</v>
      </c>
      <c r="F104" s="21">
        <f>333.939801/0.9834</f>
        <v>339.57677547284925</v>
      </c>
      <c r="G104" s="21">
        <f>332.592566/0.9834</f>
        <v>338.20679886109411</v>
      </c>
      <c r="H104" s="21">
        <f>328.034686/0.9834</f>
        <v>333.57198088265204</v>
      </c>
      <c r="I104" s="21">
        <f>326.061497/0.9834</f>
        <v>331.56548403498061</v>
      </c>
      <c r="J104" s="21">
        <f>317.589425/0.9834</f>
        <v>322.95040166768354</v>
      </c>
      <c r="K104" s="21">
        <f>311.341727/0.9834</f>
        <v>316.59724120398613</v>
      </c>
      <c r="L104" s="21">
        <f>309.901261/0.9834</f>
        <v>315.13245983323162</v>
      </c>
      <c r="M104" s="21">
        <v>302.08156700000001</v>
      </c>
      <c r="N104" s="21">
        <v>295.35898400000002</v>
      </c>
      <c r="O104" s="21">
        <v>300.88885699999997</v>
      </c>
      <c r="P104" s="21">
        <v>310.60417100000001</v>
      </c>
      <c r="Q104" s="21">
        <v>319.251239</v>
      </c>
      <c r="R104" s="21">
        <v>321.03969499999999</v>
      </c>
      <c r="S104" s="21">
        <v>321.24613299999999</v>
      </c>
      <c r="T104" s="21">
        <v>322.12424800000002</v>
      </c>
      <c r="U104" s="21">
        <v>322.81053800000001</v>
      </c>
      <c r="V104" s="21">
        <v>323.71719200000001</v>
      </c>
      <c r="W104" s="21">
        <v>324.57027827426595</v>
      </c>
      <c r="X104" s="21">
        <v>326.43939499999999</v>
      </c>
      <c r="Y104" s="62">
        <f>(Y81+Y107)/3.621</f>
        <v>340.23750345208504</v>
      </c>
      <c r="Z104" s="62">
        <v>344.42484999999999</v>
      </c>
      <c r="AA104" s="62">
        <f>(AA81+AA107)/5.652</f>
        <v>347.31068648266097</v>
      </c>
      <c r="AB104" s="62">
        <v>351.66793000000001</v>
      </c>
      <c r="AC104" s="62">
        <v>365.37429900000001</v>
      </c>
      <c r="AD104" s="62">
        <v>370.13653099999999</v>
      </c>
      <c r="AE104" s="62">
        <v>372.813086</v>
      </c>
      <c r="AF104" s="62">
        <v>370.28655600000002</v>
      </c>
      <c r="AG104" s="62">
        <v>369.31511599999999</v>
      </c>
      <c r="AH104" s="62">
        <v>366.18581399999999</v>
      </c>
      <c r="AI104" s="62">
        <v>365.852305</v>
      </c>
      <c r="AJ104" s="57">
        <v>366.62100099999998</v>
      </c>
      <c r="AK104" s="19">
        <f t="shared" ref="AK104" si="961">AJ104/AVERAGE(AI103:AJ103)*AVERAGE(AJ103:AK103)</f>
        <v>365.92152308460368</v>
      </c>
      <c r="AL104" s="19">
        <f t="shared" ref="AL104" si="962">AK104/AVERAGE(AJ103:AK103)*AVERAGE(AK103:AL103)</f>
        <v>364.55268065036074</v>
      </c>
      <c r="AM104" s="19">
        <f t="shared" ref="AM104" si="963">AL104/AVERAGE(AK103:AL103)*AVERAGE(AL103:AM103)</f>
        <v>363.24276858994239</v>
      </c>
      <c r="AN104" s="19">
        <f t="shared" ref="AN104" si="964">AM104/AVERAGE(AL103:AM103)*AVERAGE(AM103:AN103)</f>
        <v>362.60222104837072</v>
      </c>
      <c r="AO104" s="19">
        <f t="shared" ref="AO104" si="965">AN104/AVERAGE(AM103:AN103)*AVERAGE(AN103:AO103)</f>
        <v>362.60222104837072</v>
      </c>
      <c r="AP104" s="19">
        <f t="shared" ref="AP104" si="966">AO104/AVERAGE(AN103:AO103)*AVERAGE(AO103:AP103)</f>
        <v>362.60222104837072</v>
      </c>
      <c r="AQ104" s="19">
        <f t="shared" ref="AQ104" si="967">AP104/AVERAGE(AO103:AP103)*AVERAGE(AP103:AQ103)</f>
        <v>362.60222104837072</v>
      </c>
      <c r="AR104" s="19">
        <f t="shared" ref="AR104" si="968">AQ104/AVERAGE(AP103:AQ103)*AVERAGE(AQ103:AR103)</f>
        <v>362.60222104837072</v>
      </c>
      <c r="AS104" s="19">
        <f t="shared" ref="AS104" si="969">AR104/AVERAGE(AQ103:AR103)*AVERAGE(AR103:AS103)</f>
        <v>362.60222104837072</v>
      </c>
      <c r="AT104" s="19"/>
      <c r="AU104" s="21">
        <f>219.69811/0.9834</f>
        <v>223.40666056538541</v>
      </c>
      <c r="AV104" s="21">
        <f>228.840495/0.9834</f>
        <v>232.70337095790114</v>
      </c>
      <c r="AW104" s="21">
        <f>247.313494/0.9834</f>
        <v>251.48819808826519</v>
      </c>
      <c r="AX104" s="21">
        <f>268.85495/0.9834</f>
        <v>273.39327842180188</v>
      </c>
      <c r="AY104" s="21">
        <f>281.37331/0.9834</f>
        <v>286.12295098637378</v>
      </c>
      <c r="AZ104" s="21">
        <f>327.908104/0.9834</f>
        <v>333.4432621517185</v>
      </c>
      <c r="BA104" s="21">
        <f>338.359374/0.9834</f>
        <v>344.07095179987795</v>
      </c>
      <c r="BB104" s="21">
        <f>327.014737/0.9834</f>
        <v>332.53481492780151</v>
      </c>
      <c r="BC104" s="21">
        <f>314.518789/0.9834</f>
        <v>319.82793268252999</v>
      </c>
      <c r="BD104" s="21">
        <v>306.08165700000001</v>
      </c>
      <c r="BE104" s="21">
        <v>298.05655400000001</v>
      </c>
      <c r="BF104" s="21">
        <v>315.07742000000002</v>
      </c>
      <c r="BG104" s="21">
        <v>321.14715999999999</v>
      </c>
      <c r="BH104" s="21">
        <v>322.47566</v>
      </c>
      <c r="BI104" s="21">
        <v>324.00468599999999</v>
      </c>
      <c r="BJ104" s="21">
        <v>333.23437699999999</v>
      </c>
      <c r="BK104" s="21">
        <v>345.94075900000001</v>
      </c>
      <c r="BL104" s="21">
        <v>358.49600600000002</v>
      </c>
      <c r="BM104" s="21">
        <v>370.47358700000001</v>
      </c>
      <c r="BN104" s="21">
        <v>369.31511599999999</v>
      </c>
      <c r="BO104" s="24">
        <v>365.852305</v>
      </c>
      <c r="BP104" s="25">
        <f>SUMPRODUCT(AJ104:AK104,AJ$5:AK$5)/SUM(AJ$5:AK$5)</f>
        <v>366.27030385337662</v>
      </c>
      <c r="BQ104" s="25">
        <f>SUMPRODUCT(AL104:AM104,AL$5:AM$5)/SUM(AL$5:AM$5)</f>
        <v>363.89593022006881</v>
      </c>
      <c r="BR104" s="25">
        <f>SUMPRODUCT(AN104:AO104,AN$5:AO$5)/SUM(AN$5:AO$5)</f>
        <v>362.60222104837072</v>
      </c>
      <c r="BS104" s="25">
        <f>SUMPRODUCT(AP104:AQ104,AP$5:AQ$5)/SUM(AP$5:AQ$5)</f>
        <v>362.60222104837078</v>
      </c>
      <c r="BT104" s="25">
        <f>SUMPRODUCT(AR104:AS104,AR$5:AS$5)/SUM(AR$5:AS$5)</f>
        <v>362.60222104837078</v>
      </c>
    </row>
    <row r="105" spans="1:72" ht="12" customHeight="1" outlineLevel="1">
      <c r="A105" s="91" t="s">
        <v>153</v>
      </c>
      <c r="B105" s="87" t="s">
        <v>154</v>
      </c>
      <c r="C105" s="19"/>
      <c r="D105" s="21">
        <f>330.901394/0.9834</f>
        <v>336.48707952003252</v>
      </c>
      <c r="E105" s="21">
        <f>350.129246/0.9834</f>
        <v>356.03950172869634</v>
      </c>
      <c r="F105" s="21">
        <f>353.650033/0.9834</f>
        <v>359.61972035794184</v>
      </c>
      <c r="G105" s="21">
        <f>352.713552/0.9834</f>
        <v>358.66743136058568</v>
      </c>
      <c r="H105" s="21">
        <f>332.948037/0.9834</f>
        <v>338.5682702867602</v>
      </c>
      <c r="I105" s="21">
        <f>338.422411/0.9834</f>
        <v>344.13505287777099</v>
      </c>
      <c r="J105" s="21">
        <f>341.952282/0.9834</f>
        <v>347.72450884685787</v>
      </c>
      <c r="K105" s="21">
        <f>353.914719/0.9834</f>
        <v>359.88887431360581</v>
      </c>
      <c r="L105" s="21">
        <f>352.616876/0.9834</f>
        <v>358.56912344925763</v>
      </c>
      <c r="M105" s="21">
        <v>342.027467</v>
      </c>
      <c r="N105" s="21">
        <v>330.89344</v>
      </c>
      <c r="O105" s="21">
        <v>337.71861000000001</v>
      </c>
      <c r="P105" s="21">
        <v>347.10364600000003</v>
      </c>
      <c r="Q105" s="21">
        <v>359.59904799999998</v>
      </c>
      <c r="R105" s="21">
        <v>356.96730300000002</v>
      </c>
      <c r="S105" s="21">
        <v>357.065988</v>
      </c>
      <c r="T105" s="21">
        <v>354.26104800000002</v>
      </c>
      <c r="U105" s="21">
        <v>351.41311000000002</v>
      </c>
      <c r="V105" s="21">
        <v>346.40675299999998</v>
      </c>
      <c r="W105" s="21">
        <v>355.8586472850788</v>
      </c>
      <c r="X105" s="21">
        <v>359.92869200000001</v>
      </c>
      <c r="Y105" s="62">
        <f>(Y81+Y107+Y106)/3.507</f>
        <v>377.24550898203591</v>
      </c>
      <c r="Z105" s="62">
        <v>372.29918800000002</v>
      </c>
      <c r="AA105" s="62">
        <f>(AA81+AA107+AA106)/5.46</f>
        <v>380.95238095238096</v>
      </c>
      <c r="AB105" s="62">
        <v>381.40612399999998</v>
      </c>
      <c r="AC105" s="62">
        <v>397.96090199999998</v>
      </c>
      <c r="AD105" s="62">
        <v>405.55321500000002</v>
      </c>
      <c r="AE105" s="62">
        <v>411.17868900000002</v>
      </c>
      <c r="AF105" s="62">
        <v>380.99517400000002</v>
      </c>
      <c r="AG105" s="62">
        <v>380.620993</v>
      </c>
      <c r="AH105" s="62">
        <v>376.37583599999999</v>
      </c>
      <c r="AI105" s="62">
        <v>376.32184000000001</v>
      </c>
      <c r="AJ105" s="57">
        <v>376.13996300000002</v>
      </c>
      <c r="AK105" s="19">
        <f t="shared" ref="AK105" si="970">AK104+AJ105-AJ104</f>
        <v>375.44048508460378</v>
      </c>
      <c r="AL105" s="19">
        <f t="shared" ref="AL105" si="971">AL104+AK105-AK104</f>
        <v>374.0716426503609</v>
      </c>
      <c r="AM105" s="19">
        <f t="shared" ref="AM105" si="972">AM104+AL105-AL104</f>
        <v>372.7617305899426</v>
      </c>
      <c r="AN105" s="19">
        <f t="shared" ref="AN105" si="973">AN104+AM105-AM104</f>
        <v>372.12118304837094</v>
      </c>
      <c r="AO105" s="19">
        <f t="shared" ref="AO105" si="974">AO104+AN105-AN104</f>
        <v>372.12118304837094</v>
      </c>
      <c r="AP105" s="19">
        <f t="shared" ref="AP105" si="975">AP104+AO105-AO104</f>
        <v>372.12118304837094</v>
      </c>
      <c r="AQ105" s="19">
        <f t="shared" ref="AQ105" si="976">AQ104+AP105-AP104</f>
        <v>372.12118304837094</v>
      </c>
      <c r="AR105" s="19">
        <f t="shared" ref="AR105" si="977">AR104+AQ105-AQ104</f>
        <v>372.12118304837094</v>
      </c>
      <c r="AS105" s="19">
        <f t="shared" ref="AS105" si="978">AS104+AR105-AR104</f>
        <v>372.12118304837094</v>
      </c>
      <c r="AT105" s="19"/>
      <c r="AU105" s="21">
        <f>224.867697/0.9834</f>
        <v>228.66351128737034</v>
      </c>
      <c r="AV105" s="21">
        <f>239.63136/0.9834</f>
        <v>243.67638804148871</v>
      </c>
      <c r="AW105" s="21">
        <f>256.755069/0.9834</f>
        <v>261.08914887126292</v>
      </c>
      <c r="AX105" s="21">
        <f>275.877988/0.9834</f>
        <v>280.53486678869228</v>
      </c>
      <c r="AY105" s="21">
        <f>282.327103/0.9834</f>
        <v>287.09284421395159</v>
      </c>
      <c r="AZ105" s="21">
        <f>340.843292/0.9834</f>
        <v>346.59679886109416</v>
      </c>
      <c r="BA105" s="21">
        <f>359.248732/0.9834</f>
        <v>365.31292658124875</v>
      </c>
      <c r="BB105" s="21">
        <f>339.533999/0.9834</f>
        <v>345.26540471832413</v>
      </c>
      <c r="BC105" s="21">
        <f>356.354089/0.9834</f>
        <v>362.36942139515963</v>
      </c>
      <c r="BD105" s="21">
        <v>345.89343300000002</v>
      </c>
      <c r="BE105" s="21">
        <v>332.29247900000001</v>
      </c>
      <c r="BF105" s="21">
        <v>354.11880200000002</v>
      </c>
      <c r="BG105" s="21">
        <v>355.60108700000001</v>
      </c>
      <c r="BH105" s="21">
        <v>351.05674900000002</v>
      </c>
      <c r="BI105" s="21">
        <v>351.22592600000002</v>
      </c>
      <c r="BJ105" s="21">
        <v>370.55994700000002</v>
      </c>
      <c r="BK105" s="21">
        <v>375.44849499999998</v>
      </c>
      <c r="BL105" s="21">
        <v>388.82599699999997</v>
      </c>
      <c r="BM105" s="21">
        <v>406.59170999999998</v>
      </c>
      <c r="BN105" s="21">
        <v>380.620993</v>
      </c>
      <c r="BO105" s="24">
        <v>376.32184000000001</v>
      </c>
      <c r="BP105" s="25">
        <f>SUMPRODUCT(AJ105:AK105,AJ$5:AK$5)/SUM(AJ$5:AK$5)</f>
        <v>375.78926585337672</v>
      </c>
      <c r="BQ105" s="25">
        <f>SUMPRODUCT(AL105:AM105,AL$5:AM$5)/SUM(AL$5:AM$5)</f>
        <v>373.41489222006896</v>
      </c>
      <c r="BR105" s="25">
        <f>SUMPRODUCT(AN105:AO105,AN$5:AO$5)/SUM(AN$5:AO$5)</f>
        <v>372.12118304837094</v>
      </c>
      <c r="BS105" s="25">
        <f>SUMPRODUCT(AP105:AQ105,AP$5:AQ$5)/SUM(AP$5:AQ$5)</f>
        <v>372.12118304837094</v>
      </c>
      <c r="BT105" s="25">
        <f>SUMPRODUCT(AR105:AS105,AR$5:AS$5)/SUM(AR$5:AS$5)</f>
        <v>372.12118304837094</v>
      </c>
    </row>
    <row r="106" spans="1:72" ht="12" customHeight="1" outlineLevel="1">
      <c r="A106" s="91" t="s">
        <v>155</v>
      </c>
      <c r="B106" s="87" t="s">
        <v>156</v>
      </c>
      <c r="C106" s="19"/>
      <c r="D106" s="21">
        <v>16</v>
      </c>
      <c r="E106" s="21">
        <v>16</v>
      </c>
      <c r="F106" s="21">
        <f>16</f>
        <v>16</v>
      </c>
      <c r="G106" s="21">
        <f>17</f>
        <v>17</v>
      </c>
      <c r="H106" s="21">
        <v>0</v>
      </c>
      <c r="I106" s="21">
        <v>0</v>
      </c>
      <c r="J106" s="21">
        <f>6</f>
        <v>6</v>
      </c>
      <c r="K106" s="21">
        <f>6+18+24</f>
        <v>48</v>
      </c>
      <c r="L106" s="21">
        <f>5+6+7+28</f>
        <v>46</v>
      </c>
      <c r="M106" s="21">
        <f>14+7+9+73-L106</f>
        <v>57</v>
      </c>
      <c r="N106" s="62">
        <f>9+5+0+34</f>
        <v>48</v>
      </c>
      <c r="O106" s="62">
        <f>(18-9)+(11-5)+(6-0)+(77-34)</f>
        <v>64</v>
      </c>
      <c r="P106" s="62">
        <f>6+9+7+46</f>
        <v>68</v>
      </c>
      <c r="Q106" s="62">
        <f>35+79+22+10+28-P106</f>
        <v>106</v>
      </c>
      <c r="R106" s="62">
        <f>29+58</f>
        <v>87</v>
      </c>
      <c r="S106" s="62">
        <f>65+115-R106</f>
        <v>93</v>
      </c>
      <c r="T106" s="62">
        <f>35+48</f>
        <v>83</v>
      </c>
      <c r="U106" s="62">
        <f>75+90-T106</f>
        <v>82</v>
      </c>
      <c r="V106" s="62">
        <f>36+6+11+17</f>
        <v>70</v>
      </c>
      <c r="W106" s="62">
        <f>48+10+17+26+1</f>
        <v>102</v>
      </c>
      <c r="X106" s="62">
        <f>34+10+16+24+22</f>
        <v>106</v>
      </c>
      <c r="Y106" s="62">
        <f>58+18+32+46+43-X106</f>
        <v>91</v>
      </c>
      <c r="Z106" s="62">
        <f>17+9+19+18</f>
        <v>63</v>
      </c>
      <c r="AA106" s="62">
        <f>57+123-Z106</f>
        <v>117</v>
      </c>
      <c r="AB106" s="62">
        <f>41+61</f>
        <v>102</v>
      </c>
      <c r="AC106" s="62">
        <f>68+60</f>
        <v>128</v>
      </c>
      <c r="AD106" s="62">
        <f>95+45</f>
        <v>140</v>
      </c>
      <c r="AE106" s="62">
        <f>63+139</f>
        <v>202</v>
      </c>
      <c r="AF106" s="62">
        <f>28+0</f>
        <v>28</v>
      </c>
      <c r="AG106" s="62">
        <f>84-AF106</f>
        <v>56</v>
      </c>
      <c r="AH106" s="62">
        <v>37</v>
      </c>
      <c r="AI106" s="62">
        <f>88-AH106</f>
        <v>51</v>
      </c>
      <c r="AJ106" s="57">
        <v>35</v>
      </c>
      <c r="AK106" s="58">
        <f t="shared" ref="AK106:AK107" si="979">AJ106</f>
        <v>35</v>
      </c>
      <c r="AL106" s="58">
        <f t="shared" ref="AL106:AL107" si="980">AK106</f>
        <v>35</v>
      </c>
      <c r="AM106" s="58">
        <f t="shared" ref="AM106:AM107" si="981">AL106</f>
        <v>35</v>
      </c>
      <c r="AN106" s="58">
        <f t="shared" ref="AN106:AN107" si="982">AM106</f>
        <v>35</v>
      </c>
      <c r="AO106" s="58">
        <f t="shared" ref="AO106:AO107" si="983">AN106</f>
        <v>35</v>
      </c>
      <c r="AP106" s="58">
        <f t="shared" ref="AP106:AP107" si="984">AO106</f>
        <v>35</v>
      </c>
      <c r="AQ106" s="58">
        <f t="shared" ref="AQ106:AQ107" si="985">AP106</f>
        <v>35</v>
      </c>
      <c r="AR106" s="58">
        <f t="shared" ref="AR106:AR107" si="986">AQ106</f>
        <v>35</v>
      </c>
      <c r="AS106" s="58">
        <f t="shared" ref="AS106:AS107" si="987">AR106</f>
        <v>35</v>
      </c>
      <c r="AT106" s="19"/>
      <c r="AU106" s="21">
        <v>0</v>
      </c>
      <c r="AV106" s="21">
        <v>0</v>
      </c>
      <c r="AW106" s="21">
        <v>0</v>
      </c>
      <c r="AX106" s="21">
        <v>0</v>
      </c>
      <c r="AY106" s="21">
        <v>0</v>
      </c>
      <c r="AZ106" s="21">
        <v>32</v>
      </c>
      <c r="BA106" s="21">
        <v>35</v>
      </c>
      <c r="BB106" s="21">
        <v>0</v>
      </c>
      <c r="BC106" s="21">
        <f>13+35+39</f>
        <v>87</v>
      </c>
      <c r="BD106" s="25">
        <f>M106+L106</f>
        <v>103</v>
      </c>
      <c r="BE106" s="25">
        <f>O106+N106</f>
        <v>112</v>
      </c>
      <c r="BF106" s="25">
        <f>Q106+P106</f>
        <v>174</v>
      </c>
      <c r="BG106" s="25">
        <f>S106+R106</f>
        <v>180</v>
      </c>
      <c r="BH106" s="25">
        <f>U106+T106</f>
        <v>165</v>
      </c>
      <c r="BI106" s="19">
        <f>W106+V106</f>
        <v>172</v>
      </c>
      <c r="BJ106" s="19">
        <f>Y106+X106</f>
        <v>197</v>
      </c>
      <c r="BK106" s="19">
        <f>AA106+Z106</f>
        <v>180</v>
      </c>
      <c r="BL106" s="19">
        <f>AC106+AB106</f>
        <v>230</v>
      </c>
      <c r="BM106" s="19">
        <f>AE106+AD106</f>
        <v>342</v>
      </c>
      <c r="BN106" s="19">
        <f>AG106+AF106</f>
        <v>84</v>
      </c>
      <c r="BO106" s="20">
        <f>AI106+AH106</f>
        <v>88</v>
      </c>
      <c r="BP106" s="19">
        <f>AK106+AJ106</f>
        <v>70</v>
      </c>
      <c r="BQ106" s="19">
        <f>AM106+AL106</f>
        <v>70</v>
      </c>
      <c r="BR106" s="19">
        <f>AO106+AN106</f>
        <v>70</v>
      </c>
      <c r="BS106" s="19">
        <f>AQ106+AP106</f>
        <v>70</v>
      </c>
      <c r="BT106" s="19">
        <f>AS106+AR106</f>
        <v>70</v>
      </c>
    </row>
    <row r="107" spans="1:72" ht="12" customHeight="1" outlineLevel="1">
      <c r="A107" s="91" t="s">
        <v>1332</v>
      </c>
      <c r="B107" s="87" t="s">
        <v>1333</v>
      </c>
      <c r="C107" s="19"/>
      <c r="D107" s="21">
        <v>0</v>
      </c>
      <c r="E107" s="21">
        <v>0</v>
      </c>
      <c r="F107" s="21">
        <v>-5</v>
      </c>
      <c r="G107" s="21">
        <v>-10</v>
      </c>
      <c r="H107" s="21">
        <v>-21</v>
      </c>
      <c r="I107" s="21">
        <v>-22</v>
      </c>
      <c r="J107" s="21">
        <v>-26</v>
      </c>
      <c r="K107" s="21">
        <v>-35</v>
      </c>
      <c r="L107" s="21">
        <v>-37</v>
      </c>
      <c r="M107" s="21">
        <f>-91-L107</f>
        <v>-54</v>
      </c>
      <c r="N107" s="62">
        <v>-48</v>
      </c>
      <c r="O107" s="62">
        <f>-107-(-48)</f>
        <v>-59</v>
      </c>
      <c r="P107" s="62">
        <v>-62</v>
      </c>
      <c r="Q107" s="62">
        <f>-112-P107</f>
        <v>-50</v>
      </c>
      <c r="R107" s="62">
        <v>-49</v>
      </c>
      <c r="S107" s="62">
        <f>-105-R107</f>
        <v>-56</v>
      </c>
      <c r="T107" s="62">
        <v>-55</v>
      </c>
      <c r="U107" s="62">
        <v>-58</v>
      </c>
      <c r="V107" s="62">
        <v>-53</v>
      </c>
      <c r="W107" s="62">
        <f>-120-V107</f>
        <v>-67</v>
      </c>
      <c r="X107" s="62">
        <v>-53</v>
      </c>
      <c r="Y107" s="62">
        <f>-95-X107</f>
        <v>-42</v>
      </c>
      <c r="Z107" s="62">
        <v>-32</v>
      </c>
      <c r="AA107" s="62">
        <f>-99-Z107</f>
        <v>-67</v>
      </c>
      <c r="AB107" s="62">
        <v>-65</v>
      </c>
      <c r="AC107" s="62">
        <f>-147-AB107</f>
        <v>-82</v>
      </c>
      <c r="AD107" s="62">
        <v>-72</v>
      </c>
      <c r="AE107" s="62">
        <v>-96</v>
      </c>
      <c r="AF107" s="62">
        <v>-48</v>
      </c>
      <c r="AG107" s="62">
        <f>-137-AF107</f>
        <v>-89</v>
      </c>
      <c r="AH107" s="62">
        <v>-57</v>
      </c>
      <c r="AI107" s="62">
        <f>-132-AH107</f>
        <v>-75</v>
      </c>
      <c r="AJ107" s="57">
        <v>-54</v>
      </c>
      <c r="AK107" s="58">
        <f t="shared" si="979"/>
        <v>-54</v>
      </c>
      <c r="AL107" s="58">
        <f t="shared" si="980"/>
        <v>-54</v>
      </c>
      <c r="AM107" s="58">
        <f t="shared" si="981"/>
        <v>-54</v>
      </c>
      <c r="AN107" s="58">
        <f t="shared" si="982"/>
        <v>-54</v>
      </c>
      <c r="AO107" s="58">
        <f t="shared" si="983"/>
        <v>-54</v>
      </c>
      <c r="AP107" s="58">
        <f t="shared" si="984"/>
        <v>-54</v>
      </c>
      <c r="AQ107" s="58">
        <f t="shared" si="985"/>
        <v>-54</v>
      </c>
      <c r="AR107" s="58">
        <f t="shared" si="986"/>
        <v>-54</v>
      </c>
      <c r="AS107" s="58">
        <f t="shared" si="987"/>
        <v>-54</v>
      </c>
      <c r="AT107" s="19"/>
      <c r="AU107" s="21">
        <v>0</v>
      </c>
      <c r="AV107" s="21">
        <v>0</v>
      </c>
      <c r="AW107" s="21">
        <v>0</v>
      </c>
      <c r="AX107" s="21">
        <v>0</v>
      </c>
      <c r="AY107" s="21">
        <v>0</v>
      </c>
      <c r="AZ107" s="21">
        <v>0</v>
      </c>
      <c r="BA107" s="21">
        <v>0</v>
      </c>
      <c r="BB107" s="21">
        <v>-43</v>
      </c>
      <c r="BC107" s="21">
        <v>-61</v>
      </c>
      <c r="BD107" s="25">
        <f>M107+L107</f>
        <v>-91</v>
      </c>
      <c r="BE107" s="25">
        <f>O107+N107</f>
        <v>-107</v>
      </c>
      <c r="BF107" s="25">
        <f>Q107+P107</f>
        <v>-112</v>
      </c>
      <c r="BG107" s="25">
        <f>S107+R107</f>
        <v>-105</v>
      </c>
      <c r="BH107" s="25">
        <f>U107+T107</f>
        <v>-113</v>
      </c>
      <c r="BI107" s="19">
        <f>W107+V107</f>
        <v>-120</v>
      </c>
      <c r="BJ107" s="19">
        <f>Y107+X107</f>
        <v>-95</v>
      </c>
      <c r="BK107" s="19">
        <f>AA107+Z107</f>
        <v>-99</v>
      </c>
      <c r="BL107" s="19">
        <f>AC107+AB107</f>
        <v>-147</v>
      </c>
      <c r="BM107" s="19">
        <f>AE107+AD107</f>
        <v>-168</v>
      </c>
      <c r="BN107" s="19">
        <f>AG107+AF107</f>
        <v>-137</v>
      </c>
      <c r="BO107" s="20">
        <f>AI107+AH107</f>
        <v>-132</v>
      </c>
      <c r="BP107" s="19">
        <f>AK107+AJ107</f>
        <v>-108</v>
      </c>
      <c r="BQ107" s="19">
        <f>AM107+AL107</f>
        <v>-108</v>
      </c>
      <c r="BR107" s="19">
        <f>AO107+AN107</f>
        <v>-108</v>
      </c>
      <c r="BS107" s="19">
        <f>AQ107+AP107</f>
        <v>-108</v>
      </c>
      <c r="BT107" s="19">
        <f>AS107+AR107</f>
        <v>-108</v>
      </c>
    </row>
    <row r="108" spans="1:72" ht="12" customHeight="1"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62"/>
      <c r="AE108" s="62"/>
      <c r="AF108" s="62"/>
      <c r="AG108" s="62"/>
      <c r="AH108" s="62"/>
      <c r="AI108" s="62"/>
      <c r="AJ108" s="57"/>
      <c r="AK108" s="19"/>
      <c r="AL108" s="19"/>
      <c r="AM108" s="19"/>
      <c r="AN108" s="19"/>
      <c r="AO108" s="19"/>
      <c r="AP108" s="19"/>
      <c r="AQ108" s="19"/>
      <c r="AR108" s="19"/>
      <c r="AS108" s="19"/>
    </row>
    <row r="109" spans="1:72" s="9" customFormat="1" ht="12" customHeight="1">
      <c r="A109" s="91" t="s">
        <v>578</v>
      </c>
      <c r="B109" s="2" t="s">
        <v>157</v>
      </c>
      <c r="C109" s="2"/>
      <c r="D109" s="93">
        <f>D132</f>
        <v>73000</v>
      </c>
      <c r="E109" s="93">
        <f t="shared" ref="E109:BH109" si="988">E132</f>
        <v>76100</v>
      </c>
      <c r="F109" s="93">
        <f t="shared" si="988"/>
        <v>86200</v>
      </c>
      <c r="G109" s="93">
        <f t="shared" si="988"/>
        <v>88300</v>
      </c>
      <c r="H109" s="93">
        <f t="shared" si="988"/>
        <v>91600</v>
      </c>
      <c r="I109" s="93">
        <f t="shared" si="988"/>
        <v>86200</v>
      </c>
      <c r="J109" s="93">
        <f t="shared" si="988"/>
        <v>88400</v>
      </c>
      <c r="K109" s="93">
        <f t="shared" si="988"/>
        <v>87600</v>
      </c>
      <c r="L109" s="93">
        <f t="shared" si="988"/>
        <v>93800</v>
      </c>
      <c r="M109" s="93">
        <f t="shared" si="988"/>
        <v>92600</v>
      </c>
      <c r="N109" s="93">
        <f t="shared" ref="N109" si="989">N132</f>
        <v>97900</v>
      </c>
      <c r="O109" s="93">
        <f t="shared" si="988"/>
        <v>113200</v>
      </c>
      <c r="P109" s="93">
        <f t="shared" ref="P109:Q109" si="990">P132</f>
        <v>123700</v>
      </c>
      <c r="Q109" s="93">
        <f t="shared" si="990"/>
        <v>130800</v>
      </c>
      <c r="R109" s="93">
        <f t="shared" ref="R109:S109" si="991">R132</f>
        <v>122400</v>
      </c>
      <c r="S109" s="93">
        <f t="shared" si="991"/>
        <v>120800</v>
      </c>
      <c r="T109" s="93">
        <f t="shared" ref="T109:U109" si="992">T132</f>
        <v>123900</v>
      </c>
      <c r="U109" s="93">
        <f t="shared" si="992"/>
        <v>128800</v>
      </c>
      <c r="V109" s="93">
        <f t="shared" ref="V109:W109" si="993">V132</f>
        <v>134400</v>
      </c>
      <c r="W109" s="93">
        <f t="shared" si="993"/>
        <v>140500</v>
      </c>
      <c r="X109" s="93">
        <f t="shared" ref="X109:Y109" si="994">X132</f>
        <v>146400</v>
      </c>
      <c r="Y109" s="93">
        <f t="shared" si="994"/>
        <v>161600</v>
      </c>
      <c r="Z109" s="93">
        <f t="shared" ref="Z109:AA109" si="995">Z132</f>
        <v>172500</v>
      </c>
      <c r="AA109" s="93">
        <f t="shared" si="995"/>
        <v>186400</v>
      </c>
      <c r="AB109" s="93">
        <f t="shared" ref="AB109:AC109" si="996">AB132</f>
        <v>224900</v>
      </c>
      <c r="AC109" s="93">
        <f t="shared" si="996"/>
        <v>265900</v>
      </c>
      <c r="AD109" s="93">
        <f t="shared" ref="AD109:AE109" si="997">AD132</f>
        <v>306500</v>
      </c>
      <c r="AE109" s="93">
        <f t="shared" si="997"/>
        <v>309000</v>
      </c>
      <c r="AF109" s="93">
        <f t="shared" ref="AF109:AG109" si="998">AF132</f>
        <v>317000</v>
      </c>
      <c r="AG109" s="93">
        <f t="shared" si="998"/>
        <v>330100</v>
      </c>
      <c r="AH109" s="93">
        <f t="shared" ref="AH109:AI109" si="999">AH132</f>
        <v>340800</v>
      </c>
      <c r="AI109" s="93">
        <f t="shared" si="999"/>
        <v>368100</v>
      </c>
      <c r="AJ109" s="94">
        <f t="shared" ref="AJ109:AK109" si="1000">AJ132</f>
        <v>401300</v>
      </c>
      <c r="AK109" s="93">
        <f t="shared" si="1000"/>
        <v>427017.64913053898</v>
      </c>
      <c r="AL109" s="93">
        <f t="shared" ref="AL109:AM109" si="1001">AL132</f>
        <v>452089.64685312868</v>
      </c>
      <c r="AM109" s="93">
        <f t="shared" si="1001"/>
        <v>476455.77713331726</v>
      </c>
      <c r="AN109" s="93">
        <f t="shared" ref="AN109:AO109" si="1002">AN132</f>
        <v>497005.82417963207</v>
      </c>
      <c r="AO109" s="93">
        <f t="shared" si="1002"/>
        <v>516694.9816643268</v>
      </c>
      <c r="AP109" s="93">
        <f t="shared" ref="AP109:AQ109" si="1003">AP132</f>
        <v>535290.42348910403</v>
      </c>
      <c r="AQ109" s="93">
        <f t="shared" si="1003"/>
        <v>554098.50209787919</v>
      </c>
      <c r="AR109" s="93">
        <f t="shared" ref="AR109:AS109" si="1004">AR132</f>
        <v>573131.60685419559</v>
      </c>
      <c r="AS109" s="93">
        <f t="shared" si="1004"/>
        <v>593019.95460158016</v>
      </c>
      <c r="AT109" s="93"/>
      <c r="AU109" s="93">
        <f t="shared" si="988"/>
        <v>0</v>
      </c>
      <c r="AV109" s="93">
        <f t="shared" si="988"/>
        <v>0</v>
      </c>
      <c r="AW109" s="93">
        <f t="shared" si="988"/>
        <v>0</v>
      </c>
      <c r="AX109" s="93">
        <f t="shared" si="988"/>
        <v>82500</v>
      </c>
      <c r="AY109" s="93">
        <f t="shared" si="988"/>
        <v>78400</v>
      </c>
      <c r="AZ109" s="93">
        <f t="shared" si="988"/>
        <v>76100</v>
      </c>
      <c r="BA109" s="93">
        <f t="shared" si="988"/>
        <v>88300</v>
      </c>
      <c r="BB109" s="93">
        <f t="shared" si="988"/>
        <v>86200</v>
      </c>
      <c r="BC109" s="93">
        <f t="shared" si="988"/>
        <v>87600</v>
      </c>
      <c r="BD109" s="93">
        <f t="shared" si="988"/>
        <v>92600</v>
      </c>
      <c r="BE109" s="93">
        <f t="shared" si="988"/>
        <v>113200</v>
      </c>
      <c r="BF109" s="93">
        <f t="shared" si="988"/>
        <v>130800</v>
      </c>
      <c r="BG109" s="93">
        <f t="shared" si="988"/>
        <v>120800</v>
      </c>
      <c r="BH109" s="93">
        <f t="shared" si="988"/>
        <v>128800</v>
      </c>
      <c r="BI109" s="93">
        <f t="shared" ref="BI109" si="1005">BI132</f>
        <v>140500</v>
      </c>
      <c r="BJ109" s="93">
        <f t="shared" ref="BJ109:BO109" si="1006">BJ132</f>
        <v>161600</v>
      </c>
      <c r="BK109" s="93">
        <f t="shared" si="1006"/>
        <v>186400</v>
      </c>
      <c r="BL109" s="93">
        <f t="shared" si="1006"/>
        <v>265900</v>
      </c>
      <c r="BM109" s="93">
        <f t="shared" si="1006"/>
        <v>309000</v>
      </c>
      <c r="BN109" s="93">
        <f t="shared" si="1006"/>
        <v>330100</v>
      </c>
      <c r="BO109" s="94">
        <f t="shared" si="1006"/>
        <v>368100</v>
      </c>
      <c r="BP109" s="93">
        <f t="shared" ref="BP109:BQ109" si="1007">BP132</f>
        <v>427017.64913053898</v>
      </c>
      <c r="BQ109" s="93">
        <f t="shared" si="1007"/>
        <v>476455.77713331726</v>
      </c>
      <c r="BR109" s="93">
        <f t="shared" ref="BR109:BS109" si="1008">BR132</f>
        <v>516694.9816643268</v>
      </c>
      <c r="BS109" s="93">
        <f t="shared" si="1008"/>
        <v>554098.50209787919</v>
      </c>
      <c r="BT109" s="93">
        <f>BT132</f>
        <v>593019.95460158016</v>
      </c>
    </row>
    <row r="110" spans="1:72" ht="12" customHeight="1" outlineLevel="1"/>
    <row r="111" spans="1:72" ht="12" customHeight="1" outlineLevel="1">
      <c r="B111" s="9" t="s">
        <v>162</v>
      </c>
      <c r="N111" s="19"/>
      <c r="O111" s="19"/>
    </row>
    <row r="112" spans="1:72" ht="12" customHeight="1" outlineLevel="1">
      <c r="A112" s="91" t="s">
        <v>1053</v>
      </c>
      <c r="B112" s="1" t="s">
        <v>163</v>
      </c>
      <c r="D112" s="21">
        <v>26700</v>
      </c>
      <c r="E112" s="21">
        <v>22200</v>
      </c>
      <c r="F112" s="21">
        <v>26500</v>
      </c>
      <c r="G112" s="21">
        <v>26000</v>
      </c>
      <c r="H112" s="21">
        <v>28000</v>
      </c>
      <c r="I112" s="21">
        <v>23200</v>
      </c>
      <c r="J112" s="21">
        <v>22600</v>
      </c>
      <c r="K112" s="21">
        <v>19800</v>
      </c>
      <c r="L112" s="21">
        <v>21500</v>
      </c>
      <c r="M112" s="21">
        <v>19100</v>
      </c>
      <c r="N112" s="21">
        <v>21200</v>
      </c>
      <c r="O112" s="21">
        <v>25700</v>
      </c>
      <c r="P112" s="21">
        <v>28200</v>
      </c>
      <c r="Q112" s="21">
        <v>30400</v>
      </c>
      <c r="R112" s="21">
        <v>20400</v>
      </c>
      <c r="S112" s="21">
        <v>21700</v>
      </c>
      <c r="T112" s="21">
        <v>24600</v>
      </c>
      <c r="U112" s="21">
        <v>25400</v>
      </c>
      <c r="V112" s="21">
        <v>23500</v>
      </c>
      <c r="W112" s="21">
        <v>26300</v>
      </c>
      <c r="X112" s="21">
        <v>23700</v>
      </c>
      <c r="Y112" s="21">
        <v>38900</v>
      </c>
      <c r="Z112" s="21">
        <v>38400</v>
      </c>
      <c r="AA112" s="21">
        <v>55600</v>
      </c>
      <c r="AB112" s="21">
        <v>57900</v>
      </c>
      <c r="AC112" s="21">
        <v>93800</v>
      </c>
      <c r="AD112" s="21">
        <v>101000</v>
      </c>
      <c r="AE112" s="21">
        <v>85400</v>
      </c>
      <c r="AF112" s="21">
        <v>86600</v>
      </c>
      <c r="AG112" s="21">
        <v>76800</v>
      </c>
      <c r="AH112" s="21">
        <v>71900</v>
      </c>
      <c r="AI112" s="21">
        <v>81100</v>
      </c>
      <c r="AJ112" s="24">
        <v>82600</v>
      </c>
      <c r="AK112" s="19">
        <f t="shared" ref="AK112:AS112" si="1009">AJ112*(1+(((AK$116/AJ$116)-1)/2))</f>
        <v>86081.184375000012</v>
      </c>
      <c r="AL112" s="19">
        <f t="shared" si="1009"/>
        <v>89309.594724738286</v>
      </c>
      <c r="AM112" s="19">
        <f t="shared" si="1009"/>
        <v>92400.054511726397</v>
      </c>
      <c r="AN112" s="19">
        <f t="shared" si="1009"/>
        <v>94993.8777332717</v>
      </c>
      <c r="AO112" s="19">
        <f t="shared" si="1009"/>
        <v>97425.43066862422</v>
      </c>
      <c r="AP112" s="19">
        <f t="shared" si="1009"/>
        <v>99675.601485439576</v>
      </c>
      <c r="AQ112" s="19">
        <f t="shared" si="1009"/>
        <v>101934.74184637293</v>
      </c>
      <c r="AR112" s="19">
        <f t="shared" si="1009"/>
        <v>104202.69978382699</v>
      </c>
      <c r="AS112" s="19">
        <f t="shared" si="1009"/>
        <v>106529.16005831986</v>
      </c>
      <c r="AU112" s="21"/>
      <c r="AV112" s="21"/>
      <c r="AW112" s="21"/>
      <c r="AX112" s="21">
        <v>20800</v>
      </c>
      <c r="AY112" s="21">
        <v>30300</v>
      </c>
      <c r="AZ112" s="19">
        <f t="shared" ref="AZ112:AZ131" si="1010">E112</f>
        <v>22200</v>
      </c>
      <c r="BA112" s="19">
        <f t="shared" ref="BA112:BA131" si="1011">G112</f>
        <v>26000</v>
      </c>
      <c r="BB112" s="19">
        <f t="shared" ref="BB112:BB131" si="1012">I112</f>
        <v>23200</v>
      </c>
      <c r="BC112" s="19">
        <f t="shared" ref="BC112:BC131" si="1013">K112</f>
        <v>19800</v>
      </c>
      <c r="BD112" s="19">
        <f t="shared" ref="BD112:BD131" si="1014">M112</f>
        <v>19100</v>
      </c>
      <c r="BE112" s="19">
        <f t="shared" ref="BE112:BE131" si="1015">O112</f>
        <v>25700</v>
      </c>
      <c r="BF112" s="19">
        <f t="shared" ref="BF112:BF131" si="1016">Q112</f>
        <v>30400</v>
      </c>
      <c r="BG112" s="19">
        <f t="shared" ref="BG112:BG131" si="1017">S112</f>
        <v>21700</v>
      </c>
      <c r="BH112" s="19">
        <f t="shared" ref="BH112:BH131" si="1018">U112</f>
        <v>25400</v>
      </c>
      <c r="BI112" s="19">
        <f t="shared" ref="BI112:BI131" si="1019">W112</f>
        <v>26300</v>
      </c>
      <c r="BJ112" s="19">
        <f t="shared" ref="BJ112:BJ131" si="1020">Y112</f>
        <v>38900</v>
      </c>
      <c r="BK112" s="19">
        <f t="shared" ref="BK112:BK131" si="1021">AA112</f>
        <v>55600</v>
      </c>
      <c r="BL112" s="19">
        <f t="shared" ref="BL112:BL131" si="1022">AC112</f>
        <v>93800</v>
      </c>
      <c r="BM112" s="19">
        <f t="shared" ref="BM112:BM131" si="1023">AE112</f>
        <v>85400</v>
      </c>
      <c r="BN112" s="19">
        <f t="shared" ref="BN112:BN131" si="1024">AG112</f>
        <v>76800</v>
      </c>
      <c r="BO112" s="20">
        <f t="shared" ref="BO112:BO131" si="1025">AI112</f>
        <v>81100</v>
      </c>
      <c r="BP112" s="19">
        <f t="shared" ref="BP112:BP131" si="1026">AK112</f>
        <v>86081.184375000012</v>
      </c>
      <c r="BQ112" s="19">
        <f t="shared" ref="BQ112:BQ131" si="1027">AM112</f>
        <v>92400.054511726397</v>
      </c>
      <c r="BR112" s="19">
        <f t="shared" ref="BR112:BR131" si="1028">AO112</f>
        <v>97425.43066862422</v>
      </c>
      <c r="BS112" s="19">
        <f t="shared" ref="BS112:BS131" si="1029">AQ112</f>
        <v>101934.74184637293</v>
      </c>
      <c r="BT112" s="19">
        <f t="shared" ref="BT112:BT131" si="1030">AS112</f>
        <v>106529.16005831986</v>
      </c>
    </row>
    <row r="113" spans="1:72" ht="12" customHeight="1" outlineLevel="1">
      <c r="A113" s="91" t="s">
        <v>1075</v>
      </c>
      <c r="B113" s="1" t="s">
        <v>164</v>
      </c>
      <c r="D113" s="21">
        <v>0</v>
      </c>
      <c r="E113" s="21">
        <v>0</v>
      </c>
      <c r="F113" s="21">
        <v>0</v>
      </c>
      <c r="G113" s="21">
        <v>0</v>
      </c>
      <c r="H113" s="21">
        <v>0</v>
      </c>
      <c r="I113" s="21">
        <v>3000</v>
      </c>
      <c r="J113" s="21">
        <v>4500</v>
      </c>
      <c r="K113" s="21">
        <v>6200</v>
      </c>
      <c r="L113" s="21">
        <v>6200</v>
      </c>
      <c r="M113" s="21">
        <v>7400</v>
      </c>
      <c r="N113" s="21">
        <v>7900</v>
      </c>
      <c r="O113" s="21">
        <v>9500</v>
      </c>
      <c r="P113" s="21">
        <v>10400</v>
      </c>
      <c r="Q113" s="21">
        <v>13900</v>
      </c>
      <c r="R113" s="21">
        <v>15400</v>
      </c>
      <c r="S113" s="21">
        <v>16500</v>
      </c>
      <c r="T113" s="21">
        <v>16700</v>
      </c>
      <c r="U113" s="21">
        <v>15500</v>
      </c>
      <c r="V113" s="21">
        <v>17200</v>
      </c>
      <c r="W113" s="21">
        <v>21100</v>
      </c>
      <c r="X113" s="21">
        <v>23600</v>
      </c>
      <c r="Y113" s="21">
        <v>23500</v>
      </c>
      <c r="Z113" s="21">
        <v>13700</v>
      </c>
      <c r="AA113" s="21">
        <v>0</v>
      </c>
      <c r="AB113" s="21">
        <v>15500</v>
      </c>
      <c r="AC113" s="21">
        <v>0</v>
      </c>
      <c r="AD113" s="21">
        <v>0</v>
      </c>
      <c r="AE113" s="21">
        <v>0</v>
      </c>
      <c r="AF113" s="21">
        <v>0</v>
      </c>
      <c r="AG113" s="21">
        <v>0</v>
      </c>
      <c r="AH113" s="21">
        <v>0</v>
      </c>
      <c r="AI113" s="21">
        <v>0</v>
      </c>
      <c r="AJ113" s="24">
        <v>0</v>
      </c>
      <c r="AK113" s="19">
        <f t="shared" ref="AK113:AK115" si="1031">AJ113*AK$116/AJ$116</f>
        <v>0</v>
      </c>
      <c r="AL113" s="19">
        <f t="shared" ref="AL113:AL115" si="1032">AK113*AL$116/AK$116</f>
        <v>0</v>
      </c>
      <c r="AM113" s="19">
        <f t="shared" ref="AM113:AM115" si="1033">AL113*AM$116/AL$116</f>
        <v>0</v>
      </c>
      <c r="AN113" s="19">
        <f t="shared" ref="AN113:AN115" si="1034">AM113*AN$116/AM$116</f>
        <v>0</v>
      </c>
      <c r="AO113" s="19">
        <f t="shared" ref="AO113:AO115" si="1035">AN113*AO$116/AN$116</f>
        <v>0</v>
      </c>
      <c r="AP113" s="19">
        <f t="shared" ref="AP113:AP115" si="1036">AO113*AP$116/AO$116</f>
        <v>0</v>
      </c>
      <c r="AQ113" s="19">
        <f t="shared" ref="AQ113:AQ115" si="1037">AP113*AQ$116/AP$116</f>
        <v>0</v>
      </c>
      <c r="AR113" s="19">
        <f t="shared" ref="AR113:AR115" si="1038">AQ113*AR$116/AQ$116</f>
        <v>0</v>
      </c>
      <c r="AS113" s="19">
        <f t="shared" ref="AS113:AS115" si="1039">AR113*AS$116/AR$116</f>
        <v>0</v>
      </c>
      <c r="AU113" s="21"/>
      <c r="AV113" s="21"/>
      <c r="AW113" s="21"/>
      <c r="AX113" s="21">
        <v>0</v>
      </c>
      <c r="AY113" s="21">
        <v>0</v>
      </c>
      <c r="AZ113" s="19">
        <f t="shared" si="1010"/>
        <v>0</v>
      </c>
      <c r="BA113" s="19">
        <f t="shared" si="1011"/>
        <v>0</v>
      </c>
      <c r="BB113" s="19">
        <f t="shared" si="1012"/>
        <v>3000</v>
      </c>
      <c r="BC113" s="19">
        <f t="shared" si="1013"/>
        <v>6200</v>
      </c>
      <c r="BD113" s="19">
        <f t="shared" si="1014"/>
        <v>7400</v>
      </c>
      <c r="BE113" s="19">
        <f t="shared" si="1015"/>
        <v>9500</v>
      </c>
      <c r="BF113" s="19">
        <f t="shared" si="1016"/>
        <v>13900</v>
      </c>
      <c r="BG113" s="19">
        <f t="shared" si="1017"/>
        <v>16500</v>
      </c>
      <c r="BH113" s="19">
        <f t="shared" si="1018"/>
        <v>15500</v>
      </c>
      <c r="BI113" s="19">
        <f t="shared" si="1019"/>
        <v>21100</v>
      </c>
      <c r="BJ113" s="19">
        <f t="shared" si="1020"/>
        <v>23500</v>
      </c>
      <c r="BK113" s="19">
        <f t="shared" si="1021"/>
        <v>0</v>
      </c>
      <c r="BL113" s="19">
        <f t="shared" si="1022"/>
        <v>0</v>
      </c>
      <c r="BM113" s="19">
        <f t="shared" si="1023"/>
        <v>0</v>
      </c>
      <c r="BN113" s="19">
        <f t="shared" si="1024"/>
        <v>0</v>
      </c>
      <c r="BO113" s="20">
        <f t="shared" si="1025"/>
        <v>0</v>
      </c>
      <c r="BP113" s="19">
        <f t="shared" si="1026"/>
        <v>0</v>
      </c>
      <c r="BQ113" s="19">
        <f t="shared" si="1027"/>
        <v>0</v>
      </c>
      <c r="BR113" s="19">
        <f t="shared" si="1028"/>
        <v>0</v>
      </c>
      <c r="BS113" s="19">
        <f t="shared" si="1029"/>
        <v>0</v>
      </c>
      <c r="BT113" s="19">
        <f t="shared" si="1030"/>
        <v>0</v>
      </c>
    </row>
    <row r="114" spans="1:72" ht="12" customHeight="1" outlineLevel="1">
      <c r="A114" s="91" t="s">
        <v>1074</v>
      </c>
      <c r="B114" s="1" t="s">
        <v>165</v>
      </c>
      <c r="D114" s="21">
        <v>9300</v>
      </c>
      <c r="E114" s="21">
        <v>12700</v>
      </c>
      <c r="F114" s="21">
        <v>14400</v>
      </c>
      <c r="G114" s="21">
        <v>15000</v>
      </c>
      <c r="H114" s="21">
        <v>14500</v>
      </c>
      <c r="I114" s="21">
        <v>15900</v>
      </c>
      <c r="J114" s="21">
        <v>16100</v>
      </c>
      <c r="K114" s="21">
        <v>15100</v>
      </c>
      <c r="L114" s="21">
        <v>15100</v>
      </c>
      <c r="M114" s="21">
        <v>16700</v>
      </c>
      <c r="N114" s="21">
        <v>16600</v>
      </c>
      <c r="O114" s="21">
        <v>21500</v>
      </c>
      <c r="P114" s="21">
        <v>23300</v>
      </c>
      <c r="Q114" s="21">
        <v>21100</v>
      </c>
      <c r="R114" s="21">
        <v>23800</v>
      </c>
      <c r="S114" s="21">
        <v>22100</v>
      </c>
      <c r="T114" s="21">
        <v>18100</v>
      </c>
      <c r="U114" s="21">
        <v>17900</v>
      </c>
      <c r="V114" s="21">
        <v>19300</v>
      </c>
      <c r="W114" s="21">
        <v>21300</v>
      </c>
      <c r="X114" s="21">
        <v>27900</v>
      </c>
      <c r="Y114" s="21">
        <v>23200</v>
      </c>
      <c r="Z114" s="21">
        <v>26900</v>
      </c>
      <c r="AA114" s="21">
        <v>25600</v>
      </c>
      <c r="AB114" s="21">
        <v>31600</v>
      </c>
      <c r="AC114" s="21">
        <v>27100</v>
      </c>
      <c r="AD114" s="21">
        <f>36100</f>
        <v>36100</v>
      </c>
      <c r="AE114" s="21">
        <v>42900</v>
      </c>
      <c r="AF114" s="21">
        <v>38400</v>
      </c>
      <c r="AG114" s="21">
        <v>50400</v>
      </c>
      <c r="AH114" s="21">
        <v>56700</v>
      </c>
      <c r="AI114" s="21">
        <v>50400</v>
      </c>
      <c r="AJ114" s="24">
        <v>57500</v>
      </c>
      <c r="AK114" s="19">
        <f t="shared" ref="AK114:AS114" si="1040">AJ114*(1+(((AK$116/AJ$116)-1)/2))</f>
        <v>59923.34263392858</v>
      </c>
      <c r="AL114" s="19">
        <f t="shared" si="1040"/>
        <v>62170.722720005469</v>
      </c>
      <c r="AM114" s="19">
        <f t="shared" si="1040"/>
        <v>64322.071845330123</v>
      </c>
      <c r="AN114" s="19">
        <f t="shared" si="1040"/>
        <v>66127.699390594702</v>
      </c>
      <c r="AO114" s="19">
        <f t="shared" si="1040"/>
        <v>67820.366385543486</v>
      </c>
      <c r="AP114" s="19">
        <f t="shared" si="1040"/>
        <v>69386.768588532374</v>
      </c>
      <c r="AQ114" s="19">
        <f t="shared" si="1040"/>
        <v>70959.414723564667</v>
      </c>
      <c r="AR114" s="19">
        <f t="shared" si="1040"/>
        <v>72538.199002058725</v>
      </c>
      <c r="AS114" s="19">
        <f t="shared" si="1040"/>
        <v>74157.708273043478</v>
      </c>
      <c r="AU114" s="21"/>
      <c r="AV114" s="21"/>
      <c r="AW114" s="21"/>
      <c r="AX114" s="21">
        <v>12200</v>
      </c>
      <c r="AY114" s="21">
        <v>9100</v>
      </c>
      <c r="AZ114" s="19">
        <f t="shared" si="1010"/>
        <v>12700</v>
      </c>
      <c r="BA114" s="19">
        <f t="shared" si="1011"/>
        <v>15000</v>
      </c>
      <c r="BB114" s="19">
        <f t="shared" si="1012"/>
        <v>15900</v>
      </c>
      <c r="BC114" s="19">
        <f t="shared" si="1013"/>
        <v>15100</v>
      </c>
      <c r="BD114" s="19">
        <f t="shared" si="1014"/>
        <v>16700</v>
      </c>
      <c r="BE114" s="19">
        <f t="shared" si="1015"/>
        <v>21500</v>
      </c>
      <c r="BF114" s="19">
        <f t="shared" si="1016"/>
        <v>21100</v>
      </c>
      <c r="BG114" s="19">
        <f t="shared" si="1017"/>
        <v>22100</v>
      </c>
      <c r="BH114" s="19">
        <f t="shared" si="1018"/>
        <v>17900</v>
      </c>
      <c r="BI114" s="19">
        <f t="shared" si="1019"/>
        <v>21300</v>
      </c>
      <c r="BJ114" s="19">
        <f t="shared" si="1020"/>
        <v>23200</v>
      </c>
      <c r="BK114" s="19">
        <f t="shared" si="1021"/>
        <v>25600</v>
      </c>
      <c r="BL114" s="19">
        <f t="shared" si="1022"/>
        <v>27100</v>
      </c>
      <c r="BM114" s="19">
        <f t="shared" si="1023"/>
        <v>42900</v>
      </c>
      <c r="BN114" s="19">
        <f t="shared" si="1024"/>
        <v>50400</v>
      </c>
      <c r="BO114" s="20">
        <f t="shared" si="1025"/>
        <v>50400</v>
      </c>
      <c r="BP114" s="19">
        <f t="shared" si="1026"/>
        <v>59923.34263392858</v>
      </c>
      <c r="BQ114" s="19">
        <f t="shared" si="1027"/>
        <v>64322.071845330123</v>
      </c>
      <c r="BR114" s="19">
        <f t="shared" si="1028"/>
        <v>67820.366385543486</v>
      </c>
      <c r="BS114" s="19">
        <f t="shared" si="1029"/>
        <v>70959.414723564667</v>
      </c>
      <c r="BT114" s="19">
        <f t="shared" si="1030"/>
        <v>74157.708273043478</v>
      </c>
    </row>
    <row r="115" spans="1:72" ht="12" customHeight="1" outlineLevel="1">
      <c r="A115" s="91" t="s">
        <v>1054</v>
      </c>
      <c r="B115" s="1" t="s">
        <v>166</v>
      </c>
      <c r="D115" s="21">
        <v>5900</v>
      </c>
      <c r="E115" s="21">
        <v>7200</v>
      </c>
      <c r="F115" s="21">
        <v>7900</v>
      </c>
      <c r="G115" s="21">
        <v>7600</v>
      </c>
      <c r="H115" s="21">
        <v>8500</v>
      </c>
      <c r="I115" s="21">
        <v>7700</v>
      </c>
      <c r="J115" s="21">
        <v>9200</v>
      </c>
      <c r="K115" s="21">
        <v>9900</v>
      </c>
      <c r="L115" s="21">
        <v>12000</v>
      </c>
      <c r="M115" s="21">
        <v>11900</v>
      </c>
      <c r="N115" s="21">
        <v>11200</v>
      </c>
      <c r="O115" s="21">
        <v>11200</v>
      </c>
      <c r="P115" s="21">
        <v>11000</v>
      </c>
      <c r="Q115" s="21">
        <v>13100</v>
      </c>
      <c r="R115" s="21">
        <v>14900</v>
      </c>
      <c r="S115" s="21">
        <v>13900</v>
      </c>
      <c r="T115" s="21">
        <v>13800</v>
      </c>
      <c r="U115" s="21">
        <v>14400</v>
      </c>
      <c r="V115" s="21">
        <v>15200</v>
      </c>
      <c r="W115" s="21">
        <v>13900</v>
      </c>
      <c r="X115" s="21">
        <v>13600</v>
      </c>
      <c r="Y115" s="21">
        <v>13400</v>
      </c>
      <c r="Z115" s="21">
        <v>11700</v>
      </c>
      <c r="AA115" s="21">
        <v>11400</v>
      </c>
      <c r="AB115" s="21">
        <v>11900</v>
      </c>
      <c r="AC115" s="21">
        <v>13200</v>
      </c>
      <c r="AD115" s="21">
        <v>12600</v>
      </c>
      <c r="AE115" s="21">
        <v>14700</v>
      </c>
      <c r="AF115" s="21">
        <v>13900</v>
      </c>
      <c r="AG115" s="21">
        <v>14600</v>
      </c>
      <c r="AH115" s="21">
        <v>12700</v>
      </c>
      <c r="AI115" s="21">
        <v>12800</v>
      </c>
      <c r="AJ115" s="24">
        <v>10900</v>
      </c>
      <c r="AK115" s="19">
        <f t="shared" si="1031"/>
        <v>11818.762946428575</v>
      </c>
      <c r="AL115" s="19">
        <f t="shared" si="1032"/>
        <v>12705.270651785719</v>
      </c>
      <c r="AM115" s="19">
        <f t="shared" si="1033"/>
        <v>13584.574340334826</v>
      </c>
      <c r="AN115" s="19">
        <f t="shared" si="1034"/>
        <v>14347.257534949114</v>
      </c>
      <c r="AO115" s="19">
        <f t="shared" si="1035"/>
        <v>15081.749420232904</v>
      </c>
      <c r="AP115" s="19">
        <f t="shared" si="1036"/>
        <v>15778.415828151781</v>
      </c>
      <c r="AQ115" s="19">
        <f t="shared" si="1037"/>
        <v>16493.649155019128</v>
      </c>
      <c r="AR115" s="19">
        <f t="shared" si="1038"/>
        <v>17227.58739513523</v>
      </c>
      <c r="AS115" s="19">
        <f t="shared" si="1039"/>
        <v>17996.843811394734</v>
      </c>
      <c r="AU115" s="21"/>
      <c r="AV115" s="21"/>
      <c r="AW115" s="21"/>
      <c r="AX115" s="21">
        <v>12500</v>
      </c>
      <c r="AY115" s="21">
        <v>5800</v>
      </c>
      <c r="AZ115" s="19">
        <f t="shared" si="1010"/>
        <v>7200</v>
      </c>
      <c r="BA115" s="19">
        <f t="shared" si="1011"/>
        <v>7600</v>
      </c>
      <c r="BB115" s="19">
        <f t="shared" si="1012"/>
        <v>7700</v>
      </c>
      <c r="BC115" s="19">
        <f t="shared" si="1013"/>
        <v>9900</v>
      </c>
      <c r="BD115" s="19">
        <f t="shared" si="1014"/>
        <v>11900</v>
      </c>
      <c r="BE115" s="19">
        <f t="shared" si="1015"/>
        <v>11200</v>
      </c>
      <c r="BF115" s="19">
        <f t="shared" si="1016"/>
        <v>13100</v>
      </c>
      <c r="BG115" s="19">
        <f t="shared" si="1017"/>
        <v>13900</v>
      </c>
      <c r="BH115" s="19">
        <f t="shared" si="1018"/>
        <v>14400</v>
      </c>
      <c r="BI115" s="19">
        <f t="shared" si="1019"/>
        <v>13900</v>
      </c>
      <c r="BJ115" s="19">
        <f t="shared" si="1020"/>
        <v>13400</v>
      </c>
      <c r="BK115" s="19">
        <f t="shared" si="1021"/>
        <v>11400</v>
      </c>
      <c r="BL115" s="19">
        <f t="shared" si="1022"/>
        <v>13200</v>
      </c>
      <c r="BM115" s="19">
        <f t="shared" si="1023"/>
        <v>14700</v>
      </c>
      <c r="BN115" s="19">
        <f t="shared" si="1024"/>
        <v>14600</v>
      </c>
      <c r="BO115" s="20">
        <f t="shared" si="1025"/>
        <v>12800</v>
      </c>
      <c r="BP115" s="19">
        <f t="shared" si="1026"/>
        <v>11818.762946428575</v>
      </c>
      <c r="BQ115" s="19">
        <f t="shared" si="1027"/>
        <v>13584.574340334826</v>
      </c>
      <c r="BR115" s="19">
        <f t="shared" si="1028"/>
        <v>15081.749420232904</v>
      </c>
      <c r="BS115" s="19">
        <f t="shared" si="1029"/>
        <v>16493.649155019128</v>
      </c>
      <c r="BT115" s="19">
        <f t="shared" si="1030"/>
        <v>17996.843811394734</v>
      </c>
    </row>
    <row r="116" spans="1:72" ht="12" customHeight="1" outlineLevel="1">
      <c r="A116" s="91" t="s">
        <v>1055</v>
      </c>
      <c r="B116" s="1" t="s">
        <v>167</v>
      </c>
      <c r="D116" s="21">
        <v>19400</v>
      </c>
      <c r="E116" s="21">
        <v>22300</v>
      </c>
      <c r="F116" s="21">
        <v>24200</v>
      </c>
      <c r="G116" s="21">
        <v>28600</v>
      </c>
      <c r="H116" s="21">
        <f>28100-H113</f>
        <v>28100</v>
      </c>
      <c r="I116" s="21">
        <v>26700</v>
      </c>
      <c r="J116" s="21">
        <v>26500</v>
      </c>
      <c r="K116" s="21">
        <v>26800</v>
      </c>
      <c r="L116" s="21">
        <v>27700</v>
      </c>
      <c r="M116" s="21">
        <v>27900</v>
      </c>
      <c r="N116" s="21">
        <v>30800</v>
      </c>
      <c r="O116" s="21">
        <v>34600</v>
      </c>
      <c r="P116" s="21">
        <v>39900</v>
      </c>
      <c r="Q116" s="21">
        <v>42100</v>
      </c>
      <c r="R116" s="21">
        <v>37900</v>
      </c>
      <c r="S116" s="21">
        <v>37100</v>
      </c>
      <c r="T116" s="21">
        <v>39600</v>
      </c>
      <c r="U116" s="21">
        <v>45400</v>
      </c>
      <c r="V116" s="21">
        <v>48200</v>
      </c>
      <c r="W116" s="21">
        <v>47300</v>
      </c>
      <c r="X116" s="21">
        <v>44000</v>
      </c>
      <c r="Y116" s="21">
        <v>49600</v>
      </c>
      <c r="Z116" s="21">
        <f>43600+27300</f>
        <v>70900</v>
      </c>
      <c r="AA116" s="21">
        <f>54200+29100</f>
        <v>83300</v>
      </c>
      <c r="AB116" s="21">
        <f>61300+33400</f>
        <v>94700</v>
      </c>
      <c r="AC116" s="21">
        <f>83000+35500</f>
        <v>118500</v>
      </c>
      <c r="AD116" s="21">
        <f>99500+38700</f>
        <v>138200</v>
      </c>
      <c r="AE116" s="21">
        <f>109000+39800</f>
        <v>148800</v>
      </c>
      <c r="AF116" s="21">
        <f>115200+43500</f>
        <v>158700</v>
      </c>
      <c r="AG116" s="21">
        <f>120400+46500</f>
        <v>166900</v>
      </c>
      <c r="AH116" s="21">
        <f>131000+48200</f>
        <v>179200</v>
      </c>
      <c r="AI116" s="21">
        <f>143300+49500</f>
        <v>192800</v>
      </c>
      <c r="AJ116" s="24">
        <f>162000+51100</f>
        <v>213100</v>
      </c>
      <c r="AK116" s="19">
        <f>AJ116*('Divisional Model'!AJ39-'Divisional Model'!AJ488)/('Divisional Model'!AI39-'Divisional Model'!AI488)</f>
        <v>231062.23705357147</v>
      </c>
      <c r="AL116" s="19">
        <f>AK116*('Divisional Model'!AK39-'Divisional Model'!AK488)/('Divisional Model'!AJ39-'Divisional Model'!AJ488)</f>
        <v>248393.86934821433</v>
      </c>
      <c r="AM116" s="19">
        <f>AL116*('Divisional Model'!AL39-'Divisional Model'!AL488)/('Divisional Model'!AK39-'Divisional Model'!AK488)</f>
        <v>265584.65980966523</v>
      </c>
      <c r="AN116" s="19">
        <f>AM116*('Divisional Model'!AM39-'Divisional Model'!AM488)/('Divisional Model'!AL39-'Divisional Model'!AL488)</f>
        <v>280495.46611905098</v>
      </c>
      <c r="AO116" s="19">
        <f>AN116*('Divisional Model'!AN39-'Divisional Model'!AN488)/('Divisional Model'!AM39-'Divisional Model'!AM488)</f>
        <v>294855.11939923221</v>
      </c>
      <c r="AP116" s="19">
        <f>AO116*('Divisional Model'!AO39-'Divisional Model'!AO488)/('Divisional Model'!AN39-'Divisional Model'!AN488)</f>
        <v>308475.26724579302</v>
      </c>
      <c r="AQ116" s="19">
        <f>AP116*('Divisional Model'!AP39-'Divisional Model'!AP488)/('Divisional Model'!AO39-'Divisional Model'!AO488)</f>
        <v>322458.40687473165</v>
      </c>
      <c r="AR116" s="19">
        <f>AQ116*('Divisional Model'!AQ39-'Divisional Model'!AQ488)/('Divisional Model'!AP39-'Divisional Model'!AP488)</f>
        <v>336807.23613791895</v>
      </c>
      <c r="AS116" s="19">
        <f>AR116*('Divisional Model'!AR39-'Divisional Model'!AR488)/('Divisional Model'!AQ39-'Divisional Model'!AQ488)</f>
        <v>351846.55194570799</v>
      </c>
      <c r="AU116" s="21"/>
      <c r="AV116" s="21"/>
      <c r="AW116" s="21"/>
      <c r="AX116" s="21">
        <v>17600</v>
      </c>
      <c r="AY116" s="21">
        <v>19500</v>
      </c>
      <c r="AZ116" s="19">
        <f t="shared" si="1010"/>
        <v>22300</v>
      </c>
      <c r="BA116" s="19">
        <f t="shared" si="1011"/>
        <v>28600</v>
      </c>
      <c r="BB116" s="19">
        <f t="shared" si="1012"/>
        <v>26700</v>
      </c>
      <c r="BC116" s="19">
        <f t="shared" si="1013"/>
        <v>26800</v>
      </c>
      <c r="BD116" s="19">
        <f t="shared" si="1014"/>
        <v>27900</v>
      </c>
      <c r="BE116" s="19">
        <f t="shared" si="1015"/>
        <v>34600</v>
      </c>
      <c r="BF116" s="19">
        <f t="shared" si="1016"/>
        <v>42100</v>
      </c>
      <c r="BG116" s="19">
        <f t="shared" si="1017"/>
        <v>37100</v>
      </c>
      <c r="BH116" s="19">
        <f t="shared" si="1018"/>
        <v>45400</v>
      </c>
      <c r="BI116" s="19">
        <f t="shared" si="1019"/>
        <v>47300</v>
      </c>
      <c r="BJ116" s="19">
        <f t="shared" si="1020"/>
        <v>49600</v>
      </c>
      <c r="BK116" s="19">
        <f t="shared" si="1021"/>
        <v>83300</v>
      </c>
      <c r="BL116" s="19">
        <f t="shared" si="1022"/>
        <v>118500</v>
      </c>
      <c r="BM116" s="19">
        <f t="shared" si="1023"/>
        <v>148800</v>
      </c>
      <c r="BN116" s="19">
        <f t="shared" si="1024"/>
        <v>166900</v>
      </c>
      <c r="BO116" s="20">
        <f t="shared" si="1025"/>
        <v>192800</v>
      </c>
      <c r="BP116" s="19">
        <f t="shared" si="1026"/>
        <v>231062.23705357147</v>
      </c>
      <c r="BQ116" s="19">
        <f t="shared" si="1027"/>
        <v>265584.65980966523</v>
      </c>
      <c r="BR116" s="19">
        <f t="shared" si="1028"/>
        <v>294855.11939923221</v>
      </c>
      <c r="BS116" s="19">
        <f t="shared" si="1029"/>
        <v>322458.40687473165</v>
      </c>
      <c r="BT116" s="19">
        <f t="shared" si="1030"/>
        <v>351846.55194570799</v>
      </c>
    </row>
    <row r="117" spans="1:72" ht="12" customHeight="1" outlineLevel="1">
      <c r="A117" s="91" t="s">
        <v>1056</v>
      </c>
      <c r="B117" s="1" t="s">
        <v>168</v>
      </c>
      <c r="D117" s="21">
        <v>2600</v>
      </c>
      <c r="E117" s="21">
        <v>2800</v>
      </c>
      <c r="F117" s="21">
        <v>3400</v>
      </c>
      <c r="G117" s="21">
        <v>2800</v>
      </c>
      <c r="H117" s="21">
        <v>3600</v>
      </c>
      <c r="I117" s="21">
        <v>2500</v>
      </c>
      <c r="J117" s="21">
        <v>2000</v>
      </c>
      <c r="K117" s="21">
        <v>2300</v>
      </c>
      <c r="L117" s="21">
        <v>2900</v>
      </c>
      <c r="M117" s="21">
        <v>3100</v>
      </c>
      <c r="N117" s="62">
        <v>3600</v>
      </c>
      <c r="O117" s="62">
        <v>3700</v>
      </c>
      <c r="P117" s="62">
        <v>2900</v>
      </c>
      <c r="Q117" s="62">
        <v>2700</v>
      </c>
      <c r="R117" s="62">
        <v>2700</v>
      </c>
      <c r="S117" s="62">
        <v>2300</v>
      </c>
      <c r="T117" s="62">
        <v>1700</v>
      </c>
      <c r="U117" s="62">
        <v>1700</v>
      </c>
      <c r="V117" s="62">
        <v>1800</v>
      </c>
      <c r="W117" s="62">
        <v>1700</v>
      </c>
      <c r="X117" s="62">
        <v>1700</v>
      </c>
      <c r="Y117" s="62">
        <v>1900</v>
      </c>
      <c r="Z117" s="62">
        <v>1500</v>
      </c>
      <c r="AA117" s="62">
        <v>1900</v>
      </c>
      <c r="AB117" s="62">
        <v>2400</v>
      </c>
      <c r="AC117" s="62">
        <v>2500</v>
      </c>
      <c r="AD117" s="62">
        <v>6000</v>
      </c>
      <c r="AE117" s="62">
        <v>4700</v>
      </c>
      <c r="AF117" s="62">
        <v>5000</v>
      </c>
      <c r="AG117" s="62">
        <v>4700</v>
      </c>
      <c r="AH117" s="62">
        <v>3900</v>
      </c>
      <c r="AI117" s="62">
        <v>4100</v>
      </c>
      <c r="AJ117" s="57">
        <v>7000</v>
      </c>
      <c r="AK117" s="58">
        <f t="shared" ref="AK117" si="1041">AJ117</f>
        <v>7000</v>
      </c>
      <c r="AL117" s="58">
        <f t="shared" ref="AL117" si="1042">AK117</f>
        <v>7000</v>
      </c>
      <c r="AM117" s="58">
        <f t="shared" ref="AM117" si="1043">AL117</f>
        <v>7000</v>
      </c>
      <c r="AN117" s="58">
        <f t="shared" ref="AN117" si="1044">AM117</f>
        <v>7000</v>
      </c>
      <c r="AO117" s="58">
        <f t="shared" ref="AO117" si="1045">AN117</f>
        <v>7000</v>
      </c>
      <c r="AP117" s="58">
        <f t="shared" ref="AP117" si="1046">AO117</f>
        <v>7000</v>
      </c>
      <c r="AQ117" s="58">
        <f t="shared" ref="AQ117" si="1047">AP117</f>
        <v>7000</v>
      </c>
      <c r="AR117" s="58">
        <f t="shared" ref="AR117" si="1048">AQ117</f>
        <v>7000</v>
      </c>
      <c r="AS117" s="58">
        <f t="shared" ref="AS117" si="1049">AR117</f>
        <v>7000</v>
      </c>
      <c r="AU117" s="21"/>
      <c r="AV117" s="21"/>
      <c r="AW117" s="21"/>
      <c r="AX117" s="21">
        <v>2600</v>
      </c>
      <c r="AY117" s="21">
        <v>1200</v>
      </c>
      <c r="AZ117" s="19">
        <f t="shared" si="1010"/>
        <v>2800</v>
      </c>
      <c r="BA117" s="19">
        <f t="shared" si="1011"/>
        <v>2800</v>
      </c>
      <c r="BB117" s="19">
        <f t="shared" si="1012"/>
        <v>2500</v>
      </c>
      <c r="BC117" s="19">
        <f t="shared" si="1013"/>
        <v>2300</v>
      </c>
      <c r="BD117" s="19">
        <f t="shared" si="1014"/>
        <v>3100</v>
      </c>
      <c r="BE117" s="19">
        <f t="shared" si="1015"/>
        <v>3700</v>
      </c>
      <c r="BF117" s="19">
        <f t="shared" si="1016"/>
        <v>2700</v>
      </c>
      <c r="BG117" s="19">
        <f t="shared" si="1017"/>
        <v>2300</v>
      </c>
      <c r="BH117" s="19">
        <f t="shared" si="1018"/>
        <v>1700</v>
      </c>
      <c r="BI117" s="19">
        <f t="shared" si="1019"/>
        <v>1700</v>
      </c>
      <c r="BJ117" s="19">
        <f t="shared" si="1020"/>
        <v>1900</v>
      </c>
      <c r="BK117" s="19">
        <f t="shared" si="1021"/>
        <v>1900</v>
      </c>
      <c r="BL117" s="19">
        <f t="shared" si="1022"/>
        <v>2500</v>
      </c>
      <c r="BM117" s="19">
        <f t="shared" si="1023"/>
        <v>4700</v>
      </c>
      <c r="BN117" s="19">
        <f t="shared" si="1024"/>
        <v>4700</v>
      </c>
      <c r="BO117" s="20">
        <f t="shared" si="1025"/>
        <v>4100</v>
      </c>
      <c r="BP117" s="19">
        <f t="shared" si="1026"/>
        <v>7000</v>
      </c>
      <c r="BQ117" s="19">
        <f t="shared" si="1027"/>
        <v>7000</v>
      </c>
      <c r="BR117" s="19">
        <f t="shared" si="1028"/>
        <v>7000</v>
      </c>
      <c r="BS117" s="19">
        <f t="shared" si="1029"/>
        <v>7000</v>
      </c>
      <c r="BT117" s="19">
        <f t="shared" si="1030"/>
        <v>7000</v>
      </c>
    </row>
    <row r="118" spans="1:72" ht="12" customHeight="1" outlineLevel="1">
      <c r="A118" s="91" t="s">
        <v>1071</v>
      </c>
      <c r="B118" s="1" t="s">
        <v>169</v>
      </c>
      <c r="D118" s="21">
        <f>5800+100</f>
        <v>5900</v>
      </c>
      <c r="E118" s="21">
        <f>100+5500</f>
        <v>5600</v>
      </c>
      <c r="F118" s="21">
        <f>5800+100</f>
        <v>5900</v>
      </c>
      <c r="G118" s="21">
        <f>5500+100</f>
        <v>5600</v>
      </c>
      <c r="H118" s="21">
        <v>5900</v>
      </c>
      <c r="I118" s="21">
        <v>5400</v>
      </c>
      <c r="J118" s="21">
        <v>5100</v>
      </c>
      <c r="K118" s="21">
        <v>5500</v>
      </c>
      <c r="L118" s="21">
        <v>6100</v>
      </c>
      <c r="M118" s="21">
        <v>4700</v>
      </c>
      <c r="N118" s="62">
        <v>4700</v>
      </c>
      <c r="O118" s="62">
        <v>5100</v>
      </c>
      <c r="P118" s="62">
        <v>6200</v>
      </c>
      <c r="Q118" s="62">
        <v>5800</v>
      </c>
      <c r="R118" s="62">
        <v>5300</v>
      </c>
      <c r="S118" s="62">
        <v>5500</v>
      </c>
      <c r="T118" s="62">
        <v>7700</v>
      </c>
      <c r="U118" s="62">
        <v>6800</v>
      </c>
      <c r="V118" s="62">
        <v>6300</v>
      </c>
      <c r="W118" s="62">
        <v>5900</v>
      </c>
      <c r="X118" s="62">
        <v>8400</v>
      </c>
      <c r="Y118" s="62">
        <v>7400</v>
      </c>
      <c r="Z118" s="62">
        <v>6300</v>
      </c>
      <c r="AA118" s="62">
        <v>5700</v>
      </c>
      <c r="AB118" s="62">
        <v>6600</v>
      </c>
      <c r="AC118" s="62">
        <v>6300</v>
      </c>
      <c r="AD118" s="62">
        <v>7400</v>
      </c>
      <c r="AE118" s="62">
        <v>7400</v>
      </c>
      <c r="AF118" s="62">
        <v>8500</v>
      </c>
      <c r="AG118" s="62">
        <v>10600</v>
      </c>
      <c r="AH118" s="62">
        <v>10000</v>
      </c>
      <c r="AI118" s="62">
        <v>16200</v>
      </c>
      <c r="AJ118" s="57">
        <v>20600</v>
      </c>
      <c r="AK118" s="19">
        <f>AJ118*'Divisional Model'!AJ45/'Divisional Model'!AI45</f>
        <v>21127.529264467506</v>
      </c>
      <c r="AL118" s="19">
        <f>AK118*'Divisional Model'!AK45/'Divisional Model'!AJ45</f>
        <v>22130.381789044826</v>
      </c>
      <c r="AM118" s="19">
        <f>AL118*'Divisional Model'!AL45/'Divisional Model'!AK45</f>
        <v>22825.427239909885</v>
      </c>
      <c r="AN118" s="19">
        <f>AM118*'Divisional Model'!AM45/'Divisional Model'!AL45</f>
        <v>23001.072720901026</v>
      </c>
      <c r="AO118" s="19">
        <f>AN118*'Divisional Model'!AN45/'Divisional Model'!AM45</f>
        <v>23189.26331589021</v>
      </c>
      <c r="AP118" s="19">
        <f>AO118*'Divisional Model'!AO45/'Divisional Model'!AN45</f>
        <v>23389.796802927991</v>
      </c>
      <c r="AQ118" s="19">
        <f>AP118*'Divisional Model'!AP45/'Divisional Model'!AO45</f>
        <v>23405.152431299979</v>
      </c>
      <c r="AR118" s="19">
        <f>AQ118*'Divisional Model'!AQ45/'Divisional Model'!AP45</f>
        <v>23245.159136651055</v>
      </c>
      <c r="AS118" s="19">
        <f>AR118*'Divisional Model'!AR45/'Divisional Model'!AQ45</f>
        <v>23108.577479701646</v>
      </c>
      <c r="AU118" s="21"/>
      <c r="AV118" s="21"/>
      <c r="AW118" s="21"/>
      <c r="AX118" s="21">
        <f>6300+800</f>
        <v>7100</v>
      </c>
      <c r="AY118" s="21">
        <f>7200+200</f>
        <v>7400</v>
      </c>
      <c r="AZ118" s="19">
        <f t="shared" si="1010"/>
        <v>5600</v>
      </c>
      <c r="BA118" s="19">
        <f t="shared" si="1011"/>
        <v>5600</v>
      </c>
      <c r="BB118" s="19">
        <f t="shared" si="1012"/>
        <v>5400</v>
      </c>
      <c r="BC118" s="19">
        <f t="shared" si="1013"/>
        <v>5500</v>
      </c>
      <c r="BD118" s="19">
        <f t="shared" si="1014"/>
        <v>4700</v>
      </c>
      <c r="BE118" s="19">
        <f t="shared" si="1015"/>
        <v>5100</v>
      </c>
      <c r="BF118" s="19">
        <f t="shared" si="1016"/>
        <v>5800</v>
      </c>
      <c r="BG118" s="19">
        <f t="shared" si="1017"/>
        <v>5500</v>
      </c>
      <c r="BH118" s="19">
        <f t="shared" si="1018"/>
        <v>6800</v>
      </c>
      <c r="BI118" s="19">
        <f t="shared" si="1019"/>
        <v>5900</v>
      </c>
      <c r="BJ118" s="19">
        <f t="shared" si="1020"/>
        <v>7400</v>
      </c>
      <c r="BK118" s="19">
        <f t="shared" si="1021"/>
        <v>5700</v>
      </c>
      <c r="BL118" s="19">
        <f t="shared" si="1022"/>
        <v>6300</v>
      </c>
      <c r="BM118" s="19">
        <f t="shared" si="1023"/>
        <v>7400</v>
      </c>
      <c r="BN118" s="19">
        <f t="shared" si="1024"/>
        <v>10600</v>
      </c>
      <c r="BO118" s="20">
        <f t="shared" si="1025"/>
        <v>16200</v>
      </c>
      <c r="BP118" s="19">
        <f t="shared" si="1026"/>
        <v>21127.529264467506</v>
      </c>
      <c r="BQ118" s="19">
        <f t="shared" si="1027"/>
        <v>22825.427239909885</v>
      </c>
      <c r="BR118" s="19">
        <f t="shared" si="1028"/>
        <v>23189.26331589021</v>
      </c>
      <c r="BS118" s="19">
        <f t="shared" si="1029"/>
        <v>23405.152431299979</v>
      </c>
      <c r="BT118" s="19">
        <f t="shared" si="1030"/>
        <v>23108.577479701646</v>
      </c>
    </row>
    <row r="119" spans="1:72" ht="12" customHeight="1" outlineLevel="1">
      <c r="A119" s="91" t="s">
        <v>1069</v>
      </c>
      <c r="B119" s="1" t="s">
        <v>171</v>
      </c>
      <c r="D119" s="21">
        <v>1400</v>
      </c>
      <c r="E119" s="21">
        <v>1200</v>
      </c>
      <c r="F119" s="21">
        <v>1200</v>
      </c>
      <c r="G119" s="21">
        <v>700</v>
      </c>
      <c r="H119" s="21">
        <v>0</v>
      </c>
      <c r="I119" s="21">
        <v>0</v>
      </c>
      <c r="J119" s="21">
        <v>0</v>
      </c>
      <c r="K119" s="21">
        <v>0</v>
      </c>
      <c r="L119" s="21">
        <v>0</v>
      </c>
      <c r="M119" s="21">
        <v>0</v>
      </c>
      <c r="N119" s="62">
        <v>0</v>
      </c>
      <c r="O119" s="62">
        <v>0</v>
      </c>
      <c r="P119" s="62">
        <v>0</v>
      </c>
      <c r="Q119" s="62">
        <v>0</v>
      </c>
      <c r="R119" s="62">
        <v>0</v>
      </c>
      <c r="S119" s="62">
        <v>0</v>
      </c>
      <c r="T119" s="62">
        <v>0</v>
      </c>
      <c r="U119" s="62">
        <v>0</v>
      </c>
      <c r="V119" s="62">
        <v>0</v>
      </c>
      <c r="W119" s="62">
        <v>0</v>
      </c>
      <c r="X119" s="62">
        <v>0</v>
      </c>
      <c r="Y119" s="62">
        <v>0</v>
      </c>
      <c r="Z119" s="62">
        <v>0</v>
      </c>
      <c r="AA119" s="62">
        <v>0</v>
      </c>
      <c r="AB119" s="62">
        <v>0</v>
      </c>
      <c r="AC119" s="62">
        <v>0</v>
      </c>
      <c r="AD119" s="62">
        <v>0</v>
      </c>
      <c r="AE119" s="62">
        <v>0</v>
      </c>
      <c r="AF119" s="62">
        <v>0</v>
      </c>
      <c r="AG119" s="62">
        <v>0</v>
      </c>
      <c r="AH119" s="62">
        <v>0</v>
      </c>
      <c r="AI119" s="62">
        <v>0</v>
      </c>
      <c r="AJ119" s="57">
        <v>0</v>
      </c>
      <c r="AK119" s="58">
        <f t="shared" ref="AK119:AK120" si="1050">AJ119</f>
        <v>0</v>
      </c>
      <c r="AL119" s="58">
        <f t="shared" ref="AL119:AL120" si="1051">AK119</f>
        <v>0</v>
      </c>
      <c r="AM119" s="58">
        <f t="shared" ref="AM119:AM120" si="1052">AL119</f>
        <v>0</v>
      </c>
      <c r="AN119" s="58">
        <f t="shared" ref="AN119:AN120" si="1053">AM119</f>
        <v>0</v>
      </c>
      <c r="AO119" s="58">
        <f t="shared" ref="AO119:AO120" si="1054">AN119</f>
        <v>0</v>
      </c>
      <c r="AP119" s="58">
        <f t="shared" ref="AP119:AP120" si="1055">AO119</f>
        <v>0</v>
      </c>
      <c r="AQ119" s="58">
        <f t="shared" ref="AQ119:AQ120" si="1056">AP119</f>
        <v>0</v>
      </c>
      <c r="AR119" s="58">
        <f t="shared" ref="AR119:AR120" si="1057">AQ119</f>
        <v>0</v>
      </c>
      <c r="AS119" s="58">
        <f t="shared" ref="AS119:AS120" si="1058">AR119</f>
        <v>0</v>
      </c>
      <c r="AU119" s="21"/>
      <c r="AV119" s="21"/>
      <c r="AW119" s="21"/>
      <c r="AX119" s="21">
        <v>8800</v>
      </c>
      <c r="AY119" s="21">
        <v>3800</v>
      </c>
      <c r="AZ119" s="19">
        <f t="shared" si="1010"/>
        <v>1200</v>
      </c>
      <c r="BA119" s="19">
        <f t="shared" si="1011"/>
        <v>700</v>
      </c>
      <c r="BB119" s="19">
        <f t="shared" si="1012"/>
        <v>0</v>
      </c>
      <c r="BC119" s="19">
        <f t="shared" si="1013"/>
        <v>0</v>
      </c>
      <c r="BD119" s="19">
        <f t="shared" si="1014"/>
        <v>0</v>
      </c>
      <c r="BE119" s="19">
        <f t="shared" si="1015"/>
        <v>0</v>
      </c>
      <c r="BF119" s="19">
        <f t="shared" si="1016"/>
        <v>0</v>
      </c>
      <c r="BG119" s="19">
        <f t="shared" si="1017"/>
        <v>0</v>
      </c>
      <c r="BH119" s="19">
        <f t="shared" si="1018"/>
        <v>0</v>
      </c>
      <c r="BI119" s="19">
        <f t="shared" si="1019"/>
        <v>0</v>
      </c>
      <c r="BJ119" s="19">
        <f t="shared" si="1020"/>
        <v>0</v>
      </c>
      <c r="BK119" s="19">
        <f t="shared" si="1021"/>
        <v>0</v>
      </c>
      <c r="BL119" s="19">
        <f t="shared" si="1022"/>
        <v>0</v>
      </c>
      <c r="BM119" s="19">
        <f t="shared" si="1023"/>
        <v>0</v>
      </c>
      <c r="BN119" s="19">
        <f t="shared" si="1024"/>
        <v>0</v>
      </c>
      <c r="BO119" s="20">
        <f t="shared" si="1025"/>
        <v>0</v>
      </c>
      <c r="BP119" s="19">
        <f t="shared" si="1026"/>
        <v>0</v>
      </c>
      <c r="BQ119" s="19">
        <f t="shared" si="1027"/>
        <v>0</v>
      </c>
      <c r="BR119" s="19">
        <f t="shared" si="1028"/>
        <v>0</v>
      </c>
      <c r="BS119" s="19">
        <f t="shared" si="1029"/>
        <v>0</v>
      </c>
      <c r="BT119" s="19">
        <f t="shared" si="1030"/>
        <v>0</v>
      </c>
    </row>
    <row r="120" spans="1:72" ht="12" customHeight="1" outlineLevel="1">
      <c r="A120" s="91" t="s">
        <v>1067</v>
      </c>
      <c r="B120" s="1" t="s">
        <v>172</v>
      </c>
      <c r="D120" s="21">
        <v>0</v>
      </c>
      <c r="E120" s="21">
        <v>0</v>
      </c>
      <c r="F120" s="21">
        <v>0</v>
      </c>
      <c r="G120" s="21">
        <v>0</v>
      </c>
      <c r="H120" s="21">
        <v>0</v>
      </c>
      <c r="I120" s="21">
        <v>0</v>
      </c>
      <c r="J120" s="21">
        <v>0</v>
      </c>
      <c r="K120" s="21">
        <v>0</v>
      </c>
      <c r="L120" s="21">
        <v>0</v>
      </c>
      <c r="M120" s="21">
        <v>0</v>
      </c>
      <c r="N120" s="62">
        <v>0</v>
      </c>
      <c r="O120" s="62">
        <v>0</v>
      </c>
      <c r="P120" s="62">
        <v>0</v>
      </c>
      <c r="Q120" s="62">
        <v>0</v>
      </c>
      <c r="R120" s="62">
        <v>0</v>
      </c>
      <c r="S120" s="62">
        <v>0</v>
      </c>
      <c r="T120" s="62">
        <v>0</v>
      </c>
      <c r="U120" s="62">
        <v>0</v>
      </c>
      <c r="V120" s="62">
        <v>0</v>
      </c>
      <c r="W120" s="62">
        <v>0</v>
      </c>
      <c r="X120" s="62">
        <v>0</v>
      </c>
      <c r="Y120" s="62">
        <v>0</v>
      </c>
      <c r="Z120" s="62">
        <v>0</v>
      </c>
      <c r="AA120" s="62">
        <v>0</v>
      </c>
      <c r="AB120" s="62">
        <v>0</v>
      </c>
      <c r="AC120" s="62">
        <v>0</v>
      </c>
      <c r="AD120" s="62">
        <v>0</v>
      </c>
      <c r="AE120" s="62">
        <v>0</v>
      </c>
      <c r="AF120" s="62">
        <v>0</v>
      </c>
      <c r="AG120" s="62">
        <v>0</v>
      </c>
      <c r="AH120" s="62">
        <v>0</v>
      </c>
      <c r="AI120" s="62">
        <v>0</v>
      </c>
      <c r="AJ120" s="57">
        <v>0</v>
      </c>
      <c r="AK120" s="58">
        <f t="shared" si="1050"/>
        <v>0</v>
      </c>
      <c r="AL120" s="58">
        <f t="shared" si="1051"/>
        <v>0</v>
      </c>
      <c r="AM120" s="58">
        <f t="shared" si="1052"/>
        <v>0</v>
      </c>
      <c r="AN120" s="58">
        <f t="shared" si="1053"/>
        <v>0</v>
      </c>
      <c r="AO120" s="58">
        <f t="shared" si="1054"/>
        <v>0</v>
      </c>
      <c r="AP120" s="58">
        <f t="shared" si="1055"/>
        <v>0</v>
      </c>
      <c r="AQ120" s="58">
        <f t="shared" si="1056"/>
        <v>0</v>
      </c>
      <c r="AR120" s="58">
        <f t="shared" si="1057"/>
        <v>0</v>
      </c>
      <c r="AS120" s="58">
        <f t="shared" si="1058"/>
        <v>0</v>
      </c>
      <c r="AU120" s="21"/>
      <c r="AV120" s="21"/>
      <c r="AW120" s="21"/>
      <c r="AX120" s="21">
        <v>0</v>
      </c>
      <c r="AY120" s="21">
        <v>0</v>
      </c>
      <c r="AZ120" s="19">
        <f t="shared" si="1010"/>
        <v>0</v>
      </c>
      <c r="BA120" s="19">
        <f t="shared" si="1011"/>
        <v>0</v>
      </c>
      <c r="BB120" s="19">
        <f t="shared" si="1012"/>
        <v>0</v>
      </c>
      <c r="BC120" s="19">
        <f t="shared" si="1013"/>
        <v>0</v>
      </c>
      <c r="BD120" s="19">
        <f t="shared" si="1014"/>
        <v>0</v>
      </c>
      <c r="BE120" s="19">
        <f t="shared" si="1015"/>
        <v>0</v>
      </c>
      <c r="BF120" s="19">
        <f t="shared" si="1016"/>
        <v>0</v>
      </c>
      <c r="BG120" s="19">
        <f t="shared" si="1017"/>
        <v>0</v>
      </c>
      <c r="BH120" s="19">
        <f t="shared" si="1018"/>
        <v>0</v>
      </c>
      <c r="BI120" s="19">
        <f t="shared" si="1019"/>
        <v>0</v>
      </c>
      <c r="BJ120" s="19">
        <f t="shared" si="1020"/>
        <v>0</v>
      </c>
      <c r="BK120" s="19">
        <f t="shared" si="1021"/>
        <v>0</v>
      </c>
      <c r="BL120" s="19">
        <f t="shared" si="1022"/>
        <v>0</v>
      </c>
      <c r="BM120" s="19">
        <f t="shared" si="1023"/>
        <v>0</v>
      </c>
      <c r="BN120" s="19">
        <f t="shared" si="1024"/>
        <v>0</v>
      </c>
      <c r="BO120" s="20">
        <f t="shared" si="1025"/>
        <v>0</v>
      </c>
      <c r="BP120" s="19">
        <f t="shared" si="1026"/>
        <v>0</v>
      </c>
      <c r="BQ120" s="19">
        <f t="shared" si="1027"/>
        <v>0</v>
      </c>
      <c r="BR120" s="19">
        <f t="shared" si="1028"/>
        <v>0</v>
      </c>
      <c r="BS120" s="19">
        <f t="shared" si="1029"/>
        <v>0</v>
      </c>
      <c r="BT120" s="19">
        <f t="shared" si="1030"/>
        <v>0</v>
      </c>
    </row>
    <row r="121" spans="1:72" ht="12" customHeight="1" outlineLevel="1">
      <c r="A121" s="91" t="s">
        <v>1068</v>
      </c>
      <c r="B121" s="1" t="s">
        <v>170</v>
      </c>
      <c r="D121" s="21">
        <f>1400+400</f>
        <v>1800</v>
      </c>
      <c r="E121" s="21">
        <v>2100</v>
      </c>
      <c r="F121" s="21">
        <f>2100+600</f>
        <v>2700</v>
      </c>
      <c r="G121" s="21">
        <v>2000</v>
      </c>
      <c r="H121" s="21">
        <f>2000+1000</f>
        <v>3000</v>
      </c>
      <c r="I121" s="21">
        <v>1800</v>
      </c>
      <c r="J121" s="21">
        <f>1900+500</f>
        <v>2400</v>
      </c>
      <c r="K121" s="21">
        <f>1700+300</f>
        <v>2000</v>
      </c>
      <c r="L121" s="21">
        <f>1800+500</f>
        <v>2300</v>
      </c>
      <c r="M121" s="21">
        <v>1800</v>
      </c>
      <c r="N121" s="62">
        <v>1900</v>
      </c>
      <c r="O121" s="62">
        <v>1900</v>
      </c>
      <c r="P121" s="62">
        <v>1800</v>
      </c>
      <c r="Q121" s="62">
        <v>1700</v>
      </c>
      <c r="R121" s="62">
        <f>1600+400</f>
        <v>2000</v>
      </c>
      <c r="S121" s="62">
        <v>1700</v>
      </c>
      <c r="T121" s="62">
        <v>1700</v>
      </c>
      <c r="U121" s="62">
        <v>1700</v>
      </c>
      <c r="V121" s="62">
        <v>2900</v>
      </c>
      <c r="W121" s="62">
        <v>3000</v>
      </c>
      <c r="X121" s="62">
        <v>3500</v>
      </c>
      <c r="Y121" s="62">
        <v>3700</v>
      </c>
      <c r="Z121" s="62">
        <v>3100</v>
      </c>
      <c r="AA121" s="62">
        <v>2900</v>
      </c>
      <c r="AB121" s="62">
        <v>4300</v>
      </c>
      <c r="AC121" s="62">
        <v>4500</v>
      </c>
      <c r="AD121" s="62">
        <f>5000+200</f>
        <v>5200</v>
      </c>
      <c r="AE121" s="62">
        <v>5100</v>
      </c>
      <c r="AF121" s="62">
        <v>5900</v>
      </c>
      <c r="AG121" s="62">
        <v>6100</v>
      </c>
      <c r="AH121" s="62">
        <v>6400</v>
      </c>
      <c r="AI121" s="62">
        <v>10700</v>
      </c>
      <c r="AJ121" s="57">
        <v>9600</v>
      </c>
      <c r="AK121" s="19">
        <f t="shared" ref="AK121:AS121" si="1059">AJ121*(1+(((AK$116/AJ$116)-1)/2))</f>
        <v>10004.592857142859</v>
      </c>
      <c r="AL121" s="19">
        <f t="shared" si="1059"/>
        <v>10379.807619340045</v>
      </c>
      <c r="AM121" s="19">
        <f t="shared" si="1059"/>
        <v>10738.98938635077</v>
      </c>
      <c r="AN121" s="19">
        <f t="shared" si="1059"/>
        <v>11040.450680864509</v>
      </c>
      <c r="AO121" s="19">
        <f t="shared" si="1059"/>
        <v>11323.052474803784</v>
      </c>
      <c r="AP121" s="19">
        <f t="shared" si="1059"/>
        <v>11584.573538259321</v>
      </c>
      <c r="AQ121" s="19">
        <f t="shared" si="1059"/>
        <v>11847.1370668908</v>
      </c>
      <c r="AR121" s="19">
        <f t="shared" si="1059"/>
        <v>12110.725398604591</v>
      </c>
      <c r="AS121" s="19">
        <f t="shared" si="1059"/>
        <v>12381.113033412479</v>
      </c>
      <c r="AU121" s="21"/>
      <c r="AV121" s="21"/>
      <c r="AW121" s="21"/>
      <c r="AX121" s="21">
        <v>900</v>
      </c>
      <c r="AY121" s="21">
        <v>1300</v>
      </c>
      <c r="AZ121" s="19">
        <f t="shared" si="1010"/>
        <v>2100</v>
      </c>
      <c r="BA121" s="19">
        <f t="shared" si="1011"/>
        <v>2000</v>
      </c>
      <c r="BB121" s="19">
        <f t="shared" si="1012"/>
        <v>1800</v>
      </c>
      <c r="BC121" s="19">
        <f t="shared" si="1013"/>
        <v>2000</v>
      </c>
      <c r="BD121" s="19">
        <f t="shared" si="1014"/>
        <v>1800</v>
      </c>
      <c r="BE121" s="19">
        <f t="shared" si="1015"/>
        <v>1900</v>
      </c>
      <c r="BF121" s="19">
        <f t="shared" si="1016"/>
        <v>1700</v>
      </c>
      <c r="BG121" s="19">
        <f t="shared" si="1017"/>
        <v>1700</v>
      </c>
      <c r="BH121" s="19">
        <f t="shared" si="1018"/>
        <v>1700</v>
      </c>
      <c r="BI121" s="19">
        <f t="shared" si="1019"/>
        <v>3000</v>
      </c>
      <c r="BJ121" s="19">
        <f t="shared" si="1020"/>
        <v>3700</v>
      </c>
      <c r="BK121" s="19">
        <f t="shared" si="1021"/>
        <v>2900</v>
      </c>
      <c r="BL121" s="19">
        <f t="shared" si="1022"/>
        <v>4500</v>
      </c>
      <c r="BM121" s="19">
        <f t="shared" si="1023"/>
        <v>5100</v>
      </c>
      <c r="BN121" s="19">
        <f t="shared" si="1024"/>
        <v>6100</v>
      </c>
      <c r="BO121" s="20">
        <f t="shared" si="1025"/>
        <v>10700</v>
      </c>
      <c r="BP121" s="19">
        <f t="shared" si="1026"/>
        <v>10004.592857142859</v>
      </c>
      <c r="BQ121" s="19">
        <f t="shared" si="1027"/>
        <v>10738.98938635077</v>
      </c>
      <c r="BR121" s="19">
        <f t="shared" si="1028"/>
        <v>11323.052474803784</v>
      </c>
      <c r="BS121" s="19">
        <f t="shared" si="1029"/>
        <v>11847.1370668908</v>
      </c>
      <c r="BT121" s="19">
        <f t="shared" si="1030"/>
        <v>12381.113033412479</v>
      </c>
    </row>
    <row r="122" spans="1:72" ht="12" hidden="1" customHeight="1" outlineLevel="2">
      <c r="B122" s="1" t="s">
        <v>173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20"/>
      <c r="AK122" s="19"/>
      <c r="AL122" s="19"/>
      <c r="AM122" s="19"/>
      <c r="AN122" s="19"/>
      <c r="AO122" s="19"/>
      <c r="AP122" s="19"/>
      <c r="AQ122" s="19"/>
      <c r="AR122" s="19"/>
      <c r="AS122" s="19"/>
      <c r="AU122" s="21"/>
      <c r="AV122" s="21"/>
      <c r="AW122" s="21"/>
      <c r="AX122" s="21"/>
      <c r="AY122" s="21"/>
      <c r="AZ122" s="19">
        <f t="shared" si="1010"/>
        <v>0</v>
      </c>
      <c r="BA122" s="19">
        <f t="shared" si="1011"/>
        <v>0</v>
      </c>
      <c r="BB122" s="19">
        <f t="shared" si="1012"/>
        <v>0</v>
      </c>
      <c r="BC122" s="19">
        <f t="shared" si="1013"/>
        <v>0</v>
      </c>
      <c r="BD122" s="19">
        <f t="shared" si="1014"/>
        <v>0</v>
      </c>
      <c r="BE122" s="19">
        <f t="shared" si="1015"/>
        <v>0</v>
      </c>
      <c r="BF122" s="19">
        <f t="shared" si="1016"/>
        <v>0</v>
      </c>
      <c r="BG122" s="19">
        <f t="shared" si="1017"/>
        <v>0</v>
      </c>
      <c r="BH122" s="19">
        <f t="shared" si="1018"/>
        <v>0</v>
      </c>
      <c r="BI122" s="19">
        <f t="shared" si="1019"/>
        <v>0</v>
      </c>
      <c r="BJ122" s="19">
        <f t="shared" si="1020"/>
        <v>0</v>
      </c>
      <c r="BK122" s="19">
        <f t="shared" si="1021"/>
        <v>0</v>
      </c>
      <c r="BL122" s="19">
        <f t="shared" si="1022"/>
        <v>0</v>
      </c>
      <c r="BM122" s="19">
        <f t="shared" si="1023"/>
        <v>0</v>
      </c>
      <c r="BN122" s="19">
        <f t="shared" si="1024"/>
        <v>0</v>
      </c>
      <c r="BO122" s="20">
        <f t="shared" si="1025"/>
        <v>0</v>
      </c>
      <c r="BP122" s="19">
        <f t="shared" si="1026"/>
        <v>0</v>
      </c>
      <c r="BQ122" s="19">
        <f t="shared" si="1027"/>
        <v>0</v>
      </c>
      <c r="BR122" s="19">
        <f t="shared" si="1028"/>
        <v>0</v>
      </c>
      <c r="BS122" s="19">
        <f t="shared" si="1029"/>
        <v>0</v>
      </c>
      <c r="BT122" s="19">
        <f t="shared" si="1030"/>
        <v>0</v>
      </c>
    </row>
    <row r="123" spans="1:72" ht="12" hidden="1" customHeight="1" outlineLevel="2">
      <c r="B123" s="1" t="s">
        <v>173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20"/>
      <c r="AK123" s="19"/>
      <c r="AL123" s="19"/>
      <c r="AM123" s="19"/>
      <c r="AN123" s="19"/>
      <c r="AO123" s="19"/>
      <c r="AP123" s="19"/>
      <c r="AQ123" s="19"/>
      <c r="AR123" s="19"/>
      <c r="AS123" s="19"/>
      <c r="AU123" s="21"/>
      <c r="AV123" s="21"/>
      <c r="AW123" s="21"/>
      <c r="AX123" s="21"/>
      <c r="AY123" s="21"/>
      <c r="AZ123" s="19">
        <f t="shared" si="1010"/>
        <v>0</v>
      </c>
      <c r="BA123" s="19">
        <f t="shared" si="1011"/>
        <v>0</v>
      </c>
      <c r="BB123" s="19">
        <f t="shared" si="1012"/>
        <v>0</v>
      </c>
      <c r="BC123" s="19">
        <f t="shared" si="1013"/>
        <v>0</v>
      </c>
      <c r="BD123" s="19">
        <f t="shared" si="1014"/>
        <v>0</v>
      </c>
      <c r="BE123" s="19">
        <f t="shared" si="1015"/>
        <v>0</v>
      </c>
      <c r="BF123" s="19">
        <f t="shared" si="1016"/>
        <v>0</v>
      </c>
      <c r="BG123" s="19">
        <f t="shared" si="1017"/>
        <v>0</v>
      </c>
      <c r="BH123" s="19">
        <f t="shared" si="1018"/>
        <v>0</v>
      </c>
      <c r="BI123" s="19">
        <f t="shared" si="1019"/>
        <v>0</v>
      </c>
      <c r="BJ123" s="19">
        <f t="shared" si="1020"/>
        <v>0</v>
      </c>
      <c r="BK123" s="19">
        <f t="shared" si="1021"/>
        <v>0</v>
      </c>
      <c r="BL123" s="19">
        <f t="shared" si="1022"/>
        <v>0</v>
      </c>
      <c r="BM123" s="19">
        <f t="shared" si="1023"/>
        <v>0</v>
      </c>
      <c r="BN123" s="19">
        <f t="shared" si="1024"/>
        <v>0</v>
      </c>
      <c r="BO123" s="20">
        <f t="shared" si="1025"/>
        <v>0</v>
      </c>
      <c r="BP123" s="19">
        <f t="shared" si="1026"/>
        <v>0</v>
      </c>
      <c r="BQ123" s="19">
        <f t="shared" si="1027"/>
        <v>0</v>
      </c>
      <c r="BR123" s="19">
        <f t="shared" si="1028"/>
        <v>0</v>
      </c>
      <c r="BS123" s="19">
        <f t="shared" si="1029"/>
        <v>0</v>
      </c>
      <c r="BT123" s="19">
        <f t="shared" si="1030"/>
        <v>0</v>
      </c>
    </row>
    <row r="124" spans="1:72" ht="12" hidden="1" customHeight="1" outlineLevel="2">
      <c r="B124" s="1" t="s">
        <v>173</v>
      </c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20"/>
      <c r="AK124" s="19"/>
      <c r="AL124" s="19"/>
      <c r="AM124" s="19"/>
      <c r="AN124" s="19"/>
      <c r="AO124" s="19"/>
      <c r="AP124" s="19"/>
      <c r="AQ124" s="19"/>
      <c r="AR124" s="19"/>
      <c r="AS124" s="19"/>
      <c r="AU124" s="21"/>
      <c r="AV124" s="21"/>
      <c r="AW124" s="21"/>
      <c r="AX124" s="21"/>
      <c r="AY124" s="21"/>
      <c r="AZ124" s="19">
        <f t="shared" si="1010"/>
        <v>0</v>
      </c>
      <c r="BA124" s="19">
        <f t="shared" si="1011"/>
        <v>0</v>
      </c>
      <c r="BB124" s="19">
        <f t="shared" si="1012"/>
        <v>0</v>
      </c>
      <c r="BC124" s="19">
        <f t="shared" si="1013"/>
        <v>0</v>
      </c>
      <c r="BD124" s="19">
        <f t="shared" si="1014"/>
        <v>0</v>
      </c>
      <c r="BE124" s="19">
        <f t="shared" si="1015"/>
        <v>0</v>
      </c>
      <c r="BF124" s="19">
        <f t="shared" si="1016"/>
        <v>0</v>
      </c>
      <c r="BG124" s="19">
        <f t="shared" si="1017"/>
        <v>0</v>
      </c>
      <c r="BH124" s="19">
        <f t="shared" si="1018"/>
        <v>0</v>
      </c>
      <c r="BI124" s="19">
        <f t="shared" si="1019"/>
        <v>0</v>
      </c>
      <c r="BJ124" s="19">
        <f t="shared" si="1020"/>
        <v>0</v>
      </c>
      <c r="BK124" s="19">
        <f t="shared" si="1021"/>
        <v>0</v>
      </c>
      <c r="BL124" s="19">
        <f t="shared" si="1022"/>
        <v>0</v>
      </c>
      <c r="BM124" s="19">
        <f t="shared" si="1023"/>
        <v>0</v>
      </c>
      <c r="BN124" s="19">
        <f t="shared" si="1024"/>
        <v>0</v>
      </c>
      <c r="BO124" s="20">
        <f t="shared" si="1025"/>
        <v>0</v>
      </c>
      <c r="BP124" s="19">
        <f t="shared" si="1026"/>
        <v>0</v>
      </c>
      <c r="BQ124" s="19">
        <f t="shared" si="1027"/>
        <v>0</v>
      </c>
      <c r="BR124" s="19">
        <f t="shared" si="1028"/>
        <v>0</v>
      </c>
      <c r="BS124" s="19">
        <f t="shared" si="1029"/>
        <v>0</v>
      </c>
      <c r="BT124" s="19">
        <f t="shared" si="1030"/>
        <v>0</v>
      </c>
    </row>
    <row r="125" spans="1:72" ht="12" hidden="1" customHeight="1" outlineLevel="2">
      <c r="B125" s="1" t="s">
        <v>173</v>
      </c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20"/>
      <c r="AK125" s="19"/>
      <c r="AL125" s="19"/>
      <c r="AM125" s="19"/>
      <c r="AN125" s="19"/>
      <c r="AO125" s="19"/>
      <c r="AP125" s="19"/>
      <c r="AQ125" s="19"/>
      <c r="AR125" s="19"/>
      <c r="AS125" s="19"/>
      <c r="AU125" s="21"/>
      <c r="AV125" s="21"/>
      <c r="AW125" s="21"/>
      <c r="AX125" s="21"/>
      <c r="AY125" s="21"/>
      <c r="AZ125" s="19">
        <f t="shared" si="1010"/>
        <v>0</v>
      </c>
      <c r="BA125" s="19">
        <f t="shared" si="1011"/>
        <v>0</v>
      </c>
      <c r="BB125" s="19">
        <f t="shared" si="1012"/>
        <v>0</v>
      </c>
      <c r="BC125" s="19">
        <f t="shared" si="1013"/>
        <v>0</v>
      </c>
      <c r="BD125" s="19">
        <f t="shared" si="1014"/>
        <v>0</v>
      </c>
      <c r="BE125" s="19">
        <f t="shared" si="1015"/>
        <v>0</v>
      </c>
      <c r="BF125" s="19">
        <f t="shared" si="1016"/>
        <v>0</v>
      </c>
      <c r="BG125" s="19">
        <f t="shared" si="1017"/>
        <v>0</v>
      </c>
      <c r="BH125" s="19">
        <f t="shared" si="1018"/>
        <v>0</v>
      </c>
      <c r="BI125" s="19">
        <f t="shared" si="1019"/>
        <v>0</v>
      </c>
      <c r="BJ125" s="19">
        <f t="shared" si="1020"/>
        <v>0</v>
      </c>
      <c r="BK125" s="19">
        <f t="shared" si="1021"/>
        <v>0</v>
      </c>
      <c r="BL125" s="19">
        <f t="shared" si="1022"/>
        <v>0</v>
      </c>
      <c r="BM125" s="19">
        <f t="shared" si="1023"/>
        <v>0</v>
      </c>
      <c r="BN125" s="19">
        <f t="shared" si="1024"/>
        <v>0</v>
      </c>
      <c r="BO125" s="20">
        <f t="shared" si="1025"/>
        <v>0</v>
      </c>
      <c r="BP125" s="19">
        <f t="shared" si="1026"/>
        <v>0</v>
      </c>
      <c r="BQ125" s="19">
        <f t="shared" si="1027"/>
        <v>0</v>
      </c>
      <c r="BR125" s="19">
        <f t="shared" si="1028"/>
        <v>0</v>
      </c>
      <c r="BS125" s="19">
        <f t="shared" si="1029"/>
        <v>0</v>
      </c>
      <c r="BT125" s="19">
        <f t="shared" si="1030"/>
        <v>0</v>
      </c>
    </row>
    <row r="126" spans="1:72" ht="12" hidden="1" customHeight="1" outlineLevel="2">
      <c r="B126" s="1" t="s">
        <v>173</v>
      </c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20"/>
      <c r="AK126" s="19"/>
      <c r="AL126" s="19"/>
      <c r="AM126" s="19"/>
      <c r="AN126" s="19"/>
      <c r="AO126" s="19"/>
      <c r="AP126" s="19"/>
      <c r="AQ126" s="19"/>
      <c r="AR126" s="19"/>
      <c r="AS126" s="19"/>
      <c r="AU126" s="21"/>
      <c r="AV126" s="21"/>
      <c r="AW126" s="21"/>
      <c r="AX126" s="21"/>
      <c r="AY126" s="21"/>
      <c r="AZ126" s="19">
        <f t="shared" si="1010"/>
        <v>0</v>
      </c>
      <c r="BA126" s="19">
        <f t="shared" si="1011"/>
        <v>0</v>
      </c>
      <c r="BB126" s="19">
        <f t="shared" si="1012"/>
        <v>0</v>
      </c>
      <c r="BC126" s="19">
        <f t="shared" si="1013"/>
        <v>0</v>
      </c>
      <c r="BD126" s="19">
        <f t="shared" si="1014"/>
        <v>0</v>
      </c>
      <c r="BE126" s="19">
        <f t="shared" si="1015"/>
        <v>0</v>
      </c>
      <c r="BF126" s="19">
        <f t="shared" si="1016"/>
        <v>0</v>
      </c>
      <c r="BG126" s="19">
        <f t="shared" si="1017"/>
        <v>0</v>
      </c>
      <c r="BH126" s="19">
        <f t="shared" si="1018"/>
        <v>0</v>
      </c>
      <c r="BI126" s="19">
        <f t="shared" si="1019"/>
        <v>0</v>
      </c>
      <c r="BJ126" s="19">
        <f t="shared" si="1020"/>
        <v>0</v>
      </c>
      <c r="BK126" s="19">
        <f t="shared" si="1021"/>
        <v>0</v>
      </c>
      <c r="BL126" s="19">
        <f t="shared" si="1022"/>
        <v>0</v>
      </c>
      <c r="BM126" s="19">
        <f t="shared" si="1023"/>
        <v>0</v>
      </c>
      <c r="BN126" s="19">
        <f t="shared" si="1024"/>
        <v>0</v>
      </c>
      <c r="BO126" s="20">
        <f t="shared" si="1025"/>
        <v>0</v>
      </c>
      <c r="BP126" s="19">
        <f t="shared" si="1026"/>
        <v>0</v>
      </c>
      <c r="BQ126" s="19">
        <f t="shared" si="1027"/>
        <v>0</v>
      </c>
      <c r="BR126" s="19">
        <f t="shared" si="1028"/>
        <v>0</v>
      </c>
      <c r="BS126" s="19">
        <f t="shared" si="1029"/>
        <v>0</v>
      </c>
      <c r="BT126" s="19">
        <f t="shared" si="1030"/>
        <v>0</v>
      </c>
    </row>
    <row r="127" spans="1:72" ht="12" hidden="1" customHeight="1" outlineLevel="2">
      <c r="B127" s="1" t="s">
        <v>173</v>
      </c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20"/>
      <c r="AK127" s="19"/>
      <c r="AL127" s="19"/>
      <c r="AM127" s="19"/>
      <c r="AN127" s="19"/>
      <c r="AO127" s="19"/>
      <c r="AP127" s="19"/>
      <c r="AQ127" s="19"/>
      <c r="AR127" s="19"/>
      <c r="AS127" s="19"/>
      <c r="AU127" s="21"/>
      <c r="AV127" s="21"/>
      <c r="AW127" s="21"/>
      <c r="AX127" s="21"/>
      <c r="AY127" s="21"/>
      <c r="AZ127" s="19">
        <f t="shared" si="1010"/>
        <v>0</v>
      </c>
      <c r="BA127" s="19">
        <f t="shared" si="1011"/>
        <v>0</v>
      </c>
      <c r="BB127" s="19">
        <f t="shared" si="1012"/>
        <v>0</v>
      </c>
      <c r="BC127" s="19">
        <f t="shared" si="1013"/>
        <v>0</v>
      </c>
      <c r="BD127" s="19">
        <f t="shared" si="1014"/>
        <v>0</v>
      </c>
      <c r="BE127" s="19">
        <f t="shared" si="1015"/>
        <v>0</v>
      </c>
      <c r="BF127" s="19">
        <f t="shared" si="1016"/>
        <v>0</v>
      </c>
      <c r="BG127" s="19">
        <f t="shared" si="1017"/>
        <v>0</v>
      </c>
      <c r="BH127" s="19">
        <f t="shared" si="1018"/>
        <v>0</v>
      </c>
      <c r="BI127" s="19">
        <f t="shared" si="1019"/>
        <v>0</v>
      </c>
      <c r="BJ127" s="19">
        <f t="shared" si="1020"/>
        <v>0</v>
      </c>
      <c r="BK127" s="19">
        <f t="shared" si="1021"/>
        <v>0</v>
      </c>
      <c r="BL127" s="19">
        <f t="shared" si="1022"/>
        <v>0</v>
      </c>
      <c r="BM127" s="19">
        <f t="shared" si="1023"/>
        <v>0</v>
      </c>
      <c r="BN127" s="19">
        <f t="shared" si="1024"/>
        <v>0</v>
      </c>
      <c r="BO127" s="20">
        <f t="shared" si="1025"/>
        <v>0</v>
      </c>
      <c r="BP127" s="19">
        <f t="shared" si="1026"/>
        <v>0</v>
      </c>
      <c r="BQ127" s="19">
        <f t="shared" si="1027"/>
        <v>0</v>
      </c>
      <c r="BR127" s="19">
        <f t="shared" si="1028"/>
        <v>0</v>
      </c>
      <c r="BS127" s="19">
        <f t="shared" si="1029"/>
        <v>0</v>
      </c>
      <c r="BT127" s="19">
        <f t="shared" si="1030"/>
        <v>0</v>
      </c>
    </row>
    <row r="128" spans="1:72" ht="12" hidden="1" customHeight="1" outlineLevel="2">
      <c r="B128" s="1" t="s">
        <v>173</v>
      </c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20"/>
      <c r="AK128" s="19"/>
      <c r="AL128" s="19"/>
      <c r="AM128" s="19"/>
      <c r="AN128" s="19"/>
      <c r="AO128" s="19"/>
      <c r="AP128" s="19"/>
      <c r="AQ128" s="19"/>
      <c r="AR128" s="19"/>
      <c r="AS128" s="19"/>
      <c r="AU128" s="21"/>
      <c r="AV128" s="21"/>
      <c r="AW128" s="21"/>
      <c r="AX128" s="21"/>
      <c r="AY128" s="21"/>
      <c r="AZ128" s="19">
        <f t="shared" si="1010"/>
        <v>0</v>
      </c>
      <c r="BA128" s="19">
        <f t="shared" si="1011"/>
        <v>0</v>
      </c>
      <c r="BB128" s="19">
        <f t="shared" si="1012"/>
        <v>0</v>
      </c>
      <c r="BC128" s="19">
        <f t="shared" si="1013"/>
        <v>0</v>
      </c>
      <c r="BD128" s="19">
        <f t="shared" si="1014"/>
        <v>0</v>
      </c>
      <c r="BE128" s="19">
        <f t="shared" si="1015"/>
        <v>0</v>
      </c>
      <c r="BF128" s="19">
        <f t="shared" si="1016"/>
        <v>0</v>
      </c>
      <c r="BG128" s="19">
        <f t="shared" si="1017"/>
        <v>0</v>
      </c>
      <c r="BH128" s="19">
        <f t="shared" si="1018"/>
        <v>0</v>
      </c>
      <c r="BI128" s="19">
        <f t="shared" si="1019"/>
        <v>0</v>
      </c>
      <c r="BJ128" s="19">
        <f t="shared" si="1020"/>
        <v>0</v>
      </c>
      <c r="BK128" s="19">
        <f t="shared" si="1021"/>
        <v>0</v>
      </c>
      <c r="BL128" s="19">
        <f t="shared" si="1022"/>
        <v>0</v>
      </c>
      <c r="BM128" s="19">
        <f t="shared" si="1023"/>
        <v>0</v>
      </c>
      <c r="BN128" s="19">
        <f t="shared" si="1024"/>
        <v>0</v>
      </c>
      <c r="BO128" s="20">
        <f t="shared" si="1025"/>
        <v>0</v>
      </c>
      <c r="BP128" s="19">
        <f t="shared" si="1026"/>
        <v>0</v>
      </c>
      <c r="BQ128" s="19">
        <f t="shared" si="1027"/>
        <v>0</v>
      </c>
      <c r="BR128" s="19">
        <f t="shared" si="1028"/>
        <v>0</v>
      </c>
      <c r="BS128" s="19">
        <f t="shared" si="1029"/>
        <v>0</v>
      </c>
      <c r="BT128" s="19">
        <f t="shared" si="1030"/>
        <v>0</v>
      </c>
    </row>
    <row r="129" spans="1:72" ht="12" hidden="1" customHeight="1" outlineLevel="2">
      <c r="B129" s="1" t="s">
        <v>173</v>
      </c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20"/>
      <c r="AK129" s="19"/>
      <c r="AL129" s="19"/>
      <c r="AM129" s="19"/>
      <c r="AN129" s="19"/>
      <c r="AO129" s="19"/>
      <c r="AP129" s="19"/>
      <c r="AQ129" s="19"/>
      <c r="AR129" s="19"/>
      <c r="AS129" s="19"/>
      <c r="AU129" s="21"/>
      <c r="AV129" s="21"/>
      <c r="AW129" s="21"/>
      <c r="AX129" s="21"/>
      <c r="AY129" s="21"/>
      <c r="AZ129" s="19">
        <f t="shared" si="1010"/>
        <v>0</v>
      </c>
      <c r="BA129" s="19">
        <f t="shared" si="1011"/>
        <v>0</v>
      </c>
      <c r="BB129" s="19">
        <f t="shared" si="1012"/>
        <v>0</v>
      </c>
      <c r="BC129" s="19">
        <f t="shared" si="1013"/>
        <v>0</v>
      </c>
      <c r="BD129" s="19">
        <f t="shared" si="1014"/>
        <v>0</v>
      </c>
      <c r="BE129" s="19">
        <f t="shared" si="1015"/>
        <v>0</v>
      </c>
      <c r="BF129" s="19">
        <f t="shared" si="1016"/>
        <v>0</v>
      </c>
      <c r="BG129" s="19">
        <f t="shared" si="1017"/>
        <v>0</v>
      </c>
      <c r="BH129" s="19">
        <f t="shared" si="1018"/>
        <v>0</v>
      </c>
      <c r="BI129" s="19">
        <f t="shared" si="1019"/>
        <v>0</v>
      </c>
      <c r="BJ129" s="19">
        <f t="shared" si="1020"/>
        <v>0</v>
      </c>
      <c r="BK129" s="19">
        <f t="shared" si="1021"/>
        <v>0</v>
      </c>
      <c r="BL129" s="19">
        <f t="shared" si="1022"/>
        <v>0</v>
      </c>
      <c r="BM129" s="19">
        <f t="shared" si="1023"/>
        <v>0</v>
      </c>
      <c r="BN129" s="19">
        <f t="shared" si="1024"/>
        <v>0</v>
      </c>
      <c r="BO129" s="20">
        <f t="shared" si="1025"/>
        <v>0</v>
      </c>
      <c r="BP129" s="19">
        <f t="shared" si="1026"/>
        <v>0</v>
      </c>
      <c r="BQ129" s="19">
        <f t="shared" si="1027"/>
        <v>0</v>
      </c>
      <c r="BR129" s="19">
        <f t="shared" si="1028"/>
        <v>0</v>
      </c>
      <c r="BS129" s="19">
        <f t="shared" si="1029"/>
        <v>0</v>
      </c>
      <c r="BT129" s="19">
        <f t="shared" si="1030"/>
        <v>0</v>
      </c>
    </row>
    <row r="130" spans="1:72" ht="12" hidden="1" customHeight="1" outlineLevel="2">
      <c r="B130" s="1" t="s">
        <v>173</v>
      </c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20"/>
      <c r="AK130" s="19"/>
      <c r="AL130" s="19"/>
      <c r="AM130" s="19"/>
      <c r="AN130" s="19"/>
      <c r="AO130" s="19"/>
      <c r="AP130" s="19"/>
      <c r="AQ130" s="19"/>
      <c r="AR130" s="19"/>
      <c r="AS130" s="19"/>
      <c r="AU130" s="21"/>
      <c r="AV130" s="21"/>
      <c r="AW130" s="21"/>
      <c r="AX130" s="21"/>
      <c r="AY130" s="21"/>
      <c r="AZ130" s="19">
        <f t="shared" si="1010"/>
        <v>0</v>
      </c>
      <c r="BA130" s="19">
        <f t="shared" si="1011"/>
        <v>0</v>
      </c>
      <c r="BB130" s="19">
        <f t="shared" si="1012"/>
        <v>0</v>
      </c>
      <c r="BC130" s="19">
        <f t="shared" si="1013"/>
        <v>0</v>
      </c>
      <c r="BD130" s="19">
        <f t="shared" si="1014"/>
        <v>0</v>
      </c>
      <c r="BE130" s="19">
        <f t="shared" si="1015"/>
        <v>0</v>
      </c>
      <c r="BF130" s="19">
        <f t="shared" si="1016"/>
        <v>0</v>
      </c>
      <c r="BG130" s="19">
        <f t="shared" si="1017"/>
        <v>0</v>
      </c>
      <c r="BH130" s="19">
        <f t="shared" si="1018"/>
        <v>0</v>
      </c>
      <c r="BI130" s="19">
        <f t="shared" si="1019"/>
        <v>0</v>
      </c>
      <c r="BJ130" s="19">
        <f t="shared" si="1020"/>
        <v>0</v>
      </c>
      <c r="BK130" s="19">
        <f t="shared" si="1021"/>
        <v>0</v>
      </c>
      <c r="BL130" s="19">
        <f t="shared" si="1022"/>
        <v>0</v>
      </c>
      <c r="BM130" s="19">
        <f t="shared" si="1023"/>
        <v>0</v>
      </c>
      <c r="BN130" s="19">
        <f t="shared" si="1024"/>
        <v>0</v>
      </c>
      <c r="BO130" s="20">
        <f t="shared" si="1025"/>
        <v>0</v>
      </c>
      <c r="BP130" s="19">
        <f t="shared" si="1026"/>
        <v>0</v>
      </c>
      <c r="BQ130" s="19">
        <f t="shared" si="1027"/>
        <v>0</v>
      </c>
      <c r="BR130" s="19">
        <f t="shared" si="1028"/>
        <v>0</v>
      </c>
      <c r="BS130" s="19">
        <f t="shared" si="1029"/>
        <v>0</v>
      </c>
      <c r="BT130" s="19">
        <f t="shared" si="1030"/>
        <v>0</v>
      </c>
    </row>
    <row r="131" spans="1:72" ht="12" hidden="1" customHeight="1" outlineLevel="2">
      <c r="B131" s="1" t="s">
        <v>173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20"/>
      <c r="AK131" s="19"/>
      <c r="AL131" s="19"/>
      <c r="AM131" s="19"/>
      <c r="AN131" s="19"/>
      <c r="AO131" s="19"/>
      <c r="AP131" s="19"/>
      <c r="AQ131" s="19"/>
      <c r="AR131" s="19"/>
      <c r="AS131" s="19"/>
      <c r="AU131" s="21"/>
      <c r="AV131" s="21"/>
      <c r="AW131" s="21"/>
      <c r="AX131" s="21"/>
      <c r="AY131" s="21"/>
      <c r="AZ131" s="19">
        <f t="shared" si="1010"/>
        <v>0</v>
      </c>
      <c r="BA131" s="19">
        <f t="shared" si="1011"/>
        <v>0</v>
      </c>
      <c r="BB131" s="19">
        <f t="shared" si="1012"/>
        <v>0</v>
      </c>
      <c r="BC131" s="19">
        <f t="shared" si="1013"/>
        <v>0</v>
      </c>
      <c r="BD131" s="19">
        <f t="shared" si="1014"/>
        <v>0</v>
      </c>
      <c r="BE131" s="19">
        <f t="shared" si="1015"/>
        <v>0</v>
      </c>
      <c r="BF131" s="19">
        <f t="shared" si="1016"/>
        <v>0</v>
      </c>
      <c r="BG131" s="19">
        <f t="shared" si="1017"/>
        <v>0</v>
      </c>
      <c r="BH131" s="19">
        <f t="shared" si="1018"/>
        <v>0</v>
      </c>
      <c r="BI131" s="19">
        <f t="shared" si="1019"/>
        <v>0</v>
      </c>
      <c r="BJ131" s="19">
        <f t="shared" si="1020"/>
        <v>0</v>
      </c>
      <c r="BK131" s="19">
        <f t="shared" si="1021"/>
        <v>0</v>
      </c>
      <c r="BL131" s="19">
        <f t="shared" si="1022"/>
        <v>0</v>
      </c>
      <c r="BM131" s="19">
        <f t="shared" si="1023"/>
        <v>0</v>
      </c>
      <c r="BN131" s="19">
        <f t="shared" si="1024"/>
        <v>0</v>
      </c>
      <c r="BO131" s="20">
        <f t="shared" si="1025"/>
        <v>0</v>
      </c>
      <c r="BP131" s="19">
        <f t="shared" si="1026"/>
        <v>0</v>
      </c>
      <c r="BQ131" s="19">
        <f t="shared" si="1027"/>
        <v>0</v>
      </c>
      <c r="BR131" s="19">
        <f t="shared" si="1028"/>
        <v>0</v>
      </c>
      <c r="BS131" s="19">
        <f t="shared" si="1029"/>
        <v>0</v>
      </c>
      <c r="BT131" s="19">
        <f t="shared" si="1030"/>
        <v>0</v>
      </c>
    </row>
    <row r="132" spans="1:72" s="9" customFormat="1" ht="12" customHeight="1" outlineLevel="1" collapsed="1">
      <c r="A132" s="91" t="s">
        <v>579</v>
      </c>
      <c r="B132" s="9" t="s">
        <v>174</v>
      </c>
      <c r="D132" s="17">
        <f t="shared" ref="D132:J132" si="1060">SUM(D112:D131)</f>
        <v>73000</v>
      </c>
      <c r="E132" s="17">
        <f t="shared" si="1060"/>
        <v>76100</v>
      </c>
      <c r="F132" s="17">
        <f t="shared" si="1060"/>
        <v>86200</v>
      </c>
      <c r="G132" s="17">
        <f t="shared" si="1060"/>
        <v>88300</v>
      </c>
      <c r="H132" s="17">
        <f t="shared" si="1060"/>
        <v>91600</v>
      </c>
      <c r="I132" s="17">
        <f t="shared" si="1060"/>
        <v>86200</v>
      </c>
      <c r="J132" s="17">
        <f t="shared" si="1060"/>
        <v>88400</v>
      </c>
      <c r="K132" s="17">
        <f>SUM(K112:K131)</f>
        <v>87600</v>
      </c>
      <c r="L132" s="17">
        <f t="shared" ref="L132" si="1061">SUM(L112:L131)</f>
        <v>93800</v>
      </c>
      <c r="M132" s="17">
        <f t="shared" ref="M132:O132" si="1062">SUM(M112:M131)</f>
        <v>92600</v>
      </c>
      <c r="N132" s="17">
        <f t="shared" ref="N132" si="1063">SUM(N112:N131)</f>
        <v>97900</v>
      </c>
      <c r="O132" s="17">
        <f t="shared" si="1062"/>
        <v>113200</v>
      </c>
      <c r="P132" s="17">
        <f t="shared" ref="P132:Q132" si="1064">SUM(P112:P131)</f>
        <v>123700</v>
      </c>
      <c r="Q132" s="17">
        <f t="shared" si="1064"/>
        <v>130800</v>
      </c>
      <c r="R132" s="17">
        <f t="shared" ref="R132:S132" si="1065">SUM(R112:R131)</f>
        <v>122400</v>
      </c>
      <c r="S132" s="17">
        <f t="shared" si="1065"/>
        <v>120800</v>
      </c>
      <c r="T132" s="17">
        <f t="shared" ref="T132:U132" si="1066">SUM(T112:T131)</f>
        <v>123900</v>
      </c>
      <c r="U132" s="17">
        <f t="shared" si="1066"/>
        <v>128800</v>
      </c>
      <c r="V132" s="17">
        <f t="shared" ref="V132:W132" si="1067">SUM(V112:V131)</f>
        <v>134400</v>
      </c>
      <c r="W132" s="17">
        <f t="shared" si="1067"/>
        <v>140500</v>
      </c>
      <c r="X132" s="17">
        <f t="shared" ref="X132:Y132" si="1068">SUM(X112:X131)</f>
        <v>146400</v>
      </c>
      <c r="Y132" s="17">
        <f t="shared" si="1068"/>
        <v>161600</v>
      </c>
      <c r="Z132" s="17">
        <f t="shared" ref="Z132:AA132" si="1069">SUM(Z112:Z131)</f>
        <v>172500</v>
      </c>
      <c r="AA132" s="17">
        <f t="shared" si="1069"/>
        <v>186400</v>
      </c>
      <c r="AB132" s="17">
        <f t="shared" ref="AB132:AC132" si="1070">SUM(AB112:AB131)</f>
        <v>224900</v>
      </c>
      <c r="AC132" s="17">
        <f t="shared" si="1070"/>
        <v>265900</v>
      </c>
      <c r="AD132" s="17">
        <f t="shared" ref="AD132:AE132" si="1071">SUM(AD112:AD131)</f>
        <v>306500</v>
      </c>
      <c r="AE132" s="17">
        <f t="shared" si="1071"/>
        <v>309000</v>
      </c>
      <c r="AF132" s="17">
        <f t="shared" ref="AF132:AG132" si="1072">SUM(AF112:AF131)</f>
        <v>317000</v>
      </c>
      <c r="AG132" s="17">
        <f t="shared" si="1072"/>
        <v>330100</v>
      </c>
      <c r="AH132" s="17">
        <f t="shared" ref="AH132:AJ132" si="1073">SUM(AH112:AH131)</f>
        <v>340800</v>
      </c>
      <c r="AI132" s="17">
        <f t="shared" si="1073"/>
        <v>368100</v>
      </c>
      <c r="AJ132" s="18">
        <f t="shared" si="1073"/>
        <v>401300</v>
      </c>
      <c r="AK132" s="17">
        <f t="shared" ref="AK132" si="1074">SUM(AK112:AK131)</f>
        <v>427017.64913053898</v>
      </c>
      <c r="AL132" s="17">
        <f t="shared" ref="AL132:AM132" si="1075">SUM(AL112:AL131)</f>
        <v>452089.64685312868</v>
      </c>
      <c r="AM132" s="17">
        <f t="shared" si="1075"/>
        <v>476455.77713331726</v>
      </c>
      <c r="AN132" s="17">
        <f t="shared" ref="AN132:AO132" si="1076">SUM(AN112:AN131)</f>
        <v>497005.82417963207</v>
      </c>
      <c r="AO132" s="17">
        <f t="shared" si="1076"/>
        <v>516694.9816643268</v>
      </c>
      <c r="AP132" s="17">
        <f t="shared" ref="AP132:AQ132" si="1077">SUM(AP112:AP131)</f>
        <v>535290.42348910403</v>
      </c>
      <c r="AQ132" s="17">
        <f t="shared" si="1077"/>
        <v>554098.50209787919</v>
      </c>
      <c r="AR132" s="17">
        <f t="shared" ref="AR132:AS132" si="1078">SUM(AR112:AR131)</f>
        <v>573131.60685419559</v>
      </c>
      <c r="AS132" s="17">
        <f t="shared" si="1078"/>
        <v>593019.95460158016</v>
      </c>
      <c r="AU132" s="17"/>
      <c r="AV132" s="17"/>
      <c r="AW132" s="17"/>
      <c r="AX132" s="17">
        <f t="shared" ref="AX132" si="1079">SUM(AX112:AX131)</f>
        <v>82500</v>
      </c>
      <c r="AY132" s="17">
        <f t="shared" ref="AY132:BH132" si="1080">SUM(AY112:AY131)</f>
        <v>78400</v>
      </c>
      <c r="AZ132" s="17">
        <f t="shared" si="1080"/>
        <v>76100</v>
      </c>
      <c r="BA132" s="17">
        <f t="shared" si="1080"/>
        <v>88300</v>
      </c>
      <c r="BB132" s="17">
        <f t="shared" si="1080"/>
        <v>86200</v>
      </c>
      <c r="BC132" s="17">
        <f t="shared" si="1080"/>
        <v>87600</v>
      </c>
      <c r="BD132" s="17">
        <f t="shared" si="1080"/>
        <v>92600</v>
      </c>
      <c r="BE132" s="17">
        <f t="shared" si="1080"/>
        <v>113200</v>
      </c>
      <c r="BF132" s="17">
        <f t="shared" si="1080"/>
        <v>130800</v>
      </c>
      <c r="BG132" s="17">
        <f t="shared" si="1080"/>
        <v>120800</v>
      </c>
      <c r="BH132" s="17">
        <f t="shared" si="1080"/>
        <v>128800</v>
      </c>
      <c r="BI132" s="17">
        <f t="shared" ref="BI132" si="1081">SUM(BI112:BI131)</f>
        <v>140500</v>
      </c>
      <c r="BJ132" s="17">
        <f t="shared" ref="BJ132:BO132" si="1082">SUM(BJ112:BJ131)</f>
        <v>161600</v>
      </c>
      <c r="BK132" s="17">
        <f t="shared" si="1082"/>
        <v>186400</v>
      </c>
      <c r="BL132" s="17">
        <f t="shared" si="1082"/>
        <v>265900</v>
      </c>
      <c r="BM132" s="17">
        <f t="shared" si="1082"/>
        <v>309000</v>
      </c>
      <c r="BN132" s="17">
        <f t="shared" si="1082"/>
        <v>330100</v>
      </c>
      <c r="BO132" s="18">
        <f t="shared" si="1082"/>
        <v>368100</v>
      </c>
      <c r="BP132" s="17">
        <f t="shared" ref="BP132:BQ132" si="1083">SUM(BP112:BP131)</f>
        <v>427017.64913053898</v>
      </c>
      <c r="BQ132" s="17">
        <f t="shared" si="1083"/>
        <v>476455.77713331726</v>
      </c>
      <c r="BR132" s="17">
        <f t="shared" ref="BR132:BS132" si="1084">SUM(BR112:BR131)</f>
        <v>516694.9816643268</v>
      </c>
      <c r="BS132" s="17">
        <f t="shared" si="1084"/>
        <v>554098.50209787919</v>
      </c>
      <c r="BT132" s="17">
        <f>SUM(BT112:BT131)</f>
        <v>593019.95460158016</v>
      </c>
    </row>
    <row r="133" spans="1:72" ht="12" customHeight="1" outlineLevel="1"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20"/>
      <c r="AK133" s="19"/>
      <c r="AL133" s="19"/>
      <c r="AM133" s="19"/>
      <c r="AN133" s="19"/>
      <c r="AO133" s="19"/>
      <c r="AP133" s="19"/>
      <c r="AQ133" s="19"/>
      <c r="AR133" s="19"/>
      <c r="AS133" s="19"/>
      <c r="AU133" s="19"/>
      <c r="AV133" s="19"/>
      <c r="AW133" s="19"/>
      <c r="AX133" s="19"/>
      <c r="AY133" s="19"/>
    </row>
    <row r="134" spans="1:72" ht="12" customHeight="1" outlineLevel="1">
      <c r="A134" s="91" t="s">
        <v>1059</v>
      </c>
      <c r="B134" s="1" t="s">
        <v>175</v>
      </c>
      <c r="D134" s="21">
        <f>2700+1800</f>
        <v>4500</v>
      </c>
      <c r="E134" s="21">
        <f>1900+3000</f>
        <v>4900</v>
      </c>
      <c r="F134" s="21">
        <f>1400+1000</f>
        <v>2400</v>
      </c>
      <c r="G134" s="21">
        <f>1700+3500</f>
        <v>5200</v>
      </c>
      <c r="H134" s="21">
        <f>1500+4200</f>
        <v>5700</v>
      </c>
      <c r="I134" s="21">
        <f>1700+4600</f>
        <v>6300</v>
      </c>
      <c r="J134" s="21">
        <f>1300+4400</f>
        <v>5700</v>
      </c>
      <c r="K134" s="21">
        <f>1400+3500</f>
        <v>4900</v>
      </c>
      <c r="L134" s="21">
        <f>2200+6700</f>
        <v>8900</v>
      </c>
      <c r="M134" s="21">
        <f>1900+6600</f>
        <v>8500</v>
      </c>
      <c r="N134" s="21">
        <f>1700+10000</f>
        <v>11700</v>
      </c>
      <c r="O134" s="21">
        <f>1400+11100</f>
        <v>12500</v>
      </c>
      <c r="P134" s="21">
        <f>700+10800</f>
        <v>11500</v>
      </c>
      <c r="Q134" s="21">
        <f>400+8900</f>
        <v>9300</v>
      </c>
      <c r="R134" s="21">
        <f>500+6800</f>
        <v>7300</v>
      </c>
      <c r="S134" s="21">
        <f>900+5700</f>
        <v>6600</v>
      </c>
      <c r="T134" s="21">
        <f>800+11600</f>
        <v>12400</v>
      </c>
      <c r="U134" s="21">
        <f>600+8400</f>
        <v>9000</v>
      </c>
      <c r="V134" s="21">
        <f>800+5900</f>
        <v>6700</v>
      </c>
      <c r="W134" s="21">
        <f>1000+6300</f>
        <v>7300</v>
      </c>
      <c r="X134" s="21">
        <f>1000+7800</f>
        <v>8800</v>
      </c>
      <c r="Y134" s="21">
        <f>600+5000</f>
        <v>5600</v>
      </c>
      <c r="Z134" s="21">
        <f>400+5700</f>
        <v>6100</v>
      </c>
      <c r="AA134" s="21">
        <f>400+12900</f>
        <v>13300</v>
      </c>
      <c r="AB134" s="21">
        <f>400+24300</f>
        <v>24700</v>
      </c>
      <c r="AC134" s="21">
        <f>700+35100</f>
        <v>35800</v>
      </c>
      <c r="AD134" s="21">
        <f>1200+37900</f>
        <v>39100</v>
      </c>
      <c r="AE134" s="21">
        <f>700+29100</f>
        <v>29800</v>
      </c>
      <c r="AF134" s="21">
        <v>37400</v>
      </c>
      <c r="AG134" s="21">
        <v>29700</v>
      </c>
      <c r="AH134" s="21">
        <v>40200</v>
      </c>
      <c r="AI134" s="21">
        <v>41200</v>
      </c>
      <c r="AJ134" s="24">
        <v>47500</v>
      </c>
      <c r="AK134" s="19">
        <f t="shared" ref="AK134" si="1085">AK154-SUM(AK135:AK153)</f>
        <v>49133.604083295795</v>
      </c>
      <c r="AL134" s="19">
        <f t="shared" ref="AL134:AM134" si="1086">AL154-SUM(AL135:AL153)</f>
        <v>51750.580496968061</v>
      </c>
      <c r="AM134" s="19">
        <f t="shared" si="1086"/>
        <v>53277.159859583364</v>
      </c>
      <c r="AN134" s="19">
        <f t="shared" ref="AN134:AO134" si="1087">AN154-SUM(AN135:AN153)</f>
        <v>54014.809833336738</v>
      </c>
      <c r="AO134" s="19">
        <f t="shared" si="1087"/>
        <v>54013.770322679309</v>
      </c>
      <c r="AP134" s="19">
        <f t="shared" ref="AP134:AQ134" si="1088">AP154-SUM(AP135:AP153)</f>
        <v>54548.530388135114</v>
      </c>
      <c r="AQ134" s="19">
        <f t="shared" si="1088"/>
        <v>54036.560533012555</v>
      </c>
      <c r="AR134" s="19">
        <f t="shared" ref="AR134:AS134" si="1089">AR154-SUM(AR135:AR153)</f>
        <v>53797.575023050886</v>
      </c>
      <c r="AS134" s="19">
        <f t="shared" si="1089"/>
        <v>53019.734807004512</v>
      </c>
      <c r="AU134" s="21"/>
      <c r="AV134" s="21"/>
      <c r="AW134" s="21"/>
      <c r="AX134" s="21">
        <f>12200+7600</f>
        <v>19800</v>
      </c>
      <c r="AY134" s="21">
        <f>4700+3000</f>
        <v>7700</v>
      </c>
      <c r="AZ134" s="19">
        <f t="shared" ref="AZ134:AZ153" si="1090">E134</f>
        <v>4900</v>
      </c>
      <c r="BA134" s="19">
        <f t="shared" ref="BA134:BA153" si="1091">G134</f>
        <v>5200</v>
      </c>
      <c r="BB134" s="19">
        <f t="shared" ref="BB134:BB153" si="1092">I134</f>
        <v>6300</v>
      </c>
      <c r="BC134" s="19">
        <f t="shared" ref="BC134:BC153" si="1093">K134</f>
        <v>4900</v>
      </c>
      <c r="BD134" s="19">
        <f t="shared" ref="BD134:BD153" si="1094">M134</f>
        <v>8500</v>
      </c>
      <c r="BE134" s="19">
        <f t="shared" ref="BE134:BE153" si="1095">O134</f>
        <v>12500</v>
      </c>
      <c r="BF134" s="19">
        <f t="shared" ref="BF134:BF153" si="1096">Q134</f>
        <v>9300</v>
      </c>
      <c r="BG134" s="19">
        <f t="shared" ref="BG134:BG153" si="1097">S134</f>
        <v>6600</v>
      </c>
      <c r="BH134" s="19">
        <f t="shared" ref="BH134:BH153" si="1098">U134</f>
        <v>9000</v>
      </c>
      <c r="BI134" s="19">
        <f t="shared" ref="BI134:BI153" si="1099">W134</f>
        <v>7300</v>
      </c>
      <c r="BJ134" s="19">
        <f t="shared" ref="BJ134:BJ153" si="1100">Y134</f>
        <v>5600</v>
      </c>
      <c r="BK134" s="19">
        <f t="shared" ref="BK134:BK153" si="1101">AA134</f>
        <v>13300</v>
      </c>
      <c r="BL134" s="19">
        <f t="shared" ref="BL134:BL153" si="1102">AC134</f>
        <v>35800</v>
      </c>
      <c r="BM134" s="19">
        <f t="shared" ref="BM134:BM153" si="1103">AE134</f>
        <v>29800</v>
      </c>
      <c r="BN134" s="19">
        <f t="shared" ref="BN134:BN153" si="1104">AG134</f>
        <v>29700</v>
      </c>
      <c r="BO134" s="20">
        <f t="shared" ref="BO134:BO153" si="1105">AI134</f>
        <v>41200</v>
      </c>
      <c r="BP134" s="19">
        <f t="shared" ref="BP134:BP153" si="1106">AK134</f>
        <v>49133.604083295795</v>
      </c>
      <c r="BQ134" s="19">
        <f t="shared" ref="BQ134:BQ153" si="1107">AM134</f>
        <v>53277.159859583364</v>
      </c>
      <c r="BR134" s="19">
        <f t="shared" ref="BR134:BR153" si="1108">AO134</f>
        <v>54013.770322679309</v>
      </c>
      <c r="BS134" s="19">
        <f t="shared" ref="BS134:BS153" si="1109">AQ134</f>
        <v>54036.560533012555</v>
      </c>
      <c r="BT134" s="19">
        <f t="shared" ref="BT134:BT153" si="1110">AS134</f>
        <v>53019.734807004512</v>
      </c>
    </row>
    <row r="135" spans="1:72" ht="12" customHeight="1" outlineLevel="1">
      <c r="A135" s="91" t="s">
        <v>1064</v>
      </c>
      <c r="B135" s="1" t="s">
        <v>176</v>
      </c>
      <c r="D135" s="21">
        <v>0</v>
      </c>
      <c r="E135" s="21">
        <v>400</v>
      </c>
      <c r="F135" s="21">
        <v>0</v>
      </c>
      <c r="G135" s="21">
        <v>500</v>
      </c>
      <c r="H135" s="21">
        <v>0</v>
      </c>
      <c r="I135" s="21">
        <v>200</v>
      </c>
      <c r="J135" s="21">
        <v>0</v>
      </c>
      <c r="K135" s="21">
        <v>0</v>
      </c>
      <c r="L135" s="21">
        <v>0</v>
      </c>
      <c r="M135" s="21">
        <v>1000</v>
      </c>
      <c r="N135" s="62">
        <v>300</v>
      </c>
      <c r="O135" s="62">
        <v>2000</v>
      </c>
      <c r="P135" s="62">
        <v>1000</v>
      </c>
      <c r="Q135" s="62">
        <v>1700</v>
      </c>
      <c r="R135" s="62">
        <v>0</v>
      </c>
      <c r="S135" s="62">
        <v>2400</v>
      </c>
      <c r="T135" s="62">
        <v>2000</v>
      </c>
      <c r="U135" s="62">
        <v>2300</v>
      </c>
      <c r="V135" s="62">
        <v>1400</v>
      </c>
      <c r="W135" s="62">
        <v>2100</v>
      </c>
      <c r="X135" s="62">
        <v>600</v>
      </c>
      <c r="Y135" s="62">
        <v>2000</v>
      </c>
      <c r="Z135" s="62">
        <v>400</v>
      </c>
      <c r="AA135" s="62">
        <v>1400</v>
      </c>
      <c r="AB135" s="62">
        <v>300</v>
      </c>
      <c r="AC135" s="62">
        <v>2400</v>
      </c>
      <c r="AD135" s="62">
        <v>0</v>
      </c>
      <c r="AE135" s="62">
        <v>2700</v>
      </c>
      <c r="AF135" s="62">
        <v>1200</v>
      </c>
      <c r="AG135" s="62">
        <v>1300</v>
      </c>
      <c r="AH135" s="62">
        <v>700</v>
      </c>
      <c r="AI135" s="62">
        <v>0</v>
      </c>
      <c r="AJ135" s="57">
        <v>0</v>
      </c>
      <c r="AK135" s="58">
        <f t="shared" ref="AK135:AK136" si="1111">AJ135</f>
        <v>0</v>
      </c>
      <c r="AL135" s="58">
        <f t="shared" ref="AL135:AL136" si="1112">AK135</f>
        <v>0</v>
      </c>
      <c r="AM135" s="58">
        <f t="shared" ref="AM135:AM136" si="1113">AL135</f>
        <v>0</v>
      </c>
      <c r="AN135" s="58">
        <f t="shared" ref="AN135:AN136" si="1114">AM135</f>
        <v>0</v>
      </c>
      <c r="AO135" s="58">
        <f t="shared" ref="AO135:AO136" si="1115">AN135</f>
        <v>0</v>
      </c>
      <c r="AP135" s="58">
        <f t="shared" ref="AP135:AP136" si="1116">AO135</f>
        <v>0</v>
      </c>
      <c r="AQ135" s="58">
        <f t="shared" ref="AQ135:AQ136" si="1117">AP135</f>
        <v>0</v>
      </c>
      <c r="AR135" s="58">
        <f t="shared" ref="AR135:AR136" si="1118">AQ135</f>
        <v>0</v>
      </c>
      <c r="AS135" s="58">
        <f t="shared" ref="AS135:AS136" si="1119">AR135</f>
        <v>0</v>
      </c>
      <c r="AU135" s="21"/>
      <c r="AV135" s="21"/>
      <c r="AW135" s="21"/>
      <c r="AX135" s="21">
        <v>900</v>
      </c>
      <c r="AY135" s="21">
        <v>400</v>
      </c>
      <c r="AZ135" s="19">
        <f t="shared" si="1090"/>
        <v>400</v>
      </c>
      <c r="BA135" s="19">
        <f t="shared" si="1091"/>
        <v>500</v>
      </c>
      <c r="BB135" s="19">
        <f t="shared" si="1092"/>
        <v>200</v>
      </c>
      <c r="BC135" s="19">
        <f t="shared" si="1093"/>
        <v>0</v>
      </c>
      <c r="BD135" s="19">
        <f t="shared" si="1094"/>
        <v>1000</v>
      </c>
      <c r="BE135" s="19">
        <f t="shared" si="1095"/>
        <v>2000</v>
      </c>
      <c r="BF135" s="19">
        <f t="shared" si="1096"/>
        <v>1700</v>
      </c>
      <c r="BG135" s="19">
        <f t="shared" si="1097"/>
        <v>2400</v>
      </c>
      <c r="BH135" s="19">
        <f t="shared" si="1098"/>
        <v>2300</v>
      </c>
      <c r="BI135" s="19">
        <f t="shared" si="1099"/>
        <v>2100</v>
      </c>
      <c r="BJ135" s="19">
        <f t="shared" si="1100"/>
        <v>2000</v>
      </c>
      <c r="BK135" s="19">
        <f t="shared" si="1101"/>
        <v>1400</v>
      </c>
      <c r="BL135" s="19">
        <f t="shared" si="1102"/>
        <v>2400</v>
      </c>
      <c r="BM135" s="19">
        <f t="shared" si="1103"/>
        <v>2700</v>
      </c>
      <c r="BN135" s="19">
        <f t="shared" si="1104"/>
        <v>1300</v>
      </c>
      <c r="BO135" s="20">
        <f t="shared" si="1105"/>
        <v>0</v>
      </c>
      <c r="BP135" s="19">
        <f t="shared" si="1106"/>
        <v>0</v>
      </c>
      <c r="BQ135" s="19">
        <f t="shared" si="1107"/>
        <v>0</v>
      </c>
      <c r="BR135" s="19">
        <f t="shared" si="1108"/>
        <v>0</v>
      </c>
      <c r="BS135" s="19">
        <f t="shared" si="1109"/>
        <v>0</v>
      </c>
      <c r="BT135" s="19">
        <f t="shared" si="1110"/>
        <v>0</v>
      </c>
    </row>
    <row r="136" spans="1:72" ht="12" customHeight="1" outlineLevel="1">
      <c r="A136" s="91" t="s">
        <v>1063</v>
      </c>
      <c r="B136" s="1" t="s">
        <v>177</v>
      </c>
      <c r="D136" s="21">
        <v>3000</v>
      </c>
      <c r="E136" s="21">
        <v>2800</v>
      </c>
      <c r="F136" s="21">
        <v>3100</v>
      </c>
      <c r="G136" s="21">
        <v>3500</v>
      </c>
      <c r="H136" s="21">
        <v>2700</v>
      </c>
      <c r="I136" s="21">
        <v>2300</v>
      </c>
      <c r="J136" s="21">
        <v>2200</v>
      </c>
      <c r="K136" s="21">
        <v>2400</v>
      </c>
      <c r="L136" s="21">
        <v>2100</v>
      </c>
      <c r="M136" s="21">
        <v>2300</v>
      </c>
      <c r="N136" s="62">
        <v>2200</v>
      </c>
      <c r="O136" s="62">
        <v>2500</v>
      </c>
      <c r="P136" s="62">
        <v>3100</v>
      </c>
      <c r="Q136" s="62">
        <v>3400</v>
      </c>
      <c r="R136" s="62">
        <v>3700</v>
      </c>
      <c r="S136" s="62">
        <v>3100</v>
      </c>
      <c r="T136" s="62">
        <v>2600</v>
      </c>
      <c r="U136" s="62">
        <v>2500</v>
      </c>
      <c r="V136" s="62">
        <v>2200</v>
      </c>
      <c r="W136" s="62">
        <v>2500</v>
      </c>
      <c r="X136" s="62">
        <v>2400</v>
      </c>
      <c r="Y136" s="62">
        <v>2000</v>
      </c>
      <c r="Z136" s="62">
        <v>1900</v>
      </c>
      <c r="AA136" s="62">
        <v>1100</v>
      </c>
      <c r="AB136" s="62">
        <v>1500</v>
      </c>
      <c r="AC136" s="62">
        <v>1300</v>
      </c>
      <c r="AD136" s="62">
        <v>1400</v>
      </c>
      <c r="AE136" s="62">
        <v>1500</v>
      </c>
      <c r="AF136" s="62">
        <v>1600</v>
      </c>
      <c r="AG136" s="62">
        <v>2000</v>
      </c>
      <c r="AH136" s="62">
        <v>2300</v>
      </c>
      <c r="AI136" s="62">
        <v>2600</v>
      </c>
      <c r="AJ136" s="57">
        <v>2100</v>
      </c>
      <c r="AK136" s="58">
        <f t="shared" si="1111"/>
        <v>2100</v>
      </c>
      <c r="AL136" s="58">
        <f t="shared" si="1112"/>
        <v>2100</v>
      </c>
      <c r="AM136" s="58">
        <f t="shared" si="1113"/>
        <v>2100</v>
      </c>
      <c r="AN136" s="58">
        <f t="shared" si="1114"/>
        <v>2100</v>
      </c>
      <c r="AO136" s="58">
        <f t="shared" si="1115"/>
        <v>2100</v>
      </c>
      <c r="AP136" s="58">
        <f t="shared" si="1116"/>
        <v>2100</v>
      </c>
      <c r="AQ136" s="58">
        <f t="shared" si="1117"/>
        <v>2100</v>
      </c>
      <c r="AR136" s="58">
        <f t="shared" si="1118"/>
        <v>2100</v>
      </c>
      <c r="AS136" s="58">
        <f t="shared" si="1119"/>
        <v>2100</v>
      </c>
      <c r="AU136" s="21"/>
      <c r="AV136" s="21"/>
      <c r="AW136" s="21"/>
      <c r="AX136" s="21">
        <v>6000</v>
      </c>
      <c r="AY136" s="21">
        <v>4000</v>
      </c>
      <c r="AZ136" s="19">
        <f t="shared" si="1090"/>
        <v>2800</v>
      </c>
      <c r="BA136" s="19">
        <f t="shared" si="1091"/>
        <v>3500</v>
      </c>
      <c r="BB136" s="19">
        <f t="shared" si="1092"/>
        <v>2300</v>
      </c>
      <c r="BC136" s="19">
        <f t="shared" si="1093"/>
        <v>2400</v>
      </c>
      <c r="BD136" s="19">
        <f t="shared" si="1094"/>
        <v>2300</v>
      </c>
      <c r="BE136" s="19">
        <f t="shared" si="1095"/>
        <v>2500</v>
      </c>
      <c r="BF136" s="19">
        <f t="shared" si="1096"/>
        <v>3400</v>
      </c>
      <c r="BG136" s="19">
        <f t="shared" si="1097"/>
        <v>3100</v>
      </c>
      <c r="BH136" s="19">
        <f t="shared" si="1098"/>
        <v>2500</v>
      </c>
      <c r="BI136" s="19">
        <f t="shared" si="1099"/>
        <v>2500</v>
      </c>
      <c r="BJ136" s="19">
        <f t="shared" si="1100"/>
        <v>2000</v>
      </c>
      <c r="BK136" s="19">
        <f t="shared" si="1101"/>
        <v>1100</v>
      </c>
      <c r="BL136" s="19">
        <f t="shared" si="1102"/>
        <v>1300</v>
      </c>
      <c r="BM136" s="19">
        <f t="shared" si="1103"/>
        <v>1500</v>
      </c>
      <c r="BN136" s="19">
        <f t="shared" si="1104"/>
        <v>2000</v>
      </c>
      <c r="BO136" s="20">
        <f t="shared" si="1105"/>
        <v>2600</v>
      </c>
      <c r="BP136" s="19">
        <f t="shared" si="1106"/>
        <v>2100</v>
      </c>
      <c r="BQ136" s="19">
        <f t="shared" si="1107"/>
        <v>2100</v>
      </c>
      <c r="BR136" s="19">
        <f t="shared" si="1108"/>
        <v>2100</v>
      </c>
      <c r="BS136" s="19">
        <f t="shared" si="1109"/>
        <v>2100</v>
      </c>
      <c r="BT136" s="19">
        <f t="shared" si="1110"/>
        <v>2100</v>
      </c>
    </row>
    <row r="137" spans="1:72" ht="12" customHeight="1" outlineLevel="1">
      <c r="A137" s="91" t="s">
        <v>1063</v>
      </c>
      <c r="B137" s="1" t="s">
        <v>178</v>
      </c>
      <c r="D137" s="21">
        <v>7200</v>
      </c>
      <c r="E137" s="21">
        <v>8300</v>
      </c>
      <c r="F137" s="21">
        <v>9600</v>
      </c>
      <c r="G137" s="21">
        <v>10600</v>
      </c>
      <c r="H137" s="21">
        <v>11500</v>
      </c>
      <c r="I137" s="21">
        <v>10900</v>
      </c>
      <c r="J137" s="21">
        <v>10000</v>
      </c>
      <c r="K137" s="21">
        <v>9400</v>
      </c>
      <c r="L137" s="21">
        <v>8000</v>
      </c>
      <c r="M137" s="21">
        <v>7000</v>
      </c>
      <c r="N137" s="21">
        <v>6100</v>
      </c>
      <c r="O137" s="21">
        <v>4800</v>
      </c>
      <c r="P137" s="21">
        <v>5400</v>
      </c>
      <c r="Q137" s="21">
        <v>5300</v>
      </c>
      <c r="R137" s="21">
        <v>4000</v>
      </c>
      <c r="S137" s="21">
        <v>4600</v>
      </c>
      <c r="T137" s="21">
        <v>4500</v>
      </c>
      <c r="U137" s="21">
        <v>4900</v>
      </c>
      <c r="V137" s="21">
        <v>6200</v>
      </c>
      <c r="W137" s="21">
        <v>5800</v>
      </c>
      <c r="X137" s="21">
        <v>3600</v>
      </c>
      <c r="Y137" s="21">
        <v>3800</v>
      </c>
      <c r="Z137" s="21">
        <v>16100</v>
      </c>
      <c r="AA137" s="21">
        <v>13800</v>
      </c>
      <c r="AB137" s="21">
        <v>25200</v>
      </c>
      <c r="AC137" s="21">
        <v>27500</v>
      </c>
      <c r="AD137" s="21">
        <v>28700</v>
      </c>
      <c r="AE137" s="21">
        <v>28300</v>
      </c>
      <c r="AF137" s="21">
        <f>12900+13300</f>
        <v>26200</v>
      </c>
      <c r="AG137" s="21">
        <f>13500+13300</f>
        <v>26800</v>
      </c>
      <c r="AH137" s="21">
        <f>13100+3300</f>
        <v>16400</v>
      </c>
      <c r="AI137" s="21">
        <f>13000+5300</f>
        <v>18300</v>
      </c>
      <c r="AJ137" s="24">
        <f>11100+5300</f>
        <v>16400</v>
      </c>
      <c r="AK137" s="19">
        <f t="shared" ref="AK137" si="1120">AJ137*AK$116/AJ$116</f>
        <v>17782.358928571433</v>
      </c>
      <c r="AL137" s="19">
        <f t="shared" ref="AL137" si="1121">AK137*AL$116/AK$116</f>
        <v>19116.187035714291</v>
      </c>
      <c r="AM137" s="19">
        <f t="shared" ref="AM137" si="1122">AL137*AM$116/AL$116</f>
        <v>20439.176071696435</v>
      </c>
      <c r="AN137" s="19">
        <f t="shared" ref="AN137" si="1123">AM137*AN$116/AM$116</f>
        <v>21586.699410382153</v>
      </c>
      <c r="AO137" s="19">
        <f t="shared" ref="AO137" si="1124">AN137*AO$116/AN$116</f>
        <v>22691.806467139413</v>
      </c>
      <c r="AP137" s="19">
        <f t="shared" ref="AP137" si="1125">AO137*AP$116/AO$116</f>
        <v>23740.001796485245</v>
      </c>
      <c r="AQ137" s="19">
        <f t="shared" ref="AQ137" si="1126">AP137*AQ$116/AP$116</f>
        <v>24816.132673606753</v>
      </c>
      <c r="AR137" s="19">
        <f t="shared" ref="AR137" si="1127">AQ137*AR$116/AQ$116</f>
        <v>25920.406722955751</v>
      </c>
      <c r="AS137" s="19">
        <f t="shared" ref="AS137" si="1128">AR137*AS$116/AR$116</f>
        <v>27077.820046502162</v>
      </c>
      <c r="AU137" s="21"/>
      <c r="AV137" s="21"/>
      <c r="AW137" s="21"/>
      <c r="AX137" s="21">
        <v>8200</v>
      </c>
      <c r="AY137" s="21">
        <v>6600</v>
      </c>
      <c r="AZ137" s="19">
        <f t="shared" si="1090"/>
        <v>8300</v>
      </c>
      <c r="BA137" s="19">
        <f t="shared" si="1091"/>
        <v>10600</v>
      </c>
      <c r="BB137" s="19">
        <f t="shared" si="1092"/>
        <v>10900</v>
      </c>
      <c r="BC137" s="19">
        <f t="shared" si="1093"/>
        <v>9400</v>
      </c>
      <c r="BD137" s="19">
        <f t="shared" si="1094"/>
        <v>7000</v>
      </c>
      <c r="BE137" s="19">
        <f t="shared" si="1095"/>
        <v>4800</v>
      </c>
      <c r="BF137" s="19">
        <f t="shared" si="1096"/>
        <v>5300</v>
      </c>
      <c r="BG137" s="19">
        <f t="shared" si="1097"/>
        <v>4600</v>
      </c>
      <c r="BH137" s="19">
        <f t="shared" si="1098"/>
        <v>4900</v>
      </c>
      <c r="BI137" s="19">
        <f t="shared" si="1099"/>
        <v>5800</v>
      </c>
      <c r="BJ137" s="19">
        <f t="shared" si="1100"/>
        <v>3800</v>
      </c>
      <c r="BK137" s="19">
        <f t="shared" si="1101"/>
        <v>13800</v>
      </c>
      <c r="BL137" s="19">
        <f t="shared" si="1102"/>
        <v>27500</v>
      </c>
      <c r="BM137" s="19">
        <f t="shared" si="1103"/>
        <v>28300</v>
      </c>
      <c r="BN137" s="19">
        <f t="shared" si="1104"/>
        <v>26800</v>
      </c>
      <c r="BO137" s="20">
        <f t="shared" si="1105"/>
        <v>18300</v>
      </c>
      <c r="BP137" s="19">
        <f t="shared" si="1106"/>
        <v>17782.358928571433</v>
      </c>
      <c r="BQ137" s="19">
        <f t="shared" si="1107"/>
        <v>20439.176071696435</v>
      </c>
      <c r="BR137" s="19">
        <f t="shared" si="1108"/>
        <v>22691.806467139413</v>
      </c>
      <c r="BS137" s="19">
        <f t="shared" si="1109"/>
        <v>24816.132673606753</v>
      </c>
      <c r="BT137" s="19">
        <f t="shared" si="1110"/>
        <v>27077.820046502162</v>
      </c>
    </row>
    <row r="138" spans="1:72" ht="12" customHeight="1" outlineLevel="1">
      <c r="A138" s="91" t="s">
        <v>1061</v>
      </c>
      <c r="B138" s="1" t="s">
        <v>179</v>
      </c>
      <c r="D138" s="21">
        <v>19200</v>
      </c>
      <c r="E138" s="21">
        <v>17500</v>
      </c>
      <c r="F138" s="21">
        <v>17500</v>
      </c>
      <c r="G138" s="21">
        <v>16600</v>
      </c>
      <c r="H138" s="21">
        <v>16900</v>
      </c>
      <c r="I138" s="21">
        <v>14000</v>
      </c>
      <c r="J138" s="21">
        <v>16200</v>
      </c>
      <c r="K138" s="21">
        <v>16500</v>
      </c>
      <c r="L138" s="21">
        <v>16900</v>
      </c>
      <c r="M138" s="21">
        <v>19300</v>
      </c>
      <c r="N138" s="21">
        <v>20300</v>
      </c>
      <c r="O138" s="21">
        <v>29800</v>
      </c>
      <c r="P138" s="21">
        <v>35200</v>
      </c>
      <c r="Q138" s="21">
        <v>37500</v>
      </c>
      <c r="R138" s="21">
        <v>35300</v>
      </c>
      <c r="S138" s="21">
        <v>29300</v>
      </c>
      <c r="T138" s="21">
        <v>27500</v>
      </c>
      <c r="U138" s="21">
        <v>34700</v>
      </c>
      <c r="V138" s="21">
        <v>34800</v>
      </c>
      <c r="W138" s="21">
        <v>32200</v>
      </c>
      <c r="X138" s="21">
        <v>34800</v>
      </c>
      <c r="Y138" s="21">
        <v>40900</v>
      </c>
      <c r="Z138" s="21">
        <v>33700</v>
      </c>
      <c r="AA138" s="21">
        <v>34300</v>
      </c>
      <c r="AB138" s="21">
        <v>39800</v>
      </c>
      <c r="AC138" s="21">
        <v>48800</v>
      </c>
      <c r="AD138" s="21">
        <v>60600</v>
      </c>
      <c r="AE138" s="21">
        <v>52800</v>
      </c>
      <c r="AF138" s="21">
        <v>55100</v>
      </c>
      <c r="AG138" s="21">
        <v>59000</v>
      </c>
      <c r="AH138" s="21">
        <v>58400</v>
      </c>
      <c r="AI138" s="21">
        <v>53100</v>
      </c>
      <c r="AJ138" s="24">
        <v>57400</v>
      </c>
      <c r="AK138" s="19">
        <f t="shared" ref="AK138" si="1129">AJ138/(AJ$115+AJ$116)*(AK$115+AK$116)</f>
        <v>62238.256250000013</v>
      </c>
      <c r="AL138" s="19">
        <f t="shared" ref="AL138" si="1130">AK138/(AK$115+AK$116)*(AL$115+AL$116)</f>
        <v>66906.65462500001</v>
      </c>
      <c r="AM138" s="19">
        <f t="shared" ref="AM138" si="1131">AL138/(AL$115+AL$116)*(AM$115+AM$116)</f>
        <v>71537.116250937499</v>
      </c>
      <c r="AN138" s="19">
        <f t="shared" ref="AN138" si="1132">AM138/(AM$115+AM$116)*(AN$115+AN$116)</f>
        <v>75553.447936337514</v>
      </c>
      <c r="AO138" s="19">
        <f t="shared" ref="AO138" si="1133">AN138/(AN$115+AN$116)*(AO$115+AO$116)</f>
        <v>79421.322634987926</v>
      </c>
      <c r="AP138" s="19">
        <f t="shared" ref="AP138" si="1134">AO138/(AO$115+AO$116)*(AP$115+AP$116)</f>
        <v>83090.006287698357</v>
      </c>
      <c r="AQ138" s="19">
        <f t="shared" ref="AQ138" si="1135">AP138/(AP$115+AP$116)*(AQ$115+AQ$116)</f>
        <v>86856.464357623627</v>
      </c>
      <c r="AR138" s="19">
        <f t="shared" ref="AR138" si="1136">AQ138/(AQ$115+AQ$116)*(AR$115+AR$116)</f>
        <v>90721.423530345128</v>
      </c>
      <c r="AS138" s="19">
        <f t="shared" ref="AS138" si="1137">AR138/(AR$115+AR$116)*(AS$115+AS$116)</f>
        <v>94772.370162757579</v>
      </c>
      <c r="AU138" s="21"/>
      <c r="AV138" s="21"/>
      <c r="AW138" s="21"/>
      <c r="AX138" s="21">
        <v>8100</v>
      </c>
      <c r="AY138" s="21">
        <v>16900</v>
      </c>
      <c r="AZ138" s="19">
        <f t="shared" si="1090"/>
        <v>17500</v>
      </c>
      <c r="BA138" s="19">
        <f t="shared" si="1091"/>
        <v>16600</v>
      </c>
      <c r="BB138" s="19">
        <f t="shared" si="1092"/>
        <v>14000</v>
      </c>
      <c r="BC138" s="19">
        <f t="shared" si="1093"/>
        <v>16500</v>
      </c>
      <c r="BD138" s="19">
        <f t="shared" si="1094"/>
        <v>19300</v>
      </c>
      <c r="BE138" s="19">
        <f t="shared" si="1095"/>
        <v>29800</v>
      </c>
      <c r="BF138" s="19">
        <f t="shared" si="1096"/>
        <v>37500</v>
      </c>
      <c r="BG138" s="19">
        <f t="shared" si="1097"/>
        <v>29300</v>
      </c>
      <c r="BH138" s="19">
        <f t="shared" si="1098"/>
        <v>34700</v>
      </c>
      <c r="BI138" s="19">
        <f t="shared" si="1099"/>
        <v>32200</v>
      </c>
      <c r="BJ138" s="19">
        <f t="shared" si="1100"/>
        <v>40900</v>
      </c>
      <c r="BK138" s="19">
        <f t="shared" si="1101"/>
        <v>34300</v>
      </c>
      <c r="BL138" s="19">
        <f t="shared" si="1102"/>
        <v>48800</v>
      </c>
      <c r="BM138" s="19">
        <f t="shared" si="1103"/>
        <v>52800</v>
      </c>
      <c r="BN138" s="19">
        <f t="shared" si="1104"/>
        <v>59000</v>
      </c>
      <c r="BO138" s="20">
        <f t="shared" si="1105"/>
        <v>53100</v>
      </c>
      <c r="BP138" s="19">
        <f t="shared" si="1106"/>
        <v>62238.256250000013</v>
      </c>
      <c r="BQ138" s="19">
        <f t="shared" si="1107"/>
        <v>71537.116250937499</v>
      </c>
      <c r="BR138" s="19">
        <f t="shared" si="1108"/>
        <v>79421.322634987926</v>
      </c>
      <c r="BS138" s="19">
        <f t="shared" si="1109"/>
        <v>86856.464357623627</v>
      </c>
      <c r="BT138" s="19">
        <f t="shared" si="1110"/>
        <v>94772.370162757579</v>
      </c>
    </row>
    <row r="139" spans="1:72" ht="12" customHeight="1" outlineLevel="1">
      <c r="A139" s="91" t="s">
        <v>1062</v>
      </c>
      <c r="B139" s="1" t="s">
        <v>180</v>
      </c>
      <c r="D139" s="21">
        <v>400</v>
      </c>
      <c r="E139" s="21">
        <v>700</v>
      </c>
      <c r="F139" s="21">
        <v>300</v>
      </c>
      <c r="G139" s="21">
        <v>300</v>
      </c>
      <c r="H139" s="21">
        <v>600</v>
      </c>
      <c r="I139" s="21">
        <v>400</v>
      </c>
      <c r="J139" s="21">
        <v>400</v>
      </c>
      <c r="K139" s="21">
        <v>1200</v>
      </c>
      <c r="L139" s="21">
        <v>400</v>
      </c>
      <c r="M139" s="21">
        <v>900</v>
      </c>
      <c r="N139" s="62">
        <v>1300</v>
      </c>
      <c r="O139" s="62">
        <v>500</v>
      </c>
      <c r="P139" s="62">
        <v>600</v>
      </c>
      <c r="Q139" s="62">
        <v>400</v>
      </c>
      <c r="R139" s="62">
        <v>700</v>
      </c>
      <c r="S139" s="62">
        <v>500</v>
      </c>
      <c r="T139" s="62">
        <v>500</v>
      </c>
      <c r="U139" s="62">
        <v>1200</v>
      </c>
      <c r="V139" s="62">
        <v>1000</v>
      </c>
      <c r="W139" s="62">
        <v>1200</v>
      </c>
      <c r="X139" s="62">
        <v>1500</v>
      </c>
      <c r="Y139" s="62">
        <v>1200</v>
      </c>
      <c r="Z139" s="62">
        <v>1000</v>
      </c>
      <c r="AA139" s="62">
        <v>1200</v>
      </c>
      <c r="AB139" s="62">
        <v>1400</v>
      </c>
      <c r="AC139" s="62">
        <v>1400</v>
      </c>
      <c r="AD139" s="62">
        <v>11900</v>
      </c>
      <c r="AE139" s="62">
        <v>13300</v>
      </c>
      <c r="AF139" s="62">
        <v>14200</v>
      </c>
      <c r="AG139" s="62">
        <v>15400</v>
      </c>
      <c r="AH139" s="62">
        <v>16000</v>
      </c>
      <c r="AI139" s="62">
        <v>19600</v>
      </c>
      <c r="AJ139" s="57">
        <v>20500</v>
      </c>
      <c r="AK139" s="58">
        <f t="shared" ref="AK139:AK140" si="1138">AJ139</f>
        <v>20500</v>
      </c>
      <c r="AL139" s="58">
        <f t="shared" ref="AL139:AL140" si="1139">AK139</f>
        <v>20500</v>
      </c>
      <c r="AM139" s="58">
        <f t="shared" ref="AM139:AM140" si="1140">AL139</f>
        <v>20500</v>
      </c>
      <c r="AN139" s="58">
        <f t="shared" ref="AN139:AN140" si="1141">AM139</f>
        <v>20500</v>
      </c>
      <c r="AO139" s="58">
        <f t="shared" ref="AO139:AO140" si="1142">AN139</f>
        <v>20500</v>
      </c>
      <c r="AP139" s="58">
        <f t="shared" ref="AP139:AP140" si="1143">AO139</f>
        <v>20500</v>
      </c>
      <c r="AQ139" s="58">
        <f t="shared" ref="AQ139:AQ140" si="1144">AP139</f>
        <v>20500</v>
      </c>
      <c r="AR139" s="58">
        <f t="shared" ref="AR139:AR140" si="1145">AQ139</f>
        <v>20500</v>
      </c>
      <c r="AS139" s="58">
        <f t="shared" ref="AS139:AS140" si="1146">AR139</f>
        <v>20500</v>
      </c>
      <c r="AU139" s="21"/>
      <c r="AV139" s="21"/>
      <c r="AW139" s="21"/>
      <c r="AX139" s="21">
        <v>300</v>
      </c>
      <c r="AY139" s="21">
        <v>900</v>
      </c>
      <c r="AZ139" s="19">
        <f t="shared" si="1090"/>
        <v>700</v>
      </c>
      <c r="BA139" s="19">
        <f t="shared" si="1091"/>
        <v>300</v>
      </c>
      <c r="BB139" s="19">
        <f t="shared" si="1092"/>
        <v>400</v>
      </c>
      <c r="BC139" s="19">
        <f t="shared" si="1093"/>
        <v>1200</v>
      </c>
      <c r="BD139" s="19">
        <f t="shared" si="1094"/>
        <v>900</v>
      </c>
      <c r="BE139" s="19">
        <f t="shared" si="1095"/>
        <v>500</v>
      </c>
      <c r="BF139" s="19">
        <f t="shared" si="1096"/>
        <v>400</v>
      </c>
      <c r="BG139" s="19">
        <f t="shared" si="1097"/>
        <v>500</v>
      </c>
      <c r="BH139" s="19">
        <f t="shared" si="1098"/>
        <v>1200</v>
      </c>
      <c r="BI139" s="19">
        <f t="shared" si="1099"/>
        <v>1200</v>
      </c>
      <c r="BJ139" s="19">
        <f t="shared" si="1100"/>
        <v>1200</v>
      </c>
      <c r="BK139" s="19">
        <f t="shared" si="1101"/>
        <v>1200</v>
      </c>
      <c r="BL139" s="19">
        <f t="shared" si="1102"/>
        <v>1400</v>
      </c>
      <c r="BM139" s="19">
        <f t="shared" si="1103"/>
        <v>13300</v>
      </c>
      <c r="BN139" s="19">
        <f t="shared" si="1104"/>
        <v>15400</v>
      </c>
      <c r="BO139" s="20">
        <f t="shared" si="1105"/>
        <v>19600</v>
      </c>
      <c r="BP139" s="19">
        <f t="shared" si="1106"/>
        <v>20500</v>
      </c>
      <c r="BQ139" s="19">
        <f t="shared" si="1107"/>
        <v>20500</v>
      </c>
      <c r="BR139" s="19">
        <f t="shared" si="1108"/>
        <v>20500</v>
      </c>
      <c r="BS139" s="19">
        <f t="shared" si="1109"/>
        <v>20500</v>
      </c>
      <c r="BT139" s="19">
        <f t="shared" si="1110"/>
        <v>20500</v>
      </c>
    </row>
    <row r="140" spans="1:72" ht="12" customHeight="1" outlineLevel="1">
      <c r="A140" s="91" t="s">
        <v>1065</v>
      </c>
      <c r="B140" s="1" t="s">
        <v>181</v>
      </c>
      <c r="D140" s="21">
        <v>7000</v>
      </c>
      <c r="E140" s="21">
        <v>6900</v>
      </c>
      <c r="F140" s="21">
        <v>6700</v>
      </c>
      <c r="G140" s="21">
        <v>4500</v>
      </c>
      <c r="H140" s="21">
        <v>4300</v>
      </c>
      <c r="I140" s="21">
        <v>3200</v>
      </c>
      <c r="J140" s="21">
        <v>3200</v>
      </c>
      <c r="K140" s="21">
        <v>2400</v>
      </c>
      <c r="L140" s="21">
        <v>2600</v>
      </c>
      <c r="M140" s="21">
        <v>1300</v>
      </c>
      <c r="N140" s="62">
        <v>1400</v>
      </c>
      <c r="O140" s="62">
        <v>2600</v>
      </c>
      <c r="P140" s="62">
        <v>3100</v>
      </c>
      <c r="Q140" s="62">
        <v>8900</v>
      </c>
      <c r="R140" s="62">
        <v>4900</v>
      </c>
      <c r="S140" s="62">
        <v>4800</v>
      </c>
      <c r="T140" s="62">
        <v>3900</v>
      </c>
      <c r="U140" s="62">
        <v>4000</v>
      </c>
      <c r="V140" s="62">
        <v>7000</v>
      </c>
      <c r="W140" s="62">
        <v>8300</v>
      </c>
      <c r="X140" s="62">
        <v>8700</v>
      </c>
      <c r="Y140" s="62">
        <v>10100</v>
      </c>
      <c r="Z140" s="62">
        <v>7300</v>
      </c>
      <c r="AA140" s="62">
        <v>5800</v>
      </c>
      <c r="AB140" s="62">
        <v>6400</v>
      </c>
      <c r="AC140" s="62">
        <v>9100</v>
      </c>
      <c r="AD140" s="62">
        <v>0</v>
      </c>
      <c r="AE140" s="62">
        <v>0</v>
      </c>
      <c r="AF140" s="62">
        <v>0</v>
      </c>
      <c r="AG140" s="62">
        <v>0</v>
      </c>
      <c r="AH140" s="62">
        <v>0</v>
      </c>
      <c r="AI140" s="62">
        <v>0</v>
      </c>
      <c r="AJ140" s="57">
        <v>0</v>
      </c>
      <c r="AK140" s="58">
        <f t="shared" si="1138"/>
        <v>0</v>
      </c>
      <c r="AL140" s="58">
        <f t="shared" si="1139"/>
        <v>0</v>
      </c>
      <c r="AM140" s="58">
        <f t="shared" si="1140"/>
        <v>0</v>
      </c>
      <c r="AN140" s="58">
        <f t="shared" si="1141"/>
        <v>0</v>
      </c>
      <c r="AO140" s="58">
        <f t="shared" si="1142"/>
        <v>0</v>
      </c>
      <c r="AP140" s="58">
        <f t="shared" si="1143"/>
        <v>0</v>
      </c>
      <c r="AQ140" s="58">
        <f t="shared" si="1144"/>
        <v>0</v>
      </c>
      <c r="AR140" s="58">
        <f t="shared" si="1145"/>
        <v>0</v>
      </c>
      <c r="AS140" s="58">
        <f t="shared" si="1146"/>
        <v>0</v>
      </c>
      <c r="AU140" s="21"/>
      <c r="AV140" s="21"/>
      <c r="AW140" s="21"/>
      <c r="AX140" s="21">
        <v>4900</v>
      </c>
      <c r="AY140" s="21">
        <v>7400</v>
      </c>
      <c r="AZ140" s="19">
        <f t="shared" si="1090"/>
        <v>6900</v>
      </c>
      <c r="BA140" s="19">
        <f t="shared" si="1091"/>
        <v>4500</v>
      </c>
      <c r="BB140" s="19">
        <f t="shared" si="1092"/>
        <v>3200</v>
      </c>
      <c r="BC140" s="19">
        <f t="shared" si="1093"/>
        <v>2400</v>
      </c>
      <c r="BD140" s="19">
        <f t="shared" si="1094"/>
        <v>1300</v>
      </c>
      <c r="BE140" s="19">
        <f t="shared" si="1095"/>
        <v>2600</v>
      </c>
      <c r="BF140" s="19">
        <f t="shared" si="1096"/>
        <v>8900</v>
      </c>
      <c r="BG140" s="19">
        <f t="shared" si="1097"/>
        <v>4800</v>
      </c>
      <c r="BH140" s="19">
        <f t="shared" si="1098"/>
        <v>4000</v>
      </c>
      <c r="BI140" s="19">
        <f t="shared" si="1099"/>
        <v>8300</v>
      </c>
      <c r="BJ140" s="19">
        <f t="shared" si="1100"/>
        <v>10100</v>
      </c>
      <c r="BK140" s="19">
        <f t="shared" si="1101"/>
        <v>5800</v>
      </c>
      <c r="BL140" s="19">
        <f t="shared" si="1102"/>
        <v>9100</v>
      </c>
      <c r="BM140" s="19">
        <f t="shared" si="1103"/>
        <v>0</v>
      </c>
      <c r="BN140" s="19">
        <f t="shared" si="1104"/>
        <v>0</v>
      </c>
      <c r="BO140" s="20">
        <f t="shared" si="1105"/>
        <v>0</v>
      </c>
      <c r="BP140" s="19">
        <f t="shared" si="1106"/>
        <v>0</v>
      </c>
      <c r="BQ140" s="19">
        <f t="shared" si="1107"/>
        <v>0</v>
      </c>
      <c r="BR140" s="19">
        <f t="shared" si="1108"/>
        <v>0</v>
      </c>
      <c r="BS140" s="19">
        <f t="shared" si="1109"/>
        <v>0</v>
      </c>
      <c r="BT140" s="19">
        <f t="shared" si="1110"/>
        <v>0</v>
      </c>
    </row>
    <row r="141" spans="1:72" ht="12" customHeight="1" outlineLevel="1">
      <c r="A141" s="91" t="s">
        <v>1070</v>
      </c>
      <c r="B141" s="1" t="s">
        <v>171</v>
      </c>
      <c r="D141" s="19">
        <f t="shared" ref="D141:J141" si="1147">D119</f>
        <v>1400</v>
      </c>
      <c r="E141" s="19">
        <f t="shared" si="1147"/>
        <v>1200</v>
      </c>
      <c r="F141" s="19">
        <f t="shared" si="1147"/>
        <v>1200</v>
      </c>
      <c r="G141" s="19">
        <f t="shared" si="1147"/>
        <v>700</v>
      </c>
      <c r="H141" s="19">
        <f t="shared" si="1147"/>
        <v>0</v>
      </c>
      <c r="I141" s="19">
        <f t="shared" si="1147"/>
        <v>0</v>
      </c>
      <c r="J141" s="19">
        <f t="shared" si="1147"/>
        <v>0</v>
      </c>
      <c r="K141" s="19">
        <f>K119</f>
        <v>0</v>
      </c>
      <c r="L141" s="19">
        <f t="shared" ref="L141" si="1148">L119</f>
        <v>0</v>
      </c>
      <c r="M141" s="19">
        <v>0</v>
      </c>
      <c r="N141" s="21">
        <v>0</v>
      </c>
      <c r="O141" s="21">
        <v>0</v>
      </c>
      <c r="P141" s="21">
        <v>0</v>
      </c>
      <c r="Q141" s="21">
        <v>0</v>
      </c>
      <c r="R141" s="21">
        <v>0</v>
      </c>
      <c r="S141" s="21">
        <v>0</v>
      </c>
      <c r="T141" s="21">
        <v>0</v>
      </c>
      <c r="U141" s="21">
        <v>0</v>
      </c>
      <c r="V141" s="21">
        <v>0</v>
      </c>
      <c r="W141" s="21">
        <v>0</v>
      </c>
      <c r="X141" s="21">
        <v>0</v>
      </c>
      <c r="Y141" s="21">
        <v>0</v>
      </c>
      <c r="Z141" s="21">
        <v>0</v>
      </c>
      <c r="AA141" s="21">
        <v>0</v>
      </c>
      <c r="AB141" s="21">
        <v>0</v>
      </c>
      <c r="AC141" s="21">
        <v>0</v>
      </c>
      <c r="AD141" s="21">
        <v>0</v>
      </c>
      <c r="AE141" s="21">
        <v>0</v>
      </c>
      <c r="AF141" s="21">
        <v>0</v>
      </c>
      <c r="AG141" s="21">
        <v>0</v>
      </c>
      <c r="AH141" s="21">
        <v>0</v>
      </c>
      <c r="AI141" s="21">
        <v>0</v>
      </c>
      <c r="AJ141" s="24">
        <v>0</v>
      </c>
      <c r="AK141" s="19">
        <f t="shared" ref="AK141" si="1149">AK119</f>
        <v>0</v>
      </c>
      <c r="AL141" s="19">
        <f t="shared" ref="AL141:AM141" si="1150">AL119</f>
        <v>0</v>
      </c>
      <c r="AM141" s="19">
        <f t="shared" si="1150"/>
        <v>0</v>
      </c>
      <c r="AN141" s="19">
        <f t="shared" ref="AN141:AO141" si="1151">AN119</f>
        <v>0</v>
      </c>
      <c r="AO141" s="19">
        <f t="shared" si="1151"/>
        <v>0</v>
      </c>
      <c r="AP141" s="19">
        <f t="shared" ref="AP141:AQ141" si="1152">AP119</f>
        <v>0</v>
      </c>
      <c r="AQ141" s="19">
        <f t="shared" si="1152"/>
        <v>0</v>
      </c>
      <c r="AR141" s="19">
        <f t="shared" ref="AR141:AS141" si="1153">AR119</f>
        <v>0</v>
      </c>
      <c r="AS141" s="19">
        <f t="shared" si="1153"/>
        <v>0</v>
      </c>
      <c r="AU141" s="19"/>
      <c r="AV141" s="19"/>
      <c r="AW141" s="19"/>
      <c r="AX141" s="19">
        <f t="shared" ref="AX141" si="1154">AX119</f>
        <v>8800</v>
      </c>
      <c r="AY141" s="19">
        <f t="shared" ref="AY141" si="1155">AY119</f>
        <v>3800</v>
      </c>
      <c r="AZ141" s="19">
        <f t="shared" si="1090"/>
        <v>1200</v>
      </c>
      <c r="BA141" s="19">
        <f t="shared" si="1091"/>
        <v>700</v>
      </c>
      <c r="BB141" s="19">
        <f t="shared" si="1092"/>
        <v>0</v>
      </c>
      <c r="BC141" s="19">
        <f t="shared" si="1093"/>
        <v>0</v>
      </c>
      <c r="BD141" s="19">
        <f t="shared" si="1094"/>
        <v>0</v>
      </c>
      <c r="BE141" s="19">
        <f t="shared" si="1095"/>
        <v>0</v>
      </c>
      <c r="BF141" s="19">
        <f t="shared" si="1096"/>
        <v>0</v>
      </c>
      <c r="BG141" s="19">
        <f t="shared" si="1097"/>
        <v>0</v>
      </c>
      <c r="BH141" s="19">
        <f t="shared" si="1098"/>
        <v>0</v>
      </c>
      <c r="BI141" s="19">
        <f t="shared" si="1099"/>
        <v>0</v>
      </c>
      <c r="BJ141" s="19">
        <f t="shared" si="1100"/>
        <v>0</v>
      </c>
      <c r="BK141" s="19">
        <f t="shared" si="1101"/>
        <v>0</v>
      </c>
      <c r="BL141" s="19">
        <f t="shared" si="1102"/>
        <v>0</v>
      </c>
      <c r="BM141" s="19">
        <f t="shared" si="1103"/>
        <v>0</v>
      </c>
      <c r="BN141" s="19">
        <f t="shared" si="1104"/>
        <v>0</v>
      </c>
      <c r="BO141" s="20">
        <f t="shared" si="1105"/>
        <v>0</v>
      </c>
      <c r="BP141" s="19">
        <f t="shared" si="1106"/>
        <v>0</v>
      </c>
      <c r="BQ141" s="19">
        <f t="shared" si="1107"/>
        <v>0</v>
      </c>
      <c r="BR141" s="19">
        <f t="shared" si="1108"/>
        <v>0</v>
      </c>
      <c r="BS141" s="19">
        <f t="shared" si="1109"/>
        <v>0</v>
      </c>
      <c r="BT141" s="19">
        <f t="shared" si="1110"/>
        <v>0</v>
      </c>
    </row>
    <row r="142" spans="1:72" ht="12" customHeight="1" outlineLevel="1">
      <c r="A142" s="91" t="s">
        <v>1060</v>
      </c>
      <c r="B142" s="1" t="s">
        <v>182</v>
      </c>
      <c r="D142" s="21">
        <f>13900+3100</f>
        <v>17000</v>
      </c>
      <c r="E142" s="21">
        <f>15500+4100</f>
        <v>19600</v>
      </c>
      <c r="F142" s="21">
        <f>26500+4700</f>
        <v>31200</v>
      </c>
      <c r="G142" s="21">
        <f>26600+5000</f>
        <v>31600</v>
      </c>
      <c r="H142" s="21">
        <f>28600+5900</f>
        <v>34500</v>
      </c>
      <c r="I142" s="21">
        <f>29000+4900</f>
        <v>33900</v>
      </c>
      <c r="J142" s="21">
        <f>30800+5400</f>
        <v>36200</v>
      </c>
      <c r="K142" s="21">
        <f>31000+5200</f>
        <v>36200</v>
      </c>
      <c r="L142" s="21">
        <f>33100+4900</f>
        <v>38000</v>
      </c>
      <c r="M142" s="21">
        <f>33300+3600</f>
        <v>36900</v>
      </c>
      <c r="N142" s="21">
        <f>35300+3500</f>
        <v>38800</v>
      </c>
      <c r="O142" s="21">
        <v>39700</v>
      </c>
      <c r="P142" s="21">
        <v>42800</v>
      </c>
      <c r="Q142" s="21">
        <v>43600</v>
      </c>
      <c r="R142" s="21">
        <v>46100</v>
      </c>
      <c r="S142" s="21">
        <v>47800</v>
      </c>
      <c r="T142" s="21">
        <v>49400</v>
      </c>
      <c r="U142" s="21">
        <v>48100</v>
      </c>
      <c r="V142" s="21">
        <v>52300</v>
      </c>
      <c r="W142" s="21">
        <v>56000</v>
      </c>
      <c r="X142" s="21">
        <v>58800</v>
      </c>
      <c r="Y142" s="21">
        <v>67100</v>
      </c>
      <c r="Z142" s="21">
        <v>77100</v>
      </c>
      <c r="AA142" s="21">
        <v>84000</v>
      </c>
      <c r="AB142" s="21">
        <v>91500</v>
      </c>
      <c r="AC142" s="21">
        <v>101500</v>
      </c>
      <c r="AD142" s="21">
        <v>122000</v>
      </c>
      <c r="AE142" s="21">
        <v>134500</v>
      </c>
      <c r="AF142" s="21">
        <v>135800</v>
      </c>
      <c r="AG142" s="21">
        <v>148300</v>
      </c>
      <c r="AH142" s="21">
        <v>158300</v>
      </c>
      <c r="AI142" s="21">
        <v>177700</v>
      </c>
      <c r="AJ142" s="24">
        <v>198800</v>
      </c>
      <c r="AK142" s="19">
        <f t="shared" ref="AK142" si="1156">AJ142/(AJ$115+AJ$116)*(AK$115+AK$116)</f>
        <v>215556.88750000004</v>
      </c>
      <c r="AL142" s="19">
        <f t="shared" ref="AL142" si="1157">AK142/(AK$115+AK$116)*(AL$115+AL$116)</f>
        <v>231725.48675000004</v>
      </c>
      <c r="AM142" s="19">
        <f t="shared" ref="AM142" si="1158">AL142/(AL$115+AL$116)*(AM$115+AM$116)</f>
        <v>247762.69530812502</v>
      </c>
      <c r="AN142" s="19">
        <f t="shared" ref="AN142" si="1159">AM142/(AM$115+AM$116)*(AN$115+AN$116)</f>
        <v>261672.91724292506</v>
      </c>
      <c r="AO142" s="19">
        <f t="shared" ref="AO142" si="1160">AN142/(AN$115+AN$116)*(AO$115+AO$116)</f>
        <v>275068.97107727529</v>
      </c>
      <c r="AP142" s="19">
        <f t="shared" ref="AP142" si="1161">AO142/(AO$115+AO$116)*(AP$115+AP$116)</f>
        <v>287775.14372812607</v>
      </c>
      <c r="AQ142" s="19">
        <f t="shared" ref="AQ142" si="1162">AP142/(AP$115+AP$116)*(AQ$115+AQ$116)</f>
        <v>300819.94972640387</v>
      </c>
      <c r="AR142" s="19">
        <f t="shared" ref="AR142" si="1163">AQ142/(AQ$115+AQ$116)*(AR$115+AR$116)</f>
        <v>314205.90588558564</v>
      </c>
      <c r="AS142" s="19">
        <f t="shared" ref="AS142" si="1164">AR142/(AR$115+AR$116)*(AS$115+AS$116)</f>
        <v>328236.01373442874</v>
      </c>
      <c r="AU142" s="21"/>
      <c r="AV142" s="21"/>
      <c r="AW142" s="21"/>
      <c r="AX142" s="21">
        <f>6600+6600</f>
        <v>13200</v>
      </c>
      <c r="AY142" s="21">
        <f>13400+5200</f>
        <v>18600</v>
      </c>
      <c r="AZ142" s="19">
        <f t="shared" si="1090"/>
        <v>19600</v>
      </c>
      <c r="BA142" s="19">
        <f t="shared" si="1091"/>
        <v>31600</v>
      </c>
      <c r="BB142" s="19">
        <f t="shared" si="1092"/>
        <v>33900</v>
      </c>
      <c r="BC142" s="19">
        <f t="shared" si="1093"/>
        <v>36200</v>
      </c>
      <c r="BD142" s="19">
        <f t="shared" si="1094"/>
        <v>36900</v>
      </c>
      <c r="BE142" s="19">
        <f t="shared" si="1095"/>
        <v>39700</v>
      </c>
      <c r="BF142" s="19">
        <f t="shared" si="1096"/>
        <v>43600</v>
      </c>
      <c r="BG142" s="19">
        <f t="shared" si="1097"/>
        <v>47800</v>
      </c>
      <c r="BH142" s="19">
        <f t="shared" si="1098"/>
        <v>48100</v>
      </c>
      <c r="BI142" s="19">
        <f t="shared" si="1099"/>
        <v>56000</v>
      </c>
      <c r="BJ142" s="19">
        <f t="shared" si="1100"/>
        <v>67100</v>
      </c>
      <c r="BK142" s="19">
        <f t="shared" si="1101"/>
        <v>84000</v>
      </c>
      <c r="BL142" s="19">
        <f t="shared" si="1102"/>
        <v>101500</v>
      </c>
      <c r="BM142" s="19">
        <f t="shared" si="1103"/>
        <v>134500</v>
      </c>
      <c r="BN142" s="19">
        <f t="shared" si="1104"/>
        <v>148300</v>
      </c>
      <c r="BO142" s="20">
        <f t="shared" si="1105"/>
        <v>177700</v>
      </c>
      <c r="BP142" s="19">
        <f t="shared" si="1106"/>
        <v>215556.88750000004</v>
      </c>
      <c r="BQ142" s="19">
        <f t="shared" si="1107"/>
        <v>247762.69530812502</v>
      </c>
      <c r="BR142" s="19">
        <f t="shared" si="1108"/>
        <v>275068.97107727529</v>
      </c>
      <c r="BS142" s="19">
        <f t="shared" si="1109"/>
        <v>300819.94972640387</v>
      </c>
      <c r="BT142" s="19">
        <f t="shared" si="1110"/>
        <v>328236.01373442874</v>
      </c>
    </row>
    <row r="143" spans="1:72" ht="12" customHeight="1" outlineLevel="1">
      <c r="A143" s="91" t="s">
        <v>1066</v>
      </c>
      <c r="B143" s="1" t="s">
        <v>183</v>
      </c>
      <c r="D143" s="19">
        <f t="shared" ref="D143:J143" si="1165">D154-SUM(D134:D142)</f>
        <v>2080</v>
      </c>
      <c r="E143" s="19">
        <f t="shared" si="1165"/>
        <v>2031</v>
      </c>
      <c r="F143" s="19">
        <f t="shared" si="1165"/>
        <v>2607</v>
      </c>
      <c r="G143" s="19">
        <f t="shared" si="1165"/>
        <v>2868</v>
      </c>
      <c r="H143" s="19">
        <f t="shared" si="1165"/>
        <v>3636</v>
      </c>
      <c r="I143" s="19">
        <f t="shared" si="1165"/>
        <v>3268</v>
      </c>
      <c r="J143" s="19">
        <f t="shared" si="1165"/>
        <v>3001</v>
      </c>
      <c r="K143" s="19">
        <f>K154-SUM(K134:K142)</f>
        <v>2645</v>
      </c>
      <c r="L143" s="19">
        <f t="shared" ref="L143:M143" si="1166">L154-SUM(L134:L142)</f>
        <v>4181</v>
      </c>
      <c r="M143" s="19">
        <f t="shared" si="1166"/>
        <v>3486</v>
      </c>
      <c r="N143" s="59">
        <f t="shared" ref="N143:O143" si="1167">N154-SUM(N134:N142)</f>
        <v>3584</v>
      </c>
      <c r="O143" s="59">
        <f t="shared" si="1167"/>
        <v>4404</v>
      </c>
      <c r="P143" s="59">
        <f t="shared" ref="P143:Q143" si="1168">P154-SUM(P134:P142)</f>
        <v>5783</v>
      </c>
      <c r="Q143" s="59">
        <f t="shared" si="1168"/>
        <v>5193</v>
      </c>
      <c r="R143" s="59">
        <f t="shared" ref="R143:U143" si="1169">R154-SUM(R134:R142)</f>
        <v>5088</v>
      </c>
      <c r="S143" s="59">
        <f t="shared" si="1169"/>
        <v>5746</v>
      </c>
      <c r="T143" s="59">
        <f t="shared" ref="T143" si="1170">T154-SUM(T134:T142)</f>
        <v>5352</v>
      </c>
      <c r="U143" s="59">
        <f t="shared" si="1169"/>
        <v>5352</v>
      </c>
      <c r="V143" s="59">
        <f t="shared" ref="V143:W143" si="1171">V154-SUM(V134:V142)</f>
        <v>5849</v>
      </c>
      <c r="W143" s="59">
        <f t="shared" si="1171"/>
        <v>6948</v>
      </c>
      <c r="X143" s="59">
        <f t="shared" ref="X143:Y143" si="1172">X154-SUM(X134:X142)</f>
        <v>7192</v>
      </c>
      <c r="Y143" s="59">
        <f t="shared" si="1172"/>
        <v>7446</v>
      </c>
      <c r="Z143" s="59">
        <f t="shared" ref="Z143:AA143" si="1173">Z154-SUM(Z134:Z142)</f>
        <v>8392</v>
      </c>
      <c r="AA143" s="59">
        <f t="shared" si="1173"/>
        <v>9452</v>
      </c>
      <c r="AB143" s="59">
        <f t="shared" ref="AB143:AC143" si="1174">AB154-SUM(AB134:AB142)</f>
        <v>10036</v>
      </c>
      <c r="AC143" s="59">
        <f t="shared" si="1174"/>
        <v>9539</v>
      </c>
      <c r="AD143" s="59">
        <f t="shared" ref="AD143:AE143" si="1175">AD154-SUM(AD134:AD142)</f>
        <v>11463</v>
      </c>
      <c r="AE143" s="59">
        <f t="shared" si="1175"/>
        <v>12945</v>
      </c>
      <c r="AF143" s="59">
        <f t="shared" ref="AF143:AG143" si="1176">AF154-SUM(AF134:AF142)</f>
        <v>12849</v>
      </c>
      <c r="AG143" s="59">
        <f t="shared" si="1176"/>
        <v>14119</v>
      </c>
      <c r="AH143" s="59">
        <f t="shared" ref="AH143:AI143" si="1177">AH154-SUM(AH134:AH142)</f>
        <v>16201</v>
      </c>
      <c r="AI143" s="59">
        <f t="shared" si="1177"/>
        <v>20244</v>
      </c>
      <c r="AJ143" s="60">
        <f t="shared" ref="AJ143" si="1178">AJ154-SUM(AJ134:AJ142)</f>
        <v>24039</v>
      </c>
      <c r="AK143" s="58">
        <f t="shared" ref="AK143" si="1179">AJ143</f>
        <v>24039</v>
      </c>
      <c r="AL143" s="58">
        <f t="shared" ref="AL143" si="1180">AK143</f>
        <v>24039</v>
      </c>
      <c r="AM143" s="58">
        <f t="shared" ref="AM143" si="1181">AL143</f>
        <v>24039</v>
      </c>
      <c r="AN143" s="58">
        <f t="shared" ref="AN143" si="1182">AM143</f>
        <v>24039</v>
      </c>
      <c r="AO143" s="58">
        <f t="shared" ref="AO143" si="1183">AN143</f>
        <v>24039</v>
      </c>
      <c r="AP143" s="58">
        <f t="shared" ref="AP143" si="1184">AO143</f>
        <v>24039</v>
      </c>
      <c r="AQ143" s="58">
        <f t="shared" ref="AQ143" si="1185">AP143</f>
        <v>24039</v>
      </c>
      <c r="AR143" s="58">
        <f t="shared" ref="AR143" si="1186">AQ143</f>
        <v>24039</v>
      </c>
      <c r="AS143" s="58">
        <f t="shared" ref="AS143" si="1187">AR143</f>
        <v>24039</v>
      </c>
      <c r="AU143" s="19"/>
      <c r="AV143" s="19"/>
      <c r="AW143" s="19"/>
      <c r="AX143" s="19">
        <f t="shared" ref="AX143" si="1188">AX154-SUM(AX134:AX142)</f>
        <v>2239</v>
      </c>
      <c r="AY143" s="19">
        <f t="shared" ref="AY143" si="1189">AY154-SUM(AY134:AY142)</f>
        <v>2540</v>
      </c>
      <c r="AZ143" s="19">
        <f t="shared" si="1090"/>
        <v>2031</v>
      </c>
      <c r="BA143" s="19">
        <f t="shared" si="1091"/>
        <v>2868</v>
      </c>
      <c r="BB143" s="19">
        <f t="shared" si="1092"/>
        <v>3268</v>
      </c>
      <c r="BC143" s="19">
        <f t="shared" si="1093"/>
        <v>2645</v>
      </c>
      <c r="BD143" s="19">
        <f t="shared" si="1094"/>
        <v>3486</v>
      </c>
      <c r="BE143" s="19">
        <f t="shared" si="1095"/>
        <v>4404</v>
      </c>
      <c r="BF143" s="19">
        <f t="shared" si="1096"/>
        <v>5193</v>
      </c>
      <c r="BG143" s="19">
        <f t="shared" si="1097"/>
        <v>5746</v>
      </c>
      <c r="BH143" s="19">
        <f t="shared" si="1098"/>
        <v>5352</v>
      </c>
      <c r="BI143" s="19">
        <f t="shared" si="1099"/>
        <v>6948</v>
      </c>
      <c r="BJ143" s="19">
        <f t="shared" si="1100"/>
        <v>7446</v>
      </c>
      <c r="BK143" s="19">
        <f t="shared" si="1101"/>
        <v>9452</v>
      </c>
      <c r="BL143" s="19">
        <f t="shared" si="1102"/>
        <v>9539</v>
      </c>
      <c r="BM143" s="19">
        <f t="shared" si="1103"/>
        <v>12945</v>
      </c>
      <c r="BN143" s="19">
        <f t="shared" si="1104"/>
        <v>14119</v>
      </c>
      <c r="BO143" s="20">
        <f t="shared" si="1105"/>
        <v>20244</v>
      </c>
      <c r="BP143" s="19">
        <f t="shared" si="1106"/>
        <v>24039</v>
      </c>
      <c r="BQ143" s="19">
        <f t="shared" si="1107"/>
        <v>24039</v>
      </c>
      <c r="BR143" s="19">
        <f t="shared" si="1108"/>
        <v>24039</v>
      </c>
      <c r="BS143" s="19">
        <f t="shared" si="1109"/>
        <v>24039</v>
      </c>
      <c r="BT143" s="19">
        <f t="shared" si="1110"/>
        <v>24039</v>
      </c>
    </row>
    <row r="144" spans="1:72" ht="12" hidden="1" customHeight="1" outlineLevel="2">
      <c r="B144" s="1" t="s">
        <v>173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20"/>
      <c r="AK144" s="19"/>
      <c r="AL144" s="19"/>
      <c r="AM144" s="19"/>
      <c r="AN144" s="19"/>
      <c r="AO144" s="19"/>
      <c r="AP144" s="19"/>
      <c r="AQ144" s="19"/>
      <c r="AR144" s="19"/>
      <c r="AS144" s="19"/>
      <c r="AU144" s="21"/>
      <c r="AV144" s="21"/>
      <c r="AW144" s="21"/>
      <c r="AX144" s="21"/>
      <c r="AY144" s="21"/>
      <c r="AZ144" s="19">
        <f t="shared" si="1090"/>
        <v>0</v>
      </c>
      <c r="BA144" s="19">
        <f t="shared" si="1091"/>
        <v>0</v>
      </c>
      <c r="BB144" s="19">
        <f t="shared" si="1092"/>
        <v>0</v>
      </c>
      <c r="BC144" s="19">
        <f t="shared" si="1093"/>
        <v>0</v>
      </c>
      <c r="BD144" s="19">
        <f t="shared" si="1094"/>
        <v>0</v>
      </c>
      <c r="BE144" s="19">
        <f t="shared" si="1095"/>
        <v>0</v>
      </c>
      <c r="BF144" s="19">
        <f t="shared" si="1096"/>
        <v>0</v>
      </c>
      <c r="BG144" s="19">
        <f t="shared" si="1097"/>
        <v>0</v>
      </c>
      <c r="BH144" s="19">
        <f t="shared" si="1098"/>
        <v>0</v>
      </c>
      <c r="BI144" s="19">
        <f t="shared" si="1099"/>
        <v>0</v>
      </c>
      <c r="BJ144" s="19">
        <f t="shared" si="1100"/>
        <v>0</v>
      </c>
      <c r="BK144" s="19">
        <f t="shared" si="1101"/>
        <v>0</v>
      </c>
      <c r="BL144" s="19">
        <f t="shared" si="1102"/>
        <v>0</v>
      </c>
      <c r="BM144" s="19">
        <f t="shared" si="1103"/>
        <v>0</v>
      </c>
      <c r="BN144" s="19">
        <f t="shared" si="1104"/>
        <v>0</v>
      </c>
      <c r="BO144" s="20">
        <f t="shared" si="1105"/>
        <v>0</v>
      </c>
      <c r="BP144" s="19">
        <f t="shared" si="1106"/>
        <v>0</v>
      </c>
      <c r="BQ144" s="19">
        <f t="shared" si="1107"/>
        <v>0</v>
      </c>
      <c r="BR144" s="19">
        <f t="shared" si="1108"/>
        <v>0</v>
      </c>
      <c r="BS144" s="19">
        <f t="shared" si="1109"/>
        <v>0</v>
      </c>
      <c r="BT144" s="19">
        <f t="shared" si="1110"/>
        <v>0</v>
      </c>
    </row>
    <row r="145" spans="1:72" ht="12" hidden="1" customHeight="1" outlineLevel="2">
      <c r="B145" s="1" t="s">
        <v>173</v>
      </c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20"/>
      <c r="AK145" s="19"/>
      <c r="AL145" s="19"/>
      <c r="AM145" s="19"/>
      <c r="AN145" s="19"/>
      <c r="AO145" s="19"/>
      <c r="AP145" s="19"/>
      <c r="AQ145" s="19"/>
      <c r="AR145" s="19"/>
      <c r="AS145" s="19"/>
      <c r="AU145" s="21"/>
      <c r="AV145" s="21"/>
      <c r="AW145" s="21"/>
      <c r="AX145" s="21"/>
      <c r="AY145" s="21"/>
      <c r="AZ145" s="19">
        <f t="shared" si="1090"/>
        <v>0</v>
      </c>
      <c r="BA145" s="19">
        <f t="shared" si="1091"/>
        <v>0</v>
      </c>
      <c r="BB145" s="19">
        <f t="shared" si="1092"/>
        <v>0</v>
      </c>
      <c r="BC145" s="19">
        <f t="shared" si="1093"/>
        <v>0</v>
      </c>
      <c r="BD145" s="19">
        <f t="shared" si="1094"/>
        <v>0</v>
      </c>
      <c r="BE145" s="19">
        <f t="shared" si="1095"/>
        <v>0</v>
      </c>
      <c r="BF145" s="19">
        <f t="shared" si="1096"/>
        <v>0</v>
      </c>
      <c r="BG145" s="19">
        <f t="shared" si="1097"/>
        <v>0</v>
      </c>
      <c r="BH145" s="19">
        <f t="shared" si="1098"/>
        <v>0</v>
      </c>
      <c r="BI145" s="19">
        <f t="shared" si="1099"/>
        <v>0</v>
      </c>
      <c r="BJ145" s="19">
        <f t="shared" si="1100"/>
        <v>0</v>
      </c>
      <c r="BK145" s="19">
        <f t="shared" si="1101"/>
        <v>0</v>
      </c>
      <c r="BL145" s="19">
        <f t="shared" si="1102"/>
        <v>0</v>
      </c>
      <c r="BM145" s="19">
        <f t="shared" si="1103"/>
        <v>0</v>
      </c>
      <c r="BN145" s="19">
        <f t="shared" si="1104"/>
        <v>0</v>
      </c>
      <c r="BO145" s="20">
        <f t="shared" si="1105"/>
        <v>0</v>
      </c>
      <c r="BP145" s="19">
        <f t="shared" si="1106"/>
        <v>0</v>
      </c>
      <c r="BQ145" s="19">
        <f t="shared" si="1107"/>
        <v>0</v>
      </c>
      <c r="BR145" s="19">
        <f t="shared" si="1108"/>
        <v>0</v>
      </c>
      <c r="BS145" s="19">
        <f t="shared" si="1109"/>
        <v>0</v>
      </c>
      <c r="BT145" s="19">
        <f t="shared" si="1110"/>
        <v>0</v>
      </c>
    </row>
    <row r="146" spans="1:72" ht="12" hidden="1" customHeight="1" outlineLevel="2">
      <c r="B146" s="1" t="s">
        <v>173</v>
      </c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K146" s="19"/>
      <c r="AL146" s="19"/>
      <c r="AM146" s="19"/>
      <c r="AN146" s="19"/>
      <c r="AO146" s="19"/>
      <c r="AP146" s="19"/>
      <c r="AQ146" s="19"/>
      <c r="AR146" s="19"/>
      <c r="AS146" s="19"/>
      <c r="AU146" s="21"/>
      <c r="AV146" s="21"/>
      <c r="AW146" s="21"/>
      <c r="AX146" s="21"/>
      <c r="AY146" s="21"/>
      <c r="AZ146" s="19">
        <f t="shared" si="1090"/>
        <v>0</v>
      </c>
      <c r="BA146" s="19">
        <f t="shared" si="1091"/>
        <v>0</v>
      </c>
      <c r="BB146" s="19">
        <f t="shared" si="1092"/>
        <v>0</v>
      </c>
      <c r="BC146" s="19">
        <f t="shared" si="1093"/>
        <v>0</v>
      </c>
      <c r="BD146" s="19">
        <f t="shared" si="1094"/>
        <v>0</v>
      </c>
      <c r="BE146" s="19">
        <f t="shared" si="1095"/>
        <v>0</v>
      </c>
      <c r="BF146" s="19">
        <f t="shared" si="1096"/>
        <v>0</v>
      </c>
      <c r="BG146" s="19">
        <f t="shared" si="1097"/>
        <v>0</v>
      </c>
      <c r="BH146" s="19">
        <f t="shared" si="1098"/>
        <v>0</v>
      </c>
      <c r="BI146" s="19">
        <f t="shared" si="1099"/>
        <v>0</v>
      </c>
      <c r="BJ146" s="19">
        <f t="shared" si="1100"/>
        <v>0</v>
      </c>
      <c r="BK146" s="19">
        <f t="shared" si="1101"/>
        <v>0</v>
      </c>
      <c r="BL146" s="19">
        <f t="shared" si="1102"/>
        <v>0</v>
      </c>
      <c r="BM146" s="19">
        <f t="shared" si="1103"/>
        <v>0</v>
      </c>
      <c r="BN146" s="19">
        <f t="shared" si="1104"/>
        <v>0</v>
      </c>
      <c r="BO146" s="20">
        <f t="shared" si="1105"/>
        <v>0</v>
      </c>
      <c r="BP146" s="19">
        <f t="shared" si="1106"/>
        <v>0</v>
      </c>
      <c r="BQ146" s="19">
        <f t="shared" si="1107"/>
        <v>0</v>
      </c>
      <c r="BR146" s="19">
        <f t="shared" si="1108"/>
        <v>0</v>
      </c>
      <c r="BS146" s="19">
        <f t="shared" si="1109"/>
        <v>0</v>
      </c>
      <c r="BT146" s="19">
        <f t="shared" si="1110"/>
        <v>0</v>
      </c>
    </row>
    <row r="147" spans="1:72" ht="12" hidden="1" customHeight="1" outlineLevel="2">
      <c r="B147" s="1" t="s">
        <v>173</v>
      </c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20"/>
      <c r="AK147" s="19"/>
      <c r="AL147" s="19"/>
      <c r="AM147" s="19"/>
      <c r="AN147" s="19"/>
      <c r="AO147" s="19"/>
      <c r="AP147" s="19"/>
      <c r="AQ147" s="19"/>
      <c r="AR147" s="19"/>
      <c r="AS147" s="19"/>
      <c r="AU147" s="21"/>
      <c r="AV147" s="21"/>
      <c r="AW147" s="21"/>
      <c r="AX147" s="21"/>
      <c r="AY147" s="21"/>
      <c r="AZ147" s="19">
        <f t="shared" si="1090"/>
        <v>0</v>
      </c>
      <c r="BA147" s="19">
        <f t="shared" si="1091"/>
        <v>0</v>
      </c>
      <c r="BB147" s="19">
        <f t="shared" si="1092"/>
        <v>0</v>
      </c>
      <c r="BC147" s="19">
        <f t="shared" si="1093"/>
        <v>0</v>
      </c>
      <c r="BD147" s="19">
        <f t="shared" si="1094"/>
        <v>0</v>
      </c>
      <c r="BE147" s="19">
        <f t="shared" si="1095"/>
        <v>0</v>
      </c>
      <c r="BF147" s="19">
        <f t="shared" si="1096"/>
        <v>0</v>
      </c>
      <c r="BG147" s="19">
        <f t="shared" si="1097"/>
        <v>0</v>
      </c>
      <c r="BH147" s="19">
        <f t="shared" si="1098"/>
        <v>0</v>
      </c>
      <c r="BI147" s="19">
        <f t="shared" si="1099"/>
        <v>0</v>
      </c>
      <c r="BJ147" s="19">
        <f t="shared" si="1100"/>
        <v>0</v>
      </c>
      <c r="BK147" s="19">
        <f t="shared" si="1101"/>
        <v>0</v>
      </c>
      <c r="BL147" s="19">
        <f t="shared" si="1102"/>
        <v>0</v>
      </c>
      <c r="BM147" s="19">
        <f t="shared" si="1103"/>
        <v>0</v>
      </c>
      <c r="BN147" s="19">
        <f t="shared" si="1104"/>
        <v>0</v>
      </c>
      <c r="BO147" s="20">
        <f t="shared" si="1105"/>
        <v>0</v>
      </c>
      <c r="BP147" s="19">
        <f t="shared" si="1106"/>
        <v>0</v>
      </c>
      <c r="BQ147" s="19">
        <f t="shared" si="1107"/>
        <v>0</v>
      </c>
      <c r="BR147" s="19">
        <f t="shared" si="1108"/>
        <v>0</v>
      </c>
      <c r="BS147" s="19">
        <f t="shared" si="1109"/>
        <v>0</v>
      </c>
      <c r="BT147" s="19">
        <f t="shared" si="1110"/>
        <v>0</v>
      </c>
    </row>
    <row r="148" spans="1:72" ht="12" hidden="1" customHeight="1" outlineLevel="2">
      <c r="B148" s="1" t="s">
        <v>173</v>
      </c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20"/>
      <c r="AK148" s="19"/>
      <c r="AL148" s="19"/>
      <c r="AM148" s="19"/>
      <c r="AN148" s="19"/>
      <c r="AO148" s="19"/>
      <c r="AP148" s="19"/>
      <c r="AQ148" s="19"/>
      <c r="AR148" s="19"/>
      <c r="AS148" s="19"/>
      <c r="AU148" s="21"/>
      <c r="AV148" s="21"/>
      <c r="AW148" s="21"/>
      <c r="AX148" s="21"/>
      <c r="AY148" s="21"/>
      <c r="AZ148" s="19">
        <f t="shared" si="1090"/>
        <v>0</v>
      </c>
      <c r="BA148" s="19">
        <f t="shared" si="1091"/>
        <v>0</v>
      </c>
      <c r="BB148" s="19">
        <f t="shared" si="1092"/>
        <v>0</v>
      </c>
      <c r="BC148" s="19">
        <f t="shared" si="1093"/>
        <v>0</v>
      </c>
      <c r="BD148" s="19">
        <f t="shared" si="1094"/>
        <v>0</v>
      </c>
      <c r="BE148" s="19">
        <f t="shared" si="1095"/>
        <v>0</v>
      </c>
      <c r="BF148" s="19">
        <f t="shared" si="1096"/>
        <v>0</v>
      </c>
      <c r="BG148" s="19">
        <f t="shared" si="1097"/>
        <v>0</v>
      </c>
      <c r="BH148" s="19">
        <f t="shared" si="1098"/>
        <v>0</v>
      </c>
      <c r="BI148" s="19">
        <f t="shared" si="1099"/>
        <v>0</v>
      </c>
      <c r="BJ148" s="19">
        <f t="shared" si="1100"/>
        <v>0</v>
      </c>
      <c r="BK148" s="19">
        <f t="shared" si="1101"/>
        <v>0</v>
      </c>
      <c r="BL148" s="19">
        <f t="shared" si="1102"/>
        <v>0</v>
      </c>
      <c r="BM148" s="19">
        <f t="shared" si="1103"/>
        <v>0</v>
      </c>
      <c r="BN148" s="19">
        <f t="shared" si="1104"/>
        <v>0</v>
      </c>
      <c r="BO148" s="20">
        <f t="shared" si="1105"/>
        <v>0</v>
      </c>
      <c r="BP148" s="19">
        <f t="shared" si="1106"/>
        <v>0</v>
      </c>
      <c r="BQ148" s="19">
        <f t="shared" si="1107"/>
        <v>0</v>
      </c>
      <c r="BR148" s="19">
        <f t="shared" si="1108"/>
        <v>0</v>
      </c>
      <c r="BS148" s="19">
        <f t="shared" si="1109"/>
        <v>0</v>
      </c>
      <c r="BT148" s="19">
        <f t="shared" si="1110"/>
        <v>0</v>
      </c>
    </row>
    <row r="149" spans="1:72" ht="12" hidden="1" customHeight="1" outlineLevel="2">
      <c r="B149" s="1" t="s">
        <v>173</v>
      </c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20"/>
      <c r="AK149" s="19"/>
      <c r="AL149" s="19"/>
      <c r="AM149" s="19"/>
      <c r="AN149" s="19"/>
      <c r="AO149" s="19"/>
      <c r="AP149" s="19"/>
      <c r="AQ149" s="19"/>
      <c r="AR149" s="19"/>
      <c r="AS149" s="19"/>
      <c r="AU149" s="21"/>
      <c r="AV149" s="21"/>
      <c r="AW149" s="21"/>
      <c r="AX149" s="21"/>
      <c r="AY149" s="21"/>
      <c r="AZ149" s="19">
        <f t="shared" si="1090"/>
        <v>0</v>
      </c>
      <c r="BA149" s="19">
        <f t="shared" si="1091"/>
        <v>0</v>
      </c>
      <c r="BB149" s="19">
        <f t="shared" si="1092"/>
        <v>0</v>
      </c>
      <c r="BC149" s="19">
        <f t="shared" si="1093"/>
        <v>0</v>
      </c>
      <c r="BD149" s="19">
        <f t="shared" si="1094"/>
        <v>0</v>
      </c>
      <c r="BE149" s="19">
        <f t="shared" si="1095"/>
        <v>0</v>
      </c>
      <c r="BF149" s="19">
        <f t="shared" si="1096"/>
        <v>0</v>
      </c>
      <c r="BG149" s="19">
        <f t="shared" si="1097"/>
        <v>0</v>
      </c>
      <c r="BH149" s="19">
        <f t="shared" si="1098"/>
        <v>0</v>
      </c>
      <c r="BI149" s="19">
        <f t="shared" si="1099"/>
        <v>0</v>
      </c>
      <c r="BJ149" s="19">
        <f t="shared" si="1100"/>
        <v>0</v>
      </c>
      <c r="BK149" s="19">
        <f t="shared" si="1101"/>
        <v>0</v>
      </c>
      <c r="BL149" s="19">
        <f t="shared" si="1102"/>
        <v>0</v>
      </c>
      <c r="BM149" s="19">
        <f t="shared" si="1103"/>
        <v>0</v>
      </c>
      <c r="BN149" s="19">
        <f t="shared" si="1104"/>
        <v>0</v>
      </c>
      <c r="BO149" s="20">
        <f t="shared" si="1105"/>
        <v>0</v>
      </c>
      <c r="BP149" s="19">
        <f t="shared" si="1106"/>
        <v>0</v>
      </c>
      <c r="BQ149" s="19">
        <f t="shared" si="1107"/>
        <v>0</v>
      </c>
      <c r="BR149" s="19">
        <f t="shared" si="1108"/>
        <v>0</v>
      </c>
      <c r="BS149" s="19">
        <f t="shared" si="1109"/>
        <v>0</v>
      </c>
      <c r="BT149" s="19">
        <f t="shared" si="1110"/>
        <v>0</v>
      </c>
    </row>
    <row r="150" spans="1:72" ht="12" hidden="1" customHeight="1" outlineLevel="2">
      <c r="B150" s="1" t="s">
        <v>173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20"/>
      <c r="AK150" s="19"/>
      <c r="AL150" s="19"/>
      <c r="AM150" s="19"/>
      <c r="AN150" s="19"/>
      <c r="AO150" s="19"/>
      <c r="AP150" s="19"/>
      <c r="AQ150" s="19"/>
      <c r="AR150" s="19"/>
      <c r="AS150" s="19"/>
      <c r="AU150" s="21"/>
      <c r="AV150" s="21"/>
      <c r="AW150" s="21"/>
      <c r="AX150" s="21"/>
      <c r="AY150" s="21"/>
      <c r="AZ150" s="19">
        <f t="shared" si="1090"/>
        <v>0</v>
      </c>
      <c r="BA150" s="19">
        <f t="shared" si="1091"/>
        <v>0</v>
      </c>
      <c r="BB150" s="19">
        <f t="shared" si="1092"/>
        <v>0</v>
      </c>
      <c r="BC150" s="19">
        <f t="shared" si="1093"/>
        <v>0</v>
      </c>
      <c r="BD150" s="19">
        <f t="shared" si="1094"/>
        <v>0</v>
      </c>
      <c r="BE150" s="19">
        <f t="shared" si="1095"/>
        <v>0</v>
      </c>
      <c r="BF150" s="19">
        <f t="shared" si="1096"/>
        <v>0</v>
      </c>
      <c r="BG150" s="19">
        <f t="shared" si="1097"/>
        <v>0</v>
      </c>
      <c r="BH150" s="19">
        <f t="shared" si="1098"/>
        <v>0</v>
      </c>
      <c r="BI150" s="19">
        <f t="shared" si="1099"/>
        <v>0</v>
      </c>
      <c r="BJ150" s="19">
        <f t="shared" si="1100"/>
        <v>0</v>
      </c>
      <c r="BK150" s="19">
        <f t="shared" si="1101"/>
        <v>0</v>
      </c>
      <c r="BL150" s="19">
        <f t="shared" si="1102"/>
        <v>0</v>
      </c>
      <c r="BM150" s="19">
        <f t="shared" si="1103"/>
        <v>0</v>
      </c>
      <c r="BN150" s="19">
        <f t="shared" si="1104"/>
        <v>0</v>
      </c>
      <c r="BO150" s="20">
        <f t="shared" si="1105"/>
        <v>0</v>
      </c>
      <c r="BP150" s="19">
        <f t="shared" si="1106"/>
        <v>0</v>
      </c>
      <c r="BQ150" s="19">
        <f t="shared" si="1107"/>
        <v>0</v>
      </c>
      <c r="BR150" s="19">
        <f t="shared" si="1108"/>
        <v>0</v>
      </c>
      <c r="BS150" s="19">
        <f t="shared" si="1109"/>
        <v>0</v>
      </c>
      <c r="BT150" s="19">
        <f t="shared" si="1110"/>
        <v>0</v>
      </c>
    </row>
    <row r="151" spans="1:72" ht="12" hidden="1" customHeight="1" outlineLevel="2">
      <c r="B151" s="1" t="s">
        <v>173</v>
      </c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20"/>
      <c r="AK151" s="19"/>
      <c r="AL151" s="19"/>
      <c r="AM151" s="19"/>
      <c r="AN151" s="19"/>
      <c r="AO151" s="19"/>
      <c r="AP151" s="19"/>
      <c r="AQ151" s="19"/>
      <c r="AR151" s="19"/>
      <c r="AS151" s="19"/>
      <c r="AU151" s="21"/>
      <c r="AV151" s="21"/>
      <c r="AW151" s="21"/>
      <c r="AX151" s="21"/>
      <c r="AY151" s="21"/>
      <c r="AZ151" s="19">
        <f t="shared" si="1090"/>
        <v>0</v>
      </c>
      <c r="BA151" s="19">
        <f t="shared" si="1091"/>
        <v>0</v>
      </c>
      <c r="BB151" s="19">
        <f t="shared" si="1092"/>
        <v>0</v>
      </c>
      <c r="BC151" s="19">
        <f t="shared" si="1093"/>
        <v>0</v>
      </c>
      <c r="BD151" s="19">
        <f t="shared" si="1094"/>
        <v>0</v>
      </c>
      <c r="BE151" s="19">
        <f t="shared" si="1095"/>
        <v>0</v>
      </c>
      <c r="BF151" s="19">
        <f t="shared" si="1096"/>
        <v>0</v>
      </c>
      <c r="BG151" s="19">
        <f t="shared" si="1097"/>
        <v>0</v>
      </c>
      <c r="BH151" s="19">
        <f t="shared" si="1098"/>
        <v>0</v>
      </c>
      <c r="BI151" s="19">
        <f t="shared" si="1099"/>
        <v>0</v>
      </c>
      <c r="BJ151" s="19">
        <f t="shared" si="1100"/>
        <v>0</v>
      </c>
      <c r="BK151" s="19">
        <f t="shared" si="1101"/>
        <v>0</v>
      </c>
      <c r="BL151" s="19">
        <f t="shared" si="1102"/>
        <v>0</v>
      </c>
      <c r="BM151" s="19">
        <f t="shared" si="1103"/>
        <v>0</v>
      </c>
      <c r="BN151" s="19">
        <f t="shared" si="1104"/>
        <v>0</v>
      </c>
      <c r="BO151" s="20">
        <f t="shared" si="1105"/>
        <v>0</v>
      </c>
      <c r="BP151" s="19">
        <f t="shared" si="1106"/>
        <v>0</v>
      </c>
      <c r="BQ151" s="19">
        <f t="shared" si="1107"/>
        <v>0</v>
      </c>
      <c r="BR151" s="19">
        <f t="shared" si="1108"/>
        <v>0</v>
      </c>
      <c r="BS151" s="19">
        <f t="shared" si="1109"/>
        <v>0</v>
      </c>
      <c r="BT151" s="19">
        <f t="shared" si="1110"/>
        <v>0</v>
      </c>
    </row>
    <row r="152" spans="1:72" ht="12" hidden="1" customHeight="1" outlineLevel="2">
      <c r="B152" s="1" t="s">
        <v>173</v>
      </c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20"/>
      <c r="AK152" s="19"/>
      <c r="AL152" s="19"/>
      <c r="AM152" s="19"/>
      <c r="AN152" s="19"/>
      <c r="AO152" s="19"/>
      <c r="AP152" s="19"/>
      <c r="AQ152" s="19"/>
      <c r="AR152" s="19"/>
      <c r="AS152" s="19"/>
      <c r="AU152" s="21"/>
      <c r="AV152" s="21"/>
      <c r="AW152" s="21"/>
      <c r="AX152" s="21"/>
      <c r="AY152" s="21"/>
      <c r="AZ152" s="19">
        <f t="shared" si="1090"/>
        <v>0</v>
      </c>
      <c r="BA152" s="19">
        <f t="shared" si="1091"/>
        <v>0</v>
      </c>
      <c r="BB152" s="19">
        <f t="shared" si="1092"/>
        <v>0</v>
      </c>
      <c r="BC152" s="19">
        <f t="shared" si="1093"/>
        <v>0</v>
      </c>
      <c r="BD152" s="19">
        <f t="shared" si="1094"/>
        <v>0</v>
      </c>
      <c r="BE152" s="19">
        <f t="shared" si="1095"/>
        <v>0</v>
      </c>
      <c r="BF152" s="19">
        <f t="shared" si="1096"/>
        <v>0</v>
      </c>
      <c r="BG152" s="19">
        <f t="shared" si="1097"/>
        <v>0</v>
      </c>
      <c r="BH152" s="19">
        <f t="shared" si="1098"/>
        <v>0</v>
      </c>
      <c r="BI152" s="19">
        <f t="shared" si="1099"/>
        <v>0</v>
      </c>
      <c r="BJ152" s="19">
        <f t="shared" si="1100"/>
        <v>0</v>
      </c>
      <c r="BK152" s="19">
        <f t="shared" si="1101"/>
        <v>0</v>
      </c>
      <c r="BL152" s="19">
        <f t="shared" si="1102"/>
        <v>0</v>
      </c>
      <c r="BM152" s="19">
        <f t="shared" si="1103"/>
        <v>0</v>
      </c>
      <c r="BN152" s="19">
        <f t="shared" si="1104"/>
        <v>0</v>
      </c>
      <c r="BO152" s="20">
        <f t="shared" si="1105"/>
        <v>0</v>
      </c>
      <c r="BP152" s="19">
        <f t="shared" si="1106"/>
        <v>0</v>
      </c>
      <c r="BQ152" s="19">
        <f t="shared" si="1107"/>
        <v>0</v>
      </c>
      <c r="BR152" s="19">
        <f t="shared" si="1108"/>
        <v>0</v>
      </c>
      <c r="BS152" s="19">
        <f t="shared" si="1109"/>
        <v>0</v>
      </c>
      <c r="BT152" s="19">
        <f t="shared" si="1110"/>
        <v>0</v>
      </c>
    </row>
    <row r="153" spans="1:72" ht="12" hidden="1" customHeight="1" outlineLevel="2">
      <c r="B153" s="1" t="s">
        <v>173</v>
      </c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20"/>
      <c r="AK153" s="19"/>
      <c r="AL153" s="19"/>
      <c r="AM153" s="19"/>
      <c r="AN153" s="19"/>
      <c r="AO153" s="19"/>
      <c r="AP153" s="19"/>
      <c r="AQ153" s="19"/>
      <c r="AR153" s="19"/>
      <c r="AS153" s="19"/>
      <c r="AU153" s="21"/>
      <c r="AV153" s="21"/>
      <c r="AW153" s="21"/>
      <c r="AX153" s="21"/>
      <c r="AY153" s="21"/>
      <c r="AZ153" s="19">
        <f t="shared" si="1090"/>
        <v>0</v>
      </c>
      <c r="BA153" s="19">
        <f t="shared" si="1091"/>
        <v>0</v>
      </c>
      <c r="BB153" s="19">
        <f t="shared" si="1092"/>
        <v>0</v>
      </c>
      <c r="BC153" s="19">
        <f t="shared" si="1093"/>
        <v>0</v>
      </c>
      <c r="BD153" s="19">
        <f t="shared" si="1094"/>
        <v>0</v>
      </c>
      <c r="BE153" s="19">
        <f t="shared" si="1095"/>
        <v>0</v>
      </c>
      <c r="BF153" s="19">
        <f t="shared" si="1096"/>
        <v>0</v>
      </c>
      <c r="BG153" s="19">
        <f t="shared" si="1097"/>
        <v>0</v>
      </c>
      <c r="BH153" s="19">
        <f t="shared" si="1098"/>
        <v>0</v>
      </c>
      <c r="BI153" s="19">
        <f t="shared" si="1099"/>
        <v>0</v>
      </c>
      <c r="BJ153" s="19">
        <f t="shared" si="1100"/>
        <v>0</v>
      </c>
      <c r="BK153" s="19">
        <f t="shared" si="1101"/>
        <v>0</v>
      </c>
      <c r="BL153" s="19">
        <f t="shared" si="1102"/>
        <v>0</v>
      </c>
      <c r="BM153" s="19">
        <f t="shared" si="1103"/>
        <v>0</v>
      </c>
      <c r="BN153" s="19">
        <f t="shared" si="1104"/>
        <v>0</v>
      </c>
      <c r="BO153" s="20">
        <f t="shared" si="1105"/>
        <v>0</v>
      </c>
      <c r="BP153" s="19">
        <f t="shared" si="1106"/>
        <v>0</v>
      </c>
      <c r="BQ153" s="19">
        <f t="shared" si="1107"/>
        <v>0</v>
      </c>
      <c r="BR153" s="19">
        <f t="shared" si="1108"/>
        <v>0</v>
      </c>
      <c r="BS153" s="19">
        <f t="shared" si="1109"/>
        <v>0</v>
      </c>
      <c r="BT153" s="19">
        <f t="shared" si="1110"/>
        <v>0</v>
      </c>
    </row>
    <row r="154" spans="1:72" ht="12" customHeight="1" outlineLevel="1" collapsed="1">
      <c r="A154" s="91" t="s">
        <v>1058</v>
      </c>
      <c r="B154" s="9" t="s">
        <v>184</v>
      </c>
      <c r="D154" s="17">
        <f t="shared" ref="D154:M154" si="1190">D132-D162</f>
        <v>61780</v>
      </c>
      <c r="E154" s="17">
        <f t="shared" si="1190"/>
        <v>64331</v>
      </c>
      <c r="F154" s="17">
        <f t="shared" si="1190"/>
        <v>74607</v>
      </c>
      <c r="G154" s="17">
        <f t="shared" si="1190"/>
        <v>76368</v>
      </c>
      <c r="H154" s="17">
        <f t="shared" si="1190"/>
        <v>79836</v>
      </c>
      <c r="I154" s="17">
        <f t="shared" si="1190"/>
        <v>74468</v>
      </c>
      <c r="J154" s="17">
        <f t="shared" si="1190"/>
        <v>76901</v>
      </c>
      <c r="K154" s="17">
        <f>K132-K162</f>
        <v>75645</v>
      </c>
      <c r="L154" s="17">
        <f t="shared" ref="L154" si="1191">L132-L162</f>
        <v>81081</v>
      </c>
      <c r="M154" s="17">
        <f t="shared" si="1190"/>
        <v>80686</v>
      </c>
      <c r="N154" s="17">
        <f t="shared" ref="N154:O154" si="1192">N132-N162</f>
        <v>85684</v>
      </c>
      <c r="O154" s="17">
        <f t="shared" si="1192"/>
        <v>98804</v>
      </c>
      <c r="P154" s="17">
        <f t="shared" ref="P154:Q154" si="1193">P132-P162</f>
        <v>108483</v>
      </c>
      <c r="Q154" s="17">
        <f t="shared" si="1193"/>
        <v>115293</v>
      </c>
      <c r="R154" s="17">
        <f t="shared" ref="R154:S154" si="1194">R132-R162</f>
        <v>107088</v>
      </c>
      <c r="S154" s="17">
        <f t="shared" si="1194"/>
        <v>104846</v>
      </c>
      <c r="T154" s="17">
        <f t="shared" ref="T154" si="1195">T132-T162</f>
        <v>108152</v>
      </c>
      <c r="U154" s="17">
        <f t="shared" ref="U154:Z154" si="1196">U132-U162</f>
        <v>112052</v>
      </c>
      <c r="V154" s="17">
        <f t="shared" si="1196"/>
        <v>117449</v>
      </c>
      <c r="W154" s="17">
        <f t="shared" si="1196"/>
        <v>122348</v>
      </c>
      <c r="X154" s="17">
        <f t="shared" si="1196"/>
        <v>126392</v>
      </c>
      <c r="Y154" s="17">
        <f t="shared" si="1196"/>
        <v>140146</v>
      </c>
      <c r="Z154" s="17">
        <f t="shared" si="1196"/>
        <v>151992</v>
      </c>
      <c r="AA154" s="17">
        <f t="shared" ref="AA154:AB154" si="1197">AA132-AA162</f>
        <v>164352</v>
      </c>
      <c r="AB154" s="17">
        <f t="shared" si="1197"/>
        <v>200836</v>
      </c>
      <c r="AC154" s="17">
        <f t="shared" ref="AC154:AD154" si="1198">AC132-AC162</f>
        <v>237339</v>
      </c>
      <c r="AD154" s="17">
        <f t="shared" si="1198"/>
        <v>275163</v>
      </c>
      <c r="AE154" s="17">
        <f t="shared" ref="AE154:AF154" si="1199">AE132-AE162</f>
        <v>275845</v>
      </c>
      <c r="AF154" s="17">
        <f t="shared" si="1199"/>
        <v>284349</v>
      </c>
      <c r="AG154" s="17">
        <f t="shared" ref="AG154:AH154" si="1200">AG132-AG162</f>
        <v>296619</v>
      </c>
      <c r="AH154" s="17">
        <f t="shared" si="1200"/>
        <v>308501</v>
      </c>
      <c r="AI154" s="17">
        <f t="shared" ref="AI154:AJ154" si="1201">AI132-AI162</f>
        <v>332744</v>
      </c>
      <c r="AJ154" s="18">
        <f t="shared" si="1201"/>
        <v>366739</v>
      </c>
      <c r="AK154" s="17">
        <f t="shared" ref="AK154" si="1202">AK132-AK162</f>
        <v>391350.1067618673</v>
      </c>
      <c r="AL154" s="17">
        <f t="shared" ref="AL154:AM154" si="1203">AL132-AL162</f>
        <v>416137.9089076824</v>
      </c>
      <c r="AM154" s="17">
        <f t="shared" si="1203"/>
        <v>439655.14749034232</v>
      </c>
      <c r="AN154" s="17">
        <f t="shared" ref="AN154:AO154" si="1204">AN132-AN162</f>
        <v>459466.87442298146</v>
      </c>
      <c r="AO154" s="17">
        <f t="shared" si="1204"/>
        <v>477834.87050208193</v>
      </c>
      <c r="AP154" s="17">
        <f t="shared" ref="AP154:AQ154" si="1205">AP132-AP162</f>
        <v>495792.6822004448</v>
      </c>
      <c r="AQ154" s="17">
        <f t="shared" si="1205"/>
        <v>513168.10729064682</v>
      </c>
      <c r="AR154" s="17">
        <f t="shared" ref="AR154:AS154" si="1206">AR132-AR162</f>
        <v>531284.31116193742</v>
      </c>
      <c r="AS154" s="17">
        <f t="shared" si="1206"/>
        <v>549744.93875069299</v>
      </c>
      <c r="AU154" s="17"/>
      <c r="AV154" s="17"/>
      <c r="AW154" s="17"/>
      <c r="AX154" s="17">
        <f t="shared" ref="AX154" si="1207">AX132-AX162</f>
        <v>72439</v>
      </c>
      <c r="AY154" s="17">
        <f t="shared" ref="AY154" si="1208">AY132-AY162</f>
        <v>68840</v>
      </c>
      <c r="AZ154" s="17">
        <f t="shared" ref="AZ154" si="1209">AZ132-AZ162</f>
        <v>64331</v>
      </c>
      <c r="BA154" s="17">
        <f t="shared" ref="BA154" si="1210">BA132-BA162</f>
        <v>76368</v>
      </c>
      <c r="BB154" s="17">
        <f t="shared" ref="BB154" si="1211">BB132-BB162</f>
        <v>74468</v>
      </c>
      <c r="BC154" s="17">
        <f t="shared" ref="BC154:BD154" si="1212">BC132-BC162</f>
        <v>75645</v>
      </c>
      <c r="BD154" s="17">
        <f t="shared" si="1212"/>
        <v>80686</v>
      </c>
      <c r="BE154" s="17">
        <f t="shared" ref="BE154" si="1213">BE132-BE162</f>
        <v>98804</v>
      </c>
      <c r="BF154" s="17">
        <f t="shared" ref="BF154" si="1214">BF132-BF162</f>
        <v>115293</v>
      </c>
      <c r="BG154" s="17">
        <f t="shared" ref="BG154" si="1215">BG132-BG162</f>
        <v>104846</v>
      </c>
      <c r="BH154" s="17">
        <f t="shared" ref="BH154" si="1216">BH132-BH162</f>
        <v>112052</v>
      </c>
      <c r="BI154" s="17">
        <f t="shared" ref="BI154:BN154" si="1217">BI132-BI162</f>
        <v>122348</v>
      </c>
      <c r="BJ154" s="17">
        <f t="shared" si="1217"/>
        <v>140146</v>
      </c>
      <c r="BK154" s="17">
        <f t="shared" si="1217"/>
        <v>164352</v>
      </c>
      <c r="BL154" s="17">
        <f t="shared" si="1217"/>
        <v>237339</v>
      </c>
      <c r="BM154" s="17">
        <f t="shared" si="1217"/>
        <v>275845</v>
      </c>
      <c r="BN154" s="17">
        <f t="shared" si="1217"/>
        <v>296619</v>
      </c>
      <c r="BO154" s="18">
        <f t="shared" ref="BO154:BP154" si="1218">BO132-BO162</f>
        <v>332744</v>
      </c>
      <c r="BP154" s="17">
        <f t="shared" si="1218"/>
        <v>391350.1067618673</v>
      </c>
      <c r="BQ154" s="17">
        <f t="shared" ref="BQ154:BR154" si="1219">BQ132-BQ162</f>
        <v>439655.14749034232</v>
      </c>
      <c r="BR154" s="17">
        <f t="shared" si="1219"/>
        <v>477834.87050208193</v>
      </c>
      <c r="BS154" s="17">
        <f t="shared" ref="BS154" si="1220">BS132-BS162</f>
        <v>513168.10729064682</v>
      </c>
      <c r="BT154" s="17">
        <f t="shared" ref="BT154" si="1221">BT132-BT162</f>
        <v>549744.93875069299</v>
      </c>
    </row>
    <row r="155" spans="1:72" ht="12" customHeight="1" outlineLevel="1"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469"/>
      <c r="V155" s="19"/>
      <c r="W155" s="19"/>
      <c r="X155" s="469"/>
      <c r="Y155" s="469"/>
      <c r="Z155" s="469"/>
      <c r="AA155" s="469"/>
      <c r="AB155" s="469"/>
      <c r="AC155" s="469"/>
      <c r="AD155" s="469"/>
      <c r="AE155" s="469"/>
      <c r="AF155" s="469"/>
      <c r="AG155" s="469"/>
      <c r="AH155" s="469"/>
      <c r="AI155" s="469"/>
      <c r="AJ155" s="474"/>
      <c r="AK155" s="19"/>
      <c r="AL155" s="19"/>
      <c r="AM155" s="19"/>
      <c r="AN155" s="19"/>
      <c r="AO155" s="19"/>
      <c r="AP155" s="19"/>
      <c r="AQ155" s="19"/>
      <c r="AR155" s="19"/>
      <c r="AS155" s="19"/>
      <c r="AU155" s="19"/>
      <c r="AV155" s="19"/>
      <c r="AW155" s="19"/>
      <c r="AX155" s="19"/>
      <c r="AY155" s="19"/>
    </row>
    <row r="156" spans="1:72" ht="12" customHeight="1" outlineLevel="1">
      <c r="B156" s="1" t="s">
        <v>185</v>
      </c>
      <c r="D156" s="21">
        <v>6267</v>
      </c>
      <c r="E156" s="21">
        <v>6990</v>
      </c>
      <c r="F156" s="21">
        <v>7063</v>
      </c>
      <c r="G156" s="21">
        <v>7140</v>
      </c>
      <c r="H156" s="21">
        <v>7079</v>
      </c>
      <c r="I156" s="21">
        <v>7127</v>
      </c>
      <c r="J156" s="21">
        <v>6876</v>
      </c>
      <c r="K156" s="21">
        <v>6882</v>
      </c>
      <c r="L156" s="21">
        <v>6884</v>
      </c>
      <c r="M156" s="21">
        <v>6075</v>
      </c>
      <c r="N156" s="21">
        <v>6041</v>
      </c>
      <c r="O156" s="21">
        <v>6901</v>
      </c>
      <c r="P156" s="21">
        <v>6911</v>
      </c>
      <c r="Q156" s="21">
        <v>7446</v>
      </c>
      <c r="R156" s="21">
        <v>7444</v>
      </c>
      <c r="S156" s="21">
        <v>7467</v>
      </c>
      <c r="T156" s="21">
        <v>7485</v>
      </c>
      <c r="U156" s="21">
        <v>7498</v>
      </c>
      <c r="V156" s="21">
        <v>7550</v>
      </c>
      <c r="W156" s="21">
        <v>7546</v>
      </c>
      <c r="X156" s="21">
        <v>9282</v>
      </c>
      <c r="Y156" s="21">
        <v>9290</v>
      </c>
      <c r="Z156" s="21">
        <v>10136</v>
      </c>
      <c r="AA156" s="21">
        <v>10164</v>
      </c>
      <c r="AB156" s="21">
        <v>11290</v>
      </c>
      <c r="AC156" s="21">
        <v>14156</v>
      </c>
      <c r="AD156" s="21">
        <v>14741</v>
      </c>
      <c r="AE156" s="21">
        <f>12407-AE157</f>
        <v>14735</v>
      </c>
      <c r="AF156" s="21">
        <v>14812</v>
      </c>
      <c r="AG156" s="21">
        <f>11372-AG157</f>
        <v>14156</v>
      </c>
      <c r="AH156" s="21">
        <v>13887</v>
      </c>
      <c r="AI156" s="21">
        <v>13834</v>
      </c>
      <c r="AJ156" s="24">
        <v>13925</v>
      </c>
      <c r="AK156" s="19">
        <f t="shared" ref="AK156" si="1222">AJ156+AK97</f>
        <v>13598.841874510219</v>
      </c>
      <c r="AL156" s="19">
        <f t="shared" ref="AL156" si="1223">AK156+AL97</f>
        <v>13272.683749020438</v>
      </c>
      <c r="AM156" s="19">
        <f t="shared" ref="AM156" si="1224">AL156+AM97</f>
        <v>12946.525623530657</v>
      </c>
      <c r="AN156" s="19">
        <f t="shared" ref="AN156" si="1225">AM156+AN97</f>
        <v>12946.525623530657</v>
      </c>
      <c r="AO156" s="19">
        <f t="shared" ref="AO156" si="1226">AN156+AO97</f>
        <v>12946.525623530657</v>
      </c>
      <c r="AP156" s="19">
        <f t="shared" ref="AP156" si="1227">AO156+AP97</f>
        <v>12946.525623530657</v>
      </c>
      <c r="AQ156" s="19">
        <f t="shared" ref="AQ156" si="1228">AP156+AQ97</f>
        <v>12946.525623530657</v>
      </c>
      <c r="AR156" s="19">
        <f t="shared" ref="AR156" si="1229">AQ156+AR97</f>
        <v>12946.525623530657</v>
      </c>
      <c r="AS156" s="19">
        <f t="shared" ref="AS156" si="1230">AR156+AS97</f>
        <v>12946.525623530657</v>
      </c>
      <c r="AU156" s="21"/>
      <c r="AV156" s="21"/>
      <c r="AW156" s="21"/>
      <c r="AX156" s="21">
        <v>4534</v>
      </c>
      <c r="AY156" s="21">
        <v>4906</v>
      </c>
      <c r="AZ156" s="19">
        <f t="shared" ref="AZ156:AZ161" si="1231">E156</f>
        <v>6990</v>
      </c>
      <c r="BA156" s="19">
        <f t="shared" ref="BA156:BA161" si="1232">G156</f>
        <v>7140</v>
      </c>
      <c r="BB156" s="19">
        <f t="shared" ref="BB156:BB161" si="1233">I156</f>
        <v>7127</v>
      </c>
      <c r="BC156" s="19">
        <f t="shared" ref="BC156:BC161" si="1234">K156</f>
        <v>6882</v>
      </c>
      <c r="BD156" s="19">
        <f t="shared" ref="BD156:BD161" si="1235">M156</f>
        <v>6075</v>
      </c>
      <c r="BE156" s="19">
        <f t="shared" ref="BE156:BE161" si="1236">O156</f>
        <v>6901</v>
      </c>
      <c r="BF156" s="19">
        <f t="shared" ref="BF156:BF161" si="1237">Q156</f>
        <v>7446</v>
      </c>
      <c r="BG156" s="19">
        <f t="shared" ref="BG156:BG161" si="1238">S156</f>
        <v>7467</v>
      </c>
      <c r="BH156" s="19">
        <f t="shared" ref="BH156:BH161" si="1239">U156</f>
        <v>7498</v>
      </c>
      <c r="BI156" s="19">
        <f t="shared" ref="BI156:BI161" si="1240">W156</f>
        <v>7546</v>
      </c>
      <c r="BJ156" s="19">
        <f t="shared" ref="BJ156:BJ161" si="1241">Y156</f>
        <v>9290</v>
      </c>
      <c r="BK156" s="19">
        <f t="shared" ref="BK156:BK161" si="1242">AA156</f>
        <v>10164</v>
      </c>
      <c r="BL156" s="19">
        <f t="shared" ref="BL156:BL161" si="1243">AC156</f>
        <v>14156</v>
      </c>
      <c r="BM156" s="19">
        <f t="shared" ref="BM156:BM161" si="1244">AE156</f>
        <v>14735</v>
      </c>
      <c r="BN156" s="19">
        <f t="shared" ref="BN156:BN161" si="1245">AG156</f>
        <v>14156</v>
      </c>
      <c r="BO156" s="20">
        <f t="shared" ref="BO156:BO161" si="1246">AI156</f>
        <v>13834</v>
      </c>
      <c r="BP156" s="19">
        <f t="shared" ref="BP156:BP161" si="1247">AK156</f>
        <v>13598.841874510219</v>
      </c>
      <c r="BQ156" s="19">
        <f t="shared" ref="BQ156:BQ161" si="1248">AM156</f>
        <v>12946.525623530657</v>
      </c>
      <c r="BR156" s="19">
        <f t="shared" ref="BR156:BR161" si="1249">AO156</f>
        <v>12946.525623530657</v>
      </c>
      <c r="BS156" s="19">
        <f t="shared" ref="BS156:BS161" si="1250">AQ156</f>
        <v>12946.525623530657</v>
      </c>
      <c r="BT156" s="19">
        <f t="shared" ref="BT156:BT161" si="1251">AS156</f>
        <v>12946.525623530657</v>
      </c>
    </row>
    <row r="157" spans="1:72" ht="12" customHeight="1" outlineLevel="1">
      <c r="B157" s="1" t="s">
        <v>186</v>
      </c>
      <c r="D157" s="21">
        <v>-2</v>
      </c>
      <c r="E157" s="21">
        <v>-443</v>
      </c>
      <c r="F157" s="21">
        <v>-719</v>
      </c>
      <c r="G157" s="21">
        <v>-731</v>
      </c>
      <c r="H157" s="21">
        <v>-993</v>
      </c>
      <c r="I157" s="21">
        <v>-974</v>
      </c>
      <c r="J157" s="21">
        <v>-1063</v>
      </c>
      <c r="K157" s="21">
        <v>-1011</v>
      </c>
      <c r="L157" s="21">
        <v>-1025</v>
      </c>
      <c r="M157" s="21">
        <v>-990</v>
      </c>
      <c r="N157" s="62">
        <v>-1003</v>
      </c>
      <c r="O157" s="62">
        <v>-971</v>
      </c>
      <c r="P157" s="62">
        <v>-1088</v>
      </c>
      <c r="Q157" s="62">
        <v>-1036</v>
      </c>
      <c r="R157" s="62">
        <v>-1221</v>
      </c>
      <c r="S157" s="62">
        <v>-1187</v>
      </c>
      <c r="T157" s="62">
        <v>-1307</v>
      </c>
      <c r="U157" s="62">
        <v>-1264</v>
      </c>
      <c r="V157" s="62">
        <v>-1413</v>
      </c>
      <c r="W157" s="62">
        <v>-1372</v>
      </c>
      <c r="X157" s="62">
        <v>-1568</v>
      </c>
      <c r="Y157" s="62">
        <v>-1446</v>
      </c>
      <c r="Z157" s="62">
        <v>-1702</v>
      </c>
      <c r="AA157" s="62">
        <v>-1633</v>
      </c>
      <c r="AB157" s="62">
        <v>-1896</v>
      </c>
      <c r="AC157" s="62">
        <v>-1858</v>
      </c>
      <c r="AD157" s="62">
        <v>-2389</v>
      </c>
      <c r="AE157" s="62">
        <v>-2328</v>
      </c>
      <c r="AF157" s="62">
        <v>-2871</v>
      </c>
      <c r="AG157" s="62">
        <v>-2784</v>
      </c>
      <c r="AH157" s="62">
        <v>-2873</v>
      </c>
      <c r="AI157" s="62">
        <v>-2764</v>
      </c>
      <c r="AJ157" s="57">
        <v>-2772</v>
      </c>
      <c r="AK157" s="58">
        <f t="shared" ref="AK157:AK158" si="1252">AJ157</f>
        <v>-2772</v>
      </c>
      <c r="AL157" s="58">
        <f t="shared" ref="AL157:AL158" si="1253">AK157</f>
        <v>-2772</v>
      </c>
      <c r="AM157" s="58">
        <f t="shared" ref="AM157:AM158" si="1254">AL157</f>
        <v>-2772</v>
      </c>
      <c r="AN157" s="58">
        <f t="shared" ref="AN157:AN158" si="1255">AM157</f>
        <v>-2772</v>
      </c>
      <c r="AO157" s="58">
        <f t="shared" ref="AO157:AO158" si="1256">AN157</f>
        <v>-2772</v>
      </c>
      <c r="AP157" s="58">
        <f t="shared" ref="AP157:AP158" si="1257">AO157</f>
        <v>-2772</v>
      </c>
      <c r="AQ157" s="58">
        <f t="shared" ref="AQ157:AQ158" si="1258">AP157</f>
        <v>-2772</v>
      </c>
      <c r="AR157" s="58">
        <f t="shared" ref="AR157:AR158" si="1259">AQ157</f>
        <v>-2772</v>
      </c>
      <c r="AS157" s="58">
        <f t="shared" ref="AS157:AS158" si="1260">AR157</f>
        <v>-2772</v>
      </c>
      <c r="AU157" s="21"/>
      <c r="AV157" s="21"/>
      <c r="AW157" s="21"/>
      <c r="AX157" s="21">
        <v>-12</v>
      </c>
      <c r="AY157" s="21">
        <v>-2</v>
      </c>
      <c r="AZ157" s="19">
        <f t="shared" si="1231"/>
        <v>-443</v>
      </c>
      <c r="BA157" s="19">
        <f t="shared" si="1232"/>
        <v>-731</v>
      </c>
      <c r="BB157" s="19">
        <f t="shared" si="1233"/>
        <v>-974</v>
      </c>
      <c r="BC157" s="19">
        <f t="shared" si="1234"/>
        <v>-1011</v>
      </c>
      <c r="BD157" s="19">
        <f t="shared" si="1235"/>
        <v>-990</v>
      </c>
      <c r="BE157" s="19">
        <f t="shared" si="1236"/>
        <v>-971</v>
      </c>
      <c r="BF157" s="19">
        <f t="shared" si="1237"/>
        <v>-1036</v>
      </c>
      <c r="BG157" s="19">
        <f t="shared" si="1238"/>
        <v>-1187</v>
      </c>
      <c r="BH157" s="19">
        <f t="shared" si="1239"/>
        <v>-1264</v>
      </c>
      <c r="BI157" s="19">
        <f t="shared" si="1240"/>
        <v>-1372</v>
      </c>
      <c r="BJ157" s="19">
        <f t="shared" si="1241"/>
        <v>-1446</v>
      </c>
      <c r="BK157" s="19">
        <f t="shared" si="1242"/>
        <v>-1633</v>
      </c>
      <c r="BL157" s="19">
        <f t="shared" si="1243"/>
        <v>-1858</v>
      </c>
      <c r="BM157" s="19">
        <f t="shared" si="1244"/>
        <v>-2328</v>
      </c>
      <c r="BN157" s="19">
        <f t="shared" si="1245"/>
        <v>-2784</v>
      </c>
      <c r="BO157" s="20">
        <f t="shared" si="1246"/>
        <v>-2764</v>
      </c>
      <c r="BP157" s="19">
        <f t="shared" si="1247"/>
        <v>-2772</v>
      </c>
      <c r="BQ157" s="19">
        <f t="shared" si="1248"/>
        <v>-2772</v>
      </c>
      <c r="BR157" s="19">
        <f t="shared" si="1249"/>
        <v>-2772</v>
      </c>
      <c r="BS157" s="19">
        <f t="shared" si="1250"/>
        <v>-2772</v>
      </c>
      <c r="BT157" s="19">
        <f t="shared" si="1251"/>
        <v>-2772</v>
      </c>
    </row>
    <row r="158" spans="1:72" ht="12" customHeight="1" outlineLevel="1">
      <c r="B158" s="1" t="s">
        <v>195</v>
      </c>
      <c r="D158" s="21">
        <v>159</v>
      </c>
      <c r="E158" s="21">
        <v>137</v>
      </c>
      <c r="F158" s="21">
        <v>129</v>
      </c>
      <c r="G158" s="21">
        <v>104</v>
      </c>
      <c r="H158" s="21">
        <v>98</v>
      </c>
      <c r="I158" s="21">
        <v>82</v>
      </c>
      <c r="J158" s="21">
        <v>69</v>
      </c>
      <c r="K158" s="21">
        <v>36</v>
      </c>
      <c r="L158" s="21">
        <v>34</v>
      </c>
      <c r="M158" s="21">
        <v>27</v>
      </c>
      <c r="N158" s="62">
        <v>25</v>
      </c>
      <c r="O158" s="62">
        <v>17</v>
      </c>
      <c r="P158" s="62">
        <v>13</v>
      </c>
      <c r="Q158" s="62">
        <v>12</v>
      </c>
      <c r="R158" s="62">
        <v>11</v>
      </c>
      <c r="S158" s="62">
        <v>10</v>
      </c>
      <c r="T158" s="62">
        <v>10</v>
      </c>
      <c r="U158" s="62">
        <v>9</v>
      </c>
      <c r="V158" s="62">
        <v>7</v>
      </c>
      <c r="W158" s="62">
        <v>7</v>
      </c>
      <c r="X158" s="62">
        <v>7</v>
      </c>
      <c r="Y158" s="62">
        <v>7</v>
      </c>
      <c r="Z158" s="62">
        <v>0</v>
      </c>
      <c r="AA158" s="62">
        <v>0</v>
      </c>
      <c r="AB158" s="62">
        <v>0</v>
      </c>
      <c r="AC158" s="62">
        <v>0</v>
      </c>
      <c r="AD158" s="62">
        <v>0</v>
      </c>
      <c r="AE158" s="62">
        <v>0</v>
      </c>
      <c r="AF158" s="62">
        <v>0</v>
      </c>
      <c r="AG158" s="62">
        <v>0</v>
      </c>
      <c r="AH158" s="62">
        <v>0</v>
      </c>
      <c r="AI158" s="62">
        <v>0</v>
      </c>
      <c r="AJ158" s="57">
        <v>0</v>
      </c>
      <c r="AK158" s="58">
        <f t="shared" si="1252"/>
        <v>0</v>
      </c>
      <c r="AL158" s="58">
        <f t="shared" si="1253"/>
        <v>0</v>
      </c>
      <c r="AM158" s="58">
        <f t="shared" si="1254"/>
        <v>0</v>
      </c>
      <c r="AN158" s="58">
        <f t="shared" si="1255"/>
        <v>0</v>
      </c>
      <c r="AO158" s="58">
        <f t="shared" si="1256"/>
        <v>0</v>
      </c>
      <c r="AP158" s="58">
        <f t="shared" si="1257"/>
        <v>0</v>
      </c>
      <c r="AQ158" s="58">
        <f t="shared" si="1258"/>
        <v>0</v>
      </c>
      <c r="AR158" s="58">
        <f t="shared" si="1259"/>
        <v>0</v>
      </c>
      <c r="AS158" s="58">
        <f t="shared" si="1260"/>
        <v>0</v>
      </c>
      <c r="AU158" s="21"/>
      <c r="AV158" s="21"/>
      <c r="AW158" s="21"/>
      <c r="AX158" s="21">
        <v>133</v>
      </c>
      <c r="AY158" s="21">
        <v>116</v>
      </c>
      <c r="AZ158" s="19">
        <f t="shared" si="1231"/>
        <v>137</v>
      </c>
      <c r="BA158" s="19">
        <f t="shared" si="1232"/>
        <v>104</v>
      </c>
      <c r="BB158" s="19">
        <f t="shared" si="1233"/>
        <v>82</v>
      </c>
      <c r="BC158" s="19">
        <f t="shared" si="1234"/>
        <v>36</v>
      </c>
      <c r="BD158" s="19">
        <f t="shared" si="1235"/>
        <v>27</v>
      </c>
      <c r="BE158" s="19">
        <f t="shared" si="1236"/>
        <v>17</v>
      </c>
      <c r="BF158" s="19">
        <f t="shared" si="1237"/>
        <v>12</v>
      </c>
      <c r="BG158" s="19">
        <f t="shared" si="1238"/>
        <v>10</v>
      </c>
      <c r="BH158" s="19">
        <f t="shared" si="1239"/>
        <v>9</v>
      </c>
      <c r="BI158" s="19">
        <f t="shared" si="1240"/>
        <v>7</v>
      </c>
      <c r="BJ158" s="19">
        <f t="shared" si="1241"/>
        <v>7</v>
      </c>
      <c r="BK158" s="19">
        <f t="shared" si="1242"/>
        <v>0</v>
      </c>
      <c r="BL158" s="19">
        <f t="shared" si="1243"/>
        <v>0</v>
      </c>
      <c r="BM158" s="19">
        <f t="shared" si="1244"/>
        <v>0</v>
      </c>
      <c r="BN158" s="19">
        <f t="shared" si="1245"/>
        <v>0</v>
      </c>
      <c r="BO158" s="20">
        <f t="shared" si="1246"/>
        <v>0</v>
      </c>
      <c r="BP158" s="19">
        <f t="shared" si="1247"/>
        <v>0</v>
      </c>
      <c r="BQ158" s="19">
        <f t="shared" si="1248"/>
        <v>0</v>
      </c>
      <c r="BR158" s="19">
        <f t="shared" si="1249"/>
        <v>0</v>
      </c>
      <c r="BS158" s="19">
        <f t="shared" si="1250"/>
        <v>0</v>
      </c>
      <c r="BT158" s="19">
        <f t="shared" si="1251"/>
        <v>0</v>
      </c>
    </row>
    <row r="159" spans="1:72" ht="12" customHeight="1" outlineLevel="1">
      <c r="B159" s="1" t="s">
        <v>188</v>
      </c>
      <c r="D159" s="21">
        <v>276</v>
      </c>
      <c r="E159" s="21">
        <v>280</v>
      </c>
      <c r="F159" s="21">
        <v>263</v>
      </c>
      <c r="G159" s="21">
        <v>310</v>
      </c>
      <c r="H159" s="21">
        <v>504</v>
      </c>
      <c r="I159" s="21">
        <v>44</v>
      </c>
      <c r="J159" s="21">
        <v>-50</v>
      </c>
      <c r="K159" s="21">
        <v>57</v>
      </c>
      <c r="L159" s="21">
        <v>726</v>
      </c>
      <c r="M159" s="21">
        <v>669</v>
      </c>
      <c r="N159" s="21">
        <v>826</v>
      </c>
      <c r="O159" s="21">
        <v>1656</v>
      </c>
      <c r="P159" s="21">
        <v>2090</v>
      </c>
      <c r="Q159" s="21">
        <v>1536</v>
      </c>
      <c r="R159" s="21">
        <v>1295</v>
      </c>
      <c r="S159" s="21">
        <v>1396</v>
      </c>
      <c r="T159" s="21">
        <v>999</v>
      </c>
      <c r="U159" s="21">
        <v>1297</v>
      </c>
      <c r="V159" s="21">
        <v>1567</v>
      </c>
      <c r="W159" s="21">
        <v>1773</v>
      </c>
      <c r="X159" s="21">
        <v>1927</v>
      </c>
      <c r="Y159" s="21">
        <v>2773</v>
      </c>
      <c r="Z159" s="21">
        <v>1378</v>
      </c>
      <c r="AA159" s="21">
        <v>1286</v>
      </c>
      <c r="AB159" s="21">
        <v>1613</v>
      </c>
      <c r="AC159" s="21">
        <v>1523</v>
      </c>
      <c r="AD159" s="21">
        <v>3250</v>
      </c>
      <c r="AE159" s="21">
        <v>3302</v>
      </c>
      <c r="AF159" s="21">
        <v>3590</v>
      </c>
      <c r="AG159" s="21">
        <v>3891</v>
      </c>
      <c r="AH159" s="21">
        <v>2920</v>
      </c>
      <c r="AI159" s="21">
        <v>4829</v>
      </c>
      <c r="AJ159" s="24">
        <v>3779</v>
      </c>
      <c r="AK159" s="19">
        <f t="shared" ref="AK159" si="1261">AK162-AK156-AK157-AK158-AK160-AK161</f>
        <v>3779</v>
      </c>
      <c r="AL159" s="19">
        <f t="shared" ref="AL159:AM159" si="1262">AL162-AL156-AL157-AL158-AL160-AL161</f>
        <v>3778.9999999999964</v>
      </c>
      <c r="AM159" s="19">
        <f t="shared" si="1262"/>
        <v>3778.9999999999964</v>
      </c>
      <c r="AN159" s="19">
        <f t="shared" ref="AN159:AO159" si="1263">AN162-AN156-AN157-AN158-AN160-AN161</f>
        <v>3779</v>
      </c>
      <c r="AO159" s="19">
        <f t="shared" si="1263"/>
        <v>3779</v>
      </c>
      <c r="AP159" s="19">
        <f t="shared" ref="AP159:AQ159" si="1264">AP162-AP156-AP157-AP158-AP160-AP161</f>
        <v>3778.9999999999964</v>
      </c>
      <c r="AQ159" s="19">
        <f t="shared" si="1264"/>
        <v>3778.9999999999964</v>
      </c>
      <c r="AR159" s="19">
        <f t="shared" ref="AR159:AS159" si="1265">AR162-AR156-AR157-AR158-AR160-AR161</f>
        <v>3779</v>
      </c>
      <c r="AS159" s="19">
        <f t="shared" si="1265"/>
        <v>3779.0000000000036</v>
      </c>
      <c r="AU159" s="21"/>
      <c r="AV159" s="21"/>
      <c r="AW159" s="21"/>
      <c r="AX159" s="21">
        <v>456</v>
      </c>
      <c r="AY159" s="21">
        <v>17</v>
      </c>
      <c r="AZ159" s="19">
        <f t="shared" si="1231"/>
        <v>280</v>
      </c>
      <c r="BA159" s="19">
        <f t="shared" si="1232"/>
        <v>310</v>
      </c>
      <c r="BB159" s="19">
        <f t="shared" si="1233"/>
        <v>44</v>
      </c>
      <c r="BC159" s="19">
        <f t="shared" si="1234"/>
        <v>57</v>
      </c>
      <c r="BD159" s="19">
        <f t="shared" si="1235"/>
        <v>669</v>
      </c>
      <c r="BE159" s="19">
        <f t="shared" si="1236"/>
        <v>1656</v>
      </c>
      <c r="BF159" s="19">
        <f t="shared" si="1237"/>
        <v>1536</v>
      </c>
      <c r="BG159" s="19">
        <f t="shared" si="1238"/>
        <v>1396</v>
      </c>
      <c r="BH159" s="19">
        <f t="shared" si="1239"/>
        <v>1297</v>
      </c>
      <c r="BI159" s="19">
        <f t="shared" si="1240"/>
        <v>1773</v>
      </c>
      <c r="BJ159" s="19">
        <f t="shared" si="1241"/>
        <v>2773</v>
      </c>
      <c r="BK159" s="19">
        <f t="shared" si="1242"/>
        <v>1286</v>
      </c>
      <c r="BL159" s="19">
        <f t="shared" si="1243"/>
        <v>1523</v>
      </c>
      <c r="BM159" s="19">
        <f t="shared" si="1244"/>
        <v>3302</v>
      </c>
      <c r="BN159" s="19">
        <f t="shared" si="1245"/>
        <v>3891</v>
      </c>
      <c r="BO159" s="20">
        <f t="shared" si="1246"/>
        <v>4829</v>
      </c>
      <c r="BP159" s="19">
        <f t="shared" si="1247"/>
        <v>3779</v>
      </c>
      <c r="BQ159" s="19">
        <f t="shared" si="1248"/>
        <v>3778.9999999999964</v>
      </c>
      <c r="BR159" s="19">
        <f t="shared" si="1249"/>
        <v>3779</v>
      </c>
      <c r="BS159" s="19">
        <f t="shared" si="1250"/>
        <v>3778.9999999999964</v>
      </c>
      <c r="BT159" s="19">
        <f t="shared" si="1251"/>
        <v>3779.0000000000036</v>
      </c>
    </row>
    <row r="160" spans="1:72" ht="12" customHeight="1" outlineLevel="1">
      <c r="B160" s="1" t="s">
        <v>189</v>
      </c>
      <c r="D160" s="19">
        <f t="shared" ref="D160:H160" si="1266">D162-D156-D157-D158-D159-D161</f>
        <v>3984</v>
      </c>
      <c r="E160" s="19">
        <f t="shared" si="1266"/>
        <v>4268</v>
      </c>
      <c r="F160" s="19">
        <f t="shared" si="1266"/>
        <v>4325</v>
      </c>
      <c r="G160" s="19">
        <f t="shared" si="1266"/>
        <v>4581</v>
      </c>
      <c r="H160" s="19">
        <f t="shared" si="1266"/>
        <v>4563</v>
      </c>
      <c r="I160" s="19">
        <f t="shared" ref="I160:J160" si="1267">I162-I156-I157-I158-I159-I161</f>
        <v>4924</v>
      </c>
      <c r="J160" s="19">
        <f t="shared" si="1267"/>
        <v>5155</v>
      </c>
      <c r="K160" s="19">
        <f>K162-K156-K157-K158-K159-K161</f>
        <v>5439</v>
      </c>
      <c r="L160" s="19">
        <f t="shared" ref="L160:M160" si="1268">L162-L156-L157-L158-L159-L161</f>
        <v>5610</v>
      </c>
      <c r="M160" s="19">
        <f t="shared" si="1268"/>
        <v>5637</v>
      </c>
      <c r="N160" s="19">
        <f t="shared" ref="N160:O160" si="1269">N162-N156-N157-N158-N159-N161</f>
        <v>5801</v>
      </c>
      <c r="O160" s="19">
        <f t="shared" si="1269"/>
        <v>6306</v>
      </c>
      <c r="P160" s="19">
        <f t="shared" ref="P160:Q160" si="1270">P162-P156-P157-P158-P159-P161</f>
        <v>6705</v>
      </c>
      <c r="Q160" s="19">
        <f t="shared" si="1270"/>
        <v>7158</v>
      </c>
      <c r="R160" s="19">
        <f t="shared" ref="R160:S160" si="1271">R162-R156-R157-R158-R159-R161</f>
        <v>7392</v>
      </c>
      <c r="S160" s="19">
        <f t="shared" si="1271"/>
        <v>7877</v>
      </c>
      <c r="T160" s="19">
        <f t="shared" ref="T160:U160" si="1272">T162-T156-T157-T158-T159-T161</f>
        <v>8170</v>
      </c>
      <c r="U160" s="19">
        <f t="shared" si="1272"/>
        <v>8817</v>
      </c>
      <c r="V160" s="19">
        <f t="shared" ref="V160:W160" si="1273">V162-V156-V157-V158-V159-V161</f>
        <v>8849</v>
      </c>
      <c r="W160" s="19">
        <f t="shared" si="1273"/>
        <v>9807</v>
      </c>
      <c r="X160" s="19">
        <f t="shared" ref="X160:Y160" si="1274">X162-X156-X157-X158-X159-X161</f>
        <v>9969</v>
      </c>
      <c r="Y160" s="19">
        <f t="shared" si="1274"/>
        <v>10439</v>
      </c>
      <c r="Z160" s="19">
        <f t="shared" ref="Z160:AA160" si="1275">Z162-Z156-Z157-Z158-Z159-Z161</f>
        <v>10696</v>
      </c>
      <c r="AA160" s="19">
        <f t="shared" si="1275"/>
        <v>12231</v>
      </c>
      <c r="AB160" s="19">
        <f t="shared" ref="AB160:AC160" si="1276">AB162-AB156-AB157-AB158-AB159-AB161</f>
        <v>13057</v>
      </c>
      <c r="AC160" s="19">
        <f t="shared" si="1276"/>
        <v>14740</v>
      </c>
      <c r="AD160" s="19">
        <f t="shared" ref="AD160:AE160" si="1277">AD162-AD156-AD157-AD158-AD159-AD161</f>
        <v>15735</v>
      </c>
      <c r="AE160" s="19">
        <f t="shared" si="1277"/>
        <v>17446</v>
      </c>
      <c r="AF160" s="19">
        <f t="shared" ref="AF160:AG160" si="1278">AF162-AF156-AF157-AF158-AF159-AF161</f>
        <v>17120</v>
      </c>
      <c r="AG160" s="19">
        <f t="shared" si="1278"/>
        <v>18218</v>
      </c>
      <c r="AH160" s="19">
        <f t="shared" ref="AH160:AI160" si="1279">AH162-AH156-AH157-AH158-AH159-AH161</f>
        <v>18365</v>
      </c>
      <c r="AI160" s="19">
        <f t="shared" si="1279"/>
        <v>19457</v>
      </c>
      <c r="AJ160" s="20">
        <f t="shared" ref="AJ160" si="1280">AJ162-AJ156-AJ157-AJ158-AJ159-AJ161</f>
        <v>19629</v>
      </c>
      <c r="AK160" s="19">
        <f t="shared" ref="AK160" si="1281">AJ160+AK94+AK95</f>
        <v>21061.700494161472</v>
      </c>
      <c r="AL160" s="19">
        <f t="shared" ref="AL160" si="1282">AK160+AL94+AL95</f>
        <v>21672.054196425866</v>
      </c>
      <c r="AM160" s="19">
        <f t="shared" ref="AM160" si="1283">AL160+AM94+AM95</f>
        <v>22847.104019444258</v>
      </c>
      <c r="AN160" s="19">
        <f t="shared" ref="AN160" si="1284">AM160+AN94+AN95</f>
        <v>23585.424133119945</v>
      </c>
      <c r="AO160" s="19">
        <f t="shared" ref="AO160" si="1285">AN160+AO94+AO95</f>
        <v>24906.585538714178</v>
      </c>
      <c r="AP160" s="19">
        <f t="shared" ref="AP160" si="1286">AO160+AP94+AP95</f>
        <v>25544.215665128588</v>
      </c>
      <c r="AQ160" s="19">
        <f t="shared" ref="AQ160" si="1287">AP160+AQ94+AQ95</f>
        <v>26976.869183701729</v>
      </c>
      <c r="AR160" s="19">
        <f t="shared" ref="AR160" si="1288">AQ160+AR94+AR95</f>
        <v>27893.770068727506</v>
      </c>
      <c r="AS160" s="19">
        <f t="shared" ref="AS160" si="1289">AR160+AS94+AS95</f>
        <v>29321.490227356477</v>
      </c>
      <c r="AU160" s="19"/>
      <c r="AV160" s="19"/>
      <c r="AW160" s="19"/>
      <c r="AX160" s="19">
        <f t="shared" ref="AX160" si="1290">AX162-AX156-AX157-AX158-AX159-AX161</f>
        <v>3718</v>
      </c>
      <c r="AY160" s="19">
        <f t="shared" ref="AY160" si="1291">AY162-AY156-AY157-AY158-AY159-AY161</f>
        <v>3627</v>
      </c>
      <c r="AZ160" s="19">
        <f t="shared" si="1231"/>
        <v>4268</v>
      </c>
      <c r="BA160" s="19">
        <f t="shared" si="1232"/>
        <v>4581</v>
      </c>
      <c r="BB160" s="19">
        <f t="shared" si="1233"/>
        <v>4924</v>
      </c>
      <c r="BC160" s="19">
        <f t="shared" si="1234"/>
        <v>5439</v>
      </c>
      <c r="BD160" s="19">
        <f t="shared" si="1235"/>
        <v>5637</v>
      </c>
      <c r="BE160" s="19">
        <f t="shared" si="1236"/>
        <v>6306</v>
      </c>
      <c r="BF160" s="19">
        <f t="shared" si="1237"/>
        <v>7158</v>
      </c>
      <c r="BG160" s="19">
        <f t="shared" si="1238"/>
        <v>7877</v>
      </c>
      <c r="BH160" s="19">
        <f t="shared" si="1239"/>
        <v>8817</v>
      </c>
      <c r="BI160" s="19">
        <f t="shared" si="1240"/>
        <v>9807</v>
      </c>
      <c r="BJ160" s="19">
        <f t="shared" si="1241"/>
        <v>10439</v>
      </c>
      <c r="BK160" s="19">
        <f t="shared" si="1242"/>
        <v>12231</v>
      </c>
      <c r="BL160" s="19">
        <f t="shared" si="1243"/>
        <v>14740</v>
      </c>
      <c r="BM160" s="19">
        <f t="shared" si="1244"/>
        <v>17446</v>
      </c>
      <c r="BN160" s="19">
        <f t="shared" si="1245"/>
        <v>18218</v>
      </c>
      <c r="BO160" s="20">
        <f t="shared" si="1246"/>
        <v>19457</v>
      </c>
      <c r="BP160" s="19">
        <f t="shared" si="1247"/>
        <v>21061.700494161472</v>
      </c>
      <c r="BQ160" s="19">
        <f t="shared" si="1248"/>
        <v>22847.104019444258</v>
      </c>
      <c r="BR160" s="19">
        <f t="shared" si="1249"/>
        <v>24906.585538714178</v>
      </c>
      <c r="BS160" s="19">
        <f t="shared" si="1250"/>
        <v>26976.869183701729</v>
      </c>
      <c r="BT160" s="19">
        <f t="shared" si="1251"/>
        <v>29321.490227356477</v>
      </c>
    </row>
    <row r="161" spans="1:72" ht="12" customHeight="1" outlineLevel="1">
      <c r="A161" s="91" t="s">
        <v>1072</v>
      </c>
      <c r="B161" s="1" t="s">
        <v>190</v>
      </c>
      <c r="D161" s="19">
        <f t="shared" ref="D161:J161" si="1292">D100</f>
        <v>536</v>
      </c>
      <c r="E161" s="19">
        <f t="shared" si="1292"/>
        <v>537</v>
      </c>
      <c r="F161" s="19">
        <f t="shared" si="1292"/>
        <v>532</v>
      </c>
      <c r="G161" s="19">
        <f t="shared" si="1292"/>
        <v>528</v>
      </c>
      <c r="H161" s="19">
        <f t="shared" si="1292"/>
        <v>513</v>
      </c>
      <c r="I161" s="19">
        <f t="shared" si="1292"/>
        <v>529</v>
      </c>
      <c r="J161" s="19">
        <f t="shared" si="1292"/>
        <v>512</v>
      </c>
      <c r="K161" s="19">
        <f>K100</f>
        <v>552</v>
      </c>
      <c r="L161" s="19">
        <f t="shared" ref="L161:M161" si="1293">L100</f>
        <v>490</v>
      </c>
      <c r="M161" s="19">
        <f t="shared" si="1293"/>
        <v>496</v>
      </c>
      <c r="N161" s="19">
        <f t="shared" ref="N161:O161" si="1294">N100</f>
        <v>526</v>
      </c>
      <c r="O161" s="19">
        <f t="shared" si="1294"/>
        <v>487</v>
      </c>
      <c r="P161" s="19">
        <f t="shared" ref="P161" si="1295">P100</f>
        <v>586</v>
      </c>
      <c r="Q161" s="19">
        <f>Q451</f>
        <v>391</v>
      </c>
      <c r="R161" s="19">
        <f t="shared" ref="R161:S161" si="1296">R451</f>
        <v>391</v>
      </c>
      <c r="S161" s="19">
        <f t="shared" si="1296"/>
        <v>391</v>
      </c>
      <c r="T161" s="19">
        <f t="shared" ref="T161:U161" si="1297">T451</f>
        <v>391</v>
      </c>
      <c r="U161" s="19">
        <f t="shared" si="1297"/>
        <v>391</v>
      </c>
      <c r="V161" s="19">
        <f t="shared" ref="V161" si="1298">V451</f>
        <v>391</v>
      </c>
      <c r="W161" s="19">
        <f t="shared" ref="W161:AB161" si="1299">W451</f>
        <v>391</v>
      </c>
      <c r="X161" s="19">
        <f t="shared" si="1299"/>
        <v>391</v>
      </c>
      <c r="Y161" s="19">
        <f t="shared" si="1299"/>
        <v>391</v>
      </c>
      <c r="Z161" s="19">
        <f t="shared" si="1299"/>
        <v>0</v>
      </c>
      <c r="AA161" s="19">
        <f t="shared" si="1299"/>
        <v>0</v>
      </c>
      <c r="AB161" s="19">
        <f t="shared" si="1299"/>
        <v>0</v>
      </c>
      <c r="AC161" s="19">
        <f t="shared" ref="AC161:AD161" si="1300">AC451</f>
        <v>0</v>
      </c>
      <c r="AD161" s="19">
        <f t="shared" si="1300"/>
        <v>0</v>
      </c>
      <c r="AE161" s="19">
        <f t="shared" ref="AE161:AF161" si="1301">AE451</f>
        <v>0</v>
      </c>
      <c r="AF161" s="19">
        <f t="shared" si="1301"/>
        <v>0</v>
      </c>
      <c r="AG161" s="19">
        <f t="shared" ref="AG161:AH161" si="1302">AG451</f>
        <v>0</v>
      </c>
      <c r="AH161" s="19">
        <f t="shared" si="1302"/>
        <v>0</v>
      </c>
      <c r="AI161" s="19">
        <f t="shared" ref="AI161:AJ161" si="1303">AI451</f>
        <v>0</v>
      </c>
      <c r="AJ161" s="20">
        <f t="shared" si="1303"/>
        <v>0</v>
      </c>
      <c r="AK161" s="19">
        <f t="shared" ref="AK161" si="1304">AK451</f>
        <v>0</v>
      </c>
      <c r="AL161" s="19">
        <f t="shared" ref="AL161:AM161" si="1305">AL451</f>
        <v>0</v>
      </c>
      <c r="AM161" s="19">
        <f t="shared" si="1305"/>
        <v>0</v>
      </c>
      <c r="AN161" s="19">
        <f t="shared" ref="AN161:AO161" si="1306">AN451</f>
        <v>0</v>
      </c>
      <c r="AO161" s="19">
        <f t="shared" si="1306"/>
        <v>0</v>
      </c>
      <c r="AP161" s="19">
        <f t="shared" ref="AP161:AQ161" si="1307">AP451</f>
        <v>0</v>
      </c>
      <c r="AQ161" s="19">
        <f t="shared" si="1307"/>
        <v>0</v>
      </c>
      <c r="AR161" s="19">
        <f t="shared" ref="AR161:AS161" si="1308">AR451</f>
        <v>0</v>
      </c>
      <c r="AS161" s="19">
        <f t="shared" si="1308"/>
        <v>0</v>
      </c>
      <c r="AU161" s="19"/>
      <c r="AV161" s="19"/>
      <c r="AW161" s="19"/>
      <c r="AX161" s="19">
        <f>AX100</f>
        <v>1232</v>
      </c>
      <c r="AY161" s="19">
        <f t="shared" ref="AY161" si="1309">AY100</f>
        <v>896</v>
      </c>
      <c r="AZ161" s="19">
        <f t="shared" si="1231"/>
        <v>537</v>
      </c>
      <c r="BA161" s="19">
        <f t="shared" si="1232"/>
        <v>528</v>
      </c>
      <c r="BB161" s="19">
        <f t="shared" si="1233"/>
        <v>529</v>
      </c>
      <c r="BC161" s="19">
        <f t="shared" si="1234"/>
        <v>552</v>
      </c>
      <c r="BD161" s="19">
        <f t="shared" si="1235"/>
        <v>496</v>
      </c>
      <c r="BE161" s="19">
        <f t="shared" si="1236"/>
        <v>487</v>
      </c>
      <c r="BF161" s="19">
        <f t="shared" si="1237"/>
        <v>391</v>
      </c>
      <c r="BG161" s="19">
        <f t="shared" si="1238"/>
        <v>391</v>
      </c>
      <c r="BH161" s="19">
        <f t="shared" si="1239"/>
        <v>391</v>
      </c>
      <c r="BI161" s="19">
        <f t="shared" si="1240"/>
        <v>391</v>
      </c>
      <c r="BJ161" s="19">
        <f t="shared" si="1241"/>
        <v>391</v>
      </c>
      <c r="BK161" s="19">
        <f t="shared" si="1242"/>
        <v>0</v>
      </c>
      <c r="BL161" s="19">
        <f t="shared" si="1243"/>
        <v>0</v>
      </c>
      <c r="BM161" s="19">
        <f t="shared" si="1244"/>
        <v>0</v>
      </c>
      <c r="BN161" s="19">
        <f t="shared" si="1245"/>
        <v>0</v>
      </c>
      <c r="BO161" s="20">
        <f t="shared" si="1246"/>
        <v>0</v>
      </c>
      <c r="BP161" s="19">
        <f t="shared" si="1247"/>
        <v>0</v>
      </c>
      <c r="BQ161" s="19">
        <f t="shared" si="1248"/>
        <v>0</v>
      </c>
      <c r="BR161" s="19">
        <f t="shared" si="1249"/>
        <v>0</v>
      </c>
      <c r="BS161" s="19">
        <f t="shared" si="1250"/>
        <v>0</v>
      </c>
      <c r="BT161" s="19">
        <f t="shared" si="1251"/>
        <v>0</v>
      </c>
    </row>
    <row r="162" spans="1:72" s="9" customFormat="1" ht="12" customHeight="1" outlineLevel="1">
      <c r="A162" s="91" t="s">
        <v>1073</v>
      </c>
      <c r="B162" s="9" t="s">
        <v>191</v>
      </c>
      <c r="D162" s="17">
        <f t="shared" ref="D162:J162" si="1310">D101</f>
        <v>11220</v>
      </c>
      <c r="E162" s="17">
        <f t="shared" si="1310"/>
        <v>11769</v>
      </c>
      <c r="F162" s="17">
        <f t="shared" si="1310"/>
        <v>11593</v>
      </c>
      <c r="G162" s="17">
        <f t="shared" si="1310"/>
        <v>11932</v>
      </c>
      <c r="H162" s="17">
        <f t="shared" si="1310"/>
        <v>11764</v>
      </c>
      <c r="I162" s="17">
        <f t="shared" si="1310"/>
        <v>11732</v>
      </c>
      <c r="J162" s="17">
        <f t="shared" si="1310"/>
        <v>11499</v>
      </c>
      <c r="K162" s="17">
        <f>K101</f>
        <v>11955</v>
      </c>
      <c r="L162" s="17">
        <f t="shared" ref="L162:M162" si="1311">L101</f>
        <v>12719</v>
      </c>
      <c r="M162" s="17">
        <f t="shared" si="1311"/>
        <v>11914</v>
      </c>
      <c r="N162" s="17">
        <f t="shared" ref="N162:O162" si="1312">N101</f>
        <v>12216</v>
      </c>
      <c r="O162" s="17">
        <f t="shared" si="1312"/>
        <v>14396</v>
      </c>
      <c r="P162" s="17">
        <f t="shared" ref="P162" si="1313">P101</f>
        <v>15217</v>
      </c>
      <c r="Q162" s="17">
        <f t="shared" ref="Q162:V162" si="1314">Q101-Q453</f>
        <v>15507</v>
      </c>
      <c r="R162" s="17">
        <f t="shared" si="1314"/>
        <v>15312</v>
      </c>
      <c r="S162" s="17">
        <f t="shared" si="1314"/>
        <v>15954</v>
      </c>
      <c r="T162" s="17">
        <f t="shared" si="1314"/>
        <v>15748</v>
      </c>
      <c r="U162" s="17">
        <f t="shared" si="1314"/>
        <v>16748</v>
      </c>
      <c r="V162" s="17">
        <f t="shared" si="1314"/>
        <v>16951</v>
      </c>
      <c r="W162" s="17">
        <f t="shared" ref="W162:X162" si="1315">W101-W453</f>
        <v>18152</v>
      </c>
      <c r="X162" s="17">
        <f t="shared" si="1315"/>
        <v>20008</v>
      </c>
      <c r="Y162" s="17">
        <f t="shared" ref="Y162:Z162" si="1316">Y101-Y453</f>
        <v>21454</v>
      </c>
      <c r="Z162" s="17">
        <f t="shared" si="1316"/>
        <v>20508</v>
      </c>
      <c r="AA162" s="17">
        <f t="shared" ref="AA162" si="1317">AA101-AA453</f>
        <v>22048</v>
      </c>
      <c r="AB162" s="17">
        <f t="shared" ref="AB162:AG162" si="1318">AB101-AB453</f>
        <v>24064</v>
      </c>
      <c r="AC162" s="17">
        <f t="shared" si="1318"/>
        <v>28561</v>
      </c>
      <c r="AD162" s="17">
        <f t="shared" si="1318"/>
        <v>31337</v>
      </c>
      <c r="AE162" s="17">
        <f t="shared" si="1318"/>
        <v>33155</v>
      </c>
      <c r="AF162" s="17">
        <f t="shared" si="1318"/>
        <v>32651</v>
      </c>
      <c r="AG162" s="17">
        <f t="shared" si="1318"/>
        <v>33481</v>
      </c>
      <c r="AH162" s="17">
        <f t="shared" ref="AH162:AI162" si="1319">AH101-AH453</f>
        <v>32299</v>
      </c>
      <c r="AI162" s="17">
        <f t="shared" si="1319"/>
        <v>35356</v>
      </c>
      <c r="AJ162" s="18">
        <f t="shared" ref="AJ162" si="1320">AJ101-AJ453</f>
        <v>34561</v>
      </c>
      <c r="AK162" s="17">
        <f t="shared" ref="AK162" si="1321">AK101-AK453</f>
        <v>35667.542368671689</v>
      </c>
      <c r="AL162" s="17">
        <f t="shared" ref="AL162:AM162" si="1322">AL101-AL453</f>
        <v>35951.737945446301</v>
      </c>
      <c r="AM162" s="17">
        <f t="shared" si="1322"/>
        <v>36800.629642974913</v>
      </c>
      <c r="AN162" s="17">
        <f t="shared" ref="AN162:AO162" si="1323">AN101-AN453</f>
        <v>37538.949756650603</v>
      </c>
      <c r="AO162" s="17">
        <f t="shared" si="1323"/>
        <v>38860.111162244837</v>
      </c>
      <c r="AP162" s="17">
        <f t="shared" ref="AP162:AQ162" si="1324">AP101-AP453</f>
        <v>39497.741288659243</v>
      </c>
      <c r="AQ162" s="17">
        <f t="shared" si="1324"/>
        <v>40930.394807232384</v>
      </c>
      <c r="AR162" s="17">
        <f t="shared" ref="AR162:AS162" si="1325">AR101-AR453</f>
        <v>41847.295692258165</v>
      </c>
      <c r="AS162" s="17">
        <f t="shared" si="1325"/>
        <v>43275.015850887139</v>
      </c>
      <c r="AU162" s="17"/>
      <c r="AV162" s="17"/>
      <c r="AW162" s="17"/>
      <c r="AX162" s="17">
        <f>AX101</f>
        <v>10061</v>
      </c>
      <c r="AY162" s="17">
        <f t="shared" ref="AY162" si="1326">AY101</f>
        <v>9560</v>
      </c>
      <c r="AZ162" s="17">
        <f t="shared" ref="AZ162:BH162" si="1327">SUM(AZ156:AZ161)</f>
        <v>11769</v>
      </c>
      <c r="BA162" s="17">
        <f t="shared" si="1327"/>
        <v>11932</v>
      </c>
      <c r="BB162" s="17">
        <f t="shared" si="1327"/>
        <v>11732</v>
      </c>
      <c r="BC162" s="17">
        <f t="shared" si="1327"/>
        <v>11955</v>
      </c>
      <c r="BD162" s="17">
        <f t="shared" si="1327"/>
        <v>11914</v>
      </c>
      <c r="BE162" s="17">
        <f t="shared" si="1327"/>
        <v>14396</v>
      </c>
      <c r="BF162" s="17">
        <f t="shared" si="1327"/>
        <v>15507</v>
      </c>
      <c r="BG162" s="17">
        <f t="shared" si="1327"/>
        <v>15954</v>
      </c>
      <c r="BH162" s="17">
        <f t="shared" si="1327"/>
        <v>16748</v>
      </c>
      <c r="BI162" s="17">
        <f t="shared" ref="BI162" si="1328">SUM(BI156:BI161)</f>
        <v>18152</v>
      </c>
      <c r="BJ162" s="17">
        <f t="shared" ref="BJ162:BO162" si="1329">SUM(BJ156:BJ161)</f>
        <v>21454</v>
      </c>
      <c r="BK162" s="17">
        <f t="shared" si="1329"/>
        <v>22048</v>
      </c>
      <c r="BL162" s="17">
        <f t="shared" si="1329"/>
        <v>28561</v>
      </c>
      <c r="BM162" s="17">
        <f t="shared" si="1329"/>
        <v>33155</v>
      </c>
      <c r="BN162" s="17">
        <f t="shared" si="1329"/>
        <v>33481</v>
      </c>
      <c r="BO162" s="18">
        <f t="shared" si="1329"/>
        <v>35356</v>
      </c>
      <c r="BP162" s="17">
        <f t="shared" ref="BP162:BQ162" si="1330">SUM(BP156:BP161)</f>
        <v>35667.542368671689</v>
      </c>
      <c r="BQ162" s="17">
        <f t="shared" si="1330"/>
        <v>36800.629642974913</v>
      </c>
      <c r="BR162" s="17">
        <f t="shared" ref="BR162:BS162" si="1331">SUM(BR156:BR161)</f>
        <v>38860.111162244837</v>
      </c>
      <c r="BS162" s="17">
        <f t="shared" si="1331"/>
        <v>40930.394807232384</v>
      </c>
      <c r="BT162" s="17">
        <f>SUM(BT156:BT161)</f>
        <v>43275.015850887139</v>
      </c>
    </row>
    <row r="163" spans="1:72" ht="12" customHeight="1" outlineLevel="1"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469"/>
      <c r="V163" s="19"/>
      <c r="W163" s="19"/>
      <c r="X163" s="19"/>
      <c r="Y163" s="19"/>
      <c r="Z163" s="19"/>
      <c r="AA163" s="469"/>
      <c r="AB163" s="469"/>
      <c r="AC163" s="469"/>
      <c r="AD163" s="469"/>
      <c r="AE163" s="469"/>
      <c r="AF163" s="469"/>
      <c r="AG163" s="469"/>
      <c r="AH163" s="469"/>
      <c r="AI163" s="469"/>
      <c r="AJ163" s="474"/>
      <c r="AK163" s="19"/>
      <c r="AL163" s="19"/>
      <c r="AM163" s="19"/>
      <c r="AN163" s="19"/>
      <c r="AO163" s="19"/>
      <c r="AP163" s="19"/>
      <c r="AQ163" s="19"/>
      <c r="AR163" s="19"/>
      <c r="AS163" s="19"/>
      <c r="AU163" s="19"/>
      <c r="AV163" s="19"/>
      <c r="AW163" s="19"/>
      <c r="AX163" s="19"/>
      <c r="AY163" s="19"/>
    </row>
    <row r="164" spans="1:72" ht="12" customHeight="1" outlineLevel="1">
      <c r="B164" s="3" t="s">
        <v>124</v>
      </c>
      <c r="C164" s="100" t="str">
        <f t="shared" ref="C164:BF164" si="1332">IF(ROUND(C132-C154,5)=ROUND(C162,5),"Ok","Error")</f>
        <v>Ok</v>
      </c>
      <c r="D164" s="100" t="str">
        <f t="shared" si="1332"/>
        <v>Ok</v>
      </c>
      <c r="E164" s="100" t="str">
        <f t="shared" si="1332"/>
        <v>Ok</v>
      </c>
      <c r="F164" s="100" t="str">
        <f t="shared" si="1332"/>
        <v>Ok</v>
      </c>
      <c r="G164" s="100" t="str">
        <f t="shared" si="1332"/>
        <v>Ok</v>
      </c>
      <c r="H164" s="100" t="str">
        <f t="shared" si="1332"/>
        <v>Ok</v>
      </c>
      <c r="I164" s="100" t="str">
        <f t="shared" si="1332"/>
        <v>Ok</v>
      </c>
      <c r="J164" s="100" t="str">
        <f t="shared" si="1332"/>
        <v>Ok</v>
      </c>
      <c r="K164" s="100" t="str">
        <f t="shared" si="1332"/>
        <v>Ok</v>
      </c>
      <c r="L164" s="100" t="str">
        <f t="shared" ref="L164" si="1333">IF(ROUND(L132-L154,5)=ROUND(L162,5),"Ok","Error")</f>
        <v>Ok</v>
      </c>
      <c r="M164" s="100" t="str">
        <f t="shared" si="1332"/>
        <v>Ok</v>
      </c>
      <c r="N164" s="100" t="str">
        <f t="shared" ref="N164" si="1334">IF(ROUND(N132-N154,5)=ROUND(N162,5),"Ok","Error")</f>
        <v>Ok</v>
      </c>
      <c r="O164" s="100" t="str">
        <f t="shared" si="1332"/>
        <v>Ok</v>
      </c>
      <c r="P164" s="100" t="str">
        <f t="shared" ref="P164:Q164" si="1335">IF(ROUND(P132-P154,5)=ROUND(P162,5),"Ok","Error")</f>
        <v>Ok</v>
      </c>
      <c r="Q164" s="100" t="str">
        <f t="shared" si="1335"/>
        <v>Ok</v>
      </c>
      <c r="R164" s="100" t="str">
        <f t="shared" ref="R164:S164" si="1336">IF(ROUND(R132-R154,5)=ROUND(R162,5),"Ok","Error")</f>
        <v>Ok</v>
      </c>
      <c r="S164" s="100" t="str">
        <f t="shared" si="1336"/>
        <v>Ok</v>
      </c>
      <c r="T164" s="100" t="str">
        <f t="shared" ref="T164:U164" si="1337">IF(ROUND(T132-T154,5)=ROUND(T162,5),"Ok","Error")</f>
        <v>Ok</v>
      </c>
      <c r="U164" s="100" t="str">
        <f t="shared" si="1337"/>
        <v>Ok</v>
      </c>
      <c r="V164" s="100" t="str">
        <f t="shared" ref="V164:W164" si="1338">IF(ROUND(V132-V154,5)=ROUND(V162,5),"Ok","Error")</f>
        <v>Ok</v>
      </c>
      <c r="W164" s="100" t="str">
        <f t="shared" si="1338"/>
        <v>Ok</v>
      </c>
      <c r="X164" s="100" t="str">
        <f t="shared" ref="X164:Y164" si="1339">IF(ROUND(X132-X154,5)=ROUND(X162,5),"Ok","Error")</f>
        <v>Ok</v>
      </c>
      <c r="Y164" s="100" t="str">
        <f t="shared" si="1339"/>
        <v>Ok</v>
      </c>
      <c r="Z164" s="100" t="str">
        <f t="shared" ref="Z164:AA164" si="1340">IF(ROUND(Z132-Z154,5)=ROUND(Z162,5),"Ok","Error")</f>
        <v>Ok</v>
      </c>
      <c r="AA164" s="100" t="str">
        <f t="shared" si="1340"/>
        <v>Ok</v>
      </c>
      <c r="AB164" s="100" t="str">
        <f t="shared" ref="AB164:AC164" si="1341">IF(ROUND(AB132-AB154,5)=ROUND(AB162,5),"Ok","Error")</f>
        <v>Ok</v>
      </c>
      <c r="AC164" s="100" t="str">
        <f t="shared" si="1341"/>
        <v>Ok</v>
      </c>
      <c r="AD164" s="100" t="str">
        <f t="shared" ref="AD164:AE164" si="1342">IF(ROUND(AD132-AD154,5)=ROUND(AD162,5),"Ok","Error")</f>
        <v>Ok</v>
      </c>
      <c r="AE164" s="100" t="str">
        <f t="shared" si="1342"/>
        <v>Ok</v>
      </c>
      <c r="AF164" s="100" t="str">
        <f t="shared" ref="AF164:AG164" si="1343">IF(ROUND(AF132-AF154,5)=ROUND(AF162,5),"Ok","Error")</f>
        <v>Ok</v>
      </c>
      <c r="AG164" s="100" t="str">
        <f t="shared" si="1343"/>
        <v>Ok</v>
      </c>
      <c r="AH164" s="100" t="str">
        <f t="shared" ref="AH164:AI164" si="1344">IF(ROUND(AH132-AH154,5)=ROUND(AH162,5),"Ok","Error")</f>
        <v>Ok</v>
      </c>
      <c r="AI164" s="100" t="str">
        <f t="shared" si="1344"/>
        <v>Ok</v>
      </c>
      <c r="AJ164" s="97" t="str">
        <f t="shared" ref="AJ164:AK164" si="1345">IF(ROUND(AJ132-AJ154,5)=ROUND(AJ162,5),"Ok","Error")</f>
        <v>Ok</v>
      </c>
      <c r="AK164" s="100" t="str">
        <f t="shared" si="1345"/>
        <v>Ok</v>
      </c>
      <c r="AL164" s="100" t="str">
        <f t="shared" ref="AL164:AM164" si="1346">IF(ROUND(AL132-AL154,5)=ROUND(AL162,5),"Ok","Error")</f>
        <v>Ok</v>
      </c>
      <c r="AM164" s="100" t="str">
        <f t="shared" si="1346"/>
        <v>Ok</v>
      </c>
      <c r="AN164" s="100" t="str">
        <f t="shared" ref="AN164:AO164" si="1347">IF(ROUND(AN132-AN154,5)=ROUND(AN162,5),"Ok","Error")</f>
        <v>Ok</v>
      </c>
      <c r="AO164" s="100" t="str">
        <f t="shared" si="1347"/>
        <v>Ok</v>
      </c>
      <c r="AP164" s="100" t="str">
        <f t="shared" ref="AP164:AQ164" si="1348">IF(ROUND(AP132-AP154,5)=ROUND(AP162,5),"Ok","Error")</f>
        <v>Ok</v>
      </c>
      <c r="AQ164" s="100" t="str">
        <f t="shared" si="1348"/>
        <v>Ok</v>
      </c>
      <c r="AR164" s="100" t="str">
        <f t="shared" ref="AR164:AS164" si="1349">IF(ROUND(AR132-AR154,5)=ROUND(AR162,5),"Ok","Error")</f>
        <v>Ok</v>
      </c>
      <c r="AS164" s="100" t="str">
        <f t="shared" si="1349"/>
        <v>Ok</v>
      </c>
      <c r="AT164" s="283"/>
      <c r="AU164" s="100" t="str">
        <f t="shared" si="1332"/>
        <v>Ok</v>
      </c>
      <c r="AV164" s="100" t="str">
        <f t="shared" si="1332"/>
        <v>Ok</v>
      </c>
      <c r="AW164" s="100" t="str">
        <f t="shared" si="1332"/>
        <v>Ok</v>
      </c>
      <c r="AX164" s="100" t="str">
        <f t="shared" si="1332"/>
        <v>Ok</v>
      </c>
      <c r="AY164" s="100" t="str">
        <f t="shared" si="1332"/>
        <v>Ok</v>
      </c>
      <c r="AZ164" s="100" t="str">
        <f t="shared" si="1332"/>
        <v>Ok</v>
      </c>
      <c r="BA164" s="100" t="str">
        <f t="shared" si="1332"/>
        <v>Ok</v>
      </c>
      <c r="BB164" s="100" t="str">
        <f t="shared" si="1332"/>
        <v>Ok</v>
      </c>
      <c r="BC164" s="100" t="str">
        <f t="shared" si="1332"/>
        <v>Ok</v>
      </c>
      <c r="BD164" s="100" t="str">
        <f t="shared" si="1332"/>
        <v>Ok</v>
      </c>
      <c r="BE164" s="100" t="str">
        <f t="shared" si="1332"/>
        <v>Ok</v>
      </c>
      <c r="BF164" s="100" t="str">
        <f t="shared" si="1332"/>
        <v>Ok</v>
      </c>
      <c r="BG164" s="100" t="str">
        <f>IF(ROUND(BG132-BG154,5)=ROUND(BG162,5),"Ok","Error")</f>
        <v>Ok</v>
      </c>
      <c r="BH164" s="100" t="str">
        <f t="shared" ref="BH164" si="1350">IF(ROUND(BH132-BH154,5)=ROUND(BH162,5),"Ok","Error")</f>
        <v>Ok</v>
      </c>
      <c r="BI164" s="100" t="str">
        <f t="shared" ref="BI164:BN164" si="1351">IF(ROUND(BI132-BI154,5)=ROUND(BI162,5),"Ok","Error")</f>
        <v>Ok</v>
      </c>
      <c r="BJ164" s="100" t="str">
        <f t="shared" si="1351"/>
        <v>Ok</v>
      </c>
      <c r="BK164" s="100" t="str">
        <f t="shared" si="1351"/>
        <v>Ok</v>
      </c>
      <c r="BL164" s="100" t="str">
        <f t="shared" si="1351"/>
        <v>Ok</v>
      </c>
      <c r="BM164" s="100" t="str">
        <f t="shared" si="1351"/>
        <v>Ok</v>
      </c>
      <c r="BN164" s="100" t="str">
        <f t="shared" si="1351"/>
        <v>Ok</v>
      </c>
      <c r="BO164" s="97" t="str">
        <f t="shared" ref="BO164:BP164" si="1352">IF(ROUND(BO132-BO154,5)=ROUND(BO162,5),"Ok","Error")</f>
        <v>Ok</v>
      </c>
      <c r="BP164" s="100" t="str">
        <f t="shared" si="1352"/>
        <v>Ok</v>
      </c>
      <c r="BQ164" s="100" t="str">
        <f t="shared" ref="BQ164:BR164" si="1353">IF(ROUND(BQ132-BQ154,5)=ROUND(BQ162,5),"Ok","Error")</f>
        <v>Ok</v>
      </c>
      <c r="BR164" s="100" t="str">
        <f t="shared" si="1353"/>
        <v>Ok</v>
      </c>
      <c r="BS164" s="100" t="str">
        <f t="shared" ref="BS164" si="1354">IF(ROUND(BS132-BS154,5)=ROUND(BS162,5),"Ok","Error")</f>
        <v>Ok</v>
      </c>
      <c r="BT164" s="100" t="str">
        <f t="shared" ref="BT164" si="1355">IF(ROUND(BT132-BT154,5)=ROUND(BT162,5),"Ok","Error")</f>
        <v>Ok</v>
      </c>
    </row>
    <row r="165" spans="1:72" ht="12" customHeight="1" outlineLevel="1">
      <c r="C165" s="19"/>
      <c r="D165" s="19"/>
      <c r="AK165" s="19"/>
      <c r="AL165" s="19"/>
      <c r="AM165" s="19"/>
      <c r="AN165" s="19"/>
      <c r="AO165" s="19"/>
      <c r="AP165" s="19"/>
      <c r="AQ165" s="19"/>
      <c r="AR165" s="19"/>
      <c r="AS165" s="19"/>
      <c r="AU165" s="19"/>
      <c r="AV165" s="19"/>
      <c r="AW165" s="19"/>
      <c r="AX165" s="19"/>
      <c r="AY165" s="19"/>
    </row>
    <row r="166" spans="1:72" ht="12" customHeight="1" outlineLevel="1">
      <c r="B166" s="9" t="s">
        <v>192</v>
      </c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20"/>
      <c r="AK166" s="19"/>
      <c r="AL166" s="19"/>
      <c r="AM166" s="19"/>
      <c r="AN166" s="19"/>
      <c r="AO166" s="19"/>
      <c r="AP166" s="19"/>
      <c r="AQ166" s="19"/>
      <c r="AR166" s="19"/>
      <c r="AS166" s="19"/>
      <c r="AU166" s="19"/>
      <c r="AV166" s="19"/>
      <c r="AW166" s="19"/>
      <c r="AX166" s="19"/>
      <c r="AY166" s="19"/>
    </row>
    <row r="167" spans="1:72" ht="12" customHeight="1" outlineLevel="1">
      <c r="B167" s="1" t="s">
        <v>163</v>
      </c>
      <c r="D167" s="21">
        <v>23700</v>
      </c>
      <c r="E167" s="21">
        <v>20100</v>
      </c>
      <c r="F167" s="21">
        <v>24100</v>
      </c>
      <c r="G167" s="21">
        <v>23800</v>
      </c>
      <c r="H167" s="21">
        <v>25800</v>
      </c>
      <c r="I167" s="21">
        <v>20900</v>
      </c>
      <c r="J167" s="21">
        <v>20800</v>
      </c>
      <c r="K167" s="21">
        <v>18000</v>
      </c>
      <c r="L167" s="21">
        <v>19400</v>
      </c>
      <c r="M167" s="21">
        <v>17300</v>
      </c>
      <c r="N167" s="21">
        <v>19500</v>
      </c>
      <c r="O167" s="21">
        <v>23800</v>
      </c>
      <c r="P167" s="21">
        <v>26500</v>
      </c>
      <c r="Q167" s="21">
        <v>28900</v>
      </c>
      <c r="R167" s="21">
        <v>18700</v>
      </c>
      <c r="S167" s="21">
        <v>20000</v>
      </c>
      <c r="T167" s="21">
        <v>22800</v>
      </c>
      <c r="U167" s="21">
        <v>23600</v>
      </c>
      <c r="V167" s="21">
        <v>21400</v>
      </c>
      <c r="W167" s="21">
        <v>24300</v>
      </c>
      <c r="X167" s="21">
        <v>21900</v>
      </c>
      <c r="Y167" s="21">
        <v>33600</v>
      </c>
      <c r="Z167" s="21">
        <v>32900</v>
      </c>
      <c r="AA167" s="21">
        <v>51000</v>
      </c>
      <c r="AB167" s="21">
        <v>46600</v>
      </c>
      <c r="AC167" s="21">
        <v>78600</v>
      </c>
      <c r="AD167" s="21">
        <v>85000</v>
      </c>
      <c r="AE167" s="21">
        <v>70000</v>
      </c>
      <c r="AF167" s="21">
        <v>72000</v>
      </c>
      <c r="AG167" s="21">
        <v>63000</v>
      </c>
      <c r="AH167" s="21">
        <v>59900</v>
      </c>
      <c r="AI167" s="21">
        <v>69200</v>
      </c>
      <c r="AJ167" s="24">
        <v>72000</v>
      </c>
      <c r="AK167" s="19">
        <f t="shared" ref="AK167:AS167" si="1356">AJ167*(1+(((AK$171/AJ$171)-1)/2))</f>
        <v>75034.446428571449</v>
      </c>
      <c r="AL167" s="19">
        <f t="shared" si="1356"/>
        <v>77848.557145050334</v>
      </c>
      <c r="AM167" s="19">
        <f t="shared" si="1356"/>
        <v>80542.420397630776</v>
      </c>
      <c r="AN167" s="19">
        <f t="shared" si="1356"/>
        <v>82803.380106483819</v>
      </c>
      <c r="AO167" s="19">
        <f t="shared" si="1356"/>
        <v>84922.89356102841</v>
      </c>
      <c r="AP167" s="19">
        <f t="shared" si="1356"/>
        <v>86884.301536944942</v>
      </c>
      <c r="AQ167" s="19">
        <f t="shared" si="1356"/>
        <v>88853.528001681028</v>
      </c>
      <c r="AR167" s="19">
        <f t="shared" si="1356"/>
        <v>90830.440489534449</v>
      </c>
      <c r="AS167" s="19">
        <f t="shared" si="1356"/>
        <v>92858.347750593588</v>
      </c>
      <c r="AU167" s="21"/>
      <c r="AV167" s="21"/>
      <c r="AW167" s="21"/>
      <c r="AX167" s="21">
        <v>18700</v>
      </c>
      <c r="AY167" s="21">
        <v>25500</v>
      </c>
      <c r="AZ167" s="19">
        <f t="shared" ref="AZ167:AZ186" si="1357">E167</f>
        <v>20100</v>
      </c>
      <c r="BA167" s="19">
        <f t="shared" ref="BA167:BA186" si="1358">G167</f>
        <v>23800</v>
      </c>
      <c r="BB167" s="19">
        <f t="shared" ref="BB167:BB186" si="1359">I167</f>
        <v>20900</v>
      </c>
      <c r="BC167" s="19">
        <f t="shared" ref="BC167:BC186" si="1360">K167</f>
        <v>18000</v>
      </c>
      <c r="BD167" s="19">
        <f t="shared" ref="BD167:BD186" si="1361">M167</f>
        <v>17300</v>
      </c>
      <c r="BE167" s="19">
        <f t="shared" ref="BE167:BE186" si="1362">O167</f>
        <v>23800</v>
      </c>
      <c r="BF167" s="19">
        <f t="shared" ref="BF167:BF186" si="1363">Q167</f>
        <v>28900</v>
      </c>
      <c r="BG167" s="19">
        <f t="shared" ref="BG167:BG186" si="1364">S167</f>
        <v>20000</v>
      </c>
      <c r="BH167" s="19">
        <f t="shared" ref="BH167:BH186" si="1365">U167</f>
        <v>23600</v>
      </c>
      <c r="BI167" s="19">
        <f t="shared" ref="BI167:BI186" si="1366">W167</f>
        <v>24300</v>
      </c>
      <c r="BJ167" s="19">
        <f t="shared" ref="BJ167:BJ186" si="1367">Y167</f>
        <v>33600</v>
      </c>
      <c r="BK167" s="19">
        <f t="shared" ref="BK167:BK186" si="1368">AA167</f>
        <v>51000</v>
      </c>
      <c r="BL167" s="19">
        <f t="shared" ref="BL167:BL186" si="1369">AC167</f>
        <v>78600</v>
      </c>
      <c r="BM167" s="19">
        <f t="shared" ref="BM167:BM186" si="1370">AE167</f>
        <v>70000</v>
      </c>
      <c r="BN167" s="19">
        <f t="shared" ref="BN167:BN186" si="1371">AG167</f>
        <v>63000</v>
      </c>
      <c r="BO167" s="20">
        <f t="shared" ref="BO167:BO186" si="1372">AI167</f>
        <v>69200</v>
      </c>
      <c r="BP167" s="19">
        <f t="shared" ref="BP167:BP186" si="1373">AK167</f>
        <v>75034.446428571449</v>
      </c>
      <c r="BQ167" s="19">
        <f t="shared" ref="BQ167:BQ186" si="1374">AM167</f>
        <v>80542.420397630776</v>
      </c>
      <c r="BR167" s="19">
        <f t="shared" ref="BR167:BR186" si="1375">AO167</f>
        <v>84922.89356102841</v>
      </c>
      <c r="BS167" s="19">
        <f t="shared" ref="BS167:BS186" si="1376">AQ167</f>
        <v>88853.528001681028</v>
      </c>
      <c r="BT167" s="19">
        <f t="shared" ref="BT167:BT186" si="1377">AS167</f>
        <v>92858.347750593588</v>
      </c>
    </row>
    <row r="168" spans="1:72" ht="12" customHeight="1" outlineLevel="1">
      <c r="B168" s="1" t="s">
        <v>164</v>
      </c>
      <c r="D168" s="21">
        <v>0</v>
      </c>
      <c r="E168" s="21">
        <v>0</v>
      </c>
      <c r="F168" s="21">
        <v>0</v>
      </c>
      <c r="G168" s="21">
        <v>0</v>
      </c>
      <c r="H168" s="21">
        <v>0</v>
      </c>
      <c r="I168" s="21">
        <v>3000</v>
      </c>
      <c r="J168" s="21">
        <v>4500</v>
      </c>
      <c r="K168" s="21">
        <v>6200</v>
      </c>
      <c r="L168" s="21">
        <v>6200</v>
      </c>
      <c r="M168" s="21">
        <v>7400</v>
      </c>
      <c r="N168" s="21">
        <v>7900</v>
      </c>
      <c r="O168" s="21">
        <v>9500</v>
      </c>
      <c r="P168" s="21">
        <v>10400</v>
      </c>
      <c r="Q168" s="21">
        <v>13900</v>
      </c>
      <c r="R168" s="21">
        <v>15400</v>
      </c>
      <c r="S168" s="21">
        <v>16500</v>
      </c>
      <c r="T168" s="21">
        <v>16700</v>
      </c>
      <c r="U168" s="21">
        <v>15500</v>
      </c>
      <c r="V168" s="21">
        <v>17200</v>
      </c>
      <c r="W168" s="21">
        <v>21100</v>
      </c>
      <c r="X168" s="21">
        <v>23600</v>
      </c>
      <c r="Y168" s="21">
        <v>23500</v>
      </c>
      <c r="Z168" s="21">
        <v>13700</v>
      </c>
      <c r="AA168" s="21">
        <v>0</v>
      </c>
      <c r="AB168" s="21">
        <v>15500</v>
      </c>
      <c r="AC168" s="21">
        <v>0</v>
      </c>
      <c r="AD168" s="21">
        <v>0</v>
      </c>
      <c r="AE168" s="21">
        <v>0</v>
      </c>
      <c r="AF168" s="21">
        <v>0</v>
      </c>
      <c r="AG168" s="21">
        <v>0</v>
      </c>
      <c r="AH168" s="21">
        <v>0</v>
      </c>
      <c r="AI168" s="21">
        <v>0</v>
      </c>
      <c r="AJ168" s="24">
        <f t="shared" ref="AJ168" si="1378">AI168*AJ$171/AI$171</f>
        <v>0</v>
      </c>
      <c r="AK168" s="19">
        <f t="shared" ref="AK168" si="1379">AJ168*AK$171/AJ$171</f>
        <v>0</v>
      </c>
      <c r="AL168" s="19">
        <f t="shared" ref="AL168" si="1380">AK168*AL$171/AK$171</f>
        <v>0</v>
      </c>
      <c r="AM168" s="19">
        <f t="shared" ref="AM168" si="1381">AL168*AM$171/AL$171</f>
        <v>0</v>
      </c>
      <c r="AN168" s="19">
        <f t="shared" ref="AN168" si="1382">AM168*AN$171/AM$171</f>
        <v>0</v>
      </c>
      <c r="AO168" s="19">
        <f t="shared" ref="AO168" si="1383">AN168*AO$171/AN$171</f>
        <v>0</v>
      </c>
      <c r="AP168" s="19">
        <f t="shared" ref="AP168" si="1384">AO168*AP$171/AO$171</f>
        <v>0</v>
      </c>
      <c r="AQ168" s="19">
        <f t="shared" ref="AQ168" si="1385">AP168*AQ$171/AP$171</f>
        <v>0</v>
      </c>
      <c r="AR168" s="19">
        <f t="shared" ref="AR168" si="1386">AQ168*AR$171/AQ$171</f>
        <v>0</v>
      </c>
      <c r="AS168" s="19">
        <f t="shared" ref="AS168" si="1387">AR168*AS$171/AR$171</f>
        <v>0</v>
      </c>
      <c r="AU168" s="21"/>
      <c r="AV168" s="21"/>
      <c r="AW168" s="21"/>
      <c r="AX168" s="21">
        <v>0</v>
      </c>
      <c r="AY168" s="21">
        <v>0</v>
      </c>
      <c r="AZ168" s="19">
        <f t="shared" si="1357"/>
        <v>0</v>
      </c>
      <c r="BA168" s="19">
        <f t="shared" si="1358"/>
        <v>0</v>
      </c>
      <c r="BB168" s="19">
        <f t="shared" si="1359"/>
        <v>3000</v>
      </c>
      <c r="BC168" s="19">
        <f t="shared" si="1360"/>
        <v>6200</v>
      </c>
      <c r="BD168" s="19">
        <f t="shared" si="1361"/>
        <v>7400</v>
      </c>
      <c r="BE168" s="19">
        <f t="shared" si="1362"/>
        <v>9500</v>
      </c>
      <c r="BF168" s="19">
        <f t="shared" si="1363"/>
        <v>13900</v>
      </c>
      <c r="BG168" s="19">
        <f t="shared" si="1364"/>
        <v>16500</v>
      </c>
      <c r="BH168" s="19">
        <f t="shared" si="1365"/>
        <v>15500</v>
      </c>
      <c r="BI168" s="19">
        <f t="shared" si="1366"/>
        <v>21100</v>
      </c>
      <c r="BJ168" s="19">
        <f t="shared" si="1367"/>
        <v>23500</v>
      </c>
      <c r="BK168" s="19">
        <f t="shared" si="1368"/>
        <v>0</v>
      </c>
      <c r="BL168" s="19">
        <f t="shared" si="1369"/>
        <v>0</v>
      </c>
      <c r="BM168" s="19">
        <f t="shared" si="1370"/>
        <v>0</v>
      </c>
      <c r="BN168" s="19">
        <f t="shared" si="1371"/>
        <v>0</v>
      </c>
      <c r="BO168" s="20">
        <f t="shared" si="1372"/>
        <v>0</v>
      </c>
      <c r="BP168" s="19">
        <f t="shared" si="1373"/>
        <v>0</v>
      </c>
      <c r="BQ168" s="19">
        <f t="shared" si="1374"/>
        <v>0</v>
      </c>
      <c r="BR168" s="19">
        <f t="shared" si="1375"/>
        <v>0</v>
      </c>
      <c r="BS168" s="19">
        <f t="shared" si="1376"/>
        <v>0</v>
      </c>
      <c r="BT168" s="19">
        <f t="shared" si="1377"/>
        <v>0</v>
      </c>
    </row>
    <row r="169" spans="1:72" ht="12" customHeight="1" outlineLevel="1">
      <c r="B169" s="1" t="s">
        <v>165</v>
      </c>
      <c r="D169" s="21">
        <v>7700</v>
      </c>
      <c r="E169" s="21">
        <v>11300</v>
      </c>
      <c r="F169" s="21">
        <v>13400</v>
      </c>
      <c r="G169" s="21">
        <v>13400</v>
      </c>
      <c r="H169" s="21">
        <v>13300</v>
      </c>
      <c r="I169" s="21">
        <v>14500</v>
      </c>
      <c r="J169" s="21">
        <v>15000</v>
      </c>
      <c r="K169" s="21">
        <v>14500</v>
      </c>
      <c r="L169" s="21">
        <v>13900</v>
      </c>
      <c r="M169" s="21">
        <v>15400</v>
      </c>
      <c r="N169" s="21">
        <v>15200</v>
      </c>
      <c r="O169" s="21">
        <v>20600</v>
      </c>
      <c r="P169" s="21">
        <v>22400</v>
      </c>
      <c r="Q169" s="21">
        <v>20400</v>
      </c>
      <c r="R169" s="21">
        <v>23300</v>
      </c>
      <c r="S169" s="21">
        <v>21800</v>
      </c>
      <c r="T169" s="21">
        <v>17400</v>
      </c>
      <c r="U169" s="21">
        <v>17100</v>
      </c>
      <c r="V169" s="21">
        <v>18800</v>
      </c>
      <c r="W169" s="21">
        <v>20300</v>
      </c>
      <c r="X169" s="21">
        <v>25800</v>
      </c>
      <c r="Y169" s="21">
        <v>22000</v>
      </c>
      <c r="Z169" s="21">
        <v>25700</v>
      </c>
      <c r="AA169" s="21">
        <v>24400</v>
      </c>
      <c r="AB169" s="21">
        <v>30400</v>
      </c>
      <c r="AC169" s="21">
        <v>24300</v>
      </c>
      <c r="AD169" s="21">
        <v>32200</v>
      </c>
      <c r="AE169" s="21">
        <v>39100</v>
      </c>
      <c r="AF169" s="21">
        <v>33400</v>
      </c>
      <c r="AG169" s="21">
        <v>45300</v>
      </c>
      <c r="AH169" s="21">
        <v>48900</v>
      </c>
      <c r="AI169" s="21">
        <v>44000</v>
      </c>
      <c r="AJ169" s="24">
        <v>50900</v>
      </c>
      <c r="AK169" s="19">
        <f t="shared" ref="AK169:AS169" si="1388">AJ169*(1+(((AK$171/AJ$171)-1)/2))</f>
        <v>53045.185044642865</v>
      </c>
      <c r="AL169" s="19">
        <f t="shared" si="1388"/>
        <v>55034.604981709184</v>
      </c>
      <c r="AM169" s="19">
        <f t="shared" si="1388"/>
        <v>56939.016642213966</v>
      </c>
      <c r="AN169" s="19">
        <f t="shared" si="1388"/>
        <v>58537.389547500352</v>
      </c>
      <c r="AO169" s="19">
        <f t="shared" si="1388"/>
        <v>60035.767809115896</v>
      </c>
      <c r="AP169" s="19">
        <f t="shared" si="1388"/>
        <v>61422.374280979107</v>
      </c>
      <c r="AQ169" s="19">
        <f t="shared" si="1388"/>
        <v>62814.507990077262</v>
      </c>
      <c r="AR169" s="19">
        <f t="shared" si="1388"/>
        <v>64212.075290518085</v>
      </c>
      <c r="AS169" s="19">
        <f t="shared" si="1388"/>
        <v>65645.693062572391</v>
      </c>
      <c r="AU169" s="21"/>
      <c r="AV169" s="21"/>
      <c r="AW169" s="21"/>
      <c r="AX169" s="21">
        <v>11400</v>
      </c>
      <c r="AY169" s="21">
        <v>9100</v>
      </c>
      <c r="AZ169" s="19">
        <f t="shared" si="1357"/>
        <v>11300</v>
      </c>
      <c r="BA169" s="19">
        <f t="shared" si="1358"/>
        <v>13400</v>
      </c>
      <c r="BB169" s="19">
        <f t="shared" si="1359"/>
        <v>14500</v>
      </c>
      <c r="BC169" s="19">
        <f t="shared" si="1360"/>
        <v>14500</v>
      </c>
      <c r="BD169" s="19">
        <f t="shared" si="1361"/>
        <v>15400</v>
      </c>
      <c r="BE169" s="19">
        <f t="shared" si="1362"/>
        <v>20600</v>
      </c>
      <c r="BF169" s="19">
        <f t="shared" si="1363"/>
        <v>20400</v>
      </c>
      <c r="BG169" s="19">
        <f t="shared" si="1364"/>
        <v>21800</v>
      </c>
      <c r="BH169" s="19">
        <f t="shared" si="1365"/>
        <v>17100</v>
      </c>
      <c r="BI169" s="19">
        <f t="shared" si="1366"/>
        <v>20300</v>
      </c>
      <c r="BJ169" s="19">
        <f t="shared" si="1367"/>
        <v>22000</v>
      </c>
      <c r="BK169" s="19">
        <f t="shared" si="1368"/>
        <v>24400</v>
      </c>
      <c r="BL169" s="19">
        <f t="shared" si="1369"/>
        <v>24300</v>
      </c>
      <c r="BM169" s="19">
        <f t="shared" si="1370"/>
        <v>39100</v>
      </c>
      <c r="BN169" s="19">
        <f t="shared" si="1371"/>
        <v>45300</v>
      </c>
      <c r="BO169" s="20">
        <f t="shared" si="1372"/>
        <v>44000</v>
      </c>
      <c r="BP169" s="19">
        <f t="shared" si="1373"/>
        <v>53045.185044642865</v>
      </c>
      <c r="BQ169" s="19">
        <f t="shared" si="1374"/>
        <v>56939.016642213966</v>
      </c>
      <c r="BR169" s="19">
        <f t="shared" si="1375"/>
        <v>60035.767809115896</v>
      </c>
      <c r="BS169" s="19">
        <f t="shared" si="1376"/>
        <v>62814.507990077262</v>
      </c>
      <c r="BT169" s="19">
        <f t="shared" si="1377"/>
        <v>65645.693062572391</v>
      </c>
    </row>
    <row r="170" spans="1:72" ht="12" customHeight="1" outlineLevel="1">
      <c r="B170" s="1" t="s">
        <v>166</v>
      </c>
      <c r="D170" s="21">
        <v>5700</v>
      </c>
      <c r="E170" s="21">
        <v>6800</v>
      </c>
      <c r="F170" s="21">
        <v>7700</v>
      </c>
      <c r="G170" s="21">
        <v>7200</v>
      </c>
      <c r="H170" s="21">
        <v>8100</v>
      </c>
      <c r="I170" s="21">
        <v>7300</v>
      </c>
      <c r="J170" s="21">
        <v>8900</v>
      </c>
      <c r="K170" s="21">
        <v>9600</v>
      </c>
      <c r="L170" s="21">
        <v>11600</v>
      </c>
      <c r="M170" s="21">
        <v>11700</v>
      </c>
      <c r="N170" s="21">
        <v>11000</v>
      </c>
      <c r="O170" s="21">
        <v>11000</v>
      </c>
      <c r="P170" s="21">
        <v>10700</v>
      </c>
      <c r="Q170" s="21">
        <v>12500</v>
      </c>
      <c r="R170" s="21">
        <v>14400</v>
      </c>
      <c r="S170" s="21">
        <v>13600</v>
      </c>
      <c r="T170" s="21">
        <v>13300</v>
      </c>
      <c r="U170" s="21">
        <v>14100</v>
      </c>
      <c r="V170" s="21">
        <v>15000</v>
      </c>
      <c r="W170" s="21">
        <v>12600</v>
      </c>
      <c r="X170" s="21">
        <v>12700</v>
      </c>
      <c r="Y170" s="21">
        <v>12200</v>
      </c>
      <c r="Z170" s="21">
        <v>11100</v>
      </c>
      <c r="AA170" s="21">
        <v>10900</v>
      </c>
      <c r="AB170" s="21">
        <v>11200</v>
      </c>
      <c r="AC170" s="21">
        <v>12200</v>
      </c>
      <c r="AD170" s="21">
        <v>11600</v>
      </c>
      <c r="AE170" s="21">
        <v>13500</v>
      </c>
      <c r="AF170" s="21">
        <v>12600</v>
      </c>
      <c r="AG170" s="21">
        <v>12700</v>
      </c>
      <c r="AH170" s="21">
        <v>11000</v>
      </c>
      <c r="AI170" s="21">
        <v>11400</v>
      </c>
      <c r="AJ170" s="24">
        <v>9900</v>
      </c>
      <c r="AK170" s="25">
        <f t="shared" ref="AK170:AK171" si="1389">AJ170*AK115/AJ115</f>
        <v>10734.472767857147</v>
      </c>
      <c r="AL170" s="25">
        <f t="shared" ref="AL170:AL171" si="1390">AK170*AL115/AK115</f>
        <v>11539.649491071434</v>
      </c>
      <c r="AM170" s="25">
        <f t="shared" ref="AM170:AM171" si="1391">AL170*AM115/AL115</f>
        <v>12338.283116450899</v>
      </c>
      <c r="AN170" s="25">
        <f t="shared" ref="AN170:AN171" si="1392">AM170*AN115/AM115</f>
        <v>13030.995375779472</v>
      </c>
      <c r="AO170" s="25">
        <f t="shared" ref="AO170:AO171" si="1393">AN170*AO115/AN115</f>
        <v>13698.102684431722</v>
      </c>
      <c r="AP170" s="25">
        <f t="shared" ref="AP170:AP171" si="1394">AO170*AP115/AO115</f>
        <v>14330.854743000245</v>
      </c>
      <c r="AQ170" s="25">
        <f t="shared" ref="AQ170:AQ171" si="1395">AP170*AQ115/AP115</f>
        <v>14980.470333457744</v>
      </c>
      <c r="AR170" s="25">
        <f t="shared" ref="AR170:AR171" si="1396">AQ170*AR115/AQ115</f>
        <v>15647.074790076957</v>
      </c>
      <c r="AS170" s="25">
        <f t="shared" ref="AS170:AS171" si="1397">AR170*AS115/AR115</f>
        <v>16345.757223193388</v>
      </c>
      <c r="AU170" s="21"/>
      <c r="AV170" s="21"/>
      <c r="AW170" s="21"/>
      <c r="AX170" s="21">
        <v>11500</v>
      </c>
      <c r="AY170" s="21">
        <v>5600</v>
      </c>
      <c r="AZ170" s="19">
        <f t="shared" si="1357"/>
        <v>6800</v>
      </c>
      <c r="BA170" s="19">
        <f t="shared" si="1358"/>
        <v>7200</v>
      </c>
      <c r="BB170" s="19">
        <f t="shared" si="1359"/>
        <v>7300</v>
      </c>
      <c r="BC170" s="19">
        <f t="shared" si="1360"/>
        <v>9600</v>
      </c>
      <c r="BD170" s="19">
        <f t="shared" si="1361"/>
        <v>11700</v>
      </c>
      <c r="BE170" s="19">
        <f t="shared" si="1362"/>
        <v>11000</v>
      </c>
      <c r="BF170" s="19">
        <f t="shared" si="1363"/>
        <v>12500</v>
      </c>
      <c r="BG170" s="19">
        <f t="shared" si="1364"/>
        <v>13600</v>
      </c>
      <c r="BH170" s="19">
        <f t="shared" si="1365"/>
        <v>14100</v>
      </c>
      <c r="BI170" s="19">
        <f t="shared" si="1366"/>
        <v>12600</v>
      </c>
      <c r="BJ170" s="19">
        <f t="shared" si="1367"/>
        <v>12200</v>
      </c>
      <c r="BK170" s="19">
        <f t="shared" si="1368"/>
        <v>10900</v>
      </c>
      <c r="BL170" s="19">
        <f t="shared" si="1369"/>
        <v>12200</v>
      </c>
      <c r="BM170" s="19">
        <f t="shared" si="1370"/>
        <v>13500</v>
      </c>
      <c r="BN170" s="19">
        <f t="shared" si="1371"/>
        <v>12700</v>
      </c>
      <c r="BO170" s="20">
        <f t="shared" si="1372"/>
        <v>11400</v>
      </c>
      <c r="BP170" s="19">
        <f t="shared" si="1373"/>
        <v>10734.472767857147</v>
      </c>
      <c r="BQ170" s="19">
        <f t="shared" si="1374"/>
        <v>12338.283116450899</v>
      </c>
      <c r="BR170" s="19">
        <f t="shared" si="1375"/>
        <v>13698.102684431722</v>
      </c>
      <c r="BS170" s="19">
        <f t="shared" si="1376"/>
        <v>14980.470333457744</v>
      </c>
      <c r="BT170" s="19">
        <f t="shared" si="1377"/>
        <v>16345.757223193388</v>
      </c>
    </row>
    <row r="171" spans="1:72" ht="12" customHeight="1" outlineLevel="1">
      <c r="B171" s="1" t="s">
        <v>167</v>
      </c>
      <c r="D171" s="21">
        <v>18500</v>
      </c>
      <c r="E171" s="21">
        <v>21300</v>
      </c>
      <c r="F171" s="21">
        <v>23300</v>
      </c>
      <c r="G171" s="21">
        <v>26200</v>
      </c>
      <c r="H171" s="21">
        <f>27600-H168</f>
        <v>27600</v>
      </c>
      <c r="I171" s="21">
        <v>25800</v>
      </c>
      <c r="J171" s="21">
        <f>29600-J168</f>
        <v>25100</v>
      </c>
      <c r="K171" s="21">
        <v>25700</v>
      </c>
      <c r="L171" s="21">
        <v>26700</v>
      </c>
      <c r="M171" s="21">
        <v>26900</v>
      </c>
      <c r="N171" s="21">
        <v>29800</v>
      </c>
      <c r="O171" s="21">
        <v>33600</v>
      </c>
      <c r="P171" s="21">
        <v>38400</v>
      </c>
      <c r="Q171" s="21">
        <v>41100</v>
      </c>
      <c r="R171" s="21">
        <v>37100</v>
      </c>
      <c r="S171" s="21">
        <v>36100</v>
      </c>
      <c r="T171" s="21">
        <v>39000</v>
      </c>
      <c r="U171" s="21">
        <v>44700</v>
      </c>
      <c r="V171" s="21">
        <v>46800</v>
      </c>
      <c r="W171" s="21">
        <v>35000</v>
      </c>
      <c r="X171" s="21">
        <v>38300</v>
      </c>
      <c r="Y171" s="21">
        <v>41700</v>
      </c>
      <c r="Z171" s="21">
        <f>43600+21100</f>
        <v>64700</v>
      </c>
      <c r="AA171" s="21">
        <f>54200+22700</f>
        <v>76900</v>
      </c>
      <c r="AB171" s="21">
        <f>61300+24100</f>
        <v>85400</v>
      </c>
      <c r="AC171" s="21">
        <f>83000+23500</f>
        <v>106500</v>
      </c>
      <c r="AD171" s="21">
        <f>99500+23400</f>
        <v>122900</v>
      </c>
      <c r="AE171" s="21">
        <f>109000+22500</f>
        <v>131500</v>
      </c>
      <c r="AF171" s="21">
        <f>115200+24900</f>
        <v>140100</v>
      </c>
      <c r="AG171" s="21">
        <f>120400+26900</f>
        <v>147300</v>
      </c>
      <c r="AH171" s="21">
        <f>131000+27400</f>
        <v>158400</v>
      </c>
      <c r="AI171" s="21">
        <f>143000+27000</f>
        <v>170000</v>
      </c>
      <c r="AJ171" s="24">
        <f>161700+28200</f>
        <v>189900</v>
      </c>
      <c r="AK171" s="25">
        <f t="shared" si="1389"/>
        <v>205906.70491071432</v>
      </c>
      <c r="AL171" s="25">
        <f t="shared" si="1390"/>
        <v>221351.45841964291</v>
      </c>
      <c r="AM171" s="25">
        <f t="shared" si="1391"/>
        <v>236670.70341555809</v>
      </c>
      <c r="AN171" s="25">
        <f t="shared" si="1392"/>
        <v>249958.18402631526</v>
      </c>
      <c r="AO171" s="25">
        <f t="shared" si="1393"/>
        <v>262754.51512864477</v>
      </c>
      <c r="AP171" s="25">
        <f t="shared" si="1394"/>
        <v>274891.85007027735</v>
      </c>
      <c r="AQ171" s="25">
        <f t="shared" si="1395"/>
        <v>287352.65821450751</v>
      </c>
      <c r="AR171" s="25">
        <f t="shared" si="1396"/>
        <v>300139.34370056697</v>
      </c>
      <c r="AS171" s="25">
        <f t="shared" si="1397"/>
        <v>313541.34309943666</v>
      </c>
      <c r="AU171" s="21"/>
      <c r="AV171" s="21"/>
      <c r="AW171" s="21"/>
      <c r="AX171" s="21">
        <v>13800</v>
      </c>
      <c r="AY171" s="21">
        <v>17900</v>
      </c>
      <c r="AZ171" s="19">
        <f t="shared" si="1357"/>
        <v>21300</v>
      </c>
      <c r="BA171" s="19">
        <f t="shared" si="1358"/>
        <v>26200</v>
      </c>
      <c r="BB171" s="19">
        <f t="shared" si="1359"/>
        <v>25800</v>
      </c>
      <c r="BC171" s="19">
        <f t="shared" si="1360"/>
        <v>25700</v>
      </c>
      <c r="BD171" s="19">
        <f t="shared" si="1361"/>
        <v>26900</v>
      </c>
      <c r="BE171" s="19">
        <f t="shared" si="1362"/>
        <v>33600</v>
      </c>
      <c r="BF171" s="19">
        <f t="shared" si="1363"/>
        <v>41100</v>
      </c>
      <c r="BG171" s="19">
        <f t="shared" si="1364"/>
        <v>36100</v>
      </c>
      <c r="BH171" s="19">
        <f t="shared" si="1365"/>
        <v>44700</v>
      </c>
      <c r="BI171" s="19">
        <f t="shared" si="1366"/>
        <v>35000</v>
      </c>
      <c r="BJ171" s="19">
        <f t="shared" si="1367"/>
        <v>41700</v>
      </c>
      <c r="BK171" s="19">
        <f t="shared" si="1368"/>
        <v>76900</v>
      </c>
      <c r="BL171" s="19">
        <f t="shared" si="1369"/>
        <v>106500</v>
      </c>
      <c r="BM171" s="19">
        <f t="shared" si="1370"/>
        <v>131500</v>
      </c>
      <c r="BN171" s="19">
        <f t="shared" si="1371"/>
        <v>147300</v>
      </c>
      <c r="BO171" s="20">
        <f t="shared" si="1372"/>
        <v>170000</v>
      </c>
      <c r="BP171" s="19">
        <f t="shared" si="1373"/>
        <v>205906.70491071432</v>
      </c>
      <c r="BQ171" s="19">
        <f t="shared" si="1374"/>
        <v>236670.70341555809</v>
      </c>
      <c r="BR171" s="19">
        <f t="shared" si="1375"/>
        <v>262754.51512864477</v>
      </c>
      <c r="BS171" s="19">
        <f t="shared" si="1376"/>
        <v>287352.65821450751</v>
      </c>
      <c r="BT171" s="19">
        <f t="shared" si="1377"/>
        <v>313541.34309943666</v>
      </c>
    </row>
    <row r="172" spans="1:72" ht="12" customHeight="1" outlineLevel="1">
      <c r="B172" s="1" t="s">
        <v>168</v>
      </c>
      <c r="D172" s="21">
        <v>2300</v>
      </c>
      <c r="E172" s="21">
        <v>2500</v>
      </c>
      <c r="F172" s="21">
        <v>3200</v>
      </c>
      <c r="G172" s="21">
        <v>2600</v>
      </c>
      <c r="H172" s="21">
        <v>3500</v>
      </c>
      <c r="I172" s="21">
        <v>2300</v>
      </c>
      <c r="J172" s="21">
        <v>2200</v>
      </c>
      <c r="K172" s="21">
        <v>2100</v>
      </c>
      <c r="L172" s="21">
        <v>2800</v>
      </c>
      <c r="M172" s="21">
        <v>2600</v>
      </c>
      <c r="N172" s="62">
        <v>2700</v>
      </c>
      <c r="O172" s="62">
        <v>3100</v>
      </c>
      <c r="P172" s="62">
        <v>2400</v>
      </c>
      <c r="Q172" s="62">
        <v>2200</v>
      </c>
      <c r="R172" s="62">
        <v>2000</v>
      </c>
      <c r="S172" s="62">
        <v>1900</v>
      </c>
      <c r="T172" s="62">
        <v>1400</v>
      </c>
      <c r="U172" s="62">
        <v>1300</v>
      </c>
      <c r="V172" s="62">
        <v>1300</v>
      </c>
      <c r="W172" s="62">
        <v>1100</v>
      </c>
      <c r="X172" s="62">
        <v>1100</v>
      </c>
      <c r="Y172" s="62">
        <v>1700</v>
      </c>
      <c r="Z172" s="62">
        <v>1100</v>
      </c>
      <c r="AA172" s="62">
        <v>1300</v>
      </c>
      <c r="AB172" s="62">
        <v>1300</v>
      </c>
      <c r="AC172" s="62">
        <v>1400</v>
      </c>
      <c r="AD172" s="62">
        <v>3600</v>
      </c>
      <c r="AE172" s="62">
        <v>2400</v>
      </c>
      <c r="AF172" s="62">
        <v>2500</v>
      </c>
      <c r="AG172" s="62">
        <v>2600</v>
      </c>
      <c r="AH172" s="62">
        <v>2700</v>
      </c>
      <c r="AI172" s="62">
        <v>2700</v>
      </c>
      <c r="AJ172" s="57">
        <v>3800</v>
      </c>
      <c r="AK172" s="58">
        <f t="shared" ref="AK172" si="1398">AJ172</f>
        <v>3800</v>
      </c>
      <c r="AL172" s="58">
        <f t="shared" ref="AL172" si="1399">AK172</f>
        <v>3800</v>
      </c>
      <c r="AM172" s="58">
        <f t="shared" ref="AM172" si="1400">AL172</f>
        <v>3800</v>
      </c>
      <c r="AN172" s="58">
        <f t="shared" ref="AN172" si="1401">AM172</f>
        <v>3800</v>
      </c>
      <c r="AO172" s="58">
        <f t="shared" ref="AO172" si="1402">AN172</f>
        <v>3800</v>
      </c>
      <c r="AP172" s="58">
        <f t="shared" ref="AP172" si="1403">AO172</f>
        <v>3800</v>
      </c>
      <c r="AQ172" s="58">
        <f t="shared" ref="AQ172" si="1404">AP172</f>
        <v>3800</v>
      </c>
      <c r="AR172" s="58">
        <f t="shared" ref="AR172" si="1405">AQ172</f>
        <v>3800</v>
      </c>
      <c r="AS172" s="58">
        <f t="shared" ref="AS172" si="1406">AR172</f>
        <v>3800</v>
      </c>
      <c r="AU172" s="21"/>
      <c r="AV172" s="21"/>
      <c r="AW172" s="21"/>
      <c r="AX172" s="21">
        <v>1900</v>
      </c>
      <c r="AY172" s="21">
        <v>600</v>
      </c>
      <c r="AZ172" s="19">
        <f t="shared" si="1357"/>
        <v>2500</v>
      </c>
      <c r="BA172" s="19">
        <f t="shared" si="1358"/>
        <v>2600</v>
      </c>
      <c r="BB172" s="19">
        <f t="shared" si="1359"/>
        <v>2300</v>
      </c>
      <c r="BC172" s="19">
        <f t="shared" si="1360"/>
        <v>2100</v>
      </c>
      <c r="BD172" s="19">
        <f t="shared" si="1361"/>
        <v>2600</v>
      </c>
      <c r="BE172" s="19">
        <f t="shared" si="1362"/>
        <v>3100</v>
      </c>
      <c r="BF172" s="19">
        <f t="shared" si="1363"/>
        <v>2200</v>
      </c>
      <c r="BG172" s="19">
        <f t="shared" si="1364"/>
        <v>1900</v>
      </c>
      <c r="BH172" s="19">
        <f t="shared" si="1365"/>
        <v>1300</v>
      </c>
      <c r="BI172" s="19">
        <f t="shared" si="1366"/>
        <v>1100</v>
      </c>
      <c r="BJ172" s="19">
        <f t="shared" si="1367"/>
        <v>1700</v>
      </c>
      <c r="BK172" s="19">
        <f t="shared" si="1368"/>
        <v>1300</v>
      </c>
      <c r="BL172" s="19">
        <f t="shared" si="1369"/>
        <v>1400</v>
      </c>
      <c r="BM172" s="19">
        <f t="shared" si="1370"/>
        <v>2400</v>
      </c>
      <c r="BN172" s="19">
        <f t="shared" si="1371"/>
        <v>2600</v>
      </c>
      <c r="BO172" s="20">
        <f t="shared" si="1372"/>
        <v>2700</v>
      </c>
      <c r="BP172" s="19">
        <f t="shared" si="1373"/>
        <v>3800</v>
      </c>
      <c r="BQ172" s="19">
        <f t="shared" si="1374"/>
        <v>3800</v>
      </c>
      <c r="BR172" s="19">
        <f t="shared" si="1375"/>
        <v>3800</v>
      </c>
      <c r="BS172" s="19">
        <f t="shared" si="1376"/>
        <v>3800</v>
      </c>
      <c r="BT172" s="19">
        <f t="shared" si="1377"/>
        <v>3800</v>
      </c>
    </row>
    <row r="173" spans="1:72" ht="12" customHeight="1" outlineLevel="1">
      <c r="B173" s="1" t="s">
        <v>169</v>
      </c>
      <c r="D173" s="21">
        <f>1800+100</f>
        <v>1900</v>
      </c>
      <c r="E173" s="21">
        <f>1600+100</f>
        <v>1700</v>
      </c>
      <c r="F173" s="21">
        <v>1800</v>
      </c>
      <c r="G173" s="21">
        <v>1800</v>
      </c>
      <c r="H173" s="21">
        <v>1700</v>
      </c>
      <c r="I173" s="21">
        <v>1400</v>
      </c>
      <c r="J173" s="21">
        <v>1200</v>
      </c>
      <c r="K173" s="21">
        <v>1100</v>
      </c>
      <c r="L173" s="21">
        <v>1100</v>
      </c>
      <c r="M173" s="21">
        <v>1000</v>
      </c>
      <c r="N173" s="21">
        <v>1100</v>
      </c>
      <c r="O173" s="21">
        <v>1100</v>
      </c>
      <c r="P173" s="21">
        <v>1100</v>
      </c>
      <c r="Q173" s="21">
        <v>1100</v>
      </c>
      <c r="R173" s="21">
        <v>800</v>
      </c>
      <c r="S173" s="21">
        <v>800</v>
      </c>
      <c r="T173" s="21">
        <v>800</v>
      </c>
      <c r="U173" s="21">
        <v>800</v>
      </c>
      <c r="V173" s="21">
        <v>800</v>
      </c>
      <c r="W173" s="21">
        <v>400</v>
      </c>
      <c r="X173" s="21">
        <v>400</v>
      </c>
      <c r="Y173" s="21">
        <v>400</v>
      </c>
      <c r="Z173" s="21">
        <v>400</v>
      </c>
      <c r="AA173" s="21">
        <v>500</v>
      </c>
      <c r="AB173" s="21">
        <v>500</v>
      </c>
      <c r="AC173" s="21">
        <v>600</v>
      </c>
      <c r="AD173" s="21">
        <v>700</v>
      </c>
      <c r="AE173" s="21">
        <v>700</v>
      </c>
      <c r="AF173" s="21">
        <v>700</v>
      </c>
      <c r="AG173" s="21">
        <v>700</v>
      </c>
      <c r="AH173" s="21">
        <v>700</v>
      </c>
      <c r="AI173" s="21">
        <v>800</v>
      </c>
      <c r="AJ173" s="24">
        <v>2400</v>
      </c>
      <c r="AK173" s="25">
        <f t="shared" ref="AK173" si="1407">AJ173*AK118/AJ118</f>
        <v>2461.4597201321367</v>
      </c>
      <c r="AL173" s="25">
        <f t="shared" ref="AL173" si="1408">AK173*AL118/AK118</f>
        <v>2578.2969074615335</v>
      </c>
      <c r="AM173" s="25">
        <f t="shared" ref="AM173" si="1409">AL173*AM118/AL118</f>
        <v>2659.2730764943558</v>
      </c>
      <c r="AN173" s="25">
        <f t="shared" ref="AN173" si="1410">AM173*AN118/AM118</f>
        <v>2679.7366276777898</v>
      </c>
      <c r="AO173" s="25">
        <f t="shared" ref="AO173" si="1411">AN173*AO118/AN118</f>
        <v>2701.6617455406072</v>
      </c>
      <c r="AP173" s="25">
        <f t="shared" ref="AP173" si="1412">AO173*AP118/AO118</f>
        <v>2725.0248702440381</v>
      </c>
      <c r="AQ173" s="25">
        <f t="shared" ref="AQ173" si="1413">AP173*AQ118/AP118</f>
        <v>2726.8138754912602</v>
      </c>
      <c r="AR173" s="25">
        <f t="shared" ref="AR173" si="1414">AQ173*AR118/AQ118</f>
        <v>2708.1738799981817</v>
      </c>
      <c r="AS173" s="25">
        <f t="shared" ref="AS173" si="1415">AR173*AS118/AR118</f>
        <v>2692.2614539458232</v>
      </c>
      <c r="AU173" s="21"/>
      <c r="AV173" s="21"/>
      <c r="AW173" s="21"/>
      <c r="AX173" s="21">
        <v>2400</v>
      </c>
      <c r="AY173" s="21">
        <f>2100+100</f>
        <v>2200</v>
      </c>
      <c r="AZ173" s="19">
        <f t="shared" si="1357"/>
        <v>1700</v>
      </c>
      <c r="BA173" s="19">
        <f t="shared" si="1358"/>
        <v>1800</v>
      </c>
      <c r="BB173" s="19">
        <f t="shared" si="1359"/>
        <v>1400</v>
      </c>
      <c r="BC173" s="19">
        <f t="shared" si="1360"/>
        <v>1100</v>
      </c>
      <c r="BD173" s="19">
        <f t="shared" si="1361"/>
        <v>1000</v>
      </c>
      <c r="BE173" s="19">
        <f t="shared" si="1362"/>
        <v>1100</v>
      </c>
      <c r="BF173" s="19">
        <f t="shared" si="1363"/>
        <v>1100</v>
      </c>
      <c r="BG173" s="19">
        <f t="shared" si="1364"/>
        <v>800</v>
      </c>
      <c r="BH173" s="19">
        <f t="shared" si="1365"/>
        <v>800</v>
      </c>
      <c r="BI173" s="19">
        <f t="shared" si="1366"/>
        <v>400</v>
      </c>
      <c r="BJ173" s="19">
        <f t="shared" si="1367"/>
        <v>400</v>
      </c>
      <c r="BK173" s="19">
        <f t="shared" si="1368"/>
        <v>500</v>
      </c>
      <c r="BL173" s="19">
        <f t="shared" si="1369"/>
        <v>600</v>
      </c>
      <c r="BM173" s="19">
        <f t="shared" si="1370"/>
        <v>700</v>
      </c>
      <c r="BN173" s="19">
        <f t="shared" si="1371"/>
        <v>700</v>
      </c>
      <c r="BO173" s="20">
        <f t="shared" si="1372"/>
        <v>800</v>
      </c>
      <c r="BP173" s="19">
        <f t="shared" si="1373"/>
        <v>2461.4597201321367</v>
      </c>
      <c r="BQ173" s="19">
        <f t="shared" si="1374"/>
        <v>2659.2730764943558</v>
      </c>
      <c r="BR173" s="19">
        <f t="shared" si="1375"/>
        <v>2701.6617455406072</v>
      </c>
      <c r="BS173" s="19">
        <f t="shared" si="1376"/>
        <v>2726.8138754912602</v>
      </c>
      <c r="BT173" s="19">
        <f t="shared" si="1377"/>
        <v>2692.2614539458232</v>
      </c>
    </row>
    <row r="174" spans="1:72" ht="12" customHeight="1" outlineLevel="1">
      <c r="B174" s="1" t="s">
        <v>171</v>
      </c>
      <c r="D174" s="21">
        <v>1400</v>
      </c>
      <c r="E174" s="21">
        <v>1200</v>
      </c>
      <c r="F174" s="21">
        <v>1200</v>
      </c>
      <c r="G174" s="21">
        <v>700</v>
      </c>
      <c r="H174" s="21">
        <v>0</v>
      </c>
      <c r="I174" s="21">
        <v>0</v>
      </c>
      <c r="J174" s="21">
        <v>0</v>
      </c>
      <c r="K174" s="21">
        <v>0</v>
      </c>
      <c r="L174" s="21">
        <v>0</v>
      </c>
      <c r="M174" s="21">
        <v>0</v>
      </c>
      <c r="N174" s="62">
        <v>0</v>
      </c>
      <c r="O174" s="62">
        <v>0</v>
      </c>
      <c r="P174" s="62">
        <v>0</v>
      </c>
      <c r="Q174" s="62">
        <v>0</v>
      </c>
      <c r="R174" s="62">
        <v>0</v>
      </c>
      <c r="S174" s="62">
        <v>0</v>
      </c>
      <c r="T174" s="62">
        <v>0</v>
      </c>
      <c r="U174" s="62">
        <v>0</v>
      </c>
      <c r="V174" s="62">
        <v>0</v>
      </c>
      <c r="W174" s="62">
        <v>0</v>
      </c>
      <c r="X174" s="62">
        <v>0</v>
      </c>
      <c r="Y174" s="62">
        <v>0</v>
      </c>
      <c r="Z174" s="62">
        <v>0</v>
      </c>
      <c r="AA174" s="62">
        <v>0</v>
      </c>
      <c r="AB174" s="62">
        <v>0</v>
      </c>
      <c r="AC174" s="62">
        <v>0</v>
      </c>
      <c r="AD174" s="62">
        <v>0</v>
      </c>
      <c r="AE174" s="62">
        <v>0</v>
      </c>
      <c r="AF174" s="62">
        <v>0</v>
      </c>
      <c r="AG174" s="62">
        <v>0</v>
      </c>
      <c r="AH174" s="62">
        <v>0</v>
      </c>
      <c r="AI174" s="62">
        <v>0</v>
      </c>
      <c r="AJ174" s="57">
        <v>0</v>
      </c>
      <c r="AK174" s="58">
        <f t="shared" ref="AK174:AK175" si="1416">AJ174</f>
        <v>0</v>
      </c>
      <c r="AL174" s="58">
        <f t="shared" ref="AL174:AL175" si="1417">AK174</f>
        <v>0</v>
      </c>
      <c r="AM174" s="58">
        <f t="shared" ref="AM174:AM175" si="1418">AL174</f>
        <v>0</v>
      </c>
      <c r="AN174" s="58">
        <f t="shared" ref="AN174:AN175" si="1419">AM174</f>
        <v>0</v>
      </c>
      <c r="AO174" s="58">
        <f t="shared" ref="AO174:AO175" si="1420">AN174</f>
        <v>0</v>
      </c>
      <c r="AP174" s="58">
        <f t="shared" ref="AP174:AP175" si="1421">AO174</f>
        <v>0</v>
      </c>
      <c r="AQ174" s="58">
        <f t="shared" ref="AQ174:AQ175" si="1422">AP174</f>
        <v>0</v>
      </c>
      <c r="AR174" s="58">
        <f t="shared" ref="AR174:AR175" si="1423">AQ174</f>
        <v>0</v>
      </c>
      <c r="AS174" s="58">
        <f t="shared" ref="AS174:AS175" si="1424">AR174</f>
        <v>0</v>
      </c>
      <c r="AU174" s="21"/>
      <c r="AV174" s="21"/>
      <c r="AW174" s="21"/>
      <c r="AX174" s="21">
        <v>8800</v>
      </c>
      <c r="AY174" s="21">
        <v>3800</v>
      </c>
      <c r="AZ174" s="19">
        <f t="shared" si="1357"/>
        <v>1200</v>
      </c>
      <c r="BA174" s="19">
        <f t="shared" si="1358"/>
        <v>700</v>
      </c>
      <c r="BB174" s="19">
        <f t="shared" si="1359"/>
        <v>0</v>
      </c>
      <c r="BC174" s="19">
        <f t="shared" si="1360"/>
        <v>0</v>
      </c>
      <c r="BD174" s="19">
        <f t="shared" si="1361"/>
        <v>0</v>
      </c>
      <c r="BE174" s="19">
        <f t="shared" si="1362"/>
        <v>0</v>
      </c>
      <c r="BF174" s="19">
        <f t="shared" si="1363"/>
        <v>0</v>
      </c>
      <c r="BG174" s="19">
        <f t="shared" si="1364"/>
        <v>0</v>
      </c>
      <c r="BH174" s="19">
        <f t="shared" si="1365"/>
        <v>0</v>
      </c>
      <c r="BI174" s="19">
        <f t="shared" si="1366"/>
        <v>0</v>
      </c>
      <c r="BJ174" s="19">
        <f t="shared" si="1367"/>
        <v>0</v>
      </c>
      <c r="BK174" s="19">
        <f t="shared" si="1368"/>
        <v>0</v>
      </c>
      <c r="BL174" s="19">
        <f t="shared" si="1369"/>
        <v>0</v>
      </c>
      <c r="BM174" s="19">
        <f t="shared" si="1370"/>
        <v>0</v>
      </c>
      <c r="BN174" s="19">
        <f t="shared" si="1371"/>
        <v>0</v>
      </c>
      <c r="BO174" s="20">
        <f t="shared" si="1372"/>
        <v>0</v>
      </c>
      <c r="BP174" s="19">
        <f t="shared" si="1373"/>
        <v>0</v>
      </c>
      <c r="BQ174" s="19">
        <f t="shared" si="1374"/>
        <v>0</v>
      </c>
      <c r="BR174" s="19">
        <f t="shared" si="1375"/>
        <v>0</v>
      </c>
      <c r="BS174" s="19">
        <f t="shared" si="1376"/>
        <v>0</v>
      </c>
      <c r="BT174" s="19">
        <f t="shared" si="1377"/>
        <v>0</v>
      </c>
    </row>
    <row r="175" spans="1:72" ht="12" customHeight="1" outlineLevel="1">
      <c r="B175" s="1" t="s">
        <v>172</v>
      </c>
      <c r="D175" s="21">
        <v>-5500</v>
      </c>
      <c r="E175" s="21">
        <v>-6900</v>
      </c>
      <c r="F175" s="21">
        <v>-6400</v>
      </c>
      <c r="G175" s="21">
        <v>-4600</v>
      </c>
      <c r="H175" s="21">
        <v>-3400</v>
      </c>
      <c r="I175" s="21">
        <v>-1700</v>
      </c>
      <c r="J175" s="21">
        <v>-2500</v>
      </c>
      <c r="K175" s="21">
        <v>-4200</v>
      </c>
      <c r="L175" s="21">
        <v>-3600</v>
      </c>
      <c r="M175" s="21">
        <v>-5000</v>
      </c>
      <c r="N175" s="62">
        <v>-3700</v>
      </c>
      <c r="O175" s="62">
        <v>-6400</v>
      </c>
      <c r="P175" s="62">
        <v>-6300</v>
      </c>
      <c r="Q175" s="62">
        <v>-6200</v>
      </c>
      <c r="R175" s="62">
        <v>-5200</v>
      </c>
      <c r="S175" s="62">
        <v>-6700</v>
      </c>
      <c r="T175" s="62">
        <v>-4200</v>
      </c>
      <c r="U175" s="62">
        <v>-12900</v>
      </c>
      <c r="V175" s="62">
        <v>-14100</v>
      </c>
      <c r="W175" s="62">
        <v>-14800</v>
      </c>
      <c r="X175" s="62">
        <v>-14200</v>
      </c>
      <c r="Y175" s="62">
        <v>-12200</v>
      </c>
      <c r="Z175" s="62">
        <v>-9900</v>
      </c>
      <c r="AA175" s="62">
        <v>-12400</v>
      </c>
      <c r="AB175" s="62">
        <v>-6400</v>
      </c>
      <c r="AC175" s="62">
        <v>-8300</v>
      </c>
      <c r="AD175" s="62">
        <v>-9100</v>
      </c>
      <c r="AE175" s="62">
        <v>-10000</v>
      </c>
      <c r="AF175" s="62">
        <v>-8500</v>
      </c>
      <c r="AG175" s="62">
        <v>-7300</v>
      </c>
      <c r="AH175" s="62">
        <v>-5200</v>
      </c>
      <c r="AI175" s="62">
        <v>-2800</v>
      </c>
      <c r="AJ175" s="57">
        <v>-7500</v>
      </c>
      <c r="AK175" s="58">
        <f t="shared" si="1416"/>
        <v>-7500</v>
      </c>
      <c r="AL175" s="58">
        <f t="shared" si="1417"/>
        <v>-7500</v>
      </c>
      <c r="AM175" s="58">
        <f t="shared" si="1418"/>
        <v>-7500</v>
      </c>
      <c r="AN175" s="58">
        <f t="shared" si="1419"/>
        <v>-7500</v>
      </c>
      <c r="AO175" s="58">
        <f t="shared" si="1420"/>
        <v>-7500</v>
      </c>
      <c r="AP175" s="58">
        <f t="shared" si="1421"/>
        <v>-7500</v>
      </c>
      <c r="AQ175" s="58">
        <f t="shared" si="1422"/>
        <v>-7500</v>
      </c>
      <c r="AR175" s="58">
        <f t="shared" si="1423"/>
        <v>-7500</v>
      </c>
      <c r="AS175" s="58">
        <f t="shared" si="1424"/>
        <v>-7500</v>
      </c>
      <c r="AU175" s="21"/>
      <c r="AV175" s="21"/>
      <c r="AW175" s="21"/>
      <c r="AX175" s="21">
        <v>-5800</v>
      </c>
      <c r="AY175" s="21">
        <v>-2500</v>
      </c>
      <c r="AZ175" s="19">
        <f t="shared" si="1357"/>
        <v>-6900</v>
      </c>
      <c r="BA175" s="19">
        <f t="shared" si="1358"/>
        <v>-4600</v>
      </c>
      <c r="BB175" s="19">
        <f t="shared" si="1359"/>
        <v>-1700</v>
      </c>
      <c r="BC175" s="19">
        <f t="shared" si="1360"/>
        <v>-4200</v>
      </c>
      <c r="BD175" s="19">
        <f t="shared" si="1361"/>
        <v>-5000</v>
      </c>
      <c r="BE175" s="19">
        <f t="shared" si="1362"/>
        <v>-6400</v>
      </c>
      <c r="BF175" s="19">
        <f t="shared" si="1363"/>
        <v>-6200</v>
      </c>
      <c r="BG175" s="19">
        <f t="shared" si="1364"/>
        <v>-6700</v>
      </c>
      <c r="BH175" s="19">
        <f t="shared" si="1365"/>
        <v>-12900</v>
      </c>
      <c r="BI175" s="19">
        <f t="shared" si="1366"/>
        <v>-14800</v>
      </c>
      <c r="BJ175" s="19">
        <f t="shared" si="1367"/>
        <v>-12200</v>
      </c>
      <c r="BK175" s="19">
        <f t="shared" si="1368"/>
        <v>-12400</v>
      </c>
      <c r="BL175" s="19">
        <f t="shared" si="1369"/>
        <v>-8300</v>
      </c>
      <c r="BM175" s="19">
        <f t="shared" si="1370"/>
        <v>-10000</v>
      </c>
      <c r="BN175" s="19">
        <f t="shared" si="1371"/>
        <v>-7300</v>
      </c>
      <c r="BO175" s="20">
        <f t="shared" si="1372"/>
        <v>-2800</v>
      </c>
      <c r="BP175" s="19">
        <f t="shared" si="1373"/>
        <v>-7500</v>
      </c>
      <c r="BQ175" s="19">
        <f t="shared" si="1374"/>
        <v>-7500</v>
      </c>
      <c r="BR175" s="19">
        <f t="shared" si="1375"/>
        <v>-7500</v>
      </c>
      <c r="BS175" s="19">
        <f t="shared" si="1376"/>
        <v>-7500</v>
      </c>
      <c r="BT175" s="19">
        <f t="shared" si="1377"/>
        <v>-7500</v>
      </c>
    </row>
    <row r="176" spans="1:72" ht="12" customHeight="1" outlineLevel="1">
      <c r="B176" s="1" t="s">
        <v>170</v>
      </c>
      <c r="D176" s="21">
        <f>400+200</f>
        <v>600</v>
      </c>
      <c r="E176" s="21">
        <f>1100+100</f>
        <v>1200</v>
      </c>
      <c r="F176" s="21">
        <f>1200+500</f>
        <v>1700</v>
      </c>
      <c r="G176" s="21">
        <v>1000</v>
      </c>
      <c r="H176" s="21">
        <f>1100+600</f>
        <v>1700</v>
      </c>
      <c r="I176" s="21">
        <v>900</v>
      </c>
      <c r="J176" s="21">
        <f>1100-400</f>
        <v>700</v>
      </c>
      <c r="K176" s="21">
        <f>1000-100</f>
        <v>900</v>
      </c>
      <c r="L176" s="21">
        <f>1200-100</f>
        <v>1100</v>
      </c>
      <c r="M176" s="21">
        <v>1100</v>
      </c>
      <c r="N176" s="21">
        <v>1200</v>
      </c>
      <c r="O176" s="21">
        <v>1200</v>
      </c>
      <c r="P176" s="21">
        <v>600</v>
      </c>
      <c r="Q176" s="21">
        <v>700</v>
      </c>
      <c r="R176" s="21">
        <v>600</v>
      </c>
      <c r="S176" s="21">
        <v>600</v>
      </c>
      <c r="T176" s="21">
        <v>700</v>
      </c>
      <c r="U176" s="21">
        <v>500</v>
      </c>
      <c r="V176" s="21">
        <v>600</v>
      </c>
      <c r="W176" s="21">
        <v>600</v>
      </c>
      <c r="X176" s="21">
        <v>600</v>
      </c>
      <c r="Y176" s="21">
        <v>600</v>
      </c>
      <c r="Z176" s="21">
        <v>600</v>
      </c>
      <c r="AA176" s="21">
        <v>800</v>
      </c>
      <c r="AB176" s="21">
        <v>800</v>
      </c>
      <c r="AC176" s="21">
        <v>800</v>
      </c>
      <c r="AD176" s="21">
        <f>900-1300</f>
        <v>-400</v>
      </c>
      <c r="AE176" s="21">
        <v>1100</v>
      </c>
      <c r="AF176" s="21">
        <v>1500</v>
      </c>
      <c r="AG176" s="21">
        <v>2100</v>
      </c>
      <c r="AH176" s="21">
        <v>2300</v>
      </c>
      <c r="AI176" s="21">
        <v>7200</v>
      </c>
      <c r="AJ176" s="24">
        <v>6300</v>
      </c>
      <c r="AK176" s="25">
        <f t="shared" ref="AK176" si="1425">AJ176*AK121/AJ121</f>
        <v>6565.5140625000013</v>
      </c>
      <c r="AL176" s="25">
        <f t="shared" ref="AL176" si="1426">AK176*AL121/AK121</f>
        <v>6811.748750191904</v>
      </c>
      <c r="AM176" s="25">
        <f t="shared" ref="AM176" si="1427">AL176*AM121/AL121</f>
        <v>7047.461784792692</v>
      </c>
      <c r="AN176" s="25">
        <f t="shared" ref="AN176" si="1428">AM176*AN121/AM121</f>
        <v>7245.2957593173332</v>
      </c>
      <c r="AO176" s="25">
        <f t="shared" ref="AO176" si="1429">AN176*AO121/AN121</f>
        <v>7430.7531865899828</v>
      </c>
      <c r="AP176" s="25">
        <f t="shared" ref="AP176" si="1430">AO176*AP121/AO121</f>
        <v>7602.376384482679</v>
      </c>
      <c r="AQ176" s="25">
        <f t="shared" ref="AQ176" si="1431">AP176*AQ121/AP121</f>
        <v>7774.6837001470867</v>
      </c>
      <c r="AR176" s="25">
        <f t="shared" ref="AR176" si="1432">AQ176*AR121/AQ121</f>
        <v>7947.6635428342624</v>
      </c>
      <c r="AS176" s="25">
        <f t="shared" ref="AS176" si="1433">AR176*AS121/AR121</f>
        <v>8125.1054281769393</v>
      </c>
      <c r="AU176" s="21"/>
      <c r="AV176" s="21"/>
      <c r="AW176" s="21"/>
      <c r="AX176" s="21">
        <v>200</v>
      </c>
      <c r="AY176" s="21">
        <v>400</v>
      </c>
      <c r="AZ176" s="19">
        <f t="shared" si="1357"/>
        <v>1200</v>
      </c>
      <c r="BA176" s="19">
        <f t="shared" si="1358"/>
        <v>1000</v>
      </c>
      <c r="BB176" s="19">
        <f t="shared" si="1359"/>
        <v>900</v>
      </c>
      <c r="BC176" s="19">
        <f t="shared" si="1360"/>
        <v>900</v>
      </c>
      <c r="BD176" s="19">
        <f t="shared" si="1361"/>
        <v>1100</v>
      </c>
      <c r="BE176" s="19">
        <f t="shared" si="1362"/>
        <v>1200</v>
      </c>
      <c r="BF176" s="19">
        <f t="shared" si="1363"/>
        <v>700</v>
      </c>
      <c r="BG176" s="19">
        <f t="shared" si="1364"/>
        <v>600</v>
      </c>
      <c r="BH176" s="19">
        <f t="shared" si="1365"/>
        <v>500</v>
      </c>
      <c r="BI176" s="19">
        <f t="shared" si="1366"/>
        <v>600</v>
      </c>
      <c r="BJ176" s="19">
        <f t="shared" si="1367"/>
        <v>600</v>
      </c>
      <c r="BK176" s="19">
        <f t="shared" si="1368"/>
        <v>800</v>
      </c>
      <c r="BL176" s="19">
        <f t="shared" si="1369"/>
        <v>800</v>
      </c>
      <c r="BM176" s="19">
        <f t="shared" si="1370"/>
        <v>1100</v>
      </c>
      <c r="BN176" s="19">
        <f t="shared" si="1371"/>
        <v>2100</v>
      </c>
      <c r="BO176" s="20">
        <f t="shared" si="1372"/>
        <v>7200</v>
      </c>
      <c r="BP176" s="19">
        <f t="shared" si="1373"/>
        <v>6565.5140625000013</v>
      </c>
      <c r="BQ176" s="19">
        <f t="shared" si="1374"/>
        <v>7047.461784792692</v>
      </c>
      <c r="BR176" s="19">
        <f t="shared" si="1375"/>
        <v>7430.7531865899828</v>
      </c>
      <c r="BS176" s="19">
        <f t="shared" si="1376"/>
        <v>7774.6837001470867</v>
      </c>
      <c r="BT176" s="19">
        <f t="shared" si="1377"/>
        <v>8125.1054281769393</v>
      </c>
    </row>
    <row r="177" spans="1:72" ht="12" hidden="1" customHeight="1" outlineLevel="2">
      <c r="B177" s="1" t="s">
        <v>173</v>
      </c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20"/>
      <c r="AK177" s="19"/>
      <c r="AL177" s="19"/>
      <c r="AM177" s="19"/>
      <c r="AN177" s="19"/>
      <c r="AO177" s="19"/>
      <c r="AP177" s="19"/>
      <c r="AQ177" s="19"/>
      <c r="AR177" s="19"/>
      <c r="AS177" s="19"/>
      <c r="AU177" s="19"/>
      <c r="AV177" s="19"/>
      <c r="AW177" s="19"/>
      <c r="AX177" s="19"/>
      <c r="AY177" s="19"/>
      <c r="AZ177" s="19">
        <f t="shared" si="1357"/>
        <v>0</v>
      </c>
      <c r="BA177" s="19">
        <f t="shared" si="1358"/>
        <v>0</v>
      </c>
      <c r="BB177" s="19">
        <f t="shared" si="1359"/>
        <v>0</v>
      </c>
      <c r="BC177" s="19">
        <f t="shared" si="1360"/>
        <v>0</v>
      </c>
      <c r="BD177" s="19">
        <f t="shared" si="1361"/>
        <v>0</v>
      </c>
      <c r="BE177" s="19">
        <f t="shared" si="1362"/>
        <v>0</v>
      </c>
      <c r="BF177" s="19">
        <f t="shared" si="1363"/>
        <v>0</v>
      </c>
      <c r="BG177" s="19">
        <f t="shared" si="1364"/>
        <v>0</v>
      </c>
      <c r="BH177" s="19">
        <f t="shared" si="1365"/>
        <v>0</v>
      </c>
      <c r="BI177" s="19">
        <f t="shared" si="1366"/>
        <v>0</v>
      </c>
      <c r="BJ177" s="19">
        <f t="shared" si="1367"/>
        <v>0</v>
      </c>
      <c r="BK177" s="19">
        <f t="shared" si="1368"/>
        <v>0</v>
      </c>
      <c r="BL177" s="19">
        <f t="shared" si="1369"/>
        <v>0</v>
      </c>
      <c r="BM177" s="19">
        <f t="shared" si="1370"/>
        <v>0</v>
      </c>
      <c r="BN177" s="19">
        <f t="shared" si="1371"/>
        <v>0</v>
      </c>
      <c r="BO177" s="20">
        <f t="shared" si="1372"/>
        <v>0</v>
      </c>
      <c r="BP177" s="19">
        <f t="shared" si="1373"/>
        <v>0</v>
      </c>
      <c r="BQ177" s="19">
        <f t="shared" si="1374"/>
        <v>0</v>
      </c>
      <c r="BR177" s="19">
        <f t="shared" si="1375"/>
        <v>0</v>
      </c>
      <c r="BS177" s="19">
        <f t="shared" si="1376"/>
        <v>0</v>
      </c>
      <c r="BT177" s="19">
        <f t="shared" si="1377"/>
        <v>0</v>
      </c>
    </row>
    <row r="178" spans="1:72" ht="12" hidden="1" customHeight="1" outlineLevel="2">
      <c r="B178" s="1" t="s">
        <v>173</v>
      </c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20"/>
      <c r="AK178" s="19"/>
      <c r="AL178" s="19"/>
      <c r="AM178" s="19"/>
      <c r="AN178" s="19"/>
      <c r="AO178" s="19"/>
      <c r="AP178" s="19"/>
      <c r="AQ178" s="19"/>
      <c r="AR178" s="19"/>
      <c r="AS178" s="19"/>
      <c r="AU178" s="19"/>
      <c r="AV178" s="19"/>
      <c r="AW178" s="19"/>
      <c r="AX178" s="19"/>
      <c r="AY178" s="19"/>
      <c r="AZ178" s="19">
        <f t="shared" si="1357"/>
        <v>0</v>
      </c>
      <c r="BA178" s="19">
        <f t="shared" si="1358"/>
        <v>0</v>
      </c>
      <c r="BB178" s="19">
        <f t="shared" si="1359"/>
        <v>0</v>
      </c>
      <c r="BC178" s="19">
        <f t="shared" si="1360"/>
        <v>0</v>
      </c>
      <c r="BD178" s="19">
        <f t="shared" si="1361"/>
        <v>0</v>
      </c>
      <c r="BE178" s="19">
        <f t="shared" si="1362"/>
        <v>0</v>
      </c>
      <c r="BF178" s="19">
        <f t="shared" si="1363"/>
        <v>0</v>
      </c>
      <c r="BG178" s="19">
        <f t="shared" si="1364"/>
        <v>0</v>
      </c>
      <c r="BH178" s="19">
        <f t="shared" si="1365"/>
        <v>0</v>
      </c>
      <c r="BI178" s="19">
        <f t="shared" si="1366"/>
        <v>0</v>
      </c>
      <c r="BJ178" s="19">
        <f t="shared" si="1367"/>
        <v>0</v>
      </c>
      <c r="BK178" s="19">
        <f t="shared" si="1368"/>
        <v>0</v>
      </c>
      <c r="BL178" s="19">
        <f t="shared" si="1369"/>
        <v>0</v>
      </c>
      <c r="BM178" s="19">
        <f t="shared" si="1370"/>
        <v>0</v>
      </c>
      <c r="BN178" s="19">
        <f t="shared" si="1371"/>
        <v>0</v>
      </c>
      <c r="BO178" s="20">
        <f t="shared" si="1372"/>
        <v>0</v>
      </c>
      <c r="BP178" s="19">
        <f t="shared" si="1373"/>
        <v>0</v>
      </c>
      <c r="BQ178" s="19">
        <f t="shared" si="1374"/>
        <v>0</v>
      </c>
      <c r="BR178" s="19">
        <f t="shared" si="1375"/>
        <v>0</v>
      </c>
      <c r="BS178" s="19">
        <f t="shared" si="1376"/>
        <v>0</v>
      </c>
      <c r="BT178" s="19">
        <f t="shared" si="1377"/>
        <v>0</v>
      </c>
    </row>
    <row r="179" spans="1:72" ht="12" hidden="1" customHeight="1" outlineLevel="2">
      <c r="B179" s="1" t="s">
        <v>173</v>
      </c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20"/>
      <c r="AK179" s="19"/>
      <c r="AL179" s="19"/>
      <c r="AM179" s="19"/>
      <c r="AN179" s="19"/>
      <c r="AO179" s="19"/>
      <c r="AP179" s="19"/>
      <c r="AQ179" s="19"/>
      <c r="AR179" s="19"/>
      <c r="AS179" s="19"/>
      <c r="AU179" s="19"/>
      <c r="AV179" s="19"/>
      <c r="AW179" s="19"/>
      <c r="AX179" s="19"/>
      <c r="AY179" s="19"/>
      <c r="AZ179" s="19">
        <f t="shared" si="1357"/>
        <v>0</v>
      </c>
      <c r="BA179" s="19">
        <f t="shared" si="1358"/>
        <v>0</v>
      </c>
      <c r="BB179" s="19">
        <f t="shared" si="1359"/>
        <v>0</v>
      </c>
      <c r="BC179" s="19">
        <f t="shared" si="1360"/>
        <v>0</v>
      </c>
      <c r="BD179" s="19">
        <f t="shared" si="1361"/>
        <v>0</v>
      </c>
      <c r="BE179" s="19">
        <f t="shared" si="1362"/>
        <v>0</v>
      </c>
      <c r="BF179" s="19">
        <f t="shared" si="1363"/>
        <v>0</v>
      </c>
      <c r="BG179" s="19">
        <f t="shared" si="1364"/>
        <v>0</v>
      </c>
      <c r="BH179" s="19">
        <f t="shared" si="1365"/>
        <v>0</v>
      </c>
      <c r="BI179" s="19">
        <f t="shared" si="1366"/>
        <v>0</v>
      </c>
      <c r="BJ179" s="19">
        <f t="shared" si="1367"/>
        <v>0</v>
      </c>
      <c r="BK179" s="19">
        <f t="shared" si="1368"/>
        <v>0</v>
      </c>
      <c r="BL179" s="19">
        <f t="shared" si="1369"/>
        <v>0</v>
      </c>
      <c r="BM179" s="19">
        <f t="shared" si="1370"/>
        <v>0</v>
      </c>
      <c r="BN179" s="19">
        <f t="shared" si="1371"/>
        <v>0</v>
      </c>
      <c r="BO179" s="20">
        <f t="shared" si="1372"/>
        <v>0</v>
      </c>
      <c r="BP179" s="19">
        <f t="shared" si="1373"/>
        <v>0</v>
      </c>
      <c r="BQ179" s="19">
        <f t="shared" si="1374"/>
        <v>0</v>
      </c>
      <c r="BR179" s="19">
        <f t="shared" si="1375"/>
        <v>0</v>
      </c>
      <c r="BS179" s="19">
        <f t="shared" si="1376"/>
        <v>0</v>
      </c>
      <c r="BT179" s="19">
        <f t="shared" si="1377"/>
        <v>0</v>
      </c>
    </row>
    <row r="180" spans="1:72" ht="12" hidden="1" customHeight="1" outlineLevel="2">
      <c r="B180" s="1" t="s">
        <v>173</v>
      </c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20"/>
      <c r="AK180" s="19"/>
      <c r="AL180" s="19"/>
      <c r="AM180" s="19"/>
      <c r="AN180" s="19"/>
      <c r="AO180" s="19"/>
      <c r="AP180" s="19"/>
      <c r="AQ180" s="19"/>
      <c r="AR180" s="19"/>
      <c r="AS180" s="19"/>
      <c r="AU180" s="19"/>
      <c r="AV180" s="19"/>
      <c r="AW180" s="19"/>
      <c r="AX180" s="19"/>
      <c r="AY180" s="19"/>
      <c r="AZ180" s="19">
        <f t="shared" si="1357"/>
        <v>0</v>
      </c>
      <c r="BA180" s="19">
        <f t="shared" si="1358"/>
        <v>0</v>
      </c>
      <c r="BB180" s="19">
        <f t="shared" si="1359"/>
        <v>0</v>
      </c>
      <c r="BC180" s="19">
        <f t="shared" si="1360"/>
        <v>0</v>
      </c>
      <c r="BD180" s="19">
        <f t="shared" si="1361"/>
        <v>0</v>
      </c>
      <c r="BE180" s="19">
        <f t="shared" si="1362"/>
        <v>0</v>
      </c>
      <c r="BF180" s="19">
        <f t="shared" si="1363"/>
        <v>0</v>
      </c>
      <c r="BG180" s="19">
        <f t="shared" si="1364"/>
        <v>0</v>
      </c>
      <c r="BH180" s="19">
        <f t="shared" si="1365"/>
        <v>0</v>
      </c>
      <c r="BI180" s="19">
        <f t="shared" si="1366"/>
        <v>0</v>
      </c>
      <c r="BJ180" s="19">
        <f t="shared" si="1367"/>
        <v>0</v>
      </c>
      <c r="BK180" s="19">
        <f t="shared" si="1368"/>
        <v>0</v>
      </c>
      <c r="BL180" s="19">
        <f t="shared" si="1369"/>
        <v>0</v>
      </c>
      <c r="BM180" s="19">
        <f t="shared" si="1370"/>
        <v>0</v>
      </c>
      <c r="BN180" s="19">
        <f t="shared" si="1371"/>
        <v>0</v>
      </c>
      <c r="BO180" s="20">
        <f t="shared" si="1372"/>
        <v>0</v>
      </c>
      <c r="BP180" s="19">
        <f t="shared" si="1373"/>
        <v>0</v>
      </c>
      <c r="BQ180" s="19">
        <f t="shared" si="1374"/>
        <v>0</v>
      </c>
      <c r="BR180" s="19">
        <f t="shared" si="1375"/>
        <v>0</v>
      </c>
      <c r="BS180" s="19">
        <f t="shared" si="1376"/>
        <v>0</v>
      </c>
      <c r="BT180" s="19">
        <f t="shared" si="1377"/>
        <v>0</v>
      </c>
    </row>
    <row r="181" spans="1:72" ht="12" hidden="1" customHeight="1" outlineLevel="2">
      <c r="B181" s="1" t="s">
        <v>173</v>
      </c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20"/>
      <c r="AK181" s="19"/>
      <c r="AL181" s="19"/>
      <c r="AM181" s="19"/>
      <c r="AN181" s="19"/>
      <c r="AO181" s="19"/>
      <c r="AP181" s="19"/>
      <c r="AQ181" s="19"/>
      <c r="AR181" s="19"/>
      <c r="AS181" s="19"/>
      <c r="AU181" s="19"/>
      <c r="AV181" s="19"/>
      <c r="AW181" s="19"/>
      <c r="AX181" s="19"/>
      <c r="AY181" s="19"/>
      <c r="AZ181" s="19">
        <f t="shared" si="1357"/>
        <v>0</v>
      </c>
      <c r="BA181" s="19">
        <f t="shared" si="1358"/>
        <v>0</v>
      </c>
      <c r="BB181" s="19">
        <f t="shared" si="1359"/>
        <v>0</v>
      </c>
      <c r="BC181" s="19">
        <f t="shared" si="1360"/>
        <v>0</v>
      </c>
      <c r="BD181" s="19">
        <f t="shared" si="1361"/>
        <v>0</v>
      </c>
      <c r="BE181" s="19">
        <f t="shared" si="1362"/>
        <v>0</v>
      </c>
      <c r="BF181" s="19">
        <f t="shared" si="1363"/>
        <v>0</v>
      </c>
      <c r="BG181" s="19">
        <f t="shared" si="1364"/>
        <v>0</v>
      </c>
      <c r="BH181" s="19">
        <f t="shared" si="1365"/>
        <v>0</v>
      </c>
      <c r="BI181" s="19">
        <f t="shared" si="1366"/>
        <v>0</v>
      </c>
      <c r="BJ181" s="19">
        <f t="shared" si="1367"/>
        <v>0</v>
      </c>
      <c r="BK181" s="19">
        <f t="shared" si="1368"/>
        <v>0</v>
      </c>
      <c r="BL181" s="19">
        <f t="shared" si="1369"/>
        <v>0</v>
      </c>
      <c r="BM181" s="19">
        <f t="shared" si="1370"/>
        <v>0</v>
      </c>
      <c r="BN181" s="19">
        <f t="shared" si="1371"/>
        <v>0</v>
      </c>
      <c r="BO181" s="20">
        <f t="shared" si="1372"/>
        <v>0</v>
      </c>
      <c r="BP181" s="19">
        <f t="shared" si="1373"/>
        <v>0</v>
      </c>
      <c r="BQ181" s="19">
        <f t="shared" si="1374"/>
        <v>0</v>
      </c>
      <c r="BR181" s="19">
        <f t="shared" si="1375"/>
        <v>0</v>
      </c>
      <c r="BS181" s="19">
        <f t="shared" si="1376"/>
        <v>0</v>
      </c>
      <c r="BT181" s="19">
        <f t="shared" si="1377"/>
        <v>0</v>
      </c>
    </row>
    <row r="182" spans="1:72" ht="12" hidden="1" customHeight="1" outlineLevel="2">
      <c r="B182" s="1" t="s">
        <v>173</v>
      </c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20"/>
      <c r="AK182" s="19"/>
      <c r="AL182" s="19"/>
      <c r="AM182" s="19"/>
      <c r="AN182" s="19"/>
      <c r="AO182" s="19"/>
      <c r="AP182" s="19"/>
      <c r="AQ182" s="19"/>
      <c r="AR182" s="19"/>
      <c r="AS182" s="19"/>
      <c r="AU182" s="19"/>
      <c r="AV182" s="19"/>
      <c r="AW182" s="19"/>
      <c r="AX182" s="19"/>
      <c r="AY182" s="19"/>
      <c r="AZ182" s="19">
        <f t="shared" si="1357"/>
        <v>0</v>
      </c>
      <c r="BA182" s="19">
        <f t="shared" si="1358"/>
        <v>0</v>
      </c>
      <c r="BB182" s="19">
        <f t="shared" si="1359"/>
        <v>0</v>
      </c>
      <c r="BC182" s="19">
        <f t="shared" si="1360"/>
        <v>0</v>
      </c>
      <c r="BD182" s="19">
        <f t="shared" si="1361"/>
        <v>0</v>
      </c>
      <c r="BE182" s="19">
        <f t="shared" si="1362"/>
        <v>0</v>
      </c>
      <c r="BF182" s="19">
        <f t="shared" si="1363"/>
        <v>0</v>
      </c>
      <c r="BG182" s="19">
        <f t="shared" si="1364"/>
        <v>0</v>
      </c>
      <c r="BH182" s="19">
        <f t="shared" si="1365"/>
        <v>0</v>
      </c>
      <c r="BI182" s="19">
        <f t="shared" si="1366"/>
        <v>0</v>
      </c>
      <c r="BJ182" s="19">
        <f t="shared" si="1367"/>
        <v>0</v>
      </c>
      <c r="BK182" s="19">
        <f t="shared" si="1368"/>
        <v>0</v>
      </c>
      <c r="BL182" s="19">
        <f t="shared" si="1369"/>
        <v>0</v>
      </c>
      <c r="BM182" s="19">
        <f t="shared" si="1370"/>
        <v>0</v>
      </c>
      <c r="BN182" s="19">
        <f t="shared" si="1371"/>
        <v>0</v>
      </c>
      <c r="BO182" s="20">
        <f t="shared" si="1372"/>
        <v>0</v>
      </c>
      <c r="BP182" s="19">
        <f t="shared" si="1373"/>
        <v>0</v>
      </c>
      <c r="BQ182" s="19">
        <f t="shared" si="1374"/>
        <v>0</v>
      </c>
      <c r="BR182" s="19">
        <f t="shared" si="1375"/>
        <v>0</v>
      </c>
      <c r="BS182" s="19">
        <f t="shared" si="1376"/>
        <v>0</v>
      </c>
      <c r="BT182" s="19">
        <f t="shared" si="1377"/>
        <v>0</v>
      </c>
    </row>
    <row r="183" spans="1:72" ht="12" hidden="1" customHeight="1" outlineLevel="2">
      <c r="B183" s="1" t="s">
        <v>173</v>
      </c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20"/>
      <c r="AK183" s="19"/>
      <c r="AL183" s="19"/>
      <c r="AM183" s="19"/>
      <c r="AN183" s="19"/>
      <c r="AO183" s="19"/>
      <c r="AP183" s="19"/>
      <c r="AQ183" s="19"/>
      <c r="AR183" s="19"/>
      <c r="AS183" s="19"/>
      <c r="AU183" s="19"/>
      <c r="AV183" s="19"/>
      <c r="AW183" s="19"/>
      <c r="AX183" s="19"/>
      <c r="AY183" s="19"/>
      <c r="AZ183" s="19">
        <f t="shared" si="1357"/>
        <v>0</v>
      </c>
      <c r="BA183" s="19">
        <f t="shared" si="1358"/>
        <v>0</v>
      </c>
      <c r="BB183" s="19">
        <f t="shared" si="1359"/>
        <v>0</v>
      </c>
      <c r="BC183" s="19">
        <f t="shared" si="1360"/>
        <v>0</v>
      </c>
      <c r="BD183" s="19">
        <f t="shared" si="1361"/>
        <v>0</v>
      </c>
      <c r="BE183" s="19">
        <f t="shared" si="1362"/>
        <v>0</v>
      </c>
      <c r="BF183" s="19">
        <f t="shared" si="1363"/>
        <v>0</v>
      </c>
      <c r="BG183" s="19">
        <f t="shared" si="1364"/>
        <v>0</v>
      </c>
      <c r="BH183" s="19">
        <f t="shared" si="1365"/>
        <v>0</v>
      </c>
      <c r="BI183" s="19">
        <f t="shared" si="1366"/>
        <v>0</v>
      </c>
      <c r="BJ183" s="19">
        <f t="shared" si="1367"/>
        <v>0</v>
      </c>
      <c r="BK183" s="19">
        <f t="shared" si="1368"/>
        <v>0</v>
      </c>
      <c r="BL183" s="19">
        <f t="shared" si="1369"/>
        <v>0</v>
      </c>
      <c r="BM183" s="19">
        <f t="shared" si="1370"/>
        <v>0</v>
      </c>
      <c r="BN183" s="19">
        <f t="shared" si="1371"/>
        <v>0</v>
      </c>
      <c r="BO183" s="20">
        <f t="shared" si="1372"/>
        <v>0</v>
      </c>
      <c r="BP183" s="19">
        <f t="shared" si="1373"/>
        <v>0</v>
      </c>
      <c r="BQ183" s="19">
        <f t="shared" si="1374"/>
        <v>0</v>
      </c>
      <c r="BR183" s="19">
        <f t="shared" si="1375"/>
        <v>0</v>
      </c>
      <c r="BS183" s="19">
        <f t="shared" si="1376"/>
        <v>0</v>
      </c>
      <c r="BT183" s="19">
        <f t="shared" si="1377"/>
        <v>0</v>
      </c>
    </row>
    <row r="184" spans="1:72" ht="12" hidden="1" customHeight="1" outlineLevel="2">
      <c r="B184" s="1" t="s">
        <v>173</v>
      </c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20"/>
      <c r="AK184" s="19"/>
      <c r="AL184" s="19"/>
      <c r="AM184" s="19"/>
      <c r="AN184" s="19"/>
      <c r="AO184" s="19"/>
      <c r="AP184" s="19"/>
      <c r="AQ184" s="19"/>
      <c r="AR184" s="19"/>
      <c r="AS184" s="19"/>
      <c r="AU184" s="19"/>
      <c r="AV184" s="19"/>
      <c r="AW184" s="19"/>
      <c r="AX184" s="19"/>
      <c r="AY184" s="19"/>
      <c r="AZ184" s="19">
        <f t="shared" si="1357"/>
        <v>0</v>
      </c>
      <c r="BA184" s="19">
        <f t="shared" si="1358"/>
        <v>0</v>
      </c>
      <c r="BB184" s="19">
        <f t="shared" si="1359"/>
        <v>0</v>
      </c>
      <c r="BC184" s="19">
        <f t="shared" si="1360"/>
        <v>0</v>
      </c>
      <c r="BD184" s="19">
        <f t="shared" si="1361"/>
        <v>0</v>
      </c>
      <c r="BE184" s="19">
        <f t="shared" si="1362"/>
        <v>0</v>
      </c>
      <c r="BF184" s="19">
        <f t="shared" si="1363"/>
        <v>0</v>
      </c>
      <c r="BG184" s="19">
        <f t="shared" si="1364"/>
        <v>0</v>
      </c>
      <c r="BH184" s="19">
        <f t="shared" si="1365"/>
        <v>0</v>
      </c>
      <c r="BI184" s="19">
        <f t="shared" si="1366"/>
        <v>0</v>
      </c>
      <c r="BJ184" s="19">
        <f t="shared" si="1367"/>
        <v>0</v>
      </c>
      <c r="BK184" s="19">
        <f t="shared" si="1368"/>
        <v>0</v>
      </c>
      <c r="BL184" s="19">
        <f t="shared" si="1369"/>
        <v>0</v>
      </c>
      <c r="BM184" s="19">
        <f t="shared" si="1370"/>
        <v>0</v>
      </c>
      <c r="BN184" s="19">
        <f t="shared" si="1371"/>
        <v>0</v>
      </c>
      <c r="BO184" s="20">
        <f t="shared" si="1372"/>
        <v>0</v>
      </c>
      <c r="BP184" s="19">
        <f t="shared" si="1373"/>
        <v>0</v>
      </c>
      <c r="BQ184" s="19">
        <f t="shared" si="1374"/>
        <v>0</v>
      </c>
      <c r="BR184" s="19">
        <f t="shared" si="1375"/>
        <v>0</v>
      </c>
      <c r="BS184" s="19">
        <f t="shared" si="1376"/>
        <v>0</v>
      </c>
      <c r="BT184" s="19">
        <f t="shared" si="1377"/>
        <v>0</v>
      </c>
    </row>
    <row r="185" spans="1:72" ht="12" hidden="1" customHeight="1" outlineLevel="2">
      <c r="B185" s="1" t="s">
        <v>173</v>
      </c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20"/>
      <c r="AK185" s="19"/>
      <c r="AL185" s="19"/>
      <c r="AM185" s="19"/>
      <c r="AN185" s="19"/>
      <c r="AO185" s="19"/>
      <c r="AP185" s="19"/>
      <c r="AQ185" s="19"/>
      <c r="AR185" s="19"/>
      <c r="AS185" s="19"/>
      <c r="AU185" s="19"/>
      <c r="AV185" s="19"/>
      <c r="AW185" s="19"/>
      <c r="AX185" s="19"/>
      <c r="AY185" s="19"/>
      <c r="AZ185" s="19">
        <f t="shared" si="1357"/>
        <v>0</v>
      </c>
      <c r="BA185" s="19">
        <f t="shared" si="1358"/>
        <v>0</v>
      </c>
      <c r="BB185" s="19">
        <f t="shared" si="1359"/>
        <v>0</v>
      </c>
      <c r="BC185" s="19">
        <f t="shared" si="1360"/>
        <v>0</v>
      </c>
      <c r="BD185" s="19">
        <f t="shared" si="1361"/>
        <v>0</v>
      </c>
      <c r="BE185" s="19">
        <f t="shared" si="1362"/>
        <v>0</v>
      </c>
      <c r="BF185" s="19">
        <f t="shared" si="1363"/>
        <v>0</v>
      </c>
      <c r="BG185" s="19">
        <f t="shared" si="1364"/>
        <v>0</v>
      </c>
      <c r="BH185" s="19">
        <f t="shared" si="1365"/>
        <v>0</v>
      </c>
      <c r="BI185" s="19">
        <f t="shared" si="1366"/>
        <v>0</v>
      </c>
      <c r="BJ185" s="19">
        <f t="shared" si="1367"/>
        <v>0</v>
      </c>
      <c r="BK185" s="19">
        <f t="shared" si="1368"/>
        <v>0</v>
      </c>
      <c r="BL185" s="19">
        <f t="shared" si="1369"/>
        <v>0</v>
      </c>
      <c r="BM185" s="19">
        <f t="shared" si="1370"/>
        <v>0</v>
      </c>
      <c r="BN185" s="19">
        <f t="shared" si="1371"/>
        <v>0</v>
      </c>
      <c r="BO185" s="20">
        <f t="shared" si="1372"/>
        <v>0</v>
      </c>
      <c r="BP185" s="19">
        <f t="shared" si="1373"/>
        <v>0</v>
      </c>
      <c r="BQ185" s="19">
        <f t="shared" si="1374"/>
        <v>0</v>
      </c>
      <c r="BR185" s="19">
        <f t="shared" si="1375"/>
        <v>0</v>
      </c>
      <c r="BS185" s="19">
        <f t="shared" si="1376"/>
        <v>0</v>
      </c>
      <c r="BT185" s="19">
        <f t="shared" si="1377"/>
        <v>0</v>
      </c>
    </row>
    <row r="186" spans="1:72" ht="12" hidden="1" customHeight="1" outlineLevel="2">
      <c r="B186" s="1" t="s">
        <v>173</v>
      </c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20"/>
      <c r="AK186" s="19"/>
      <c r="AL186" s="19"/>
      <c r="AM186" s="19"/>
      <c r="AN186" s="19"/>
      <c r="AO186" s="19"/>
      <c r="AP186" s="19"/>
      <c r="AQ186" s="19"/>
      <c r="AR186" s="19"/>
      <c r="AS186" s="19"/>
      <c r="AU186" s="19"/>
      <c r="AV186" s="19"/>
      <c r="AW186" s="19"/>
      <c r="AX186" s="19"/>
      <c r="AY186" s="19"/>
      <c r="AZ186" s="19">
        <f t="shared" si="1357"/>
        <v>0</v>
      </c>
      <c r="BA186" s="19">
        <f t="shared" si="1358"/>
        <v>0</v>
      </c>
      <c r="BB186" s="19">
        <f t="shared" si="1359"/>
        <v>0</v>
      </c>
      <c r="BC186" s="19">
        <f t="shared" si="1360"/>
        <v>0</v>
      </c>
      <c r="BD186" s="19">
        <f t="shared" si="1361"/>
        <v>0</v>
      </c>
      <c r="BE186" s="19">
        <f t="shared" si="1362"/>
        <v>0</v>
      </c>
      <c r="BF186" s="19">
        <f t="shared" si="1363"/>
        <v>0</v>
      </c>
      <c r="BG186" s="19">
        <f t="shared" si="1364"/>
        <v>0</v>
      </c>
      <c r="BH186" s="19">
        <f t="shared" si="1365"/>
        <v>0</v>
      </c>
      <c r="BI186" s="19">
        <f t="shared" si="1366"/>
        <v>0</v>
      </c>
      <c r="BJ186" s="19">
        <f t="shared" si="1367"/>
        <v>0</v>
      </c>
      <c r="BK186" s="19">
        <f t="shared" si="1368"/>
        <v>0</v>
      </c>
      <c r="BL186" s="19">
        <f t="shared" si="1369"/>
        <v>0</v>
      </c>
      <c r="BM186" s="19">
        <f t="shared" si="1370"/>
        <v>0</v>
      </c>
      <c r="BN186" s="19">
        <f t="shared" si="1371"/>
        <v>0</v>
      </c>
      <c r="BO186" s="20">
        <f t="shared" si="1372"/>
        <v>0</v>
      </c>
      <c r="BP186" s="19">
        <f t="shared" si="1373"/>
        <v>0</v>
      </c>
      <c r="BQ186" s="19">
        <f t="shared" si="1374"/>
        <v>0</v>
      </c>
      <c r="BR186" s="19">
        <f t="shared" si="1375"/>
        <v>0</v>
      </c>
      <c r="BS186" s="19">
        <f t="shared" si="1376"/>
        <v>0</v>
      </c>
      <c r="BT186" s="19">
        <f t="shared" si="1377"/>
        <v>0</v>
      </c>
    </row>
    <row r="187" spans="1:72" s="9" customFormat="1" ht="12" customHeight="1" outlineLevel="1" collapsed="1">
      <c r="A187" s="91"/>
      <c r="B187" s="9" t="s">
        <v>174</v>
      </c>
      <c r="D187" s="17">
        <f t="shared" ref="D187:J187" si="1434">SUM(D167:D186)</f>
        <v>56300</v>
      </c>
      <c r="E187" s="17">
        <f t="shared" si="1434"/>
        <v>59200</v>
      </c>
      <c r="F187" s="17">
        <f t="shared" si="1434"/>
        <v>70000</v>
      </c>
      <c r="G187" s="17">
        <f t="shared" si="1434"/>
        <v>72100</v>
      </c>
      <c r="H187" s="17">
        <f t="shared" si="1434"/>
        <v>78300</v>
      </c>
      <c r="I187" s="17">
        <f t="shared" si="1434"/>
        <v>74400</v>
      </c>
      <c r="J187" s="17">
        <f t="shared" si="1434"/>
        <v>75900</v>
      </c>
      <c r="K187" s="17">
        <f>SUM(K167:K186)</f>
        <v>73900</v>
      </c>
      <c r="L187" s="17">
        <f t="shared" ref="L187:M187" si="1435">SUM(L167:L186)</f>
        <v>79200</v>
      </c>
      <c r="M187" s="17">
        <f t="shared" si="1435"/>
        <v>78400</v>
      </c>
      <c r="N187" s="17">
        <f t="shared" ref="N187:O187" si="1436">SUM(N167:N186)</f>
        <v>84700</v>
      </c>
      <c r="O187" s="17">
        <f t="shared" si="1436"/>
        <v>97500</v>
      </c>
      <c r="P187" s="17">
        <f t="shared" ref="P187:Q187" si="1437">SUM(P167:P186)</f>
        <v>106200</v>
      </c>
      <c r="Q187" s="17">
        <f t="shared" si="1437"/>
        <v>114600</v>
      </c>
      <c r="R187" s="17">
        <f t="shared" ref="R187:S187" si="1438">SUM(R167:R186)</f>
        <v>107100</v>
      </c>
      <c r="S187" s="17">
        <f t="shared" si="1438"/>
        <v>104600</v>
      </c>
      <c r="T187" s="17">
        <f t="shared" ref="T187:U187" si="1439">SUM(T167:T186)</f>
        <v>107900</v>
      </c>
      <c r="U187" s="17">
        <f t="shared" si="1439"/>
        <v>104700</v>
      </c>
      <c r="V187" s="17">
        <f t="shared" ref="V187:W187" si="1440">SUM(V167:V186)</f>
        <v>107800</v>
      </c>
      <c r="W187" s="17">
        <f t="shared" si="1440"/>
        <v>100600</v>
      </c>
      <c r="X187" s="17">
        <f t="shared" ref="X187:Y187" si="1441">SUM(X167:X186)</f>
        <v>110200</v>
      </c>
      <c r="Y187" s="17">
        <f t="shared" si="1441"/>
        <v>123500</v>
      </c>
      <c r="Z187" s="17">
        <f t="shared" ref="Z187:AA187" si="1442">SUM(Z167:Z186)</f>
        <v>140300</v>
      </c>
      <c r="AA187" s="17">
        <f t="shared" si="1442"/>
        <v>153400</v>
      </c>
      <c r="AB187" s="17">
        <f t="shared" ref="AB187:AC187" si="1443">SUM(AB167:AB186)</f>
        <v>185300</v>
      </c>
      <c r="AC187" s="17">
        <f t="shared" si="1443"/>
        <v>216100</v>
      </c>
      <c r="AD187" s="17">
        <f t="shared" ref="AD187:AE187" si="1444">SUM(AD167:AD186)</f>
        <v>246500</v>
      </c>
      <c r="AE187" s="17">
        <f t="shared" si="1444"/>
        <v>248300</v>
      </c>
      <c r="AF187" s="17">
        <f t="shared" ref="AF187:AG187" si="1445">SUM(AF167:AF186)</f>
        <v>254300</v>
      </c>
      <c r="AG187" s="17">
        <f t="shared" si="1445"/>
        <v>266400</v>
      </c>
      <c r="AH187" s="17">
        <f t="shared" ref="AH187:AJ187" si="1446">SUM(AH167:AH186)</f>
        <v>278700</v>
      </c>
      <c r="AI187" s="17">
        <f t="shared" si="1446"/>
        <v>302500</v>
      </c>
      <c r="AJ187" s="18">
        <f t="shared" si="1446"/>
        <v>327700</v>
      </c>
      <c r="AK187" s="17">
        <f t="shared" ref="AK187" si="1447">SUM(AK167:AK186)</f>
        <v>350047.78293441789</v>
      </c>
      <c r="AL187" s="17">
        <f t="shared" ref="AL187:AM187" si="1448">SUM(AL167:AL186)</f>
        <v>371464.3156951273</v>
      </c>
      <c r="AM187" s="17">
        <f t="shared" si="1448"/>
        <v>392497.15843314084</v>
      </c>
      <c r="AN187" s="17">
        <f t="shared" ref="AN187:AO187" si="1449">SUM(AN167:AN186)</f>
        <v>410554.98144307407</v>
      </c>
      <c r="AO187" s="17">
        <f t="shared" si="1449"/>
        <v>427843.69411535142</v>
      </c>
      <c r="AP187" s="17">
        <f t="shared" ref="AP187:AQ187" si="1450">SUM(AP167:AP186)</f>
        <v>444156.78188592836</v>
      </c>
      <c r="AQ187" s="17">
        <f t="shared" si="1450"/>
        <v>460802.66211536189</v>
      </c>
      <c r="AR187" s="17">
        <f t="shared" ref="AR187:AS187" si="1451">SUM(AR167:AR186)</f>
        <v>477784.77169352892</v>
      </c>
      <c r="AS187" s="17">
        <f t="shared" si="1451"/>
        <v>495508.50801791879</v>
      </c>
      <c r="AU187" s="17"/>
      <c r="AV187" s="17"/>
      <c r="AW187" s="17"/>
      <c r="AX187" s="17">
        <f t="shared" ref="AX187" si="1452">SUM(AX167:AX186)</f>
        <v>62900</v>
      </c>
      <c r="AY187" s="17">
        <f t="shared" ref="AY187:BH187" si="1453">SUM(AY167:AY186)</f>
        <v>62600</v>
      </c>
      <c r="AZ187" s="17">
        <f t="shared" si="1453"/>
        <v>59200</v>
      </c>
      <c r="BA187" s="17">
        <f t="shared" si="1453"/>
        <v>72100</v>
      </c>
      <c r="BB187" s="17">
        <f t="shared" si="1453"/>
        <v>74400</v>
      </c>
      <c r="BC187" s="17">
        <f t="shared" si="1453"/>
        <v>73900</v>
      </c>
      <c r="BD187" s="17">
        <f t="shared" si="1453"/>
        <v>78400</v>
      </c>
      <c r="BE187" s="17">
        <f t="shared" si="1453"/>
        <v>97500</v>
      </c>
      <c r="BF187" s="17">
        <f t="shared" si="1453"/>
        <v>114600</v>
      </c>
      <c r="BG187" s="17">
        <f t="shared" si="1453"/>
        <v>104600</v>
      </c>
      <c r="BH187" s="17">
        <f t="shared" si="1453"/>
        <v>104700</v>
      </c>
      <c r="BI187" s="17">
        <f t="shared" ref="BI187" si="1454">SUM(BI167:BI186)</f>
        <v>100600</v>
      </c>
      <c r="BJ187" s="17">
        <f t="shared" ref="BJ187:BO187" si="1455">SUM(BJ167:BJ186)</f>
        <v>123500</v>
      </c>
      <c r="BK187" s="17">
        <f t="shared" si="1455"/>
        <v>153400</v>
      </c>
      <c r="BL187" s="17">
        <f t="shared" si="1455"/>
        <v>216100</v>
      </c>
      <c r="BM187" s="17">
        <f t="shared" si="1455"/>
        <v>248300</v>
      </c>
      <c r="BN187" s="17">
        <f t="shared" si="1455"/>
        <v>266400</v>
      </c>
      <c r="BO187" s="18">
        <f t="shared" si="1455"/>
        <v>302500</v>
      </c>
      <c r="BP187" s="17">
        <f t="shared" ref="BP187:BQ187" si="1456">SUM(BP167:BP186)</f>
        <v>350047.78293441789</v>
      </c>
      <c r="BQ187" s="17">
        <f t="shared" si="1456"/>
        <v>392497.15843314084</v>
      </c>
      <c r="BR187" s="17">
        <f t="shared" ref="BR187:BS187" si="1457">SUM(BR167:BR186)</f>
        <v>427843.69411535142</v>
      </c>
      <c r="BS187" s="17">
        <f t="shared" si="1457"/>
        <v>460802.66211536189</v>
      </c>
      <c r="BT187" s="17">
        <f>SUM(BT167:BT186)</f>
        <v>495508.50801791879</v>
      </c>
    </row>
    <row r="188" spans="1:72" ht="12" customHeight="1" outlineLevel="1"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20"/>
      <c r="AK188" s="19"/>
      <c r="AL188" s="19"/>
      <c r="AM188" s="19"/>
      <c r="AN188" s="19"/>
      <c r="AO188" s="19"/>
      <c r="AP188" s="19"/>
      <c r="AQ188" s="19"/>
      <c r="AR188" s="19"/>
      <c r="AS188" s="19"/>
      <c r="AU188" s="19"/>
      <c r="AV188" s="19"/>
      <c r="AW188" s="19"/>
      <c r="AX188" s="19"/>
      <c r="AY188" s="19"/>
    </row>
    <row r="189" spans="1:72" ht="12" customHeight="1" outlineLevel="1">
      <c r="B189" s="1" t="s">
        <v>175</v>
      </c>
      <c r="D189" s="21">
        <f>2700+1800</f>
        <v>4500</v>
      </c>
      <c r="E189" s="21">
        <f>1900+3000</f>
        <v>4900</v>
      </c>
      <c r="F189" s="21">
        <f>1400+1000</f>
        <v>2400</v>
      </c>
      <c r="G189" s="21">
        <f>1700+3500</f>
        <v>5200</v>
      </c>
      <c r="H189" s="21">
        <f>1500+4200</f>
        <v>5700</v>
      </c>
      <c r="I189" s="21">
        <f>1700+4600</f>
        <v>6300</v>
      </c>
      <c r="J189" s="21">
        <f>1300+4400</f>
        <v>5700</v>
      </c>
      <c r="K189" s="21">
        <f>1400+3500</f>
        <v>4900</v>
      </c>
      <c r="L189" s="21">
        <f>2200+6700</f>
        <v>8900</v>
      </c>
      <c r="M189" s="21">
        <f>1900+6600</f>
        <v>8500</v>
      </c>
      <c r="N189" s="21">
        <f>1700+10000</f>
        <v>11700</v>
      </c>
      <c r="O189" s="21">
        <f>1400+11100</f>
        <v>12500</v>
      </c>
      <c r="P189" s="21">
        <f>700+10800</f>
        <v>11500</v>
      </c>
      <c r="Q189" s="21">
        <f>400+8900</f>
        <v>9300</v>
      </c>
      <c r="R189" s="21">
        <f>500+6800</f>
        <v>7300</v>
      </c>
      <c r="S189" s="21">
        <f>900+5700</f>
        <v>6600</v>
      </c>
      <c r="T189" s="21">
        <f>800+11600</f>
        <v>12400</v>
      </c>
      <c r="U189" s="21">
        <f>600+8400</f>
        <v>9000</v>
      </c>
      <c r="V189" s="21">
        <f>800+5900</f>
        <v>6700</v>
      </c>
      <c r="W189" s="21">
        <f>1000+6300</f>
        <v>7300</v>
      </c>
      <c r="X189" s="21">
        <f>1000+7800</f>
        <v>8800</v>
      </c>
      <c r="Y189" s="21">
        <f>600+5000</f>
        <v>5600</v>
      </c>
      <c r="Z189" s="21">
        <f>400+5700</f>
        <v>6100</v>
      </c>
      <c r="AA189" s="21">
        <f>400+12900</f>
        <v>13300</v>
      </c>
      <c r="AB189" s="21">
        <f>400+24300</f>
        <v>24700</v>
      </c>
      <c r="AC189" s="21">
        <f>700+35100</f>
        <v>35800</v>
      </c>
      <c r="AD189" s="21">
        <f>1200+37900</f>
        <v>39100</v>
      </c>
      <c r="AE189" s="21">
        <f>700+29100</f>
        <v>29800</v>
      </c>
      <c r="AF189" s="21">
        <v>37400</v>
      </c>
      <c r="AG189" s="21">
        <v>29700</v>
      </c>
      <c r="AH189" s="21">
        <v>40200</v>
      </c>
      <c r="AI189" s="21">
        <v>41100</v>
      </c>
      <c r="AJ189" s="24">
        <v>43300</v>
      </c>
      <c r="AK189" s="19">
        <f t="shared" ref="AK189" si="1458">AK209-SUM(AK190:AK208)</f>
        <v>44861.637878766167</v>
      </c>
      <c r="AL189" s="19">
        <f t="shared" ref="AL189:AM189" si="1459">AL209-SUM(AL190:AL208)</f>
        <v>46820.149736449879</v>
      </c>
      <c r="AM189" s="19">
        <f t="shared" si="1459"/>
        <v>48042.788032334996</v>
      </c>
      <c r="AN189" s="19">
        <f t="shared" ref="AN189:AO189" si="1460">AN209-SUM(AN190:AN208)</f>
        <v>48915.985119002988</v>
      </c>
      <c r="AO189" s="19">
        <f t="shared" si="1460"/>
        <v>49106.153983538796</v>
      </c>
      <c r="AP189" s="19">
        <f t="shared" ref="AP189:AQ189" si="1461">AP209-SUM(AP190:AP208)</f>
        <v>49755.19675872376</v>
      </c>
      <c r="AQ189" s="19">
        <f t="shared" si="1461"/>
        <v>49619.341255076288</v>
      </c>
      <c r="AR189" s="19">
        <f t="shared" ref="AR189:AS189" si="1462">AR209-SUM(AR190:AR208)</f>
        <v>49878.733753104345</v>
      </c>
      <c r="AS189" s="19">
        <f t="shared" si="1462"/>
        <v>49655.004514648346</v>
      </c>
      <c r="AU189" s="21"/>
      <c r="AV189" s="21"/>
      <c r="AW189" s="21"/>
      <c r="AX189" s="21">
        <f>12200+7600</f>
        <v>19800</v>
      </c>
      <c r="AY189" s="21">
        <f>4700+3000</f>
        <v>7700</v>
      </c>
      <c r="AZ189" s="19">
        <f t="shared" ref="AZ189:AZ208" si="1463">E189</f>
        <v>4900</v>
      </c>
      <c r="BA189" s="19">
        <f t="shared" ref="BA189:BA208" si="1464">G189</f>
        <v>5200</v>
      </c>
      <c r="BB189" s="19">
        <f t="shared" ref="BB189:BB208" si="1465">I189</f>
        <v>6300</v>
      </c>
      <c r="BC189" s="19">
        <f t="shared" ref="BC189:BC208" si="1466">K189</f>
        <v>4900</v>
      </c>
      <c r="BD189" s="19">
        <f t="shared" ref="BD189:BD208" si="1467">M189</f>
        <v>8500</v>
      </c>
      <c r="BE189" s="19">
        <f t="shared" ref="BE189:BE208" si="1468">O189</f>
        <v>12500</v>
      </c>
      <c r="BF189" s="19">
        <f t="shared" ref="BF189:BF208" si="1469">Q189</f>
        <v>9300</v>
      </c>
      <c r="BG189" s="19">
        <f t="shared" ref="BG189:BG208" si="1470">S189</f>
        <v>6600</v>
      </c>
      <c r="BH189" s="19">
        <f t="shared" ref="BH189:BH208" si="1471">U189</f>
        <v>9000</v>
      </c>
      <c r="BI189" s="19">
        <f t="shared" ref="BI189:BI208" si="1472">W189</f>
        <v>7300</v>
      </c>
      <c r="BJ189" s="19">
        <f t="shared" ref="BJ189:BJ208" si="1473">Y189</f>
        <v>5600</v>
      </c>
      <c r="BK189" s="19">
        <f t="shared" ref="BK189:BK208" si="1474">AA189</f>
        <v>13300</v>
      </c>
      <c r="BL189" s="19">
        <f t="shared" ref="BL189:BL208" si="1475">AC189</f>
        <v>35800</v>
      </c>
      <c r="BM189" s="19">
        <f t="shared" ref="BM189:BM208" si="1476">AE189</f>
        <v>29800</v>
      </c>
      <c r="BN189" s="19">
        <f t="shared" ref="BN189:BN208" si="1477">AG189</f>
        <v>29700</v>
      </c>
      <c r="BO189" s="20">
        <f t="shared" ref="BO189:BO208" si="1478">AI189</f>
        <v>41100</v>
      </c>
      <c r="BP189" s="19">
        <f t="shared" ref="BP189:BP208" si="1479">AK189</f>
        <v>44861.637878766167</v>
      </c>
      <c r="BQ189" s="19">
        <f t="shared" ref="BQ189:BQ208" si="1480">AM189</f>
        <v>48042.788032334996</v>
      </c>
      <c r="BR189" s="19">
        <f t="shared" ref="BR189:BR208" si="1481">AO189</f>
        <v>49106.153983538796</v>
      </c>
      <c r="BS189" s="19">
        <f t="shared" ref="BS189:BS208" si="1482">AQ189</f>
        <v>49619.341255076288</v>
      </c>
      <c r="BT189" s="19">
        <f t="shared" ref="BT189:BT208" si="1483">AS189</f>
        <v>49655.004514648346</v>
      </c>
    </row>
    <row r="190" spans="1:72" ht="12" customHeight="1" outlineLevel="1">
      <c r="B190" s="1" t="s">
        <v>176</v>
      </c>
      <c r="D190" s="21">
        <v>0</v>
      </c>
      <c r="E190" s="21">
        <v>0</v>
      </c>
      <c r="F190" s="21">
        <v>0</v>
      </c>
      <c r="G190" s="21">
        <v>0</v>
      </c>
      <c r="H190" s="21">
        <v>0</v>
      </c>
      <c r="I190" s="21">
        <v>700</v>
      </c>
      <c r="J190" s="21">
        <v>400</v>
      </c>
      <c r="K190" s="21">
        <v>0</v>
      </c>
      <c r="L190" s="21">
        <v>0</v>
      </c>
      <c r="M190" s="21">
        <v>700</v>
      </c>
      <c r="N190" s="62">
        <v>1000</v>
      </c>
      <c r="O190" s="62">
        <v>1900</v>
      </c>
      <c r="P190" s="62">
        <v>1100</v>
      </c>
      <c r="Q190" s="62">
        <v>1400</v>
      </c>
      <c r="R190" s="62">
        <v>500</v>
      </c>
      <c r="S190" s="62">
        <v>1600</v>
      </c>
      <c r="T190" s="62">
        <v>1200</v>
      </c>
      <c r="U190" s="62">
        <v>1100</v>
      </c>
      <c r="V190" s="62">
        <v>1400</v>
      </c>
      <c r="W190" s="62">
        <v>1100</v>
      </c>
      <c r="X190" s="62">
        <v>1100</v>
      </c>
      <c r="Y190" s="62">
        <v>1100</v>
      </c>
      <c r="Z190" s="62">
        <v>100</v>
      </c>
      <c r="AA190" s="62">
        <v>1300</v>
      </c>
      <c r="AB190" s="62">
        <v>700</v>
      </c>
      <c r="AC190" s="62">
        <v>1400</v>
      </c>
      <c r="AD190" s="62">
        <v>0</v>
      </c>
      <c r="AE190" s="62">
        <v>2700</v>
      </c>
      <c r="AF190" s="62">
        <v>2200</v>
      </c>
      <c r="AG190" s="62">
        <v>2200</v>
      </c>
      <c r="AH190" s="62">
        <v>2000</v>
      </c>
      <c r="AI190" s="62">
        <v>0</v>
      </c>
      <c r="AJ190" s="57">
        <v>0</v>
      </c>
      <c r="AK190" s="58">
        <f t="shared" ref="AK190:AK191" si="1484">AJ190</f>
        <v>0</v>
      </c>
      <c r="AL190" s="58">
        <f t="shared" ref="AL190:AL191" si="1485">AK190</f>
        <v>0</v>
      </c>
      <c r="AM190" s="58">
        <f t="shared" ref="AM190:AM191" si="1486">AL190</f>
        <v>0</v>
      </c>
      <c r="AN190" s="58">
        <f t="shared" ref="AN190:AN191" si="1487">AM190</f>
        <v>0</v>
      </c>
      <c r="AO190" s="58">
        <f t="shared" ref="AO190:AO191" si="1488">AN190</f>
        <v>0</v>
      </c>
      <c r="AP190" s="58">
        <f t="shared" ref="AP190:AP191" si="1489">AO190</f>
        <v>0</v>
      </c>
      <c r="AQ190" s="58">
        <f t="shared" ref="AQ190:AQ191" si="1490">AP190</f>
        <v>0</v>
      </c>
      <c r="AR190" s="58">
        <f t="shared" ref="AR190:AR191" si="1491">AQ190</f>
        <v>0</v>
      </c>
      <c r="AS190" s="58">
        <f t="shared" ref="AS190:AS191" si="1492">AR190</f>
        <v>0</v>
      </c>
      <c r="AU190" s="21"/>
      <c r="AV190" s="21"/>
      <c r="AW190" s="21"/>
      <c r="AX190" s="21">
        <v>200</v>
      </c>
      <c r="AY190" s="21">
        <v>200</v>
      </c>
      <c r="AZ190" s="19">
        <f t="shared" si="1463"/>
        <v>0</v>
      </c>
      <c r="BA190" s="19">
        <f t="shared" si="1464"/>
        <v>0</v>
      </c>
      <c r="BB190" s="19">
        <f t="shared" si="1465"/>
        <v>700</v>
      </c>
      <c r="BC190" s="19">
        <f t="shared" si="1466"/>
        <v>0</v>
      </c>
      <c r="BD190" s="19">
        <f t="shared" si="1467"/>
        <v>700</v>
      </c>
      <c r="BE190" s="19">
        <f t="shared" si="1468"/>
        <v>1900</v>
      </c>
      <c r="BF190" s="19">
        <f t="shared" si="1469"/>
        <v>1400</v>
      </c>
      <c r="BG190" s="19">
        <f t="shared" si="1470"/>
        <v>1600</v>
      </c>
      <c r="BH190" s="19">
        <f t="shared" si="1471"/>
        <v>1100</v>
      </c>
      <c r="BI190" s="19">
        <f t="shared" si="1472"/>
        <v>1100</v>
      </c>
      <c r="BJ190" s="19">
        <f t="shared" si="1473"/>
        <v>1100</v>
      </c>
      <c r="BK190" s="19">
        <f t="shared" si="1474"/>
        <v>1300</v>
      </c>
      <c r="BL190" s="19">
        <f t="shared" si="1475"/>
        <v>1400</v>
      </c>
      <c r="BM190" s="19">
        <f t="shared" si="1476"/>
        <v>2700</v>
      </c>
      <c r="BN190" s="19">
        <f t="shared" si="1477"/>
        <v>2200</v>
      </c>
      <c r="BO190" s="20">
        <f t="shared" si="1478"/>
        <v>0</v>
      </c>
      <c r="BP190" s="19">
        <f t="shared" si="1479"/>
        <v>0</v>
      </c>
      <c r="BQ190" s="19">
        <f t="shared" si="1480"/>
        <v>0</v>
      </c>
      <c r="BR190" s="19">
        <f t="shared" si="1481"/>
        <v>0</v>
      </c>
      <c r="BS190" s="19">
        <f t="shared" si="1482"/>
        <v>0</v>
      </c>
      <c r="BT190" s="19">
        <f t="shared" si="1483"/>
        <v>0</v>
      </c>
    </row>
    <row r="191" spans="1:72" ht="12" customHeight="1" outlineLevel="1">
      <c r="B191" s="1" t="s">
        <v>177</v>
      </c>
      <c r="D191" s="21">
        <v>2800</v>
      </c>
      <c r="E191" s="21">
        <v>2600</v>
      </c>
      <c r="F191" s="21">
        <v>2700</v>
      </c>
      <c r="G191" s="21">
        <v>2900</v>
      </c>
      <c r="H191" s="21">
        <v>2100</v>
      </c>
      <c r="I191" s="21">
        <v>1700</v>
      </c>
      <c r="J191" s="21">
        <v>1400</v>
      </c>
      <c r="K191" s="21">
        <v>1400</v>
      </c>
      <c r="L191" s="21">
        <v>1400</v>
      </c>
      <c r="M191" s="21">
        <v>1600</v>
      </c>
      <c r="N191" s="62">
        <v>1700</v>
      </c>
      <c r="O191" s="62">
        <v>2000</v>
      </c>
      <c r="P191" s="62">
        <v>2600</v>
      </c>
      <c r="Q191" s="62">
        <v>3000</v>
      </c>
      <c r="R191" s="62">
        <v>3300</v>
      </c>
      <c r="S191" s="62">
        <v>2600</v>
      </c>
      <c r="T191" s="62">
        <v>2100</v>
      </c>
      <c r="U191" s="62">
        <v>2100</v>
      </c>
      <c r="V191" s="62">
        <v>2000</v>
      </c>
      <c r="W191" s="62">
        <v>2200</v>
      </c>
      <c r="X191" s="62">
        <v>2000</v>
      </c>
      <c r="Y191" s="62">
        <v>1900</v>
      </c>
      <c r="Z191" s="62">
        <v>1300</v>
      </c>
      <c r="AA191" s="62">
        <v>500</v>
      </c>
      <c r="AB191" s="62">
        <v>500</v>
      </c>
      <c r="AC191" s="62">
        <v>400</v>
      </c>
      <c r="AD191" s="62">
        <v>400</v>
      </c>
      <c r="AE191" s="62">
        <v>500</v>
      </c>
      <c r="AF191" s="62">
        <v>400</v>
      </c>
      <c r="AG191" s="62">
        <v>500</v>
      </c>
      <c r="AH191" s="62">
        <v>700</v>
      </c>
      <c r="AI191" s="62">
        <v>700</v>
      </c>
      <c r="AJ191" s="57">
        <v>700</v>
      </c>
      <c r="AK191" s="58">
        <f t="shared" si="1484"/>
        <v>700</v>
      </c>
      <c r="AL191" s="58">
        <f t="shared" si="1485"/>
        <v>700</v>
      </c>
      <c r="AM191" s="58">
        <f t="shared" si="1486"/>
        <v>700</v>
      </c>
      <c r="AN191" s="58">
        <f t="shared" si="1487"/>
        <v>700</v>
      </c>
      <c r="AO191" s="58">
        <f t="shared" si="1488"/>
        <v>700</v>
      </c>
      <c r="AP191" s="58">
        <f t="shared" si="1489"/>
        <v>700</v>
      </c>
      <c r="AQ191" s="58">
        <f t="shared" si="1490"/>
        <v>700</v>
      </c>
      <c r="AR191" s="58">
        <f t="shared" si="1491"/>
        <v>700</v>
      </c>
      <c r="AS191" s="58">
        <f t="shared" si="1492"/>
        <v>700</v>
      </c>
      <c r="AU191" s="21"/>
      <c r="AV191" s="21"/>
      <c r="AW191" s="21"/>
      <c r="AX191" s="21">
        <v>6000</v>
      </c>
      <c r="AY191" s="21">
        <v>3700</v>
      </c>
      <c r="AZ191" s="19">
        <f t="shared" si="1463"/>
        <v>2600</v>
      </c>
      <c r="BA191" s="19">
        <f t="shared" si="1464"/>
        <v>2900</v>
      </c>
      <c r="BB191" s="19">
        <f t="shared" si="1465"/>
        <v>1700</v>
      </c>
      <c r="BC191" s="19">
        <f t="shared" si="1466"/>
        <v>1400</v>
      </c>
      <c r="BD191" s="19">
        <f t="shared" si="1467"/>
        <v>1600</v>
      </c>
      <c r="BE191" s="19">
        <f t="shared" si="1468"/>
        <v>2000</v>
      </c>
      <c r="BF191" s="19">
        <f t="shared" si="1469"/>
        <v>3000</v>
      </c>
      <c r="BG191" s="19">
        <f t="shared" si="1470"/>
        <v>2600</v>
      </c>
      <c r="BH191" s="19">
        <f t="shared" si="1471"/>
        <v>2100</v>
      </c>
      <c r="BI191" s="19">
        <f t="shared" si="1472"/>
        <v>2200</v>
      </c>
      <c r="BJ191" s="19">
        <f t="shared" si="1473"/>
        <v>1900</v>
      </c>
      <c r="BK191" s="19">
        <f t="shared" si="1474"/>
        <v>500</v>
      </c>
      <c r="BL191" s="19">
        <f t="shared" si="1475"/>
        <v>400</v>
      </c>
      <c r="BM191" s="19">
        <f t="shared" si="1476"/>
        <v>500</v>
      </c>
      <c r="BN191" s="19">
        <f t="shared" si="1477"/>
        <v>500</v>
      </c>
      <c r="BO191" s="20">
        <f t="shared" si="1478"/>
        <v>700</v>
      </c>
      <c r="BP191" s="19">
        <f t="shared" si="1479"/>
        <v>700</v>
      </c>
      <c r="BQ191" s="19">
        <f t="shared" si="1480"/>
        <v>700</v>
      </c>
      <c r="BR191" s="19">
        <f t="shared" si="1481"/>
        <v>700</v>
      </c>
      <c r="BS191" s="19">
        <f t="shared" si="1482"/>
        <v>700</v>
      </c>
      <c r="BT191" s="19">
        <f t="shared" si="1483"/>
        <v>700</v>
      </c>
    </row>
    <row r="192" spans="1:72" ht="12" customHeight="1" outlineLevel="1">
      <c r="B192" s="1" t="s">
        <v>178</v>
      </c>
      <c r="D192" s="21">
        <v>6600</v>
      </c>
      <c r="E192" s="21">
        <v>7700</v>
      </c>
      <c r="F192" s="21">
        <v>9000</v>
      </c>
      <c r="G192" s="21">
        <v>8900</v>
      </c>
      <c r="H192" s="21">
        <v>11300</v>
      </c>
      <c r="I192" s="21">
        <v>10700</v>
      </c>
      <c r="J192" s="21">
        <v>9900</v>
      </c>
      <c r="K192" s="21">
        <v>9300</v>
      </c>
      <c r="L192" s="21">
        <v>7700</v>
      </c>
      <c r="M192" s="21">
        <v>6900</v>
      </c>
      <c r="N192" s="21">
        <v>6000</v>
      </c>
      <c r="O192" s="21">
        <v>4700</v>
      </c>
      <c r="P192" s="21">
        <v>5300</v>
      </c>
      <c r="Q192" s="21">
        <v>5200</v>
      </c>
      <c r="R192" s="21">
        <v>4600</v>
      </c>
      <c r="S192" s="21">
        <v>4400</v>
      </c>
      <c r="T192" s="21">
        <v>4000</v>
      </c>
      <c r="U192" s="21">
        <v>4400</v>
      </c>
      <c r="V192" s="21">
        <v>5900</v>
      </c>
      <c r="W192" s="21">
        <v>1400</v>
      </c>
      <c r="X192" s="21">
        <v>2500</v>
      </c>
      <c r="Y192" s="21">
        <v>3200</v>
      </c>
      <c r="Z192" s="21">
        <v>15600</v>
      </c>
      <c r="AA192" s="21">
        <v>13400</v>
      </c>
      <c r="AB192" s="21">
        <v>24800</v>
      </c>
      <c r="AC192" s="21">
        <v>26600</v>
      </c>
      <c r="AD192" s="21">
        <v>28200</v>
      </c>
      <c r="AE192" s="21">
        <v>25900</v>
      </c>
      <c r="AF192" s="21">
        <f>10900+12400</f>
        <v>23300</v>
      </c>
      <c r="AG192" s="21">
        <f>11600+12400</f>
        <v>24000</v>
      </c>
      <c r="AH192" s="21">
        <f>11100+2400</f>
        <v>13500</v>
      </c>
      <c r="AI192" s="21">
        <f>10800+3000</f>
        <v>13800</v>
      </c>
      <c r="AJ192" s="24">
        <f>9000+2700</f>
        <v>11700</v>
      </c>
      <c r="AK192" s="25">
        <f t="shared" ref="AK192:AK193" si="1493">AJ192*AK137/AJ137</f>
        <v>12686.195089285717</v>
      </c>
      <c r="AL192" s="25">
        <f t="shared" ref="AL192:AL193" si="1494">AK192*AL137/AK137</f>
        <v>13637.767580357146</v>
      </c>
      <c r="AM192" s="25">
        <f t="shared" ref="AM192:AM193" si="1495">AL192*AM137/AL137</f>
        <v>14581.607319441966</v>
      </c>
      <c r="AN192" s="25">
        <f t="shared" ref="AN192:AN193" si="1496">AM192*AN137/AM137</f>
        <v>15400.267262284828</v>
      </c>
      <c r="AO192" s="25">
        <f t="shared" ref="AO192:AO193" si="1497">AN192*AO137/AN137</f>
        <v>16188.66680887385</v>
      </c>
      <c r="AP192" s="25">
        <f t="shared" ref="AP192:AP193" si="1498">AO192*AP137/AO137</f>
        <v>16936.464696273011</v>
      </c>
      <c r="AQ192" s="25">
        <f t="shared" ref="AQ192:AQ193" si="1499">AP192*AQ137/AP137</f>
        <v>17704.192212268234</v>
      </c>
      <c r="AR192" s="25">
        <f t="shared" ref="AR192:AR193" si="1500">AQ192*AR137/AQ137</f>
        <v>18491.997479181849</v>
      </c>
      <c r="AS192" s="25">
        <f t="shared" ref="AS192:AS193" si="1501">AR192*AS137/AR137</f>
        <v>19317.713081955815</v>
      </c>
      <c r="AU192" s="21"/>
      <c r="AV192" s="21"/>
      <c r="AW192" s="21"/>
      <c r="AX192" s="21">
        <v>7100</v>
      </c>
      <c r="AY192" s="21">
        <v>5800</v>
      </c>
      <c r="AZ192" s="19">
        <f t="shared" si="1463"/>
        <v>7700</v>
      </c>
      <c r="BA192" s="19">
        <f t="shared" si="1464"/>
        <v>8900</v>
      </c>
      <c r="BB192" s="19">
        <f t="shared" si="1465"/>
        <v>10700</v>
      </c>
      <c r="BC192" s="19">
        <f t="shared" si="1466"/>
        <v>9300</v>
      </c>
      <c r="BD192" s="19">
        <f t="shared" si="1467"/>
        <v>6900</v>
      </c>
      <c r="BE192" s="19">
        <f t="shared" si="1468"/>
        <v>4700</v>
      </c>
      <c r="BF192" s="19">
        <f t="shared" si="1469"/>
        <v>5200</v>
      </c>
      <c r="BG192" s="19">
        <f t="shared" si="1470"/>
        <v>4400</v>
      </c>
      <c r="BH192" s="19">
        <f t="shared" si="1471"/>
        <v>4400</v>
      </c>
      <c r="BI192" s="19">
        <f t="shared" si="1472"/>
        <v>1400</v>
      </c>
      <c r="BJ192" s="19">
        <f t="shared" si="1473"/>
        <v>3200</v>
      </c>
      <c r="BK192" s="19">
        <f t="shared" si="1474"/>
        <v>13400</v>
      </c>
      <c r="BL192" s="19">
        <f t="shared" si="1475"/>
        <v>26600</v>
      </c>
      <c r="BM192" s="19">
        <f t="shared" si="1476"/>
        <v>25900</v>
      </c>
      <c r="BN192" s="19">
        <f t="shared" si="1477"/>
        <v>24000</v>
      </c>
      <c r="BO192" s="20">
        <f t="shared" si="1478"/>
        <v>13800</v>
      </c>
      <c r="BP192" s="19">
        <f t="shared" si="1479"/>
        <v>12686.195089285717</v>
      </c>
      <c r="BQ192" s="19">
        <f t="shared" si="1480"/>
        <v>14581.607319441966</v>
      </c>
      <c r="BR192" s="19">
        <f t="shared" si="1481"/>
        <v>16188.66680887385</v>
      </c>
      <c r="BS192" s="19">
        <f t="shared" si="1482"/>
        <v>17704.192212268234</v>
      </c>
      <c r="BT192" s="19">
        <f t="shared" si="1483"/>
        <v>19317.713081955815</v>
      </c>
    </row>
    <row r="193" spans="1:72" ht="12" customHeight="1" outlineLevel="1">
      <c r="B193" s="1" t="s">
        <v>179</v>
      </c>
      <c r="D193" s="21">
        <v>17100</v>
      </c>
      <c r="E193" s="21">
        <v>14300</v>
      </c>
      <c r="F193" s="21">
        <v>14000</v>
      </c>
      <c r="G193" s="21">
        <v>12500</v>
      </c>
      <c r="H193" s="21">
        <v>12200</v>
      </c>
      <c r="I193" s="21">
        <v>9500</v>
      </c>
      <c r="J193" s="21">
        <v>11800</v>
      </c>
      <c r="K193" s="21">
        <v>10700</v>
      </c>
      <c r="L193" s="21">
        <v>10500</v>
      </c>
      <c r="M193" s="21">
        <v>11300</v>
      </c>
      <c r="N193" s="21">
        <v>13000</v>
      </c>
      <c r="O193" s="21">
        <v>21700</v>
      </c>
      <c r="P193" s="21">
        <v>26200</v>
      </c>
      <c r="Q193" s="21">
        <v>29100</v>
      </c>
      <c r="R193" s="21">
        <v>26100</v>
      </c>
      <c r="S193" s="21">
        <v>21700</v>
      </c>
      <c r="T193" s="21">
        <v>20900</v>
      </c>
      <c r="U193" s="21">
        <v>20700</v>
      </c>
      <c r="V193" s="21">
        <v>20000</v>
      </c>
      <c r="W193" s="21">
        <v>16100</v>
      </c>
      <c r="X193" s="21">
        <v>18900</v>
      </c>
      <c r="Y193" s="21">
        <v>24400</v>
      </c>
      <c r="Z193" s="21">
        <v>19300</v>
      </c>
      <c r="AA193" s="21">
        <v>19000</v>
      </c>
      <c r="AB193" s="21">
        <v>18500</v>
      </c>
      <c r="AC193" s="21">
        <v>21500</v>
      </c>
      <c r="AD193" s="21">
        <v>23200</v>
      </c>
      <c r="AE193" s="21">
        <v>18900</v>
      </c>
      <c r="AF193" s="21">
        <v>18800</v>
      </c>
      <c r="AG193" s="21">
        <v>20900</v>
      </c>
      <c r="AH193" s="21">
        <v>22000</v>
      </c>
      <c r="AI193" s="21">
        <v>18800</v>
      </c>
      <c r="AJ193" s="24">
        <v>25600</v>
      </c>
      <c r="AK193" s="25">
        <f t="shared" si="1493"/>
        <v>27757.828571428574</v>
      </c>
      <c r="AL193" s="25">
        <f t="shared" si="1494"/>
        <v>29839.901714285716</v>
      </c>
      <c r="AM193" s="25">
        <f t="shared" si="1495"/>
        <v>31905.055331428568</v>
      </c>
      <c r="AN193" s="25">
        <f t="shared" si="1496"/>
        <v>33696.31127474286</v>
      </c>
      <c r="AO193" s="25">
        <f t="shared" si="1497"/>
        <v>35421.356436510294</v>
      </c>
      <c r="AP193" s="25">
        <f t="shared" si="1498"/>
        <v>37057.563779879405</v>
      </c>
      <c r="AQ193" s="25">
        <f t="shared" si="1499"/>
        <v>38737.377831971513</v>
      </c>
      <c r="AR193" s="25">
        <f t="shared" si="1500"/>
        <v>40461.122689491902</v>
      </c>
      <c r="AS193" s="25">
        <f t="shared" si="1501"/>
        <v>42267.816657954601</v>
      </c>
      <c r="AU193" s="21"/>
      <c r="AV193" s="21"/>
      <c r="AW193" s="21"/>
      <c r="AX193" s="21">
        <v>8100</v>
      </c>
      <c r="AY193" s="21">
        <v>16900</v>
      </c>
      <c r="AZ193" s="19">
        <f t="shared" si="1463"/>
        <v>14300</v>
      </c>
      <c r="BA193" s="19">
        <f t="shared" si="1464"/>
        <v>12500</v>
      </c>
      <c r="BB193" s="19">
        <f t="shared" si="1465"/>
        <v>9500</v>
      </c>
      <c r="BC193" s="19">
        <f t="shared" si="1466"/>
        <v>10700</v>
      </c>
      <c r="BD193" s="19">
        <f t="shared" si="1467"/>
        <v>11300</v>
      </c>
      <c r="BE193" s="19">
        <f t="shared" si="1468"/>
        <v>21700</v>
      </c>
      <c r="BF193" s="19">
        <f t="shared" si="1469"/>
        <v>29100</v>
      </c>
      <c r="BG193" s="19">
        <f t="shared" si="1470"/>
        <v>21700</v>
      </c>
      <c r="BH193" s="19">
        <f t="shared" si="1471"/>
        <v>20700</v>
      </c>
      <c r="BI193" s="19">
        <f t="shared" si="1472"/>
        <v>16100</v>
      </c>
      <c r="BJ193" s="19">
        <f t="shared" si="1473"/>
        <v>24400</v>
      </c>
      <c r="BK193" s="19">
        <f t="shared" si="1474"/>
        <v>19000</v>
      </c>
      <c r="BL193" s="19">
        <f t="shared" si="1475"/>
        <v>21500</v>
      </c>
      <c r="BM193" s="19">
        <f t="shared" si="1476"/>
        <v>18900</v>
      </c>
      <c r="BN193" s="19">
        <f t="shared" si="1477"/>
        <v>20900</v>
      </c>
      <c r="BO193" s="20">
        <f t="shared" si="1478"/>
        <v>18800</v>
      </c>
      <c r="BP193" s="19">
        <f t="shared" si="1479"/>
        <v>27757.828571428574</v>
      </c>
      <c r="BQ193" s="19">
        <f t="shared" si="1480"/>
        <v>31905.055331428568</v>
      </c>
      <c r="BR193" s="19">
        <f t="shared" si="1481"/>
        <v>35421.356436510294</v>
      </c>
      <c r="BS193" s="19">
        <f t="shared" si="1482"/>
        <v>38737.377831971513</v>
      </c>
      <c r="BT193" s="19">
        <f t="shared" si="1483"/>
        <v>42267.816657954601</v>
      </c>
    </row>
    <row r="194" spans="1:72" ht="12" customHeight="1" outlineLevel="1">
      <c r="A194" s="1"/>
      <c r="B194" s="1" t="s">
        <v>180</v>
      </c>
      <c r="D194" s="21">
        <v>0</v>
      </c>
      <c r="E194" s="21">
        <v>200</v>
      </c>
      <c r="F194" s="21">
        <v>0</v>
      </c>
      <c r="G194" s="21">
        <v>0</v>
      </c>
      <c r="H194" s="21">
        <v>500</v>
      </c>
      <c r="I194" s="21">
        <v>100</v>
      </c>
      <c r="J194" s="21">
        <v>200</v>
      </c>
      <c r="K194" s="21">
        <v>500</v>
      </c>
      <c r="L194" s="21">
        <v>900</v>
      </c>
      <c r="M194" s="21">
        <v>500</v>
      </c>
      <c r="N194" s="62">
        <v>600</v>
      </c>
      <c r="O194" s="62">
        <v>200</v>
      </c>
      <c r="P194" s="62">
        <v>200</v>
      </c>
      <c r="Q194" s="62">
        <v>200</v>
      </c>
      <c r="R194" s="62">
        <v>400</v>
      </c>
      <c r="S194" s="62">
        <v>300</v>
      </c>
      <c r="T194" s="62">
        <v>400</v>
      </c>
      <c r="U194" s="62">
        <v>1100</v>
      </c>
      <c r="V194" s="62">
        <v>900</v>
      </c>
      <c r="W194" s="62">
        <v>700</v>
      </c>
      <c r="X194" s="62">
        <v>1000</v>
      </c>
      <c r="Y194" s="62">
        <v>900</v>
      </c>
      <c r="Z194" s="62">
        <v>900</v>
      </c>
      <c r="AA194" s="62">
        <v>1000</v>
      </c>
      <c r="AB194" s="62">
        <v>1200</v>
      </c>
      <c r="AC194" s="62">
        <v>1200</v>
      </c>
      <c r="AD194" s="62">
        <v>4800</v>
      </c>
      <c r="AE194" s="62">
        <v>6100</v>
      </c>
      <c r="AF194" s="62">
        <v>6800</v>
      </c>
      <c r="AG194" s="62">
        <v>8600</v>
      </c>
      <c r="AH194" s="62">
        <v>9000</v>
      </c>
      <c r="AI194" s="62">
        <v>11100</v>
      </c>
      <c r="AJ194" s="57">
        <v>9100</v>
      </c>
      <c r="AK194" s="58">
        <f t="shared" ref="AK194:AK195" si="1502">AJ194</f>
        <v>9100</v>
      </c>
      <c r="AL194" s="58">
        <f t="shared" ref="AL194:AL195" si="1503">AK194</f>
        <v>9100</v>
      </c>
      <c r="AM194" s="58">
        <f t="shared" ref="AM194:AM195" si="1504">AL194</f>
        <v>9100</v>
      </c>
      <c r="AN194" s="58">
        <f t="shared" ref="AN194:AN195" si="1505">AM194</f>
        <v>9100</v>
      </c>
      <c r="AO194" s="58">
        <f t="shared" ref="AO194:AO195" si="1506">AN194</f>
        <v>9100</v>
      </c>
      <c r="AP194" s="58">
        <f t="shared" ref="AP194:AP195" si="1507">AO194</f>
        <v>9100</v>
      </c>
      <c r="AQ194" s="58">
        <f t="shared" ref="AQ194:AQ195" si="1508">AP194</f>
        <v>9100</v>
      </c>
      <c r="AR194" s="58">
        <f t="shared" ref="AR194:AR195" si="1509">AQ194</f>
        <v>9100</v>
      </c>
      <c r="AS194" s="58">
        <f t="shared" ref="AS194:AS195" si="1510">AR194</f>
        <v>9100</v>
      </c>
      <c r="AU194" s="21"/>
      <c r="AV194" s="21"/>
      <c r="AW194" s="21"/>
      <c r="AX194" s="21">
        <v>0</v>
      </c>
      <c r="AY194" s="21">
        <v>400</v>
      </c>
      <c r="AZ194" s="19">
        <f t="shared" si="1463"/>
        <v>200</v>
      </c>
      <c r="BA194" s="19">
        <f t="shared" si="1464"/>
        <v>0</v>
      </c>
      <c r="BB194" s="19">
        <f t="shared" si="1465"/>
        <v>100</v>
      </c>
      <c r="BC194" s="19">
        <f t="shared" si="1466"/>
        <v>500</v>
      </c>
      <c r="BD194" s="19">
        <f t="shared" si="1467"/>
        <v>500</v>
      </c>
      <c r="BE194" s="19">
        <f t="shared" si="1468"/>
        <v>200</v>
      </c>
      <c r="BF194" s="19">
        <f t="shared" si="1469"/>
        <v>200</v>
      </c>
      <c r="BG194" s="19">
        <f t="shared" si="1470"/>
        <v>300</v>
      </c>
      <c r="BH194" s="19">
        <f t="shared" si="1471"/>
        <v>1100</v>
      </c>
      <c r="BI194" s="19">
        <f t="shared" si="1472"/>
        <v>700</v>
      </c>
      <c r="BJ194" s="19">
        <f t="shared" si="1473"/>
        <v>900</v>
      </c>
      <c r="BK194" s="19">
        <f t="shared" si="1474"/>
        <v>1000</v>
      </c>
      <c r="BL194" s="19">
        <f t="shared" si="1475"/>
        <v>1200</v>
      </c>
      <c r="BM194" s="19">
        <f t="shared" si="1476"/>
        <v>6100</v>
      </c>
      <c r="BN194" s="19">
        <f t="shared" si="1477"/>
        <v>8600</v>
      </c>
      <c r="BO194" s="20">
        <f t="shared" si="1478"/>
        <v>11100</v>
      </c>
      <c r="BP194" s="19">
        <f t="shared" si="1479"/>
        <v>9100</v>
      </c>
      <c r="BQ194" s="19">
        <f t="shared" si="1480"/>
        <v>9100</v>
      </c>
      <c r="BR194" s="19">
        <f t="shared" si="1481"/>
        <v>9100</v>
      </c>
      <c r="BS194" s="19">
        <f t="shared" si="1482"/>
        <v>9100</v>
      </c>
      <c r="BT194" s="19">
        <f t="shared" si="1483"/>
        <v>9100</v>
      </c>
    </row>
    <row r="195" spans="1:72" ht="12" customHeight="1" outlineLevel="1">
      <c r="A195" s="1"/>
      <c r="B195" s="1" t="s">
        <v>181</v>
      </c>
      <c r="D195" s="21">
        <v>0</v>
      </c>
      <c r="E195" s="21">
        <v>0</v>
      </c>
      <c r="F195" s="21">
        <v>0</v>
      </c>
      <c r="G195" s="21">
        <v>0</v>
      </c>
      <c r="H195" s="21">
        <v>0</v>
      </c>
      <c r="I195" s="21">
        <v>0</v>
      </c>
      <c r="J195" s="21">
        <v>0</v>
      </c>
      <c r="K195" s="21">
        <v>0</v>
      </c>
      <c r="L195" s="21">
        <v>0</v>
      </c>
      <c r="M195" s="21">
        <v>0</v>
      </c>
      <c r="N195" s="62">
        <v>0</v>
      </c>
      <c r="O195" s="62">
        <v>0</v>
      </c>
      <c r="P195" s="62">
        <v>0</v>
      </c>
      <c r="Q195" s="62">
        <v>6000</v>
      </c>
      <c r="R195" s="62">
        <v>2500</v>
      </c>
      <c r="S195" s="62">
        <v>2400</v>
      </c>
      <c r="T195" s="62">
        <v>700</v>
      </c>
      <c r="U195" s="62">
        <v>800</v>
      </c>
      <c r="V195" s="62">
        <v>1200</v>
      </c>
      <c r="W195" s="62">
        <v>0</v>
      </c>
      <c r="X195" s="62">
        <v>0</v>
      </c>
      <c r="Y195" s="62">
        <v>0</v>
      </c>
      <c r="Z195" s="62">
        <v>0</v>
      </c>
      <c r="AA195" s="62">
        <v>0</v>
      </c>
      <c r="AB195" s="62">
        <v>0</v>
      </c>
      <c r="AC195" s="62">
        <v>2800</v>
      </c>
      <c r="AD195" s="62">
        <v>0</v>
      </c>
      <c r="AE195" s="62">
        <v>0</v>
      </c>
      <c r="AF195" s="62">
        <v>0</v>
      </c>
      <c r="AG195" s="62">
        <v>0</v>
      </c>
      <c r="AH195" s="62">
        <v>0</v>
      </c>
      <c r="AI195" s="62">
        <v>0</v>
      </c>
      <c r="AJ195" s="57">
        <v>0</v>
      </c>
      <c r="AK195" s="58">
        <f t="shared" si="1502"/>
        <v>0</v>
      </c>
      <c r="AL195" s="58">
        <f t="shared" si="1503"/>
        <v>0</v>
      </c>
      <c r="AM195" s="58">
        <f t="shared" si="1504"/>
        <v>0</v>
      </c>
      <c r="AN195" s="58">
        <f t="shared" si="1505"/>
        <v>0</v>
      </c>
      <c r="AO195" s="58">
        <f t="shared" si="1506"/>
        <v>0</v>
      </c>
      <c r="AP195" s="58">
        <f t="shared" si="1507"/>
        <v>0</v>
      </c>
      <c r="AQ195" s="58">
        <f t="shared" si="1508"/>
        <v>0</v>
      </c>
      <c r="AR195" s="58">
        <f t="shared" si="1509"/>
        <v>0</v>
      </c>
      <c r="AS195" s="58">
        <f t="shared" si="1510"/>
        <v>0</v>
      </c>
      <c r="AU195" s="21"/>
      <c r="AV195" s="21"/>
      <c r="AW195" s="21"/>
      <c r="AX195" s="21">
        <v>0</v>
      </c>
      <c r="AY195" s="21">
        <v>0</v>
      </c>
      <c r="AZ195" s="19">
        <f t="shared" si="1463"/>
        <v>0</v>
      </c>
      <c r="BA195" s="19">
        <f t="shared" si="1464"/>
        <v>0</v>
      </c>
      <c r="BB195" s="19">
        <f t="shared" si="1465"/>
        <v>0</v>
      </c>
      <c r="BC195" s="19">
        <f t="shared" si="1466"/>
        <v>0</v>
      </c>
      <c r="BD195" s="19">
        <f t="shared" si="1467"/>
        <v>0</v>
      </c>
      <c r="BE195" s="19">
        <f t="shared" si="1468"/>
        <v>0</v>
      </c>
      <c r="BF195" s="19">
        <f t="shared" si="1469"/>
        <v>6000</v>
      </c>
      <c r="BG195" s="19">
        <f t="shared" si="1470"/>
        <v>2400</v>
      </c>
      <c r="BH195" s="19">
        <f t="shared" si="1471"/>
        <v>800</v>
      </c>
      <c r="BI195" s="19">
        <f t="shared" si="1472"/>
        <v>0</v>
      </c>
      <c r="BJ195" s="19">
        <f t="shared" si="1473"/>
        <v>0</v>
      </c>
      <c r="BK195" s="19">
        <f t="shared" si="1474"/>
        <v>0</v>
      </c>
      <c r="BL195" s="19">
        <f t="shared" si="1475"/>
        <v>2800</v>
      </c>
      <c r="BM195" s="19">
        <f t="shared" si="1476"/>
        <v>0</v>
      </c>
      <c r="BN195" s="19">
        <f t="shared" si="1477"/>
        <v>0</v>
      </c>
      <c r="BO195" s="20">
        <f t="shared" si="1478"/>
        <v>0</v>
      </c>
      <c r="BP195" s="19">
        <f t="shared" si="1479"/>
        <v>0</v>
      </c>
      <c r="BQ195" s="19">
        <f t="shared" si="1480"/>
        <v>0</v>
      </c>
      <c r="BR195" s="19">
        <f t="shared" si="1481"/>
        <v>0</v>
      </c>
      <c r="BS195" s="19">
        <f t="shared" si="1482"/>
        <v>0</v>
      </c>
      <c r="BT195" s="19">
        <f t="shared" si="1483"/>
        <v>0</v>
      </c>
    </row>
    <row r="196" spans="1:72" ht="12" customHeight="1" outlineLevel="1">
      <c r="A196" s="1"/>
      <c r="B196" s="1" t="s">
        <v>171</v>
      </c>
      <c r="C196" s="21"/>
      <c r="D196" s="21">
        <v>0</v>
      </c>
      <c r="E196" s="21">
        <v>0</v>
      </c>
      <c r="F196" s="21">
        <v>0</v>
      </c>
      <c r="G196" s="21">
        <v>0</v>
      </c>
      <c r="H196" s="21">
        <v>0</v>
      </c>
      <c r="I196" s="21">
        <v>0</v>
      </c>
      <c r="J196" s="21">
        <v>0</v>
      </c>
      <c r="K196" s="21">
        <v>0</v>
      </c>
      <c r="L196" s="21">
        <v>0</v>
      </c>
      <c r="M196" s="21">
        <v>0</v>
      </c>
      <c r="N196" s="21">
        <v>0</v>
      </c>
      <c r="O196" s="21">
        <v>0</v>
      </c>
      <c r="P196" s="21">
        <v>0</v>
      </c>
      <c r="Q196" s="21">
        <v>0</v>
      </c>
      <c r="R196" s="21">
        <v>0</v>
      </c>
      <c r="S196" s="21">
        <v>0</v>
      </c>
      <c r="T196" s="21">
        <v>0</v>
      </c>
      <c r="U196" s="21">
        <v>0</v>
      </c>
      <c r="V196" s="21">
        <v>0</v>
      </c>
      <c r="W196" s="21">
        <v>0</v>
      </c>
      <c r="X196" s="21">
        <v>0</v>
      </c>
      <c r="Y196" s="21">
        <v>0</v>
      </c>
      <c r="Z196" s="21">
        <v>0</v>
      </c>
      <c r="AA196" s="21">
        <v>0</v>
      </c>
      <c r="AB196" s="21">
        <v>0</v>
      </c>
      <c r="AC196" s="21">
        <v>0</v>
      </c>
      <c r="AD196" s="21">
        <v>0</v>
      </c>
      <c r="AE196" s="21">
        <v>0</v>
      </c>
      <c r="AF196" s="21">
        <v>0</v>
      </c>
      <c r="AG196" s="21">
        <v>0</v>
      </c>
      <c r="AH196" s="21">
        <v>0</v>
      </c>
      <c r="AI196" s="21">
        <v>0</v>
      </c>
      <c r="AJ196" s="24">
        <v>0</v>
      </c>
      <c r="AK196" s="19">
        <f t="shared" ref="AK196" si="1511">AK174</f>
        <v>0</v>
      </c>
      <c r="AL196" s="19">
        <f t="shared" ref="AL196:AM196" si="1512">AL174</f>
        <v>0</v>
      </c>
      <c r="AM196" s="19">
        <f t="shared" si="1512"/>
        <v>0</v>
      </c>
      <c r="AN196" s="19">
        <f t="shared" ref="AN196:AO196" si="1513">AN174</f>
        <v>0</v>
      </c>
      <c r="AO196" s="19">
        <f t="shared" si="1513"/>
        <v>0</v>
      </c>
      <c r="AP196" s="19">
        <f t="shared" ref="AP196:AQ196" si="1514">AP174</f>
        <v>0</v>
      </c>
      <c r="AQ196" s="19">
        <f t="shared" si="1514"/>
        <v>0</v>
      </c>
      <c r="AR196" s="19">
        <f t="shared" ref="AR196:AS196" si="1515">AR174</f>
        <v>0</v>
      </c>
      <c r="AS196" s="19">
        <f t="shared" si="1515"/>
        <v>0</v>
      </c>
      <c r="AU196" s="21"/>
      <c r="AV196" s="21"/>
      <c r="AW196" s="21"/>
      <c r="AX196" s="21">
        <v>0</v>
      </c>
      <c r="AY196" s="21">
        <v>0</v>
      </c>
      <c r="AZ196" s="19">
        <f t="shared" si="1463"/>
        <v>0</v>
      </c>
      <c r="BA196" s="19">
        <f t="shared" si="1464"/>
        <v>0</v>
      </c>
      <c r="BB196" s="19">
        <f t="shared" si="1465"/>
        <v>0</v>
      </c>
      <c r="BC196" s="19">
        <f t="shared" si="1466"/>
        <v>0</v>
      </c>
      <c r="BD196" s="19">
        <f t="shared" si="1467"/>
        <v>0</v>
      </c>
      <c r="BE196" s="19">
        <f t="shared" si="1468"/>
        <v>0</v>
      </c>
      <c r="BF196" s="19">
        <f t="shared" si="1469"/>
        <v>0</v>
      </c>
      <c r="BG196" s="19">
        <f t="shared" si="1470"/>
        <v>0</v>
      </c>
      <c r="BH196" s="19">
        <f t="shared" si="1471"/>
        <v>0</v>
      </c>
      <c r="BI196" s="19">
        <f t="shared" si="1472"/>
        <v>0</v>
      </c>
      <c r="BJ196" s="19">
        <f t="shared" si="1473"/>
        <v>0</v>
      </c>
      <c r="BK196" s="19">
        <f t="shared" si="1474"/>
        <v>0</v>
      </c>
      <c r="BL196" s="19">
        <f t="shared" si="1475"/>
        <v>0</v>
      </c>
      <c r="BM196" s="19">
        <f t="shared" si="1476"/>
        <v>0</v>
      </c>
      <c r="BN196" s="19">
        <f t="shared" si="1477"/>
        <v>0</v>
      </c>
      <c r="BO196" s="20">
        <f t="shared" si="1478"/>
        <v>0</v>
      </c>
      <c r="BP196" s="19">
        <f t="shared" si="1479"/>
        <v>0</v>
      </c>
      <c r="BQ196" s="19">
        <f t="shared" si="1480"/>
        <v>0</v>
      </c>
      <c r="BR196" s="19">
        <f t="shared" si="1481"/>
        <v>0</v>
      </c>
      <c r="BS196" s="19">
        <f t="shared" si="1482"/>
        <v>0</v>
      </c>
      <c r="BT196" s="19">
        <f t="shared" si="1483"/>
        <v>0</v>
      </c>
    </row>
    <row r="197" spans="1:72" ht="12" customHeight="1" outlineLevel="1">
      <c r="A197" s="1"/>
      <c r="B197" s="1" t="s">
        <v>182</v>
      </c>
      <c r="D197" s="21">
        <f>13900+3100</f>
        <v>17000</v>
      </c>
      <c r="E197" s="21">
        <f>15500+4100</f>
        <v>19600</v>
      </c>
      <c r="F197" s="21">
        <f>26500+4700</f>
        <v>31200</v>
      </c>
      <c r="G197" s="21">
        <f>26600+5000</f>
        <v>31600</v>
      </c>
      <c r="H197" s="21">
        <f>28600+5900</f>
        <v>34500</v>
      </c>
      <c r="I197" s="21">
        <f>29000+4900</f>
        <v>33900</v>
      </c>
      <c r="J197" s="21">
        <f>30800+5400</f>
        <v>36200</v>
      </c>
      <c r="K197" s="21">
        <f>31000+5200</f>
        <v>36200</v>
      </c>
      <c r="L197" s="21">
        <f>33100+4900</f>
        <v>38000</v>
      </c>
      <c r="M197" s="21">
        <f>33300+3600</f>
        <v>36900</v>
      </c>
      <c r="N197" s="21">
        <f>35300+3500</f>
        <v>38800</v>
      </c>
      <c r="O197" s="21">
        <f>37300+2400</f>
        <v>39700</v>
      </c>
      <c r="P197" s="21">
        <v>42800</v>
      </c>
      <c r="Q197" s="21">
        <v>43600</v>
      </c>
      <c r="R197" s="21">
        <v>46100</v>
      </c>
      <c r="S197" s="21">
        <v>47800</v>
      </c>
      <c r="T197" s="21">
        <v>49400</v>
      </c>
      <c r="U197" s="21">
        <v>48100</v>
      </c>
      <c r="V197" s="21">
        <v>52300</v>
      </c>
      <c r="W197" s="21">
        <v>56000</v>
      </c>
      <c r="X197" s="21">
        <v>58800</v>
      </c>
      <c r="Y197" s="21">
        <v>67100</v>
      </c>
      <c r="Z197" s="21">
        <v>77100</v>
      </c>
      <c r="AA197" s="21">
        <v>84000</v>
      </c>
      <c r="AB197" s="21">
        <v>91500</v>
      </c>
      <c r="AC197" s="21">
        <v>101500</v>
      </c>
      <c r="AD197" s="21">
        <v>122000</v>
      </c>
      <c r="AE197" s="21">
        <v>134500</v>
      </c>
      <c r="AF197" s="21">
        <v>135800</v>
      </c>
      <c r="AG197" s="21">
        <v>148300</v>
      </c>
      <c r="AH197" s="21">
        <v>159300</v>
      </c>
      <c r="AI197" s="21">
        <v>177700</v>
      </c>
      <c r="AJ197" s="24">
        <v>198800</v>
      </c>
      <c r="AK197" s="25">
        <f t="shared" ref="AK197" si="1516">AJ197*AK142/AJ142</f>
        <v>215556.88750000004</v>
      </c>
      <c r="AL197" s="25">
        <f t="shared" ref="AL197" si="1517">AK197*AL142/AK142</f>
        <v>231725.48675000004</v>
      </c>
      <c r="AM197" s="25">
        <f t="shared" ref="AM197" si="1518">AL197*AM142/AL142</f>
        <v>247762.69530812502</v>
      </c>
      <c r="AN197" s="25">
        <f t="shared" ref="AN197" si="1519">AM197*AN142/AM142</f>
        <v>261672.91724292506</v>
      </c>
      <c r="AO197" s="25">
        <f t="shared" ref="AO197" si="1520">AN197*AO142/AN142</f>
        <v>275068.97107727529</v>
      </c>
      <c r="AP197" s="25">
        <f t="shared" ref="AP197" si="1521">AO197*AP142/AO142</f>
        <v>287775.14372812607</v>
      </c>
      <c r="AQ197" s="25">
        <f t="shared" ref="AQ197" si="1522">AP197*AQ142/AP142</f>
        <v>300819.94972640387</v>
      </c>
      <c r="AR197" s="25">
        <f t="shared" ref="AR197" si="1523">AQ197*AR142/AQ142</f>
        <v>314205.90588558564</v>
      </c>
      <c r="AS197" s="25">
        <f t="shared" ref="AS197" si="1524">AR197*AS142/AR142</f>
        <v>328236.01373442874</v>
      </c>
      <c r="AU197" s="21"/>
      <c r="AV197" s="21"/>
      <c r="AW197" s="21"/>
      <c r="AX197" s="21">
        <f>6600+6400</f>
        <v>13000</v>
      </c>
      <c r="AY197" s="21">
        <f>13400+5200</f>
        <v>18600</v>
      </c>
      <c r="AZ197" s="19">
        <f t="shared" si="1463"/>
        <v>19600</v>
      </c>
      <c r="BA197" s="19">
        <f t="shared" si="1464"/>
        <v>31600</v>
      </c>
      <c r="BB197" s="19">
        <f t="shared" si="1465"/>
        <v>33900</v>
      </c>
      <c r="BC197" s="19">
        <f t="shared" si="1466"/>
        <v>36200</v>
      </c>
      <c r="BD197" s="19">
        <f t="shared" si="1467"/>
        <v>36900</v>
      </c>
      <c r="BE197" s="19">
        <f t="shared" si="1468"/>
        <v>39700</v>
      </c>
      <c r="BF197" s="19">
        <f t="shared" si="1469"/>
        <v>43600</v>
      </c>
      <c r="BG197" s="19">
        <f t="shared" si="1470"/>
        <v>47800</v>
      </c>
      <c r="BH197" s="19">
        <f t="shared" si="1471"/>
        <v>48100</v>
      </c>
      <c r="BI197" s="19">
        <f t="shared" si="1472"/>
        <v>56000</v>
      </c>
      <c r="BJ197" s="19">
        <f t="shared" si="1473"/>
        <v>67100</v>
      </c>
      <c r="BK197" s="19">
        <f t="shared" si="1474"/>
        <v>84000</v>
      </c>
      <c r="BL197" s="19">
        <f t="shared" si="1475"/>
        <v>101500</v>
      </c>
      <c r="BM197" s="19">
        <f t="shared" si="1476"/>
        <v>134500</v>
      </c>
      <c r="BN197" s="19">
        <f t="shared" si="1477"/>
        <v>148300</v>
      </c>
      <c r="BO197" s="20">
        <f t="shared" si="1478"/>
        <v>177700</v>
      </c>
      <c r="BP197" s="19">
        <f t="shared" si="1479"/>
        <v>215556.88750000004</v>
      </c>
      <c r="BQ197" s="19">
        <f t="shared" si="1480"/>
        <v>247762.69530812502</v>
      </c>
      <c r="BR197" s="19">
        <f t="shared" si="1481"/>
        <v>275068.97107727529</v>
      </c>
      <c r="BS197" s="19">
        <f t="shared" si="1482"/>
        <v>300819.94972640387</v>
      </c>
      <c r="BT197" s="19">
        <f t="shared" si="1483"/>
        <v>328236.01373442874</v>
      </c>
    </row>
    <row r="198" spans="1:72" ht="12" customHeight="1" outlineLevel="1">
      <c r="A198" s="1"/>
      <c r="B198" s="1" t="s">
        <v>183</v>
      </c>
      <c r="D198" s="19">
        <f t="shared" ref="D198" si="1525">D209-SUM(D189:D197)</f>
        <v>1500</v>
      </c>
      <c r="E198" s="19">
        <f t="shared" ref="E198" si="1526">E209-SUM(E189:E197)</f>
        <v>1400</v>
      </c>
      <c r="F198" s="19">
        <f t="shared" ref="F198" si="1527">F209-SUM(F189:F197)</f>
        <v>2000</v>
      </c>
      <c r="G198" s="19">
        <f t="shared" ref="G198" si="1528">G209-SUM(G189:G197)</f>
        <v>1900</v>
      </c>
      <c r="H198" s="19">
        <f t="shared" ref="H198" si="1529">H209-SUM(H189:H197)</f>
        <v>2600</v>
      </c>
      <c r="I198" s="19">
        <f t="shared" ref="I198" si="1530">I209-SUM(I189:I197)</f>
        <v>2300</v>
      </c>
      <c r="J198" s="19">
        <f t="shared" ref="J198:L198" si="1531">J209-SUM(J189:J197)</f>
        <v>1600</v>
      </c>
      <c r="K198" s="19">
        <f>K209-SUM(K189:K197)</f>
        <v>2200</v>
      </c>
      <c r="L198" s="19">
        <f t="shared" si="1531"/>
        <v>2400</v>
      </c>
      <c r="M198" s="19">
        <f t="shared" ref="M198:N198" si="1532">M209-SUM(M189:M197)</f>
        <v>2500</v>
      </c>
      <c r="N198" s="59">
        <f t="shared" si="1532"/>
        <v>2500</v>
      </c>
      <c r="O198" s="59">
        <f t="shared" ref="O198:P198" si="1533">O209-SUM(O189:O197)</f>
        <v>3200</v>
      </c>
      <c r="P198" s="59">
        <f t="shared" si="1533"/>
        <v>4600</v>
      </c>
      <c r="Q198" s="59">
        <f t="shared" ref="Q198:R198" si="1534">Q209-SUM(Q189:Q197)</f>
        <v>4100</v>
      </c>
      <c r="R198" s="59">
        <f t="shared" si="1534"/>
        <v>3800</v>
      </c>
      <c r="S198" s="59">
        <f t="shared" ref="S198:T198" si="1535">S209-SUM(S189:S197)</f>
        <v>4600</v>
      </c>
      <c r="T198" s="59">
        <f t="shared" si="1535"/>
        <v>4200</v>
      </c>
      <c r="U198" s="59">
        <f t="shared" ref="U198:V198" si="1536">U209-SUM(U189:U197)</f>
        <v>2800</v>
      </c>
      <c r="V198" s="59">
        <f t="shared" si="1536"/>
        <v>2900</v>
      </c>
      <c r="W198" s="59">
        <f t="shared" ref="W198:X198" si="1537">W209-SUM(W189:W197)</f>
        <v>3000</v>
      </c>
      <c r="X198" s="59">
        <f t="shared" si="1537"/>
        <v>3100</v>
      </c>
      <c r="Y198" s="59">
        <f t="shared" ref="Y198:Z198" si="1538">Y209-SUM(Y189:Y197)</f>
        <v>3500</v>
      </c>
      <c r="Z198" s="59">
        <f t="shared" si="1538"/>
        <v>4200</v>
      </c>
      <c r="AA198" s="59">
        <f t="shared" ref="AA198:AB198" si="1539">AA209-SUM(AA189:AA197)</f>
        <v>5100</v>
      </c>
      <c r="AB198" s="59">
        <f t="shared" si="1539"/>
        <v>5000</v>
      </c>
      <c r="AC198" s="59">
        <f t="shared" ref="AC198:AD198" si="1540">AC209-SUM(AC189:AC197)</f>
        <v>4600</v>
      </c>
      <c r="AD198" s="59">
        <f t="shared" si="1540"/>
        <v>5679</v>
      </c>
      <c r="AE198" s="59">
        <f t="shared" ref="AE198:AF198" si="1541">AE209-SUM(AE189:AE197)</f>
        <v>7129</v>
      </c>
      <c r="AF198" s="59">
        <f t="shared" si="1541"/>
        <v>6989</v>
      </c>
      <c r="AG198" s="59">
        <f t="shared" ref="AG198:AH198" si="1542">AG209-SUM(AG189:AG197)</f>
        <v>8401</v>
      </c>
      <c r="AH198" s="59">
        <f t="shared" si="1542"/>
        <v>8647</v>
      </c>
      <c r="AI198" s="59">
        <f t="shared" ref="AI198:AJ198" si="1543">AI209-SUM(AI189:AI197)</f>
        <v>13751</v>
      </c>
      <c r="AJ198" s="60">
        <f t="shared" si="1543"/>
        <v>13187</v>
      </c>
      <c r="AK198" s="58">
        <f t="shared" ref="AK198" si="1544">AJ198</f>
        <v>13187</v>
      </c>
      <c r="AL198" s="58">
        <f t="shared" ref="AL198" si="1545">AK198</f>
        <v>13187</v>
      </c>
      <c r="AM198" s="58">
        <f t="shared" ref="AM198" si="1546">AL198</f>
        <v>13187</v>
      </c>
      <c r="AN198" s="58">
        <f t="shared" ref="AN198" si="1547">AM198</f>
        <v>13187</v>
      </c>
      <c r="AO198" s="58">
        <f t="shared" ref="AO198" si="1548">AN198</f>
        <v>13187</v>
      </c>
      <c r="AP198" s="58">
        <f t="shared" ref="AP198" si="1549">AO198</f>
        <v>13187</v>
      </c>
      <c r="AQ198" s="58">
        <f t="shared" ref="AQ198" si="1550">AP198</f>
        <v>13187</v>
      </c>
      <c r="AR198" s="58">
        <f t="shared" ref="AR198" si="1551">AQ198</f>
        <v>13187</v>
      </c>
      <c r="AS198" s="58">
        <f t="shared" ref="AS198" si="1552">AR198</f>
        <v>13187</v>
      </c>
      <c r="AU198" s="19"/>
      <c r="AV198" s="19"/>
      <c r="AW198" s="19"/>
      <c r="AX198" s="19">
        <f t="shared" ref="AX198" si="1553">AX209-SUM(AX189:AX197)</f>
        <v>2300</v>
      </c>
      <c r="AY198" s="19">
        <f t="shared" ref="AY198" si="1554">AY209-SUM(AY189:AY197)</f>
        <v>2900</v>
      </c>
      <c r="AZ198" s="19">
        <f t="shared" si="1463"/>
        <v>1400</v>
      </c>
      <c r="BA198" s="19">
        <f t="shared" si="1464"/>
        <v>1900</v>
      </c>
      <c r="BB198" s="19">
        <f t="shared" si="1465"/>
        <v>2300</v>
      </c>
      <c r="BC198" s="19">
        <f t="shared" si="1466"/>
        <v>2200</v>
      </c>
      <c r="BD198" s="19">
        <f t="shared" si="1467"/>
        <v>2500</v>
      </c>
      <c r="BE198" s="19">
        <f t="shared" si="1468"/>
        <v>3200</v>
      </c>
      <c r="BF198" s="19">
        <f t="shared" si="1469"/>
        <v>4100</v>
      </c>
      <c r="BG198" s="19">
        <f t="shared" si="1470"/>
        <v>4600</v>
      </c>
      <c r="BH198" s="19">
        <f t="shared" si="1471"/>
        <v>2800</v>
      </c>
      <c r="BI198" s="19">
        <f t="shared" si="1472"/>
        <v>3000</v>
      </c>
      <c r="BJ198" s="19">
        <f t="shared" si="1473"/>
        <v>3500</v>
      </c>
      <c r="BK198" s="19">
        <f t="shared" si="1474"/>
        <v>5100</v>
      </c>
      <c r="BL198" s="19">
        <f t="shared" si="1475"/>
        <v>4600</v>
      </c>
      <c r="BM198" s="19">
        <f t="shared" si="1476"/>
        <v>7129</v>
      </c>
      <c r="BN198" s="19">
        <f t="shared" si="1477"/>
        <v>8401</v>
      </c>
      <c r="BO198" s="20">
        <f t="shared" si="1478"/>
        <v>13751</v>
      </c>
      <c r="BP198" s="19">
        <f t="shared" si="1479"/>
        <v>13187</v>
      </c>
      <c r="BQ198" s="19">
        <f t="shared" si="1480"/>
        <v>13187</v>
      </c>
      <c r="BR198" s="19">
        <f t="shared" si="1481"/>
        <v>13187</v>
      </c>
      <c r="BS198" s="19">
        <f t="shared" si="1482"/>
        <v>13187</v>
      </c>
      <c r="BT198" s="19">
        <f t="shared" si="1483"/>
        <v>13187</v>
      </c>
    </row>
    <row r="199" spans="1:72" ht="12" hidden="1" customHeight="1" outlineLevel="2">
      <c r="A199" s="1"/>
      <c r="B199" s="1" t="s">
        <v>173</v>
      </c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20"/>
      <c r="AK199" s="19"/>
      <c r="AL199" s="19"/>
      <c r="AM199" s="19"/>
      <c r="AN199" s="19"/>
      <c r="AO199" s="19"/>
      <c r="AP199" s="19"/>
      <c r="AQ199" s="19"/>
      <c r="AR199" s="19"/>
      <c r="AS199" s="19"/>
      <c r="AU199" s="21"/>
      <c r="AV199" s="21"/>
      <c r="AW199" s="21"/>
      <c r="AX199" s="21"/>
      <c r="AY199" s="21"/>
      <c r="AZ199" s="19">
        <f t="shared" si="1463"/>
        <v>0</v>
      </c>
      <c r="BA199" s="19">
        <f t="shared" si="1464"/>
        <v>0</v>
      </c>
      <c r="BB199" s="19">
        <f t="shared" si="1465"/>
        <v>0</v>
      </c>
      <c r="BC199" s="19">
        <f t="shared" si="1466"/>
        <v>0</v>
      </c>
      <c r="BD199" s="19">
        <f t="shared" si="1467"/>
        <v>0</v>
      </c>
      <c r="BE199" s="19">
        <f t="shared" si="1468"/>
        <v>0</v>
      </c>
      <c r="BF199" s="19">
        <f t="shared" si="1469"/>
        <v>0</v>
      </c>
      <c r="BG199" s="19">
        <f t="shared" si="1470"/>
        <v>0</v>
      </c>
      <c r="BH199" s="19">
        <f t="shared" si="1471"/>
        <v>0</v>
      </c>
      <c r="BI199" s="19">
        <f t="shared" si="1472"/>
        <v>0</v>
      </c>
      <c r="BJ199" s="19">
        <f t="shared" si="1473"/>
        <v>0</v>
      </c>
      <c r="BK199" s="19">
        <f t="shared" si="1474"/>
        <v>0</v>
      </c>
      <c r="BL199" s="19">
        <f t="shared" si="1475"/>
        <v>0</v>
      </c>
      <c r="BM199" s="19">
        <f t="shared" si="1476"/>
        <v>0</v>
      </c>
      <c r="BN199" s="19">
        <f t="shared" si="1477"/>
        <v>0</v>
      </c>
      <c r="BO199" s="20">
        <f t="shared" si="1478"/>
        <v>0</v>
      </c>
      <c r="BP199" s="19">
        <f t="shared" si="1479"/>
        <v>0</v>
      </c>
      <c r="BQ199" s="19">
        <f t="shared" si="1480"/>
        <v>0</v>
      </c>
      <c r="BR199" s="19">
        <f t="shared" si="1481"/>
        <v>0</v>
      </c>
      <c r="BS199" s="19">
        <f t="shared" si="1482"/>
        <v>0</v>
      </c>
      <c r="BT199" s="19">
        <f t="shared" si="1483"/>
        <v>0</v>
      </c>
    </row>
    <row r="200" spans="1:72" ht="12" hidden="1" customHeight="1" outlineLevel="2">
      <c r="A200" s="1"/>
      <c r="B200" s="1" t="s">
        <v>173</v>
      </c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20"/>
      <c r="AK200" s="19"/>
      <c r="AL200" s="19"/>
      <c r="AM200" s="19"/>
      <c r="AN200" s="19"/>
      <c r="AO200" s="19"/>
      <c r="AP200" s="19"/>
      <c r="AQ200" s="19"/>
      <c r="AR200" s="19"/>
      <c r="AS200" s="19"/>
      <c r="AU200" s="21"/>
      <c r="AV200" s="21"/>
      <c r="AW200" s="21"/>
      <c r="AX200" s="21"/>
      <c r="AY200" s="21"/>
      <c r="AZ200" s="19">
        <f t="shared" si="1463"/>
        <v>0</v>
      </c>
      <c r="BA200" s="19">
        <f t="shared" si="1464"/>
        <v>0</v>
      </c>
      <c r="BB200" s="19">
        <f t="shared" si="1465"/>
        <v>0</v>
      </c>
      <c r="BC200" s="19">
        <f t="shared" si="1466"/>
        <v>0</v>
      </c>
      <c r="BD200" s="19">
        <f t="shared" si="1467"/>
        <v>0</v>
      </c>
      <c r="BE200" s="19">
        <f t="shared" si="1468"/>
        <v>0</v>
      </c>
      <c r="BF200" s="19">
        <f t="shared" si="1469"/>
        <v>0</v>
      </c>
      <c r="BG200" s="19">
        <f t="shared" si="1470"/>
        <v>0</v>
      </c>
      <c r="BH200" s="19">
        <f t="shared" si="1471"/>
        <v>0</v>
      </c>
      <c r="BI200" s="19">
        <f t="shared" si="1472"/>
        <v>0</v>
      </c>
      <c r="BJ200" s="19">
        <f t="shared" si="1473"/>
        <v>0</v>
      </c>
      <c r="BK200" s="19">
        <f t="shared" si="1474"/>
        <v>0</v>
      </c>
      <c r="BL200" s="19">
        <f t="shared" si="1475"/>
        <v>0</v>
      </c>
      <c r="BM200" s="19">
        <f t="shared" si="1476"/>
        <v>0</v>
      </c>
      <c r="BN200" s="19">
        <f t="shared" si="1477"/>
        <v>0</v>
      </c>
      <c r="BO200" s="20">
        <f t="shared" si="1478"/>
        <v>0</v>
      </c>
      <c r="BP200" s="19">
        <f t="shared" si="1479"/>
        <v>0</v>
      </c>
      <c r="BQ200" s="19">
        <f t="shared" si="1480"/>
        <v>0</v>
      </c>
      <c r="BR200" s="19">
        <f t="shared" si="1481"/>
        <v>0</v>
      </c>
      <c r="BS200" s="19">
        <f t="shared" si="1482"/>
        <v>0</v>
      </c>
      <c r="BT200" s="19">
        <f t="shared" si="1483"/>
        <v>0</v>
      </c>
    </row>
    <row r="201" spans="1:72" ht="12" hidden="1" customHeight="1" outlineLevel="2">
      <c r="A201" s="1"/>
      <c r="B201" s="1" t="s">
        <v>173</v>
      </c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20"/>
      <c r="AK201" s="19"/>
      <c r="AL201" s="19"/>
      <c r="AM201" s="19"/>
      <c r="AN201" s="19"/>
      <c r="AO201" s="19"/>
      <c r="AP201" s="19"/>
      <c r="AQ201" s="19"/>
      <c r="AR201" s="19"/>
      <c r="AS201" s="19"/>
      <c r="AU201" s="21"/>
      <c r="AV201" s="21"/>
      <c r="AW201" s="21"/>
      <c r="AX201" s="21"/>
      <c r="AY201" s="21"/>
      <c r="AZ201" s="19">
        <f t="shared" si="1463"/>
        <v>0</v>
      </c>
      <c r="BA201" s="19">
        <f t="shared" si="1464"/>
        <v>0</v>
      </c>
      <c r="BB201" s="19">
        <f t="shared" si="1465"/>
        <v>0</v>
      </c>
      <c r="BC201" s="19">
        <f t="shared" si="1466"/>
        <v>0</v>
      </c>
      <c r="BD201" s="19">
        <f t="shared" si="1467"/>
        <v>0</v>
      </c>
      <c r="BE201" s="19">
        <f t="shared" si="1468"/>
        <v>0</v>
      </c>
      <c r="BF201" s="19">
        <f t="shared" si="1469"/>
        <v>0</v>
      </c>
      <c r="BG201" s="19">
        <f t="shared" si="1470"/>
        <v>0</v>
      </c>
      <c r="BH201" s="19">
        <f t="shared" si="1471"/>
        <v>0</v>
      </c>
      <c r="BI201" s="19">
        <f t="shared" si="1472"/>
        <v>0</v>
      </c>
      <c r="BJ201" s="19">
        <f t="shared" si="1473"/>
        <v>0</v>
      </c>
      <c r="BK201" s="19">
        <f t="shared" si="1474"/>
        <v>0</v>
      </c>
      <c r="BL201" s="19">
        <f t="shared" si="1475"/>
        <v>0</v>
      </c>
      <c r="BM201" s="19">
        <f t="shared" si="1476"/>
        <v>0</v>
      </c>
      <c r="BN201" s="19">
        <f t="shared" si="1477"/>
        <v>0</v>
      </c>
      <c r="BO201" s="20">
        <f t="shared" si="1478"/>
        <v>0</v>
      </c>
      <c r="BP201" s="19">
        <f t="shared" si="1479"/>
        <v>0</v>
      </c>
      <c r="BQ201" s="19">
        <f t="shared" si="1480"/>
        <v>0</v>
      </c>
      <c r="BR201" s="19">
        <f t="shared" si="1481"/>
        <v>0</v>
      </c>
      <c r="BS201" s="19">
        <f t="shared" si="1482"/>
        <v>0</v>
      </c>
      <c r="BT201" s="19">
        <f t="shared" si="1483"/>
        <v>0</v>
      </c>
    </row>
    <row r="202" spans="1:72" ht="12" hidden="1" customHeight="1" outlineLevel="2">
      <c r="A202" s="1"/>
      <c r="B202" s="1" t="s">
        <v>173</v>
      </c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20"/>
      <c r="AK202" s="19"/>
      <c r="AL202" s="19"/>
      <c r="AM202" s="19"/>
      <c r="AN202" s="19"/>
      <c r="AO202" s="19"/>
      <c r="AP202" s="19"/>
      <c r="AQ202" s="19"/>
      <c r="AR202" s="19"/>
      <c r="AS202" s="19"/>
      <c r="AU202" s="21"/>
      <c r="AV202" s="21"/>
      <c r="AW202" s="21"/>
      <c r="AX202" s="21"/>
      <c r="AY202" s="21"/>
      <c r="AZ202" s="19">
        <f t="shared" si="1463"/>
        <v>0</v>
      </c>
      <c r="BA202" s="19">
        <f t="shared" si="1464"/>
        <v>0</v>
      </c>
      <c r="BB202" s="19">
        <f t="shared" si="1465"/>
        <v>0</v>
      </c>
      <c r="BC202" s="19">
        <f t="shared" si="1466"/>
        <v>0</v>
      </c>
      <c r="BD202" s="19">
        <f t="shared" si="1467"/>
        <v>0</v>
      </c>
      <c r="BE202" s="19">
        <f t="shared" si="1468"/>
        <v>0</v>
      </c>
      <c r="BF202" s="19">
        <f t="shared" si="1469"/>
        <v>0</v>
      </c>
      <c r="BG202" s="19">
        <f t="shared" si="1470"/>
        <v>0</v>
      </c>
      <c r="BH202" s="19">
        <f t="shared" si="1471"/>
        <v>0</v>
      </c>
      <c r="BI202" s="19">
        <f t="shared" si="1472"/>
        <v>0</v>
      </c>
      <c r="BJ202" s="19">
        <f t="shared" si="1473"/>
        <v>0</v>
      </c>
      <c r="BK202" s="19">
        <f t="shared" si="1474"/>
        <v>0</v>
      </c>
      <c r="BL202" s="19">
        <f t="shared" si="1475"/>
        <v>0</v>
      </c>
      <c r="BM202" s="19">
        <f t="shared" si="1476"/>
        <v>0</v>
      </c>
      <c r="BN202" s="19">
        <f t="shared" si="1477"/>
        <v>0</v>
      </c>
      <c r="BO202" s="20">
        <f t="shared" si="1478"/>
        <v>0</v>
      </c>
      <c r="BP202" s="19">
        <f t="shared" si="1479"/>
        <v>0</v>
      </c>
      <c r="BQ202" s="19">
        <f t="shared" si="1480"/>
        <v>0</v>
      </c>
      <c r="BR202" s="19">
        <f t="shared" si="1481"/>
        <v>0</v>
      </c>
      <c r="BS202" s="19">
        <f t="shared" si="1482"/>
        <v>0</v>
      </c>
      <c r="BT202" s="19">
        <f t="shared" si="1483"/>
        <v>0</v>
      </c>
    </row>
    <row r="203" spans="1:72" ht="12" hidden="1" customHeight="1" outlineLevel="2">
      <c r="A203" s="1"/>
      <c r="B203" s="1" t="s">
        <v>173</v>
      </c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20"/>
      <c r="AK203" s="19"/>
      <c r="AL203" s="19"/>
      <c r="AM203" s="19"/>
      <c r="AN203" s="19"/>
      <c r="AO203" s="19"/>
      <c r="AP203" s="19"/>
      <c r="AQ203" s="19"/>
      <c r="AR203" s="19"/>
      <c r="AS203" s="19"/>
      <c r="AU203" s="21"/>
      <c r="AV203" s="21"/>
      <c r="AW203" s="21"/>
      <c r="AX203" s="21"/>
      <c r="AY203" s="21"/>
      <c r="AZ203" s="19">
        <f t="shared" si="1463"/>
        <v>0</v>
      </c>
      <c r="BA203" s="19">
        <f t="shared" si="1464"/>
        <v>0</v>
      </c>
      <c r="BB203" s="19">
        <f t="shared" si="1465"/>
        <v>0</v>
      </c>
      <c r="BC203" s="19">
        <f t="shared" si="1466"/>
        <v>0</v>
      </c>
      <c r="BD203" s="19">
        <f t="shared" si="1467"/>
        <v>0</v>
      </c>
      <c r="BE203" s="19">
        <f t="shared" si="1468"/>
        <v>0</v>
      </c>
      <c r="BF203" s="19">
        <f t="shared" si="1469"/>
        <v>0</v>
      </c>
      <c r="BG203" s="19">
        <f t="shared" si="1470"/>
        <v>0</v>
      </c>
      <c r="BH203" s="19">
        <f t="shared" si="1471"/>
        <v>0</v>
      </c>
      <c r="BI203" s="19">
        <f t="shared" si="1472"/>
        <v>0</v>
      </c>
      <c r="BJ203" s="19">
        <f t="shared" si="1473"/>
        <v>0</v>
      </c>
      <c r="BK203" s="19">
        <f t="shared" si="1474"/>
        <v>0</v>
      </c>
      <c r="BL203" s="19">
        <f t="shared" si="1475"/>
        <v>0</v>
      </c>
      <c r="BM203" s="19">
        <f t="shared" si="1476"/>
        <v>0</v>
      </c>
      <c r="BN203" s="19">
        <f t="shared" si="1477"/>
        <v>0</v>
      </c>
      <c r="BO203" s="20">
        <f t="shared" si="1478"/>
        <v>0</v>
      </c>
      <c r="BP203" s="19">
        <f t="shared" si="1479"/>
        <v>0</v>
      </c>
      <c r="BQ203" s="19">
        <f t="shared" si="1480"/>
        <v>0</v>
      </c>
      <c r="BR203" s="19">
        <f t="shared" si="1481"/>
        <v>0</v>
      </c>
      <c r="BS203" s="19">
        <f t="shared" si="1482"/>
        <v>0</v>
      </c>
      <c r="BT203" s="19">
        <f t="shared" si="1483"/>
        <v>0</v>
      </c>
    </row>
    <row r="204" spans="1:72" ht="12" hidden="1" customHeight="1" outlineLevel="2">
      <c r="A204" s="1"/>
      <c r="B204" s="1" t="s">
        <v>173</v>
      </c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20"/>
      <c r="AK204" s="19"/>
      <c r="AL204" s="19"/>
      <c r="AM204" s="19"/>
      <c r="AN204" s="19"/>
      <c r="AO204" s="19"/>
      <c r="AP204" s="19"/>
      <c r="AQ204" s="19"/>
      <c r="AR204" s="19"/>
      <c r="AS204" s="19"/>
      <c r="AU204" s="21"/>
      <c r="AV204" s="21"/>
      <c r="AW204" s="21"/>
      <c r="AX204" s="21"/>
      <c r="AY204" s="21"/>
      <c r="AZ204" s="19">
        <f t="shared" si="1463"/>
        <v>0</v>
      </c>
      <c r="BA204" s="19">
        <f t="shared" si="1464"/>
        <v>0</v>
      </c>
      <c r="BB204" s="19">
        <f t="shared" si="1465"/>
        <v>0</v>
      </c>
      <c r="BC204" s="19">
        <f t="shared" si="1466"/>
        <v>0</v>
      </c>
      <c r="BD204" s="19">
        <f t="shared" si="1467"/>
        <v>0</v>
      </c>
      <c r="BE204" s="19">
        <f t="shared" si="1468"/>
        <v>0</v>
      </c>
      <c r="BF204" s="19">
        <f t="shared" si="1469"/>
        <v>0</v>
      </c>
      <c r="BG204" s="19">
        <f t="shared" si="1470"/>
        <v>0</v>
      </c>
      <c r="BH204" s="19">
        <f t="shared" si="1471"/>
        <v>0</v>
      </c>
      <c r="BI204" s="19">
        <f t="shared" si="1472"/>
        <v>0</v>
      </c>
      <c r="BJ204" s="19">
        <f t="shared" si="1473"/>
        <v>0</v>
      </c>
      <c r="BK204" s="19">
        <f t="shared" si="1474"/>
        <v>0</v>
      </c>
      <c r="BL204" s="19">
        <f t="shared" si="1475"/>
        <v>0</v>
      </c>
      <c r="BM204" s="19">
        <f t="shared" si="1476"/>
        <v>0</v>
      </c>
      <c r="BN204" s="19">
        <f t="shared" si="1477"/>
        <v>0</v>
      </c>
      <c r="BO204" s="20">
        <f t="shared" si="1478"/>
        <v>0</v>
      </c>
      <c r="BP204" s="19">
        <f t="shared" si="1479"/>
        <v>0</v>
      </c>
      <c r="BQ204" s="19">
        <f t="shared" si="1480"/>
        <v>0</v>
      </c>
      <c r="BR204" s="19">
        <f t="shared" si="1481"/>
        <v>0</v>
      </c>
      <c r="BS204" s="19">
        <f t="shared" si="1482"/>
        <v>0</v>
      </c>
      <c r="BT204" s="19">
        <f t="shared" si="1483"/>
        <v>0</v>
      </c>
    </row>
    <row r="205" spans="1:72" ht="12" hidden="1" customHeight="1" outlineLevel="2">
      <c r="A205" s="1"/>
      <c r="B205" s="1" t="s">
        <v>173</v>
      </c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20"/>
      <c r="AK205" s="19"/>
      <c r="AL205" s="19"/>
      <c r="AM205" s="19"/>
      <c r="AN205" s="19"/>
      <c r="AO205" s="19"/>
      <c r="AP205" s="19"/>
      <c r="AQ205" s="19"/>
      <c r="AR205" s="19"/>
      <c r="AS205" s="19"/>
      <c r="AU205" s="21"/>
      <c r="AV205" s="21"/>
      <c r="AW205" s="21"/>
      <c r="AX205" s="21"/>
      <c r="AY205" s="21"/>
      <c r="AZ205" s="19">
        <f t="shared" si="1463"/>
        <v>0</v>
      </c>
      <c r="BA205" s="19">
        <f t="shared" si="1464"/>
        <v>0</v>
      </c>
      <c r="BB205" s="19">
        <f t="shared" si="1465"/>
        <v>0</v>
      </c>
      <c r="BC205" s="19">
        <f t="shared" si="1466"/>
        <v>0</v>
      </c>
      <c r="BD205" s="19">
        <f t="shared" si="1467"/>
        <v>0</v>
      </c>
      <c r="BE205" s="19">
        <f t="shared" si="1468"/>
        <v>0</v>
      </c>
      <c r="BF205" s="19">
        <f t="shared" si="1469"/>
        <v>0</v>
      </c>
      <c r="BG205" s="19">
        <f t="shared" si="1470"/>
        <v>0</v>
      </c>
      <c r="BH205" s="19">
        <f t="shared" si="1471"/>
        <v>0</v>
      </c>
      <c r="BI205" s="19">
        <f t="shared" si="1472"/>
        <v>0</v>
      </c>
      <c r="BJ205" s="19">
        <f t="shared" si="1473"/>
        <v>0</v>
      </c>
      <c r="BK205" s="19">
        <f t="shared" si="1474"/>
        <v>0</v>
      </c>
      <c r="BL205" s="19">
        <f t="shared" si="1475"/>
        <v>0</v>
      </c>
      <c r="BM205" s="19">
        <f t="shared" si="1476"/>
        <v>0</v>
      </c>
      <c r="BN205" s="19">
        <f t="shared" si="1477"/>
        <v>0</v>
      </c>
      <c r="BO205" s="20">
        <f t="shared" si="1478"/>
        <v>0</v>
      </c>
      <c r="BP205" s="19">
        <f t="shared" si="1479"/>
        <v>0</v>
      </c>
      <c r="BQ205" s="19">
        <f t="shared" si="1480"/>
        <v>0</v>
      </c>
      <c r="BR205" s="19">
        <f t="shared" si="1481"/>
        <v>0</v>
      </c>
      <c r="BS205" s="19">
        <f t="shared" si="1482"/>
        <v>0</v>
      </c>
      <c r="BT205" s="19">
        <f t="shared" si="1483"/>
        <v>0</v>
      </c>
    </row>
    <row r="206" spans="1:72" ht="12" hidden="1" customHeight="1" outlineLevel="2">
      <c r="A206" s="1"/>
      <c r="B206" s="1" t="s">
        <v>173</v>
      </c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20"/>
      <c r="AK206" s="19"/>
      <c r="AL206" s="19"/>
      <c r="AM206" s="19"/>
      <c r="AN206" s="19"/>
      <c r="AO206" s="19"/>
      <c r="AP206" s="19"/>
      <c r="AQ206" s="19"/>
      <c r="AR206" s="19"/>
      <c r="AS206" s="19"/>
      <c r="AU206" s="21"/>
      <c r="AV206" s="21"/>
      <c r="AW206" s="21"/>
      <c r="AX206" s="21"/>
      <c r="AY206" s="21"/>
      <c r="AZ206" s="19">
        <f t="shared" si="1463"/>
        <v>0</v>
      </c>
      <c r="BA206" s="19">
        <f t="shared" si="1464"/>
        <v>0</v>
      </c>
      <c r="BB206" s="19">
        <f t="shared" si="1465"/>
        <v>0</v>
      </c>
      <c r="BC206" s="19">
        <f t="shared" si="1466"/>
        <v>0</v>
      </c>
      <c r="BD206" s="19">
        <f t="shared" si="1467"/>
        <v>0</v>
      </c>
      <c r="BE206" s="19">
        <f t="shared" si="1468"/>
        <v>0</v>
      </c>
      <c r="BF206" s="19">
        <f t="shared" si="1469"/>
        <v>0</v>
      </c>
      <c r="BG206" s="19">
        <f t="shared" si="1470"/>
        <v>0</v>
      </c>
      <c r="BH206" s="19">
        <f t="shared" si="1471"/>
        <v>0</v>
      </c>
      <c r="BI206" s="19">
        <f t="shared" si="1472"/>
        <v>0</v>
      </c>
      <c r="BJ206" s="19">
        <f t="shared" si="1473"/>
        <v>0</v>
      </c>
      <c r="BK206" s="19">
        <f t="shared" si="1474"/>
        <v>0</v>
      </c>
      <c r="BL206" s="19">
        <f t="shared" si="1475"/>
        <v>0</v>
      </c>
      <c r="BM206" s="19">
        <f t="shared" si="1476"/>
        <v>0</v>
      </c>
      <c r="BN206" s="19">
        <f t="shared" si="1477"/>
        <v>0</v>
      </c>
      <c r="BO206" s="20">
        <f t="shared" si="1478"/>
        <v>0</v>
      </c>
      <c r="BP206" s="19">
        <f t="shared" si="1479"/>
        <v>0</v>
      </c>
      <c r="BQ206" s="19">
        <f t="shared" si="1480"/>
        <v>0</v>
      </c>
      <c r="BR206" s="19">
        <f t="shared" si="1481"/>
        <v>0</v>
      </c>
      <c r="BS206" s="19">
        <f t="shared" si="1482"/>
        <v>0</v>
      </c>
      <c r="BT206" s="19">
        <f t="shared" si="1483"/>
        <v>0</v>
      </c>
    </row>
    <row r="207" spans="1:72" ht="12" hidden="1" customHeight="1" outlineLevel="2">
      <c r="A207" s="1"/>
      <c r="B207" s="1" t="s">
        <v>173</v>
      </c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20"/>
      <c r="AK207" s="19"/>
      <c r="AL207" s="19"/>
      <c r="AM207" s="19"/>
      <c r="AN207" s="19"/>
      <c r="AO207" s="19"/>
      <c r="AP207" s="19"/>
      <c r="AQ207" s="19"/>
      <c r="AR207" s="19"/>
      <c r="AS207" s="19"/>
      <c r="AU207" s="21"/>
      <c r="AV207" s="21"/>
      <c r="AW207" s="21"/>
      <c r="AX207" s="21"/>
      <c r="AY207" s="21"/>
      <c r="AZ207" s="19">
        <f t="shared" si="1463"/>
        <v>0</v>
      </c>
      <c r="BA207" s="19">
        <f t="shared" si="1464"/>
        <v>0</v>
      </c>
      <c r="BB207" s="19">
        <f t="shared" si="1465"/>
        <v>0</v>
      </c>
      <c r="BC207" s="19">
        <f t="shared" si="1466"/>
        <v>0</v>
      </c>
      <c r="BD207" s="19">
        <f t="shared" si="1467"/>
        <v>0</v>
      </c>
      <c r="BE207" s="19">
        <f t="shared" si="1468"/>
        <v>0</v>
      </c>
      <c r="BF207" s="19">
        <f t="shared" si="1469"/>
        <v>0</v>
      </c>
      <c r="BG207" s="19">
        <f t="shared" si="1470"/>
        <v>0</v>
      </c>
      <c r="BH207" s="19">
        <f t="shared" si="1471"/>
        <v>0</v>
      </c>
      <c r="BI207" s="19">
        <f t="shared" si="1472"/>
        <v>0</v>
      </c>
      <c r="BJ207" s="19">
        <f t="shared" si="1473"/>
        <v>0</v>
      </c>
      <c r="BK207" s="19">
        <f t="shared" si="1474"/>
        <v>0</v>
      </c>
      <c r="BL207" s="19">
        <f t="shared" si="1475"/>
        <v>0</v>
      </c>
      <c r="BM207" s="19">
        <f t="shared" si="1476"/>
        <v>0</v>
      </c>
      <c r="BN207" s="19">
        <f t="shared" si="1477"/>
        <v>0</v>
      </c>
      <c r="BO207" s="20">
        <f t="shared" si="1478"/>
        <v>0</v>
      </c>
      <c r="BP207" s="19">
        <f t="shared" si="1479"/>
        <v>0</v>
      </c>
      <c r="BQ207" s="19">
        <f t="shared" si="1480"/>
        <v>0</v>
      </c>
      <c r="BR207" s="19">
        <f t="shared" si="1481"/>
        <v>0</v>
      </c>
      <c r="BS207" s="19">
        <f t="shared" si="1482"/>
        <v>0</v>
      </c>
      <c r="BT207" s="19">
        <f t="shared" si="1483"/>
        <v>0</v>
      </c>
    </row>
    <row r="208" spans="1:72" ht="12" hidden="1" customHeight="1" outlineLevel="2">
      <c r="A208" s="1"/>
      <c r="B208" s="1" t="s">
        <v>173</v>
      </c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20"/>
      <c r="AK208" s="19"/>
      <c r="AL208" s="19"/>
      <c r="AM208" s="19"/>
      <c r="AN208" s="19"/>
      <c r="AO208" s="19"/>
      <c r="AP208" s="19"/>
      <c r="AQ208" s="19"/>
      <c r="AR208" s="19"/>
      <c r="AS208" s="19"/>
      <c r="AU208" s="21"/>
      <c r="AV208" s="21"/>
      <c r="AW208" s="21"/>
      <c r="AX208" s="21"/>
      <c r="AY208" s="21"/>
      <c r="AZ208" s="19">
        <f t="shared" si="1463"/>
        <v>0</v>
      </c>
      <c r="BA208" s="19">
        <f t="shared" si="1464"/>
        <v>0</v>
      </c>
      <c r="BB208" s="19">
        <f t="shared" si="1465"/>
        <v>0</v>
      </c>
      <c r="BC208" s="19">
        <f t="shared" si="1466"/>
        <v>0</v>
      </c>
      <c r="BD208" s="19">
        <f t="shared" si="1467"/>
        <v>0</v>
      </c>
      <c r="BE208" s="19">
        <f t="shared" si="1468"/>
        <v>0</v>
      </c>
      <c r="BF208" s="19">
        <f t="shared" si="1469"/>
        <v>0</v>
      </c>
      <c r="BG208" s="19">
        <f t="shared" si="1470"/>
        <v>0</v>
      </c>
      <c r="BH208" s="19">
        <f t="shared" si="1471"/>
        <v>0</v>
      </c>
      <c r="BI208" s="19">
        <f t="shared" si="1472"/>
        <v>0</v>
      </c>
      <c r="BJ208" s="19">
        <f t="shared" si="1473"/>
        <v>0</v>
      </c>
      <c r="BK208" s="19">
        <f t="shared" si="1474"/>
        <v>0</v>
      </c>
      <c r="BL208" s="19">
        <f t="shared" si="1475"/>
        <v>0</v>
      </c>
      <c r="BM208" s="19">
        <f t="shared" si="1476"/>
        <v>0</v>
      </c>
      <c r="BN208" s="19">
        <f t="shared" si="1477"/>
        <v>0</v>
      </c>
      <c r="BO208" s="20">
        <f t="shared" si="1478"/>
        <v>0</v>
      </c>
      <c r="BP208" s="19">
        <f t="shared" si="1479"/>
        <v>0</v>
      </c>
      <c r="BQ208" s="19">
        <f t="shared" si="1480"/>
        <v>0</v>
      </c>
      <c r="BR208" s="19">
        <f t="shared" si="1481"/>
        <v>0</v>
      </c>
      <c r="BS208" s="19">
        <f t="shared" si="1482"/>
        <v>0</v>
      </c>
      <c r="BT208" s="19">
        <f t="shared" si="1483"/>
        <v>0</v>
      </c>
    </row>
    <row r="209" spans="1:72" ht="12" customHeight="1" outlineLevel="1" collapsed="1">
      <c r="A209" s="1"/>
      <c r="B209" s="9" t="s">
        <v>184</v>
      </c>
      <c r="D209" s="17">
        <f t="shared" ref="D209:J209" si="1555">D187-D217</f>
        <v>49500</v>
      </c>
      <c r="E209" s="17">
        <f t="shared" si="1555"/>
        <v>50700</v>
      </c>
      <c r="F209" s="17">
        <f t="shared" si="1555"/>
        <v>61300</v>
      </c>
      <c r="G209" s="17">
        <f t="shared" si="1555"/>
        <v>63000</v>
      </c>
      <c r="H209" s="17">
        <f t="shared" si="1555"/>
        <v>68900</v>
      </c>
      <c r="I209" s="17">
        <f t="shared" si="1555"/>
        <v>65200</v>
      </c>
      <c r="J209" s="17">
        <f t="shared" si="1555"/>
        <v>67200</v>
      </c>
      <c r="K209" s="17">
        <f>K187-K217</f>
        <v>65200</v>
      </c>
      <c r="L209" s="17">
        <f t="shared" ref="L209" si="1556">L187-L217</f>
        <v>69800</v>
      </c>
      <c r="M209" s="17">
        <f t="shared" ref="M209:N209" si="1557">M187-M217</f>
        <v>68900</v>
      </c>
      <c r="N209" s="17">
        <f t="shared" si="1557"/>
        <v>75300</v>
      </c>
      <c r="O209" s="17">
        <f t="shared" ref="O209:P209" si="1558">O187-O217</f>
        <v>85900</v>
      </c>
      <c r="P209" s="17">
        <f t="shared" si="1558"/>
        <v>94300</v>
      </c>
      <c r="Q209" s="17">
        <f t="shared" ref="Q209:R209" si="1559">Q187-Q217</f>
        <v>101900</v>
      </c>
      <c r="R209" s="17">
        <f t="shared" si="1559"/>
        <v>94600</v>
      </c>
      <c r="S209" s="17">
        <f t="shared" ref="S209:T209" si="1560">S187-S217</f>
        <v>92000</v>
      </c>
      <c r="T209" s="17">
        <f t="shared" si="1560"/>
        <v>95300</v>
      </c>
      <c r="U209" s="17">
        <f t="shared" ref="U209:V209" si="1561">U187-U217</f>
        <v>90100</v>
      </c>
      <c r="V209" s="17">
        <f t="shared" si="1561"/>
        <v>93300</v>
      </c>
      <c r="W209" s="17">
        <f t="shared" ref="W209:X209" si="1562">W187-W217</f>
        <v>87800</v>
      </c>
      <c r="X209" s="17">
        <f t="shared" si="1562"/>
        <v>96200</v>
      </c>
      <c r="Y209" s="17">
        <f t="shared" ref="Y209:Z209" si="1563">Y187-Y217</f>
        <v>107700</v>
      </c>
      <c r="Z209" s="17">
        <f t="shared" si="1563"/>
        <v>124600</v>
      </c>
      <c r="AA209" s="17">
        <f t="shared" ref="AA209:AB209" si="1564">AA187-AA217</f>
        <v>137600</v>
      </c>
      <c r="AB209" s="17">
        <f t="shared" si="1564"/>
        <v>166900</v>
      </c>
      <c r="AC209" s="17">
        <f t="shared" ref="AC209:AD209" si="1565">AC187-AC217</f>
        <v>195800</v>
      </c>
      <c r="AD209" s="17">
        <f t="shared" si="1565"/>
        <v>223379</v>
      </c>
      <c r="AE209" s="17">
        <f t="shared" ref="AE209:AF209" si="1566">AE187-AE217</f>
        <v>225529</v>
      </c>
      <c r="AF209" s="17">
        <f t="shared" si="1566"/>
        <v>231689</v>
      </c>
      <c r="AG209" s="17">
        <f t="shared" ref="AG209:AH209" si="1567">AG187-AG217</f>
        <v>242601</v>
      </c>
      <c r="AH209" s="17">
        <f t="shared" si="1567"/>
        <v>255347</v>
      </c>
      <c r="AI209" s="17">
        <f t="shared" ref="AI209:AJ209" si="1568">AI187-AI217</f>
        <v>276951</v>
      </c>
      <c r="AJ209" s="18">
        <f t="shared" si="1568"/>
        <v>302387</v>
      </c>
      <c r="AK209" s="17">
        <f t="shared" ref="AK209" si="1569">AK187-AK217</f>
        <v>323849.54903948051</v>
      </c>
      <c r="AL209" s="17">
        <f t="shared" ref="AL209:AM209" si="1570">AL187-AL217</f>
        <v>345010.30578109279</v>
      </c>
      <c r="AM209" s="17">
        <f t="shared" si="1570"/>
        <v>365279.14599133056</v>
      </c>
      <c r="AN209" s="17">
        <f t="shared" ref="AN209:AO209" si="1571">AN187-AN217</f>
        <v>382672.48089895572</v>
      </c>
      <c r="AO209" s="17">
        <f t="shared" si="1571"/>
        <v>398772.14830619824</v>
      </c>
      <c r="AP209" s="17">
        <f t="shared" ref="AP209:AQ209" si="1572">AP187-AP217</f>
        <v>414511.36896300223</v>
      </c>
      <c r="AQ209" s="17">
        <f t="shared" si="1572"/>
        <v>429867.8610257199</v>
      </c>
      <c r="AR209" s="17">
        <f t="shared" ref="AR209:AS209" si="1573">AR187-AR217</f>
        <v>446024.75980736373</v>
      </c>
      <c r="AS209" s="17">
        <f t="shared" si="1573"/>
        <v>462463.54798898753</v>
      </c>
      <c r="AU209" s="17"/>
      <c r="AV209" s="17"/>
      <c r="AW209" s="17"/>
      <c r="AX209" s="17">
        <f t="shared" ref="AX209" si="1574">AX187-AX217</f>
        <v>56500</v>
      </c>
      <c r="AY209" s="17">
        <f t="shared" ref="AY209" si="1575">AY187-AY217</f>
        <v>56200</v>
      </c>
      <c r="AZ209" s="17">
        <f t="shared" ref="AZ209" si="1576">AZ187-AZ217</f>
        <v>50700</v>
      </c>
      <c r="BA209" s="17">
        <f t="shared" ref="BA209" si="1577">BA187-BA217</f>
        <v>63000</v>
      </c>
      <c r="BB209" s="17">
        <f t="shared" ref="BB209" si="1578">BB187-BB217</f>
        <v>65200</v>
      </c>
      <c r="BC209" s="17">
        <f t="shared" ref="BC209:BD209" si="1579">BC187-BC217</f>
        <v>65200</v>
      </c>
      <c r="BD209" s="17">
        <f t="shared" si="1579"/>
        <v>68900</v>
      </c>
      <c r="BE209" s="17">
        <f t="shared" ref="BE209" si="1580">BE187-BE217</f>
        <v>85900</v>
      </c>
      <c r="BF209" s="17">
        <f t="shared" ref="BF209" si="1581">BF187-BF217</f>
        <v>101900</v>
      </c>
      <c r="BG209" s="17">
        <f t="shared" ref="BG209" si="1582">BG187-BG217</f>
        <v>92000</v>
      </c>
      <c r="BH209" s="17">
        <f t="shared" ref="BH209" si="1583">BH187-BH217</f>
        <v>90100</v>
      </c>
      <c r="BI209" s="17">
        <f t="shared" ref="BI209:BN209" si="1584">BI187-BI217</f>
        <v>87800</v>
      </c>
      <c r="BJ209" s="17">
        <f t="shared" si="1584"/>
        <v>107700</v>
      </c>
      <c r="BK209" s="17">
        <f t="shared" si="1584"/>
        <v>137600</v>
      </c>
      <c r="BL209" s="17">
        <f t="shared" si="1584"/>
        <v>195800</v>
      </c>
      <c r="BM209" s="17">
        <f t="shared" si="1584"/>
        <v>225529</v>
      </c>
      <c r="BN209" s="17">
        <f t="shared" si="1584"/>
        <v>242601</v>
      </c>
      <c r="BO209" s="18">
        <f t="shared" ref="BO209:BP209" si="1585">BO187-BO217</f>
        <v>276951</v>
      </c>
      <c r="BP209" s="17">
        <f t="shared" si="1585"/>
        <v>323849.54903948051</v>
      </c>
      <c r="BQ209" s="17">
        <f t="shared" ref="BQ209:BR209" si="1586">BQ187-BQ217</f>
        <v>365279.14599133056</v>
      </c>
      <c r="BR209" s="17">
        <f t="shared" si="1586"/>
        <v>398772.14830619824</v>
      </c>
      <c r="BS209" s="17">
        <f t="shared" ref="BS209" si="1587">BS187-BS217</f>
        <v>429867.8610257199</v>
      </c>
      <c r="BT209" s="17">
        <f t="shared" ref="BT209" si="1588">BT187-BT217</f>
        <v>462463.54798898753</v>
      </c>
    </row>
    <row r="210" spans="1:72" ht="12" customHeight="1" outlineLevel="1"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20"/>
      <c r="AK210" s="19"/>
      <c r="AL210" s="19"/>
      <c r="AM210" s="19"/>
      <c r="AN210" s="19"/>
      <c r="AO210" s="19"/>
      <c r="AP210" s="19"/>
      <c r="AQ210" s="19"/>
      <c r="AR210" s="19"/>
      <c r="AS210" s="19"/>
      <c r="AU210" s="19"/>
      <c r="AV210" s="19"/>
      <c r="AW210" s="19"/>
      <c r="AX210" s="19"/>
      <c r="AY210" s="19"/>
    </row>
    <row r="211" spans="1:72" ht="12" customHeight="1" outlineLevel="1">
      <c r="B211" s="1" t="s">
        <v>185</v>
      </c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20"/>
      <c r="AK211" s="19"/>
      <c r="AL211" s="19"/>
      <c r="AM211" s="19"/>
      <c r="AN211" s="19"/>
      <c r="AO211" s="19"/>
      <c r="AP211" s="19"/>
      <c r="AQ211" s="19"/>
      <c r="AR211" s="19"/>
      <c r="AS211" s="19"/>
      <c r="AU211" s="19"/>
      <c r="AV211" s="19"/>
      <c r="AW211" s="19"/>
      <c r="AX211" s="19"/>
      <c r="AY211" s="19"/>
      <c r="AZ211" s="19"/>
      <c r="BA211" s="19"/>
      <c r="BB211" s="19"/>
      <c r="BC211" s="19"/>
      <c r="BD211" s="19"/>
      <c r="BE211" s="19"/>
      <c r="BF211" s="19"/>
      <c r="BG211" s="19"/>
      <c r="BH211" s="19"/>
      <c r="BI211" s="19"/>
      <c r="BJ211" s="19"/>
      <c r="BK211" s="19"/>
      <c r="BL211" s="19"/>
    </row>
    <row r="212" spans="1:72" ht="12" customHeight="1" outlineLevel="1">
      <c r="B212" s="1" t="s">
        <v>186</v>
      </c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20"/>
      <c r="AK212" s="19"/>
      <c r="AL212" s="19"/>
      <c r="AM212" s="19"/>
      <c r="AN212" s="19"/>
      <c r="AO212" s="19"/>
      <c r="AP212" s="19"/>
      <c r="AQ212" s="19"/>
      <c r="AR212" s="19"/>
      <c r="AS212" s="19"/>
      <c r="AU212" s="19"/>
      <c r="AV212" s="19"/>
      <c r="AW212" s="19"/>
      <c r="AX212" s="19"/>
      <c r="AY212" s="19"/>
      <c r="AZ212" s="19"/>
      <c r="BA212" s="19"/>
      <c r="BB212" s="19"/>
      <c r="BC212" s="19"/>
      <c r="BD212" s="19"/>
      <c r="BE212" s="19"/>
      <c r="BF212" s="19"/>
      <c r="BG212" s="19"/>
      <c r="BH212" s="19"/>
      <c r="BI212" s="19"/>
      <c r="BJ212" s="19"/>
      <c r="BK212" s="19"/>
      <c r="BL212" s="19"/>
    </row>
    <row r="213" spans="1:72" ht="12" customHeight="1" outlineLevel="1">
      <c r="B213" s="1" t="s">
        <v>187</v>
      </c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20"/>
      <c r="AK213" s="19"/>
      <c r="AL213" s="19"/>
      <c r="AM213" s="19"/>
      <c r="AN213" s="19"/>
      <c r="AO213" s="19"/>
      <c r="AP213" s="19"/>
      <c r="AQ213" s="19"/>
      <c r="AR213" s="19"/>
      <c r="AS213" s="19"/>
      <c r="AU213" s="19"/>
      <c r="AV213" s="19"/>
      <c r="AW213" s="19"/>
      <c r="AX213" s="19"/>
      <c r="AY213" s="19"/>
      <c r="AZ213" s="19"/>
      <c r="BA213" s="19"/>
      <c r="BB213" s="19"/>
      <c r="BC213" s="19"/>
      <c r="BD213" s="19"/>
      <c r="BE213" s="19"/>
      <c r="BF213" s="19"/>
      <c r="BG213" s="19"/>
      <c r="BH213" s="19"/>
      <c r="BI213" s="19"/>
      <c r="BJ213" s="19"/>
      <c r="BK213" s="19"/>
      <c r="BL213" s="19"/>
    </row>
    <row r="214" spans="1:72" ht="12" customHeight="1" outlineLevel="1">
      <c r="B214" s="1" t="s">
        <v>188</v>
      </c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20"/>
      <c r="AK214" s="19"/>
      <c r="AL214" s="19"/>
      <c r="AM214" s="19"/>
      <c r="AN214" s="19"/>
      <c r="AO214" s="19"/>
      <c r="AP214" s="19"/>
      <c r="AQ214" s="19"/>
      <c r="AR214" s="19"/>
      <c r="AS214" s="19"/>
      <c r="AU214" s="19"/>
      <c r="AV214" s="19"/>
      <c r="AW214" s="19"/>
      <c r="AX214" s="19"/>
      <c r="AY214" s="19"/>
      <c r="AZ214" s="19"/>
      <c r="BA214" s="19"/>
      <c r="BB214" s="19"/>
      <c r="BC214" s="19"/>
      <c r="BD214" s="19"/>
      <c r="BE214" s="19"/>
      <c r="BF214" s="19"/>
      <c r="BG214" s="19"/>
      <c r="BH214" s="19"/>
      <c r="BI214" s="19"/>
      <c r="BJ214" s="19"/>
      <c r="BK214" s="19"/>
      <c r="BL214" s="19"/>
    </row>
    <row r="215" spans="1:72" ht="12" customHeight="1" outlineLevel="1">
      <c r="B215" s="1" t="s">
        <v>189</v>
      </c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20"/>
      <c r="AK215" s="19"/>
      <c r="AL215" s="19"/>
      <c r="AM215" s="19"/>
      <c r="AN215" s="19"/>
      <c r="AO215" s="19"/>
      <c r="AP215" s="19"/>
      <c r="AQ215" s="19"/>
      <c r="AR215" s="19"/>
      <c r="AS215" s="19"/>
      <c r="AU215" s="19"/>
      <c r="AV215" s="19"/>
      <c r="AW215" s="19"/>
      <c r="AX215" s="19"/>
      <c r="AY215" s="19"/>
      <c r="AZ215" s="19"/>
      <c r="BA215" s="19"/>
      <c r="BB215" s="19"/>
      <c r="BC215" s="19"/>
      <c r="BD215" s="19"/>
      <c r="BE215" s="19"/>
      <c r="BF215" s="19"/>
      <c r="BG215" s="19"/>
      <c r="BH215" s="19"/>
      <c r="BI215" s="19"/>
      <c r="BJ215" s="19"/>
      <c r="BK215" s="19"/>
      <c r="BL215" s="19"/>
    </row>
    <row r="216" spans="1:72" ht="12" customHeight="1" outlineLevel="1">
      <c r="B216" s="1" t="s">
        <v>190</v>
      </c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20"/>
      <c r="AK216" s="19"/>
      <c r="AL216" s="19"/>
      <c r="AM216" s="19"/>
      <c r="AN216" s="19"/>
      <c r="AO216" s="19"/>
      <c r="AP216" s="19"/>
      <c r="AQ216" s="19"/>
      <c r="AR216" s="19"/>
      <c r="AS216" s="19"/>
      <c r="AU216" s="19"/>
      <c r="AV216" s="19"/>
      <c r="AW216" s="19"/>
      <c r="AX216" s="19"/>
      <c r="AY216" s="19"/>
      <c r="AZ216" s="19"/>
      <c r="BA216" s="19"/>
      <c r="BB216" s="19"/>
      <c r="BC216" s="19"/>
      <c r="BD216" s="19"/>
      <c r="BE216" s="19"/>
      <c r="BF216" s="19"/>
      <c r="BG216" s="19"/>
      <c r="BH216" s="19"/>
      <c r="BI216" s="19"/>
      <c r="BJ216" s="19"/>
      <c r="BK216" s="19"/>
      <c r="BL216" s="19"/>
    </row>
    <row r="217" spans="1:72" s="9" customFormat="1" ht="12" customHeight="1" outlineLevel="1">
      <c r="A217" s="91"/>
      <c r="B217" s="9" t="s">
        <v>191</v>
      </c>
      <c r="C217" s="101"/>
      <c r="D217" s="22">
        <v>6800</v>
      </c>
      <c r="E217" s="22">
        <v>8500</v>
      </c>
      <c r="F217" s="22">
        <v>8700</v>
      </c>
      <c r="G217" s="22">
        <v>9100</v>
      </c>
      <c r="H217" s="22">
        <v>9400</v>
      </c>
      <c r="I217" s="22">
        <v>9200</v>
      </c>
      <c r="J217" s="22">
        <v>8700</v>
      </c>
      <c r="K217" s="22">
        <v>8700</v>
      </c>
      <c r="L217" s="22">
        <v>9400</v>
      </c>
      <c r="M217" s="22">
        <v>9500</v>
      </c>
      <c r="N217" s="22">
        <v>9400</v>
      </c>
      <c r="O217" s="22">
        <v>11600</v>
      </c>
      <c r="P217" s="22">
        <v>11900</v>
      </c>
      <c r="Q217" s="22">
        <v>12700</v>
      </c>
      <c r="R217" s="22">
        <v>12500</v>
      </c>
      <c r="S217" s="22">
        <v>12600</v>
      </c>
      <c r="T217" s="22">
        <v>12600</v>
      </c>
      <c r="U217" s="22">
        <v>14600</v>
      </c>
      <c r="V217" s="22">
        <v>14500</v>
      </c>
      <c r="W217" s="22">
        <v>12800</v>
      </c>
      <c r="X217" s="22">
        <v>14000</v>
      </c>
      <c r="Y217" s="22">
        <v>15800</v>
      </c>
      <c r="Z217" s="22">
        <v>15700</v>
      </c>
      <c r="AA217" s="22">
        <v>15800</v>
      </c>
      <c r="AB217" s="22">
        <v>18400</v>
      </c>
      <c r="AC217" s="22">
        <v>20300</v>
      </c>
      <c r="AD217" s="22">
        <f>20653+2468</f>
        <v>23121</v>
      </c>
      <c r="AE217" s="22">
        <f>20353+2418</f>
        <v>22771</v>
      </c>
      <c r="AF217" s="22">
        <f>20148+2463</f>
        <v>22611</v>
      </c>
      <c r="AG217" s="22">
        <f>21353+2446</f>
        <v>23799</v>
      </c>
      <c r="AH217" s="22">
        <f>20972+2381</f>
        <v>23353</v>
      </c>
      <c r="AI217" s="22">
        <f>23053+2496</f>
        <v>25549</v>
      </c>
      <c r="AJ217" s="23">
        <f>22883+2430</f>
        <v>25313</v>
      </c>
      <c r="AK217" s="17">
        <f>AJ217+((AK162-AJ162)*80%)</f>
        <v>26198.233894937352</v>
      </c>
      <c r="AL217" s="17">
        <f>AK217+((AL162-AK162)*90%)</f>
        <v>26454.009914034501</v>
      </c>
      <c r="AM217" s="17">
        <f t="shared" ref="AM217:AS217" si="1589">AL217+((AM162-AL162)*90%)</f>
        <v>27218.012441810253</v>
      </c>
      <c r="AN217" s="17">
        <f t="shared" si="1589"/>
        <v>27882.500544118375</v>
      </c>
      <c r="AO217" s="17">
        <f t="shared" si="1589"/>
        <v>29071.545809153184</v>
      </c>
      <c r="AP217" s="17">
        <f t="shared" si="1589"/>
        <v>29645.412922926149</v>
      </c>
      <c r="AQ217" s="17">
        <f t="shared" si="1589"/>
        <v>30934.801089641976</v>
      </c>
      <c r="AR217" s="17">
        <f t="shared" si="1589"/>
        <v>31760.011886165179</v>
      </c>
      <c r="AS217" s="17">
        <f t="shared" si="1589"/>
        <v>33044.960028931258</v>
      </c>
      <c r="AU217" s="22"/>
      <c r="AV217" s="22"/>
      <c r="AW217" s="22"/>
      <c r="AX217" s="22">
        <v>6400</v>
      </c>
      <c r="AY217" s="22">
        <v>6400</v>
      </c>
      <c r="AZ217" s="17">
        <f>E217</f>
        <v>8500</v>
      </c>
      <c r="BA217" s="17">
        <f>G217</f>
        <v>9100</v>
      </c>
      <c r="BB217" s="17">
        <f>I217</f>
        <v>9200</v>
      </c>
      <c r="BC217" s="17">
        <f>K217</f>
        <v>8700</v>
      </c>
      <c r="BD217" s="17">
        <f>M217</f>
        <v>9500</v>
      </c>
      <c r="BE217" s="17">
        <f>O217</f>
        <v>11600</v>
      </c>
      <c r="BF217" s="17">
        <f>Q217</f>
        <v>12700</v>
      </c>
      <c r="BG217" s="17">
        <f>S217</f>
        <v>12600</v>
      </c>
      <c r="BH217" s="17">
        <f>U217</f>
        <v>14600</v>
      </c>
      <c r="BI217" s="17">
        <f>W217</f>
        <v>12800</v>
      </c>
      <c r="BJ217" s="17">
        <f>Y217</f>
        <v>15800</v>
      </c>
      <c r="BK217" s="17">
        <f>AA217</f>
        <v>15800</v>
      </c>
      <c r="BL217" s="17">
        <f>AC217</f>
        <v>20300</v>
      </c>
      <c r="BM217" s="17">
        <f>AE217</f>
        <v>22771</v>
      </c>
      <c r="BN217" s="17">
        <f>AG217</f>
        <v>23799</v>
      </c>
      <c r="BO217" s="18">
        <f>AI217</f>
        <v>25549</v>
      </c>
      <c r="BP217" s="17">
        <f>AK217</f>
        <v>26198.233894937352</v>
      </c>
      <c r="BQ217" s="17">
        <f>AM217</f>
        <v>27218.012441810253</v>
      </c>
      <c r="BR217" s="17">
        <f>AO217</f>
        <v>29071.545809153184</v>
      </c>
      <c r="BS217" s="17">
        <f>AQ217</f>
        <v>30934.801089641976</v>
      </c>
      <c r="BT217" s="17">
        <f>AS217</f>
        <v>33044.960028931258</v>
      </c>
    </row>
    <row r="218" spans="1:72" ht="12" customHeight="1" outlineLevel="1"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20"/>
      <c r="AK218" s="19"/>
      <c r="AL218" s="19"/>
      <c r="AM218" s="19"/>
      <c r="AN218" s="19"/>
      <c r="AO218" s="19"/>
      <c r="AP218" s="19"/>
      <c r="AQ218" s="19"/>
      <c r="AR218" s="19"/>
      <c r="AS218" s="19"/>
      <c r="AU218" s="19"/>
      <c r="AV218" s="19"/>
      <c r="AW218" s="19"/>
      <c r="AX218" s="19"/>
      <c r="AY218" s="19"/>
    </row>
    <row r="219" spans="1:72" ht="12" customHeight="1" outlineLevel="1">
      <c r="B219" s="3" t="s">
        <v>196</v>
      </c>
      <c r="C219" s="96" t="str">
        <f t="shared" ref="C219:M219" si="1590">IF(ROUND(C187-C209,7)=ROUND(C217,7),"Ok","Error")</f>
        <v>Ok</v>
      </c>
      <c r="D219" s="96" t="str">
        <f t="shared" si="1590"/>
        <v>Ok</v>
      </c>
      <c r="E219" s="96" t="str">
        <f t="shared" si="1590"/>
        <v>Ok</v>
      </c>
      <c r="F219" s="96" t="str">
        <f t="shared" si="1590"/>
        <v>Ok</v>
      </c>
      <c r="G219" s="96" t="str">
        <f t="shared" si="1590"/>
        <v>Ok</v>
      </c>
      <c r="H219" s="96" t="str">
        <f t="shared" si="1590"/>
        <v>Ok</v>
      </c>
      <c r="I219" s="96" t="str">
        <f t="shared" si="1590"/>
        <v>Ok</v>
      </c>
      <c r="J219" s="96" t="str">
        <f t="shared" si="1590"/>
        <v>Ok</v>
      </c>
      <c r="K219" s="100" t="str">
        <f t="shared" si="1590"/>
        <v>Ok</v>
      </c>
      <c r="L219" s="100" t="str">
        <f t="shared" ref="L219" si="1591">IF(ROUND(L187-L209,7)=ROUND(L217,7),"Ok","Error")</f>
        <v>Ok</v>
      </c>
      <c r="M219" s="100" t="str">
        <f t="shared" si="1590"/>
        <v>Ok</v>
      </c>
      <c r="N219" s="100" t="str">
        <f t="shared" ref="N219:O219" si="1592">IF(ROUND(N187-N209,7)=ROUND(N217,7),"Ok","Error")</f>
        <v>Ok</v>
      </c>
      <c r="O219" s="100" t="str">
        <f t="shared" si="1592"/>
        <v>Ok</v>
      </c>
      <c r="P219" s="100" t="str">
        <f t="shared" ref="P219:Q219" si="1593">IF(ROUND(P187-P209,7)=ROUND(P217,7),"Ok","Error")</f>
        <v>Ok</v>
      </c>
      <c r="Q219" s="100" t="str">
        <f t="shared" si="1593"/>
        <v>Ok</v>
      </c>
      <c r="R219" s="100" t="str">
        <f t="shared" ref="R219:S219" si="1594">IF(ROUND(R187-R209,7)=ROUND(R217,7),"Ok","Error")</f>
        <v>Ok</v>
      </c>
      <c r="S219" s="100" t="str">
        <f t="shared" si="1594"/>
        <v>Ok</v>
      </c>
      <c r="T219" s="100" t="str">
        <f t="shared" ref="T219:U219" si="1595">IF(ROUND(T187-T209,7)=ROUND(T217,7),"Ok","Error")</f>
        <v>Ok</v>
      </c>
      <c r="U219" s="100" t="str">
        <f t="shared" si="1595"/>
        <v>Ok</v>
      </c>
      <c r="V219" s="100" t="str">
        <f t="shared" ref="V219" si="1596">IF(ROUND(V187-V209,7)=ROUND(V217,7),"Ok","Error")</f>
        <v>Ok</v>
      </c>
      <c r="W219" s="100" t="str">
        <f t="shared" ref="W219:X219" si="1597">IF(ROUND(W187-W209,7)=ROUND(W217,7),"Ok","Error")</f>
        <v>Ok</v>
      </c>
      <c r="X219" s="100" t="str">
        <f t="shared" si="1597"/>
        <v>Ok</v>
      </c>
      <c r="Y219" s="100" t="str">
        <f t="shared" ref="Y219:Z219" si="1598">IF(ROUND(Y187-Y209,7)=ROUND(Y217,7),"Ok","Error")</f>
        <v>Ok</v>
      </c>
      <c r="Z219" s="100" t="str">
        <f t="shared" si="1598"/>
        <v>Ok</v>
      </c>
      <c r="AA219" s="100" t="str">
        <f t="shared" ref="AA219:AB219" si="1599">IF(ROUND(AA187-AA209,7)=ROUND(AA217,7),"Ok","Error")</f>
        <v>Ok</v>
      </c>
      <c r="AB219" s="100" t="str">
        <f t="shared" si="1599"/>
        <v>Ok</v>
      </c>
      <c r="AC219" s="100" t="str">
        <f t="shared" ref="AC219:AD219" si="1600">IF(ROUND(AC187-AC209,7)=ROUND(AC217,7),"Ok","Error")</f>
        <v>Ok</v>
      </c>
      <c r="AD219" s="100" t="str">
        <f t="shared" si="1600"/>
        <v>Ok</v>
      </c>
      <c r="AE219" s="100" t="str">
        <f t="shared" ref="AE219:AF219" si="1601">IF(ROUND(AE187-AE209,7)=ROUND(AE217,7),"Ok","Error")</f>
        <v>Ok</v>
      </c>
      <c r="AF219" s="100" t="str">
        <f t="shared" si="1601"/>
        <v>Ok</v>
      </c>
      <c r="AG219" s="100" t="str">
        <f t="shared" ref="AG219:AH219" si="1602">IF(ROUND(AG187-AG209,7)=ROUND(AG217,7),"Ok","Error")</f>
        <v>Ok</v>
      </c>
      <c r="AH219" s="100" t="str">
        <f t="shared" si="1602"/>
        <v>Ok</v>
      </c>
      <c r="AI219" s="100" t="str">
        <f t="shared" ref="AI219" si="1603">IF(ROUND(AI187-AI209,7)=ROUND(AI217,7),"Ok","Error")</f>
        <v>Ok</v>
      </c>
      <c r="AJ219" s="97" t="str">
        <f t="shared" ref="AJ219:AK219" si="1604">IF(ROUND(AJ187-AJ209,7)=ROUND(AJ217,7),"Ok","Error")</f>
        <v>Ok</v>
      </c>
      <c r="AK219" s="96" t="str">
        <f t="shared" si="1604"/>
        <v>Ok</v>
      </c>
      <c r="AL219" s="96" t="str">
        <f t="shared" ref="AL219:AM219" si="1605">IF(ROUND(AL187-AL209,7)=ROUND(AL217,7),"Ok","Error")</f>
        <v>Ok</v>
      </c>
      <c r="AM219" s="96" t="str">
        <f t="shared" si="1605"/>
        <v>Ok</v>
      </c>
      <c r="AN219" s="96" t="str">
        <f t="shared" ref="AN219:AO219" si="1606">IF(ROUND(AN187-AN209,7)=ROUND(AN217,7),"Ok","Error")</f>
        <v>Ok</v>
      </c>
      <c r="AO219" s="96" t="str">
        <f t="shared" si="1606"/>
        <v>Ok</v>
      </c>
      <c r="AP219" s="96" t="str">
        <f t="shared" ref="AP219:AQ219" si="1607">IF(ROUND(AP187-AP209,7)=ROUND(AP217,7),"Ok","Error")</f>
        <v>Ok</v>
      </c>
      <c r="AQ219" s="96" t="str">
        <f t="shared" si="1607"/>
        <v>Ok</v>
      </c>
      <c r="AR219" s="96" t="str">
        <f t="shared" ref="AR219:AS219" si="1608">IF(ROUND(AR187-AR209,7)=ROUND(AR217,7),"Ok","Error")</f>
        <v>Ok</v>
      </c>
      <c r="AS219" s="96" t="str">
        <f t="shared" si="1608"/>
        <v>Ok</v>
      </c>
      <c r="AU219" s="96" t="str">
        <f t="shared" ref="AU219:BE219" si="1609">IF(ROUND(AU187-AU209,7)=ROUND(AU217,7),"Ok","Error")</f>
        <v>Ok</v>
      </c>
      <c r="AV219" s="96" t="str">
        <f t="shared" si="1609"/>
        <v>Ok</v>
      </c>
      <c r="AW219" s="96" t="str">
        <f t="shared" si="1609"/>
        <v>Ok</v>
      </c>
      <c r="AX219" s="96" t="str">
        <f t="shared" si="1609"/>
        <v>Ok</v>
      </c>
      <c r="AY219" s="96" t="str">
        <f t="shared" si="1609"/>
        <v>Ok</v>
      </c>
      <c r="AZ219" s="100" t="str">
        <f t="shared" si="1609"/>
        <v>Ok</v>
      </c>
      <c r="BA219" s="100" t="str">
        <f t="shared" si="1609"/>
        <v>Ok</v>
      </c>
      <c r="BB219" s="100" t="str">
        <f t="shared" si="1609"/>
        <v>Ok</v>
      </c>
      <c r="BC219" s="100" t="str">
        <f t="shared" si="1609"/>
        <v>Ok</v>
      </c>
      <c r="BD219" s="100" t="str">
        <f t="shared" si="1609"/>
        <v>Ok</v>
      </c>
      <c r="BE219" s="100" t="str">
        <f t="shared" si="1609"/>
        <v>Ok</v>
      </c>
      <c r="BF219" s="100" t="str">
        <f>IF(ROUND(BF187-BF209,7)=ROUND(BF217,7),"Ok","Error")</f>
        <v>Ok</v>
      </c>
      <c r="BG219" s="100" t="str">
        <f t="shared" ref="BG219:BI219" si="1610">IF(ROUND(BG187-BG209,7)=ROUND(BG217,7),"Ok","Error")</f>
        <v>Ok</v>
      </c>
      <c r="BH219" s="100" t="str">
        <f t="shared" si="1610"/>
        <v>Ok</v>
      </c>
      <c r="BI219" s="100" t="str">
        <f t="shared" si="1610"/>
        <v>Ok</v>
      </c>
      <c r="BJ219" s="100" t="str">
        <f t="shared" ref="BJ219" si="1611">IF(ROUND(BJ187-BJ209,7)=ROUND(BJ217,7),"Ok","Error")</f>
        <v>Ok</v>
      </c>
      <c r="BK219" s="100" t="str">
        <f t="shared" ref="BK219:BP219" si="1612">IF(ROUND(BK187-BK209,7)=ROUND(BK217,7),"Ok","Error")</f>
        <v>Ok</v>
      </c>
      <c r="BL219" s="100" t="str">
        <f t="shared" si="1612"/>
        <v>Ok</v>
      </c>
      <c r="BM219" s="100" t="str">
        <f t="shared" si="1612"/>
        <v>Ok</v>
      </c>
      <c r="BN219" s="100" t="str">
        <f t="shared" si="1612"/>
        <v>Ok</v>
      </c>
      <c r="BO219" s="97" t="str">
        <f t="shared" si="1612"/>
        <v>Ok</v>
      </c>
      <c r="BP219" s="100" t="str">
        <f t="shared" si="1612"/>
        <v>Ok</v>
      </c>
      <c r="BQ219" s="100" t="str">
        <f t="shared" ref="BQ219:BR219" si="1613">IF(ROUND(BQ187-BQ209,7)=ROUND(BQ217,7),"Ok","Error")</f>
        <v>Ok</v>
      </c>
      <c r="BR219" s="100" t="str">
        <f t="shared" si="1613"/>
        <v>Ok</v>
      </c>
      <c r="BS219" s="100" t="str">
        <f t="shared" ref="BS219" si="1614">IF(ROUND(BS187-BS209,7)=ROUND(BS217,7),"Ok","Error")</f>
        <v>Ok</v>
      </c>
      <c r="BT219" s="100" t="str">
        <f t="shared" ref="BT219" si="1615">IF(ROUND(BT187-BT209,7)=ROUND(BT217,7),"Ok","Error")</f>
        <v>Ok</v>
      </c>
    </row>
    <row r="220" spans="1:72" ht="12" customHeight="1" outlineLevel="1">
      <c r="C220" s="19"/>
      <c r="D220" s="19"/>
      <c r="AK220" s="19"/>
      <c r="AL220" s="19"/>
      <c r="AM220" s="19"/>
      <c r="AN220" s="19"/>
      <c r="AO220" s="19"/>
      <c r="AP220" s="19"/>
      <c r="AQ220" s="19"/>
      <c r="AR220" s="19"/>
      <c r="AS220" s="19"/>
      <c r="AU220" s="19"/>
      <c r="AV220" s="19"/>
      <c r="AW220" s="19"/>
      <c r="AX220" s="19"/>
      <c r="AY220" s="19"/>
    </row>
    <row r="221" spans="1:72" ht="12" customHeight="1" outlineLevel="1">
      <c r="B221" s="9" t="s">
        <v>193</v>
      </c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20"/>
      <c r="AK221" s="19"/>
      <c r="AL221" s="19"/>
      <c r="AM221" s="19"/>
      <c r="AN221" s="19"/>
      <c r="AO221" s="19"/>
      <c r="AP221" s="19"/>
      <c r="AQ221" s="19"/>
      <c r="AR221" s="19"/>
      <c r="AS221" s="19"/>
      <c r="AU221" s="19"/>
      <c r="AV221" s="19"/>
      <c r="AW221" s="19"/>
      <c r="AX221" s="19"/>
      <c r="AY221" s="19"/>
    </row>
    <row r="222" spans="1:72" ht="12" customHeight="1" outlineLevel="1">
      <c r="B222" s="1" t="s">
        <v>163</v>
      </c>
      <c r="D222" s="19">
        <f t="shared" ref="D222:H222" si="1616">D112-D167</f>
        <v>3000</v>
      </c>
      <c r="E222" s="19">
        <f t="shared" si="1616"/>
        <v>2100</v>
      </c>
      <c r="F222" s="19">
        <f t="shared" si="1616"/>
        <v>2400</v>
      </c>
      <c r="G222" s="19">
        <f t="shared" si="1616"/>
        <v>2200</v>
      </c>
      <c r="H222" s="19">
        <f t="shared" si="1616"/>
        <v>2200</v>
      </c>
      <c r="I222" s="19">
        <f t="shared" ref="I222:J222" si="1617">I112-I167</f>
        <v>2300</v>
      </c>
      <c r="J222" s="19">
        <f t="shared" si="1617"/>
        <v>1800</v>
      </c>
      <c r="K222" s="19">
        <f>K112-K167</f>
        <v>1800</v>
      </c>
      <c r="L222" s="19">
        <f t="shared" ref="L222:M222" si="1618">L112-L167</f>
        <v>2100</v>
      </c>
      <c r="M222" s="19">
        <f t="shared" si="1618"/>
        <v>1800</v>
      </c>
      <c r="N222" s="19">
        <f t="shared" ref="N222" si="1619">N112-N167</f>
        <v>1700</v>
      </c>
      <c r="O222" s="19">
        <f t="shared" ref="O222:P222" si="1620">O112-O167</f>
        <v>1900</v>
      </c>
      <c r="P222" s="19">
        <f t="shared" si="1620"/>
        <v>1700</v>
      </c>
      <c r="Q222" s="19">
        <f t="shared" ref="Q222:R222" si="1621">Q112-Q167</f>
        <v>1500</v>
      </c>
      <c r="R222" s="19">
        <f t="shared" si="1621"/>
        <v>1700</v>
      </c>
      <c r="S222" s="19">
        <f t="shared" ref="S222:T222" si="1622">S112-S167</f>
        <v>1700</v>
      </c>
      <c r="T222" s="19">
        <f t="shared" si="1622"/>
        <v>1800</v>
      </c>
      <c r="U222" s="19">
        <f t="shared" ref="U222:V222" si="1623">U112-U167</f>
        <v>1800</v>
      </c>
      <c r="V222" s="19">
        <f t="shared" si="1623"/>
        <v>2100</v>
      </c>
      <c r="W222" s="19">
        <f t="shared" ref="W222:X222" si="1624">W112-W167</f>
        <v>2000</v>
      </c>
      <c r="X222" s="19">
        <f t="shared" si="1624"/>
        <v>1800</v>
      </c>
      <c r="Y222" s="19">
        <f t="shared" ref="Y222:Z222" si="1625">Y112-Y167</f>
        <v>5300</v>
      </c>
      <c r="Z222" s="19">
        <f t="shared" si="1625"/>
        <v>5500</v>
      </c>
      <c r="AA222" s="19">
        <f t="shared" ref="AA222:AB222" si="1626">AA112-AA167</f>
        <v>4600</v>
      </c>
      <c r="AB222" s="19">
        <f t="shared" si="1626"/>
        <v>11300</v>
      </c>
      <c r="AC222" s="19">
        <f t="shared" ref="AC222:AD222" si="1627">AC112-AC167</f>
        <v>15200</v>
      </c>
      <c r="AD222" s="19">
        <f t="shared" si="1627"/>
        <v>16000</v>
      </c>
      <c r="AE222" s="19">
        <f t="shared" ref="AE222:AF222" si="1628">AE112-AE167</f>
        <v>15400</v>
      </c>
      <c r="AF222" s="19">
        <f t="shared" si="1628"/>
        <v>14600</v>
      </c>
      <c r="AG222" s="19">
        <f t="shared" ref="AG222:AH222" si="1629">AG112-AG167</f>
        <v>13800</v>
      </c>
      <c r="AH222" s="19">
        <f t="shared" si="1629"/>
        <v>12000</v>
      </c>
      <c r="AI222" s="19">
        <f t="shared" ref="AI222:AJ222" si="1630">AI112-AI167</f>
        <v>11900</v>
      </c>
      <c r="AJ222" s="20">
        <f t="shared" si="1630"/>
        <v>10600</v>
      </c>
      <c r="AK222" s="19">
        <f t="shared" ref="AK222" si="1631">AK112-AK167</f>
        <v>11046.737946428562</v>
      </c>
      <c r="AL222" s="19">
        <f t="shared" ref="AL222:AM222" si="1632">AL112-AL167</f>
        <v>11461.037579687953</v>
      </c>
      <c r="AM222" s="19">
        <f t="shared" si="1632"/>
        <v>11857.634114095621</v>
      </c>
      <c r="AN222" s="19">
        <f t="shared" ref="AN222:AO222" si="1633">AN112-AN167</f>
        <v>12190.497626787881</v>
      </c>
      <c r="AO222" s="19">
        <f t="shared" si="1633"/>
        <v>12502.53710759581</v>
      </c>
      <c r="AP222" s="19">
        <f t="shared" ref="AP222:AQ222" si="1634">AP112-AP167</f>
        <v>12791.299948494634</v>
      </c>
      <c r="AQ222" s="19">
        <f t="shared" si="1634"/>
        <v>13081.213844691898</v>
      </c>
      <c r="AR222" s="19">
        <f t="shared" ref="AR222:AS222" si="1635">AR112-AR167</f>
        <v>13372.25929429254</v>
      </c>
      <c r="AS222" s="19">
        <f t="shared" si="1635"/>
        <v>13670.812307726272</v>
      </c>
      <c r="AU222" s="19"/>
      <c r="AV222" s="19"/>
      <c r="AW222" s="19"/>
      <c r="AX222" s="19">
        <f t="shared" ref="AX222:AX231" si="1636">AX112-AX167</f>
        <v>2100</v>
      </c>
      <c r="AY222" s="19">
        <f t="shared" ref="AY222" si="1637">AY112-AY167</f>
        <v>4800</v>
      </c>
      <c r="AZ222" s="19">
        <f t="shared" ref="AZ222:AZ241" si="1638">E222</f>
        <v>2100</v>
      </c>
      <c r="BA222" s="19">
        <f t="shared" ref="BA222:BA241" si="1639">G222</f>
        <v>2200</v>
      </c>
      <c r="BB222" s="19">
        <f t="shared" ref="BB222:BB241" si="1640">I222</f>
        <v>2300</v>
      </c>
      <c r="BC222" s="19">
        <f t="shared" ref="BC222:BC241" si="1641">K222</f>
        <v>1800</v>
      </c>
      <c r="BD222" s="19">
        <f t="shared" ref="BD222:BD241" si="1642">M222</f>
        <v>1800</v>
      </c>
      <c r="BE222" s="19">
        <f t="shared" ref="BE222:BE241" si="1643">O222</f>
        <v>1900</v>
      </c>
      <c r="BF222" s="19">
        <f t="shared" ref="BF222:BF241" si="1644">Q222</f>
        <v>1500</v>
      </c>
      <c r="BG222" s="19">
        <f t="shared" ref="BG222:BG241" si="1645">S222</f>
        <v>1700</v>
      </c>
      <c r="BH222" s="19">
        <f t="shared" ref="BH222:BH241" si="1646">U222</f>
        <v>1800</v>
      </c>
      <c r="BI222" s="19">
        <f t="shared" ref="BI222:BI241" si="1647">W222</f>
        <v>2000</v>
      </c>
      <c r="BJ222" s="19">
        <f t="shared" ref="BJ222:BJ241" si="1648">Y222</f>
        <v>5300</v>
      </c>
      <c r="BK222" s="19">
        <f t="shared" ref="BK222:BK241" si="1649">AA222</f>
        <v>4600</v>
      </c>
      <c r="BL222" s="19">
        <f t="shared" ref="BL222:BL241" si="1650">AC222</f>
        <v>15200</v>
      </c>
      <c r="BM222" s="19">
        <f t="shared" ref="BM222:BM241" si="1651">AE222</f>
        <v>15400</v>
      </c>
      <c r="BN222" s="19">
        <f t="shared" ref="BN222:BN241" si="1652">AG222</f>
        <v>13800</v>
      </c>
      <c r="BO222" s="20">
        <f t="shared" ref="BO222:BO241" si="1653">AI222</f>
        <v>11900</v>
      </c>
      <c r="BP222" s="19">
        <f t="shared" ref="BP222:BP241" si="1654">AK222</f>
        <v>11046.737946428562</v>
      </c>
      <c r="BQ222" s="19">
        <f t="shared" ref="BQ222:BQ241" si="1655">AM222</f>
        <v>11857.634114095621</v>
      </c>
      <c r="BR222" s="19">
        <f t="shared" ref="BR222:BR241" si="1656">AO222</f>
        <v>12502.53710759581</v>
      </c>
      <c r="BS222" s="19">
        <f t="shared" ref="BS222:BS241" si="1657">AQ222</f>
        <v>13081.213844691898</v>
      </c>
      <c r="BT222" s="19">
        <f t="shared" ref="BT222:BT241" si="1658">AS222</f>
        <v>13670.812307726272</v>
      </c>
    </row>
    <row r="223" spans="1:72" ht="12" customHeight="1" outlineLevel="1">
      <c r="B223" s="1" t="s">
        <v>164</v>
      </c>
      <c r="D223" s="19">
        <f t="shared" ref="D223:H223" si="1659">D113-D168</f>
        <v>0</v>
      </c>
      <c r="E223" s="19">
        <f t="shared" si="1659"/>
        <v>0</v>
      </c>
      <c r="F223" s="19">
        <f t="shared" si="1659"/>
        <v>0</v>
      </c>
      <c r="G223" s="19">
        <f t="shared" si="1659"/>
        <v>0</v>
      </c>
      <c r="H223" s="19">
        <f t="shared" si="1659"/>
        <v>0</v>
      </c>
      <c r="I223" s="19">
        <f t="shared" ref="I223:K223" si="1660">I113-I168</f>
        <v>0</v>
      </c>
      <c r="J223" s="19">
        <f t="shared" si="1660"/>
        <v>0</v>
      </c>
      <c r="K223" s="19">
        <f t="shared" si="1660"/>
        <v>0</v>
      </c>
      <c r="L223" s="19">
        <f t="shared" ref="L223:M223" si="1661">L113-L168</f>
        <v>0</v>
      </c>
      <c r="M223" s="19">
        <f t="shared" si="1661"/>
        <v>0</v>
      </c>
      <c r="N223" s="19">
        <f t="shared" ref="N223" si="1662">N113-N168</f>
        <v>0</v>
      </c>
      <c r="O223" s="19">
        <f t="shared" ref="O223:P223" si="1663">O113-O168</f>
        <v>0</v>
      </c>
      <c r="P223" s="19">
        <f t="shared" si="1663"/>
        <v>0</v>
      </c>
      <c r="Q223" s="19">
        <f t="shared" ref="Q223:R223" si="1664">Q113-Q168</f>
        <v>0</v>
      </c>
      <c r="R223" s="19">
        <f t="shared" si="1664"/>
        <v>0</v>
      </c>
      <c r="S223" s="19">
        <f t="shared" ref="S223:T223" si="1665">S113-S168</f>
        <v>0</v>
      </c>
      <c r="T223" s="19">
        <f t="shared" si="1665"/>
        <v>0</v>
      </c>
      <c r="U223" s="19">
        <f t="shared" ref="U223:V223" si="1666">U113-U168</f>
        <v>0</v>
      </c>
      <c r="V223" s="19">
        <f t="shared" si="1666"/>
        <v>0</v>
      </c>
      <c r="W223" s="19">
        <f t="shared" ref="W223:X223" si="1667">W113-W168</f>
        <v>0</v>
      </c>
      <c r="X223" s="19">
        <f t="shared" si="1667"/>
        <v>0</v>
      </c>
      <c r="Y223" s="19">
        <f t="shared" ref="Y223:Z223" si="1668">Y113-Y168</f>
        <v>0</v>
      </c>
      <c r="Z223" s="19">
        <f t="shared" si="1668"/>
        <v>0</v>
      </c>
      <c r="AA223" s="19">
        <f t="shared" ref="AA223:AB223" si="1669">AA113-AA168</f>
        <v>0</v>
      </c>
      <c r="AB223" s="19">
        <f t="shared" si="1669"/>
        <v>0</v>
      </c>
      <c r="AC223" s="19">
        <f t="shared" ref="AC223:AD223" si="1670">AC113-AC168</f>
        <v>0</v>
      </c>
      <c r="AD223" s="19">
        <f t="shared" si="1670"/>
        <v>0</v>
      </c>
      <c r="AE223" s="19">
        <f t="shared" ref="AE223:AF223" si="1671">AE113-AE168</f>
        <v>0</v>
      </c>
      <c r="AF223" s="19">
        <f t="shared" si="1671"/>
        <v>0</v>
      </c>
      <c r="AG223" s="19">
        <f t="shared" ref="AG223:AH223" si="1672">AG113-AG168</f>
        <v>0</v>
      </c>
      <c r="AH223" s="19">
        <f t="shared" si="1672"/>
        <v>0</v>
      </c>
      <c r="AI223" s="19">
        <f t="shared" ref="AI223:AJ223" si="1673">AI113-AI168</f>
        <v>0</v>
      </c>
      <c r="AJ223" s="20">
        <f t="shared" si="1673"/>
        <v>0</v>
      </c>
      <c r="AK223" s="19">
        <f t="shared" ref="AK223" si="1674">AK113-AK168</f>
        <v>0</v>
      </c>
      <c r="AL223" s="19">
        <f t="shared" ref="AL223:AM223" si="1675">AL113-AL168</f>
        <v>0</v>
      </c>
      <c r="AM223" s="19">
        <f t="shared" si="1675"/>
        <v>0</v>
      </c>
      <c r="AN223" s="19">
        <f t="shared" ref="AN223:AO223" si="1676">AN113-AN168</f>
        <v>0</v>
      </c>
      <c r="AO223" s="19">
        <f t="shared" si="1676"/>
        <v>0</v>
      </c>
      <c r="AP223" s="19">
        <f t="shared" ref="AP223:AQ223" si="1677">AP113-AP168</f>
        <v>0</v>
      </c>
      <c r="AQ223" s="19">
        <f t="shared" si="1677"/>
        <v>0</v>
      </c>
      <c r="AR223" s="19">
        <f t="shared" ref="AR223:AS223" si="1678">AR113-AR168</f>
        <v>0</v>
      </c>
      <c r="AS223" s="19">
        <f t="shared" si="1678"/>
        <v>0</v>
      </c>
      <c r="AU223" s="19"/>
      <c r="AV223" s="19"/>
      <c r="AW223" s="19"/>
      <c r="AX223" s="19">
        <f t="shared" si="1636"/>
        <v>0</v>
      </c>
      <c r="AY223" s="19">
        <f t="shared" ref="AY223" si="1679">AY113-AY168</f>
        <v>0</v>
      </c>
      <c r="AZ223" s="19">
        <f t="shared" si="1638"/>
        <v>0</v>
      </c>
      <c r="BA223" s="19">
        <f t="shared" si="1639"/>
        <v>0</v>
      </c>
      <c r="BB223" s="19">
        <f t="shared" si="1640"/>
        <v>0</v>
      </c>
      <c r="BC223" s="19">
        <f t="shared" si="1641"/>
        <v>0</v>
      </c>
      <c r="BD223" s="19">
        <f t="shared" si="1642"/>
        <v>0</v>
      </c>
      <c r="BE223" s="19">
        <f t="shared" si="1643"/>
        <v>0</v>
      </c>
      <c r="BF223" s="19">
        <f t="shared" si="1644"/>
        <v>0</v>
      </c>
      <c r="BG223" s="19">
        <f t="shared" si="1645"/>
        <v>0</v>
      </c>
      <c r="BH223" s="19">
        <f t="shared" si="1646"/>
        <v>0</v>
      </c>
      <c r="BI223" s="19">
        <f t="shared" si="1647"/>
        <v>0</v>
      </c>
      <c r="BJ223" s="19">
        <f t="shared" si="1648"/>
        <v>0</v>
      </c>
      <c r="BK223" s="19">
        <f t="shared" si="1649"/>
        <v>0</v>
      </c>
      <c r="BL223" s="19">
        <f t="shared" si="1650"/>
        <v>0</v>
      </c>
      <c r="BM223" s="19">
        <f t="shared" si="1651"/>
        <v>0</v>
      </c>
      <c r="BN223" s="19">
        <f t="shared" si="1652"/>
        <v>0</v>
      </c>
      <c r="BO223" s="20">
        <f t="shared" si="1653"/>
        <v>0</v>
      </c>
      <c r="BP223" s="19">
        <f t="shared" si="1654"/>
        <v>0</v>
      </c>
      <c r="BQ223" s="19">
        <f t="shared" si="1655"/>
        <v>0</v>
      </c>
      <c r="BR223" s="19">
        <f t="shared" si="1656"/>
        <v>0</v>
      </c>
      <c r="BS223" s="19">
        <f t="shared" si="1657"/>
        <v>0</v>
      </c>
      <c r="BT223" s="19">
        <f t="shared" si="1658"/>
        <v>0</v>
      </c>
    </row>
    <row r="224" spans="1:72" ht="12" customHeight="1" outlineLevel="1">
      <c r="B224" s="1" t="s">
        <v>165</v>
      </c>
      <c r="D224" s="19">
        <f t="shared" ref="D224:H224" si="1680">D114-D169</f>
        <v>1600</v>
      </c>
      <c r="E224" s="19">
        <f t="shared" si="1680"/>
        <v>1400</v>
      </c>
      <c r="F224" s="19">
        <f t="shared" si="1680"/>
        <v>1000</v>
      </c>
      <c r="G224" s="19">
        <f t="shared" si="1680"/>
        <v>1600</v>
      </c>
      <c r="H224" s="19">
        <f t="shared" si="1680"/>
        <v>1200</v>
      </c>
      <c r="I224" s="19">
        <f t="shared" ref="I224:K224" si="1681">I114-I169</f>
        <v>1400</v>
      </c>
      <c r="J224" s="19">
        <f t="shared" si="1681"/>
        <v>1100</v>
      </c>
      <c r="K224" s="19">
        <f t="shared" si="1681"/>
        <v>600</v>
      </c>
      <c r="L224" s="19">
        <f t="shared" ref="L224:M224" si="1682">L114-L169</f>
        <v>1200</v>
      </c>
      <c r="M224" s="19">
        <f t="shared" si="1682"/>
        <v>1300</v>
      </c>
      <c r="N224" s="19">
        <f t="shared" ref="N224" si="1683">N114-N169</f>
        <v>1400</v>
      </c>
      <c r="O224" s="19">
        <f t="shared" ref="O224:P224" si="1684">O114-O169</f>
        <v>900</v>
      </c>
      <c r="P224" s="19">
        <f t="shared" si="1684"/>
        <v>900</v>
      </c>
      <c r="Q224" s="19">
        <f t="shared" ref="Q224:R224" si="1685">Q114-Q169</f>
        <v>700</v>
      </c>
      <c r="R224" s="19">
        <f t="shared" si="1685"/>
        <v>500</v>
      </c>
      <c r="S224" s="19">
        <f t="shared" ref="S224:T224" si="1686">S114-S169</f>
        <v>300</v>
      </c>
      <c r="T224" s="19">
        <f t="shared" si="1686"/>
        <v>700</v>
      </c>
      <c r="U224" s="19">
        <f t="shared" ref="U224:V224" si="1687">U114-U169</f>
        <v>800</v>
      </c>
      <c r="V224" s="19">
        <f t="shared" si="1687"/>
        <v>500</v>
      </c>
      <c r="W224" s="19">
        <f t="shared" ref="W224:X224" si="1688">W114-W169</f>
        <v>1000</v>
      </c>
      <c r="X224" s="19">
        <f t="shared" si="1688"/>
        <v>2100</v>
      </c>
      <c r="Y224" s="19">
        <f t="shared" ref="Y224:Z224" si="1689">Y114-Y169</f>
        <v>1200</v>
      </c>
      <c r="Z224" s="19">
        <f t="shared" si="1689"/>
        <v>1200</v>
      </c>
      <c r="AA224" s="19">
        <f t="shared" ref="AA224:AB224" si="1690">AA114-AA169</f>
        <v>1200</v>
      </c>
      <c r="AB224" s="19">
        <f t="shared" si="1690"/>
        <v>1200</v>
      </c>
      <c r="AC224" s="19">
        <f t="shared" ref="AC224:AD224" si="1691">AC114-AC169</f>
        <v>2800</v>
      </c>
      <c r="AD224" s="19">
        <f t="shared" si="1691"/>
        <v>3900</v>
      </c>
      <c r="AE224" s="19">
        <f t="shared" ref="AE224:AF224" si="1692">AE114-AE169</f>
        <v>3800</v>
      </c>
      <c r="AF224" s="19">
        <f t="shared" si="1692"/>
        <v>5000</v>
      </c>
      <c r="AG224" s="19">
        <f t="shared" ref="AG224:AH224" si="1693">AG114-AG169</f>
        <v>5100</v>
      </c>
      <c r="AH224" s="19">
        <f t="shared" si="1693"/>
        <v>7800</v>
      </c>
      <c r="AI224" s="19">
        <f t="shared" ref="AI224:AJ224" si="1694">AI114-AI169</f>
        <v>6400</v>
      </c>
      <c r="AJ224" s="20">
        <f t="shared" si="1694"/>
        <v>6600</v>
      </c>
      <c r="AK224" s="19">
        <f t="shared" ref="AK224" si="1695">AK114-AK169</f>
        <v>6878.1575892857145</v>
      </c>
      <c r="AL224" s="19">
        <f t="shared" ref="AL224:AM224" si="1696">AL114-AL169</f>
        <v>7136.1177382962851</v>
      </c>
      <c r="AM224" s="19">
        <f t="shared" si="1696"/>
        <v>7383.0552031161569</v>
      </c>
      <c r="AN224" s="19">
        <f t="shared" ref="AN224:AO224" si="1697">AN114-AN169</f>
        <v>7590.3098430943501</v>
      </c>
      <c r="AO224" s="19">
        <f t="shared" si="1697"/>
        <v>7784.5985764275902</v>
      </c>
      <c r="AP224" s="19">
        <f t="shared" ref="AP224:AQ224" si="1698">AP114-AP169</f>
        <v>7964.3943075532661</v>
      </c>
      <c r="AQ224" s="19">
        <f t="shared" si="1698"/>
        <v>8144.9067334874053</v>
      </c>
      <c r="AR224" s="19">
        <f t="shared" ref="AR224:AS224" si="1699">AR114-AR169</f>
        <v>8326.1237115406402</v>
      </c>
      <c r="AS224" s="19">
        <f t="shared" si="1699"/>
        <v>8512.0152104710869</v>
      </c>
      <c r="AU224" s="19"/>
      <c r="AV224" s="19"/>
      <c r="AW224" s="19"/>
      <c r="AX224" s="19">
        <f t="shared" si="1636"/>
        <v>800</v>
      </c>
      <c r="AY224" s="19">
        <f t="shared" ref="AY224" si="1700">AY114-AY169</f>
        <v>0</v>
      </c>
      <c r="AZ224" s="19">
        <f t="shared" si="1638"/>
        <v>1400</v>
      </c>
      <c r="BA224" s="19">
        <f t="shared" si="1639"/>
        <v>1600</v>
      </c>
      <c r="BB224" s="19">
        <f t="shared" si="1640"/>
        <v>1400</v>
      </c>
      <c r="BC224" s="19">
        <f t="shared" si="1641"/>
        <v>600</v>
      </c>
      <c r="BD224" s="19">
        <f t="shared" si="1642"/>
        <v>1300</v>
      </c>
      <c r="BE224" s="19">
        <f t="shared" si="1643"/>
        <v>900</v>
      </c>
      <c r="BF224" s="19">
        <f t="shared" si="1644"/>
        <v>700</v>
      </c>
      <c r="BG224" s="19">
        <f t="shared" si="1645"/>
        <v>300</v>
      </c>
      <c r="BH224" s="19">
        <f t="shared" si="1646"/>
        <v>800</v>
      </c>
      <c r="BI224" s="19">
        <f t="shared" si="1647"/>
        <v>1000</v>
      </c>
      <c r="BJ224" s="19">
        <f t="shared" si="1648"/>
        <v>1200</v>
      </c>
      <c r="BK224" s="19">
        <f t="shared" si="1649"/>
        <v>1200</v>
      </c>
      <c r="BL224" s="19">
        <f t="shared" si="1650"/>
        <v>2800</v>
      </c>
      <c r="BM224" s="19">
        <f t="shared" si="1651"/>
        <v>3800</v>
      </c>
      <c r="BN224" s="19">
        <f t="shared" si="1652"/>
        <v>5100</v>
      </c>
      <c r="BO224" s="20">
        <f t="shared" si="1653"/>
        <v>6400</v>
      </c>
      <c r="BP224" s="19">
        <f t="shared" si="1654"/>
        <v>6878.1575892857145</v>
      </c>
      <c r="BQ224" s="19">
        <f t="shared" si="1655"/>
        <v>7383.0552031161569</v>
      </c>
      <c r="BR224" s="19">
        <f t="shared" si="1656"/>
        <v>7784.5985764275902</v>
      </c>
      <c r="BS224" s="19">
        <f t="shared" si="1657"/>
        <v>8144.9067334874053</v>
      </c>
      <c r="BT224" s="19">
        <f t="shared" si="1658"/>
        <v>8512.0152104710869</v>
      </c>
    </row>
    <row r="225" spans="1:72" ht="12" customHeight="1" outlineLevel="1">
      <c r="B225" s="1" t="s">
        <v>166</v>
      </c>
      <c r="D225" s="19">
        <f t="shared" ref="D225:H225" si="1701">D115-D170</f>
        <v>200</v>
      </c>
      <c r="E225" s="19">
        <f t="shared" si="1701"/>
        <v>400</v>
      </c>
      <c r="F225" s="19">
        <f t="shared" si="1701"/>
        <v>200</v>
      </c>
      <c r="G225" s="19">
        <f t="shared" si="1701"/>
        <v>400</v>
      </c>
      <c r="H225" s="19">
        <f t="shared" si="1701"/>
        <v>400</v>
      </c>
      <c r="I225" s="19">
        <f t="shared" ref="I225:K225" si="1702">I115-I170</f>
        <v>400</v>
      </c>
      <c r="J225" s="19">
        <f t="shared" si="1702"/>
        <v>300</v>
      </c>
      <c r="K225" s="19">
        <f t="shared" si="1702"/>
        <v>300</v>
      </c>
      <c r="L225" s="19">
        <f t="shared" ref="L225:M225" si="1703">L115-L170</f>
        <v>400</v>
      </c>
      <c r="M225" s="19">
        <f t="shared" si="1703"/>
        <v>200</v>
      </c>
      <c r="N225" s="19">
        <f t="shared" ref="N225" si="1704">N115-N170</f>
        <v>200</v>
      </c>
      <c r="O225" s="19">
        <f t="shared" ref="O225:P225" si="1705">O115-O170</f>
        <v>200</v>
      </c>
      <c r="P225" s="19">
        <f t="shared" si="1705"/>
        <v>300</v>
      </c>
      <c r="Q225" s="19">
        <f t="shared" ref="Q225:R225" si="1706">Q115-Q170</f>
        <v>600</v>
      </c>
      <c r="R225" s="19">
        <f t="shared" si="1706"/>
        <v>500</v>
      </c>
      <c r="S225" s="19">
        <f t="shared" ref="S225:T225" si="1707">S115-S170</f>
        <v>300</v>
      </c>
      <c r="T225" s="19">
        <f t="shared" si="1707"/>
        <v>500</v>
      </c>
      <c r="U225" s="19">
        <f t="shared" ref="U225:V225" si="1708">U115-U170</f>
        <v>300</v>
      </c>
      <c r="V225" s="19">
        <f t="shared" si="1708"/>
        <v>200</v>
      </c>
      <c r="W225" s="19">
        <f t="shared" ref="W225:X225" si="1709">W115-W170</f>
        <v>1300</v>
      </c>
      <c r="X225" s="19">
        <f t="shared" si="1709"/>
        <v>900</v>
      </c>
      <c r="Y225" s="19">
        <f t="shared" ref="Y225:Z225" si="1710">Y115-Y170</f>
        <v>1200</v>
      </c>
      <c r="Z225" s="19">
        <f t="shared" si="1710"/>
        <v>600</v>
      </c>
      <c r="AA225" s="19">
        <f t="shared" ref="AA225:AB225" si="1711">AA115-AA170</f>
        <v>500</v>
      </c>
      <c r="AB225" s="19">
        <f t="shared" si="1711"/>
        <v>700</v>
      </c>
      <c r="AC225" s="19">
        <f t="shared" ref="AC225:AD225" si="1712">AC115-AC170</f>
        <v>1000</v>
      </c>
      <c r="AD225" s="19">
        <f t="shared" si="1712"/>
        <v>1000</v>
      </c>
      <c r="AE225" s="19">
        <f t="shared" ref="AE225:AF225" si="1713">AE115-AE170</f>
        <v>1200</v>
      </c>
      <c r="AF225" s="19">
        <f t="shared" si="1713"/>
        <v>1300</v>
      </c>
      <c r="AG225" s="19">
        <f t="shared" ref="AG225:AH225" si="1714">AG115-AG170</f>
        <v>1900</v>
      </c>
      <c r="AH225" s="19">
        <f t="shared" si="1714"/>
        <v>1700</v>
      </c>
      <c r="AI225" s="19">
        <f t="shared" ref="AI225:AJ225" si="1715">AI115-AI170</f>
        <v>1400</v>
      </c>
      <c r="AJ225" s="20">
        <f t="shared" si="1715"/>
        <v>1000</v>
      </c>
      <c r="AK225" s="19">
        <f t="shared" ref="AK225" si="1716">AK115-AK170</f>
        <v>1084.2901785714275</v>
      </c>
      <c r="AL225" s="19">
        <f t="shared" ref="AL225:AM225" si="1717">AL115-AL170</f>
        <v>1165.621160714285</v>
      </c>
      <c r="AM225" s="19">
        <f t="shared" si="1717"/>
        <v>1246.2912238839272</v>
      </c>
      <c r="AN225" s="19">
        <f t="shared" ref="AN225:AO225" si="1718">AN115-AN170</f>
        <v>1316.2621591696425</v>
      </c>
      <c r="AO225" s="19">
        <f t="shared" si="1718"/>
        <v>1383.6467358011814</v>
      </c>
      <c r="AP225" s="19">
        <f t="shared" ref="AP225:AQ225" si="1719">AP115-AP170</f>
        <v>1447.5610851515357</v>
      </c>
      <c r="AQ225" s="19">
        <f t="shared" si="1719"/>
        <v>1513.1788215613833</v>
      </c>
      <c r="AR225" s="19">
        <f t="shared" ref="AR225:AS225" si="1720">AR115-AR170</f>
        <v>1580.512605058273</v>
      </c>
      <c r="AS225" s="19">
        <f t="shared" si="1720"/>
        <v>1651.0865882013459</v>
      </c>
      <c r="AU225" s="19"/>
      <c r="AV225" s="19"/>
      <c r="AW225" s="19"/>
      <c r="AX225" s="19">
        <f t="shared" si="1636"/>
        <v>1000</v>
      </c>
      <c r="AY225" s="19">
        <f t="shared" ref="AY225" si="1721">AY115-AY170</f>
        <v>200</v>
      </c>
      <c r="AZ225" s="19">
        <f t="shared" si="1638"/>
        <v>400</v>
      </c>
      <c r="BA225" s="19">
        <f t="shared" si="1639"/>
        <v>400</v>
      </c>
      <c r="BB225" s="19">
        <f t="shared" si="1640"/>
        <v>400</v>
      </c>
      <c r="BC225" s="19">
        <f t="shared" si="1641"/>
        <v>300</v>
      </c>
      <c r="BD225" s="19">
        <f t="shared" si="1642"/>
        <v>200</v>
      </c>
      <c r="BE225" s="19">
        <f t="shared" si="1643"/>
        <v>200</v>
      </c>
      <c r="BF225" s="19">
        <f t="shared" si="1644"/>
        <v>600</v>
      </c>
      <c r="BG225" s="19">
        <f t="shared" si="1645"/>
        <v>300</v>
      </c>
      <c r="BH225" s="19">
        <f t="shared" si="1646"/>
        <v>300</v>
      </c>
      <c r="BI225" s="19">
        <f t="shared" si="1647"/>
        <v>1300</v>
      </c>
      <c r="BJ225" s="19">
        <f t="shared" si="1648"/>
        <v>1200</v>
      </c>
      <c r="BK225" s="19">
        <f t="shared" si="1649"/>
        <v>500</v>
      </c>
      <c r="BL225" s="19">
        <f t="shared" si="1650"/>
        <v>1000</v>
      </c>
      <c r="BM225" s="19">
        <f t="shared" si="1651"/>
        <v>1200</v>
      </c>
      <c r="BN225" s="19">
        <f t="shared" si="1652"/>
        <v>1900</v>
      </c>
      <c r="BO225" s="20">
        <f t="shared" si="1653"/>
        <v>1400</v>
      </c>
      <c r="BP225" s="19">
        <f t="shared" si="1654"/>
        <v>1084.2901785714275</v>
      </c>
      <c r="BQ225" s="19">
        <f t="shared" si="1655"/>
        <v>1246.2912238839272</v>
      </c>
      <c r="BR225" s="19">
        <f t="shared" si="1656"/>
        <v>1383.6467358011814</v>
      </c>
      <c r="BS225" s="19">
        <f t="shared" si="1657"/>
        <v>1513.1788215613833</v>
      </c>
      <c r="BT225" s="19">
        <f t="shared" si="1658"/>
        <v>1651.0865882013459</v>
      </c>
    </row>
    <row r="226" spans="1:72" ht="12" customHeight="1" outlineLevel="1">
      <c r="A226" s="1"/>
      <c r="B226" s="1" t="s">
        <v>167</v>
      </c>
      <c r="D226" s="19">
        <f t="shared" ref="D226:H226" si="1722">D116-D171</f>
        <v>900</v>
      </c>
      <c r="E226" s="19">
        <f t="shared" si="1722"/>
        <v>1000</v>
      </c>
      <c r="F226" s="19">
        <f t="shared" si="1722"/>
        <v>900</v>
      </c>
      <c r="G226" s="19">
        <f t="shared" si="1722"/>
        <v>2400</v>
      </c>
      <c r="H226" s="19">
        <f t="shared" si="1722"/>
        <v>500</v>
      </c>
      <c r="I226" s="19">
        <f t="shared" ref="I226:K226" si="1723">I116-I171</f>
        <v>900</v>
      </c>
      <c r="J226" s="19">
        <f t="shared" si="1723"/>
        <v>1400</v>
      </c>
      <c r="K226" s="19">
        <f t="shared" si="1723"/>
        <v>1100</v>
      </c>
      <c r="L226" s="19">
        <f t="shared" ref="L226:M226" si="1724">L116-L171</f>
        <v>1000</v>
      </c>
      <c r="M226" s="19">
        <f t="shared" si="1724"/>
        <v>1000</v>
      </c>
      <c r="N226" s="19">
        <f t="shared" ref="N226" si="1725">N116-N171</f>
        <v>1000</v>
      </c>
      <c r="O226" s="19">
        <f t="shared" ref="O226:P226" si="1726">O116-O171</f>
        <v>1000</v>
      </c>
      <c r="P226" s="19">
        <f t="shared" si="1726"/>
        <v>1500</v>
      </c>
      <c r="Q226" s="19">
        <f t="shared" ref="Q226:R226" si="1727">Q116-Q171</f>
        <v>1000</v>
      </c>
      <c r="R226" s="19">
        <f t="shared" si="1727"/>
        <v>800</v>
      </c>
      <c r="S226" s="19">
        <f t="shared" ref="S226:T226" si="1728">S116-S171</f>
        <v>1000</v>
      </c>
      <c r="T226" s="19">
        <f t="shared" si="1728"/>
        <v>600</v>
      </c>
      <c r="U226" s="19">
        <f t="shared" ref="U226:V226" si="1729">U116-U171</f>
        <v>700</v>
      </c>
      <c r="V226" s="19">
        <f t="shared" si="1729"/>
        <v>1400</v>
      </c>
      <c r="W226" s="19">
        <f t="shared" ref="W226:X226" si="1730">W116-W171</f>
        <v>12300</v>
      </c>
      <c r="X226" s="19">
        <f t="shared" si="1730"/>
        <v>5700</v>
      </c>
      <c r="Y226" s="19">
        <f t="shared" ref="Y226:Z226" si="1731">Y116-Y171</f>
        <v>7900</v>
      </c>
      <c r="Z226" s="19">
        <f t="shared" si="1731"/>
        <v>6200</v>
      </c>
      <c r="AA226" s="19">
        <f t="shared" ref="AA226:AB226" si="1732">AA116-AA171</f>
        <v>6400</v>
      </c>
      <c r="AB226" s="19">
        <f t="shared" si="1732"/>
        <v>9300</v>
      </c>
      <c r="AC226" s="19">
        <f t="shared" ref="AC226:AD226" si="1733">AC116-AC171</f>
        <v>12000</v>
      </c>
      <c r="AD226" s="19">
        <f t="shared" si="1733"/>
        <v>15300</v>
      </c>
      <c r="AE226" s="19">
        <f t="shared" ref="AE226:AF226" si="1734">AE116-AE171</f>
        <v>17300</v>
      </c>
      <c r="AF226" s="19">
        <f t="shared" si="1734"/>
        <v>18600</v>
      </c>
      <c r="AG226" s="19">
        <f t="shared" ref="AG226:AH226" si="1735">AG116-AG171</f>
        <v>19600</v>
      </c>
      <c r="AH226" s="19">
        <f t="shared" si="1735"/>
        <v>20800</v>
      </c>
      <c r="AI226" s="19">
        <f t="shared" ref="AI226:AJ226" si="1736">AI116-AI171</f>
        <v>22800</v>
      </c>
      <c r="AJ226" s="20">
        <f t="shared" si="1736"/>
        <v>23200</v>
      </c>
      <c r="AK226" s="19">
        <f t="shared" ref="AK226" si="1737">AK116-AK171</f>
        <v>25155.532142857148</v>
      </c>
      <c r="AL226" s="19">
        <f t="shared" ref="AL226:AM226" si="1738">AL116-AL171</f>
        <v>27042.410928571422</v>
      </c>
      <c r="AM226" s="19">
        <f t="shared" si="1738"/>
        <v>28913.956394107139</v>
      </c>
      <c r="AN226" s="19">
        <f t="shared" ref="AN226:AO226" si="1739">AN116-AN171</f>
        <v>30537.282092735724</v>
      </c>
      <c r="AO226" s="19">
        <f t="shared" si="1739"/>
        <v>32100.604270587442</v>
      </c>
      <c r="AP226" s="19">
        <f t="shared" ref="AP226:AQ226" si="1740">AP116-AP171</f>
        <v>33583.417175515671</v>
      </c>
      <c r="AQ226" s="19">
        <f t="shared" si="1740"/>
        <v>35105.748660224141</v>
      </c>
      <c r="AR226" s="19">
        <f t="shared" ref="AR226:AS226" si="1741">AR116-AR171</f>
        <v>36667.892437351984</v>
      </c>
      <c r="AS226" s="19">
        <f t="shared" si="1741"/>
        <v>38305.208846271329</v>
      </c>
      <c r="AU226" s="19"/>
      <c r="AV226" s="19"/>
      <c r="AW226" s="19"/>
      <c r="AX226" s="19">
        <f t="shared" si="1636"/>
        <v>3800</v>
      </c>
      <c r="AY226" s="19">
        <f t="shared" ref="AY226" si="1742">AY116-AY171</f>
        <v>1600</v>
      </c>
      <c r="AZ226" s="19">
        <f t="shared" si="1638"/>
        <v>1000</v>
      </c>
      <c r="BA226" s="19">
        <f t="shared" si="1639"/>
        <v>2400</v>
      </c>
      <c r="BB226" s="19">
        <f t="shared" si="1640"/>
        <v>900</v>
      </c>
      <c r="BC226" s="19">
        <f t="shared" si="1641"/>
        <v>1100</v>
      </c>
      <c r="BD226" s="19">
        <f t="shared" si="1642"/>
        <v>1000</v>
      </c>
      <c r="BE226" s="19">
        <f t="shared" si="1643"/>
        <v>1000</v>
      </c>
      <c r="BF226" s="19">
        <f t="shared" si="1644"/>
        <v>1000</v>
      </c>
      <c r="BG226" s="19">
        <f t="shared" si="1645"/>
        <v>1000</v>
      </c>
      <c r="BH226" s="19">
        <f t="shared" si="1646"/>
        <v>700</v>
      </c>
      <c r="BI226" s="19">
        <f t="shared" si="1647"/>
        <v>12300</v>
      </c>
      <c r="BJ226" s="19">
        <f t="shared" si="1648"/>
        <v>7900</v>
      </c>
      <c r="BK226" s="19">
        <f t="shared" si="1649"/>
        <v>6400</v>
      </c>
      <c r="BL226" s="19">
        <f t="shared" si="1650"/>
        <v>12000</v>
      </c>
      <c r="BM226" s="19">
        <f t="shared" si="1651"/>
        <v>17300</v>
      </c>
      <c r="BN226" s="19">
        <f t="shared" si="1652"/>
        <v>19600</v>
      </c>
      <c r="BO226" s="20">
        <f t="shared" si="1653"/>
        <v>22800</v>
      </c>
      <c r="BP226" s="19">
        <f t="shared" si="1654"/>
        <v>25155.532142857148</v>
      </c>
      <c r="BQ226" s="19">
        <f t="shared" si="1655"/>
        <v>28913.956394107139</v>
      </c>
      <c r="BR226" s="19">
        <f t="shared" si="1656"/>
        <v>32100.604270587442</v>
      </c>
      <c r="BS226" s="19">
        <f t="shared" si="1657"/>
        <v>35105.748660224141</v>
      </c>
      <c r="BT226" s="19">
        <f t="shared" si="1658"/>
        <v>38305.208846271329</v>
      </c>
    </row>
    <row r="227" spans="1:72" ht="12" customHeight="1" outlineLevel="1">
      <c r="A227" s="1"/>
      <c r="B227" s="1" t="s">
        <v>168</v>
      </c>
      <c r="D227" s="19">
        <f t="shared" ref="D227:H227" si="1743">D117-D172</f>
        <v>300</v>
      </c>
      <c r="E227" s="19">
        <f t="shared" si="1743"/>
        <v>300</v>
      </c>
      <c r="F227" s="19">
        <f t="shared" si="1743"/>
        <v>200</v>
      </c>
      <c r="G227" s="19">
        <f t="shared" si="1743"/>
        <v>200</v>
      </c>
      <c r="H227" s="19">
        <f t="shared" si="1743"/>
        <v>100</v>
      </c>
      <c r="I227" s="19">
        <f t="shared" ref="I227:K227" si="1744">I117-I172</f>
        <v>200</v>
      </c>
      <c r="J227" s="19">
        <f t="shared" si="1744"/>
        <v>-200</v>
      </c>
      <c r="K227" s="19">
        <f t="shared" si="1744"/>
        <v>200</v>
      </c>
      <c r="L227" s="19">
        <f t="shared" ref="L227:M227" si="1745">L117-L172</f>
        <v>100</v>
      </c>
      <c r="M227" s="19">
        <f t="shared" si="1745"/>
        <v>500</v>
      </c>
      <c r="N227" s="19">
        <f t="shared" ref="N227" si="1746">N117-N172</f>
        <v>900</v>
      </c>
      <c r="O227" s="19">
        <f t="shared" ref="O227:P227" si="1747">O117-O172</f>
        <v>600</v>
      </c>
      <c r="P227" s="19">
        <f t="shared" si="1747"/>
        <v>500</v>
      </c>
      <c r="Q227" s="19">
        <f t="shared" ref="Q227:R227" si="1748">Q117-Q172</f>
        <v>500</v>
      </c>
      <c r="R227" s="19">
        <f t="shared" si="1748"/>
        <v>700</v>
      </c>
      <c r="S227" s="19">
        <f t="shared" ref="S227:T227" si="1749">S117-S172</f>
        <v>400</v>
      </c>
      <c r="T227" s="19">
        <f t="shared" si="1749"/>
        <v>300</v>
      </c>
      <c r="U227" s="19">
        <f t="shared" ref="U227:V227" si="1750">U117-U172</f>
        <v>400</v>
      </c>
      <c r="V227" s="19">
        <f t="shared" si="1750"/>
        <v>500</v>
      </c>
      <c r="W227" s="19">
        <f t="shared" ref="W227:X227" si="1751">W117-W172</f>
        <v>600</v>
      </c>
      <c r="X227" s="19">
        <f t="shared" si="1751"/>
        <v>600</v>
      </c>
      <c r="Y227" s="19">
        <f t="shared" ref="Y227:Z227" si="1752">Y117-Y172</f>
        <v>200</v>
      </c>
      <c r="Z227" s="19">
        <f t="shared" si="1752"/>
        <v>400</v>
      </c>
      <c r="AA227" s="19">
        <f t="shared" ref="AA227:AB227" si="1753">AA117-AA172</f>
        <v>600</v>
      </c>
      <c r="AB227" s="19">
        <f t="shared" si="1753"/>
        <v>1100</v>
      </c>
      <c r="AC227" s="19">
        <f t="shared" ref="AC227:AD227" si="1754">AC117-AC172</f>
        <v>1100</v>
      </c>
      <c r="AD227" s="19">
        <f t="shared" si="1754"/>
        <v>2400</v>
      </c>
      <c r="AE227" s="19">
        <f t="shared" ref="AE227:AF227" si="1755">AE117-AE172</f>
        <v>2300</v>
      </c>
      <c r="AF227" s="19">
        <f t="shared" si="1755"/>
        <v>2500</v>
      </c>
      <c r="AG227" s="19">
        <f t="shared" ref="AG227:AH227" si="1756">AG117-AG172</f>
        <v>2100</v>
      </c>
      <c r="AH227" s="19">
        <f t="shared" si="1756"/>
        <v>1200</v>
      </c>
      <c r="AI227" s="19">
        <f t="shared" ref="AI227:AJ227" si="1757">AI117-AI172</f>
        <v>1400</v>
      </c>
      <c r="AJ227" s="20">
        <f t="shared" si="1757"/>
        <v>3200</v>
      </c>
      <c r="AK227" s="19">
        <f t="shared" ref="AK227" si="1758">AK117-AK172</f>
        <v>3200</v>
      </c>
      <c r="AL227" s="19">
        <f t="shared" ref="AL227:AM227" si="1759">AL117-AL172</f>
        <v>3200</v>
      </c>
      <c r="AM227" s="19">
        <f t="shared" si="1759"/>
        <v>3200</v>
      </c>
      <c r="AN227" s="19">
        <f t="shared" ref="AN227:AO227" si="1760">AN117-AN172</f>
        <v>3200</v>
      </c>
      <c r="AO227" s="19">
        <f t="shared" si="1760"/>
        <v>3200</v>
      </c>
      <c r="AP227" s="19">
        <f t="shared" ref="AP227:AQ227" si="1761">AP117-AP172</f>
        <v>3200</v>
      </c>
      <c r="AQ227" s="19">
        <f t="shared" si="1761"/>
        <v>3200</v>
      </c>
      <c r="AR227" s="19">
        <f t="shared" ref="AR227:AS227" si="1762">AR117-AR172</f>
        <v>3200</v>
      </c>
      <c r="AS227" s="19">
        <f t="shared" si="1762"/>
        <v>3200</v>
      </c>
      <c r="AU227" s="19"/>
      <c r="AV227" s="19"/>
      <c r="AW227" s="19"/>
      <c r="AX227" s="19">
        <f t="shared" si="1636"/>
        <v>700</v>
      </c>
      <c r="AY227" s="19">
        <f t="shared" ref="AY227" si="1763">AY117-AY172</f>
        <v>600</v>
      </c>
      <c r="AZ227" s="19">
        <f t="shared" si="1638"/>
        <v>300</v>
      </c>
      <c r="BA227" s="19">
        <f t="shared" si="1639"/>
        <v>200</v>
      </c>
      <c r="BB227" s="19">
        <f t="shared" si="1640"/>
        <v>200</v>
      </c>
      <c r="BC227" s="19">
        <f t="shared" si="1641"/>
        <v>200</v>
      </c>
      <c r="BD227" s="19">
        <f t="shared" si="1642"/>
        <v>500</v>
      </c>
      <c r="BE227" s="19">
        <f t="shared" si="1643"/>
        <v>600</v>
      </c>
      <c r="BF227" s="19">
        <f t="shared" si="1644"/>
        <v>500</v>
      </c>
      <c r="BG227" s="19">
        <f t="shared" si="1645"/>
        <v>400</v>
      </c>
      <c r="BH227" s="19">
        <f t="shared" si="1646"/>
        <v>400</v>
      </c>
      <c r="BI227" s="19">
        <f t="shared" si="1647"/>
        <v>600</v>
      </c>
      <c r="BJ227" s="19">
        <f t="shared" si="1648"/>
        <v>200</v>
      </c>
      <c r="BK227" s="19">
        <f t="shared" si="1649"/>
        <v>600</v>
      </c>
      <c r="BL227" s="19">
        <f t="shared" si="1650"/>
        <v>1100</v>
      </c>
      <c r="BM227" s="19">
        <f t="shared" si="1651"/>
        <v>2300</v>
      </c>
      <c r="BN227" s="19">
        <f t="shared" si="1652"/>
        <v>2100</v>
      </c>
      <c r="BO227" s="20">
        <f t="shared" si="1653"/>
        <v>1400</v>
      </c>
      <c r="BP227" s="19">
        <f t="shared" si="1654"/>
        <v>3200</v>
      </c>
      <c r="BQ227" s="19">
        <f t="shared" si="1655"/>
        <v>3200</v>
      </c>
      <c r="BR227" s="19">
        <f t="shared" si="1656"/>
        <v>3200</v>
      </c>
      <c r="BS227" s="19">
        <f t="shared" si="1657"/>
        <v>3200</v>
      </c>
      <c r="BT227" s="19">
        <f t="shared" si="1658"/>
        <v>3200</v>
      </c>
    </row>
    <row r="228" spans="1:72" ht="12" customHeight="1" outlineLevel="1">
      <c r="A228" s="1"/>
      <c r="B228" s="1" t="s">
        <v>169</v>
      </c>
      <c r="D228" s="19">
        <f t="shared" ref="D228:H228" si="1764">D118-D173</f>
        <v>4000</v>
      </c>
      <c r="E228" s="19">
        <f t="shared" si="1764"/>
        <v>3900</v>
      </c>
      <c r="F228" s="19">
        <f t="shared" si="1764"/>
        <v>4100</v>
      </c>
      <c r="G228" s="19">
        <f t="shared" si="1764"/>
        <v>3800</v>
      </c>
      <c r="H228" s="19">
        <f t="shared" si="1764"/>
        <v>4200</v>
      </c>
      <c r="I228" s="19">
        <f t="shared" ref="I228:K228" si="1765">I118-I173</f>
        <v>4000</v>
      </c>
      <c r="J228" s="19">
        <f t="shared" si="1765"/>
        <v>3900</v>
      </c>
      <c r="K228" s="19">
        <f t="shared" si="1765"/>
        <v>4400</v>
      </c>
      <c r="L228" s="19">
        <f t="shared" ref="L228:M228" si="1766">L118-L173</f>
        <v>5000</v>
      </c>
      <c r="M228" s="19">
        <f t="shared" si="1766"/>
        <v>3700</v>
      </c>
      <c r="N228" s="19">
        <f t="shared" ref="N228" si="1767">N118-N173</f>
        <v>3600</v>
      </c>
      <c r="O228" s="19">
        <f t="shared" ref="O228:P228" si="1768">O118-O173</f>
        <v>4000</v>
      </c>
      <c r="P228" s="19">
        <f t="shared" si="1768"/>
        <v>5100</v>
      </c>
      <c r="Q228" s="19">
        <f t="shared" ref="Q228:R228" si="1769">Q118-Q173</f>
        <v>4700</v>
      </c>
      <c r="R228" s="19">
        <f t="shared" si="1769"/>
        <v>4500</v>
      </c>
      <c r="S228" s="19">
        <f t="shared" ref="S228:T228" si="1770">S118-S173</f>
        <v>4700</v>
      </c>
      <c r="T228" s="19">
        <f t="shared" si="1770"/>
        <v>6900</v>
      </c>
      <c r="U228" s="19">
        <f t="shared" ref="U228:V228" si="1771">U118-U173</f>
        <v>6000</v>
      </c>
      <c r="V228" s="19">
        <f t="shared" si="1771"/>
        <v>5500</v>
      </c>
      <c r="W228" s="19">
        <f t="shared" ref="W228:X228" si="1772">W118-W173</f>
        <v>5500</v>
      </c>
      <c r="X228" s="19">
        <f t="shared" si="1772"/>
        <v>8000</v>
      </c>
      <c r="Y228" s="19">
        <f t="shared" ref="Y228:Z228" si="1773">Y118-Y173</f>
        <v>7000</v>
      </c>
      <c r="Z228" s="19">
        <f t="shared" si="1773"/>
        <v>5900</v>
      </c>
      <c r="AA228" s="19">
        <f t="shared" ref="AA228:AB228" si="1774">AA118-AA173</f>
        <v>5200</v>
      </c>
      <c r="AB228" s="19">
        <f t="shared" si="1774"/>
        <v>6100</v>
      </c>
      <c r="AC228" s="19">
        <f t="shared" ref="AC228:AD228" si="1775">AC118-AC173</f>
        <v>5700</v>
      </c>
      <c r="AD228" s="19">
        <f t="shared" si="1775"/>
        <v>6700</v>
      </c>
      <c r="AE228" s="19">
        <f t="shared" ref="AE228:AF228" si="1776">AE118-AE173</f>
        <v>6700</v>
      </c>
      <c r="AF228" s="19">
        <f t="shared" si="1776"/>
        <v>7800</v>
      </c>
      <c r="AG228" s="19">
        <f t="shared" ref="AG228:AH228" si="1777">AG118-AG173</f>
        <v>9900</v>
      </c>
      <c r="AH228" s="19">
        <f t="shared" si="1777"/>
        <v>9300</v>
      </c>
      <c r="AI228" s="19">
        <f t="shared" ref="AI228:AJ228" si="1778">AI118-AI173</f>
        <v>15400</v>
      </c>
      <c r="AJ228" s="20">
        <f t="shared" si="1778"/>
        <v>18200</v>
      </c>
      <c r="AK228" s="19">
        <f t="shared" ref="AK228" si="1779">AK118-AK173</f>
        <v>18666.069544335369</v>
      </c>
      <c r="AL228" s="19">
        <f t="shared" ref="AL228:AM228" si="1780">AL118-AL173</f>
        <v>19552.084881583294</v>
      </c>
      <c r="AM228" s="19">
        <f t="shared" si="1780"/>
        <v>20166.154163415529</v>
      </c>
      <c r="AN228" s="19">
        <f t="shared" ref="AN228:AO228" si="1781">AN118-AN173</f>
        <v>20321.336093223235</v>
      </c>
      <c r="AO228" s="19">
        <f t="shared" si="1781"/>
        <v>20487.601570349601</v>
      </c>
      <c r="AP228" s="19">
        <f t="shared" ref="AP228:AQ228" si="1782">AP118-AP173</f>
        <v>20664.771932683954</v>
      </c>
      <c r="AQ228" s="19">
        <f t="shared" si="1782"/>
        <v>20678.338555808718</v>
      </c>
      <c r="AR228" s="19">
        <f t="shared" ref="AR228:AS228" si="1783">AR118-AR173</f>
        <v>20536.985256652872</v>
      </c>
      <c r="AS228" s="19">
        <f t="shared" si="1783"/>
        <v>20416.316025755823</v>
      </c>
      <c r="AU228" s="19"/>
      <c r="AV228" s="19"/>
      <c r="AW228" s="19"/>
      <c r="AX228" s="19">
        <f t="shared" si="1636"/>
        <v>4700</v>
      </c>
      <c r="AY228" s="19">
        <f t="shared" ref="AY228" si="1784">AY118-AY173</f>
        <v>5200</v>
      </c>
      <c r="AZ228" s="19">
        <f t="shared" si="1638"/>
        <v>3900</v>
      </c>
      <c r="BA228" s="19">
        <f t="shared" si="1639"/>
        <v>3800</v>
      </c>
      <c r="BB228" s="19">
        <f t="shared" si="1640"/>
        <v>4000</v>
      </c>
      <c r="BC228" s="19">
        <f t="shared" si="1641"/>
        <v>4400</v>
      </c>
      <c r="BD228" s="19">
        <f t="shared" si="1642"/>
        <v>3700</v>
      </c>
      <c r="BE228" s="19">
        <f t="shared" si="1643"/>
        <v>4000</v>
      </c>
      <c r="BF228" s="19">
        <f t="shared" si="1644"/>
        <v>4700</v>
      </c>
      <c r="BG228" s="19">
        <f t="shared" si="1645"/>
        <v>4700</v>
      </c>
      <c r="BH228" s="19">
        <f t="shared" si="1646"/>
        <v>6000</v>
      </c>
      <c r="BI228" s="19">
        <f t="shared" si="1647"/>
        <v>5500</v>
      </c>
      <c r="BJ228" s="19">
        <f t="shared" si="1648"/>
        <v>7000</v>
      </c>
      <c r="BK228" s="19">
        <f t="shared" si="1649"/>
        <v>5200</v>
      </c>
      <c r="BL228" s="19">
        <f t="shared" si="1650"/>
        <v>5700</v>
      </c>
      <c r="BM228" s="19">
        <f t="shared" si="1651"/>
        <v>6700</v>
      </c>
      <c r="BN228" s="19">
        <f t="shared" si="1652"/>
        <v>9900</v>
      </c>
      <c r="BO228" s="20">
        <f t="shared" si="1653"/>
        <v>15400</v>
      </c>
      <c r="BP228" s="19">
        <f t="shared" si="1654"/>
        <v>18666.069544335369</v>
      </c>
      <c r="BQ228" s="19">
        <f t="shared" si="1655"/>
        <v>20166.154163415529</v>
      </c>
      <c r="BR228" s="19">
        <f t="shared" si="1656"/>
        <v>20487.601570349601</v>
      </c>
      <c r="BS228" s="19">
        <f t="shared" si="1657"/>
        <v>20678.338555808718</v>
      </c>
      <c r="BT228" s="19">
        <f t="shared" si="1658"/>
        <v>20416.316025755823</v>
      </c>
    </row>
    <row r="229" spans="1:72" ht="12" customHeight="1" outlineLevel="1">
      <c r="A229" s="1"/>
      <c r="B229" s="1" t="s">
        <v>171</v>
      </c>
      <c r="D229" s="19">
        <f t="shared" ref="D229:H229" si="1785">D119-D174</f>
        <v>0</v>
      </c>
      <c r="E229" s="19">
        <f t="shared" si="1785"/>
        <v>0</v>
      </c>
      <c r="F229" s="19">
        <f t="shared" si="1785"/>
        <v>0</v>
      </c>
      <c r="G229" s="19">
        <f t="shared" si="1785"/>
        <v>0</v>
      </c>
      <c r="H229" s="19">
        <f t="shared" si="1785"/>
        <v>0</v>
      </c>
      <c r="I229" s="19">
        <f t="shared" ref="I229:K229" si="1786">I119-I174</f>
        <v>0</v>
      </c>
      <c r="J229" s="19">
        <f t="shared" si="1786"/>
        <v>0</v>
      </c>
      <c r="K229" s="19">
        <f t="shared" si="1786"/>
        <v>0</v>
      </c>
      <c r="L229" s="19">
        <f t="shared" ref="L229:M229" si="1787">L119-L174</f>
        <v>0</v>
      </c>
      <c r="M229" s="19">
        <f t="shared" si="1787"/>
        <v>0</v>
      </c>
      <c r="N229" s="19">
        <f t="shared" ref="N229" si="1788">N119-N174</f>
        <v>0</v>
      </c>
      <c r="O229" s="19">
        <f t="shared" ref="O229:P229" si="1789">O119-O174</f>
        <v>0</v>
      </c>
      <c r="P229" s="19">
        <f t="shared" si="1789"/>
        <v>0</v>
      </c>
      <c r="Q229" s="19">
        <f t="shared" ref="Q229:R229" si="1790">Q119-Q174</f>
        <v>0</v>
      </c>
      <c r="R229" s="19">
        <f t="shared" si="1790"/>
        <v>0</v>
      </c>
      <c r="S229" s="19">
        <f t="shared" ref="S229:T229" si="1791">S119-S174</f>
        <v>0</v>
      </c>
      <c r="T229" s="19">
        <f t="shared" si="1791"/>
        <v>0</v>
      </c>
      <c r="U229" s="19">
        <f t="shared" ref="U229:V229" si="1792">U119-U174</f>
        <v>0</v>
      </c>
      <c r="V229" s="19">
        <f t="shared" si="1792"/>
        <v>0</v>
      </c>
      <c r="W229" s="19">
        <f t="shared" ref="W229:X229" si="1793">W119-W174</f>
        <v>0</v>
      </c>
      <c r="X229" s="19">
        <f t="shared" si="1793"/>
        <v>0</v>
      </c>
      <c r="Y229" s="19">
        <f t="shared" ref="Y229:Z229" si="1794">Y119-Y174</f>
        <v>0</v>
      </c>
      <c r="Z229" s="19">
        <f t="shared" si="1794"/>
        <v>0</v>
      </c>
      <c r="AA229" s="19">
        <f t="shared" ref="AA229:AB229" si="1795">AA119-AA174</f>
        <v>0</v>
      </c>
      <c r="AB229" s="19">
        <f t="shared" si="1795"/>
        <v>0</v>
      </c>
      <c r="AC229" s="19">
        <f t="shared" ref="AC229:AD229" si="1796">AC119-AC174</f>
        <v>0</v>
      </c>
      <c r="AD229" s="19">
        <f t="shared" si="1796"/>
        <v>0</v>
      </c>
      <c r="AE229" s="19">
        <f t="shared" ref="AE229:AF229" si="1797">AE119-AE174</f>
        <v>0</v>
      </c>
      <c r="AF229" s="19">
        <f t="shared" si="1797"/>
        <v>0</v>
      </c>
      <c r="AG229" s="19">
        <f t="shared" ref="AG229:AH229" si="1798">AG119-AG174</f>
        <v>0</v>
      </c>
      <c r="AH229" s="19">
        <f t="shared" si="1798"/>
        <v>0</v>
      </c>
      <c r="AI229" s="19">
        <f t="shared" ref="AI229:AJ229" si="1799">AI119-AI174</f>
        <v>0</v>
      </c>
      <c r="AJ229" s="20">
        <f t="shared" si="1799"/>
        <v>0</v>
      </c>
      <c r="AK229" s="19">
        <f t="shared" ref="AK229" si="1800">AK119-AK174</f>
        <v>0</v>
      </c>
      <c r="AL229" s="19">
        <f t="shared" ref="AL229:AM229" si="1801">AL119-AL174</f>
        <v>0</v>
      </c>
      <c r="AM229" s="19">
        <f t="shared" si="1801"/>
        <v>0</v>
      </c>
      <c r="AN229" s="19">
        <f t="shared" ref="AN229:AO229" si="1802">AN119-AN174</f>
        <v>0</v>
      </c>
      <c r="AO229" s="19">
        <f t="shared" si="1802"/>
        <v>0</v>
      </c>
      <c r="AP229" s="19">
        <f t="shared" ref="AP229:AQ229" si="1803">AP119-AP174</f>
        <v>0</v>
      </c>
      <c r="AQ229" s="19">
        <f t="shared" si="1803"/>
        <v>0</v>
      </c>
      <c r="AR229" s="19">
        <f t="shared" ref="AR229:AS229" si="1804">AR119-AR174</f>
        <v>0</v>
      </c>
      <c r="AS229" s="19">
        <f t="shared" si="1804"/>
        <v>0</v>
      </c>
      <c r="AU229" s="19"/>
      <c r="AV229" s="19"/>
      <c r="AW229" s="19"/>
      <c r="AX229" s="19">
        <f t="shared" si="1636"/>
        <v>0</v>
      </c>
      <c r="AY229" s="19">
        <f t="shared" ref="AY229" si="1805">AY119-AY174</f>
        <v>0</v>
      </c>
      <c r="AZ229" s="19">
        <f t="shared" si="1638"/>
        <v>0</v>
      </c>
      <c r="BA229" s="19">
        <f t="shared" si="1639"/>
        <v>0</v>
      </c>
      <c r="BB229" s="19">
        <f t="shared" si="1640"/>
        <v>0</v>
      </c>
      <c r="BC229" s="19">
        <f t="shared" si="1641"/>
        <v>0</v>
      </c>
      <c r="BD229" s="19">
        <f t="shared" si="1642"/>
        <v>0</v>
      </c>
      <c r="BE229" s="19">
        <f t="shared" si="1643"/>
        <v>0</v>
      </c>
      <c r="BF229" s="19">
        <f t="shared" si="1644"/>
        <v>0</v>
      </c>
      <c r="BG229" s="19">
        <f t="shared" si="1645"/>
        <v>0</v>
      </c>
      <c r="BH229" s="19">
        <f t="shared" si="1646"/>
        <v>0</v>
      </c>
      <c r="BI229" s="19">
        <f t="shared" si="1647"/>
        <v>0</v>
      </c>
      <c r="BJ229" s="19">
        <f t="shared" si="1648"/>
        <v>0</v>
      </c>
      <c r="BK229" s="19">
        <f t="shared" si="1649"/>
        <v>0</v>
      </c>
      <c r="BL229" s="19">
        <f t="shared" si="1650"/>
        <v>0</v>
      </c>
      <c r="BM229" s="19">
        <f t="shared" si="1651"/>
        <v>0</v>
      </c>
      <c r="BN229" s="19">
        <f t="shared" si="1652"/>
        <v>0</v>
      </c>
      <c r="BO229" s="20">
        <f t="shared" si="1653"/>
        <v>0</v>
      </c>
      <c r="BP229" s="19">
        <f t="shared" si="1654"/>
        <v>0</v>
      </c>
      <c r="BQ229" s="19">
        <f t="shared" si="1655"/>
        <v>0</v>
      </c>
      <c r="BR229" s="19">
        <f t="shared" si="1656"/>
        <v>0</v>
      </c>
      <c r="BS229" s="19">
        <f t="shared" si="1657"/>
        <v>0</v>
      </c>
      <c r="BT229" s="19">
        <f t="shared" si="1658"/>
        <v>0</v>
      </c>
    </row>
    <row r="230" spans="1:72" ht="12" customHeight="1" outlineLevel="1">
      <c r="A230" s="1"/>
      <c r="B230" s="1" t="s">
        <v>172</v>
      </c>
      <c r="D230" s="19">
        <f t="shared" ref="D230:H230" si="1806">D120-D175</f>
        <v>5500</v>
      </c>
      <c r="E230" s="19">
        <f t="shared" si="1806"/>
        <v>6900</v>
      </c>
      <c r="F230" s="19">
        <f t="shared" si="1806"/>
        <v>6400</v>
      </c>
      <c r="G230" s="19">
        <f t="shared" si="1806"/>
        <v>4600</v>
      </c>
      <c r="H230" s="19">
        <f t="shared" si="1806"/>
        <v>3400</v>
      </c>
      <c r="I230" s="19">
        <f t="shared" ref="I230:K230" si="1807">I120-I175</f>
        <v>1700</v>
      </c>
      <c r="J230" s="19">
        <f t="shared" si="1807"/>
        <v>2500</v>
      </c>
      <c r="K230" s="19">
        <f t="shared" si="1807"/>
        <v>4200</v>
      </c>
      <c r="L230" s="19">
        <f t="shared" ref="L230:M230" si="1808">L120-L175</f>
        <v>3600</v>
      </c>
      <c r="M230" s="19">
        <f t="shared" si="1808"/>
        <v>5000</v>
      </c>
      <c r="N230" s="19">
        <f t="shared" ref="N230" si="1809">N120-N175</f>
        <v>3700</v>
      </c>
      <c r="O230" s="19">
        <f t="shared" ref="O230:P230" si="1810">O120-O175</f>
        <v>6400</v>
      </c>
      <c r="P230" s="19">
        <f t="shared" si="1810"/>
        <v>6300</v>
      </c>
      <c r="Q230" s="19">
        <f t="shared" ref="Q230:R230" si="1811">Q120-Q175</f>
        <v>6200</v>
      </c>
      <c r="R230" s="19">
        <f t="shared" si="1811"/>
        <v>5200</v>
      </c>
      <c r="S230" s="19">
        <f t="shared" ref="S230:T230" si="1812">S120-S175</f>
        <v>6700</v>
      </c>
      <c r="T230" s="19">
        <f t="shared" si="1812"/>
        <v>4200</v>
      </c>
      <c r="U230" s="19">
        <f t="shared" ref="U230:V230" si="1813">U120-U175</f>
        <v>12900</v>
      </c>
      <c r="V230" s="19">
        <f t="shared" si="1813"/>
        <v>14100</v>
      </c>
      <c r="W230" s="19">
        <f t="shared" ref="W230:X230" si="1814">W120-W175</f>
        <v>14800</v>
      </c>
      <c r="X230" s="19">
        <f t="shared" si="1814"/>
        <v>14200</v>
      </c>
      <c r="Y230" s="19">
        <f t="shared" ref="Y230:Z230" si="1815">Y120-Y175</f>
        <v>12200</v>
      </c>
      <c r="Z230" s="19">
        <f t="shared" si="1815"/>
        <v>9900</v>
      </c>
      <c r="AA230" s="19">
        <f t="shared" ref="AA230:AB230" si="1816">AA120-AA175</f>
        <v>12400</v>
      </c>
      <c r="AB230" s="19">
        <f t="shared" si="1816"/>
        <v>6400</v>
      </c>
      <c r="AC230" s="19">
        <f t="shared" ref="AC230:AD230" si="1817">AC120-AC175</f>
        <v>8300</v>
      </c>
      <c r="AD230" s="19">
        <f t="shared" si="1817"/>
        <v>9100</v>
      </c>
      <c r="AE230" s="19">
        <f t="shared" ref="AE230:AF230" si="1818">AE120-AE175</f>
        <v>10000</v>
      </c>
      <c r="AF230" s="19">
        <f t="shared" si="1818"/>
        <v>8500</v>
      </c>
      <c r="AG230" s="19">
        <f t="shared" ref="AG230:AH230" si="1819">AG120-AG175</f>
        <v>7300</v>
      </c>
      <c r="AH230" s="19">
        <f t="shared" si="1819"/>
        <v>5200</v>
      </c>
      <c r="AI230" s="19">
        <f t="shared" ref="AI230:AJ230" si="1820">AI120-AI175</f>
        <v>2800</v>
      </c>
      <c r="AJ230" s="20">
        <f t="shared" si="1820"/>
        <v>7500</v>
      </c>
      <c r="AK230" s="19">
        <f t="shared" ref="AK230" si="1821">AK120-AK175</f>
        <v>7500</v>
      </c>
      <c r="AL230" s="19">
        <f t="shared" ref="AL230:AM230" si="1822">AL120-AL175</f>
        <v>7500</v>
      </c>
      <c r="AM230" s="19">
        <f t="shared" si="1822"/>
        <v>7500</v>
      </c>
      <c r="AN230" s="19">
        <f t="shared" ref="AN230:AO230" si="1823">AN120-AN175</f>
        <v>7500</v>
      </c>
      <c r="AO230" s="19">
        <f t="shared" si="1823"/>
        <v>7500</v>
      </c>
      <c r="AP230" s="19">
        <f t="shared" ref="AP230:AQ230" si="1824">AP120-AP175</f>
        <v>7500</v>
      </c>
      <c r="AQ230" s="19">
        <f t="shared" si="1824"/>
        <v>7500</v>
      </c>
      <c r="AR230" s="19">
        <f t="shared" ref="AR230:AS230" si="1825">AR120-AR175</f>
        <v>7500</v>
      </c>
      <c r="AS230" s="19">
        <f t="shared" si="1825"/>
        <v>7500</v>
      </c>
      <c r="AU230" s="19"/>
      <c r="AV230" s="19"/>
      <c r="AW230" s="19"/>
      <c r="AX230" s="19">
        <f t="shared" si="1636"/>
        <v>5800</v>
      </c>
      <c r="AY230" s="19">
        <f t="shared" ref="AY230" si="1826">AY120-AY175</f>
        <v>2500</v>
      </c>
      <c r="AZ230" s="19">
        <f t="shared" si="1638"/>
        <v>6900</v>
      </c>
      <c r="BA230" s="19">
        <f t="shared" si="1639"/>
        <v>4600</v>
      </c>
      <c r="BB230" s="19">
        <f t="shared" si="1640"/>
        <v>1700</v>
      </c>
      <c r="BC230" s="19">
        <f t="shared" si="1641"/>
        <v>4200</v>
      </c>
      <c r="BD230" s="19">
        <f t="shared" si="1642"/>
        <v>5000</v>
      </c>
      <c r="BE230" s="19">
        <f t="shared" si="1643"/>
        <v>6400</v>
      </c>
      <c r="BF230" s="19">
        <f t="shared" si="1644"/>
        <v>6200</v>
      </c>
      <c r="BG230" s="19">
        <f t="shared" si="1645"/>
        <v>6700</v>
      </c>
      <c r="BH230" s="19">
        <f t="shared" si="1646"/>
        <v>12900</v>
      </c>
      <c r="BI230" s="19">
        <f t="shared" si="1647"/>
        <v>14800</v>
      </c>
      <c r="BJ230" s="19">
        <f t="shared" si="1648"/>
        <v>12200</v>
      </c>
      <c r="BK230" s="19">
        <f t="shared" si="1649"/>
        <v>12400</v>
      </c>
      <c r="BL230" s="19">
        <f t="shared" si="1650"/>
        <v>8300</v>
      </c>
      <c r="BM230" s="19">
        <f t="shared" si="1651"/>
        <v>10000</v>
      </c>
      <c r="BN230" s="19">
        <f t="shared" si="1652"/>
        <v>7300</v>
      </c>
      <c r="BO230" s="20">
        <f t="shared" si="1653"/>
        <v>2800</v>
      </c>
      <c r="BP230" s="19">
        <f t="shared" si="1654"/>
        <v>7500</v>
      </c>
      <c r="BQ230" s="19">
        <f t="shared" si="1655"/>
        <v>7500</v>
      </c>
      <c r="BR230" s="19">
        <f t="shared" si="1656"/>
        <v>7500</v>
      </c>
      <c r="BS230" s="19">
        <f t="shared" si="1657"/>
        <v>7500</v>
      </c>
      <c r="BT230" s="19">
        <f t="shared" si="1658"/>
        <v>7500</v>
      </c>
    </row>
    <row r="231" spans="1:72" ht="12" customHeight="1" outlineLevel="1">
      <c r="A231" s="1"/>
      <c r="B231" s="1" t="s">
        <v>170</v>
      </c>
      <c r="D231" s="19">
        <f t="shared" ref="D231:H231" si="1827">D121-D176</f>
        <v>1200</v>
      </c>
      <c r="E231" s="19">
        <f t="shared" si="1827"/>
        <v>900</v>
      </c>
      <c r="F231" s="19">
        <f t="shared" si="1827"/>
        <v>1000</v>
      </c>
      <c r="G231" s="19">
        <f t="shared" si="1827"/>
        <v>1000</v>
      </c>
      <c r="H231" s="19">
        <f t="shared" si="1827"/>
        <v>1300</v>
      </c>
      <c r="I231" s="19">
        <f t="shared" ref="I231:K231" si="1828">I121-I176</f>
        <v>900</v>
      </c>
      <c r="J231" s="19">
        <f t="shared" si="1828"/>
        <v>1700</v>
      </c>
      <c r="K231" s="19">
        <f t="shared" si="1828"/>
        <v>1100</v>
      </c>
      <c r="L231" s="19">
        <f t="shared" ref="L231:M231" si="1829">L121-L176</f>
        <v>1200</v>
      </c>
      <c r="M231" s="19">
        <f t="shared" si="1829"/>
        <v>700</v>
      </c>
      <c r="N231" s="19">
        <f t="shared" ref="N231" si="1830">N121-N176</f>
        <v>700</v>
      </c>
      <c r="O231" s="19">
        <f t="shared" ref="O231:P231" si="1831">O121-O176</f>
        <v>700</v>
      </c>
      <c r="P231" s="19">
        <f t="shared" si="1831"/>
        <v>1200</v>
      </c>
      <c r="Q231" s="19">
        <f t="shared" ref="Q231:R231" si="1832">Q121-Q176</f>
        <v>1000</v>
      </c>
      <c r="R231" s="19">
        <f t="shared" si="1832"/>
        <v>1400</v>
      </c>
      <c r="S231" s="19">
        <f t="shared" ref="S231:T231" si="1833">S121-S176</f>
        <v>1100</v>
      </c>
      <c r="T231" s="19">
        <f t="shared" si="1833"/>
        <v>1000</v>
      </c>
      <c r="U231" s="19">
        <f t="shared" ref="U231:V231" si="1834">U121-U176</f>
        <v>1200</v>
      </c>
      <c r="V231" s="19">
        <f t="shared" si="1834"/>
        <v>2300</v>
      </c>
      <c r="W231" s="19">
        <f t="shared" ref="W231:X231" si="1835">W121-W176</f>
        <v>2400</v>
      </c>
      <c r="X231" s="19">
        <f t="shared" si="1835"/>
        <v>2900</v>
      </c>
      <c r="Y231" s="19">
        <f t="shared" ref="Y231:Z231" si="1836">Y121-Y176</f>
        <v>3100</v>
      </c>
      <c r="Z231" s="19">
        <f t="shared" si="1836"/>
        <v>2500</v>
      </c>
      <c r="AA231" s="19">
        <f t="shared" ref="AA231:AB231" si="1837">AA121-AA176</f>
        <v>2100</v>
      </c>
      <c r="AB231" s="19">
        <f t="shared" si="1837"/>
        <v>3500</v>
      </c>
      <c r="AC231" s="19">
        <f t="shared" ref="AC231:AD231" si="1838">AC121-AC176</f>
        <v>3700</v>
      </c>
      <c r="AD231" s="19">
        <f t="shared" si="1838"/>
        <v>5600</v>
      </c>
      <c r="AE231" s="19">
        <f t="shared" ref="AE231:AF231" si="1839">AE121-AE176</f>
        <v>4000</v>
      </c>
      <c r="AF231" s="19">
        <f t="shared" si="1839"/>
        <v>4400</v>
      </c>
      <c r="AG231" s="19">
        <f t="shared" ref="AG231:AH231" si="1840">AG121-AG176</f>
        <v>4000</v>
      </c>
      <c r="AH231" s="19">
        <f t="shared" si="1840"/>
        <v>4100</v>
      </c>
      <c r="AI231" s="19">
        <f t="shared" ref="AI231:AJ231" si="1841">AI121-AI176</f>
        <v>3500</v>
      </c>
      <c r="AJ231" s="20">
        <f t="shared" si="1841"/>
        <v>3300</v>
      </c>
      <c r="AK231" s="19">
        <f t="shared" ref="AK231" si="1842">AK121-AK176</f>
        <v>3439.0787946428582</v>
      </c>
      <c r="AL231" s="19">
        <f t="shared" ref="AL231:AM231" si="1843">AL121-AL176</f>
        <v>3568.0588691481407</v>
      </c>
      <c r="AM231" s="19">
        <f t="shared" si="1843"/>
        <v>3691.5276015580775</v>
      </c>
      <c r="AN231" s="19">
        <f t="shared" ref="AN231:AO231" si="1844">AN121-AN176</f>
        <v>3795.1549215471759</v>
      </c>
      <c r="AO231" s="19">
        <f t="shared" si="1844"/>
        <v>3892.2992882138014</v>
      </c>
      <c r="AP231" s="19">
        <f t="shared" ref="AP231:AQ231" si="1845">AP121-AP176</f>
        <v>3982.1971537766422</v>
      </c>
      <c r="AQ231" s="19">
        <f t="shared" si="1845"/>
        <v>4072.4533667437136</v>
      </c>
      <c r="AR231" s="19">
        <f t="shared" ref="AR231:AS231" si="1846">AR121-AR176</f>
        <v>4163.0618557703283</v>
      </c>
      <c r="AS231" s="19">
        <f t="shared" si="1846"/>
        <v>4256.0076052355398</v>
      </c>
      <c r="AU231" s="19"/>
      <c r="AV231" s="19"/>
      <c r="AW231" s="19"/>
      <c r="AX231" s="19">
        <f t="shared" si="1636"/>
        <v>700</v>
      </c>
      <c r="AY231" s="19">
        <f t="shared" ref="AY231" si="1847">AY121-AY176</f>
        <v>900</v>
      </c>
      <c r="AZ231" s="19">
        <f t="shared" si="1638"/>
        <v>900</v>
      </c>
      <c r="BA231" s="19">
        <f t="shared" si="1639"/>
        <v>1000</v>
      </c>
      <c r="BB231" s="19">
        <f t="shared" si="1640"/>
        <v>900</v>
      </c>
      <c r="BC231" s="19">
        <f t="shared" si="1641"/>
        <v>1100</v>
      </c>
      <c r="BD231" s="19">
        <f t="shared" si="1642"/>
        <v>700</v>
      </c>
      <c r="BE231" s="19">
        <f t="shared" si="1643"/>
        <v>700</v>
      </c>
      <c r="BF231" s="19">
        <f t="shared" si="1644"/>
        <v>1000</v>
      </c>
      <c r="BG231" s="19">
        <f t="shared" si="1645"/>
        <v>1100</v>
      </c>
      <c r="BH231" s="19">
        <f t="shared" si="1646"/>
        <v>1200</v>
      </c>
      <c r="BI231" s="19">
        <f t="shared" si="1647"/>
        <v>2400</v>
      </c>
      <c r="BJ231" s="19">
        <f t="shared" si="1648"/>
        <v>3100</v>
      </c>
      <c r="BK231" s="19">
        <f t="shared" si="1649"/>
        <v>2100</v>
      </c>
      <c r="BL231" s="19">
        <f t="shared" si="1650"/>
        <v>3700</v>
      </c>
      <c r="BM231" s="19">
        <f t="shared" si="1651"/>
        <v>4000</v>
      </c>
      <c r="BN231" s="19">
        <f t="shared" si="1652"/>
        <v>4000</v>
      </c>
      <c r="BO231" s="20">
        <f t="shared" si="1653"/>
        <v>3500</v>
      </c>
      <c r="BP231" s="19">
        <f t="shared" si="1654"/>
        <v>3439.0787946428582</v>
      </c>
      <c r="BQ231" s="19">
        <f t="shared" si="1655"/>
        <v>3691.5276015580775</v>
      </c>
      <c r="BR231" s="19">
        <f t="shared" si="1656"/>
        <v>3892.2992882138014</v>
      </c>
      <c r="BS231" s="19">
        <f t="shared" si="1657"/>
        <v>4072.4533667437136</v>
      </c>
      <c r="BT231" s="19">
        <f t="shared" si="1658"/>
        <v>4256.0076052355398</v>
      </c>
    </row>
    <row r="232" spans="1:72" ht="12" hidden="1" customHeight="1" outlineLevel="2">
      <c r="A232" s="1"/>
      <c r="B232" s="1" t="s">
        <v>173</v>
      </c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20"/>
      <c r="AK232" s="19"/>
      <c r="AL232" s="19"/>
      <c r="AM232" s="19"/>
      <c r="AN232" s="19"/>
      <c r="AO232" s="19"/>
      <c r="AP232" s="19"/>
      <c r="AQ232" s="19"/>
      <c r="AR232" s="19"/>
      <c r="AS232" s="19"/>
      <c r="AU232" s="19"/>
      <c r="AV232" s="19"/>
      <c r="AW232" s="19"/>
      <c r="AX232" s="19"/>
      <c r="AY232" s="19"/>
      <c r="AZ232" s="19">
        <f t="shared" si="1638"/>
        <v>0</v>
      </c>
      <c r="BA232" s="19">
        <f t="shared" si="1639"/>
        <v>0</v>
      </c>
      <c r="BB232" s="19">
        <f t="shared" si="1640"/>
        <v>0</v>
      </c>
      <c r="BC232" s="19">
        <f t="shared" si="1641"/>
        <v>0</v>
      </c>
      <c r="BD232" s="19">
        <f t="shared" si="1642"/>
        <v>0</v>
      </c>
      <c r="BE232" s="19">
        <f t="shared" si="1643"/>
        <v>0</v>
      </c>
      <c r="BF232" s="19">
        <f t="shared" si="1644"/>
        <v>0</v>
      </c>
      <c r="BG232" s="19">
        <f t="shared" si="1645"/>
        <v>0</v>
      </c>
      <c r="BH232" s="19">
        <f t="shared" si="1646"/>
        <v>0</v>
      </c>
      <c r="BI232" s="19">
        <f t="shared" si="1647"/>
        <v>0</v>
      </c>
      <c r="BJ232" s="19">
        <f t="shared" si="1648"/>
        <v>0</v>
      </c>
      <c r="BK232" s="19">
        <f t="shared" si="1649"/>
        <v>0</v>
      </c>
      <c r="BL232" s="19">
        <f t="shared" si="1650"/>
        <v>0</v>
      </c>
      <c r="BM232" s="19">
        <f t="shared" si="1651"/>
        <v>0</v>
      </c>
      <c r="BN232" s="19">
        <f t="shared" si="1652"/>
        <v>0</v>
      </c>
      <c r="BO232" s="20">
        <f t="shared" si="1653"/>
        <v>0</v>
      </c>
      <c r="BP232" s="19">
        <f t="shared" si="1654"/>
        <v>0</v>
      </c>
      <c r="BQ232" s="19">
        <f t="shared" si="1655"/>
        <v>0</v>
      </c>
      <c r="BR232" s="19">
        <f t="shared" si="1656"/>
        <v>0</v>
      </c>
      <c r="BS232" s="19">
        <f t="shared" si="1657"/>
        <v>0</v>
      </c>
      <c r="BT232" s="19">
        <f t="shared" si="1658"/>
        <v>0</v>
      </c>
    </row>
    <row r="233" spans="1:72" ht="12" hidden="1" customHeight="1" outlineLevel="2">
      <c r="A233" s="1"/>
      <c r="B233" s="1" t="s">
        <v>173</v>
      </c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20"/>
      <c r="AK233" s="19"/>
      <c r="AL233" s="19"/>
      <c r="AM233" s="19"/>
      <c r="AN233" s="19"/>
      <c r="AO233" s="19"/>
      <c r="AP233" s="19"/>
      <c r="AQ233" s="19"/>
      <c r="AR233" s="19"/>
      <c r="AS233" s="19"/>
      <c r="AU233" s="19"/>
      <c r="AV233" s="19"/>
      <c r="AW233" s="19"/>
      <c r="AX233" s="19"/>
      <c r="AY233" s="19"/>
      <c r="AZ233" s="19">
        <f t="shared" si="1638"/>
        <v>0</v>
      </c>
      <c r="BA233" s="19">
        <f t="shared" si="1639"/>
        <v>0</v>
      </c>
      <c r="BB233" s="19">
        <f t="shared" si="1640"/>
        <v>0</v>
      </c>
      <c r="BC233" s="19">
        <f t="shared" si="1641"/>
        <v>0</v>
      </c>
      <c r="BD233" s="19">
        <f t="shared" si="1642"/>
        <v>0</v>
      </c>
      <c r="BE233" s="19">
        <f t="shared" si="1643"/>
        <v>0</v>
      </c>
      <c r="BF233" s="19">
        <f t="shared" si="1644"/>
        <v>0</v>
      </c>
      <c r="BG233" s="19">
        <f t="shared" si="1645"/>
        <v>0</v>
      </c>
      <c r="BH233" s="19">
        <f t="shared" si="1646"/>
        <v>0</v>
      </c>
      <c r="BI233" s="19">
        <f t="shared" si="1647"/>
        <v>0</v>
      </c>
      <c r="BJ233" s="19">
        <f t="shared" si="1648"/>
        <v>0</v>
      </c>
      <c r="BK233" s="19">
        <f t="shared" si="1649"/>
        <v>0</v>
      </c>
      <c r="BL233" s="19">
        <f t="shared" si="1650"/>
        <v>0</v>
      </c>
      <c r="BM233" s="19">
        <f t="shared" si="1651"/>
        <v>0</v>
      </c>
      <c r="BN233" s="19">
        <f t="shared" si="1652"/>
        <v>0</v>
      </c>
      <c r="BO233" s="20">
        <f t="shared" si="1653"/>
        <v>0</v>
      </c>
      <c r="BP233" s="19">
        <f t="shared" si="1654"/>
        <v>0</v>
      </c>
      <c r="BQ233" s="19">
        <f t="shared" si="1655"/>
        <v>0</v>
      </c>
      <c r="BR233" s="19">
        <f t="shared" si="1656"/>
        <v>0</v>
      </c>
      <c r="BS233" s="19">
        <f t="shared" si="1657"/>
        <v>0</v>
      </c>
      <c r="BT233" s="19">
        <f t="shared" si="1658"/>
        <v>0</v>
      </c>
    </row>
    <row r="234" spans="1:72" ht="12" hidden="1" customHeight="1" outlineLevel="2">
      <c r="A234" s="1"/>
      <c r="B234" s="1" t="s">
        <v>173</v>
      </c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20"/>
      <c r="AK234" s="19"/>
      <c r="AL234" s="19"/>
      <c r="AM234" s="19"/>
      <c r="AN234" s="19"/>
      <c r="AO234" s="19"/>
      <c r="AP234" s="19"/>
      <c r="AQ234" s="19"/>
      <c r="AR234" s="19"/>
      <c r="AS234" s="19"/>
      <c r="AU234" s="19"/>
      <c r="AV234" s="19"/>
      <c r="AW234" s="19"/>
      <c r="AX234" s="19"/>
      <c r="AY234" s="19"/>
      <c r="AZ234" s="19">
        <f t="shared" si="1638"/>
        <v>0</v>
      </c>
      <c r="BA234" s="19">
        <f t="shared" si="1639"/>
        <v>0</v>
      </c>
      <c r="BB234" s="19">
        <f t="shared" si="1640"/>
        <v>0</v>
      </c>
      <c r="BC234" s="19">
        <f t="shared" si="1641"/>
        <v>0</v>
      </c>
      <c r="BD234" s="19">
        <f t="shared" si="1642"/>
        <v>0</v>
      </c>
      <c r="BE234" s="19">
        <f t="shared" si="1643"/>
        <v>0</v>
      </c>
      <c r="BF234" s="19">
        <f t="shared" si="1644"/>
        <v>0</v>
      </c>
      <c r="BG234" s="19">
        <f t="shared" si="1645"/>
        <v>0</v>
      </c>
      <c r="BH234" s="19">
        <f t="shared" si="1646"/>
        <v>0</v>
      </c>
      <c r="BI234" s="19">
        <f t="shared" si="1647"/>
        <v>0</v>
      </c>
      <c r="BJ234" s="19">
        <f t="shared" si="1648"/>
        <v>0</v>
      </c>
      <c r="BK234" s="19">
        <f t="shared" si="1649"/>
        <v>0</v>
      </c>
      <c r="BL234" s="19">
        <f t="shared" si="1650"/>
        <v>0</v>
      </c>
      <c r="BM234" s="19">
        <f t="shared" si="1651"/>
        <v>0</v>
      </c>
      <c r="BN234" s="19">
        <f t="shared" si="1652"/>
        <v>0</v>
      </c>
      <c r="BO234" s="20">
        <f t="shared" si="1653"/>
        <v>0</v>
      </c>
      <c r="BP234" s="19">
        <f t="shared" si="1654"/>
        <v>0</v>
      </c>
      <c r="BQ234" s="19">
        <f t="shared" si="1655"/>
        <v>0</v>
      </c>
      <c r="BR234" s="19">
        <f t="shared" si="1656"/>
        <v>0</v>
      </c>
      <c r="BS234" s="19">
        <f t="shared" si="1657"/>
        <v>0</v>
      </c>
      <c r="BT234" s="19">
        <f t="shared" si="1658"/>
        <v>0</v>
      </c>
    </row>
    <row r="235" spans="1:72" ht="12" hidden="1" customHeight="1" outlineLevel="2">
      <c r="A235" s="1"/>
      <c r="B235" s="1" t="s">
        <v>173</v>
      </c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20"/>
      <c r="AK235" s="19"/>
      <c r="AL235" s="19"/>
      <c r="AM235" s="19"/>
      <c r="AN235" s="19"/>
      <c r="AO235" s="19"/>
      <c r="AP235" s="19"/>
      <c r="AQ235" s="19"/>
      <c r="AR235" s="19"/>
      <c r="AS235" s="19"/>
      <c r="AU235" s="19"/>
      <c r="AV235" s="19"/>
      <c r="AW235" s="19"/>
      <c r="AX235" s="19"/>
      <c r="AY235" s="19"/>
      <c r="AZ235" s="19">
        <f t="shared" si="1638"/>
        <v>0</v>
      </c>
      <c r="BA235" s="19">
        <f t="shared" si="1639"/>
        <v>0</v>
      </c>
      <c r="BB235" s="19">
        <f t="shared" si="1640"/>
        <v>0</v>
      </c>
      <c r="BC235" s="19">
        <f t="shared" si="1641"/>
        <v>0</v>
      </c>
      <c r="BD235" s="19">
        <f t="shared" si="1642"/>
        <v>0</v>
      </c>
      <c r="BE235" s="19">
        <f t="shared" si="1643"/>
        <v>0</v>
      </c>
      <c r="BF235" s="19">
        <f t="shared" si="1644"/>
        <v>0</v>
      </c>
      <c r="BG235" s="19">
        <f t="shared" si="1645"/>
        <v>0</v>
      </c>
      <c r="BH235" s="19">
        <f t="shared" si="1646"/>
        <v>0</v>
      </c>
      <c r="BI235" s="19">
        <f t="shared" si="1647"/>
        <v>0</v>
      </c>
      <c r="BJ235" s="19">
        <f t="shared" si="1648"/>
        <v>0</v>
      </c>
      <c r="BK235" s="19">
        <f t="shared" si="1649"/>
        <v>0</v>
      </c>
      <c r="BL235" s="19">
        <f t="shared" si="1650"/>
        <v>0</v>
      </c>
      <c r="BM235" s="19">
        <f t="shared" si="1651"/>
        <v>0</v>
      </c>
      <c r="BN235" s="19">
        <f t="shared" si="1652"/>
        <v>0</v>
      </c>
      <c r="BO235" s="20">
        <f t="shared" si="1653"/>
        <v>0</v>
      </c>
      <c r="BP235" s="19">
        <f t="shared" si="1654"/>
        <v>0</v>
      </c>
      <c r="BQ235" s="19">
        <f t="shared" si="1655"/>
        <v>0</v>
      </c>
      <c r="BR235" s="19">
        <f t="shared" si="1656"/>
        <v>0</v>
      </c>
      <c r="BS235" s="19">
        <f t="shared" si="1657"/>
        <v>0</v>
      </c>
      <c r="BT235" s="19">
        <f t="shared" si="1658"/>
        <v>0</v>
      </c>
    </row>
    <row r="236" spans="1:72" ht="12" hidden="1" customHeight="1" outlineLevel="2">
      <c r="A236" s="1"/>
      <c r="B236" s="1" t="s">
        <v>173</v>
      </c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20"/>
      <c r="AK236" s="19"/>
      <c r="AL236" s="19"/>
      <c r="AM236" s="19"/>
      <c r="AN236" s="19"/>
      <c r="AO236" s="19"/>
      <c r="AP236" s="19"/>
      <c r="AQ236" s="19"/>
      <c r="AR236" s="19"/>
      <c r="AS236" s="19"/>
      <c r="AU236" s="19"/>
      <c r="AV236" s="19"/>
      <c r="AW236" s="19"/>
      <c r="AX236" s="19"/>
      <c r="AY236" s="19"/>
      <c r="AZ236" s="19">
        <f t="shared" si="1638"/>
        <v>0</v>
      </c>
      <c r="BA236" s="19">
        <f t="shared" si="1639"/>
        <v>0</v>
      </c>
      <c r="BB236" s="19">
        <f t="shared" si="1640"/>
        <v>0</v>
      </c>
      <c r="BC236" s="19">
        <f t="shared" si="1641"/>
        <v>0</v>
      </c>
      <c r="BD236" s="19">
        <f t="shared" si="1642"/>
        <v>0</v>
      </c>
      <c r="BE236" s="19">
        <f t="shared" si="1643"/>
        <v>0</v>
      </c>
      <c r="BF236" s="19">
        <f t="shared" si="1644"/>
        <v>0</v>
      </c>
      <c r="BG236" s="19">
        <f t="shared" si="1645"/>
        <v>0</v>
      </c>
      <c r="BH236" s="19">
        <f t="shared" si="1646"/>
        <v>0</v>
      </c>
      <c r="BI236" s="19">
        <f t="shared" si="1647"/>
        <v>0</v>
      </c>
      <c r="BJ236" s="19">
        <f t="shared" si="1648"/>
        <v>0</v>
      </c>
      <c r="BK236" s="19">
        <f t="shared" si="1649"/>
        <v>0</v>
      </c>
      <c r="BL236" s="19">
        <f t="shared" si="1650"/>
        <v>0</v>
      </c>
      <c r="BM236" s="19">
        <f t="shared" si="1651"/>
        <v>0</v>
      </c>
      <c r="BN236" s="19">
        <f t="shared" si="1652"/>
        <v>0</v>
      </c>
      <c r="BO236" s="20">
        <f t="shared" si="1653"/>
        <v>0</v>
      </c>
      <c r="BP236" s="19">
        <f t="shared" si="1654"/>
        <v>0</v>
      </c>
      <c r="BQ236" s="19">
        <f t="shared" si="1655"/>
        <v>0</v>
      </c>
      <c r="BR236" s="19">
        <f t="shared" si="1656"/>
        <v>0</v>
      </c>
      <c r="BS236" s="19">
        <f t="shared" si="1657"/>
        <v>0</v>
      </c>
      <c r="BT236" s="19">
        <f t="shared" si="1658"/>
        <v>0</v>
      </c>
    </row>
    <row r="237" spans="1:72" ht="12" hidden="1" customHeight="1" outlineLevel="2">
      <c r="A237" s="1"/>
      <c r="B237" s="1" t="s">
        <v>173</v>
      </c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20"/>
      <c r="AK237" s="19"/>
      <c r="AL237" s="19"/>
      <c r="AM237" s="19"/>
      <c r="AN237" s="19"/>
      <c r="AO237" s="19"/>
      <c r="AP237" s="19"/>
      <c r="AQ237" s="19"/>
      <c r="AR237" s="19"/>
      <c r="AS237" s="19"/>
      <c r="AU237" s="19"/>
      <c r="AV237" s="19"/>
      <c r="AW237" s="19"/>
      <c r="AX237" s="19"/>
      <c r="AY237" s="19"/>
      <c r="AZ237" s="19">
        <f t="shared" si="1638"/>
        <v>0</v>
      </c>
      <c r="BA237" s="19">
        <f t="shared" si="1639"/>
        <v>0</v>
      </c>
      <c r="BB237" s="19">
        <f t="shared" si="1640"/>
        <v>0</v>
      </c>
      <c r="BC237" s="19">
        <f t="shared" si="1641"/>
        <v>0</v>
      </c>
      <c r="BD237" s="19">
        <f t="shared" si="1642"/>
        <v>0</v>
      </c>
      <c r="BE237" s="19">
        <f t="shared" si="1643"/>
        <v>0</v>
      </c>
      <c r="BF237" s="19">
        <f t="shared" si="1644"/>
        <v>0</v>
      </c>
      <c r="BG237" s="19">
        <f t="shared" si="1645"/>
        <v>0</v>
      </c>
      <c r="BH237" s="19">
        <f t="shared" si="1646"/>
        <v>0</v>
      </c>
      <c r="BI237" s="19">
        <f t="shared" si="1647"/>
        <v>0</v>
      </c>
      <c r="BJ237" s="19">
        <f t="shared" si="1648"/>
        <v>0</v>
      </c>
      <c r="BK237" s="19">
        <f t="shared" si="1649"/>
        <v>0</v>
      </c>
      <c r="BL237" s="19">
        <f t="shared" si="1650"/>
        <v>0</v>
      </c>
      <c r="BM237" s="19">
        <f t="shared" si="1651"/>
        <v>0</v>
      </c>
      <c r="BN237" s="19">
        <f t="shared" si="1652"/>
        <v>0</v>
      </c>
      <c r="BO237" s="20">
        <f t="shared" si="1653"/>
        <v>0</v>
      </c>
      <c r="BP237" s="19">
        <f t="shared" si="1654"/>
        <v>0</v>
      </c>
      <c r="BQ237" s="19">
        <f t="shared" si="1655"/>
        <v>0</v>
      </c>
      <c r="BR237" s="19">
        <f t="shared" si="1656"/>
        <v>0</v>
      </c>
      <c r="BS237" s="19">
        <f t="shared" si="1657"/>
        <v>0</v>
      </c>
      <c r="BT237" s="19">
        <f t="shared" si="1658"/>
        <v>0</v>
      </c>
    </row>
    <row r="238" spans="1:72" ht="12" hidden="1" customHeight="1" outlineLevel="2">
      <c r="A238" s="1"/>
      <c r="B238" s="1" t="s">
        <v>173</v>
      </c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20"/>
      <c r="AK238" s="19"/>
      <c r="AL238" s="19"/>
      <c r="AM238" s="19"/>
      <c r="AN238" s="19"/>
      <c r="AO238" s="19"/>
      <c r="AP238" s="19"/>
      <c r="AQ238" s="19"/>
      <c r="AR238" s="19"/>
      <c r="AS238" s="19"/>
      <c r="AU238" s="19"/>
      <c r="AV238" s="19"/>
      <c r="AW238" s="19"/>
      <c r="AX238" s="19"/>
      <c r="AY238" s="19"/>
      <c r="AZ238" s="19">
        <f t="shared" si="1638"/>
        <v>0</v>
      </c>
      <c r="BA238" s="19">
        <f t="shared" si="1639"/>
        <v>0</v>
      </c>
      <c r="BB238" s="19">
        <f t="shared" si="1640"/>
        <v>0</v>
      </c>
      <c r="BC238" s="19">
        <f t="shared" si="1641"/>
        <v>0</v>
      </c>
      <c r="BD238" s="19">
        <f t="shared" si="1642"/>
        <v>0</v>
      </c>
      <c r="BE238" s="19">
        <f t="shared" si="1643"/>
        <v>0</v>
      </c>
      <c r="BF238" s="19">
        <f t="shared" si="1644"/>
        <v>0</v>
      </c>
      <c r="BG238" s="19">
        <f t="shared" si="1645"/>
        <v>0</v>
      </c>
      <c r="BH238" s="19">
        <f t="shared" si="1646"/>
        <v>0</v>
      </c>
      <c r="BI238" s="19">
        <f t="shared" si="1647"/>
        <v>0</v>
      </c>
      <c r="BJ238" s="19">
        <f t="shared" si="1648"/>
        <v>0</v>
      </c>
      <c r="BK238" s="19">
        <f t="shared" si="1649"/>
        <v>0</v>
      </c>
      <c r="BL238" s="19">
        <f t="shared" si="1650"/>
        <v>0</v>
      </c>
      <c r="BM238" s="19">
        <f t="shared" si="1651"/>
        <v>0</v>
      </c>
      <c r="BN238" s="19">
        <f t="shared" si="1652"/>
        <v>0</v>
      </c>
      <c r="BO238" s="20">
        <f t="shared" si="1653"/>
        <v>0</v>
      </c>
      <c r="BP238" s="19">
        <f t="shared" si="1654"/>
        <v>0</v>
      </c>
      <c r="BQ238" s="19">
        <f t="shared" si="1655"/>
        <v>0</v>
      </c>
      <c r="BR238" s="19">
        <f t="shared" si="1656"/>
        <v>0</v>
      </c>
      <c r="BS238" s="19">
        <f t="shared" si="1657"/>
        <v>0</v>
      </c>
      <c r="BT238" s="19">
        <f t="shared" si="1658"/>
        <v>0</v>
      </c>
    </row>
    <row r="239" spans="1:72" ht="12" hidden="1" customHeight="1" outlineLevel="2">
      <c r="A239" s="1"/>
      <c r="B239" s="1" t="s">
        <v>173</v>
      </c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20"/>
      <c r="AK239" s="19"/>
      <c r="AL239" s="19"/>
      <c r="AM239" s="19"/>
      <c r="AN239" s="19"/>
      <c r="AO239" s="19"/>
      <c r="AP239" s="19"/>
      <c r="AQ239" s="19"/>
      <c r="AR239" s="19"/>
      <c r="AS239" s="19"/>
      <c r="AU239" s="19"/>
      <c r="AV239" s="19"/>
      <c r="AW239" s="19"/>
      <c r="AX239" s="19"/>
      <c r="AY239" s="19"/>
      <c r="AZ239" s="19">
        <f t="shared" si="1638"/>
        <v>0</v>
      </c>
      <c r="BA239" s="19">
        <f t="shared" si="1639"/>
        <v>0</v>
      </c>
      <c r="BB239" s="19">
        <f t="shared" si="1640"/>
        <v>0</v>
      </c>
      <c r="BC239" s="19">
        <f t="shared" si="1641"/>
        <v>0</v>
      </c>
      <c r="BD239" s="19">
        <f t="shared" si="1642"/>
        <v>0</v>
      </c>
      <c r="BE239" s="19">
        <f t="shared" si="1643"/>
        <v>0</v>
      </c>
      <c r="BF239" s="19">
        <f t="shared" si="1644"/>
        <v>0</v>
      </c>
      <c r="BG239" s="19">
        <f t="shared" si="1645"/>
        <v>0</v>
      </c>
      <c r="BH239" s="19">
        <f t="shared" si="1646"/>
        <v>0</v>
      </c>
      <c r="BI239" s="19">
        <f t="shared" si="1647"/>
        <v>0</v>
      </c>
      <c r="BJ239" s="19">
        <f t="shared" si="1648"/>
        <v>0</v>
      </c>
      <c r="BK239" s="19">
        <f t="shared" si="1649"/>
        <v>0</v>
      </c>
      <c r="BL239" s="19">
        <f t="shared" si="1650"/>
        <v>0</v>
      </c>
      <c r="BM239" s="19">
        <f t="shared" si="1651"/>
        <v>0</v>
      </c>
      <c r="BN239" s="19">
        <f t="shared" si="1652"/>
        <v>0</v>
      </c>
      <c r="BO239" s="20">
        <f t="shared" si="1653"/>
        <v>0</v>
      </c>
      <c r="BP239" s="19">
        <f t="shared" si="1654"/>
        <v>0</v>
      </c>
      <c r="BQ239" s="19">
        <f t="shared" si="1655"/>
        <v>0</v>
      </c>
      <c r="BR239" s="19">
        <f t="shared" si="1656"/>
        <v>0</v>
      </c>
      <c r="BS239" s="19">
        <f t="shared" si="1657"/>
        <v>0</v>
      </c>
      <c r="BT239" s="19">
        <f t="shared" si="1658"/>
        <v>0</v>
      </c>
    </row>
    <row r="240" spans="1:72" ht="12" hidden="1" customHeight="1" outlineLevel="2">
      <c r="A240" s="1"/>
      <c r="B240" s="1" t="s">
        <v>173</v>
      </c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20"/>
      <c r="AK240" s="19"/>
      <c r="AL240" s="19"/>
      <c r="AM240" s="19"/>
      <c r="AN240" s="19"/>
      <c r="AO240" s="19"/>
      <c r="AP240" s="19"/>
      <c r="AQ240" s="19"/>
      <c r="AR240" s="19"/>
      <c r="AS240" s="19"/>
      <c r="AU240" s="19"/>
      <c r="AV240" s="19"/>
      <c r="AW240" s="19"/>
      <c r="AX240" s="19"/>
      <c r="AY240" s="19"/>
      <c r="AZ240" s="19">
        <f t="shared" si="1638"/>
        <v>0</v>
      </c>
      <c r="BA240" s="19">
        <f t="shared" si="1639"/>
        <v>0</v>
      </c>
      <c r="BB240" s="19">
        <f t="shared" si="1640"/>
        <v>0</v>
      </c>
      <c r="BC240" s="19">
        <f t="shared" si="1641"/>
        <v>0</v>
      </c>
      <c r="BD240" s="19">
        <f t="shared" si="1642"/>
        <v>0</v>
      </c>
      <c r="BE240" s="19">
        <f t="shared" si="1643"/>
        <v>0</v>
      </c>
      <c r="BF240" s="19">
        <f t="shared" si="1644"/>
        <v>0</v>
      </c>
      <c r="BG240" s="19">
        <f t="shared" si="1645"/>
        <v>0</v>
      </c>
      <c r="BH240" s="19">
        <f t="shared" si="1646"/>
        <v>0</v>
      </c>
      <c r="BI240" s="19">
        <f t="shared" si="1647"/>
        <v>0</v>
      </c>
      <c r="BJ240" s="19">
        <f t="shared" si="1648"/>
        <v>0</v>
      </c>
      <c r="BK240" s="19">
        <f t="shared" si="1649"/>
        <v>0</v>
      </c>
      <c r="BL240" s="19">
        <f t="shared" si="1650"/>
        <v>0</v>
      </c>
      <c r="BM240" s="19">
        <f t="shared" si="1651"/>
        <v>0</v>
      </c>
      <c r="BN240" s="19">
        <f t="shared" si="1652"/>
        <v>0</v>
      </c>
      <c r="BO240" s="20">
        <f t="shared" si="1653"/>
        <v>0</v>
      </c>
      <c r="BP240" s="19">
        <f t="shared" si="1654"/>
        <v>0</v>
      </c>
      <c r="BQ240" s="19">
        <f t="shared" si="1655"/>
        <v>0</v>
      </c>
      <c r="BR240" s="19">
        <f t="shared" si="1656"/>
        <v>0</v>
      </c>
      <c r="BS240" s="19">
        <f t="shared" si="1657"/>
        <v>0</v>
      </c>
      <c r="BT240" s="19">
        <f t="shared" si="1658"/>
        <v>0</v>
      </c>
    </row>
    <row r="241" spans="1:72" ht="12" hidden="1" customHeight="1" outlineLevel="2">
      <c r="A241" s="1"/>
      <c r="B241" s="1" t="s">
        <v>173</v>
      </c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20"/>
      <c r="AK241" s="19"/>
      <c r="AL241" s="19"/>
      <c r="AM241" s="19"/>
      <c r="AN241" s="19"/>
      <c r="AO241" s="19"/>
      <c r="AP241" s="19"/>
      <c r="AQ241" s="19"/>
      <c r="AR241" s="19"/>
      <c r="AS241" s="19"/>
      <c r="AU241" s="19"/>
      <c r="AV241" s="19"/>
      <c r="AW241" s="19"/>
      <c r="AX241" s="19"/>
      <c r="AY241" s="19"/>
      <c r="AZ241" s="19">
        <f t="shared" si="1638"/>
        <v>0</v>
      </c>
      <c r="BA241" s="19">
        <f t="shared" si="1639"/>
        <v>0</v>
      </c>
      <c r="BB241" s="19">
        <f t="shared" si="1640"/>
        <v>0</v>
      </c>
      <c r="BC241" s="19">
        <f t="shared" si="1641"/>
        <v>0</v>
      </c>
      <c r="BD241" s="19">
        <f t="shared" si="1642"/>
        <v>0</v>
      </c>
      <c r="BE241" s="19">
        <f t="shared" si="1643"/>
        <v>0</v>
      </c>
      <c r="BF241" s="19">
        <f t="shared" si="1644"/>
        <v>0</v>
      </c>
      <c r="BG241" s="19">
        <f t="shared" si="1645"/>
        <v>0</v>
      </c>
      <c r="BH241" s="19">
        <f t="shared" si="1646"/>
        <v>0</v>
      </c>
      <c r="BI241" s="19">
        <f t="shared" si="1647"/>
        <v>0</v>
      </c>
      <c r="BJ241" s="19">
        <f t="shared" si="1648"/>
        <v>0</v>
      </c>
      <c r="BK241" s="19">
        <f t="shared" si="1649"/>
        <v>0</v>
      </c>
      <c r="BL241" s="19">
        <f t="shared" si="1650"/>
        <v>0</v>
      </c>
      <c r="BM241" s="19">
        <f t="shared" si="1651"/>
        <v>0</v>
      </c>
      <c r="BN241" s="19">
        <f t="shared" si="1652"/>
        <v>0</v>
      </c>
      <c r="BO241" s="20">
        <f t="shared" si="1653"/>
        <v>0</v>
      </c>
      <c r="BP241" s="19">
        <f t="shared" si="1654"/>
        <v>0</v>
      </c>
      <c r="BQ241" s="19">
        <f t="shared" si="1655"/>
        <v>0</v>
      </c>
      <c r="BR241" s="19">
        <f t="shared" si="1656"/>
        <v>0</v>
      </c>
      <c r="BS241" s="19">
        <f t="shared" si="1657"/>
        <v>0</v>
      </c>
      <c r="BT241" s="19">
        <f t="shared" si="1658"/>
        <v>0</v>
      </c>
    </row>
    <row r="242" spans="1:72" s="9" customFormat="1" ht="12" customHeight="1" outlineLevel="1" collapsed="1">
      <c r="A242" s="91"/>
      <c r="B242" s="9" t="s">
        <v>174</v>
      </c>
      <c r="C242" s="17"/>
      <c r="D242" s="17">
        <f t="shared" ref="D242:H242" si="1848">SUM(D222:D241)</f>
        <v>16700</v>
      </c>
      <c r="E242" s="17">
        <f t="shared" si="1848"/>
        <v>16900</v>
      </c>
      <c r="F242" s="17">
        <f t="shared" si="1848"/>
        <v>16200</v>
      </c>
      <c r="G242" s="17">
        <f t="shared" si="1848"/>
        <v>16200</v>
      </c>
      <c r="H242" s="17">
        <f t="shared" si="1848"/>
        <v>13300</v>
      </c>
      <c r="I242" s="17">
        <f>SUM(I222:I241)</f>
        <v>11800</v>
      </c>
      <c r="J242" s="17">
        <f t="shared" ref="J242:P242" si="1849">SUM(J222:J241)</f>
        <v>12500</v>
      </c>
      <c r="K242" s="17">
        <f t="shared" si="1849"/>
        <v>13700</v>
      </c>
      <c r="L242" s="17">
        <f t="shared" ref="L242:M242" si="1850">SUM(L222:L241)</f>
        <v>14600</v>
      </c>
      <c r="M242" s="17">
        <f t="shared" si="1850"/>
        <v>14200</v>
      </c>
      <c r="N242" s="17">
        <f t="shared" ref="N242" si="1851">SUM(N222:N241)</f>
        <v>13200</v>
      </c>
      <c r="O242" s="17">
        <f t="shared" si="1849"/>
        <v>15700</v>
      </c>
      <c r="P242" s="17">
        <f t="shared" si="1849"/>
        <v>17500</v>
      </c>
      <c r="Q242" s="17">
        <f t="shared" ref="Q242:R242" si="1852">SUM(Q222:Q241)</f>
        <v>16200</v>
      </c>
      <c r="R242" s="17">
        <f t="shared" si="1852"/>
        <v>15300</v>
      </c>
      <c r="S242" s="17">
        <f t="shared" ref="S242:T242" si="1853">SUM(S222:S241)</f>
        <v>16200</v>
      </c>
      <c r="T242" s="17">
        <f t="shared" si="1853"/>
        <v>16000</v>
      </c>
      <c r="U242" s="17">
        <f t="shared" ref="U242:V242" si="1854">SUM(U222:U241)</f>
        <v>24100</v>
      </c>
      <c r="V242" s="17">
        <f t="shared" si="1854"/>
        <v>26600</v>
      </c>
      <c r="W242" s="17">
        <f t="shared" ref="W242:X242" si="1855">SUM(W222:W241)</f>
        <v>39900</v>
      </c>
      <c r="X242" s="17">
        <f t="shared" si="1855"/>
        <v>36200</v>
      </c>
      <c r="Y242" s="17">
        <f t="shared" ref="Y242:Z242" si="1856">SUM(Y222:Y241)</f>
        <v>38100</v>
      </c>
      <c r="Z242" s="17">
        <f t="shared" si="1856"/>
        <v>32200</v>
      </c>
      <c r="AA242" s="17">
        <f t="shared" ref="AA242:AB242" si="1857">SUM(AA222:AA241)</f>
        <v>33000</v>
      </c>
      <c r="AB242" s="17">
        <f t="shared" si="1857"/>
        <v>39600</v>
      </c>
      <c r="AC242" s="17">
        <f t="shared" ref="AC242:AD242" si="1858">SUM(AC222:AC241)</f>
        <v>49800</v>
      </c>
      <c r="AD242" s="17">
        <f t="shared" si="1858"/>
        <v>60000</v>
      </c>
      <c r="AE242" s="17">
        <f t="shared" ref="AE242:AF242" si="1859">SUM(AE222:AE241)</f>
        <v>60700</v>
      </c>
      <c r="AF242" s="17">
        <f t="shared" si="1859"/>
        <v>62700</v>
      </c>
      <c r="AG242" s="17">
        <f t="shared" ref="AG242:AH242" si="1860">SUM(AG222:AG241)</f>
        <v>63700</v>
      </c>
      <c r="AH242" s="17">
        <f t="shared" si="1860"/>
        <v>62100</v>
      </c>
      <c r="AI242" s="17">
        <f t="shared" ref="AI242:AJ242" si="1861">SUM(AI222:AI241)</f>
        <v>65600</v>
      </c>
      <c r="AJ242" s="18">
        <f t="shared" si="1861"/>
        <v>73600</v>
      </c>
      <c r="AK242" s="17">
        <f t="shared" ref="AK242" si="1862">SUM(AK222:AK241)</f>
        <v>76969.866196121075</v>
      </c>
      <c r="AL242" s="17">
        <f t="shared" ref="AL242:AM242" si="1863">SUM(AL222:AL241)</f>
        <v>80625.331158001383</v>
      </c>
      <c r="AM242" s="17">
        <f t="shared" si="1863"/>
        <v>83958.618700176448</v>
      </c>
      <c r="AN242" s="17">
        <f t="shared" ref="AN242:AO242" si="1864">SUM(AN222:AN241)</f>
        <v>86450.842736558014</v>
      </c>
      <c r="AO242" s="17">
        <f t="shared" si="1864"/>
        <v>88851.287548975437</v>
      </c>
      <c r="AP242" s="17">
        <f t="shared" ref="AP242:AQ242" si="1865">SUM(AP222:AP241)</f>
        <v>91133.641603175696</v>
      </c>
      <c r="AQ242" s="17">
        <f t="shared" si="1865"/>
        <v>93295.839982517267</v>
      </c>
      <c r="AR242" s="17">
        <f t="shared" ref="AR242:AS242" si="1866">SUM(AR222:AR241)</f>
        <v>95346.83516066664</v>
      </c>
      <c r="AS242" s="17">
        <f t="shared" si="1866"/>
        <v>97511.446583661396</v>
      </c>
      <c r="AU242" s="17"/>
      <c r="AV242" s="17"/>
      <c r="AW242" s="17"/>
      <c r="AX242" s="17">
        <f t="shared" ref="AX242" si="1867">SUM(AX222:AX241)</f>
        <v>19600</v>
      </c>
      <c r="AY242" s="17">
        <f t="shared" ref="AY242" si="1868">SUM(AY222:AY241)</f>
        <v>15800</v>
      </c>
      <c r="AZ242" s="17">
        <f t="shared" ref="AZ242:BH242" si="1869">SUM(AZ222:AZ241)</f>
        <v>16900</v>
      </c>
      <c r="BA242" s="17">
        <f t="shared" si="1869"/>
        <v>16200</v>
      </c>
      <c r="BB242" s="17">
        <f t="shared" si="1869"/>
        <v>11800</v>
      </c>
      <c r="BC242" s="17">
        <f t="shared" si="1869"/>
        <v>13700</v>
      </c>
      <c r="BD242" s="17">
        <f t="shared" si="1869"/>
        <v>14200</v>
      </c>
      <c r="BE242" s="17">
        <f t="shared" si="1869"/>
        <v>15700</v>
      </c>
      <c r="BF242" s="17">
        <f t="shared" si="1869"/>
        <v>16200</v>
      </c>
      <c r="BG242" s="17">
        <f t="shared" si="1869"/>
        <v>16200</v>
      </c>
      <c r="BH242" s="17">
        <f t="shared" si="1869"/>
        <v>24100</v>
      </c>
      <c r="BI242" s="17">
        <f t="shared" ref="BI242" si="1870">SUM(BI222:BI241)</f>
        <v>39900</v>
      </c>
      <c r="BJ242" s="17">
        <f t="shared" ref="BJ242:BO242" si="1871">SUM(BJ222:BJ241)</f>
        <v>38100</v>
      </c>
      <c r="BK242" s="17">
        <f t="shared" si="1871"/>
        <v>33000</v>
      </c>
      <c r="BL242" s="17">
        <f t="shared" si="1871"/>
        <v>49800</v>
      </c>
      <c r="BM242" s="17">
        <f t="shared" si="1871"/>
        <v>60700</v>
      </c>
      <c r="BN242" s="17">
        <f t="shared" si="1871"/>
        <v>63700</v>
      </c>
      <c r="BO242" s="18">
        <f t="shared" si="1871"/>
        <v>65600</v>
      </c>
      <c r="BP242" s="17">
        <f t="shared" ref="BP242:BQ242" si="1872">SUM(BP222:BP241)</f>
        <v>76969.866196121075</v>
      </c>
      <c r="BQ242" s="17">
        <f t="shared" si="1872"/>
        <v>83958.618700176448</v>
      </c>
      <c r="BR242" s="17">
        <f t="shared" ref="BR242:BS242" si="1873">SUM(BR222:BR241)</f>
        <v>88851.287548975437</v>
      </c>
      <c r="BS242" s="17">
        <f t="shared" si="1873"/>
        <v>93295.839982517267</v>
      </c>
      <c r="BT242" s="17">
        <f>SUM(BT222:BT241)</f>
        <v>97511.446583661396</v>
      </c>
    </row>
    <row r="243" spans="1:72" ht="12" customHeight="1" outlineLevel="1"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20"/>
      <c r="AK243" s="19"/>
      <c r="AL243" s="19"/>
      <c r="AM243" s="19"/>
      <c r="AN243" s="19"/>
      <c r="AO243" s="19"/>
      <c r="AP243" s="19"/>
      <c r="AQ243" s="19"/>
      <c r="AR243" s="19"/>
      <c r="AS243" s="19"/>
      <c r="AU243" s="19"/>
      <c r="AV243" s="19"/>
      <c r="AW243" s="19"/>
      <c r="AX243" s="19"/>
      <c r="AY243" s="19"/>
    </row>
    <row r="244" spans="1:72" ht="12" customHeight="1" outlineLevel="1">
      <c r="B244" s="1" t="s">
        <v>175</v>
      </c>
      <c r="D244" s="19">
        <f t="shared" ref="D244:H244" si="1874">D134-D189</f>
        <v>0</v>
      </c>
      <c r="E244" s="19">
        <f t="shared" si="1874"/>
        <v>0</v>
      </c>
      <c r="F244" s="19">
        <f t="shared" si="1874"/>
        <v>0</v>
      </c>
      <c r="G244" s="19">
        <f t="shared" si="1874"/>
        <v>0</v>
      </c>
      <c r="H244" s="19">
        <f t="shared" si="1874"/>
        <v>0</v>
      </c>
      <c r="I244" s="19">
        <f t="shared" ref="I244:K244" si="1875">I134-I189</f>
        <v>0</v>
      </c>
      <c r="J244" s="19">
        <f t="shared" si="1875"/>
        <v>0</v>
      </c>
      <c r="K244" s="19">
        <f t="shared" si="1875"/>
        <v>0</v>
      </c>
      <c r="L244" s="19">
        <f t="shared" ref="L244:M244" si="1876">L134-L189</f>
        <v>0</v>
      </c>
      <c r="M244" s="19">
        <f t="shared" si="1876"/>
        <v>0</v>
      </c>
      <c r="N244" s="19">
        <f t="shared" ref="N244" si="1877">N134-N189</f>
        <v>0</v>
      </c>
      <c r="O244" s="19">
        <f t="shared" ref="O244:P244" si="1878">O134-O189</f>
        <v>0</v>
      </c>
      <c r="P244" s="19">
        <f t="shared" si="1878"/>
        <v>0</v>
      </c>
      <c r="Q244" s="19">
        <f t="shared" ref="Q244:R244" si="1879">Q134-Q189</f>
        <v>0</v>
      </c>
      <c r="R244" s="19">
        <f t="shared" si="1879"/>
        <v>0</v>
      </c>
      <c r="S244" s="19">
        <f t="shared" ref="S244:T244" si="1880">S134-S189</f>
        <v>0</v>
      </c>
      <c r="T244" s="19">
        <f t="shared" si="1880"/>
        <v>0</v>
      </c>
      <c r="U244" s="19">
        <f t="shared" ref="U244:V244" si="1881">U134-U189</f>
        <v>0</v>
      </c>
      <c r="V244" s="19">
        <f t="shared" si="1881"/>
        <v>0</v>
      </c>
      <c r="W244" s="19">
        <f t="shared" ref="W244:X244" si="1882">W134-W189</f>
        <v>0</v>
      </c>
      <c r="X244" s="19">
        <f t="shared" si="1882"/>
        <v>0</v>
      </c>
      <c r="Y244" s="19">
        <f t="shared" ref="Y244:Z244" si="1883">Y134-Y189</f>
        <v>0</v>
      </c>
      <c r="Z244" s="19">
        <f t="shared" si="1883"/>
        <v>0</v>
      </c>
      <c r="AA244" s="19">
        <f t="shared" ref="AA244:AB244" si="1884">AA134-AA189</f>
        <v>0</v>
      </c>
      <c r="AB244" s="19">
        <f t="shared" si="1884"/>
        <v>0</v>
      </c>
      <c r="AC244" s="19">
        <f t="shared" ref="AC244:AD244" si="1885">AC134-AC189</f>
        <v>0</v>
      </c>
      <c r="AD244" s="19">
        <f t="shared" si="1885"/>
        <v>0</v>
      </c>
      <c r="AE244" s="19">
        <f t="shared" ref="AE244:AF244" si="1886">AE134-AE189</f>
        <v>0</v>
      </c>
      <c r="AF244" s="19">
        <f t="shared" si="1886"/>
        <v>0</v>
      </c>
      <c r="AG244" s="19">
        <f t="shared" ref="AG244:AH244" si="1887">AG134-AG189</f>
        <v>0</v>
      </c>
      <c r="AH244" s="19">
        <f t="shared" si="1887"/>
        <v>0</v>
      </c>
      <c r="AI244" s="19">
        <f t="shared" ref="AI244:AJ244" si="1888">AI134-AI189</f>
        <v>100</v>
      </c>
      <c r="AJ244" s="20">
        <f t="shared" si="1888"/>
        <v>4200</v>
      </c>
      <c r="AK244" s="19">
        <f t="shared" ref="AK244" si="1889">AK134-AK189</f>
        <v>4271.9662045296282</v>
      </c>
      <c r="AL244" s="19">
        <f t="shared" ref="AL244:AM244" si="1890">AL134-AL189</f>
        <v>4930.4307605181821</v>
      </c>
      <c r="AM244" s="19">
        <f t="shared" si="1890"/>
        <v>5234.3718272483675</v>
      </c>
      <c r="AN244" s="19">
        <f t="shared" ref="AN244:AO244" si="1891">AN134-AN189</f>
        <v>5098.8247143337503</v>
      </c>
      <c r="AO244" s="19">
        <f t="shared" si="1891"/>
        <v>4907.6163391405134</v>
      </c>
      <c r="AP244" s="19">
        <f t="shared" ref="AP244:AQ244" si="1892">AP134-AP189</f>
        <v>4793.3336294113542</v>
      </c>
      <c r="AQ244" s="19">
        <f t="shared" si="1892"/>
        <v>4417.2192779362667</v>
      </c>
      <c r="AR244" s="19">
        <f t="shared" ref="AR244:AS244" si="1893">AR134-AR189</f>
        <v>3918.8412699465407</v>
      </c>
      <c r="AS244" s="19">
        <f t="shared" si="1893"/>
        <v>3364.7302923561656</v>
      </c>
      <c r="AU244" s="19"/>
      <c r="AV244" s="19"/>
      <c r="AW244" s="19"/>
      <c r="AX244" s="19">
        <f t="shared" ref="AX244:AX253" si="1894">AX134-AX189</f>
        <v>0</v>
      </c>
      <c r="AY244" s="19">
        <f t="shared" ref="AY244" si="1895">AY134-AY189</f>
        <v>0</v>
      </c>
      <c r="AZ244" s="19">
        <f t="shared" ref="AZ244:AZ263" si="1896">E244</f>
        <v>0</v>
      </c>
      <c r="BA244" s="19">
        <f t="shared" ref="BA244:BA263" si="1897">G244</f>
        <v>0</v>
      </c>
      <c r="BB244" s="19">
        <f t="shared" ref="BB244:BB263" si="1898">I244</f>
        <v>0</v>
      </c>
      <c r="BC244" s="19">
        <f t="shared" ref="BC244:BC263" si="1899">K244</f>
        <v>0</v>
      </c>
      <c r="BD244" s="19">
        <f t="shared" ref="BD244:BD263" si="1900">M244</f>
        <v>0</v>
      </c>
      <c r="BE244" s="19">
        <f t="shared" ref="BE244:BE263" si="1901">O244</f>
        <v>0</v>
      </c>
      <c r="BF244" s="19">
        <f t="shared" ref="BF244:BF263" si="1902">Q244</f>
        <v>0</v>
      </c>
      <c r="BG244" s="19">
        <f t="shared" ref="BG244:BG263" si="1903">S244</f>
        <v>0</v>
      </c>
      <c r="BH244" s="19">
        <f t="shared" ref="BH244:BH263" si="1904">U244</f>
        <v>0</v>
      </c>
      <c r="BI244" s="19">
        <f t="shared" ref="BI244:BI263" si="1905">W244</f>
        <v>0</v>
      </c>
      <c r="BJ244" s="19">
        <f t="shared" ref="BJ244:BJ263" si="1906">Y244</f>
        <v>0</v>
      </c>
      <c r="BK244" s="19">
        <f t="shared" ref="BK244:BK263" si="1907">AA244</f>
        <v>0</v>
      </c>
      <c r="BL244" s="19">
        <f t="shared" ref="BL244:BL263" si="1908">AC244</f>
        <v>0</v>
      </c>
      <c r="BM244" s="19">
        <f t="shared" ref="BM244:BM263" si="1909">AE244</f>
        <v>0</v>
      </c>
      <c r="BN244" s="19">
        <f t="shared" ref="BN244:BN263" si="1910">AG244</f>
        <v>0</v>
      </c>
      <c r="BO244" s="20">
        <f t="shared" ref="BO244:BO263" si="1911">AI244</f>
        <v>100</v>
      </c>
      <c r="BP244" s="19">
        <f t="shared" ref="BP244:BP263" si="1912">AK244</f>
        <v>4271.9662045296282</v>
      </c>
      <c r="BQ244" s="19">
        <f t="shared" ref="BQ244:BQ263" si="1913">AM244</f>
        <v>5234.3718272483675</v>
      </c>
      <c r="BR244" s="19">
        <f t="shared" ref="BR244:BR263" si="1914">AO244</f>
        <v>4907.6163391405134</v>
      </c>
      <c r="BS244" s="19">
        <f t="shared" ref="BS244:BS263" si="1915">AQ244</f>
        <v>4417.2192779362667</v>
      </c>
      <c r="BT244" s="19">
        <f t="shared" ref="BT244:BT263" si="1916">AS244</f>
        <v>3364.7302923561656</v>
      </c>
    </row>
    <row r="245" spans="1:72" ht="12" customHeight="1" outlineLevel="1">
      <c r="B245" s="1" t="s">
        <v>176</v>
      </c>
      <c r="D245" s="19">
        <f t="shared" ref="D245:H245" si="1917">D135-D190</f>
        <v>0</v>
      </c>
      <c r="E245" s="19">
        <f t="shared" si="1917"/>
        <v>400</v>
      </c>
      <c r="F245" s="19">
        <f t="shared" si="1917"/>
        <v>0</v>
      </c>
      <c r="G245" s="19">
        <f t="shared" si="1917"/>
        <v>500</v>
      </c>
      <c r="H245" s="19">
        <f t="shared" si="1917"/>
        <v>0</v>
      </c>
      <c r="I245" s="19">
        <f t="shared" ref="I245:K245" si="1918">I135-I190</f>
        <v>-500</v>
      </c>
      <c r="J245" s="19">
        <f t="shared" si="1918"/>
        <v>-400</v>
      </c>
      <c r="K245" s="19">
        <f t="shared" si="1918"/>
        <v>0</v>
      </c>
      <c r="L245" s="19">
        <f t="shared" ref="L245:M245" si="1919">L135-L190</f>
        <v>0</v>
      </c>
      <c r="M245" s="19">
        <f t="shared" si="1919"/>
        <v>300</v>
      </c>
      <c r="N245" s="19">
        <f t="shared" ref="N245" si="1920">N135-N190</f>
        <v>-700</v>
      </c>
      <c r="O245" s="19">
        <f t="shared" ref="O245:P245" si="1921">O135-O190</f>
        <v>100</v>
      </c>
      <c r="P245" s="19">
        <f t="shared" si="1921"/>
        <v>-100</v>
      </c>
      <c r="Q245" s="19">
        <f t="shared" ref="Q245:R245" si="1922">Q135-Q190</f>
        <v>300</v>
      </c>
      <c r="R245" s="19">
        <f t="shared" si="1922"/>
        <v>-500</v>
      </c>
      <c r="S245" s="19">
        <f t="shared" ref="S245:T245" si="1923">S135-S190</f>
        <v>800</v>
      </c>
      <c r="T245" s="19">
        <f t="shared" si="1923"/>
        <v>800</v>
      </c>
      <c r="U245" s="19">
        <f t="shared" ref="U245:V245" si="1924">U135-U190</f>
        <v>1200</v>
      </c>
      <c r="V245" s="19">
        <f t="shared" si="1924"/>
        <v>0</v>
      </c>
      <c r="W245" s="19">
        <f t="shared" ref="W245:X245" si="1925">W135-W190</f>
        <v>1000</v>
      </c>
      <c r="X245" s="19">
        <f t="shared" si="1925"/>
        <v>-500</v>
      </c>
      <c r="Y245" s="19">
        <f t="shared" ref="Y245:Z245" si="1926">Y135-Y190</f>
        <v>900</v>
      </c>
      <c r="Z245" s="19">
        <f t="shared" si="1926"/>
        <v>300</v>
      </c>
      <c r="AA245" s="19">
        <f t="shared" ref="AA245:AB245" si="1927">AA135-AA190</f>
        <v>100</v>
      </c>
      <c r="AB245" s="19">
        <f t="shared" si="1927"/>
        <v>-400</v>
      </c>
      <c r="AC245" s="19">
        <f t="shared" ref="AC245:AD245" si="1928">AC135-AC190</f>
        <v>1000</v>
      </c>
      <c r="AD245" s="19">
        <f t="shared" si="1928"/>
        <v>0</v>
      </c>
      <c r="AE245" s="19">
        <f t="shared" ref="AE245:AF245" si="1929">AE135-AE190</f>
        <v>0</v>
      </c>
      <c r="AF245" s="19">
        <f t="shared" si="1929"/>
        <v>-1000</v>
      </c>
      <c r="AG245" s="19">
        <f t="shared" ref="AG245:AH245" si="1930">AG135-AG190</f>
        <v>-900</v>
      </c>
      <c r="AH245" s="19">
        <f t="shared" si="1930"/>
        <v>-1300</v>
      </c>
      <c r="AI245" s="19">
        <f t="shared" ref="AI245:AJ245" si="1931">AI135-AI190</f>
        <v>0</v>
      </c>
      <c r="AJ245" s="20">
        <f t="shared" si="1931"/>
        <v>0</v>
      </c>
      <c r="AK245" s="19">
        <f t="shared" ref="AK245" si="1932">AK135-AK190</f>
        <v>0</v>
      </c>
      <c r="AL245" s="19">
        <f t="shared" ref="AL245:AM245" si="1933">AL135-AL190</f>
        <v>0</v>
      </c>
      <c r="AM245" s="19">
        <f t="shared" si="1933"/>
        <v>0</v>
      </c>
      <c r="AN245" s="19">
        <f t="shared" ref="AN245:AO245" si="1934">AN135-AN190</f>
        <v>0</v>
      </c>
      <c r="AO245" s="19">
        <f t="shared" si="1934"/>
        <v>0</v>
      </c>
      <c r="AP245" s="19">
        <f t="shared" ref="AP245:AQ245" si="1935">AP135-AP190</f>
        <v>0</v>
      </c>
      <c r="AQ245" s="19">
        <f t="shared" si="1935"/>
        <v>0</v>
      </c>
      <c r="AR245" s="19">
        <f t="shared" ref="AR245:AS245" si="1936">AR135-AR190</f>
        <v>0</v>
      </c>
      <c r="AS245" s="19">
        <f t="shared" si="1936"/>
        <v>0</v>
      </c>
      <c r="AU245" s="19"/>
      <c r="AV245" s="19"/>
      <c r="AW245" s="19"/>
      <c r="AX245" s="19">
        <f t="shared" si="1894"/>
        <v>700</v>
      </c>
      <c r="AY245" s="19">
        <f t="shared" ref="AY245" si="1937">AY135-AY190</f>
        <v>200</v>
      </c>
      <c r="AZ245" s="19">
        <f t="shared" si="1896"/>
        <v>400</v>
      </c>
      <c r="BA245" s="19">
        <f t="shared" si="1897"/>
        <v>500</v>
      </c>
      <c r="BB245" s="19">
        <f t="shared" si="1898"/>
        <v>-500</v>
      </c>
      <c r="BC245" s="19">
        <f t="shared" si="1899"/>
        <v>0</v>
      </c>
      <c r="BD245" s="19">
        <f t="shared" si="1900"/>
        <v>300</v>
      </c>
      <c r="BE245" s="19">
        <f t="shared" si="1901"/>
        <v>100</v>
      </c>
      <c r="BF245" s="19">
        <f t="shared" si="1902"/>
        <v>300</v>
      </c>
      <c r="BG245" s="19">
        <f t="shared" si="1903"/>
        <v>800</v>
      </c>
      <c r="BH245" s="19">
        <f t="shared" si="1904"/>
        <v>1200</v>
      </c>
      <c r="BI245" s="19">
        <f t="shared" si="1905"/>
        <v>1000</v>
      </c>
      <c r="BJ245" s="19">
        <f t="shared" si="1906"/>
        <v>900</v>
      </c>
      <c r="BK245" s="19">
        <f t="shared" si="1907"/>
        <v>100</v>
      </c>
      <c r="BL245" s="19">
        <f t="shared" si="1908"/>
        <v>1000</v>
      </c>
      <c r="BM245" s="19">
        <f t="shared" si="1909"/>
        <v>0</v>
      </c>
      <c r="BN245" s="19">
        <f t="shared" si="1910"/>
        <v>-900</v>
      </c>
      <c r="BO245" s="20">
        <f t="shared" si="1911"/>
        <v>0</v>
      </c>
      <c r="BP245" s="19">
        <f t="shared" si="1912"/>
        <v>0</v>
      </c>
      <c r="BQ245" s="19">
        <f t="shared" si="1913"/>
        <v>0</v>
      </c>
      <c r="BR245" s="19">
        <f t="shared" si="1914"/>
        <v>0</v>
      </c>
      <c r="BS245" s="19">
        <f t="shared" si="1915"/>
        <v>0</v>
      </c>
      <c r="BT245" s="19">
        <f t="shared" si="1916"/>
        <v>0</v>
      </c>
    </row>
    <row r="246" spans="1:72" ht="12" customHeight="1" outlineLevel="1">
      <c r="B246" s="1" t="s">
        <v>177</v>
      </c>
      <c r="D246" s="19">
        <f t="shared" ref="D246:H246" si="1938">D136-D191</f>
        <v>200</v>
      </c>
      <c r="E246" s="19">
        <f t="shared" si="1938"/>
        <v>200</v>
      </c>
      <c r="F246" s="19">
        <f t="shared" si="1938"/>
        <v>400</v>
      </c>
      <c r="G246" s="19">
        <f t="shared" si="1938"/>
        <v>600</v>
      </c>
      <c r="H246" s="19">
        <f t="shared" si="1938"/>
        <v>600</v>
      </c>
      <c r="I246" s="19">
        <f t="shared" ref="I246:K246" si="1939">I136-I191</f>
        <v>600</v>
      </c>
      <c r="J246" s="19">
        <f t="shared" si="1939"/>
        <v>800</v>
      </c>
      <c r="K246" s="19">
        <f t="shared" si="1939"/>
        <v>1000</v>
      </c>
      <c r="L246" s="19">
        <f t="shared" ref="L246:M246" si="1940">L136-L191</f>
        <v>700</v>
      </c>
      <c r="M246" s="19">
        <f t="shared" si="1940"/>
        <v>700</v>
      </c>
      <c r="N246" s="19">
        <f t="shared" ref="N246" si="1941">N136-N191</f>
        <v>500</v>
      </c>
      <c r="O246" s="19">
        <f t="shared" ref="O246:P246" si="1942">O136-O191</f>
        <v>500</v>
      </c>
      <c r="P246" s="19">
        <f t="shared" si="1942"/>
        <v>500</v>
      </c>
      <c r="Q246" s="19">
        <f t="shared" ref="Q246:R246" si="1943">Q136-Q191</f>
        <v>400</v>
      </c>
      <c r="R246" s="19">
        <f t="shared" si="1943"/>
        <v>400</v>
      </c>
      <c r="S246" s="19">
        <f t="shared" ref="S246:T246" si="1944">S136-S191</f>
        <v>500</v>
      </c>
      <c r="T246" s="19">
        <f t="shared" si="1944"/>
        <v>500</v>
      </c>
      <c r="U246" s="19">
        <f t="shared" ref="U246:V246" si="1945">U136-U191</f>
        <v>400</v>
      </c>
      <c r="V246" s="19">
        <f t="shared" si="1945"/>
        <v>200</v>
      </c>
      <c r="W246" s="19">
        <f t="shared" ref="W246:X246" si="1946">W136-W191</f>
        <v>300</v>
      </c>
      <c r="X246" s="19">
        <f t="shared" si="1946"/>
        <v>400</v>
      </c>
      <c r="Y246" s="19">
        <f t="shared" ref="Y246:Z246" si="1947">Y136-Y191</f>
        <v>100</v>
      </c>
      <c r="Z246" s="19">
        <f t="shared" si="1947"/>
        <v>600</v>
      </c>
      <c r="AA246" s="19">
        <f t="shared" ref="AA246:AB246" si="1948">AA136-AA191</f>
        <v>600</v>
      </c>
      <c r="AB246" s="19">
        <f t="shared" si="1948"/>
        <v>1000</v>
      </c>
      <c r="AC246" s="19">
        <f t="shared" ref="AC246:AD246" si="1949">AC136-AC191</f>
        <v>900</v>
      </c>
      <c r="AD246" s="19">
        <f t="shared" si="1949"/>
        <v>1000</v>
      </c>
      <c r="AE246" s="19">
        <f t="shared" ref="AE246:AF246" si="1950">AE136-AE191</f>
        <v>1000</v>
      </c>
      <c r="AF246" s="19">
        <f t="shared" si="1950"/>
        <v>1200</v>
      </c>
      <c r="AG246" s="19">
        <f t="shared" ref="AG246:AH246" si="1951">AG136-AG191</f>
        <v>1500</v>
      </c>
      <c r="AH246" s="19">
        <f t="shared" si="1951"/>
        <v>1600</v>
      </c>
      <c r="AI246" s="19">
        <f t="shared" ref="AI246:AJ246" si="1952">AI136-AI191</f>
        <v>1900</v>
      </c>
      <c r="AJ246" s="20">
        <f t="shared" si="1952"/>
        <v>1400</v>
      </c>
      <c r="AK246" s="19">
        <f t="shared" ref="AK246" si="1953">AK136-AK191</f>
        <v>1400</v>
      </c>
      <c r="AL246" s="19">
        <f t="shared" ref="AL246:AM246" si="1954">AL136-AL191</f>
        <v>1400</v>
      </c>
      <c r="AM246" s="19">
        <f t="shared" si="1954"/>
        <v>1400</v>
      </c>
      <c r="AN246" s="19">
        <f t="shared" ref="AN246:AO246" si="1955">AN136-AN191</f>
        <v>1400</v>
      </c>
      <c r="AO246" s="19">
        <f t="shared" si="1955"/>
        <v>1400</v>
      </c>
      <c r="AP246" s="19">
        <f t="shared" ref="AP246:AQ246" si="1956">AP136-AP191</f>
        <v>1400</v>
      </c>
      <c r="AQ246" s="19">
        <f t="shared" si="1956"/>
        <v>1400</v>
      </c>
      <c r="AR246" s="19">
        <f t="shared" ref="AR246:AS246" si="1957">AR136-AR191</f>
        <v>1400</v>
      </c>
      <c r="AS246" s="19">
        <f t="shared" si="1957"/>
        <v>1400</v>
      </c>
      <c r="AU246" s="19"/>
      <c r="AV246" s="19"/>
      <c r="AW246" s="19"/>
      <c r="AX246" s="19">
        <f t="shared" si="1894"/>
        <v>0</v>
      </c>
      <c r="AY246" s="19">
        <f t="shared" ref="AY246" si="1958">AY136-AY191</f>
        <v>300</v>
      </c>
      <c r="AZ246" s="19">
        <f t="shared" si="1896"/>
        <v>200</v>
      </c>
      <c r="BA246" s="19">
        <f t="shared" si="1897"/>
        <v>600</v>
      </c>
      <c r="BB246" s="19">
        <f t="shared" si="1898"/>
        <v>600</v>
      </c>
      <c r="BC246" s="19">
        <f t="shared" si="1899"/>
        <v>1000</v>
      </c>
      <c r="BD246" s="19">
        <f t="shared" si="1900"/>
        <v>700</v>
      </c>
      <c r="BE246" s="19">
        <f t="shared" si="1901"/>
        <v>500</v>
      </c>
      <c r="BF246" s="19">
        <f t="shared" si="1902"/>
        <v>400</v>
      </c>
      <c r="BG246" s="19">
        <f t="shared" si="1903"/>
        <v>500</v>
      </c>
      <c r="BH246" s="19">
        <f t="shared" si="1904"/>
        <v>400</v>
      </c>
      <c r="BI246" s="19">
        <f t="shared" si="1905"/>
        <v>300</v>
      </c>
      <c r="BJ246" s="19">
        <f t="shared" si="1906"/>
        <v>100</v>
      </c>
      <c r="BK246" s="19">
        <f t="shared" si="1907"/>
        <v>600</v>
      </c>
      <c r="BL246" s="19">
        <f t="shared" si="1908"/>
        <v>900</v>
      </c>
      <c r="BM246" s="19">
        <f t="shared" si="1909"/>
        <v>1000</v>
      </c>
      <c r="BN246" s="19">
        <f t="shared" si="1910"/>
        <v>1500</v>
      </c>
      <c r="BO246" s="20">
        <f t="shared" si="1911"/>
        <v>1900</v>
      </c>
      <c r="BP246" s="19">
        <f t="shared" si="1912"/>
        <v>1400</v>
      </c>
      <c r="BQ246" s="19">
        <f t="shared" si="1913"/>
        <v>1400</v>
      </c>
      <c r="BR246" s="19">
        <f t="shared" si="1914"/>
        <v>1400</v>
      </c>
      <c r="BS246" s="19">
        <f t="shared" si="1915"/>
        <v>1400</v>
      </c>
      <c r="BT246" s="19">
        <f t="shared" si="1916"/>
        <v>1400</v>
      </c>
    </row>
    <row r="247" spans="1:72" ht="12" customHeight="1" outlineLevel="1">
      <c r="B247" s="1" t="s">
        <v>178</v>
      </c>
      <c r="D247" s="19">
        <f t="shared" ref="D247:H247" si="1959">D137-D192</f>
        <v>600</v>
      </c>
      <c r="E247" s="19">
        <f t="shared" si="1959"/>
        <v>600</v>
      </c>
      <c r="F247" s="19">
        <f t="shared" si="1959"/>
        <v>600</v>
      </c>
      <c r="G247" s="19">
        <f t="shared" si="1959"/>
        <v>1700</v>
      </c>
      <c r="H247" s="19">
        <f t="shared" si="1959"/>
        <v>200</v>
      </c>
      <c r="I247" s="19">
        <f t="shared" ref="I247:K247" si="1960">I137-I192</f>
        <v>200</v>
      </c>
      <c r="J247" s="19">
        <f t="shared" si="1960"/>
        <v>100</v>
      </c>
      <c r="K247" s="19">
        <f t="shared" si="1960"/>
        <v>100</v>
      </c>
      <c r="L247" s="19">
        <f t="shared" ref="L247:M247" si="1961">L137-L192</f>
        <v>300</v>
      </c>
      <c r="M247" s="19">
        <f t="shared" si="1961"/>
        <v>100</v>
      </c>
      <c r="N247" s="19">
        <f t="shared" ref="N247" si="1962">N137-N192</f>
        <v>100</v>
      </c>
      <c r="O247" s="19">
        <f t="shared" ref="O247:P247" si="1963">O137-O192</f>
        <v>100</v>
      </c>
      <c r="P247" s="19">
        <f t="shared" si="1963"/>
        <v>100</v>
      </c>
      <c r="Q247" s="19">
        <f t="shared" ref="Q247:R247" si="1964">Q137-Q192</f>
        <v>100</v>
      </c>
      <c r="R247" s="19">
        <f t="shared" si="1964"/>
        <v>-600</v>
      </c>
      <c r="S247" s="19">
        <f t="shared" ref="S247:T247" si="1965">S137-S192</f>
        <v>200</v>
      </c>
      <c r="T247" s="19">
        <f t="shared" si="1965"/>
        <v>500</v>
      </c>
      <c r="U247" s="19">
        <f t="shared" ref="U247:V247" si="1966">U137-U192</f>
        <v>500</v>
      </c>
      <c r="V247" s="19">
        <f t="shared" si="1966"/>
        <v>300</v>
      </c>
      <c r="W247" s="19">
        <f t="shared" ref="W247:X247" si="1967">W137-W192</f>
        <v>4400</v>
      </c>
      <c r="X247" s="19">
        <f t="shared" si="1967"/>
        <v>1100</v>
      </c>
      <c r="Y247" s="19">
        <f t="shared" ref="Y247:Z247" si="1968">Y137-Y192</f>
        <v>600</v>
      </c>
      <c r="Z247" s="19">
        <f t="shared" si="1968"/>
        <v>500</v>
      </c>
      <c r="AA247" s="19">
        <f t="shared" ref="AA247:AB247" si="1969">AA137-AA192</f>
        <v>400</v>
      </c>
      <c r="AB247" s="19">
        <f t="shared" si="1969"/>
        <v>400</v>
      </c>
      <c r="AC247" s="19">
        <f t="shared" ref="AC247:AD247" si="1970">AC137-AC192</f>
        <v>900</v>
      </c>
      <c r="AD247" s="19">
        <f t="shared" si="1970"/>
        <v>500</v>
      </c>
      <c r="AE247" s="19">
        <f t="shared" ref="AE247:AF247" si="1971">AE137-AE192</f>
        <v>2400</v>
      </c>
      <c r="AF247" s="19">
        <f t="shared" si="1971"/>
        <v>2900</v>
      </c>
      <c r="AG247" s="19">
        <f t="shared" ref="AG247:AH247" si="1972">AG137-AG192</f>
        <v>2800</v>
      </c>
      <c r="AH247" s="19">
        <f t="shared" si="1972"/>
        <v>2900</v>
      </c>
      <c r="AI247" s="19">
        <f t="shared" ref="AI247:AJ247" si="1973">AI137-AI192</f>
        <v>4500</v>
      </c>
      <c r="AJ247" s="20">
        <f t="shared" si="1973"/>
        <v>4700</v>
      </c>
      <c r="AK247" s="19">
        <f t="shared" ref="AK247" si="1974">AK137-AK192</f>
        <v>5096.1638392857167</v>
      </c>
      <c r="AL247" s="19">
        <f t="shared" ref="AL247:AM247" si="1975">AL137-AL192</f>
        <v>5478.4194553571451</v>
      </c>
      <c r="AM247" s="19">
        <f t="shared" si="1975"/>
        <v>5857.5687522544686</v>
      </c>
      <c r="AN247" s="19">
        <f t="shared" ref="AN247:AO247" si="1976">AN137-AN192</f>
        <v>6186.4321480973249</v>
      </c>
      <c r="AO247" s="19">
        <f t="shared" si="1976"/>
        <v>6503.1396582655634</v>
      </c>
      <c r="AP247" s="19">
        <f t="shared" ref="AP247:AQ247" si="1977">AP137-AP192</f>
        <v>6803.5371002122338</v>
      </c>
      <c r="AQ247" s="19">
        <f t="shared" si="1977"/>
        <v>7111.9404613385195</v>
      </c>
      <c r="AR247" s="19">
        <f t="shared" ref="AR247:AS247" si="1978">AR137-AR192</f>
        <v>7428.4092437739018</v>
      </c>
      <c r="AS247" s="19">
        <f t="shared" si="1978"/>
        <v>7760.1069645463467</v>
      </c>
      <c r="AU247" s="19"/>
      <c r="AV247" s="19"/>
      <c r="AW247" s="19"/>
      <c r="AX247" s="19">
        <f t="shared" si="1894"/>
        <v>1100</v>
      </c>
      <c r="AY247" s="19">
        <f t="shared" ref="AY247" si="1979">AY137-AY192</f>
        <v>800</v>
      </c>
      <c r="AZ247" s="19">
        <f t="shared" si="1896"/>
        <v>600</v>
      </c>
      <c r="BA247" s="19">
        <f t="shared" si="1897"/>
        <v>1700</v>
      </c>
      <c r="BB247" s="19">
        <f t="shared" si="1898"/>
        <v>200</v>
      </c>
      <c r="BC247" s="19">
        <f t="shared" si="1899"/>
        <v>100</v>
      </c>
      <c r="BD247" s="19">
        <f t="shared" si="1900"/>
        <v>100</v>
      </c>
      <c r="BE247" s="19">
        <f t="shared" si="1901"/>
        <v>100</v>
      </c>
      <c r="BF247" s="19">
        <f t="shared" si="1902"/>
        <v>100</v>
      </c>
      <c r="BG247" s="19">
        <f t="shared" si="1903"/>
        <v>200</v>
      </c>
      <c r="BH247" s="19">
        <f t="shared" si="1904"/>
        <v>500</v>
      </c>
      <c r="BI247" s="19">
        <f t="shared" si="1905"/>
        <v>4400</v>
      </c>
      <c r="BJ247" s="19">
        <f t="shared" si="1906"/>
        <v>600</v>
      </c>
      <c r="BK247" s="19">
        <f t="shared" si="1907"/>
        <v>400</v>
      </c>
      <c r="BL247" s="19">
        <f t="shared" si="1908"/>
        <v>900</v>
      </c>
      <c r="BM247" s="19">
        <f t="shared" si="1909"/>
        <v>2400</v>
      </c>
      <c r="BN247" s="19">
        <f t="shared" si="1910"/>
        <v>2800</v>
      </c>
      <c r="BO247" s="20">
        <f t="shared" si="1911"/>
        <v>4500</v>
      </c>
      <c r="BP247" s="19">
        <f t="shared" si="1912"/>
        <v>5096.1638392857167</v>
      </c>
      <c r="BQ247" s="19">
        <f t="shared" si="1913"/>
        <v>5857.5687522544686</v>
      </c>
      <c r="BR247" s="19">
        <f t="shared" si="1914"/>
        <v>6503.1396582655634</v>
      </c>
      <c r="BS247" s="19">
        <f t="shared" si="1915"/>
        <v>7111.9404613385195</v>
      </c>
      <c r="BT247" s="19">
        <f t="shared" si="1916"/>
        <v>7760.1069645463467</v>
      </c>
    </row>
    <row r="248" spans="1:72" ht="12" customHeight="1" outlineLevel="1">
      <c r="B248" s="1" t="s">
        <v>179</v>
      </c>
      <c r="D248" s="19">
        <f t="shared" ref="D248:H248" si="1980">D138-D193</f>
        <v>2100</v>
      </c>
      <c r="E248" s="19">
        <f t="shared" si="1980"/>
        <v>3200</v>
      </c>
      <c r="F248" s="19">
        <f t="shared" si="1980"/>
        <v>3500</v>
      </c>
      <c r="G248" s="19">
        <f t="shared" si="1980"/>
        <v>4100</v>
      </c>
      <c r="H248" s="19">
        <f t="shared" si="1980"/>
        <v>4700</v>
      </c>
      <c r="I248" s="19">
        <f t="shared" ref="I248:K248" si="1981">I138-I193</f>
        <v>4500</v>
      </c>
      <c r="J248" s="19">
        <f t="shared" si="1981"/>
        <v>4400</v>
      </c>
      <c r="K248" s="19">
        <f t="shared" si="1981"/>
        <v>5800</v>
      </c>
      <c r="L248" s="19">
        <f t="shared" ref="L248:M248" si="1982">L138-L193</f>
        <v>6400</v>
      </c>
      <c r="M248" s="19">
        <f t="shared" si="1982"/>
        <v>8000</v>
      </c>
      <c r="N248" s="19">
        <f t="shared" ref="N248" si="1983">N138-N193</f>
        <v>7300</v>
      </c>
      <c r="O248" s="19">
        <f t="shared" ref="O248:P248" si="1984">O138-O193</f>
        <v>8100</v>
      </c>
      <c r="P248" s="19">
        <f t="shared" si="1984"/>
        <v>9000</v>
      </c>
      <c r="Q248" s="19">
        <f t="shared" ref="Q248:R248" si="1985">Q138-Q193</f>
        <v>8400</v>
      </c>
      <c r="R248" s="19">
        <f t="shared" si="1985"/>
        <v>9200</v>
      </c>
      <c r="S248" s="19">
        <f t="shared" ref="S248:T248" si="1986">S138-S193</f>
        <v>7600</v>
      </c>
      <c r="T248" s="19">
        <f t="shared" si="1986"/>
        <v>6600</v>
      </c>
      <c r="U248" s="19">
        <f t="shared" ref="U248:V248" si="1987">U138-U193</f>
        <v>14000</v>
      </c>
      <c r="V248" s="19">
        <f t="shared" si="1987"/>
        <v>14800</v>
      </c>
      <c r="W248" s="19">
        <f t="shared" ref="W248:X248" si="1988">W138-W193</f>
        <v>16100</v>
      </c>
      <c r="X248" s="19">
        <f t="shared" si="1988"/>
        <v>15900</v>
      </c>
      <c r="Y248" s="19">
        <f t="shared" ref="Y248:Z248" si="1989">Y138-Y193</f>
        <v>16500</v>
      </c>
      <c r="Z248" s="19">
        <f t="shared" si="1989"/>
        <v>14400</v>
      </c>
      <c r="AA248" s="19">
        <f t="shared" ref="AA248:AB248" si="1990">AA138-AA193</f>
        <v>15300</v>
      </c>
      <c r="AB248" s="19">
        <f t="shared" si="1990"/>
        <v>21300</v>
      </c>
      <c r="AC248" s="19">
        <f t="shared" ref="AC248:AD248" si="1991">AC138-AC193</f>
        <v>27300</v>
      </c>
      <c r="AD248" s="19">
        <f t="shared" si="1991"/>
        <v>37400</v>
      </c>
      <c r="AE248" s="19">
        <f t="shared" ref="AE248:AF248" si="1992">AE138-AE193</f>
        <v>33900</v>
      </c>
      <c r="AF248" s="19">
        <f t="shared" si="1992"/>
        <v>36300</v>
      </c>
      <c r="AG248" s="19">
        <f t="shared" ref="AG248:AH248" si="1993">AG138-AG193</f>
        <v>38100</v>
      </c>
      <c r="AH248" s="19">
        <f t="shared" si="1993"/>
        <v>36400</v>
      </c>
      <c r="AI248" s="19">
        <f t="shared" ref="AI248:AJ248" si="1994">AI138-AI193</f>
        <v>34300</v>
      </c>
      <c r="AJ248" s="20">
        <f t="shared" si="1994"/>
        <v>31800</v>
      </c>
      <c r="AK248" s="19">
        <f t="shared" ref="AK248" si="1995">AK138-AK193</f>
        <v>34480.427678571439</v>
      </c>
      <c r="AL248" s="19">
        <f t="shared" ref="AL248:AM248" si="1996">AL138-AL193</f>
        <v>37066.752910714291</v>
      </c>
      <c r="AM248" s="19">
        <f t="shared" si="1996"/>
        <v>39632.060919508935</v>
      </c>
      <c r="AN248" s="19">
        <f t="shared" ref="AN248:AO248" si="1997">AN138-AN193</f>
        <v>41857.136661594654</v>
      </c>
      <c r="AO248" s="19">
        <f t="shared" si="1997"/>
        <v>43999.966198477632</v>
      </c>
      <c r="AP248" s="19">
        <f t="shared" ref="AP248:AQ248" si="1998">AP138-AP193</f>
        <v>46032.442507818952</v>
      </c>
      <c r="AQ248" s="19">
        <f t="shared" si="1998"/>
        <v>48119.086525652114</v>
      </c>
      <c r="AR248" s="19">
        <f t="shared" ref="AR248:AS248" si="1999">AR138-AR193</f>
        <v>50260.300840853226</v>
      </c>
      <c r="AS248" s="19">
        <f t="shared" si="1999"/>
        <v>52504.553504802978</v>
      </c>
      <c r="AU248" s="19"/>
      <c r="AV248" s="19"/>
      <c r="AW248" s="19"/>
      <c r="AX248" s="19">
        <f t="shared" si="1894"/>
        <v>0</v>
      </c>
      <c r="AY248" s="19">
        <f t="shared" ref="AY248" si="2000">AY138-AY193</f>
        <v>0</v>
      </c>
      <c r="AZ248" s="19">
        <f t="shared" si="1896"/>
        <v>3200</v>
      </c>
      <c r="BA248" s="19">
        <f t="shared" si="1897"/>
        <v>4100</v>
      </c>
      <c r="BB248" s="19">
        <f t="shared" si="1898"/>
        <v>4500</v>
      </c>
      <c r="BC248" s="19">
        <f t="shared" si="1899"/>
        <v>5800</v>
      </c>
      <c r="BD248" s="19">
        <f t="shared" si="1900"/>
        <v>8000</v>
      </c>
      <c r="BE248" s="19">
        <f t="shared" si="1901"/>
        <v>8100</v>
      </c>
      <c r="BF248" s="19">
        <f t="shared" si="1902"/>
        <v>8400</v>
      </c>
      <c r="BG248" s="19">
        <f t="shared" si="1903"/>
        <v>7600</v>
      </c>
      <c r="BH248" s="19">
        <f t="shared" si="1904"/>
        <v>14000</v>
      </c>
      <c r="BI248" s="19">
        <f t="shared" si="1905"/>
        <v>16100</v>
      </c>
      <c r="BJ248" s="19">
        <f t="shared" si="1906"/>
        <v>16500</v>
      </c>
      <c r="BK248" s="19">
        <f t="shared" si="1907"/>
        <v>15300</v>
      </c>
      <c r="BL248" s="19">
        <f t="shared" si="1908"/>
        <v>27300</v>
      </c>
      <c r="BM248" s="19">
        <f t="shared" si="1909"/>
        <v>33900</v>
      </c>
      <c r="BN248" s="19">
        <f t="shared" si="1910"/>
        <v>38100</v>
      </c>
      <c r="BO248" s="20">
        <f t="shared" si="1911"/>
        <v>34300</v>
      </c>
      <c r="BP248" s="19">
        <f t="shared" si="1912"/>
        <v>34480.427678571439</v>
      </c>
      <c r="BQ248" s="19">
        <f t="shared" si="1913"/>
        <v>39632.060919508935</v>
      </c>
      <c r="BR248" s="19">
        <f t="shared" si="1914"/>
        <v>43999.966198477632</v>
      </c>
      <c r="BS248" s="19">
        <f t="shared" si="1915"/>
        <v>48119.086525652114</v>
      </c>
      <c r="BT248" s="19">
        <f t="shared" si="1916"/>
        <v>52504.553504802978</v>
      </c>
    </row>
    <row r="249" spans="1:72" ht="12" customHeight="1" outlineLevel="1">
      <c r="B249" s="1" t="s">
        <v>180</v>
      </c>
      <c r="D249" s="19">
        <f t="shared" ref="D249:H249" si="2001">D139-D194</f>
        <v>400</v>
      </c>
      <c r="E249" s="19">
        <f t="shared" si="2001"/>
        <v>500</v>
      </c>
      <c r="F249" s="19">
        <f t="shared" si="2001"/>
        <v>300</v>
      </c>
      <c r="G249" s="19">
        <f t="shared" si="2001"/>
        <v>300</v>
      </c>
      <c r="H249" s="19">
        <f t="shared" si="2001"/>
        <v>100</v>
      </c>
      <c r="I249" s="19">
        <f t="shared" ref="I249:K249" si="2002">I139-I194</f>
        <v>300</v>
      </c>
      <c r="J249" s="19">
        <f t="shared" si="2002"/>
        <v>200</v>
      </c>
      <c r="K249" s="19">
        <f t="shared" si="2002"/>
        <v>700</v>
      </c>
      <c r="L249" s="19">
        <f t="shared" ref="L249:M249" si="2003">L139-L194</f>
        <v>-500</v>
      </c>
      <c r="M249" s="19">
        <f t="shared" si="2003"/>
        <v>400</v>
      </c>
      <c r="N249" s="19">
        <f t="shared" ref="N249" si="2004">N139-N194</f>
        <v>700</v>
      </c>
      <c r="O249" s="19">
        <f t="shared" ref="O249:P249" si="2005">O139-O194</f>
        <v>300</v>
      </c>
      <c r="P249" s="19">
        <f t="shared" si="2005"/>
        <v>400</v>
      </c>
      <c r="Q249" s="19">
        <f t="shared" ref="Q249:R249" si="2006">Q139-Q194</f>
        <v>200</v>
      </c>
      <c r="R249" s="19">
        <f t="shared" si="2006"/>
        <v>300</v>
      </c>
      <c r="S249" s="19">
        <f t="shared" ref="S249:T249" si="2007">S139-S194</f>
        <v>200</v>
      </c>
      <c r="T249" s="19">
        <f t="shared" si="2007"/>
        <v>100</v>
      </c>
      <c r="U249" s="19">
        <f t="shared" ref="U249:V249" si="2008">U139-U194</f>
        <v>100</v>
      </c>
      <c r="V249" s="19">
        <f t="shared" si="2008"/>
        <v>100</v>
      </c>
      <c r="W249" s="19">
        <f t="shared" ref="W249:X249" si="2009">W139-W194</f>
        <v>500</v>
      </c>
      <c r="X249" s="19">
        <f t="shared" si="2009"/>
        <v>500</v>
      </c>
      <c r="Y249" s="19">
        <f t="shared" ref="Y249:Z249" si="2010">Y139-Y194</f>
        <v>300</v>
      </c>
      <c r="Z249" s="19">
        <f t="shared" si="2010"/>
        <v>100</v>
      </c>
      <c r="AA249" s="19">
        <f t="shared" ref="AA249:AB249" si="2011">AA139-AA194</f>
        <v>200</v>
      </c>
      <c r="AB249" s="19">
        <f t="shared" si="2011"/>
        <v>200</v>
      </c>
      <c r="AC249" s="19">
        <f t="shared" ref="AC249:AD249" si="2012">AC139-AC194</f>
        <v>200</v>
      </c>
      <c r="AD249" s="19">
        <f t="shared" si="2012"/>
        <v>7100</v>
      </c>
      <c r="AE249" s="19">
        <f t="shared" ref="AE249:AF249" si="2013">AE139-AE194</f>
        <v>7200</v>
      </c>
      <c r="AF249" s="19">
        <f t="shared" si="2013"/>
        <v>7400</v>
      </c>
      <c r="AG249" s="19">
        <f t="shared" ref="AG249:AH249" si="2014">AG139-AG194</f>
        <v>6800</v>
      </c>
      <c r="AH249" s="19">
        <f t="shared" si="2014"/>
        <v>7000</v>
      </c>
      <c r="AI249" s="19">
        <f t="shared" ref="AI249:AJ249" si="2015">AI139-AI194</f>
        <v>8500</v>
      </c>
      <c r="AJ249" s="20">
        <f t="shared" si="2015"/>
        <v>11400</v>
      </c>
      <c r="AK249" s="19">
        <f t="shared" ref="AK249" si="2016">AK139-AK194</f>
        <v>11400</v>
      </c>
      <c r="AL249" s="19">
        <f t="shared" ref="AL249:AM249" si="2017">AL139-AL194</f>
        <v>11400</v>
      </c>
      <c r="AM249" s="19">
        <f t="shared" si="2017"/>
        <v>11400</v>
      </c>
      <c r="AN249" s="19">
        <f t="shared" ref="AN249:AO249" si="2018">AN139-AN194</f>
        <v>11400</v>
      </c>
      <c r="AO249" s="19">
        <f t="shared" si="2018"/>
        <v>11400</v>
      </c>
      <c r="AP249" s="19">
        <f t="shared" ref="AP249:AQ249" si="2019">AP139-AP194</f>
        <v>11400</v>
      </c>
      <c r="AQ249" s="19">
        <f t="shared" si="2019"/>
        <v>11400</v>
      </c>
      <c r="AR249" s="19">
        <f t="shared" ref="AR249:AS249" si="2020">AR139-AR194</f>
        <v>11400</v>
      </c>
      <c r="AS249" s="19">
        <f t="shared" si="2020"/>
        <v>11400</v>
      </c>
      <c r="AU249" s="19"/>
      <c r="AV249" s="19"/>
      <c r="AW249" s="19"/>
      <c r="AX249" s="19">
        <f t="shared" si="1894"/>
        <v>300</v>
      </c>
      <c r="AY249" s="19">
        <f t="shared" ref="AY249" si="2021">AY139-AY194</f>
        <v>500</v>
      </c>
      <c r="AZ249" s="19">
        <f t="shared" si="1896"/>
        <v>500</v>
      </c>
      <c r="BA249" s="19">
        <f t="shared" si="1897"/>
        <v>300</v>
      </c>
      <c r="BB249" s="19">
        <f t="shared" si="1898"/>
        <v>300</v>
      </c>
      <c r="BC249" s="19">
        <f t="shared" si="1899"/>
        <v>700</v>
      </c>
      <c r="BD249" s="19">
        <f t="shared" si="1900"/>
        <v>400</v>
      </c>
      <c r="BE249" s="19">
        <f t="shared" si="1901"/>
        <v>300</v>
      </c>
      <c r="BF249" s="19">
        <f t="shared" si="1902"/>
        <v>200</v>
      </c>
      <c r="BG249" s="19">
        <f t="shared" si="1903"/>
        <v>200</v>
      </c>
      <c r="BH249" s="19">
        <f t="shared" si="1904"/>
        <v>100</v>
      </c>
      <c r="BI249" s="19">
        <f t="shared" si="1905"/>
        <v>500</v>
      </c>
      <c r="BJ249" s="19">
        <f t="shared" si="1906"/>
        <v>300</v>
      </c>
      <c r="BK249" s="19">
        <f t="shared" si="1907"/>
        <v>200</v>
      </c>
      <c r="BL249" s="19">
        <f t="shared" si="1908"/>
        <v>200</v>
      </c>
      <c r="BM249" s="19">
        <f t="shared" si="1909"/>
        <v>7200</v>
      </c>
      <c r="BN249" s="19">
        <f t="shared" si="1910"/>
        <v>6800</v>
      </c>
      <c r="BO249" s="20">
        <f t="shared" si="1911"/>
        <v>8500</v>
      </c>
      <c r="BP249" s="19">
        <f t="shared" si="1912"/>
        <v>11400</v>
      </c>
      <c r="BQ249" s="19">
        <f t="shared" si="1913"/>
        <v>11400</v>
      </c>
      <c r="BR249" s="19">
        <f t="shared" si="1914"/>
        <v>11400</v>
      </c>
      <c r="BS249" s="19">
        <f t="shared" si="1915"/>
        <v>11400</v>
      </c>
      <c r="BT249" s="19">
        <f t="shared" si="1916"/>
        <v>11400</v>
      </c>
    </row>
    <row r="250" spans="1:72" ht="12" customHeight="1" outlineLevel="1">
      <c r="B250" s="1" t="s">
        <v>181</v>
      </c>
      <c r="D250" s="19">
        <f t="shared" ref="D250:H250" si="2022">D140-D195</f>
        <v>7000</v>
      </c>
      <c r="E250" s="19">
        <f t="shared" si="2022"/>
        <v>6900</v>
      </c>
      <c r="F250" s="19">
        <f t="shared" si="2022"/>
        <v>6700</v>
      </c>
      <c r="G250" s="19">
        <f t="shared" si="2022"/>
        <v>4500</v>
      </c>
      <c r="H250" s="19">
        <f t="shared" si="2022"/>
        <v>4300</v>
      </c>
      <c r="I250" s="19">
        <f t="shared" ref="I250:K250" si="2023">I140-I195</f>
        <v>3200</v>
      </c>
      <c r="J250" s="19">
        <f t="shared" si="2023"/>
        <v>3200</v>
      </c>
      <c r="K250" s="19">
        <f t="shared" si="2023"/>
        <v>2400</v>
      </c>
      <c r="L250" s="19">
        <f t="shared" ref="L250:M250" si="2024">L140-L195</f>
        <v>2600</v>
      </c>
      <c r="M250" s="19">
        <f t="shared" si="2024"/>
        <v>1300</v>
      </c>
      <c r="N250" s="19">
        <f t="shared" ref="N250" si="2025">N140-N195</f>
        <v>1400</v>
      </c>
      <c r="O250" s="19">
        <f t="shared" ref="O250:P250" si="2026">O140-O195</f>
        <v>2600</v>
      </c>
      <c r="P250" s="19">
        <f t="shared" si="2026"/>
        <v>3100</v>
      </c>
      <c r="Q250" s="19">
        <f t="shared" ref="Q250:R250" si="2027">Q140-Q195</f>
        <v>2900</v>
      </c>
      <c r="R250" s="19">
        <f t="shared" si="2027"/>
        <v>2400</v>
      </c>
      <c r="S250" s="19">
        <f t="shared" ref="S250:T250" si="2028">S140-S195</f>
        <v>2400</v>
      </c>
      <c r="T250" s="19">
        <f t="shared" si="2028"/>
        <v>3200</v>
      </c>
      <c r="U250" s="19">
        <f t="shared" ref="U250:V250" si="2029">U140-U195</f>
        <v>3200</v>
      </c>
      <c r="V250" s="19">
        <f t="shared" si="2029"/>
        <v>5800</v>
      </c>
      <c r="W250" s="19">
        <f t="shared" ref="W250:X250" si="2030">W140-W195</f>
        <v>8300</v>
      </c>
      <c r="X250" s="19">
        <f t="shared" si="2030"/>
        <v>8700</v>
      </c>
      <c r="Y250" s="19">
        <f t="shared" ref="Y250:Z250" si="2031">Y140-Y195</f>
        <v>10100</v>
      </c>
      <c r="Z250" s="19">
        <f t="shared" si="2031"/>
        <v>7300</v>
      </c>
      <c r="AA250" s="19">
        <f t="shared" ref="AA250:AB250" si="2032">AA140-AA195</f>
        <v>5800</v>
      </c>
      <c r="AB250" s="19">
        <f t="shared" si="2032"/>
        <v>6400</v>
      </c>
      <c r="AC250" s="19">
        <f t="shared" ref="AC250:AD250" si="2033">AC140-AC195</f>
        <v>6300</v>
      </c>
      <c r="AD250" s="19">
        <f t="shared" si="2033"/>
        <v>0</v>
      </c>
      <c r="AE250" s="19">
        <f t="shared" ref="AE250:AF250" si="2034">AE140-AE195</f>
        <v>0</v>
      </c>
      <c r="AF250" s="19">
        <f t="shared" si="2034"/>
        <v>0</v>
      </c>
      <c r="AG250" s="19">
        <f t="shared" ref="AG250:AH250" si="2035">AG140-AG195</f>
        <v>0</v>
      </c>
      <c r="AH250" s="19">
        <f t="shared" si="2035"/>
        <v>0</v>
      </c>
      <c r="AI250" s="19">
        <f t="shared" ref="AI250:AJ250" si="2036">AI140-AI195</f>
        <v>0</v>
      </c>
      <c r="AJ250" s="20">
        <f t="shared" si="2036"/>
        <v>0</v>
      </c>
      <c r="AK250" s="19">
        <f t="shared" ref="AK250" si="2037">AK140-AK195</f>
        <v>0</v>
      </c>
      <c r="AL250" s="19">
        <f t="shared" ref="AL250:AM250" si="2038">AL140-AL195</f>
        <v>0</v>
      </c>
      <c r="AM250" s="19">
        <f t="shared" si="2038"/>
        <v>0</v>
      </c>
      <c r="AN250" s="19">
        <f t="shared" ref="AN250:AO250" si="2039">AN140-AN195</f>
        <v>0</v>
      </c>
      <c r="AO250" s="19">
        <f t="shared" si="2039"/>
        <v>0</v>
      </c>
      <c r="AP250" s="19">
        <f t="shared" ref="AP250:AQ250" si="2040">AP140-AP195</f>
        <v>0</v>
      </c>
      <c r="AQ250" s="19">
        <f t="shared" si="2040"/>
        <v>0</v>
      </c>
      <c r="AR250" s="19">
        <f t="shared" ref="AR250:AS250" si="2041">AR140-AR195</f>
        <v>0</v>
      </c>
      <c r="AS250" s="19">
        <f t="shared" si="2041"/>
        <v>0</v>
      </c>
      <c r="AU250" s="19"/>
      <c r="AV250" s="19"/>
      <c r="AW250" s="19"/>
      <c r="AX250" s="19">
        <f t="shared" si="1894"/>
        <v>4900</v>
      </c>
      <c r="AY250" s="19">
        <f t="shared" ref="AY250" si="2042">AY140-AY195</f>
        <v>7400</v>
      </c>
      <c r="AZ250" s="19">
        <f t="shared" si="1896"/>
        <v>6900</v>
      </c>
      <c r="BA250" s="19">
        <f t="shared" si="1897"/>
        <v>4500</v>
      </c>
      <c r="BB250" s="19">
        <f t="shared" si="1898"/>
        <v>3200</v>
      </c>
      <c r="BC250" s="19">
        <f t="shared" si="1899"/>
        <v>2400</v>
      </c>
      <c r="BD250" s="19">
        <f t="shared" si="1900"/>
        <v>1300</v>
      </c>
      <c r="BE250" s="19">
        <f t="shared" si="1901"/>
        <v>2600</v>
      </c>
      <c r="BF250" s="19">
        <f t="shared" si="1902"/>
        <v>2900</v>
      </c>
      <c r="BG250" s="19">
        <f t="shared" si="1903"/>
        <v>2400</v>
      </c>
      <c r="BH250" s="19">
        <f t="shared" si="1904"/>
        <v>3200</v>
      </c>
      <c r="BI250" s="19">
        <f t="shared" si="1905"/>
        <v>8300</v>
      </c>
      <c r="BJ250" s="19">
        <f t="shared" si="1906"/>
        <v>10100</v>
      </c>
      <c r="BK250" s="19">
        <f t="shared" si="1907"/>
        <v>5800</v>
      </c>
      <c r="BL250" s="19">
        <f t="shared" si="1908"/>
        <v>6300</v>
      </c>
      <c r="BM250" s="19">
        <f t="shared" si="1909"/>
        <v>0</v>
      </c>
      <c r="BN250" s="19">
        <f t="shared" si="1910"/>
        <v>0</v>
      </c>
      <c r="BO250" s="20">
        <f t="shared" si="1911"/>
        <v>0</v>
      </c>
      <c r="BP250" s="19">
        <f t="shared" si="1912"/>
        <v>0</v>
      </c>
      <c r="BQ250" s="19">
        <f t="shared" si="1913"/>
        <v>0</v>
      </c>
      <c r="BR250" s="19">
        <f t="shared" si="1914"/>
        <v>0</v>
      </c>
      <c r="BS250" s="19">
        <f t="shared" si="1915"/>
        <v>0</v>
      </c>
      <c r="BT250" s="19">
        <f t="shared" si="1916"/>
        <v>0</v>
      </c>
    </row>
    <row r="251" spans="1:72" ht="12" customHeight="1" outlineLevel="1">
      <c r="B251" s="1" t="s">
        <v>171</v>
      </c>
      <c r="D251" s="19">
        <f t="shared" ref="D251:H251" si="2043">D141-D196</f>
        <v>1400</v>
      </c>
      <c r="E251" s="19">
        <f t="shared" si="2043"/>
        <v>1200</v>
      </c>
      <c r="F251" s="19">
        <f t="shared" si="2043"/>
        <v>1200</v>
      </c>
      <c r="G251" s="19">
        <f t="shared" si="2043"/>
        <v>700</v>
      </c>
      <c r="H251" s="19">
        <f t="shared" si="2043"/>
        <v>0</v>
      </c>
      <c r="I251" s="19">
        <f t="shared" ref="I251:K251" si="2044">I141-I196</f>
        <v>0</v>
      </c>
      <c r="J251" s="19">
        <f t="shared" si="2044"/>
        <v>0</v>
      </c>
      <c r="K251" s="19">
        <f t="shared" si="2044"/>
        <v>0</v>
      </c>
      <c r="L251" s="19">
        <f t="shared" ref="L251:M251" si="2045">L141-L196</f>
        <v>0</v>
      </c>
      <c r="M251" s="19">
        <f t="shared" si="2045"/>
        <v>0</v>
      </c>
      <c r="N251" s="19">
        <f t="shared" ref="N251" si="2046">N141-N196</f>
        <v>0</v>
      </c>
      <c r="O251" s="19">
        <f t="shared" ref="O251:P251" si="2047">O141-O196</f>
        <v>0</v>
      </c>
      <c r="P251" s="19">
        <f t="shared" si="2047"/>
        <v>0</v>
      </c>
      <c r="Q251" s="19">
        <f t="shared" ref="Q251:R251" si="2048">Q141-Q196</f>
        <v>0</v>
      </c>
      <c r="R251" s="19">
        <f t="shared" si="2048"/>
        <v>0</v>
      </c>
      <c r="S251" s="19">
        <f t="shared" ref="S251:T251" si="2049">S141-S196</f>
        <v>0</v>
      </c>
      <c r="T251" s="19">
        <f t="shared" si="2049"/>
        <v>0</v>
      </c>
      <c r="U251" s="19">
        <f t="shared" ref="U251:V251" si="2050">U141-U196</f>
        <v>0</v>
      </c>
      <c r="V251" s="19">
        <f t="shared" si="2050"/>
        <v>0</v>
      </c>
      <c r="W251" s="19">
        <f t="shared" ref="W251:X251" si="2051">W141-W196</f>
        <v>0</v>
      </c>
      <c r="X251" s="19">
        <f t="shared" si="2051"/>
        <v>0</v>
      </c>
      <c r="Y251" s="19">
        <f t="shared" ref="Y251:Z251" si="2052">Y141-Y196</f>
        <v>0</v>
      </c>
      <c r="Z251" s="19">
        <f t="shared" si="2052"/>
        <v>0</v>
      </c>
      <c r="AA251" s="19">
        <f t="shared" ref="AA251:AB251" si="2053">AA141-AA196</f>
        <v>0</v>
      </c>
      <c r="AB251" s="19">
        <f t="shared" si="2053"/>
        <v>0</v>
      </c>
      <c r="AC251" s="19">
        <f t="shared" ref="AC251:AD251" si="2054">AC141-AC196</f>
        <v>0</v>
      </c>
      <c r="AD251" s="19">
        <f t="shared" si="2054"/>
        <v>0</v>
      </c>
      <c r="AE251" s="19">
        <f t="shared" ref="AE251:AF251" si="2055">AE141-AE196</f>
        <v>0</v>
      </c>
      <c r="AF251" s="19">
        <f t="shared" si="2055"/>
        <v>0</v>
      </c>
      <c r="AG251" s="19">
        <f t="shared" ref="AG251:AH251" si="2056">AG141-AG196</f>
        <v>0</v>
      </c>
      <c r="AH251" s="19">
        <f t="shared" si="2056"/>
        <v>0</v>
      </c>
      <c r="AI251" s="19">
        <f t="shared" ref="AI251:AJ251" si="2057">AI141-AI196</f>
        <v>0</v>
      </c>
      <c r="AJ251" s="20">
        <f t="shared" si="2057"/>
        <v>0</v>
      </c>
      <c r="AK251" s="19">
        <f t="shared" ref="AK251" si="2058">AK141-AK196</f>
        <v>0</v>
      </c>
      <c r="AL251" s="19">
        <f t="shared" ref="AL251:AM251" si="2059">AL141-AL196</f>
        <v>0</v>
      </c>
      <c r="AM251" s="19">
        <f t="shared" si="2059"/>
        <v>0</v>
      </c>
      <c r="AN251" s="19">
        <f t="shared" ref="AN251:AO251" si="2060">AN141-AN196</f>
        <v>0</v>
      </c>
      <c r="AO251" s="19">
        <f t="shared" si="2060"/>
        <v>0</v>
      </c>
      <c r="AP251" s="19">
        <f t="shared" ref="AP251:AQ251" si="2061">AP141-AP196</f>
        <v>0</v>
      </c>
      <c r="AQ251" s="19">
        <f t="shared" si="2061"/>
        <v>0</v>
      </c>
      <c r="AR251" s="19">
        <f t="shared" ref="AR251:AS251" si="2062">AR141-AR196</f>
        <v>0</v>
      </c>
      <c r="AS251" s="19">
        <f t="shared" si="2062"/>
        <v>0</v>
      </c>
      <c r="AU251" s="19"/>
      <c r="AV251" s="19"/>
      <c r="AW251" s="19"/>
      <c r="AX251" s="19">
        <f t="shared" si="1894"/>
        <v>8800</v>
      </c>
      <c r="AY251" s="19">
        <f t="shared" ref="AY251" si="2063">AY141-AY196</f>
        <v>3800</v>
      </c>
      <c r="AZ251" s="19">
        <f t="shared" si="1896"/>
        <v>1200</v>
      </c>
      <c r="BA251" s="19">
        <f t="shared" si="1897"/>
        <v>700</v>
      </c>
      <c r="BB251" s="19">
        <f t="shared" si="1898"/>
        <v>0</v>
      </c>
      <c r="BC251" s="19">
        <f t="shared" si="1899"/>
        <v>0</v>
      </c>
      <c r="BD251" s="19">
        <f t="shared" si="1900"/>
        <v>0</v>
      </c>
      <c r="BE251" s="19">
        <f t="shared" si="1901"/>
        <v>0</v>
      </c>
      <c r="BF251" s="19">
        <f t="shared" si="1902"/>
        <v>0</v>
      </c>
      <c r="BG251" s="19">
        <f t="shared" si="1903"/>
        <v>0</v>
      </c>
      <c r="BH251" s="19">
        <f t="shared" si="1904"/>
        <v>0</v>
      </c>
      <c r="BI251" s="19">
        <f t="shared" si="1905"/>
        <v>0</v>
      </c>
      <c r="BJ251" s="19">
        <f t="shared" si="1906"/>
        <v>0</v>
      </c>
      <c r="BK251" s="19">
        <f t="shared" si="1907"/>
        <v>0</v>
      </c>
      <c r="BL251" s="19">
        <f t="shared" si="1908"/>
        <v>0</v>
      </c>
      <c r="BM251" s="19">
        <f t="shared" si="1909"/>
        <v>0</v>
      </c>
      <c r="BN251" s="19">
        <f t="shared" si="1910"/>
        <v>0</v>
      </c>
      <c r="BO251" s="20">
        <f t="shared" si="1911"/>
        <v>0</v>
      </c>
      <c r="BP251" s="19">
        <f t="shared" si="1912"/>
        <v>0</v>
      </c>
      <c r="BQ251" s="19">
        <f t="shared" si="1913"/>
        <v>0</v>
      </c>
      <c r="BR251" s="19">
        <f t="shared" si="1914"/>
        <v>0</v>
      </c>
      <c r="BS251" s="19">
        <f t="shared" si="1915"/>
        <v>0</v>
      </c>
      <c r="BT251" s="19">
        <f t="shared" si="1916"/>
        <v>0</v>
      </c>
    </row>
    <row r="252" spans="1:72" ht="12" customHeight="1" outlineLevel="1">
      <c r="B252" s="1" t="s">
        <v>182</v>
      </c>
      <c r="D252" s="19">
        <f t="shared" ref="D252:H252" si="2064">D142-D197</f>
        <v>0</v>
      </c>
      <c r="E252" s="19">
        <f t="shared" si="2064"/>
        <v>0</v>
      </c>
      <c r="F252" s="19">
        <f t="shared" si="2064"/>
        <v>0</v>
      </c>
      <c r="G252" s="19">
        <f t="shared" si="2064"/>
        <v>0</v>
      </c>
      <c r="H252" s="19">
        <f t="shared" si="2064"/>
        <v>0</v>
      </c>
      <c r="I252" s="19">
        <f t="shared" ref="I252:K252" si="2065">I142-I197</f>
        <v>0</v>
      </c>
      <c r="J252" s="19">
        <f t="shared" si="2065"/>
        <v>0</v>
      </c>
      <c r="K252" s="19">
        <f t="shared" si="2065"/>
        <v>0</v>
      </c>
      <c r="L252" s="19">
        <f t="shared" ref="L252:M252" si="2066">L142-L197</f>
        <v>0</v>
      </c>
      <c r="M252" s="19">
        <f t="shared" si="2066"/>
        <v>0</v>
      </c>
      <c r="N252" s="19">
        <f t="shared" ref="N252" si="2067">N142-N197</f>
        <v>0</v>
      </c>
      <c r="O252" s="19">
        <f t="shared" ref="O252:P252" si="2068">O142-O197</f>
        <v>0</v>
      </c>
      <c r="P252" s="19">
        <f t="shared" si="2068"/>
        <v>0</v>
      </c>
      <c r="Q252" s="19">
        <f t="shared" ref="Q252:R252" si="2069">Q142-Q197</f>
        <v>0</v>
      </c>
      <c r="R252" s="19">
        <f t="shared" si="2069"/>
        <v>0</v>
      </c>
      <c r="S252" s="19">
        <f t="shared" ref="S252:T252" si="2070">S142-S197</f>
        <v>0</v>
      </c>
      <c r="T252" s="19">
        <f t="shared" si="2070"/>
        <v>0</v>
      </c>
      <c r="U252" s="19">
        <f t="shared" ref="U252:V252" si="2071">U142-U197</f>
        <v>0</v>
      </c>
      <c r="V252" s="19">
        <f t="shared" si="2071"/>
        <v>0</v>
      </c>
      <c r="W252" s="19">
        <f t="shared" ref="W252:X252" si="2072">W142-W197</f>
        <v>0</v>
      </c>
      <c r="X252" s="19">
        <f t="shared" si="2072"/>
        <v>0</v>
      </c>
      <c r="Y252" s="19">
        <f t="shared" ref="Y252:Z252" si="2073">Y142-Y197</f>
        <v>0</v>
      </c>
      <c r="Z252" s="19">
        <f t="shared" si="2073"/>
        <v>0</v>
      </c>
      <c r="AA252" s="19">
        <f t="shared" ref="AA252:AB252" si="2074">AA142-AA197</f>
        <v>0</v>
      </c>
      <c r="AB252" s="19">
        <f t="shared" si="2074"/>
        <v>0</v>
      </c>
      <c r="AC252" s="19">
        <f t="shared" ref="AC252:AD252" si="2075">AC142-AC197</f>
        <v>0</v>
      </c>
      <c r="AD252" s="19">
        <f t="shared" si="2075"/>
        <v>0</v>
      </c>
      <c r="AE252" s="19">
        <f t="shared" ref="AE252:AF252" si="2076">AE142-AE197</f>
        <v>0</v>
      </c>
      <c r="AF252" s="19">
        <f t="shared" si="2076"/>
        <v>0</v>
      </c>
      <c r="AG252" s="19">
        <f t="shared" ref="AG252:AH252" si="2077">AG142-AG197</f>
        <v>0</v>
      </c>
      <c r="AH252" s="19">
        <f t="shared" si="2077"/>
        <v>-1000</v>
      </c>
      <c r="AI252" s="19">
        <f t="shared" ref="AI252:AJ252" si="2078">AI142-AI197</f>
        <v>0</v>
      </c>
      <c r="AJ252" s="20">
        <f t="shared" si="2078"/>
        <v>0</v>
      </c>
      <c r="AK252" s="19">
        <f t="shared" ref="AK252" si="2079">AK142-AK197</f>
        <v>0</v>
      </c>
      <c r="AL252" s="19">
        <f t="shared" ref="AL252:AM252" si="2080">AL142-AL197</f>
        <v>0</v>
      </c>
      <c r="AM252" s="19">
        <f t="shared" si="2080"/>
        <v>0</v>
      </c>
      <c r="AN252" s="19">
        <f t="shared" ref="AN252:AO252" si="2081">AN142-AN197</f>
        <v>0</v>
      </c>
      <c r="AO252" s="19">
        <f t="shared" si="2081"/>
        <v>0</v>
      </c>
      <c r="AP252" s="19">
        <f t="shared" ref="AP252:AQ252" si="2082">AP142-AP197</f>
        <v>0</v>
      </c>
      <c r="AQ252" s="19">
        <f t="shared" si="2082"/>
        <v>0</v>
      </c>
      <c r="AR252" s="19">
        <f t="shared" ref="AR252:AS252" si="2083">AR142-AR197</f>
        <v>0</v>
      </c>
      <c r="AS252" s="19">
        <f t="shared" si="2083"/>
        <v>0</v>
      </c>
      <c r="AU252" s="19"/>
      <c r="AV252" s="19"/>
      <c r="AW252" s="19"/>
      <c r="AX252" s="19">
        <f t="shared" si="1894"/>
        <v>200</v>
      </c>
      <c r="AY252" s="19">
        <f t="shared" ref="AY252" si="2084">AY142-AY197</f>
        <v>0</v>
      </c>
      <c r="AZ252" s="19">
        <f t="shared" si="1896"/>
        <v>0</v>
      </c>
      <c r="BA252" s="19">
        <f t="shared" si="1897"/>
        <v>0</v>
      </c>
      <c r="BB252" s="19">
        <f t="shared" si="1898"/>
        <v>0</v>
      </c>
      <c r="BC252" s="19">
        <f t="shared" si="1899"/>
        <v>0</v>
      </c>
      <c r="BD252" s="19">
        <f t="shared" si="1900"/>
        <v>0</v>
      </c>
      <c r="BE252" s="19">
        <f t="shared" si="1901"/>
        <v>0</v>
      </c>
      <c r="BF252" s="19">
        <f t="shared" si="1902"/>
        <v>0</v>
      </c>
      <c r="BG252" s="19">
        <f t="shared" si="1903"/>
        <v>0</v>
      </c>
      <c r="BH252" s="19">
        <f t="shared" si="1904"/>
        <v>0</v>
      </c>
      <c r="BI252" s="19">
        <f t="shared" si="1905"/>
        <v>0</v>
      </c>
      <c r="BJ252" s="19">
        <f t="shared" si="1906"/>
        <v>0</v>
      </c>
      <c r="BK252" s="19">
        <f t="shared" si="1907"/>
        <v>0</v>
      </c>
      <c r="BL252" s="19">
        <f t="shared" si="1908"/>
        <v>0</v>
      </c>
      <c r="BM252" s="19">
        <f t="shared" si="1909"/>
        <v>0</v>
      </c>
      <c r="BN252" s="19">
        <f t="shared" si="1910"/>
        <v>0</v>
      </c>
      <c r="BO252" s="20">
        <f t="shared" si="1911"/>
        <v>0</v>
      </c>
      <c r="BP252" s="19">
        <f t="shared" si="1912"/>
        <v>0</v>
      </c>
      <c r="BQ252" s="19">
        <f t="shared" si="1913"/>
        <v>0</v>
      </c>
      <c r="BR252" s="19">
        <f t="shared" si="1914"/>
        <v>0</v>
      </c>
      <c r="BS252" s="19">
        <f t="shared" si="1915"/>
        <v>0</v>
      </c>
      <c r="BT252" s="19">
        <f t="shared" si="1916"/>
        <v>0</v>
      </c>
    </row>
    <row r="253" spans="1:72" ht="12" customHeight="1" outlineLevel="1">
      <c r="B253" s="1" t="s">
        <v>183</v>
      </c>
      <c r="D253" s="19">
        <f t="shared" ref="D253:H253" si="2085">D143-D198</f>
        <v>580</v>
      </c>
      <c r="E253" s="19">
        <f t="shared" si="2085"/>
        <v>631</v>
      </c>
      <c r="F253" s="19">
        <f t="shared" si="2085"/>
        <v>607</v>
      </c>
      <c r="G253" s="19">
        <f t="shared" si="2085"/>
        <v>968</v>
      </c>
      <c r="H253" s="19">
        <f t="shared" si="2085"/>
        <v>1036</v>
      </c>
      <c r="I253" s="19">
        <f t="shared" ref="I253:K253" si="2086">I143-I198</f>
        <v>968</v>
      </c>
      <c r="J253" s="19">
        <f t="shared" si="2086"/>
        <v>1401</v>
      </c>
      <c r="K253" s="19">
        <f t="shared" si="2086"/>
        <v>445</v>
      </c>
      <c r="L253" s="19">
        <f t="shared" ref="L253:M253" si="2087">L143-L198</f>
        <v>1781</v>
      </c>
      <c r="M253" s="19">
        <f t="shared" si="2087"/>
        <v>986</v>
      </c>
      <c r="N253" s="19">
        <f t="shared" ref="N253" si="2088">N143-N198</f>
        <v>1084</v>
      </c>
      <c r="O253" s="19">
        <f t="shared" ref="O253:P253" si="2089">O143-O198</f>
        <v>1204</v>
      </c>
      <c r="P253" s="19">
        <f t="shared" si="2089"/>
        <v>1183</v>
      </c>
      <c r="Q253" s="19">
        <f t="shared" ref="Q253:R253" si="2090">Q143-Q198</f>
        <v>1093</v>
      </c>
      <c r="R253" s="19">
        <f t="shared" si="2090"/>
        <v>1288</v>
      </c>
      <c r="S253" s="19">
        <f t="shared" ref="S253:T253" si="2091">S143-S198</f>
        <v>1146</v>
      </c>
      <c r="T253" s="19">
        <f t="shared" si="2091"/>
        <v>1152</v>
      </c>
      <c r="U253" s="19">
        <f t="shared" ref="U253:V253" si="2092">U143-U198</f>
        <v>2552</v>
      </c>
      <c r="V253" s="19">
        <f t="shared" si="2092"/>
        <v>2949</v>
      </c>
      <c r="W253" s="19">
        <f t="shared" ref="W253:X253" si="2093">W143-W198</f>
        <v>3948</v>
      </c>
      <c r="X253" s="19">
        <f t="shared" si="2093"/>
        <v>4092</v>
      </c>
      <c r="Y253" s="19">
        <f t="shared" ref="Y253:Z253" si="2094">Y143-Y198</f>
        <v>3946</v>
      </c>
      <c r="Z253" s="19">
        <f t="shared" si="2094"/>
        <v>4192</v>
      </c>
      <c r="AA253" s="19">
        <f t="shared" ref="AA253:AB253" si="2095">AA143-AA198</f>
        <v>4352</v>
      </c>
      <c r="AB253" s="19">
        <f t="shared" si="2095"/>
        <v>5036</v>
      </c>
      <c r="AC253" s="19">
        <f t="shared" ref="AC253:AD253" si="2096">AC143-AC198</f>
        <v>4939</v>
      </c>
      <c r="AD253" s="19">
        <f t="shared" si="2096"/>
        <v>5784</v>
      </c>
      <c r="AE253" s="19">
        <f t="shared" ref="AE253:AF253" si="2097">AE143-AE198</f>
        <v>5816</v>
      </c>
      <c r="AF253" s="19">
        <f t="shared" si="2097"/>
        <v>5860</v>
      </c>
      <c r="AG253" s="19">
        <f t="shared" ref="AG253:AH253" si="2098">AG143-AG198</f>
        <v>5718</v>
      </c>
      <c r="AH253" s="19">
        <f t="shared" si="2098"/>
        <v>7554</v>
      </c>
      <c r="AI253" s="19">
        <f t="shared" ref="AI253:AJ253" si="2099">AI143-AI198</f>
        <v>6493</v>
      </c>
      <c r="AJ253" s="20">
        <f t="shared" si="2099"/>
        <v>10852</v>
      </c>
      <c r="AK253" s="19">
        <f t="shared" ref="AK253" si="2100">AK143-AK198</f>
        <v>10852</v>
      </c>
      <c r="AL253" s="19">
        <f t="shared" ref="AL253:AM253" si="2101">AL143-AL198</f>
        <v>10852</v>
      </c>
      <c r="AM253" s="19">
        <f t="shared" si="2101"/>
        <v>10852</v>
      </c>
      <c r="AN253" s="19">
        <f t="shared" ref="AN253:AO253" si="2102">AN143-AN198</f>
        <v>10852</v>
      </c>
      <c r="AO253" s="19">
        <f t="shared" si="2102"/>
        <v>10852</v>
      </c>
      <c r="AP253" s="19">
        <f t="shared" ref="AP253:AQ253" si="2103">AP143-AP198</f>
        <v>10852</v>
      </c>
      <c r="AQ253" s="19">
        <f t="shared" si="2103"/>
        <v>10852</v>
      </c>
      <c r="AR253" s="19">
        <f t="shared" ref="AR253:AS253" si="2104">AR143-AR198</f>
        <v>10852</v>
      </c>
      <c r="AS253" s="19">
        <f t="shared" si="2104"/>
        <v>10852</v>
      </c>
      <c r="AU253" s="19"/>
      <c r="AV253" s="19"/>
      <c r="AW253" s="19"/>
      <c r="AX253" s="19">
        <f t="shared" si="1894"/>
        <v>-61</v>
      </c>
      <c r="AY253" s="19">
        <f t="shared" ref="AY253" si="2105">AY143-AY198</f>
        <v>-360</v>
      </c>
      <c r="AZ253" s="19">
        <f t="shared" si="1896"/>
        <v>631</v>
      </c>
      <c r="BA253" s="19">
        <f t="shared" si="1897"/>
        <v>968</v>
      </c>
      <c r="BB253" s="19">
        <f t="shared" si="1898"/>
        <v>968</v>
      </c>
      <c r="BC253" s="19">
        <f t="shared" si="1899"/>
        <v>445</v>
      </c>
      <c r="BD253" s="19">
        <f t="shared" si="1900"/>
        <v>986</v>
      </c>
      <c r="BE253" s="19">
        <f t="shared" si="1901"/>
        <v>1204</v>
      </c>
      <c r="BF253" s="19">
        <f t="shared" si="1902"/>
        <v>1093</v>
      </c>
      <c r="BG253" s="19">
        <f t="shared" si="1903"/>
        <v>1146</v>
      </c>
      <c r="BH253" s="19">
        <f t="shared" si="1904"/>
        <v>2552</v>
      </c>
      <c r="BI253" s="19">
        <f t="shared" si="1905"/>
        <v>3948</v>
      </c>
      <c r="BJ253" s="19">
        <f t="shared" si="1906"/>
        <v>3946</v>
      </c>
      <c r="BK253" s="19">
        <f t="shared" si="1907"/>
        <v>4352</v>
      </c>
      <c r="BL253" s="19">
        <f t="shared" si="1908"/>
        <v>4939</v>
      </c>
      <c r="BM253" s="19">
        <f t="shared" si="1909"/>
        <v>5816</v>
      </c>
      <c r="BN253" s="19">
        <f t="shared" si="1910"/>
        <v>5718</v>
      </c>
      <c r="BO253" s="20">
        <f t="shared" si="1911"/>
        <v>6493</v>
      </c>
      <c r="BP253" s="19">
        <f t="shared" si="1912"/>
        <v>10852</v>
      </c>
      <c r="BQ253" s="19">
        <f t="shared" si="1913"/>
        <v>10852</v>
      </c>
      <c r="BR253" s="19">
        <f t="shared" si="1914"/>
        <v>10852</v>
      </c>
      <c r="BS253" s="19">
        <f t="shared" si="1915"/>
        <v>10852</v>
      </c>
      <c r="BT253" s="19">
        <f t="shared" si="1916"/>
        <v>10852</v>
      </c>
    </row>
    <row r="254" spans="1:72" ht="12" hidden="1" customHeight="1" outlineLevel="2">
      <c r="B254" s="1" t="s">
        <v>173</v>
      </c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20"/>
      <c r="AK254" s="19"/>
      <c r="AL254" s="19"/>
      <c r="AM254" s="19"/>
      <c r="AN254" s="19"/>
      <c r="AO254" s="19"/>
      <c r="AP254" s="19"/>
      <c r="AQ254" s="19"/>
      <c r="AR254" s="19"/>
      <c r="AS254" s="19"/>
      <c r="AU254" s="19"/>
      <c r="AV254" s="19"/>
      <c r="AW254" s="19"/>
      <c r="AX254" s="19"/>
      <c r="AY254" s="19"/>
      <c r="AZ254" s="19">
        <f t="shared" si="1896"/>
        <v>0</v>
      </c>
      <c r="BA254" s="19">
        <f t="shared" si="1897"/>
        <v>0</v>
      </c>
      <c r="BB254" s="19">
        <f t="shared" si="1898"/>
        <v>0</v>
      </c>
      <c r="BC254" s="19">
        <f t="shared" si="1899"/>
        <v>0</v>
      </c>
      <c r="BD254" s="19">
        <f t="shared" si="1900"/>
        <v>0</v>
      </c>
      <c r="BE254" s="19">
        <f t="shared" si="1901"/>
        <v>0</v>
      </c>
      <c r="BF254" s="19">
        <f t="shared" si="1902"/>
        <v>0</v>
      </c>
      <c r="BG254" s="19">
        <f t="shared" si="1903"/>
        <v>0</v>
      </c>
      <c r="BH254" s="19">
        <f t="shared" si="1904"/>
        <v>0</v>
      </c>
      <c r="BI254" s="19">
        <f t="shared" si="1905"/>
        <v>0</v>
      </c>
      <c r="BJ254" s="19">
        <f t="shared" si="1906"/>
        <v>0</v>
      </c>
      <c r="BK254" s="19">
        <f t="shared" si="1907"/>
        <v>0</v>
      </c>
      <c r="BL254" s="19">
        <f t="shared" si="1908"/>
        <v>0</v>
      </c>
      <c r="BM254" s="19">
        <f t="shared" si="1909"/>
        <v>0</v>
      </c>
      <c r="BN254" s="19">
        <f t="shared" si="1910"/>
        <v>0</v>
      </c>
      <c r="BO254" s="20">
        <f t="shared" si="1911"/>
        <v>0</v>
      </c>
      <c r="BP254" s="19">
        <f t="shared" si="1912"/>
        <v>0</v>
      </c>
      <c r="BQ254" s="19">
        <f t="shared" si="1913"/>
        <v>0</v>
      </c>
      <c r="BR254" s="19">
        <f t="shared" si="1914"/>
        <v>0</v>
      </c>
      <c r="BS254" s="19">
        <f t="shared" si="1915"/>
        <v>0</v>
      </c>
      <c r="BT254" s="19">
        <f t="shared" si="1916"/>
        <v>0</v>
      </c>
    </row>
    <row r="255" spans="1:72" ht="12" hidden="1" customHeight="1" outlineLevel="2">
      <c r="B255" s="1" t="s">
        <v>173</v>
      </c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20"/>
      <c r="AK255" s="19"/>
      <c r="AL255" s="19"/>
      <c r="AM255" s="19"/>
      <c r="AN255" s="19"/>
      <c r="AO255" s="19"/>
      <c r="AP255" s="19"/>
      <c r="AQ255" s="19"/>
      <c r="AR255" s="19"/>
      <c r="AS255" s="19"/>
      <c r="AU255" s="19"/>
      <c r="AV255" s="19"/>
      <c r="AW255" s="19"/>
      <c r="AX255" s="19"/>
      <c r="AY255" s="19"/>
      <c r="AZ255" s="19">
        <f t="shared" si="1896"/>
        <v>0</v>
      </c>
      <c r="BA255" s="19">
        <f t="shared" si="1897"/>
        <v>0</v>
      </c>
      <c r="BB255" s="19">
        <f t="shared" si="1898"/>
        <v>0</v>
      </c>
      <c r="BC255" s="19">
        <f t="shared" si="1899"/>
        <v>0</v>
      </c>
      <c r="BD255" s="19">
        <f t="shared" si="1900"/>
        <v>0</v>
      </c>
      <c r="BE255" s="19">
        <f t="shared" si="1901"/>
        <v>0</v>
      </c>
      <c r="BF255" s="19">
        <f t="shared" si="1902"/>
        <v>0</v>
      </c>
      <c r="BG255" s="19">
        <f t="shared" si="1903"/>
        <v>0</v>
      </c>
      <c r="BH255" s="19">
        <f t="shared" si="1904"/>
        <v>0</v>
      </c>
      <c r="BI255" s="19">
        <f t="shared" si="1905"/>
        <v>0</v>
      </c>
      <c r="BJ255" s="19">
        <f t="shared" si="1906"/>
        <v>0</v>
      </c>
      <c r="BK255" s="19">
        <f t="shared" si="1907"/>
        <v>0</v>
      </c>
      <c r="BL255" s="19">
        <f t="shared" si="1908"/>
        <v>0</v>
      </c>
      <c r="BM255" s="19">
        <f t="shared" si="1909"/>
        <v>0</v>
      </c>
      <c r="BN255" s="19">
        <f t="shared" si="1910"/>
        <v>0</v>
      </c>
      <c r="BO255" s="20">
        <f t="shared" si="1911"/>
        <v>0</v>
      </c>
      <c r="BP255" s="19">
        <f t="shared" si="1912"/>
        <v>0</v>
      </c>
      <c r="BQ255" s="19">
        <f t="shared" si="1913"/>
        <v>0</v>
      </c>
      <c r="BR255" s="19">
        <f t="shared" si="1914"/>
        <v>0</v>
      </c>
      <c r="BS255" s="19">
        <f t="shared" si="1915"/>
        <v>0</v>
      </c>
      <c r="BT255" s="19">
        <f t="shared" si="1916"/>
        <v>0</v>
      </c>
    </row>
    <row r="256" spans="1:72" ht="12" hidden="1" customHeight="1" outlineLevel="2">
      <c r="B256" s="1" t="s">
        <v>173</v>
      </c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20"/>
      <c r="AK256" s="19"/>
      <c r="AL256" s="19"/>
      <c r="AM256" s="19"/>
      <c r="AN256" s="19"/>
      <c r="AO256" s="19"/>
      <c r="AP256" s="19"/>
      <c r="AQ256" s="19"/>
      <c r="AR256" s="19"/>
      <c r="AS256" s="19"/>
      <c r="AU256" s="19"/>
      <c r="AV256" s="19"/>
      <c r="AW256" s="19"/>
      <c r="AX256" s="19"/>
      <c r="AY256" s="19"/>
      <c r="AZ256" s="19">
        <f t="shared" si="1896"/>
        <v>0</v>
      </c>
      <c r="BA256" s="19">
        <f t="shared" si="1897"/>
        <v>0</v>
      </c>
      <c r="BB256" s="19">
        <f t="shared" si="1898"/>
        <v>0</v>
      </c>
      <c r="BC256" s="19">
        <f t="shared" si="1899"/>
        <v>0</v>
      </c>
      <c r="BD256" s="19">
        <f t="shared" si="1900"/>
        <v>0</v>
      </c>
      <c r="BE256" s="19">
        <f t="shared" si="1901"/>
        <v>0</v>
      </c>
      <c r="BF256" s="19">
        <f t="shared" si="1902"/>
        <v>0</v>
      </c>
      <c r="BG256" s="19">
        <f t="shared" si="1903"/>
        <v>0</v>
      </c>
      <c r="BH256" s="19">
        <f t="shared" si="1904"/>
        <v>0</v>
      </c>
      <c r="BI256" s="19">
        <f t="shared" si="1905"/>
        <v>0</v>
      </c>
      <c r="BJ256" s="19">
        <f t="shared" si="1906"/>
        <v>0</v>
      </c>
      <c r="BK256" s="19">
        <f t="shared" si="1907"/>
        <v>0</v>
      </c>
      <c r="BL256" s="19">
        <f t="shared" si="1908"/>
        <v>0</v>
      </c>
      <c r="BM256" s="19">
        <f t="shared" si="1909"/>
        <v>0</v>
      </c>
      <c r="BN256" s="19">
        <f t="shared" si="1910"/>
        <v>0</v>
      </c>
      <c r="BO256" s="20">
        <f t="shared" si="1911"/>
        <v>0</v>
      </c>
      <c r="BP256" s="19">
        <f t="shared" si="1912"/>
        <v>0</v>
      </c>
      <c r="BQ256" s="19">
        <f t="shared" si="1913"/>
        <v>0</v>
      </c>
      <c r="BR256" s="19">
        <f t="shared" si="1914"/>
        <v>0</v>
      </c>
      <c r="BS256" s="19">
        <f t="shared" si="1915"/>
        <v>0</v>
      </c>
      <c r="BT256" s="19">
        <f t="shared" si="1916"/>
        <v>0</v>
      </c>
    </row>
    <row r="257" spans="1:72" ht="12" hidden="1" customHeight="1" outlineLevel="2">
      <c r="B257" s="1" t="s">
        <v>173</v>
      </c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20"/>
      <c r="AK257" s="19"/>
      <c r="AL257" s="19"/>
      <c r="AM257" s="19"/>
      <c r="AN257" s="19"/>
      <c r="AO257" s="19"/>
      <c r="AP257" s="19"/>
      <c r="AQ257" s="19"/>
      <c r="AR257" s="19"/>
      <c r="AS257" s="19"/>
      <c r="AU257" s="19"/>
      <c r="AV257" s="19"/>
      <c r="AW257" s="19"/>
      <c r="AX257" s="19"/>
      <c r="AY257" s="19"/>
      <c r="AZ257" s="19">
        <f t="shared" si="1896"/>
        <v>0</v>
      </c>
      <c r="BA257" s="19">
        <f t="shared" si="1897"/>
        <v>0</v>
      </c>
      <c r="BB257" s="19">
        <f t="shared" si="1898"/>
        <v>0</v>
      </c>
      <c r="BC257" s="19">
        <f t="shared" si="1899"/>
        <v>0</v>
      </c>
      <c r="BD257" s="19">
        <f t="shared" si="1900"/>
        <v>0</v>
      </c>
      <c r="BE257" s="19">
        <f t="shared" si="1901"/>
        <v>0</v>
      </c>
      <c r="BF257" s="19">
        <f t="shared" si="1902"/>
        <v>0</v>
      </c>
      <c r="BG257" s="19">
        <f t="shared" si="1903"/>
        <v>0</v>
      </c>
      <c r="BH257" s="19">
        <f t="shared" si="1904"/>
        <v>0</v>
      </c>
      <c r="BI257" s="19">
        <f t="shared" si="1905"/>
        <v>0</v>
      </c>
      <c r="BJ257" s="19">
        <f t="shared" si="1906"/>
        <v>0</v>
      </c>
      <c r="BK257" s="19">
        <f t="shared" si="1907"/>
        <v>0</v>
      </c>
      <c r="BL257" s="19">
        <f t="shared" si="1908"/>
        <v>0</v>
      </c>
      <c r="BM257" s="19">
        <f t="shared" si="1909"/>
        <v>0</v>
      </c>
      <c r="BN257" s="19">
        <f t="shared" si="1910"/>
        <v>0</v>
      </c>
      <c r="BO257" s="20">
        <f t="shared" si="1911"/>
        <v>0</v>
      </c>
      <c r="BP257" s="19">
        <f t="shared" si="1912"/>
        <v>0</v>
      </c>
      <c r="BQ257" s="19">
        <f t="shared" si="1913"/>
        <v>0</v>
      </c>
      <c r="BR257" s="19">
        <f t="shared" si="1914"/>
        <v>0</v>
      </c>
      <c r="BS257" s="19">
        <f t="shared" si="1915"/>
        <v>0</v>
      </c>
      <c r="BT257" s="19">
        <f t="shared" si="1916"/>
        <v>0</v>
      </c>
    </row>
    <row r="258" spans="1:72" ht="12" hidden="1" customHeight="1" outlineLevel="2">
      <c r="A258" s="1"/>
      <c r="B258" s="1" t="s">
        <v>173</v>
      </c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20"/>
      <c r="AK258" s="19"/>
      <c r="AL258" s="19"/>
      <c r="AM258" s="19"/>
      <c r="AN258" s="19"/>
      <c r="AO258" s="19"/>
      <c r="AP258" s="19"/>
      <c r="AQ258" s="19"/>
      <c r="AR258" s="19"/>
      <c r="AS258" s="19"/>
      <c r="AU258" s="19"/>
      <c r="AV258" s="19"/>
      <c r="AW258" s="19"/>
      <c r="AX258" s="19"/>
      <c r="AY258" s="19"/>
      <c r="AZ258" s="19">
        <f t="shared" si="1896"/>
        <v>0</v>
      </c>
      <c r="BA258" s="19">
        <f t="shared" si="1897"/>
        <v>0</v>
      </c>
      <c r="BB258" s="19">
        <f t="shared" si="1898"/>
        <v>0</v>
      </c>
      <c r="BC258" s="19">
        <f t="shared" si="1899"/>
        <v>0</v>
      </c>
      <c r="BD258" s="19">
        <f t="shared" si="1900"/>
        <v>0</v>
      </c>
      <c r="BE258" s="19">
        <f t="shared" si="1901"/>
        <v>0</v>
      </c>
      <c r="BF258" s="19">
        <f t="shared" si="1902"/>
        <v>0</v>
      </c>
      <c r="BG258" s="19">
        <f t="shared" si="1903"/>
        <v>0</v>
      </c>
      <c r="BH258" s="19">
        <f t="shared" si="1904"/>
        <v>0</v>
      </c>
      <c r="BI258" s="19">
        <f t="shared" si="1905"/>
        <v>0</v>
      </c>
      <c r="BJ258" s="19">
        <f t="shared" si="1906"/>
        <v>0</v>
      </c>
      <c r="BK258" s="19">
        <f t="shared" si="1907"/>
        <v>0</v>
      </c>
      <c r="BL258" s="19">
        <f t="shared" si="1908"/>
        <v>0</v>
      </c>
      <c r="BM258" s="19">
        <f t="shared" si="1909"/>
        <v>0</v>
      </c>
      <c r="BN258" s="19">
        <f t="shared" si="1910"/>
        <v>0</v>
      </c>
      <c r="BO258" s="20">
        <f t="shared" si="1911"/>
        <v>0</v>
      </c>
      <c r="BP258" s="19">
        <f t="shared" si="1912"/>
        <v>0</v>
      </c>
      <c r="BQ258" s="19">
        <f t="shared" si="1913"/>
        <v>0</v>
      </c>
      <c r="BR258" s="19">
        <f t="shared" si="1914"/>
        <v>0</v>
      </c>
      <c r="BS258" s="19">
        <f t="shared" si="1915"/>
        <v>0</v>
      </c>
      <c r="BT258" s="19">
        <f t="shared" si="1916"/>
        <v>0</v>
      </c>
    </row>
    <row r="259" spans="1:72" ht="12" hidden="1" customHeight="1" outlineLevel="2">
      <c r="A259" s="1"/>
      <c r="B259" s="1" t="s">
        <v>173</v>
      </c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20"/>
      <c r="AK259" s="19"/>
      <c r="AL259" s="19"/>
      <c r="AM259" s="19"/>
      <c r="AN259" s="19"/>
      <c r="AO259" s="19"/>
      <c r="AP259" s="19"/>
      <c r="AQ259" s="19"/>
      <c r="AR259" s="19"/>
      <c r="AS259" s="19"/>
      <c r="AU259" s="19"/>
      <c r="AV259" s="19"/>
      <c r="AW259" s="19"/>
      <c r="AX259" s="19"/>
      <c r="AY259" s="19"/>
      <c r="AZ259" s="19">
        <f t="shared" si="1896"/>
        <v>0</v>
      </c>
      <c r="BA259" s="19">
        <f t="shared" si="1897"/>
        <v>0</v>
      </c>
      <c r="BB259" s="19">
        <f t="shared" si="1898"/>
        <v>0</v>
      </c>
      <c r="BC259" s="19">
        <f t="shared" si="1899"/>
        <v>0</v>
      </c>
      <c r="BD259" s="19">
        <f t="shared" si="1900"/>
        <v>0</v>
      </c>
      <c r="BE259" s="19">
        <f t="shared" si="1901"/>
        <v>0</v>
      </c>
      <c r="BF259" s="19">
        <f t="shared" si="1902"/>
        <v>0</v>
      </c>
      <c r="BG259" s="19">
        <f t="shared" si="1903"/>
        <v>0</v>
      </c>
      <c r="BH259" s="19">
        <f t="shared" si="1904"/>
        <v>0</v>
      </c>
      <c r="BI259" s="19">
        <f t="shared" si="1905"/>
        <v>0</v>
      </c>
      <c r="BJ259" s="19">
        <f t="shared" si="1906"/>
        <v>0</v>
      </c>
      <c r="BK259" s="19">
        <f t="shared" si="1907"/>
        <v>0</v>
      </c>
      <c r="BL259" s="19">
        <f t="shared" si="1908"/>
        <v>0</v>
      </c>
      <c r="BM259" s="19">
        <f t="shared" si="1909"/>
        <v>0</v>
      </c>
      <c r="BN259" s="19">
        <f t="shared" si="1910"/>
        <v>0</v>
      </c>
      <c r="BO259" s="20">
        <f t="shared" si="1911"/>
        <v>0</v>
      </c>
      <c r="BP259" s="19">
        <f t="shared" si="1912"/>
        <v>0</v>
      </c>
      <c r="BQ259" s="19">
        <f t="shared" si="1913"/>
        <v>0</v>
      </c>
      <c r="BR259" s="19">
        <f t="shared" si="1914"/>
        <v>0</v>
      </c>
      <c r="BS259" s="19">
        <f t="shared" si="1915"/>
        <v>0</v>
      </c>
      <c r="BT259" s="19">
        <f t="shared" si="1916"/>
        <v>0</v>
      </c>
    </row>
    <row r="260" spans="1:72" ht="12" hidden="1" customHeight="1" outlineLevel="2">
      <c r="A260" s="1"/>
      <c r="B260" s="1" t="s">
        <v>173</v>
      </c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20"/>
      <c r="AK260" s="19"/>
      <c r="AL260" s="19"/>
      <c r="AM260" s="19"/>
      <c r="AN260" s="19"/>
      <c r="AO260" s="19"/>
      <c r="AP260" s="19"/>
      <c r="AQ260" s="19"/>
      <c r="AR260" s="19"/>
      <c r="AS260" s="19"/>
      <c r="AU260" s="19"/>
      <c r="AV260" s="19"/>
      <c r="AW260" s="19"/>
      <c r="AX260" s="19"/>
      <c r="AY260" s="19"/>
      <c r="AZ260" s="19">
        <f t="shared" si="1896"/>
        <v>0</v>
      </c>
      <c r="BA260" s="19">
        <f t="shared" si="1897"/>
        <v>0</v>
      </c>
      <c r="BB260" s="19">
        <f t="shared" si="1898"/>
        <v>0</v>
      </c>
      <c r="BC260" s="19">
        <f t="shared" si="1899"/>
        <v>0</v>
      </c>
      <c r="BD260" s="19">
        <f t="shared" si="1900"/>
        <v>0</v>
      </c>
      <c r="BE260" s="19">
        <f t="shared" si="1901"/>
        <v>0</v>
      </c>
      <c r="BF260" s="19">
        <f t="shared" si="1902"/>
        <v>0</v>
      </c>
      <c r="BG260" s="19">
        <f t="shared" si="1903"/>
        <v>0</v>
      </c>
      <c r="BH260" s="19">
        <f t="shared" si="1904"/>
        <v>0</v>
      </c>
      <c r="BI260" s="19">
        <f t="shared" si="1905"/>
        <v>0</v>
      </c>
      <c r="BJ260" s="19">
        <f t="shared" si="1906"/>
        <v>0</v>
      </c>
      <c r="BK260" s="19">
        <f t="shared" si="1907"/>
        <v>0</v>
      </c>
      <c r="BL260" s="19">
        <f t="shared" si="1908"/>
        <v>0</v>
      </c>
      <c r="BM260" s="19">
        <f t="shared" si="1909"/>
        <v>0</v>
      </c>
      <c r="BN260" s="19">
        <f t="shared" si="1910"/>
        <v>0</v>
      </c>
      <c r="BO260" s="20">
        <f t="shared" si="1911"/>
        <v>0</v>
      </c>
      <c r="BP260" s="19">
        <f t="shared" si="1912"/>
        <v>0</v>
      </c>
      <c r="BQ260" s="19">
        <f t="shared" si="1913"/>
        <v>0</v>
      </c>
      <c r="BR260" s="19">
        <f t="shared" si="1914"/>
        <v>0</v>
      </c>
      <c r="BS260" s="19">
        <f t="shared" si="1915"/>
        <v>0</v>
      </c>
      <c r="BT260" s="19">
        <f t="shared" si="1916"/>
        <v>0</v>
      </c>
    </row>
    <row r="261" spans="1:72" ht="12" hidden="1" customHeight="1" outlineLevel="2">
      <c r="A261" s="1"/>
      <c r="B261" s="1" t="s">
        <v>173</v>
      </c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20"/>
      <c r="AK261" s="19"/>
      <c r="AL261" s="19"/>
      <c r="AM261" s="19"/>
      <c r="AN261" s="19"/>
      <c r="AO261" s="19"/>
      <c r="AP261" s="19"/>
      <c r="AQ261" s="19"/>
      <c r="AR261" s="19"/>
      <c r="AS261" s="19"/>
      <c r="AU261" s="19"/>
      <c r="AV261" s="19"/>
      <c r="AW261" s="19"/>
      <c r="AX261" s="19"/>
      <c r="AY261" s="19"/>
      <c r="AZ261" s="19">
        <f t="shared" si="1896"/>
        <v>0</v>
      </c>
      <c r="BA261" s="19">
        <f t="shared" si="1897"/>
        <v>0</v>
      </c>
      <c r="BB261" s="19">
        <f t="shared" si="1898"/>
        <v>0</v>
      </c>
      <c r="BC261" s="19">
        <f t="shared" si="1899"/>
        <v>0</v>
      </c>
      <c r="BD261" s="19">
        <f t="shared" si="1900"/>
        <v>0</v>
      </c>
      <c r="BE261" s="19">
        <f t="shared" si="1901"/>
        <v>0</v>
      </c>
      <c r="BF261" s="19">
        <f t="shared" si="1902"/>
        <v>0</v>
      </c>
      <c r="BG261" s="19">
        <f t="shared" si="1903"/>
        <v>0</v>
      </c>
      <c r="BH261" s="19">
        <f t="shared" si="1904"/>
        <v>0</v>
      </c>
      <c r="BI261" s="19">
        <f t="shared" si="1905"/>
        <v>0</v>
      </c>
      <c r="BJ261" s="19">
        <f t="shared" si="1906"/>
        <v>0</v>
      </c>
      <c r="BK261" s="19">
        <f t="shared" si="1907"/>
        <v>0</v>
      </c>
      <c r="BL261" s="19">
        <f t="shared" si="1908"/>
        <v>0</v>
      </c>
      <c r="BM261" s="19">
        <f t="shared" si="1909"/>
        <v>0</v>
      </c>
      <c r="BN261" s="19">
        <f t="shared" si="1910"/>
        <v>0</v>
      </c>
      <c r="BO261" s="20">
        <f t="shared" si="1911"/>
        <v>0</v>
      </c>
      <c r="BP261" s="19">
        <f t="shared" si="1912"/>
        <v>0</v>
      </c>
      <c r="BQ261" s="19">
        <f t="shared" si="1913"/>
        <v>0</v>
      </c>
      <c r="BR261" s="19">
        <f t="shared" si="1914"/>
        <v>0</v>
      </c>
      <c r="BS261" s="19">
        <f t="shared" si="1915"/>
        <v>0</v>
      </c>
      <c r="BT261" s="19">
        <f t="shared" si="1916"/>
        <v>0</v>
      </c>
    </row>
    <row r="262" spans="1:72" ht="12" hidden="1" customHeight="1" outlineLevel="2">
      <c r="A262" s="1"/>
      <c r="B262" s="1" t="s">
        <v>173</v>
      </c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20"/>
      <c r="AK262" s="19"/>
      <c r="AL262" s="19"/>
      <c r="AM262" s="19"/>
      <c r="AN262" s="19"/>
      <c r="AO262" s="19"/>
      <c r="AP262" s="19"/>
      <c r="AQ262" s="19"/>
      <c r="AR262" s="19"/>
      <c r="AS262" s="19"/>
      <c r="AU262" s="19"/>
      <c r="AV262" s="19"/>
      <c r="AW262" s="19"/>
      <c r="AX262" s="19"/>
      <c r="AY262" s="19"/>
      <c r="AZ262" s="19">
        <f t="shared" si="1896"/>
        <v>0</v>
      </c>
      <c r="BA262" s="19">
        <f t="shared" si="1897"/>
        <v>0</v>
      </c>
      <c r="BB262" s="19">
        <f t="shared" si="1898"/>
        <v>0</v>
      </c>
      <c r="BC262" s="19">
        <f t="shared" si="1899"/>
        <v>0</v>
      </c>
      <c r="BD262" s="19">
        <f t="shared" si="1900"/>
        <v>0</v>
      </c>
      <c r="BE262" s="19">
        <f t="shared" si="1901"/>
        <v>0</v>
      </c>
      <c r="BF262" s="19">
        <f t="shared" si="1902"/>
        <v>0</v>
      </c>
      <c r="BG262" s="19">
        <f t="shared" si="1903"/>
        <v>0</v>
      </c>
      <c r="BH262" s="19">
        <f t="shared" si="1904"/>
        <v>0</v>
      </c>
      <c r="BI262" s="19">
        <f t="shared" si="1905"/>
        <v>0</v>
      </c>
      <c r="BJ262" s="19">
        <f t="shared" si="1906"/>
        <v>0</v>
      </c>
      <c r="BK262" s="19">
        <f t="shared" si="1907"/>
        <v>0</v>
      </c>
      <c r="BL262" s="19">
        <f t="shared" si="1908"/>
        <v>0</v>
      </c>
      <c r="BM262" s="19">
        <f t="shared" si="1909"/>
        <v>0</v>
      </c>
      <c r="BN262" s="19">
        <f t="shared" si="1910"/>
        <v>0</v>
      </c>
      <c r="BO262" s="20">
        <f t="shared" si="1911"/>
        <v>0</v>
      </c>
      <c r="BP262" s="19">
        <f t="shared" si="1912"/>
        <v>0</v>
      </c>
      <c r="BQ262" s="19">
        <f t="shared" si="1913"/>
        <v>0</v>
      </c>
      <c r="BR262" s="19">
        <f t="shared" si="1914"/>
        <v>0</v>
      </c>
      <c r="BS262" s="19">
        <f t="shared" si="1915"/>
        <v>0</v>
      </c>
      <c r="BT262" s="19">
        <f t="shared" si="1916"/>
        <v>0</v>
      </c>
    </row>
    <row r="263" spans="1:72" ht="12" hidden="1" customHeight="1" outlineLevel="2">
      <c r="A263" s="1"/>
      <c r="B263" s="1" t="s">
        <v>173</v>
      </c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20"/>
      <c r="AK263" s="19"/>
      <c r="AL263" s="19"/>
      <c r="AM263" s="19"/>
      <c r="AN263" s="19"/>
      <c r="AO263" s="19"/>
      <c r="AP263" s="19"/>
      <c r="AQ263" s="19"/>
      <c r="AR263" s="19"/>
      <c r="AS263" s="19"/>
      <c r="AU263" s="19"/>
      <c r="AV263" s="19"/>
      <c r="AW263" s="19"/>
      <c r="AX263" s="19"/>
      <c r="AY263" s="19"/>
      <c r="AZ263" s="19">
        <f t="shared" si="1896"/>
        <v>0</v>
      </c>
      <c r="BA263" s="19">
        <f t="shared" si="1897"/>
        <v>0</v>
      </c>
      <c r="BB263" s="19">
        <f t="shared" si="1898"/>
        <v>0</v>
      </c>
      <c r="BC263" s="19">
        <f t="shared" si="1899"/>
        <v>0</v>
      </c>
      <c r="BD263" s="19">
        <f t="shared" si="1900"/>
        <v>0</v>
      </c>
      <c r="BE263" s="19">
        <f t="shared" si="1901"/>
        <v>0</v>
      </c>
      <c r="BF263" s="19">
        <f t="shared" si="1902"/>
        <v>0</v>
      </c>
      <c r="BG263" s="19">
        <f t="shared" si="1903"/>
        <v>0</v>
      </c>
      <c r="BH263" s="19">
        <f t="shared" si="1904"/>
        <v>0</v>
      </c>
      <c r="BI263" s="19">
        <f t="shared" si="1905"/>
        <v>0</v>
      </c>
      <c r="BJ263" s="19">
        <f t="shared" si="1906"/>
        <v>0</v>
      </c>
      <c r="BK263" s="19">
        <f t="shared" si="1907"/>
        <v>0</v>
      </c>
      <c r="BL263" s="19">
        <f t="shared" si="1908"/>
        <v>0</v>
      </c>
      <c r="BM263" s="19">
        <f t="shared" si="1909"/>
        <v>0</v>
      </c>
      <c r="BN263" s="19">
        <f t="shared" si="1910"/>
        <v>0</v>
      </c>
      <c r="BO263" s="20">
        <f t="shared" si="1911"/>
        <v>0</v>
      </c>
      <c r="BP263" s="19">
        <f t="shared" si="1912"/>
        <v>0</v>
      </c>
      <c r="BQ263" s="19">
        <f t="shared" si="1913"/>
        <v>0</v>
      </c>
      <c r="BR263" s="19">
        <f t="shared" si="1914"/>
        <v>0</v>
      </c>
      <c r="BS263" s="19">
        <f t="shared" si="1915"/>
        <v>0</v>
      </c>
      <c r="BT263" s="19">
        <f t="shared" si="1916"/>
        <v>0</v>
      </c>
    </row>
    <row r="264" spans="1:72" ht="12" customHeight="1" outlineLevel="1" collapsed="1">
      <c r="A264" s="1"/>
      <c r="B264" s="9" t="s">
        <v>184</v>
      </c>
      <c r="C264" s="17"/>
      <c r="D264" s="17">
        <f t="shared" ref="D264:H264" si="2106">SUM(D244:D263)</f>
        <v>12280</v>
      </c>
      <c r="E264" s="17">
        <f t="shared" si="2106"/>
        <v>13631</v>
      </c>
      <c r="F264" s="17">
        <f t="shared" si="2106"/>
        <v>13307</v>
      </c>
      <c r="G264" s="17">
        <f t="shared" si="2106"/>
        <v>13368</v>
      </c>
      <c r="H264" s="17">
        <f t="shared" si="2106"/>
        <v>10936</v>
      </c>
      <c r="I264" s="17">
        <f t="shared" ref="I264" si="2107">SUM(I244:I263)</f>
        <v>9268</v>
      </c>
      <c r="J264" s="17">
        <f>SUM(J244:J263)</f>
        <v>9701</v>
      </c>
      <c r="K264" s="17">
        <f t="shared" ref="K264" si="2108">SUM(K244:K263)</f>
        <v>10445</v>
      </c>
      <c r="L264" s="17">
        <f t="shared" ref="L264:Q264" si="2109">SUM(L244:L263)</f>
        <v>11281</v>
      </c>
      <c r="M264" s="17">
        <f t="shared" si="2109"/>
        <v>11786</v>
      </c>
      <c r="N264" s="17">
        <f t="shared" si="2109"/>
        <v>10384</v>
      </c>
      <c r="O264" s="17">
        <f t="shared" si="2109"/>
        <v>12904</v>
      </c>
      <c r="P264" s="17">
        <f t="shared" si="2109"/>
        <v>14183</v>
      </c>
      <c r="Q264" s="17">
        <f t="shared" si="2109"/>
        <v>13393</v>
      </c>
      <c r="R264" s="17">
        <f t="shared" ref="R264:S264" si="2110">SUM(R244:R263)</f>
        <v>12488</v>
      </c>
      <c r="S264" s="17">
        <f t="shared" si="2110"/>
        <v>12846</v>
      </c>
      <c r="T264" s="17">
        <f t="shared" ref="T264:U264" si="2111">SUM(T244:T263)</f>
        <v>12852</v>
      </c>
      <c r="U264" s="17">
        <f t="shared" si="2111"/>
        <v>21952</v>
      </c>
      <c r="V264" s="17">
        <f t="shared" ref="V264:W264" si="2112">SUM(V244:V263)</f>
        <v>24149</v>
      </c>
      <c r="W264" s="17">
        <f t="shared" si="2112"/>
        <v>34548</v>
      </c>
      <c r="X264" s="17">
        <f t="shared" ref="X264:Y264" si="2113">SUM(X244:X263)</f>
        <v>30192</v>
      </c>
      <c r="Y264" s="17">
        <f t="shared" si="2113"/>
        <v>32446</v>
      </c>
      <c r="Z264" s="17">
        <f t="shared" ref="Z264:AA264" si="2114">SUM(Z244:Z263)</f>
        <v>27392</v>
      </c>
      <c r="AA264" s="17">
        <f t="shared" si="2114"/>
        <v>26752</v>
      </c>
      <c r="AB264" s="17">
        <f t="shared" ref="AB264:AC264" si="2115">SUM(AB244:AB263)</f>
        <v>33936</v>
      </c>
      <c r="AC264" s="17">
        <f t="shared" si="2115"/>
        <v>41539</v>
      </c>
      <c r="AD264" s="17">
        <f t="shared" ref="AD264:AE264" si="2116">SUM(AD244:AD263)</f>
        <v>51784</v>
      </c>
      <c r="AE264" s="17">
        <f t="shared" si="2116"/>
        <v>50316</v>
      </c>
      <c r="AF264" s="17">
        <f t="shared" ref="AF264:AG264" si="2117">SUM(AF244:AF263)</f>
        <v>52660</v>
      </c>
      <c r="AG264" s="17">
        <f t="shared" si="2117"/>
        <v>54018</v>
      </c>
      <c r="AH264" s="17">
        <f t="shared" ref="AH264:AJ264" si="2118">SUM(AH244:AH263)</f>
        <v>53154</v>
      </c>
      <c r="AI264" s="17">
        <f t="shared" si="2118"/>
        <v>55793</v>
      </c>
      <c r="AJ264" s="18">
        <f t="shared" si="2118"/>
        <v>64352</v>
      </c>
      <c r="AK264" s="17">
        <f t="shared" ref="AK264" si="2119">SUM(AK244:AK263)</f>
        <v>67500.557722386788</v>
      </c>
      <c r="AL264" s="17">
        <f t="shared" ref="AL264:AM264" si="2120">SUM(AL244:AL263)</f>
        <v>71127.603126589616</v>
      </c>
      <c r="AM264" s="17">
        <f t="shared" si="2120"/>
        <v>74376.001499011763</v>
      </c>
      <c r="AN264" s="17">
        <f t="shared" ref="AN264:AO264" si="2121">SUM(AN244:AN263)</f>
        <v>76794.393524025727</v>
      </c>
      <c r="AO264" s="17">
        <f t="shared" si="2121"/>
        <v>79062.722195883718</v>
      </c>
      <c r="AP264" s="17">
        <f t="shared" ref="AP264:AQ264" si="2122">SUM(AP244:AP263)</f>
        <v>81281.313237442548</v>
      </c>
      <c r="AQ264" s="17">
        <f t="shared" si="2122"/>
        <v>83300.2462649269</v>
      </c>
      <c r="AR264" s="17">
        <f t="shared" ref="AR264:AS264" si="2123">SUM(AR244:AR263)</f>
        <v>85259.551354573661</v>
      </c>
      <c r="AS264" s="17">
        <f t="shared" si="2123"/>
        <v>87281.390761705494</v>
      </c>
      <c r="AU264" s="17"/>
      <c r="AV264" s="17"/>
      <c r="AW264" s="17"/>
      <c r="AX264" s="17">
        <f t="shared" ref="AX264" si="2124">SUM(AX244:AX263)</f>
        <v>15939</v>
      </c>
      <c r="AY264" s="17">
        <f t="shared" ref="AY264" si="2125">SUM(AY244:AY263)</f>
        <v>12640</v>
      </c>
      <c r="AZ264" s="17">
        <f t="shared" ref="AZ264" si="2126">AZ242-AZ272</f>
        <v>13631</v>
      </c>
      <c r="BA264" s="17">
        <f t="shared" ref="BA264" si="2127">BA242-BA272</f>
        <v>13368</v>
      </c>
      <c r="BB264" s="17">
        <f t="shared" ref="BB264" si="2128">BB242-BB272</f>
        <v>9268</v>
      </c>
      <c r="BC264" s="17">
        <f t="shared" ref="BC264:BD264" si="2129">BC242-BC272</f>
        <v>10445</v>
      </c>
      <c r="BD264" s="17">
        <f t="shared" si="2129"/>
        <v>11786</v>
      </c>
      <c r="BE264" s="17">
        <f t="shared" ref="BE264" si="2130">BE242-BE272</f>
        <v>12904</v>
      </c>
      <c r="BF264" s="17">
        <f t="shared" ref="BF264" si="2131">BF242-BF272</f>
        <v>13393</v>
      </c>
      <c r="BG264" s="17">
        <f t="shared" ref="BG264" si="2132">BG242-BG272</f>
        <v>12846</v>
      </c>
      <c r="BH264" s="17">
        <f t="shared" ref="BH264" si="2133">BH242-BH272</f>
        <v>21952</v>
      </c>
      <c r="BI264" s="17">
        <f t="shared" ref="BI264:BN264" si="2134">BI242-BI272</f>
        <v>34548</v>
      </c>
      <c r="BJ264" s="17">
        <f t="shared" si="2134"/>
        <v>32446</v>
      </c>
      <c r="BK264" s="17">
        <f t="shared" si="2134"/>
        <v>26752</v>
      </c>
      <c r="BL264" s="17">
        <f t="shared" si="2134"/>
        <v>41539</v>
      </c>
      <c r="BM264" s="17">
        <f t="shared" si="2134"/>
        <v>50316</v>
      </c>
      <c r="BN264" s="17">
        <f t="shared" si="2134"/>
        <v>54018</v>
      </c>
      <c r="BO264" s="18">
        <f t="shared" ref="BO264:BP264" si="2135">BO242-BO272</f>
        <v>55793</v>
      </c>
      <c r="BP264" s="17">
        <f t="shared" si="2135"/>
        <v>67500.557722386729</v>
      </c>
      <c r="BQ264" s="17">
        <f t="shared" ref="BQ264:BR264" si="2136">BQ242-BQ272</f>
        <v>74376.001499011792</v>
      </c>
      <c r="BR264" s="17">
        <f t="shared" si="2136"/>
        <v>79062.722195883776</v>
      </c>
      <c r="BS264" s="17">
        <f t="shared" ref="BS264" si="2137">BS242-BS272</f>
        <v>83300.246264926856</v>
      </c>
      <c r="BT264" s="17">
        <f t="shared" ref="BT264" si="2138">BT242-BT272</f>
        <v>87281.390761705523</v>
      </c>
    </row>
    <row r="265" spans="1:72" ht="12" customHeight="1" outlineLevel="1">
      <c r="A265" s="1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20"/>
      <c r="AK265" s="19"/>
      <c r="AL265" s="19"/>
      <c r="AM265" s="19"/>
      <c r="AN265" s="19"/>
      <c r="AO265" s="19"/>
      <c r="AP265" s="19"/>
      <c r="AQ265" s="19"/>
      <c r="AR265" s="19"/>
      <c r="AS265" s="19"/>
      <c r="AU265" s="19"/>
      <c r="AV265" s="19"/>
      <c r="AW265" s="19"/>
      <c r="AX265" s="19"/>
      <c r="AY265" s="19"/>
    </row>
    <row r="266" spans="1:72" ht="12" customHeight="1" outlineLevel="1">
      <c r="A266" s="1"/>
      <c r="B266" s="1" t="s">
        <v>185</v>
      </c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20"/>
      <c r="AK266" s="19"/>
      <c r="AL266" s="19"/>
      <c r="AM266" s="19"/>
      <c r="AN266" s="19"/>
      <c r="AO266" s="19"/>
      <c r="AP266" s="19"/>
      <c r="AQ266" s="19"/>
      <c r="AR266" s="19"/>
      <c r="AS266" s="19"/>
      <c r="AU266" s="19"/>
      <c r="AV266" s="19"/>
      <c r="AW266" s="19"/>
      <c r="AX266" s="19"/>
      <c r="AY266" s="19"/>
      <c r="AZ266" s="19"/>
      <c r="BA266" s="19"/>
      <c r="BB266" s="19"/>
      <c r="BC266" s="19"/>
      <c r="BD266" s="19"/>
      <c r="BE266" s="19"/>
      <c r="BF266" s="19"/>
      <c r="BG266" s="19"/>
      <c r="BH266" s="19"/>
      <c r="BI266" s="19"/>
      <c r="BJ266" s="19"/>
      <c r="BK266" s="19"/>
      <c r="BL266" s="19"/>
    </row>
    <row r="267" spans="1:72" ht="12" customHeight="1" outlineLevel="1">
      <c r="A267" s="1"/>
      <c r="B267" s="1" t="s">
        <v>186</v>
      </c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20"/>
      <c r="AK267" s="19"/>
      <c r="AL267" s="19"/>
      <c r="AM267" s="19"/>
      <c r="AN267" s="19"/>
      <c r="AO267" s="19"/>
      <c r="AP267" s="19"/>
      <c r="AQ267" s="19"/>
      <c r="AR267" s="19"/>
      <c r="AS267" s="19"/>
      <c r="AU267" s="19"/>
      <c r="AV267" s="19"/>
      <c r="AW267" s="19"/>
      <c r="AX267" s="19"/>
      <c r="AY267" s="19"/>
      <c r="AZ267" s="19"/>
      <c r="BA267" s="19"/>
      <c r="BB267" s="19"/>
      <c r="BC267" s="19"/>
      <c r="BD267" s="19"/>
      <c r="BE267" s="19"/>
      <c r="BF267" s="19"/>
      <c r="BG267" s="19"/>
      <c r="BH267" s="19"/>
      <c r="BI267" s="19"/>
      <c r="BJ267" s="19"/>
      <c r="BK267" s="19"/>
      <c r="BL267" s="19"/>
    </row>
    <row r="268" spans="1:72" ht="12" customHeight="1" outlineLevel="1">
      <c r="A268" s="1"/>
      <c r="B268" s="1" t="s">
        <v>187</v>
      </c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20"/>
      <c r="AK268" s="19"/>
      <c r="AL268" s="19"/>
      <c r="AM268" s="19"/>
      <c r="AN268" s="19"/>
      <c r="AO268" s="19"/>
      <c r="AP268" s="19"/>
      <c r="AQ268" s="19"/>
      <c r="AR268" s="19"/>
      <c r="AS268" s="19"/>
      <c r="AU268" s="19"/>
      <c r="AV268" s="19"/>
      <c r="AW268" s="19"/>
      <c r="AX268" s="19"/>
      <c r="AY268" s="19"/>
      <c r="AZ268" s="19"/>
      <c r="BA268" s="19"/>
      <c r="BB268" s="19"/>
      <c r="BC268" s="19"/>
      <c r="BD268" s="19"/>
      <c r="BE268" s="19"/>
      <c r="BF268" s="19"/>
      <c r="BG268" s="19"/>
      <c r="BH268" s="19"/>
      <c r="BI268" s="19"/>
      <c r="BJ268" s="19"/>
      <c r="BK268" s="19"/>
      <c r="BL268" s="19"/>
    </row>
    <row r="269" spans="1:72" ht="12" customHeight="1" outlineLevel="1">
      <c r="A269" s="1"/>
      <c r="B269" s="1" t="s">
        <v>188</v>
      </c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20"/>
      <c r="AK269" s="19"/>
      <c r="AL269" s="19"/>
      <c r="AM269" s="19"/>
      <c r="AN269" s="19"/>
      <c r="AO269" s="19"/>
      <c r="AP269" s="19"/>
      <c r="AQ269" s="19"/>
      <c r="AR269" s="19"/>
      <c r="AS269" s="19"/>
      <c r="AU269" s="19"/>
      <c r="AV269" s="19"/>
      <c r="AW269" s="19"/>
      <c r="AX269" s="19"/>
      <c r="AY269" s="19"/>
      <c r="AZ269" s="19"/>
      <c r="BA269" s="19"/>
      <c r="BB269" s="19"/>
      <c r="BC269" s="19"/>
      <c r="BD269" s="19"/>
      <c r="BE269" s="19"/>
      <c r="BF269" s="19"/>
      <c r="BG269" s="19"/>
      <c r="BH269" s="19"/>
      <c r="BI269" s="19"/>
      <c r="BJ269" s="19"/>
      <c r="BK269" s="19"/>
      <c r="BL269" s="19"/>
    </row>
    <row r="270" spans="1:72" ht="12" customHeight="1" outlineLevel="1">
      <c r="A270" s="1"/>
      <c r="B270" s="1" t="s">
        <v>189</v>
      </c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20"/>
      <c r="AK270" s="19"/>
      <c r="AL270" s="19"/>
      <c r="AM270" s="19"/>
      <c r="AN270" s="19"/>
      <c r="AO270" s="19"/>
      <c r="AP270" s="19"/>
      <c r="AQ270" s="19"/>
      <c r="AR270" s="19"/>
      <c r="AS270" s="19"/>
      <c r="AU270" s="19"/>
      <c r="AV270" s="19"/>
      <c r="AW270" s="19"/>
      <c r="AX270" s="19"/>
      <c r="AY270" s="19"/>
      <c r="AZ270" s="19"/>
      <c r="BA270" s="19"/>
      <c r="BB270" s="19"/>
      <c r="BC270" s="19"/>
      <c r="BD270" s="19"/>
      <c r="BE270" s="19"/>
      <c r="BF270" s="19"/>
      <c r="BG270" s="19"/>
      <c r="BH270" s="19"/>
      <c r="BI270" s="19"/>
      <c r="BJ270" s="19"/>
      <c r="BK270" s="19"/>
      <c r="BL270" s="19"/>
    </row>
    <row r="271" spans="1:72" ht="12" customHeight="1" outlineLevel="1">
      <c r="A271" s="1"/>
      <c r="B271" s="1" t="s">
        <v>190</v>
      </c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20"/>
      <c r="AK271" s="19"/>
      <c r="AL271" s="19"/>
      <c r="AM271" s="19"/>
      <c r="AN271" s="19"/>
      <c r="AO271" s="19"/>
      <c r="AP271" s="19"/>
      <c r="AQ271" s="19"/>
      <c r="AR271" s="19"/>
      <c r="AS271" s="19"/>
      <c r="AU271" s="19"/>
      <c r="AV271" s="19"/>
      <c r="AW271" s="19"/>
      <c r="AX271" s="19"/>
      <c r="AY271" s="19"/>
      <c r="AZ271" s="19"/>
      <c r="BA271" s="19"/>
      <c r="BB271" s="19"/>
      <c r="BC271" s="19"/>
      <c r="BD271" s="19"/>
      <c r="BE271" s="19"/>
      <c r="BF271" s="19"/>
      <c r="BG271" s="19"/>
      <c r="BH271" s="19"/>
      <c r="BI271" s="19"/>
      <c r="BJ271" s="19"/>
      <c r="BK271" s="19"/>
      <c r="BL271" s="19"/>
    </row>
    <row r="272" spans="1:72" ht="12" customHeight="1" outlineLevel="1">
      <c r="A272" s="1"/>
      <c r="B272" s="9" t="s">
        <v>191</v>
      </c>
      <c r="C272" s="17"/>
      <c r="D272" s="17">
        <f t="shared" ref="D272:H272" si="2139">D162-D217</f>
        <v>4420</v>
      </c>
      <c r="E272" s="17">
        <f t="shared" si="2139"/>
        <v>3269</v>
      </c>
      <c r="F272" s="17">
        <f t="shared" si="2139"/>
        <v>2893</v>
      </c>
      <c r="G272" s="17">
        <f t="shared" si="2139"/>
        <v>2832</v>
      </c>
      <c r="H272" s="17">
        <f t="shared" si="2139"/>
        <v>2364</v>
      </c>
      <c r="I272" s="17">
        <f t="shared" ref="I272:P272" si="2140">I162-I217</f>
        <v>2532</v>
      </c>
      <c r="J272" s="17">
        <f t="shared" si="2140"/>
        <v>2799</v>
      </c>
      <c r="K272" s="17">
        <f t="shared" si="2140"/>
        <v>3255</v>
      </c>
      <c r="L272" s="17">
        <f t="shared" ref="L272:M272" si="2141">L162-L217</f>
        <v>3319</v>
      </c>
      <c r="M272" s="17">
        <f t="shared" si="2141"/>
        <v>2414</v>
      </c>
      <c r="N272" s="17">
        <f t="shared" ref="N272" si="2142">N162-N217</f>
        <v>2816</v>
      </c>
      <c r="O272" s="17">
        <f t="shared" si="2140"/>
        <v>2796</v>
      </c>
      <c r="P272" s="17">
        <f t="shared" si="2140"/>
        <v>3317</v>
      </c>
      <c r="Q272" s="17">
        <f t="shared" ref="Q272:R272" si="2143">Q162-Q217</f>
        <v>2807</v>
      </c>
      <c r="R272" s="17">
        <f t="shared" si="2143"/>
        <v>2812</v>
      </c>
      <c r="S272" s="17">
        <f t="shared" ref="S272:T272" si="2144">S162-S217</f>
        <v>3354</v>
      </c>
      <c r="T272" s="17">
        <f t="shared" si="2144"/>
        <v>3148</v>
      </c>
      <c r="U272" s="17">
        <f t="shared" ref="U272:V272" si="2145">U162-U217</f>
        <v>2148</v>
      </c>
      <c r="V272" s="17">
        <f t="shared" si="2145"/>
        <v>2451</v>
      </c>
      <c r="W272" s="17">
        <f t="shared" ref="W272:X272" si="2146">W162-W217</f>
        <v>5352</v>
      </c>
      <c r="X272" s="17">
        <f t="shared" si="2146"/>
        <v>6008</v>
      </c>
      <c r="Y272" s="17">
        <f t="shared" ref="Y272:Z272" si="2147">Y162-Y217</f>
        <v>5654</v>
      </c>
      <c r="Z272" s="17">
        <f t="shared" si="2147"/>
        <v>4808</v>
      </c>
      <c r="AA272" s="17">
        <f t="shared" ref="AA272:AB272" si="2148">AA162-AA217</f>
        <v>6248</v>
      </c>
      <c r="AB272" s="17">
        <f t="shared" si="2148"/>
        <v>5664</v>
      </c>
      <c r="AC272" s="17">
        <f t="shared" ref="AC272:AD272" si="2149">AC162-AC217</f>
        <v>8261</v>
      </c>
      <c r="AD272" s="17">
        <f t="shared" si="2149"/>
        <v>8216</v>
      </c>
      <c r="AE272" s="17">
        <f t="shared" ref="AE272:AF272" si="2150">AE162-AE217</f>
        <v>10384</v>
      </c>
      <c r="AF272" s="17">
        <f t="shared" si="2150"/>
        <v>10040</v>
      </c>
      <c r="AG272" s="17">
        <f t="shared" ref="AG272:AH272" si="2151">AG162-AG217</f>
        <v>9682</v>
      </c>
      <c r="AH272" s="17">
        <f t="shared" si="2151"/>
        <v>8946</v>
      </c>
      <c r="AI272" s="17">
        <f t="shared" ref="AI272:AJ272" si="2152">AI162-AI217</f>
        <v>9807</v>
      </c>
      <c r="AJ272" s="18">
        <f t="shared" si="2152"/>
        <v>9248</v>
      </c>
      <c r="AK272" s="17">
        <f t="shared" ref="AK272" si="2153">AK162-AK217</f>
        <v>9469.3084737343379</v>
      </c>
      <c r="AL272" s="17">
        <f t="shared" ref="AL272:AM272" si="2154">AL162-AL217</f>
        <v>9497.7280314117997</v>
      </c>
      <c r="AM272" s="17">
        <f t="shared" si="2154"/>
        <v>9582.6172011646595</v>
      </c>
      <c r="AN272" s="17">
        <f t="shared" ref="AN272:AO272" si="2155">AN162-AN217</f>
        <v>9656.4492125322286</v>
      </c>
      <c r="AO272" s="17">
        <f t="shared" si="2155"/>
        <v>9788.5653530916534</v>
      </c>
      <c r="AP272" s="17">
        <f t="shared" ref="AP272:AQ272" si="2156">AP162-AP217</f>
        <v>9852.328365733094</v>
      </c>
      <c r="AQ272" s="17">
        <f t="shared" si="2156"/>
        <v>9995.5937175904073</v>
      </c>
      <c r="AR272" s="17">
        <f t="shared" ref="AR272:AS272" si="2157">AR162-AR217</f>
        <v>10087.283806092986</v>
      </c>
      <c r="AS272" s="17">
        <f t="shared" si="2157"/>
        <v>10230.055821955881</v>
      </c>
      <c r="AU272" s="17"/>
      <c r="AV272" s="17"/>
      <c r="AW272" s="17"/>
      <c r="AX272" s="17">
        <f t="shared" ref="AX272" si="2158">AX162-AX217</f>
        <v>3661</v>
      </c>
      <c r="AY272" s="17">
        <f t="shared" ref="AY272" si="2159">AY162-AY217</f>
        <v>3160</v>
      </c>
      <c r="AZ272" s="17">
        <f>E272</f>
        <v>3269</v>
      </c>
      <c r="BA272" s="17">
        <f>G272</f>
        <v>2832</v>
      </c>
      <c r="BB272" s="17">
        <f>I272</f>
        <v>2532</v>
      </c>
      <c r="BC272" s="17">
        <f>K272</f>
        <v>3255</v>
      </c>
      <c r="BD272" s="17">
        <f>M272</f>
        <v>2414</v>
      </c>
      <c r="BE272" s="17">
        <f>O272</f>
        <v>2796</v>
      </c>
      <c r="BF272" s="17">
        <f>Q272</f>
        <v>2807</v>
      </c>
      <c r="BG272" s="17">
        <f>S272</f>
        <v>3354</v>
      </c>
      <c r="BH272" s="17">
        <f>U272</f>
        <v>2148</v>
      </c>
      <c r="BI272" s="17">
        <f>W272</f>
        <v>5352</v>
      </c>
      <c r="BJ272" s="17">
        <f>Y272</f>
        <v>5654</v>
      </c>
      <c r="BK272" s="17">
        <f>AA272</f>
        <v>6248</v>
      </c>
      <c r="BL272" s="17">
        <f>AC272</f>
        <v>8261</v>
      </c>
      <c r="BM272" s="17">
        <f>AE272</f>
        <v>10384</v>
      </c>
      <c r="BN272" s="17">
        <f>AG272</f>
        <v>9682</v>
      </c>
      <c r="BO272" s="18">
        <f>AI272</f>
        <v>9807</v>
      </c>
      <c r="BP272" s="17">
        <f>AK272</f>
        <v>9469.3084737343379</v>
      </c>
      <c r="BQ272" s="17">
        <f>AM272</f>
        <v>9582.6172011646595</v>
      </c>
      <c r="BR272" s="17">
        <f>AO272</f>
        <v>9788.5653530916534</v>
      </c>
      <c r="BS272" s="17">
        <f>AQ272</f>
        <v>9995.5937175904073</v>
      </c>
      <c r="BT272" s="17">
        <f>AS272</f>
        <v>10230.055821955881</v>
      </c>
    </row>
    <row r="273" spans="1:72" ht="12" customHeight="1" outlineLevel="1">
      <c r="A273" s="1"/>
    </row>
    <row r="274" spans="1:72" ht="12" customHeight="1" outlineLevel="1">
      <c r="B274" s="3" t="s">
        <v>247</v>
      </c>
      <c r="C274" s="96" t="str">
        <f t="shared" ref="C274:M274" si="2160">IF(ROUND(C242-C264,7)=ROUND(C272,7),"Ok","Error")</f>
        <v>Ok</v>
      </c>
      <c r="D274" s="96" t="str">
        <f t="shared" si="2160"/>
        <v>Ok</v>
      </c>
      <c r="E274" s="96" t="str">
        <f t="shared" si="2160"/>
        <v>Ok</v>
      </c>
      <c r="F274" s="96" t="str">
        <f t="shared" si="2160"/>
        <v>Ok</v>
      </c>
      <c r="G274" s="96" t="str">
        <f t="shared" si="2160"/>
        <v>Ok</v>
      </c>
      <c r="H274" s="96" t="str">
        <f t="shared" si="2160"/>
        <v>Ok</v>
      </c>
      <c r="I274" s="96" t="str">
        <f t="shared" si="2160"/>
        <v>Ok</v>
      </c>
      <c r="J274" s="96" t="str">
        <f t="shared" si="2160"/>
        <v>Ok</v>
      </c>
      <c r="K274" s="100" t="str">
        <f t="shared" si="2160"/>
        <v>Ok</v>
      </c>
      <c r="L274" s="100" t="str">
        <f t="shared" ref="L274" si="2161">IF(ROUND(L242-L264,7)=ROUND(L272,7),"Ok","Error")</f>
        <v>Ok</v>
      </c>
      <c r="M274" s="100" t="str">
        <f t="shared" si="2160"/>
        <v>Ok</v>
      </c>
      <c r="N274" s="100" t="str">
        <f t="shared" ref="N274:O274" si="2162">IF(ROUND(N242-N264,7)=ROUND(N272,7),"Ok","Error")</f>
        <v>Ok</v>
      </c>
      <c r="O274" s="100" t="str">
        <f t="shared" si="2162"/>
        <v>Ok</v>
      </c>
      <c r="P274" s="100" t="str">
        <f t="shared" ref="P274:Q274" si="2163">IF(ROUND(P242-P264,7)=ROUND(P272,7),"Ok","Error")</f>
        <v>Ok</v>
      </c>
      <c r="Q274" s="100" t="str">
        <f t="shared" si="2163"/>
        <v>Ok</v>
      </c>
      <c r="R274" s="100" t="str">
        <f t="shared" ref="R274:S274" si="2164">IF(ROUND(R242-R264,7)=ROUND(R272,7),"Ok","Error")</f>
        <v>Ok</v>
      </c>
      <c r="S274" s="100" t="str">
        <f t="shared" si="2164"/>
        <v>Ok</v>
      </c>
      <c r="T274" s="100" t="str">
        <f t="shared" ref="T274:U274" si="2165">IF(ROUND(T242-T264,7)=ROUND(T272,7),"Ok","Error")</f>
        <v>Ok</v>
      </c>
      <c r="U274" s="100" t="str">
        <f t="shared" si="2165"/>
        <v>Ok</v>
      </c>
      <c r="V274" s="100" t="str">
        <f t="shared" ref="V274:W274" si="2166">IF(ROUND(V242-V264,7)=ROUND(V272,7),"Ok","Error")</f>
        <v>Ok</v>
      </c>
      <c r="W274" s="100" t="str">
        <f t="shared" si="2166"/>
        <v>Ok</v>
      </c>
      <c r="X274" s="100" t="str">
        <f t="shared" ref="X274:Y274" si="2167">IF(ROUND(X242-X264,7)=ROUND(X272,7),"Ok","Error")</f>
        <v>Ok</v>
      </c>
      <c r="Y274" s="100" t="str">
        <f t="shared" si="2167"/>
        <v>Ok</v>
      </c>
      <c r="Z274" s="100" t="str">
        <f t="shared" ref="Z274:AA274" si="2168">IF(ROUND(Z242-Z264,7)=ROUND(Z272,7),"Ok","Error")</f>
        <v>Ok</v>
      </c>
      <c r="AA274" s="100" t="str">
        <f t="shared" si="2168"/>
        <v>Ok</v>
      </c>
      <c r="AB274" s="100" t="str">
        <f t="shared" ref="AB274:AC274" si="2169">IF(ROUND(AB242-AB264,7)=ROUND(AB272,7),"Ok","Error")</f>
        <v>Ok</v>
      </c>
      <c r="AC274" s="100" t="str">
        <f t="shared" si="2169"/>
        <v>Ok</v>
      </c>
      <c r="AD274" s="100" t="str">
        <f t="shared" ref="AD274:AE274" si="2170">IF(ROUND(AD242-AD264,7)=ROUND(AD272,7),"Ok","Error")</f>
        <v>Ok</v>
      </c>
      <c r="AE274" s="100" t="str">
        <f t="shared" si="2170"/>
        <v>Ok</v>
      </c>
      <c r="AF274" s="100" t="str">
        <f t="shared" ref="AF274:AG274" si="2171">IF(ROUND(AF242-AF264,7)=ROUND(AF272,7),"Ok","Error")</f>
        <v>Ok</v>
      </c>
      <c r="AG274" s="100" t="str">
        <f t="shared" si="2171"/>
        <v>Ok</v>
      </c>
      <c r="AH274" s="100" t="str">
        <f t="shared" ref="AH274:AI274" si="2172">IF(ROUND(AH242-AH264,7)=ROUND(AH272,7),"Ok","Error")</f>
        <v>Ok</v>
      </c>
      <c r="AI274" s="100" t="str">
        <f t="shared" si="2172"/>
        <v>Ok</v>
      </c>
      <c r="AJ274" s="97" t="str">
        <f t="shared" ref="AJ274:AK274" si="2173">IF(ROUND(AJ242-AJ264,7)=ROUND(AJ272,7),"Ok","Error")</f>
        <v>Ok</v>
      </c>
      <c r="AK274" s="96" t="str">
        <f t="shared" si="2173"/>
        <v>Ok</v>
      </c>
      <c r="AL274" s="96" t="str">
        <f t="shared" ref="AL274:AM274" si="2174">IF(ROUND(AL242-AL264,7)=ROUND(AL272,7),"Ok","Error")</f>
        <v>Ok</v>
      </c>
      <c r="AM274" s="96" t="str">
        <f t="shared" si="2174"/>
        <v>Ok</v>
      </c>
      <c r="AN274" s="96" t="str">
        <f t="shared" ref="AN274:AO274" si="2175">IF(ROUND(AN242-AN264,7)=ROUND(AN272,7),"Ok","Error")</f>
        <v>Ok</v>
      </c>
      <c r="AO274" s="96" t="str">
        <f t="shared" si="2175"/>
        <v>Ok</v>
      </c>
      <c r="AP274" s="96" t="str">
        <f t="shared" ref="AP274:AQ274" si="2176">IF(ROUND(AP242-AP264,7)=ROUND(AP272,7),"Ok","Error")</f>
        <v>Ok</v>
      </c>
      <c r="AQ274" s="96" t="str">
        <f t="shared" si="2176"/>
        <v>Ok</v>
      </c>
      <c r="AR274" s="96" t="str">
        <f t="shared" ref="AR274:AS274" si="2177">IF(ROUND(AR242-AR264,7)=ROUND(AR272,7),"Ok","Error")</f>
        <v>Ok</v>
      </c>
      <c r="AS274" s="96" t="str">
        <f t="shared" si="2177"/>
        <v>Ok</v>
      </c>
      <c r="AU274" s="96" t="str">
        <f t="shared" ref="AU274:BC274" si="2178">IF(ROUND(AU242-AU264,10)=ROUND(AU272,10),"Ok","Error")</f>
        <v>Ok</v>
      </c>
      <c r="AV274" s="96" t="str">
        <f t="shared" ref="AV274:AX274" si="2179">IF(ROUND(AV242-AV264,10)=ROUND(AV272,10),"Ok","Error")</f>
        <v>Ok</v>
      </c>
      <c r="AW274" s="96" t="str">
        <f t="shared" si="2179"/>
        <v>Ok</v>
      </c>
      <c r="AX274" s="96" t="str">
        <f t="shared" si="2179"/>
        <v>Ok</v>
      </c>
      <c r="AY274" s="96" t="str">
        <f t="shared" si="2178"/>
        <v>Ok</v>
      </c>
      <c r="AZ274" s="100" t="str">
        <f t="shared" ref="AZ274" si="2180">IF(ROUND(AZ242-AZ264,10)=ROUND(AZ272,10),"Ok","Error")</f>
        <v>Ok</v>
      </c>
      <c r="BA274" s="100" t="str">
        <f t="shared" ref="BA274" si="2181">IF(ROUND(BA242-BA264,10)=ROUND(BA272,10),"Ok","Error")</f>
        <v>Ok</v>
      </c>
      <c r="BB274" s="100" t="str">
        <f t="shared" ref="BB274" si="2182">IF(ROUND(BB242-BB264,10)=ROUND(BB272,10),"Ok","Error")</f>
        <v>Ok</v>
      </c>
      <c r="BC274" s="100" t="str">
        <f t="shared" si="2178"/>
        <v>Ok</v>
      </c>
      <c r="BD274" s="100" t="str">
        <f t="shared" ref="BD274" si="2183">IF(ROUND(BD242-BD264,10)=ROUND(BD272,10),"Ok","Error")</f>
        <v>Ok</v>
      </c>
      <c r="BE274" s="100" t="str">
        <f t="shared" ref="BE274" si="2184">IF(ROUND(BE242-BE264,10)=ROUND(BE272,10),"Ok","Error")</f>
        <v>Ok</v>
      </c>
      <c r="BF274" s="100" t="str">
        <f t="shared" ref="BF274" si="2185">IF(ROUND(BF242-BF264,10)=ROUND(BF272,10),"Ok","Error")</f>
        <v>Ok</v>
      </c>
      <c r="BG274" s="100" t="str">
        <f t="shared" ref="BG274" si="2186">IF(ROUND(BG242-BG264,10)=ROUND(BG272,10),"Ok","Error")</f>
        <v>Ok</v>
      </c>
      <c r="BH274" s="100" t="str">
        <f t="shared" ref="BH274" si="2187">IF(ROUND(BH242-BH264,10)=ROUND(BH272,10),"Ok","Error")</f>
        <v>Ok</v>
      </c>
      <c r="BI274" s="100" t="str">
        <f t="shared" ref="BI274:BM274" si="2188">IF(ROUND(BI242-BI264,10)=ROUND(BI272,10),"Ok","Error")</f>
        <v>Ok</v>
      </c>
      <c r="BJ274" s="100" t="str">
        <f t="shared" si="2188"/>
        <v>Ok</v>
      </c>
      <c r="BK274" s="100" t="str">
        <f t="shared" si="2188"/>
        <v>Ok</v>
      </c>
      <c r="BL274" s="100" t="str">
        <f t="shared" si="2188"/>
        <v>Ok</v>
      </c>
      <c r="BM274" s="100" t="str">
        <f t="shared" si="2188"/>
        <v>Ok</v>
      </c>
      <c r="BN274" s="100" t="str">
        <f>IF(ROUND(BN242-BN264,5)=ROUND(BN272,5),"Ok","Error")</f>
        <v>Ok</v>
      </c>
      <c r="BO274" s="97" t="str">
        <f t="shared" ref="BO274:BP274" si="2189">IF(ROUND(BO242-BO264,10)=ROUND(BO272,10),"Ok","Error")</f>
        <v>Ok</v>
      </c>
      <c r="BP274" s="100" t="str">
        <f t="shared" si="2189"/>
        <v>Error</v>
      </c>
      <c r="BQ274" s="100" t="str">
        <f t="shared" ref="BQ274:BR274" si="2190">IF(ROUND(BQ242-BQ264,10)=ROUND(BQ272,10),"Ok","Error")</f>
        <v>Ok</v>
      </c>
      <c r="BR274" s="100" t="str">
        <f t="shared" si="2190"/>
        <v>Ok</v>
      </c>
      <c r="BS274" s="100" t="str">
        <f>IF(ROUND(BS242-BS264,5)=ROUND(BS272,5),"Ok","Error")</f>
        <v>Ok</v>
      </c>
      <c r="BT274" s="100" t="str">
        <f>IF(ROUND(BT242-BT264,5)=ROUND(BT272,5),"Ok","Error")</f>
        <v>Ok</v>
      </c>
    </row>
    <row r="275" spans="1:72" ht="12" customHeight="1">
      <c r="C275" s="19"/>
      <c r="D275" s="19"/>
      <c r="AK275" s="19"/>
      <c r="AL275" s="19"/>
      <c r="AM275" s="19"/>
      <c r="AN275" s="19"/>
      <c r="AO275" s="19"/>
      <c r="AP275" s="19"/>
      <c r="AQ275" s="19"/>
      <c r="AR275" s="19"/>
      <c r="AS275" s="19"/>
      <c r="AU275" s="19"/>
      <c r="AV275" s="19"/>
      <c r="AW275" s="19"/>
      <c r="AX275" s="19"/>
      <c r="AY275" s="19"/>
    </row>
    <row r="276" spans="1:72" s="9" customFormat="1" ht="12" customHeight="1">
      <c r="A276" s="91" t="s">
        <v>583</v>
      </c>
      <c r="B276" s="2" t="s">
        <v>194</v>
      </c>
      <c r="C276" s="2"/>
      <c r="D276" s="93">
        <f>D304+D307</f>
        <v>9093</v>
      </c>
      <c r="E276" s="93">
        <f t="shared" ref="E276:M276" si="2191">E304+E307</f>
        <v>8885</v>
      </c>
      <c r="F276" s="93">
        <f t="shared" si="2191"/>
        <v>8473</v>
      </c>
      <c r="G276" s="93">
        <f t="shared" si="2191"/>
        <v>9047</v>
      </c>
      <c r="H276" s="93">
        <f t="shared" si="2191"/>
        <v>9655</v>
      </c>
      <c r="I276" s="93">
        <f t="shared" si="2191"/>
        <v>8989</v>
      </c>
      <c r="J276" s="93">
        <f t="shared" si="2191"/>
        <v>9103</v>
      </c>
      <c r="K276" s="93">
        <f t="shared" si="2191"/>
        <v>9665</v>
      </c>
      <c r="L276" s="93">
        <f t="shared" ref="L276" si="2192">L304+L307</f>
        <v>10196</v>
      </c>
      <c r="M276" s="93">
        <f t="shared" si="2191"/>
        <v>9515</v>
      </c>
      <c r="N276" s="93">
        <f t="shared" ref="N276:O276" si="2193">N304+N307</f>
        <v>9692</v>
      </c>
      <c r="O276" s="93">
        <f t="shared" si="2193"/>
        <v>12195</v>
      </c>
      <c r="P276" s="93">
        <f t="shared" ref="P276:Q276" si="2194">P304+P307</f>
        <v>13312</v>
      </c>
      <c r="Q276" s="93">
        <f t="shared" si="2194"/>
        <v>13859</v>
      </c>
      <c r="R276" s="93">
        <f t="shared" ref="R276:S276" si="2195">R304+R307</f>
        <v>13622</v>
      </c>
      <c r="S276" s="93">
        <f t="shared" si="2195"/>
        <v>14439</v>
      </c>
      <c r="T276" s="93">
        <f t="shared" ref="T276:U276" si="2196">T304+T307</f>
        <v>14202</v>
      </c>
      <c r="U276" s="93">
        <f t="shared" si="2196"/>
        <v>14954</v>
      </c>
      <c r="V276" s="93">
        <f t="shared" ref="V276:W276" si="2197">V304+V307</f>
        <v>15503</v>
      </c>
      <c r="W276" s="93">
        <f t="shared" si="2197"/>
        <v>18197</v>
      </c>
      <c r="X276" s="93">
        <f t="shared" ref="X276:Y276" si="2198">X304+X307</f>
        <v>20162</v>
      </c>
      <c r="Y276" s="93">
        <f t="shared" si="2198"/>
        <v>21242</v>
      </c>
      <c r="Z276" s="93">
        <f t="shared" ref="Z276:AA276" si="2199">Z304+Z307</f>
        <v>21086</v>
      </c>
      <c r="AA276" s="93">
        <f t="shared" si="2199"/>
        <v>22428</v>
      </c>
      <c r="AB276" s="93">
        <f t="shared" ref="AB276:AC276" si="2200">AB304+AB307</f>
        <v>24292</v>
      </c>
      <c r="AC276" s="93">
        <f t="shared" si="2200"/>
        <v>28290</v>
      </c>
      <c r="AD276" s="93">
        <f t="shared" ref="AD276:AE276" si="2201">AD304+AD307</f>
        <v>31507</v>
      </c>
      <c r="AE276" s="93">
        <f t="shared" si="2201"/>
        <v>33363</v>
      </c>
      <c r="AF276" s="93">
        <f t="shared" ref="AF276:AG276" si="2202">AF304+AF307</f>
        <v>32712</v>
      </c>
      <c r="AG276" s="93">
        <f t="shared" si="2202"/>
        <v>33250</v>
      </c>
      <c r="AH276" s="93">
        <f t="shared" ref="AH276:AI276" si="2203">AH304+AH307</f>
        <v>33119</v>
      </c>
      <c r="AI276" s="93">
        <f t="shared" si="2203"/>
        <v>35550</v>
      </c>
      <c r="AJ276" s="94">
        <f t="shared" ref="AJ276:AK276" si="2204">AJ304+AJ307</f>
        <v>34808</v>
      </c>
      <c r="AK276" s="93">
        <f t="shared" si="2204"/>
        <v>35774.009692673935</v>
      </c>
      <c r="AL276" s="93">
        <f t="shared" ref="AL276:AM276" si="2205">AL304+AL307</f>
        <v>35907.883322627182</v>
      </c>
      <c r="AM276" s="93">
        <f t="shared" si="2205"/>
        <v>36617.178795763997</v>
      </c>
      <c r="AN276" s="93">
        <f t="shared" ref="AN276:AO276" si="2206">AN304+AN307</f>
        <v>37247.11022586457</v>
      </c>
      <c r="AO276" s="93">
        <f t="shared" si="2206"/>
        <v>38463.355402918307</v>
      </c>
      <c r="AP276" s="93">
        <f t="shared" ref="AP276:AQ276" si="2207">AP304+AP307</f>
        <v>39000.856119084434</v>
      </c>
      <c r="AQ276" s="93">
        <f t="shared" si="2207"/>
        <v>40336.216180245989</v>
      </c>
      <c r="AR276" s="93">
        <f t="shared" ref="AR276:AS276" si="2208">AR304+AR307</f>
        <v>41158.33288671232</v>
      </c>
      <c r="AS276" s="93">
        <f t="shared" si="2208"/>
        <v>42485.826116142052</v>
      </c>
      <c r="AT276" s="2"/>
      <c r="AU276" s="93">
        <f t="shared" ref="AU276:AY276" si="2209">AU304+AU307</f>
        <v>2215</v>
      </c>
      <c r="AV276" s="93">
        <f t="shared" si="2209"/>
        <v>2586</v>
      </c>
      <c r="AW276" s="93">
        <f t="shared" si="2209"/>
        <v>4664</v>
      </c>
      <c r="AX276" s="93">
        <f t="shared" si="2209"/>
        <v>3592</v>
      </c>
      <c r="AY276" s="93">
        <f t="shared" si="2209"/>
        <v>7196</v>
      </c>
      <c r="AZ276" s="93">
        <f t="shared" ref="AZ276" si="2210">AZ304+AZ307</f>
        <v>8885</v>
      </c>
      <c r="BA276" s="93">
        <f t="shared" ref="BA276" si="2211">BA304+BA307</f>
        <v>9047</v>
      </c>
      <c r="BB276" s="93">
        <f t="shared" ref="BB276" si="2212">BB304+BB307</f>
        <v>8989</v>
      </c>
      <c r="BC276" s="93">
        <f t="shared" ref="BC276:BD276" si="2213">BC304+BC307</f>
        <v>9665</v>
      </c>
      <c r="BD276" s="93">
        <f t="shared" si="2213"/>
        <v>9515</v>
      </c>
      <c r="BE276" s="93">
        <f t="shared" ref="BE276" si="2214">BE304+BE307</f>
        <v>12195</v>
      </c>
      <c r="BF276" s="93">
        <f t="shared" ref="BF276" si="2215">BF304+BF307</f>
        <v>13859</v>
      </c>
      <c r="BG276" s="93">
        <f t="shared" ref="BG276" si="2216">BG304+BG307</f>
        <v>14439</v>
      </c>
      <c r="BH276" s="93">
        <f t="shared" ref="BH276" si="2217">BH304+BH307</f>
        <v>14954</v>
      </c>
      <c r="BI276" s="93">
        <f t="shared" ref="BI276:BN276" si="2218">BI304+BI307</f>
        <v>18197</v>
      </c>
      <c r="BJ276" s="93">
        <f t="shared" si="2218"/>
        <v>21242</v>
      </c>
      <c r="BK276" s="93">
        <f t="shared" si="2218"/>
        <v>22428</v>
      </c>
      <c r="BL276" s="93">
        <f t="shared" si="2218"/>
        <v>28290</v>
      </c>
      <c r="BM276" s="93">
        <f t="shared" si="2218"/>
        <v>33363</v>
      </c>
      <c r="BN276" s="93">
        <f t="shared" si="2218"/>
        <v>33250</v>
      </c>
      <c r="BO276" s="94">
        <f t="shared" ref="BO276:BP276" si="2219">BO304+BO307</f>
        <v>35550</v>
      </c>
      <c r="BP276" s="93">
        <f t="shared" si="2219"/>
        <v>35774.009692673935</v>
      </c>
      <c r="BQ276" s="93">
        <f t="shared" ref="BQ276:BR276" si="2220">BQ304+BQ307</f>
        <v>36617.178795763997</v>
      </c>
      <c r="BR276" s="93">
        <f t="shared" si="2220"/>
        <v>38463.355402918307</v>
      </c>
      <c r="BS276" s="93">
        <f t="shared" ref="BS276" si="2221">BS304+BS307</f>
        <v>40336.216180245989</v>
      </c>
      <c r="BT276" s="93">
        <f t="shared" ref="BT276" si="2222">BT304+BT307</f>
        <v>42485.826116142052</v>
      </c>
    </row>
    <row r="277" spans="1:72" ht="12" customHeight="1" outlineLevel="1">
      <c r="L277" s="19"/>
      <c r="M277" s="19"/>
    </row>
    <row r="278" spans="1:72" ht="12" customHeight="1" outlineLevel="1">
      <c r="B278" s="9" t="s">
        <v>192</v>
      </c>
    </row>
    <row r="279" spans="1:72" s="9" customFormat="1" ht="12" customHeight="1" outlineLevel="1">
      <c r="A279" s="91"/>
      <c r="B279" s="9" t="s">
        <v>191</v>
      </c>
      <c r="C279" s="17"/>
      <c r="D279" s="17">
        <f t="shared" ref="D279:M279" si="2223">D217</f>
        <v>6800</v>
      </c>
      <c r="E279" s="17">
        <f t="shared" si="2223"/>
        <v>8500</v>
      </c>
      <c r="F279" s="17">
        <f t="shared" si="2223"/>
        <v>8700</v>
      </c>
      <c r="G279" s="17">
        <f t="shared" si="2223"/>
        <v>9100</v>
      </c>
      <c r="H279" s="17">
        <f t="shared" si="2223"/>
        <v>9400</v>
      </c>
      <c r="I279" s="17">
        <f t="shared" si="2223"/>
        <v>9200</v>
      </c>
      <c r="J279" s="17">
        <f t="shared" si="2223"/>
        <v>8700</v>
      </c>
      <c r="K279" s="17">
        <f t="shared" si="2223"/>
        <v>8700</v>
      </c>
      <c r="L279" s="17">
        <f t="shared" ref="L279" si="2224">L217</f>
        <v>9400</v>
      </c>
      <c r="M279" s="17">
        <f t="shared" si="2223"/>
        <v>9500</v>
      </c>
      <c r="N279" s="17">
        <f t="shared" ref="N279:O279" si="2225">N217</f>
        <v>9400</v>
      </c>
      <c r="O279" s="17">
        <f t="shared" si="2225"/>
        <v>11600</v>
      </c>
      <c r="P279" s="17">
        <f t="shared" ref="P279:Q279" si="2226">P217</f>
        <v>11900</v>
      </c>
      <c r="Q279" s="17">
        <f t="shared" si="2226"/>
        <v>12700</v>
      </c>
      <c r="R279" s="17">
        <f t="shared" ref="R279:S279" si="2227">R217</f>
        <v>12500</v>
      </c>
      <c r="S279" s="17">
        <f t="shared" si="2227"/>
        <v>12600</v>
      </c>
      <c r="T279" s="17">
        <f t="shared" ref="T279:U279" si="2228">T217</f>
        <v>12600</v>
      </c>
      <c r="U279" s="17">
        <f t="shared" si="2228"/>
        <v>14600</v>
      </c>
      <c r="V279" s="17">
        <f t="shared" ref="V279:W279" si="2229">V217</f>
        <v>14500</v>
      </c>
      <c r="W279" s="17">
        <f t="shared" si="2229"/>
        <v>12800</v>
      </c>
      <c r="X279" s="17">
        <f t="shared" ref="X279:Y279" si="2230">X217</f>
        <v>14000</v>
      </c>
      <c r="Y279" s="17">
        <f t="shared" si="2230"/>
        <v>15800</v>
      </c>
      <c r="Z279" s="17">
        <f t="shared" ref="Z279:AA279" si="2231">Z217</f>
        <v>15700</v>
      </c>
      <c r="AA279" s="17">
        <f t="shared" si="2231"/>
        <v>15800</v>
      </c>
      <c r="AB279" s="17">
        <f t="shared" ref="AB279:AC279" si="2232">AB217</f>
        <v>18400</v>
      </c>
      <c r="AC279" s="17">
        <f t="shared" si="2232"/>
        <v>20300</v>
      </c>
      <c r="AD279" s="17">
        <f t="shared" ref="AD279:AE279" si="2233">AD217</f>
        <v>23121</v>
      </c>
      <c r="AE279" s="17">
        <f t="shared" si="2233"/>
        <v>22771</v>
      </c>
      <c r="AF279" s="17">
        <f t="shared" ref="AF279:AG279" si="2234">AF217</f>
        <v>22611</v>
      </c>
      <c r="AG279" s="17">
        <f t="shared" si="2234"/>
        <v>23799</v>
      </c>
      <c r="AH279" s="17">
        <f t="shared" ref="AH279:AJ279" si="2235">AH217</f>
        <v>23353</v>
      </c>
      <c r="AI279" s="17">
        <f t="shared" si="2235"/>
        <v>25549</v>
      </c>
      <c r="AJ279" s="18">
        <f t="shared" si="2235"/>
        <v>25313</v>
      </c>
      <c r="AK279" s="17">
        <f t="shared" ref="AK279" si="2236">AK217</f>
        <v>26198.233894937352</v>
      </c>
      <c r="AL279" s="17">
        <f t="shared" ref="AL279:AM279" si="2237">AL217</f>
        <v>26454.009914034501</v>
      </c>
      <c r="AM279" s="17">
        <f t="shared" si="2237"/>
        <v>27218.012441810253</v>
      </c>
      <c r="AN279" s="17">
        <f t="shared" ref="AN279:AO279" si="2238">AN217</f>
        <v>27882.500544118375</v>
      </c>
      <c r="AO279" s="17">
        <f t="shared" si="2238"/>
        <v>29071.545809153184</v>
      </c>
      <c r="AP279" s="17">
        <f t="shared" ref="AP279:AQ279" si="2239">AP217</f>
        <v>29645.412922926149</v>
      </c>
      <c r="AQ279" s="17">
        <f t="shared" si="2239"/>
        <v>30934.801089641976</v>
      </c>
      <c r="AR279" s="17">
        <f t="shared" ref="AR279:AS279" si="2240">AR217</f>
        <v>31760.011886165179</v>
      </c>
      <c r="AS279" s="17">
        <f t="shared" si="2240"/>
        <v>33044.960028931258</v>
      </c>
      <c r="AU279" s="17">
        <f t="shared" ref="AU279:AX279" si="2241">AU217</f>
        <v>0</v>
      </c>
      <c r="AV279" s="17">
        <f t="shared" si="2241"/>
        <v>0</v>
      </c>
      <c r="AW279" s="17">
        <f t="shared" si="2241"/>
        <v>0</v>
      </c>
      <c r="AX279" s="17">
        <f t="shared" si="2241"/>
        <v>6400</v>
      </c>
      <c r="AY279" s="17">
        <f t="shared" ref="AY279" si="2242">AY217</f>
        <v>6400</v>
      </c>
      <c r="AZ279" s="17">
        <f>E279</f>
        <v>8500</v>
      </c>
      <c r="BA279" s="17">
        <f>G279</f>
        <v>9100</v>
      </c>
      <c r="BB279" s="17">
        <f>I279</f>
        <v>9200</v>
      </c>
      <c r="BC279" s="17">
        <f>K279</f>
        <v>8700</v>
      </c>
      <c r="BD279" s="17">
        <f>M279</f>
        <v>9500</v>
      </c>
      <c r="BE279" s="17">
        <f>O279</f>
        <v>11600</v>
      </c>
      <c r="BF279" s="17">
        <f>Q279</f>
        <v>12700</v>
      </c>
      <c r="BG279" s="17">
        <f>S279</f>
        <v>12600</v>
      </c>
      <c r="BH279" s="17">
        <f>U279</f>
        <v>14600</v>
      </c>
      <c r="BI279" s="17">
        <f>W279</f>
        <v>12800</v>
      </c>
      <c r="BJ279" s="17">
        <f>Y279</f>
        <v>15800</v>
      </c>
      <c r="BK279" s="17">
        <f>AA279</f>
        <v>15800</v>
      </c>
      <c r="BL279" s="17">
        <f>AC279</f>
        <v>20300</v>
      </c>
      <c r="BM279" s="17">
        <f>AE279</f>
        <v>22771</v>
      </c>
      <c r="BN279" s="17">
        <f>AG279</f>
        <v>23799</v>
      </c>
      <c r="BO279" s="18">
        <f>AI279</f>
        <v>25549</v>
      </c>
      <c r="BP279" s="17">
        <f>AK279</f>
        <v>26198.233894937352</v>
      </c>
      <c r="BQ279" s="17">
        <f>AM279</f>
        <v>27218.012441810253</v>
      </c>
      <c r="BR279" s="17">
        <f>AO279</f>
        <v>29071.545809153184</v>
      </c>
      <c r="BS279" s="17">
        <f>AQ279</f>
        <v>30934.801089641976</v>
      </c>
      <c r="BT279" s="17">
        <f>AS279</f>
        <v>33044.960028931258</v>
      </c>
    </row>
    <row r="280" spans="1:72" ht="12" customHeight="1" outlineLevel="1"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20"/>
      <c r="AK280" s="19"/>
      <c r="AL280" s="19"/>
      <c r="AM280" s="19"/>
      <c r="AN280" s="19"/>
      <c r="AO280" s="19"/>
      <c r="AP280" s="19"/>
      <c r="AQ280" s="19"/>
      <c r="AR280" s="19"/>
      <c r="AS280" s="19"/>
      <c r="AU280" s="19"/>
      <c r="AV280" s="19"/>
      <c r="AW280" s="19"/>
      <c r="AX280" s="19"/>
      <c r="AY280" s="19"/>
    </row>
    <row r="281" spans="1:72" ht="12" customHeight="1" outlineLevel="1">
      <c r="B281" s="102" t="s">
        <v>197</v>
      </c>
      <c r="C281" s="19"/>
      <c r="D281" s="19">
        <f t="shared" ref="D281:I281" si="2243">D282-D279</f>
        <v>-294</v>
      </c>
      <c r="E281" s="19">
        <f t="shared" si="2243"/>
        <v>-1029</v>
      </c>
      <c r="F281" s="19">
        <f t="shared" si="2243"/>
        <v>-711</v>
      </c>
      <c r="G281" s="19">
        <f t="shared" si="2243"/>
        <v>-1036</v>
      </c>
      <c r="H281" s="19">
        <f t="shared" si="2243"/>
        <v>-636</v>
      </c>
      <c r="I281" s="19">
        <f t="shared" si="2243"/>
        <v>-302</v>
      </c>
      <c r="J281" s="19">
        <f t="shared" ref="J281:N281" si="2244">J282-J279</f>
        <v>-337</v>
      </c>
      <c r="K281" s="19">
        <f t="shared" si="2244"/>
        <v>-392</v>
      </c>
      <c r="L281" s="19">
        <f t="shared" si="2244"/>
        <v>-459</v>
      </c>
      <c r="M281" s="19">
        <f t="shared" si="2244"/>
        <v>-461</v>
      </c>
      <c r="N281" s="59">
        <f t="shared" si="2244"/>
        <v>-409</v>
      </c>
      <c r="O281" s="59">
        <f t="shared" ref="O281:P281" si="2245">O282-O279</f>
        <v>-387</v>
      </c>
      <c r="P281" s="59">
        <f t="shared" si="2245"/>
        <v>-344</v>
      </c>
      <c r="Q281" s="59">
        <f t="shared" ref="Q281:R281" si="2246">Q282-Q279</f>
        <v>-270</v>
      </c>
      <c r="R281" s="59">
        <f t="shared" si="2246"/>
        <v>-493</v>
      </c>
      <c r="S281" s="59">
        <f t="shared" ref="S281:T281" si="2247">S282-S279</f>
        <v>-315</v>
      </c>
      <c r="T281" s="59">
        <f t="shared" si="2247"/>
        <v>-374</v>
      </c>
      <c r="U281" s="59">
        <f t="shared" ref="U281:V281" si="2248">U282-U279</f>
        <v>-1938</v>
      </c>
      <c r="V281" s="59">
        <f t="shared" si="2248"/>
        <v>-1856</v>
      </c>
      <c r="W281" s="59">
        <f t="shared" ref="W281:Y281" si="2249">W282-W279</f>
        <v>-1926</v>
      </c>
      <c r="X281" s="59">
        <f t="shared" si="2249"/>
        <v>-2032</v>
      </c>
      <c r="Y281" s="59">
        <f t="shared" si="2249"/>
        <v>-1952</v>
      </c>
      <c r="Z281" s="59">
        <f t="shared" ref="Z281:AA281" si="2250">Z282-Z279</f>
        <v>-1853</v>
      </c>
      <c r="AA281" s="59">
        <f t="shared" si="2250"/>
        <v>-1721</v>
      </c>
      <c r="AB281" s="59">
        <f t="shared" ref="AB281:AC281" si="2251">AB282-AB279</f>
        <v>-2332</v>
      </c>
      <c r="AC281" s="59">
        <f t="shared" si="2251"/>
        <v>-2342</v>
      </c>
      <c r="AD281" s="59">
        <f t="shared" ref="AD281:AE281" si="2252">AD282-AD279</f>
        <v>-2468</v>
      </c>
      <c r="AE281" s="59">
        <f t="shared" si="2252"/>
        <v>-2418</v>
      </c>
      <c r="AF281" s="59">
        <f t="shared" ref="AF281:AG281" si="2253">AF282-AF279</f>
        <v>-2463</v>
      </c>
      <c r="AG281" s="59">
        <f t="shared" si="2253"/>
        <v>-2446</v>
      </c>
      <c r="AH281" s="59">
        <f t="shared" ref="AH281:AJ281" si="2254">AH282-AH279</f>
        <v>-2381</v>
      </c>
      <c r="AI281" s="59">
        <f t="shared" si="2254"/>
        <v>-2496</v>
      </c>
      <c r="AJ281" s="60">
        <f t="shared" si="2254"/>
        <v>-2430</v>
      </c>
      <c r="AK281" s="58">
        <f t="shared" ref="AK281" si="2255">AJ281</f>
        <v>-2430</v>
      </c>
      <c r="AL281" s="58">
        <f t="shared" ref="AL281" si="2256">AK281</f>
        <v>-2430</v>
      </c>
      <c r="AM281" s="58">
        <f t="shared" ref="AM281" si="2257">AL281</f>
        <v>-2430</v>
      </c>
      <c r="AN281" s="58">
        <f t="shared" ref="AN281" si="2258">AM281</f>
        <v>-2430</v>
      </c>
      <c r="AO281" s="58">
        <f t="shared" ref="AO281" si="2259">AN281</f>
        <v>-2430</v>
      </c>
      <c r="AP281" s="58">
        <f t="shared" ref="AP281" si="2260">AO281</f>
        <v>-2430</v>
      </c>
      <c r="AQ281" s="58">
        <f t="shared" ref="AQ281" si="2261">AP281</f>
        <v>-2430</v>
      </c>
      <c r="AR281" s="58">
        <f t="shared" ref="AR281" si="2262">AQ281</f>
        <v>-2430</v>
      </c>
      <c r="AS281" s="58">
        <f t="shared" ref="AS281" si="2263">AR281</f>
        <v>-2430</v>
      </c>
      <c r="AU281" s="19">
        <f t="shared" ref="AU281" si="2264">AU282-AU279</f>
        <v>3386</v>
      </c>
      <c r="AV281" s="19">
        <f t="shared" ref="AV281:AX281" si="2265">AV282-AV279</f>
        <v>3802</v>
      </c>
      <c r="AW281" s="19">
        <f t="shared" si="2265"/>
        <v>5991</v>
      </c>
      <c r="AX281" s="19">
        <f t="shared" si="2265"/>
        <v>-1601</v>
      </c>
      <c r="AY281" s="19">
        <f t="shared" ref="AY281" si="2266">AY282-AY279</f>
        <v>-768</v>
      </c>
      <c r="AZ281" s="19">
        <f>E281</f>
        <v>-1029</v>
      </c>
      <c r="BA281" s="19">
        <f>G281</f>
        <v>-1036</v>
      </c>
      <c r="BB281" s="19">
        <f>I281</f>
        <v>-302</v>
      </c>
      <c r="BC281" s="19">
        <f>K281</f>
        <v>-392</v>
      </c>
      <c r="BD281" s="19">
        <f>M281</f>
        <v>-461</v>
      </c>
      <c r="BE281" s="19">
        <f>O281</f>
        <v>-387</v>
      </c>
      <c r="BF281" s="19">
        <f>Q281</f>
        <v>-270</v>
      </c>
      <c r="BG281" s="19">
        <f>S281</f>
        <v>-315</v>
      </c>
      <c r="BH281" s="19">
        <f>U281</f>
        <v>-1938</v>
      </c>
      <c r="BI281" s="19">
        <f>W281</f>
        <v>-1926</v>
      </c>
      <c r="BJ281" s="19">
        <f>Y281</f>
        <v>-1952</v>
      </c>
      <c r="BK281" s="19">
        <f>AA281</f>
        <v>-1721</v>
      </c>
      <c r="BL281" s="19">
        <f>AC281</f>
        <v>-2342</v>
      </c>
      <c r="BM281" s="19">
        <f>AE281</f>
        <v>-2418</v>
      </c>
      <c r="BN281" s="19">
        <f>AG281</f>
        <v>-2446</v>
      </c>
      <c r="BO281" s="20">
        <f>AI281</f>
        <v>-2496</v>
      </c>
      <c r="BP281" s="19">
        <f>AK281</f>
        <v>-2430</v>
      </c>
      <c r="BQ281" s="19">
        <f>AM281</f>
        <v>-2430</v>
      </c>
      <c r="BR281" s="19">
        <f>AO281</f>
        <v>-2430</v>
      </c>
      <c r="BS281" s="19">
        <f>AQ281</f>
        <v>-2430</v>
      </c>
      <c r="BT281" s="19">
        <f>AS281</f>
        <v>-2430</v>
      </c>
    </row>
    <row r="282" spans="1:72" s="9" customFormat="1" ht="12" customHeight="1" outlineLevel="1">
      <c r="A282" s="91"/>
      <c r="B282" s="103" t="s">
        <v>198</v>
      </c>
      <c r="C282" s="17"/>
      <c r="D282" s="22">
        <f>6971-465</f>
        <v>6506</v>
      </c>
      <c r="E282" s="22">
        <f>7930-459</f>
        <v>7471</v>
      </c>
      <c r="F282" s="22">
        <f>8446-457</f>
        <v>7989</v>
      </c>
      <c r="G282" s="22">
        <f>8519-455</f>
        <v>8064</v>
      </c>
      <c r="H282" s="22">
        <f>9221-457</f>
        <v>8764</v>
      </c>
      <c r="I282" s="22">
        <v>8898</v>
      </c>
      <c r="J282" s="22">
        <v>8363</v>
      </c>
      <c r="K282" s="22">
        <v>8308</v>
      </c>
      <c r="L282" s="22">
        <v>8941</v>
      </c>
      <c r="M282" s="22">
        <v>9039</v>
      </c>
      <c r="N282" s="22">
        <v>8991</v>
      </c>
      <c r="O282" s="22">
        <v>11213</v>
      </c>
      <c r="P282" s="22">
        <v>11556</v>
      </c>
      <c r="Q282" s="22">
        <v>12430</v>
      </c>
      <c r="R282" s="22">
        <v>12007</v>
      </c>
      <c r="S282" s="22">
        <v>12285</v>
      </c>
      <c r="T282" s="22">
        <v>12226</v>
      </c>
      <c r="U282" s="22">
        <v>12662</v>
      </c>
      <c r="V282" s="22">
        <v>12644</v>
      </c>
      <c r="W282" s="22">
        <v>10874</v>
      </c>
      <c r="X282" s="22">
        <v>11968</v>
      </c>
      <c r="Y282" s="22">
        <v>13848</v>
      </c>
      <c r="Z282" s="22">
        <v>13847</v>
      </c>
      <c r="AA282" s="22">
        <v>14079</v>
      </c>
      <c r="AB282" s="22">
        <v>16068</v>
      </c>
      <c r="AC282" s="22">
        <v>17958</v>
      </c>
      <c r="AD282" s="22">
        <v>20653</v>
      </c>
      <c r="AE282" s="22">
        <v>20353</v>
      </c>
      <c r="AF282" s="22">
        <v>20148</v>
      </c>
      <c r="AG282" s="22">
        <v>21353</v>
      </c>
      <c r="AH282" s="22">
        <v>20972</v>
      </c>
      <c r="AI282" s="22">
        <v>23053</v>
      </c>
      <c r="AJ282" s="23">
        <v>22883</v>
      </c>
      <c r="AK282" s="17">
        <f t="shared" ref="AK282" si="2267">AK279+AK281</f>
        <v>23768.233894937352</v>
      </c>
      <c r="AL282" s="17">
        <f t="shared" ref="AL282:AM282" si="2268">AL279+AL281</f>
        <v>24024.009914034501</v>
      </c>
      <c r="AM282" s="17">
        <f t="shared" si="2268"/>
        <v>24788.012441810253</v>
      </c>
      <c r="AN282" s="17">
        <f t="shared" ref="AN282:AO282" si="2269">AN279+AN281</f>
        <v>25452.500544118375</v>
      </c>
      <c r="AO282" s="17">
        <f t="shared" si="2269"/>
        <v>26641.545809153184</v>
      </c>
      <c r="AP282" s="17">
        <f t="shared" ref="AP282:AQ282" si="2270">AP279+AP281</f>
        <v>27215.412922926149</v>
      </c>
      <c r="AQ282" s="17">
        <f t="shared" si="2270"/>
        <v>28504.801089641976</v>
      </c>
      <c r="AR282" s="17">
        <f t="shared" ref="AR282:AS282" si="2271">AR279+AR281</f>
        <v>29330.011886165179</v>
      </c>
      <c r="AS282" s="17">
        <f t="shared" si="2271"/>
        <v>30614.960028931258</v>
      </c>
      <c r="AU282" s="22">
        <f>4233-391-456</f>
        <v>3386</v>
      </c>
      <c r="AV282" s="22">
        <f>4772-391-579</f>
        <v>3802</v>
      </c>
      <c r="AW282" s="22">
        <f>7223-391-841</f>
        <v>5991</v>
      </c>
      <c r="AX282" s="22">
        <f>5754-955</f>
        <v>4799</v>
      </c>
      <c r="AY282" s="22">
        <f>6547-0-915</f>
        <v>5632</v>
      </c>
      <c r="AZ282" s="17">
        <f t="shared" ref="AZ282:BH282" si="2272">AZ279+AZ281</f>
        <v>7471</v>
      </c>
      <c r="BA282" s="17">
        <f t="shared" si="2272"/>
        <v>8064</v>
      </c>
      <c r="BB282" s="17">
        <f t="shared" si="2272"/>
        <v>8898</v>
      </c>
      <c r="BC282" s="17">
        <f t="shared" si="2272"/>
        <v>8308</v>
      </c>
      <c r="BD282" s="17">
        <f t="shared" si="2272"/>
        <v>9039</v>
      </c>
      <c r="BE282" s="17">
        <f t="shared" si="2272"/>
        <v>11213</v>
      </c>
      <c r="BF282" s="17">
        <f t="shared" si="2272"/>
        <v>12430</v>
      </c>
      <c r="BG282" s="17">
        <f t="shared" si="2272"/>
        <v>12285</v>
      </c>
      <c r="BH282" s="17">
        <f t="shared" si="2272"/>
        <v>12662</v>
      </c>
      <c r="BI282" s="17">
        <f t="shared" ref="BI282" si="2273">BI279+BI281</f>
        <v>10874</v>
      </c>
      <c r="BJ282" s="17">
        <f t="shared" ref="BJ282:BO282" si="2274">BJ279+BJ281</f>
        <v>13848</v>
      </c>
      <c r="BK282" s="17">
        <f t="shared" si="2274"/>
        <v>14079</v>
      </c>
      <c r="BL282" s="17">
        <f t="shared" si="2274"/>
        <v>17958</v>
      </c>
      <c r="BM282" s="17">
        <f t="shared" si="2274"/>
        <v>20353</v>
      </c>
      <c r="BN282" s="17">
        <f t="shared" si="2274"/>
        <v>21353</v>
      </c>
      <c r="BO282" s="18">
        <f t="shared" si="2274"/>
        <v>23053</v>
      </c>
      <c r="BP282" s="17">
        <f t="shared" ref="BP282:BQ282" si="2275">BP279+BP281</f>
        <v>23768.233894937352</v>
      </c>
      <c r="BQ282" s="17">
        <f t="shared" si="2275"/>
        <v>24788.012441810253</v>
      </c>
      <c r="BR282" s="17">
        <f t="shared" ref="BR282:BS282" si="2276">BR279+BR281</f>
        <v>26641.545809153184</v>
      </c>
      <c r="BS282" s="17">
        <f t="shared" si="2276"/>
        <v>28504.801089641976</v>
      </c>
      <c r="BT282" s="17">
        <f>BT279+BT281</f>
        <v>30614.960028931258</v>
      </c>
    </row>
    <row r="283" spans="1:72" ht="12" customHeight="1" outlineLevel="1"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20"/>
      <c r="AK283" s="19"/>
      <c r="AL283" s="19"/>
      <c r="AM283" s="19"/>
      <c r="AN283" s="19"/>
      <c r="AO283" s="19"/>
      <c r="AP283" s="19"/>
      <c r="AQ283" s="19"/>
      <c r="AR283" s="19"/>
      <c r="AS283" s="19"/>
      <c r="AU283" s="19"/>
      <c r="AV283" s="19"/>
      <c r="AW283" s="19"/>
      <c r="AX283" s="19"/>
      <c r="AY283" s="19"/>
    </row>
    <row r="284" spans="1:72" ht="12" customHeight="1" outlineLevel="1">
      <c r="B284" s="103" t="s">
        <v>199</v>
      </c>
      <c r="C284" s="19"/>
      <c r="D284" s="19"/>
      <c r="E284" s="19"/>
      <c r="F284" s="176">
        <f>F287/F173</f>
        <v>-0.33888888888888891</v>
      </c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20"/>
      <c r="AK284" s="19"/>
      <c r="AL284" s="19"/>
      <c r="AM284" s="19"/>
      <c r="AN284" s="19"/>
      <c r="AO284" s="19"/>
      <c r="AP284" s="19"/>
      <c r="AQ284" s="19"/>
      <c r="AR284" s="19"/>
      <c r="AS284" s="19"/>
      <c r="AU284" s="19"/>
      <c r="AV284" s="19"/>
      <c r="AW284" s="19"/>
      <c r="AX284" s="19"/>
      <c r="AY284" s="19"/>
    </row>
    <row r="285" spans="1:72" ht="12" customHeight="1" outlineLevel="1">
      <c r="A285" s="91" t="s">
        <v>1057</v>
      </c>
      <c r="B285" s="1" t="s">
        <v>200</v>
      </c>
      <c r="C285" s="19"/>
      <c r="D285" s="21">
        <v>-135</v>
      </c>
      <c r="E285" s="21">
        <v>-193</v>
      </c>
      <c r="F285" s="21">
        <v>-193</v>
      </c>
      <c r="G285" s="21">
        <v>-181</v>
      </c>
      <c r="H285" s="21">
        <v>-193</v>
      </c>
      <c r="I285" s="21">
        <v>-138</v>
      </c>
      <c r="J285" s="21">
        <v>-133</v>
      </c>
      <c r="K285" s="21">
        <v>-136</v>
      </c>
      <c r="L285" s="21">
        <v>-185</v>
      </c>
      <c r="M285" s="21">
        <v>-104</v>
      </c>
      <c r="N285" s="62">
        <v>-109</v>
      </c>
      <c r="O285" s="62">
        <v>-50</v>
      </c>
      <c r="P285" s="62">
        <v>-51</v>
      </c>
      <c r="Q285" s="62">
        <v>-46</v>
      </c>
      <c r="R285" s="62">
        <v>-46</v>
      </c>
      <c r="S285" s="62">
        <v>-37</v>
      </c>
      <c r="T285" s="62">
        <v>-39</v>
      </c>
      <c r="U285" s="62">
        <v>-40</v>
      </c>
      <c r="V285" s="62">
        <v>-41</v>
      </c>
      <c r="W285" s="62">
        <v>-42</v>
      </c>
      <c r="X285" s="62">
        <v>-44</v>
      </c>
      <c r="Y285" s="62">
        <v>-47</v>
      </c>
      <c r="Z285" s="62">
        <v>-41</v>
      </c>
      <c r="AA285" s="62">
        <v>-39</v>
      </c>
      <c r="AB285" s="62">
        <v>-41</v>
      </c>
      <c r="AC285" s="62">
        <v>-36</v>
      </c>
      <c r="AD285" s="62">
        <v>-41</v>
      </c>
      <c r="AE285" s="62">
        <v>-39</v>
      </c>
      <c r="AF285" s="62">
        <v>-41</v>
      </c>
      <c r="AG285" s="62">
        <v>-40</v>
      </c>
      <c r="AH285" s="62">
        <v>-38</v>
      </c>
      <c r="AI285" s="62">
        <v>-42</v>
      </c>
      <c r="AJ285" s="57">
        <v>0</v>
      </c>
      <c r="AK285" s="58">
        <f t="shared" ref="AK285:AK286" si="2277">AJ285</f>
        <v>0</v>
      </c>
      <c r="AL285" s="58">
        <f t="shared" ref="AL285:AL286" si="2278">AK285</f>
        <v>0</v>
      </c>
      <c r="AM285" s="58">
        <f t="shared" ref="AM285:AM286" si="2279">AL285</f>
        <v>0</v>
      </c>
      <c r="AN285" s="58">
        <f t="shared" ref="AN285:AN286" si="2280">AM285</f>
        <v>0</v>
      </c>
      <c r="AO285" s="58">
        <f t="shared" ref="AO285:AO286" si="2281">AN285</f>
        <v>0</v>
      </c>
      <c r="AP285" s="58">
        <f t="shared" ref="AP285:AP286" si="2282">AO285</f>
        <v>0</v>
      </c>
      <c r="AQ285" s="58">
        <f t="shared" ref="AQ285:AQ286" si="2283">AP285</f>
        <v>0</v>
      </c>
      <c r="AR285" s="58">
        <f t="shared" ref="AR285:AR286" si="2284">AQ285</f>
        <v>0</v>
      </c>
      <c r="AS285" s="58">
        <f t="shared" ref="AS285:AS286" si="2285">AR285</f>
        <v>0</v>
      </c>
      <c r="AU285" s="21">
        <v>-294</v>
      </c>
      <c r="AV285" s="21">
        <v>-283</v>
      </c>
      <c r="AW285" s="21">
        <v>-151</v>
      </c>
      <c r="AX285" s="21">
        <v>-62</v>
      </c>
      <c r="AY285" s="21">
        <v>-162</v>
      </c>
      <c r="AZ285" s="19">
        <f t="shared" ref="AZ285:AZ301" si="2286">E285</f>
        <v>-193</v>
      </c>
      <c r="BA285" s="19">
        <f t="shared" ref="BA285:BA301" si="2287">G285</f>
        <v>-181</v>
      </c>
      <c r="BB285" s="19">
        <f t="shared" ref="BB285:BB301" si="2288">I285</f>
        <v>-138</v>
      </c>
      <c r="BC285" s="19">
        <f t="shared" ref="BC285:BC301" si="2289">K285</f>
        <v>-136</v>
      </c>
      <c r="BD285" s="19">
        <f t="shared" ref="BD285:BD301" si="2290">M285</f>
        <v>-104</v>
      </c>
      <c r="BE285" s="19">
        <f t="shared" ref="BE285:BE301" si="2291">O285</f>
        <v>-50</v>
      </c>
      <c r="BF285" s="19">
        <f t="shared" ref="BF285:BF301" si="2292">Q285</f>
        <v>-46</v>
      </c>
      <c r="BG285" s="19">
        <f t="shared" ref="BG285:BG301" si="2293">S285</f>
        <v>-37</v>
      </c>
      <c r="BH285" s="19">
        <f t="shared" ref="BH285:BH301" si="2294">U285</f>
        <v>-40</v>
      </c>
      <c r="BI285" s="19">
        <f t="shared" ref="BI285:BI301" si="2295">W285</f>
        <v>-42</v>
      </c>
      <c r="BJ285" s="19">
        <f t="shared" ref="BJ285:BJ301" si="2296">Y285</f>
        <v>-47</v>
      </c>
      <c r="BK285" s="19">
        <f t="shared" ref="BK285:BK301" si="2297">AA285</f>
        <v>-39</v>
      </c>
      <c r="BL285" s="19">
        <f t="shared" ref="BL285:BL301" si="2298">AC285</f>
        <v>-36</v>
      </c>
      <c r="BM285" s="19">
        <f t="shared" ref="BM285:BM301" si="2299">AE285</f>
        <v>-39</v>
      </c>
      <c r="BN285" s="19">
        <f t="shared" ref="BN285:BN301" si="2300">AG285</f>
        <v>-40</v>
      </c>
      <c r="BO285" s="20">
        <f t="shared" ref="BO285:BO301" si="2301">AI285</f>
        <v>-42</v>
      </c>
      <c r="BP285" s="19">
        <f t="shared" ref="BP285:BP301" si="2302">AK285</f>
        <v>0</v>
      </c>
      <c r="BQ285" s="19">
        <f t="shared" ref="BQ285:BQ301" si="2303">AM285</f>
        <v>0</v>
      </c>
      <c r="BR285" s="19">
        <f t="shared" ref="BR285:BR301" si="2304">AO285</f>
        <v>0</v>
      </c>
      <c r="BS285" s="19">
        <f t="shared" ref="BS285:BS301" si="2305">AQ285</f>
        <v>0</v>
      </c>
      <c r="BT285" s="19">
        <f t="shared" ref="BT285:BT301" si="2306">AS285</f>
        <v>0</v>
      </c>
    </row>
    <row r="286" spans="1:72" ht="12" customHeight="1" outlineLevel="1">
      <c r="B286" s="1" t="s">
        <v>201</v>
      </c>
      <c r="C286" s="19"/>
      <c r="D286" s="21">
        <v>-426</v>
      </c>
      <c r="E286" s="21">
        <v>-434</v>
      </c>
      <c r="F286" s="21">
        <v>-381</v>
      </c>
      <c r="G286" s="21">
        <v>-291</v>
      </c>
      <c r="H286" s="21">
        <v>-123</v>
      </c>
      <c r="I286" s="21">
        <v>-104</v>
      </c>
      <c r="J286" s="21">
        <v>-122</v>
      </c>
      <c r="K286" s="21">
        <v>-200</v>
      </c>
      <c r="L286" s="21">
        <v>-249</v>
      </c>
      <c r="M286" s="21">
        <v>-189</v>
      </c>
      <c r="N286" s="62">
        <v>-201</v>
      </c>
      <c r="O286" s="62">
        <v>-243</v>
      </c>
      <c r="P286" s="62">
        <v>-241</v>
      </c>
      <c r="Q286" s="62">
        <v>-173</v>
      </c>
      <c r="R286" s="62">
        <v>-149</v>
      </c>
      <c r="S286" s="62">
        <v>-157</v>
      </c>
      <c r="T286" s="62">
        <v>-167</v>
      </c>
      <c r="U286" s="62">
        <v>-142</v>
      </c>
      <c r="V286" s="62">
        <v>-198</v>
      </c>
      <c r="W286" s="62">
        <v>-420</v>
      </c>
      <c r="X286" s="62">
        <v>-437</v>
      </c>
      <c r="Y286" s="62">
        <v>-489</v>
      </c>
      <c r="Z286" s="62">
        <v>-527</v>
      </c>
      <c r="AA286" s="62">
        <v>-793</v>
      </c>
      <c r="AB286" s="62">
        <v>-748</v>
      </c>
      <c r="AC286" s="62">
        <v>-853</v>
      </c>
      <c r="AD286" s="62">
        <v>-912</v>
      </c>
      <c r="AE286" s="62">
        <v>-1044</v>
      </c>
      <c r="AF286" s="62">
        <v>-963</v>
      </c>
      <c r="AG286" s="62">
        <v>-1032</v>
      </c>
      <c r="AH286" s="62">
        <v>-941</v>
      </c>
      <c r="AI286" s="62">
        <v>-1072</v>
      </c>
      <c r="AJ286" s="57">
        <v>-895</v>
      </c>
      <c r="AK286" s="58">
        <f t="shared" si="2277"/>
        <v>-895</v>
      </c>
      <c r="AL286" s="58">
        <f t="shared" si="2278"/>
        <v>-895</v>
      </c>
      <c r="AM286" s="58">
        <f t="shared" si="2279"/>
        <v>-895</v>
      </c>
      <c r="AN286" s="58">
        <f t="shared" si="2280"/>
        <v>-895</v>
      </c>
      <c r="AO286" s="58">
        <f t="shared" si="2281"/>
        <v>-895</v>
      </c>
      <c r="AP286" s="58">
        <f t="shared" si="2282"/>
        <v>-895</v>
      </c>
      <c r="AQ286" s="58">
        <f t="shared" si="2283"/>
        <v>-895</v>
      </c>
      <c r="AR286" s="58">
        <f t="shared" si="2284"/>
        <v>-895</v>
      </c>
      <c r="AS286" s="58">
        <f t="shared" si="2285"/>
        <v>-895</v>
      </c>
      <c r="AU286" s="21">
        <v>-96</v>
      </c>
      <c r="AV286" s="21">
        <v>-114</v>
      </c>
      <c r="AW286" s="21">
        <v>-445</v>
      </c>
      <c r="AX286" s="21">
        <v>-68</v>
      </c>
      <c r="AY286" s="21">
        <v>-53</v>
      </c>
      <c r="AZ286" s="19">
        <f t="shared" si="2286"/>
        <v>-434</v>
      </c>
      <c r="BA286" s="19">
        <f t="shared" si="2287"/>
        <v>-291</v>
      </c>
      <c r="BB286" s="19">
        <f t="shared" si="2288"/>
        <v>-104</v>
      </c>
      <c r="BC286" s="19">
        <f t="shared" si="2289"/>
        <v>-200</v>
      </c>
      <c r="BD286" s="19">
        <f t="shared" si="2290"/>
        <v>-189</v>
      </c>
      <c r="BE286" s="19">
        <f t="shared" si="2291"/>
        <v>-243</v>
      </c>
      <c r="BF286" s="19">
        <f t="shared" si="2292"/>
        <v>-173</v>
      </c>
      <c r="BG286" s="19">
        <f t="shared" si="2293"/>
        <v>-157</v>
      </c>
      <c r="BH286" s="19">
        <f t="shared" si="2294"/>
        <v>-142</v>
      </c>
      <c r="BI286" s="19">
        <f t="shared" si="2295"/>
        <v>-420</v>
      </c>
      <c r="BJ286" s="19">
        <f t="shared" si="2296"/>
        <v>-489</v>
      </c>
      <c r="BK286" s="19">
        <f t="shared" si="2297"/>
        <v>-793</v>
      </c>
      <c r="BL286" s="19">
        <f t="shared" si="2298"/>
        <v>-853</v>
      </c>
      <c r="BM286" s="19">
        <f t="shared" si="2299"/>
        <v>-1044</v>
      </c>
      <c r="BN286" s="19">
        <f t="shared" si="2300"/>
        <v>-1032</v>
      </c>
      <c r="BO286" s="20">
        <f t="shared" si="2301"/>
        <v>-1072</v>
      </c>
      <c r="BP286" s="19">
        <f t="shared" si="2302"/>
        <v>-895</v>
      </c>
      <c r="BQ286" s="19">
        <f t="shared" si="2303"/>
        <v>-895</v>
      </c>
      <c r="BR286" s="19">
        <f t="shared" si="2304"/>
        <v>-895</v>
      </c>
      <c r="BS286" s="19">
        <f t="shared" si="2305"/>
        <v>-895</v>
      </c>
      <c r="BT286" s="19">
        <f t="shared" si="2306"/>
        <v>-895</v>
      </c>
    </row>
    <row r="287" spans="1:72" ht="12" customHeight="1" outlineLevel="1">
      <c r="B287" s="1" t="s">
        <v>202</v>
      </c>
      <c r="C287" s="19"/>
      <c r="D287" s="21">
        <v>-139</v>
      </c>
      <c r="E287" s="21">
        <v>-621</v>
      </c>
      <c r="F287" s="21">
        <v>-610</v>
      </c>
      <c r="G287" s="21">
        <v>-583</v>
      </c>
      <c r="H287" s="21">
        <v>-631</v>
      </c>
      <c r="I287" s="21">
        <v>-608</v>
      </c>
      <c r="J287" s="21">
        <v>-563</v>
      </c>
      <c r="K287" s="21">
        <v>-380</v>
      </c>
      <c r="L287" s="21">
        <v>-410</v>
      </c>
      <c r="M287" s="21">
        <v>-443</v>
      </c>
      <c r="N287" s="21">
        <v>-438</v>
      </c>
      <c r="O287" s="21">
        <v>-479</v>
      </c>
      <c r="P287" s="21">
        <v>-42</v>
      </c>
      <c r="Q287" s="21">
        <v>-36</v>
      </c>
      <c r="R287" s="21">
        <v>-39</v>
      </c>
      <c r="S287" s="21">
        <v>-51</v>
      </c>
      <c r="T287" s="21">
        <v>-51</v>
      </c>
      <c r="U287" s="21">
        <v>-63</v>
      </c>
      <c r="V287" s="21">
        <v>-59</v>
      </c>
      <c r="W287" s="21">
        <v>-50</v>
      </c>
      <c r="X287" s="21">
        <v>-52</v>
      </c>
      <c r="Y287" s="21">
        <v>-53</v>
      </c>
      <c r="Z287" s="21">
        <v>-36</v>
      </c>
      <c r="AA287" s="21">
        <v>-35</v>
      </c>
      <c r="AB287" s="21">
        <v>-34</v>
      </c>
      <c r="AC287" s="21">
        <v>-37</v>
      </c>
      <c r="AD287" s="21">
        <v>-38</v>
      </c>
      <c r="AE287" s="21">
        <v>-39</v>
      </c>
      <c r="AF287" s="21">
        <v>-40</v>
      </c>
      <c r="AG287" s="21">
        <v>-47</v>
      </c>
      <c r="AH287" s="21">
        <v>-51</v>
      </c>
      <c r="AI287" s="21">
        <v>-28</v>
      </c>
      <c r="AJ287" s="24">
        <v>-24</v>
      </c>
      <c r="AK287" s="19">
        <f t="shared" ref="AK287" si="2307">AJ287*AK173/AJ173</f>
        <v>-24.614597201321367</v>
      </c>
      <c r="AL287" s="19">
        <f t="shared" ref="AL287" si="2308">AK287*AL173/AK173</f>
        <v>-25.782969074615334</v>
      </c>
      <c r="AM287" s="19">
        <f t="shared" ref="AM287" si="2309">AL287*AM173/AL173</f>
        <v>-26.592730764943557</v>
      </c>
      <c r="AN287" s="19">
        <f t="shared" ref="AN287" si="2310">AM287*AN173/AM173</f>
        <v>-26.797366276777897</v>
      </c>
      <c r="AO287" s="19">
        <f t="shared" ref="AO287" si="2311">AN287*AO173/AN173</f>
        <v>-27.01661745540607</v>
      </c>
      <c r="AP287" s="19">
        <f t="shared" ref="AP287" si="2312">AO287*AP173/AO173</f>
        <v>-27.250248702440381</v>
      </c>
      <c r="AQ287" s="19">
        <f t="shared" ref="AQ287" si="2313">AP287*AQ173/AP173</f>
        <v>-27.268138754912599</v>
      </c>
      <c r="AR287" s="19">
        <f t="shared" ref="AR287" si="2314">AQ287*AR173/AQ173</f>
        <v>-27.081738799981814</v>
      </c>
      <c r="AS287" s="19">
        <f t="shared" ref="AS287" si="2315">AR287*AS173/AR173</f>
        <v>-26.922614539458227</v>
      </c>
      <c r="AU287" s="21">
        <v>0</v>
      </c>
      <c r="AV287" s="21">
        <v>0</v>
      </c>
      <c r="AW287" s="21">
        <v>0</v>
      </c>
      <c r="AX287" s="21">
        <v>-48</v>
      </c>
      <c r="AY287" s="21">
        <v>-128</v>
      </c>
      <c r="AZ287" s="19">
        <f t="shared" si="2286"/>
        <v>-621</v>
      </c>
      <c r="BA287" s="19">
        <f t="shared" si="2287"/>
        <v>-583</v>
      </c>
      <c r="BB287" s="19">
        <f t="shared" si="2288"/>
        <v>-608</v>
      </c>
      <c r="BC287" s="19">
        <f t="shared" si="2289"/>
        <v>-380</v>
      </c>
      <c r="BD287" s="19">
        <f t="shared" si="2290"/>
        <v>-443</v>
      </c>
      <c r="BE287" s="19">
        <f t="shared" si="2291"/>
        <v>-479</v>
      </c>
      <c r="BF287" s="19">
        <f t="shared" si="2292"/>
        <v>-36</v>
      </c>
      <c r="BG287" s="19">
        <f t="shared" si="2293"/>
        <v>-51</v>
      </c>
      <c r="BH287" s="19">
        <f t="shared" si="2294"/>
        <v>-63</v>
      </c>
      <c r="BI287" s="19">
        <f t="shared" si="2295"/>
        <v>-50</v>
      </c>
      <c r="BJ287" s="19">
        <f t="shared" si="2296"/>
        <v>-53</v>
      </c>
      <c r="BK287" s="19">
        <f t="shared" si="2297"/>
        <v>-35</v>
      </c>
      <c r="BL287" s="19">
        <f t="shared" si="2298"/>
        <v>-37</v>
      </c>
      <c r="BM287" s="19">
        <f t="shared" si="2299"/>
        <v>-39</v>
      </c>
      <c r="BN287" s="19">
        <f t="shared" si="2300"/>
        <v>-47</v>
      </c>
      <c r="BO287" s="20">
        <f t="shared" si="2301"/>
        <v>-28</v>
      </c>
      <c r="BP287" s="19">
        <f t="shared" si="2302"/>
        <v>-24.614597201321367</v>
      </c>
      <c r="BQ287" s="19">
        <f t="shared" si="2303"/>
        <v>-26.592730764943557</v>
      </c>
      <c r="BR287" s="19">
        <f t="shared" si="2304"/>
        <v>-27.01661745540607</v>
      </c>
      <c r="BS287" s="19">
        <f t="shared" si="2305"/>
        <v>-27.268138754912599</v>
      </c>
      <c r="BT287" s="19">
        <f t="shared" si="2306"/>
        <v>-26.922614539458227</v>
      </c>
    </row>
    <row r="288" spans="1:72" ht="12" customHeight="1" outlineLevel="1">
      <c r="B288" s="1" t="s">
        <v>203</v>
      </c>
      <c r="C288" s="19"/>
      <c r="D288" s="21">
        <v>-142</v>
      </c>
      <c r="E288" s="21">
        <v>-132</v>
      </c>
      <c r="F288" s="21">
        <v>-131</v>
      </c>
      <c r="G288" s="21">
        <v>-97</v>
      </c>
      <c r="H288" s="21">
        <v>-97</v>
      </c>
      <c r="I288" s="21">
        <v>-124</v>
      </c>
      <c r="J288" s="21">
        <v>-81</v>
      </c>
      <c r="K288" s="21">
        <v>-86</v>
      </c>
      <c r="L288" s="21">
        <v>-117</v>
      </c>
      <c r="M288" s="21">
        <v>-115</v>
      </c>
      <c r="N288" s="21">
        <v>-173</v>
      </c>
      <c r="O288" s="21">
        <v>-215</v>
      </c>
      <c r="P288" s="21">
        <v>-265</v>
      </c>
      <c r="Q288" s="21">
        <v>-278</v>
      </c>
      <c r="R288" s="21">
        <v>-320</v>
      </c>
      <c r="S288" s="21">
        <v>-349</v>
      </c>
      <c r="T288" s="21">
        <v>-384</v>
      </c>
      <c r="U288" s="21">
        <v>-397</v>
      </c>
      <c r="V288" s="21">
        <v>-429</v>
      </c>
      <c r="W288" s="21">
        <v>-411</v>
      </c>
      <c r="X288" s="21">
        <v>-415</v>
      </c>
      <c r="Y288" s="21">
        <v>-441</v>
      </c>
      <c r="Z288" s="21">
        <v>-458</v>
      </c>
      <c r="AA288" s="21">
        <v>-497</v>
      </c>
      <c r="AB288" s="21">
        <v>-534</v>
      </c>
      <c r="AC288" s="21">
        <v>-582</v>
      </c>
      <c r="AD288" s="21">
        <v>-630</v>
      </c>
      <c r="AE288" s="21">
        <v>-717</v>
      </c>
      <c r="AF288" s="21">
        <v>-752</v>
      </c>
      <c r="AG288" s="21">
        <v>-783</v>
      </c>
      <c r="AH288" s="21">
        <v>-811</v>
      </c>
      <c r="AI288" s="21">
        <v>-851</v>
      </c>
      <c r="AJ288" s="24">
        <v>-985</v>
      </c>
      <c r="AK288" s="19">
        <f t="shared" ref="AK288" si="2316">AJ288*(AK170+AK171)/(AJ170+AJ171)</f>
        <v>-1068.0258258928573</v>
      </c>
      <c r="AL288" s="19">
        <f t="shared" ref="AL288" si="2317">AK288*(AL170+AL171)/(AK170+AK171)</f>
        <v>-1148.1368433035716</v>
      </c>
      <c r="AM288" s="19">
        <f t="shared" ref="AM288" si="2318">AL288*(AM170+AM171)/(AL170+AL171)</f>
        <v>-1227.5968555256698</v>
      </c>
      <c r="AN288" s="19">
        <f t="shared" ref="AN288" si="2319">AM288*(AN170+AN171)/(AM170+AM171)</f>
        <v>-1296.5182267820983</v>
      </c>
      <c r="AO288" s="19">
        <f t="shared" ref="AO288" si="2320">AN288*(AO170+AO171)/(AN170+AN171)</f>
        <v>-1362.8920347641654</v>
      </c>
      <c r="AP288" s="19">
        <f t="shared" ref="AP288" si="2321">AO288*(AP170+AP171)/(AO170+AO171)</f>
        <v>-1425.847668874266</v>
      </c>
      <c r="AQ288" s="19">
        <f t="shared" ref="AQ288" si="2322">AP288*(AQ170+AQ171)/(AP170+AP171)</f>
        <v>-1490.4811392379663</v>
      </c>
      <c r="AR288" s="19">
        <f t="shared" ref="AR288" si="2323">AQ288*(AR170+AR171)/(AQ170+AQ171)</f>
        <v>-1556.8049159824031</v>
      </c>
      <c r="AS288" s="19">
        <f t="shared" ref="AS288" si="2324">AR288*(AS170+AS171)/(AR170+AR171)</f>
        <v>-1626.3202893783307</v>
      </c>
      <c r="AU288" s="21">
        <v>0</v>
      </c>
      <c r="AV288" s="21">
        <v>0</v>
      </c>
      <c r="AW288" s="21">
        <v>0</v>
      </c>
      <c r="AX288" s="21">
        <v>-252</v>
      </c>
      <c r="AY288" s="21">
        <v>-170</v>
      </c>
      <c r="AZ288" s="19">
        <f t="shared" si="2286"/>
        <v>-132</v>
      </c>
      <c r="BA288" s="19">
        <f t="shared" si="2287"/>
        <v>-97</v>
      </c>
      <c r="BB288" s="19">
        <f t="shared" si="2288"/>
        <v>-124</v>
      </c>
      <c r="BC288" s="19">
        <f t="shared" si="2289"/>
        <v>-86</v>
      </c>
      <c r="BD288" s="19">
        <f t="shared" si="2290"/>
        <v>-115</v>
      </c>
      <c r="BE288" s="19">
        <f t="shared" si="2291"/>
        <v>-215</v>
      </c>
      <c r="BF288" s="19">
        <f t="shared" si="2292"/>
        <v>-278</v>
      </c>
      <c r="BG288" s="19">
        <f t="shared" si="2293"/>
        <v>-349</v>
      </c>
      <c r="BH288" s="19">
        <f t="shared" si="2294"/>
        <v>-397</v>
      </c>
      <c r="BI288" s="19">
        <f t="shared" si="2295"/>
        <v>-411</v>
      </c>
      <c r="BJ288" s="19">
        <f t="shared" si="2296"/>
        <v>-441</v>
      </c>
      <c r="BK288" s="19">
        <f t="shared" si="2297"/>
        <v>-497</v>
      </c>
      <c r="BL288" s="19">
        <f t="shared" si="2298"/>
        <v>-582</v>
      </c>
      <c r="BM288" s="19">
        <f t="shared" si="2299"/>
        <v>-717</v>
      </c>
      <c r="BN288" s="19">
        <f t="shared" si="2300"/>
        <v>-783</v>
      </c>
      <c r="BO288" s="20">
        <f t="shared" si="2301"/>
        <v>-851</v>
      </c>
      <c r="BP288" s="19">
        <f t="shared" si="2302"/>
        <v>-1068.0258258928573</v>
      </c>
      <c r="BQ288" s="19">
        <f t="shared" si="2303"/>
        <v>-1227.5968555256698</v>
      </c>
      <c r="BR288" s="19">
        <f t="shared" si="2304"/>
        <v>-1362.8920347641654</v>
      </c>
      <c r="BS288" s="19">
        <f t="shared" si="2305"/>
        <v>-1490.4811392379663</v>
      </c>
      <c r="BT288" s="19">
        <f t="shared" si="2306"/>
        <v>-1626.3202893783307</v>
      </c>
    </row>
    <row r="289" spans="1:72" ht="12" customHeight="1" outlineLevel="1">
      <c r="B289" s="1" t="s">
        <v>204</v>
      </c>
      <c r="C289" s="19"/>
      <c r="D289" s="21">
        <v>-256</v>
      </c>
      <c r="E289" s="21">
        <v>-171</v>
      </c>
      <c r="F289" s="21">
        <v>-155</v>
      </c>
      <c r="G289" s="21">
        <v>-141</v>
      </c>
      <c r="H289" s="21">
        <v>-58</v>
      </c>
      <c r="I289" s="21">
        <v>-230</v>
      </c>
      <c r="J289" s="21">
        <v>-202</v>
      </c>
      <c r="K289" s="21">
        <v>-140</v>
      </c>
      <c r="L289" s="21">
        <v>-152</v>
      </c>
      <c r="M289" s="21">
        <v>-380</v>
      </c>
      <c r="N289" s="21">
        <v>-348</v>
      </c>
      <c r="O289" s="21">
        <v>-263</v>
      </c>
      <c r="P289" s="21">
        <v>-259</v>
      </c>
      <c r="Q289" s="21">
        <v>-267</v>
      </c>
      <c r="R289" s="21">
        <v>-304</v>
      </c>
      <c r="S289" s="21">
        <v>-338</v>
      </c>
      <c r="T289" s="21">
        <v>-364</v>
      </c>
      <c r="U289" s="21">
        <v>-428</v>
      </c>
      <c r="V289" s="21">
        <v>-376</v>
      </c>
      <c r="W289" s="21">
        <v>-269</v>
      </c>
      <c r="X289" s="21">
        <v>-350</v>
      </c>
      <c r="Y289" s="21">
        <v>-317</v>
      </c>
      <c r="Z289" s="21">
        <v>-80</v>
      </c>
      <c r="AA289" s="21">
        <v>-63</v>
      </c>
      <c r="AB289" s="21">
        <v>-141</v>
      </c>
      <c r="AC289" s="21">
        <v>-302</v>
      </c>
      <c r="AD289" s="21">
        <v>-231</v>
      </c>
      <c r="AE289" s="21">
        <v>-218</v>
      </c>
      <c r="AF289" s="21">
        <v>-246</v>
      </c>
      <c r="AG289" s="21">
        <v>-487</v>
      </c>
      <c r="AH289" s="21">
        <v>-327</v>
      </c>
      <c r="AI289" s="21">
        <v>-439</v>
      </c>
      <c r="AJ289" s="24">
        <v>-491</v>
      </c>
      <c r="AK289" s="19">
        <f t="shared" ref="AK289" si="2325">AJ289*(AK115+AK116)/(AJ115+AJ116)</f>
        <v>-532.38647767857151</v>
      </c>
      <c r="AL289" s="19">
        <f t="shared" ref="AL289" si="2326">AK289*(AL115+AL116)/(AK115+AK116)</f>
        <v>-572.3199899107143</v>
      </c>
      <c r="AM289" s="19">
        <f t="shared" ref="AM289" si="2327">AL289*(AM115+AM116)/(AL115+AL116)</f>
        <v>-611.92899092700895</v>
      </c>
      <c r="AN289" s="19">
        <f t="shared" ref="AN289" si="2328">AM289*(AN115+AN116)/(AM115+AM116)</f>
        <v>-646.28472015229477</v>
      </c>
      <c r="AO289" s="19">
        <f t="shared" ref="AO289" si="2329">AN289*(AO115+AO116)/(AN115+AN116)</f>
        <v>-679.37054727838097</v>
      </c>
      <c r="AP289" s="19">
        <f t="shared" ref="AP289" si="2330">AO289*(AP115+AP116)/(AO115+AO116)</f>
        <v>-710.75249280940568</v>
      </c>
      <c r="AQ289" s="19">
        <f t="shared" ref="AQ289" si="2331">AP289*(AQ115+AQ116)/(AP115+AP116)</f>
        <v>-742.97080138664103</v>
      </c>
      <c r="AR289" s="19">
        <f t="shared" ref="AR289" si="2332">AQ289*(AR115+AR116)/(AQ115+AQ116)</f>
        <v>-776.03168908361408</v>
      </c>
      <c r="AS289" s="19">
        <f t="shared" ref="AS289" si="2333">AR289*(AS115+AS116)/(AR115+AR116)</f>
        <v>-810.6835148068634</v>
      </c>
      <c r="AU289" s="21">
        <v>0</v>
      </c>
      <c r="AV289" s="21">
        <v>0</v>
      </c>
      <c r="AW289" s="21">
        <v>0</v>
      </c>
      <c r="AX289" s="21">
        <v>-89</v>
      </c>
      <c r="AY289" s="21">
        <v>-294</v>
      </c>
      <c r="AZ289" s="19">
        <f t="shared" si="2286"/>
        <v>-171</v>
      </c>
      <c r="BA289" s="19">
        <f t="shared" si="2287"/>
        <v>-141</v>
      </c>
      <c r="BB289" s="19">
        <f t="shared" si="2288"/>
        <v>-230</v>
      </c>
      <c r="BC289" s="19">
        <f t="shared" si="2289"/>
        <v>-140</v>
      </c>
      <c r="BD289" s="19">
        <f t="shared" si="2290"/>
        <v>-380</v>
      </c>
      <c r="BE289" s="19">
        <f t="shared" si="2291"/>
        <v>-263</v>
      </c>
      <c r="BF289" s="19">
        <f t="shared" si="2292"/>
        <v>-267</v>
      </c>
      <c r="BG289" s="19">
        <f t="shared" si="2293"/>
        <v>-338</v>
      </c>
      <c r="BH289" s="19">
        <f t="shared" si="2294"/>
        <v>-428</v>
      </c>
      <c r="BI289" s="19">
        <f t="shared" si="2295"/>
        <v>-269</v>
      </c>
      <c r="BJ289" s="19">
        <f t="shared" si="2296"/>
        <v>-317</v>
      </c>
      <c r="BK289" s="19">
        <f t="shared" si="2297"/>
        <v>-63</v>
      </c>
      <c r="BL289" s="19">
        <f t="shared" si="2298"/>
        <v>-302</v>
      </c>
      <c r="BM289" s="19">
        <f t="shared" si="2299"/>
        <v>-218</v>
      </c>
      <c r="BN289" s="19">
        <f t="shared" si="2300"/>
        <v>-487</v>
      </c>
      <c r="BO289" s="20">
        <f t="shared" si="2301"/>
        <v>-439</v>
      </c>
      <c r="BP289" s="19">
        <f t="shared" si="2302"/>
        <v>-532.38647767857151</v>
      </c>
      <c r="BQ289" s="19">
        <f t="shared" si="2303"/>
        <v>-611.92899092700895</v>
      </c>
      <c r="BR289" s="19">
        <f t="shared" si="2304"/>
        <v>-679.37054727838097</v>
      </c>
      <c r="BS289" s="19">
        <f t="shared" si="2305"/>
        <v>-742.97080138664103</v>
      </c>
      <c r="BT289" s="19">
        <f t="shared" si="2306"/>
        <v>-810.6835148068634</v>
      </c>
    </row>
    <row r="290" spans="1:72" ht="12" customHeight="1" outlineLevel="1">
      <c r="B290" s="1" t="s">
        <v>206</v>
      </c>
      <c r="C290" s="19"/>
      <c r="D290" s="21">
        <f>-119-283-70</f>
        <v>-472</v>
      </c>
      <c r="E290" s="21">
        <f>-151-255-43</f>
        <v>-449</v>
      </c>
      <c r="F290" s="21">
        <f>-312-275-165</f>
        <v>-752</v>
      </c>
      <c r="G290" s="21">
        <f>-347-276-277</f>
        <v>-900</v>
      </c>
      <c r="H290" s="21">
        <f>-295-217-260</f>
        <v>-772</v>
      </c>
      <c r="I290" s="21">
        <v>-1641</v>
      </c>
      <c r="J290" s="21">
        <v>-1518</v>
      </c>
      <c r="K290" s="21">
        <v>-1455</v>
      </c>
      <c r="L290" s="21">
        <v>-1490</v>
      </c>
      <c r="M290" s="21">
        <v>-1307</v>
      </c>
      <c r="N290" s="21">
        <v>-1361</v>
      </c>
      <c r="O290" s="21">
        <v>-1386</v>
      </c>
      <c r="P290" s="21">
        <v>-1474</v>
      </c>
      <c r="Q290" s="21">
        <v>-1345</v>
      </c>
      <c r="R290" s="21">
        <v>-1257</v>
      </c>
      <c r="S290" s="21">
        <v>-1179</v>
      </c>
      <c r="T290" s="21">
        <v>-1137</v>
      </c>
      <c r="U290" s="21">
        <v>-1201</v>
      </c>
      <c r="V290" s="21">
        <v>-1279</v>
      </c>
      <c r="W290" s="21">
        <v>-678</v>
      </c>
      <c r="X290" s="21">
        <v>-565</v>
      </c>
      <c r="Y290" s="21">
        <v>-588</v>
      </c>
      <c r="Z290" s="21">
        <v>-613</v>
      </c>
      <c r="AA290" s="21">
        <v>-695</v>
      </c>
      <c r="AB290" s="21">
        <v>-859</v>
      </c>
      <c r="AC290" s="21">
        <v>-952</v>
      </c>
      <c r="AD290" s="21">
        <v>-975</v>
      </c>
      <c r="AE290" s="21">
        <v>-998</v>
      </c>
      <c r="AF290" s="21">
        <v>-1044</v>
      </c>
      <c r="AG290" s="21">
        <v>-1080</v>
      </c>
      <c r="AH290" s="21">
        <v>-1032</v>
      </c>
      <c r="AI290" s="21">
        <v>-1193</v>
      </c>
      <c r="AJ290" s="24">
        <v>-1211</v>
      </c>
      <c r="AK290" s="19">
        <f t="shared" ref="AK290" si="2334">AJ290*(((AK287/AJ287-1)/2)+1)</f>
        <v>-1226.5057752250034</v>
      </c>
      <c r="AL290" s="19">
        <f t="shared" ref="AL290" si="2335">AK290*(((AL287/AK287-1)/2)+1)</f>
        <v>-1255.6148205302131</v>
      </c>
      <c r="AM290" s="19">
        <f t="shared" ref="AM290" si="2336">AL290*(((AM287/AL287-1)/2)+1)</f>
        <v>-1275.3322699932921</v>
      </c>
      <c r="AN290" s="19">
        <f t="shared" ref="AN290" si="2337">AM290*(((AN287/AM287-1)/2)+1)</f>
        <v>-1280.2392175748653</v>
      </c>
      <c r="AO290" s="19">
        <f t="shared" ref="AO290" si="2338">AN290*(((AO287/AN287-1)/2)+1)</f>
        <v>-1285.4765598285803</v>
      </c>
      <c r="AP290" s="19">
        <f t="shared" ref="AP290" si="2339">AO290*(((AP287/AO287-1)/2)+1)</f>
        <v>-1291.0347591886937</v>
      </c>
      <c r="AQ290" s="19">
        <f t="shared" ref="AQ290" si="2340">AP290*(((AQ287/AP287-1)/2)+1)</f>
        <v>-1291.4585476068758</v>
      </c>
      <c r="AR290" s="19">
        <f t="shared" ref="AR290" si="2341">AQ290*(((AR287/AQ287-1)/2)+1)</f>
        <v>-1287.0444616798425</v>
      </c>
      <c r="AS290" s="19">
        <f t="shared" ref="AS290" si="2342">AR290*(((AS287/AR287-1)/2)+1)</f>
        <v>-1283.26331602043</v>
      </c>
      <c r="AU290" s="21">
        <v>-781</v>
      </c>
      <c r="AV290" s="21">
        <v>-819</v>
      </c>
      <c r="AW290" s="21">
        <v>-687</v>
      </c>
      <c r="AX290" s="21">
        <f>-60-254-13</f>
        <v>-327</v>
      </c>
      <c r="AY290" s="21">
        <f>-112-274-74</f>
        <v>-460</v>
      </c>
      <c r="AZ290" s="19">
        <f t="shared" si="2286"/>
        <v>-449</v>
      </c>
      <c r="BA290" s="19">
        <f t="shared" si="2287"/>
        <v>-900</v>
      </c>
      <c r="BB290" s="19">
        <f t="shared" si="2288"/>
        <v>-1641</v>
      </c>
      <c r="BC290" s="19">
        <f t="shared" si="2289"/>
        <v>-1455</v>
      </c>
      <c r="BD290" s="19">
        <f t="shared" si="2290"/>
        <v>-1307</v>
      </c>
      <c r="BE290" s="19">
        <f t="shared" si="2291"/>
        <v>-1386</v>
      </c>
      <c r="BF290" s="19">
        <f t="shared" si="2292"/>
        <v>-1345</v>
      </c>
      <c r="BG290" s="19">
        <f t="shared" si="2293"/>
        <v>-1179</v>
      </c>
      <c r="BH290" s="19">
        <f t="shared" si="2294"/>
        <v>-1201</v>
      </c>
      <c r="BI290" s="19">
        <f t="shared" si="2295"/>
        <v>-678</v>
      </c>
      <c r="BJ290" s="19">
        <f t="shared" si="2296"/>
        <v>-588</v>
      </c>
      <c r="BK290" s="19">
        <f t="shared" si="2297"/>
        <v>-695</v>
      </c>
      <c r="BL290" s="19">
        <f t="shared" si="2298"/>
        <v>-952</v>
      </c>
      <c r="BM290" s="19">
        <f t="shared" si="2299"/>
        <v>-998</v>
      </c>
      <c r="BN290" s="19">
        <f t="shared" si="2300"/>
        <v>-1080</v>
      </c>
      <c r="BO290" s="20">
        <f t="shared" si="2301"/>
        <v>-1193</v>
      </c>
      <c r="BP290" s="19">
        <f t="shared" si="2302"/>
        <v>-1226.5057752250034</v>
      </c>
      <c r="BQ290" s="19">
        <f t="shared" si="2303"/>
        <v>-1275.3322699932921</v>
      </c>
      <c r="BR290" s="19">
        <f t="shared" si="2304"/>
        <v>-1285.4765598285803</v>
      </c>
      <c r="BS290" s="19">
        <f t="shared" si="2305"/>
        <v>-1291.4585476068758</v>
      </c>
      <c r="BT290" s="19">
        <f t="shared" si="2306"/>
        <v>-1283.26331602043</v>
      </c>
    </row>
    <row r="291" spans="1:72" ht="12" customHeight="1" outlineLevel="1">
      <c r="B291" s="1" t="s">
        <v>170</v>
      </c>
      <c r="C291" s="19"/>
      <c r="D291" s="21">
        <f>-1925-SUM(D285:D290,D292:D301)</f>
        <v>-355</v>
      </c>
      <c r="E291" s="21">
        <f>-2466-SUM(E285:E290,E292:E301)</f>
        <v>-466</v>
      </c>
      <c r="F291" s="21">
        <f>-2664-SUM(F285:F290,F292:F301)</f>
        <v>-442</v>
      </c>
      <c r="G291" s="21">
        <f>-2587-SUM(G285:G290,G292:G301)</f>
        <v>-394</v>
      </c>
      <c r="H291" s="21">
        <f>-2254-SUM(H285:H290,H292:H301)</f>
        <v>-380</v>
      </c>
      <c r="I291" s="21">
        <f>-3213-SUM(I285:I290,I292:I301)</f>
        <v>-368</v>
      </c>
      <c r="J291" s="21">
        <v>-235</v>
      </c>
      <c r="K291" s="21">
        <f>-260+21</f>
        <v>-239</v>
      </c>
      <c r="L291" s="21">
        <f>-223+20</f>
        <v>-203</v>
      </c>
      <c r="M291" s="21">
        <f>-192+9</f>
        <v>-183</v>
      </c>
      <c r="N291" s="62">
        <f>-285+30</f>
        <v>-255</v>
      </c>
      <c r="O291" s="62">
        <f>-228+66</f>
        <v>-162</v>
      </c>
      <c r="P291" s="62">
        <f>-196+40</f>
        <v>-156</v>
      </c>
      <c r="Q291" s="62">
        <f>-240+31</f>
        <v>-209</v>
      </c>
      <c r="R291" s="62">
        <f>-263+128</f>
        <v>-135</v>
      </c>
      <c r="S291" s="62">
        <f>-254+104</f>
        <v>-150</v>
      </c>
      <c r="T291" s="62">
        <f>-271+86</f>
        <v>-185</v>
      </c>
      <c r="U291" s="62">
        <f>-251-12</f>
        <v>-263</v>
      </c>
      <c r="V291" s="62">
        <f>-251-32</f>
        <v>-283</v>
      </c>
      <c r="W291" s="62">
        <f>-226+61</f>
        <v>-165</v>
      </c>
      <c r="X291" s="62">
        <f>-201+131</f>
        <v>-70</v>
      </c>
      <c r="Y291" s="62">
        <f>-69-203+12</f>
        <v>-260</v>
      </c>
      <c r="Z291" s="62">
        <f>-62-191+172</f>
        <v>-81</v>
      </c>
      <c r="AA291" s="62">
        <f>-55-172+110</f>
        <v>-117</v>
      </c>
      <c r="AB291" s="62">
        <f>-51-156+84</f>
        <v>-123</v>
      </c>
      <c r="AC291" s="62">
        <f>-22-152-47</f>
        <v>-221</v>
      </c>
      <c r="AD291" s="62">
        <f>-17-144-257</f>
        <v>-418</v>
      </c>
      <c r="AE291" s="62">
        <f>-150-12-76</f>
        <v>-238</v>
      </c>
      <c r="AF291" s="62">
        <f>-169-9-172</f>
        <v>-350</v>
      </c>
      <c r="AG291" s="62">
        <f>-105-71</f>
        <v>-176</v>
      </c>
      <c r="AH291" s="62">
        <f>-94-68</f>
        <v>-162</v>
      </c>
      <c r="AI291" s="62">
        <f>-137-41</f>
        <v>-178</v>
      </c>
      <c r="AJ291" s="57">
        <f>-114-40</f>
        <v>-154</v>
      </c>
      <c r="AK291" s="58">
        <f t="shared" ref="AK291" si="2343">AJ291</f>
        <v>-154</v>
      </c>
      <c r="AL291" s="58">
        <f t="shared" ref="AL291" si="2344">AK291</f>
        <v>-154</v>
      </c>
      <c r="AM291" s="58">
        <f t="shared" ref="AM291" si="2345">AL291</f>
        <v>-154</v>
      </c>
      <c r="AN291" s="58">
        <f t="shared" ref="AN291" si="2346">AM291</f>
        <v>-154</v>
      </c>
      <c r="AO291" s="58">
        <f t="shared" ref="AO291" si="2347">AN291</f>
        <v>-154</v>
      </c>
      <c r="AP291" s="58">
        <f t="shared" ref="AP291" si="2348">AO291</f>
        <v>-154</v>
      </c>
      <c r="AQ291" s="58">
        <f t="shared" ref="AQ291" si="2349">AP291</f>
        <v>-154</v>
      </c>
      <c r="AR291" s="58">
        <f t="shared" ref="AR291" si="2350">AQ291</f>
        <v>-154</v>
      </c>
      <c r="AS291" s="58">
        <f t="shared" ref="AS291" si="2351">AR291</f>
        <v>-154</v>
      </c>
      <c r="AU291" s="21">
        <v>0</v>
      </c>
      <c r="AV291" s="21">
        <f>(3556-4772)-SUM(AV285:AV290,AV292:AV301)</f>
        <v>0</v>
      </c>
      <c r="AW291" s="21">
        <f>(5896-7223)-SUM(AW285:AW290,AW292:AW301)</f>
        <v>-44</v>
      </c>
      <c r="AX291" s="21">
        <f>-1207-SUM(AX285:AX290,AX292:AX301)</f>
        <v>-361</v>
      </c>
      <c r="AY291" s="21">
        <f>-2263-SUM(AY285:AY290,AY292:AY301)</f>
        <v>-996</v>
      </c>
      <c r="AZ291" s="19">
        <f t="shared" si="2286"/>
        <v>-466</v>
      </c>
      <c r="BA291" s="19">
        <f t="shared" si="2287"/>
        <v>-394</v>
      </c>
      <c r="BB291" s="19">
        <f t="shared" si="2288"/>
        <v>-368</v>
      </c>
      <c r="BC291" s="19">
        <f t="shared" si="2289"/>
        <v>-239</v>
      </c>
      <c r="BD291" s="19">
        <f t="shared" si="2290"/>
        <v>-183</v>
      </c>
      <c r="BE291" s="19">
        <f t="shared" si="2291"/>
        <v>-162</v>
      </c>
      <c r="BF291" s="19">
        <f t="shared" si="2292"/>
        <v>-209</v>
      </c>
      <c r="BG291" s="19">
        <f t="shared" si="2293"/>
        <v>-150</v>
      </c>
      <c r="BH291" s="19">
        <f t="shared" si="2294"/>
        <v>-263</v>
      </c>
      <c r="BI291" s="19">
        <f t="shared" si="2295"/>
        <v>-165</v>
      </c>
      <c r="BJ291" s="19">
        <f t="shared" si="2296"/>
        <v>-260</v>
      </c>
      <c r="BK291" s="19">
        <f t="shared" si="2297"/>
        <v>-117</v>
      </c>
      <c r="BL291" s="19">
        <f t="shared" si="2298"/>
        <v>-221</v>
      </c>
      <c r="BM291" s="19">
        <f t="shared" si="2299"/>
        <v>-238</v>
      </c>
      <c r="BN291" s="19">
        <f t="shared" si="2300"/>
        <v>-176</v>
      </c>
      <c r="BO291" s="20">
        <f t="shared" si="2301"/>
        <v>-178</v>
      </c>
      <c r="BP291" s="19">
        <f t="shared" si="2302"/>
        <v>-154</v>
      </c>
      <c r="BQ291" s="19">
        <f t="shared" si="2303"/>
        <v>-154</v>
      </c>
      <c r="BR291" s="19">
        <f t="shared" si="2304"/>
        <v>-154</v>
      </c>
      <c r="BS291" s="19">
        <f t="shared" si="2305"/>
        <v>-154</v>
      </c>
      <c r="BT291" s="19">
        <f t="shared" si="2306"/>
        <v>-154</v>
      </c>
    </row>
    <row r="292" spans="1:72" ht="12" hidden="1" customHeight="1" outlineLevel="2">
      <c r="B292" s="1" t="s">
        <v>173</v>
      </c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20"/>
      <c r="AK292" s="19"/>
      <c r="AL292" s="19"/>
      <c r="AM292" s="19"/>
      <c r="AN292" s="19"/>
      <c r="AO292" s="19"/>
      <c r="AP292" s="19"/>
      <c r="AQ292" s="19"/>
      <c r="AR292" s="19"/>
      <c r="AS292" s="19"/>
      <c r="AU292" s="21"/>
      <c r="AV292" s="21"/>
      <c r="AW292" s="21"/>
      <c r="AX292" s="21"/>
      <c r="AY292" s="21"/>
      <c r="AZ292" s="19">
        <f t="shared" si="2286"/>
        <v>0</v>
      </c>
      <c r="BA292" s="19">
        <f t="shared" si="2287"/>
        <v>0</v>
      </c>
      <c r="BB292" s="19">
        <f t="shared" si="2288"/>
        <v>0</v>
      </c>
      <c r="BC292" s="19">
        <f t="shared" si="2289"/>
        <v>0</v>
      </c>
      <c r="BD292" s="19">
        <f t="shared" si="2290"/>
        <v>0</v>
      </c>
      <c r="BE292" s="19">
        <f t="shared" si="2291"/>
        <v>0</v>
      </c>
      <c r="BF292" s="19">
        <f t="shared" si="2292"/>
        <v>0</v>
      </c>
      <c r="BG292" s="19">
        <f t="shared" si="2293"/>
        <v>0</v>
      </c>
      <c r="BH292" s="19">
        <f t="shared" si="2294"/>
        <v>0</v>
      </c>
      <c r="BI292" s="19">
        <f t="shared" si="2295"/>
        <v>0</v>
      </c>
      <c r="BJ292" s="19">
        <f t="shared" si="2296"/>
        <v>0</v>
      </c>
      <c r="BK292" s="19">
        <f t="shared" si="2297"/>
        <v>0</v>
      </c>
      <c r="BL292" s="19">
        <f t="shared" si="2298"/>
        <v>0</v>
      </c>
      <c r="BM292" s="19">
        <f t="shared" si="2299"/>
        <v>0</v>
      </c>
      <c r="BN292" s="19">
        <f t="shared" si="2300"/>
        <v>0</v>
      </c>
      <c r="BO292" s="20">
        <f t="shared" si="2301"/>
        <v>0</v>
      </c>
      <c r="BP292" s="19">
        <f t="shared" si="2302"/>
        <v>0</v>
      </c>
      <c r="BQ292" s="19">
        <f t="shared" si="2303"/>
        <v>0</v>
      </c>
      <c r="BR292" s="19">
        <f t="shared" si="2304"/>
        <v>0</v>
      </c>
      <c r="BS292" s="19">
        <f t="shared" si="2305"/>
        <v>0</v>
      </c>
      <c r="BT292" s="19">
        <f t="shared" si="2306"/>
        <v>0</v>
      </c>
    </row>
    <row r="293" spans="1:72" ht="12" hidden="1" customHeight="1" outlineLevel="2">
      <c r="B293" s="1" t="s">
        <v>173</v>
      </c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20"/>
      <c r="AK293" s="19"/>
      <c r="AL293" s="19"/>
      <c r="AM293" s="19"/>
      <c r="AN293" s="19"/>
      <c r="AO293" s="19"/>
      <c r="AP293" s="19"/>
      <c r="AQ293" s="19"/>
      <c r="AR293" s="19"/>
      <c r="AS293" s="19"/>
      <c r="AU293" s="21"/>
      <c r="AV293" s="21"/>
      <c r="AW293" s="21"/>
      <c r="AX293" s="21"/>
      <c r="AY293" s="21"/>
      <c r="AZ293" s="19">
        <f t="shared" si="2286"/>
        <v>0</v>
      </c>
      <c r="BA293" s="19">
        <f t="shared" si="2287"/>
        <v>0</v>
      </c>
      <c r="BB293" s="19">
        <f t="shared" si="2288"/>
        <v>0</v>
      </c>
      <c r="BC293" s="19">
        <f t="shared" si="2289"/>
        <v>0</v>
      </c>
      <c r="BD293" s="19">
        <f t="shared" si="2290"/>
        <v>0</v>
      </c>
      <c r="BE293" s="19">
        <f t="shared" si="2291"/>
        <v>0</v>
      </c>
      <c r="BF293" s="19">
        <f t="shared" si="2292"/>
        <v>0</v>
      </c>
      <c r="BG293" s="19">
        <f t="shared" si="2293"/>
        <v>0</v>
      </c>
      <c r="BH293" s="19">
        <f t="shared" si="2294"/>
        <v>0</v>
      </c>
      <c r="BI293" s="19">
        <f t="shared" si="2295"/>
        <v>0</v>
      </c>
      <c r="BJ293" s="19">
        <f t="shared" si="2296"/>
        <v>0</v>
      </c>
      <c r="BK293" s="19">
        <f t="shared" si="2297"/>
        <v>0</v>
      </c>
      <c r="BL293" s="19">
        <f t="shared" si="2298"/>
        <v>0</v>
      </c>
      <c r="BM293" s="19">
        <f t="shared" si="2299"/>
        <v>0</v>
      </c>
      <c r="BN293" s="19">
        <f t="shared" si="2300"/>
        <v>0</v>
      </c>
      <c r="BO293" s="20">
        <f t="shared" si="2301"/>
        <v>0</v>
      </c>
      <c r="BP293" s="19">
        <f t="shared" si="2302"/>
        <v>0</v>
      </c>
      <c r="BQ293" s="19">
        <f t="shared" si="2303"/>
        <v>0</v>
      </c>
      <c r="BR293" s="19">
        <f t="shared" si="2304"/>
        <v>0</v>
      </c>
      <c r="BS293" s="19">
        <f t="shared" si="2305"/>
        <v>0</v>
      </c>
      <c r="BT293" s="19">
        <f t="shared" si="2306"/>
        <v>0</v>
      </c>
    </row>
    <row r="294" spans="1:72" ht="12" hidden="1" customHeight="1" outlineLevel="2">
      <c r="B294" s="1" t="s">
        <v>173</v>
      </c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20"/>
      <c r="AK294" s="19"/>
      <c r="AL294" s="19"/>
      <c r="AM294" s="19"/>
      <c r="AN294" s="19"/>
      <c r="AO294" s="19"/>
      <c r="AP294" s="19"/>
      <c r="AQ294" s="19"/>
      <c r="AR294" s="19"/>
      <c r="AS294" s="19"/>
      <c r="AU294" s="21"/>
      <c r="AV294" s="21"/>
      <c r="AW294" s="21"/>
      <c r="AX294" s="21"/>
      <c r="AY294" s="21"/>
      <c r="AZ294" s="19">
        <f t="shared" si="2286"/>
        <v>0</v>
      </c>
      <c r="BA294" s="19">
        <f t="shared" si="2287"/>
        <v>0</v>
      </c>
      <c r="BB294" s="19">
        <f t="shared" si="2288"/>
        <v>0</v>
      </c>
      <c r="BC294" s="19">
        <f t="shared" si="2289"/>
        <v>0</v>
      </c>
      <c r="BD294" s="19">
        <f t="shared" si="2290"/>
        <v>0</v>
      </c>
      <c r="BE294" s="19">
        <f t="shared" si="2291"/>
        <v>0</v>
      </c>
      <c r="BF294" s="19">
        <f t="shared" si="2292"/>
        <v>0</v>
      </c>
      <c r="BG294" s="19">
        <f t="shared" si="2293"/>
        <v>0</v>
      </c>
      <c r="BH294" s="19">
        <f t="shared" si="2294"/>
        <v>0</v>
      </c>
      <c r="BI294" s="19">
        <f t="shared" si="2295"/>
        <v>0</v>
      </c>
      <c r="BJ294" s="19">
        <f t="shared" si="2296"/>
        <v>0</v>
      </c>
      <c r="BK294" s="19">
        <f t="shared" si="2297"/>
        <v>0</v>
      </c>
      <c r="BL294" s="19">
        <f t="shared" si="2298"/>
        <v>0</v>
      </c>
      <c r="BM294" s="19">
        <f t="shared" si="2299"/>
        <v>0</v>
      </c>
      <c r="BN294" s="19">
        <f t="shared" si="2300"/>
        <v>0</v>
      </c>
      <c r="BO294" s="20">
        <f t="shared" si="2301"/>
        <v>0</v>
      </c>
      <c r="BP294" s="19">
        <f t="shared" si="2302"/>
        <v>0</v>
      </c>
      <c r="BQ294" s="19">
        <f t="shared" si="2303"/>
        <v>0</v>
      </c>
      <c r="BR294" s="19">
        <f t="shared" si="2304"/>
        <v>0</v>
      </c>
      <c r="BS294" s="19">
        <f t="shared" si="2305"/>
        <v>0</v>
      </c>
      <c r="BT294" s="19">
        <f t="shared" si="2306"/>
        <v>0</v>
      </c>
    </row>
    <row r="295" spans="1:72" ht="12" hidden="1" customHeight="1" outlineLevel="2">
      <c r="B295" s="1" t="s">
        <v>173</v>
      </c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20"/>
      <c r="AK295" s="19"/>
      <c r="AL295" s="19"/>
      <c r="AM295" s="19"/>
      <c r="AN295" s="19"/>
      <c r="AO295" s="19"/>
      <c r="AP295" s="19"/>
      <c r="AQ295" s="19"/>
      <c r="AR295" s="19"/>
      <c r="AS295" s="19"/>
      <c r="AU295" s="21"/>
      <c r="AV295" s="21"/>
      <c r="AW295" s="21"/>
      <c r="AX295" s="21"/>
      <c r="AY295" s="21"/>
      <c r="AZ295" s="19">
        <f t="shared" si="2286"/>
        <v>0</v>
      </c>
      <c r="BA295" s="19">
        <f t="shared" si="2287"/>
        <v>0</v>
      </c>
      <c r="BB295" s="19">
        <f t="shared" si="2288"/>
        <v>0</v>
      </c>
      <c r="BC295" s="19">
        <f t="shared" si="2289"/>
        <v>0</v>
      </c>
      <c r="BD295" s="19">
        <f t="shared" si="2290"/>
        <v>0</v>
      </c>
      <c r="BE295" s="19">
        <f t="shared" si="2291"/>
        <v>0</v>
      </c>
      <c r="BF295" s="19">
        <f t="shared" si="2292"/>
        <v>0</v>
      </c>
      <c r="BG295" s="19">
        <f t="shared" si="2293"/>
        <v>0</v>
      </c>
      <c r="BH295" s="19">
        <f t="shared" si="2294"/>
        <v>0</v>
      </c>
      <c r="BI295" s="19">
        <f t="shared" si="2295"/>
        <v>0</v>
      </c>
      <c r="BJ295" s="19">
        <f t="shared" si="2296"/>
        <v>0</v>
      </c>
      <c r="BK295" s="19">
        <f t="shared" si="2297"/>
        <v>0</v>
      </c>
      <c r="BL295" s="19">
        <f t="shared" si="2298"/>
        <v>0</v>
      </c>
      <c r="BM295" s="19">
        <f t="shared" si="2299"/>
        <v>0</v>
      </c>
      <c r="BN295" s="19">
        <f t="shared" si="2300"/>
        <v>0</v>
      </c>
      <c r="BO295" s="20">
        <f t="shared" si="2301"/>
        <v>0</v>
      </c>
      <c r="BP295" s="19">
        <f t="shared" si="2302"/>
        <v>0</v>
      </c>
      <c r="BQ295" s="19">
        <f t="shared" si="2303"/>
        <v>0</v>
      </c>
      <c r="BR295" s="19">
        <f t="shared" si="2304"/>
        <v>0</v>
      </c>
      <c r="BS295" s="19">
        <f t="shared" si="2305"/>
        <v>0</v>
      </c>
      <c r="BT295" s="19">
        <f t="shared" si="2306"/>
        <v>0</v>
      </c>
    </row>
    <row r="296" spans="1:72" ht="12" hidden="1" customHeight="1" outlineLevel="2">
      <c r="B296" s="1" t="s">
        <v>173</v>
      </c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20"/>
      <c r="AK296" s="19"/>
      <c r="AL296" s="19"/>
      <c r="AM296" s="19"/>
      <c r="AN296" s="19"/>
      <c r="AO296" s="19"/>
      <c r="AP296" s="19"/>
      <c r="AQ296" s="19"/>
      <c r="AR296" s="19"/>
      <c r="AS296" s="19"/>
      <c r="AU296" s="21"/>
      <c r="AV296" s="21"/>
      <c r="AW296" s="21"/>
      <c r="AX296" s="21"/>
      <c r="AY296" s="21"/>
      <c r="AZ296" s="19">
        <f t="shared" si="2286"/>
        <v>0</v>
      </c>
      <c r="BA296" s="19">
        <f t="shared" si="2287"/>
        <v>0</v>
      </c>
      <c r="BB296" s="19">
        <f t="shared" si="2288"/>
        <v>0</v>
      </c>
      <c r="BC296" s="19">
        <f t="shared" si="2289"/>
        <v>0</v>
      </c>
      <c r="BD296" s="19">
        <f t="shared" si="2290"/>
        <v>0</v>
      </c>
      <c r="BE296" s="19">
        <f t="shared" si="2291"/>
        <v>0</v>
      </c>
      <c r="BF296" s="19">
        <f t="shared" si="2292"/>
        <v>0</v>
      </c>
      <c r="BG296" s="19">
        <f t="shared" si="2293"/>
        <v>0</v>
      </c>
      <c r="BH296" s="19">
        <f t="shared" si="2294"/>
        <v>0</v>
      </c>
      <c r="BI296" s="19">
        <f t="shared" si="2295"/>
        <v>0</v>
      </c>
      <c r="BJ296" s="19">
        <f t="shared" si="2296"/>
        <v>0</v>
      </c>
      <c r="BK296" s="19">
        <f t="shared" si="2297"/>
        <v>0</v>
      </c>
      <c r="BL296" s="19">
        <f t="shared" si="2298"/>
        <v>0</v>
      </c>
      <c r="BM296" s="19">
        <f t="shared" si="2299"/>
        <v>0</v>
      </c>
      <c r="BN296" s="19">
        <f t="shared" si="2300"/>
        <v>0</v>
      </c>
      <c r="BO296" s="20">
        <f t="shared" si="2301"/>
        <v>0</v>
      </c>
      <c r="BP296" s="19">
        <f t="shared" si="2302"/>
        <v>0</v>
      </c>
      <c r="BQ296" s="19">
        <f t="shared" si="2303"/>
        <v>0</v>
      </c>
      <c r="BR296" s="19">
        <f t="shared" si="2304"/>
        <v>0</v>
      </c>
      <c r="BS296" s="19">
        <f t="shared" si="2305"/>
        <v>0</v>
      </c>
      <c r="BT296" s="19">
        <f t="shared" si="2306"/>
        <v>0</v>
      </c>
    </row>
    <row r="297" spans="1:72" ht="12" hidden="1" customHeight="1" outlineLevel="2">
      <c r="B297" s="1" t="s">
        <v>173</v>
      </c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20"/>
      <c r="AK297" s="19"/>
      <c r="AL297" s="19"/>
      <c r="AM297" s="19"/>
      <c r="AN297" s="19"/>
      <c r="AO297" s="19"/>
      <c r="AP297" s="19"/>
      <c r="AQ297" s="19"/>
      <c r="AR297" s="19"/>
      <c r="AS297" s="19"/>
      <c r="AU297" s="21"/>
      <c r="AV297" s="21"/>
      <c r="AW297" s="21"/>
      <c r="AX297" s="21"/>
      <c r="AY297" s="21"/>
      <c r="AZ297" s="19">
        <f t="shared" si="2286"/>
        <v>0</v>
      </c>
      <c r="BA297" s="19">
        <f t="shared" si="2287"/>
        <v>0</v>
      </c>
      <c r="BB297" s="19">
        <f t="shared" si="2288"/>
        <v>0</v>
      </c>
      <c r="BC297" s="19">
        <f t="shared" si="2289"/>
        <v>0</v>
      </c>
      <c r="BD297" s="19">
        <f t="shared" si="2290"/>
        <v>0</v>
      </c>
      <c r="BE297" s="19">
        <f t="shared" si="2291"/>
        <v>0</v>
      </c>
      <c r="BF297" s="19">
        <f t="shared" si="2292"/>
        <v>0</v>
      </c>
      <c r="BG297" s="19">
        <f t="shared" si="2293"/>
        <v>0</v>
      </c>
      <c r="BH297" s="19">
        <f t="shared" si="2294"/>
        <v>0</v>
      </c>
      <c r="BI297" s="19">
        <f t="shared" si="2295"/>
        <v>0</v>
      </c>
      <c r="BJ297" s="19">
        <f t="shared" si="2296"/>
        <v>0</v>
      </c>
      <c r="BK297" s="19">
        <f t="shared" si="2297"/>
        <v>0</v>
      </c>
      <c r="BL297" s="19">
        <f t="shared" si="2298"/>
        <v>0</v>
      </c>
      <c r="BM297" s="19">
        <f t="shared" si="2299"/>
        <v>0</v>
      </c>
      <c r="BN297" s="19">
        <f t="shared" si="2300"/>
        <v>0</v>
      </c>
      <c r="BO297" s="20">
        <f t="shared" si="2301"/>
        <v>0</v>
      </c>
      <c r="BP297" s="19">
        <f t="shared" si="2302"/>
        <v>0</v>
      </c>
      <c r="BQ297" s="19">
        <f t="shared" si="2303"/>
        <v>0</v>
      </c>
      <c r="BR297" s="19">
        <f t="shared" si="2304"/>
        <v>0</v>
      </c>
      <c r="BS297" s="19">
        <f t="shared" si="2305"/>
        <v>0</v>
      </c>
      <c r="BT297" s="19">
        <f t="shared" si="2306"/>
        <v>0</v>
      </c>
    </row>
    <row r="298" spans="1:72" ht="12" hidden="1" customHeight="1" outlineLevel="2">
      <c r="B298" s="1" t="s">
        <v>173</v>
      </c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20"/>
      <c r="AK298" s="19"/>
      <c r="AL298" s="19"/>
      <c r="AM298" s="19"/>
      <c r="AN298" s="19"/>
      <c r="AO298" s="19"/>
      <c r="AP298" s="19"/>
      <c r="AQ298" s="19"/>
      <c r="AR298" s="19"/>
      <c r="AS298" s="19"/>
      <c r="AU298" s="21"/>
      <c r="AV298" s="21"/>
      <c r="AW298" s="21"/>
      <c r="AX298" s="21"/>
      <c r="AY298" s="21"/>
      <c r="AZ298" s="19">
        <f t="shared" si="2286"/>
        <v>0</v>
      </c>
      <c r="BA298" s="19">
        <f t="shared" si="2287"/>
        <v>0</v>
      </c>
      <c r="BB298" s="19">
        <f t="shared" si="2288"/>
        <v>0</v>
      </c>
      <c r="BC298" s="19">
        <f t="shared" si="2289"/>
        <v>0</v>
      </c>
      <c r="BD298" s="19">
        <f t="shared" si="2290"/>
        <v>0</v>
      </c>
      <c r="BE298" s="19">
        <f t="shared" si="2291"/>
        <v>0</v>
      </c>
      <c r="BF298" s="19">
        <f t="shared" si="2292"/>
        <v>0</v>
      </c>
      <c r="BG298" s="19">
        <f t="shared" si="2293"/>
        <v>0</v>
      </c>
      <c r="BH298" s="19">
        <f t="shared" si="2294"/>
        <v>0</v>
      </c>
      <c r="BI298" s="19">
        <f t="shared" si="2295"/>
        <v>0</v>
      </c>
      <c r="BJ298" s="19">
        <f t="shared" si="2296"/>
        <v>0</v>
      </c>
      <c r="BK298" s="19">
        <f t="shared" si="2297"/>
        <v>0</v>
      </c>
      <c r="BL298" s="19">
        <f t="shared" si="2298"/>
        <v>0</v>
      </c>
      <c r="BM298" s="19">
        <f t="shared" si="2299"/>
        <v>0</v>
      </c>
      <c r="BN298" s="19">
        <f t="shared" si="2300"/>
        <v>0</v>
      </c>
      <c r="BO298" s="20">
        <f t="shared" si="2301"/>
        <v>0</v>
      </c>
      <c r="BP298" s="19">
        <f t="shared" si="2302"/>
        <v>0</v>
      </c>
      <c r="BQ298" s="19">
        <f t="shared" si="2303"/>
        <v>0</v>
      </c>
      <c r="BR298" s="19">
        <f t="shared" si="2304"/>
        <v>0</v>
      </c>
      <c r="BS298" s="19">
        <f t="shared" si="2305"/>
        <v>0</v>
      </c>
      <c r="BT298" s="19">
        <f t="shared" si="2306"/>
        <v>0</v>
      </c>
    </row>
    <row r="299" spans="1:72" ht="12" hidden="1" customHeight="1" outlineLevel="2">
      <c r="B299" s="1" t="s">
        <v>173</v>
      </c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20"/>
      <c r="AK299" s="19"/>
      <c r="AL299" s="19"/>
      <c r="AM299" s="19"/>
      <c r="AN299" s="19"/>
      <c r="AO299" s="19"/>
      <c r="AP299" s="19"/>
      <c r="AQ299" s="19"/>
      <c r="AR299" s="19"/>
      <c r="AS299" s="19"/>
      <c r="AU299" s="21"/>
      <c r="AV299" s="21"/>
      <c r="AW299" s="21"/>
      <c r="AX299" s="21"/>
      <c r="AY299" s="21"/>
      <c r="AZ299" s="19">
        <f t="shared" si="2286"/>
        <v>0</v>
      </c>
      <c r="BA299" s="19">
        <f t="shared" si="2287"/>
        <v>0</v>
      </c>
      <c r="BB299" s="19">
        <f t="shared" si="2288"/>
        <v>0</v>
      </c>
      <c r="BC299" s="19">
        <f t="shared" si="2289"/>
        <v>0</v>
      </c>
      <c r="BD299" s="19">
        <f t="shared" si="2290"/>
        <v>0</v>
      </c>
      <c r="BE299" s="19">
        <f t="shared" si="2291"/>
        <v>0</v>
      </c>
      <c r="BF299" s="19">
        <f t="shared" si="2292"/>
        <v>0</v>
      </c>
      <c r="BG299" s="19">
        <f t="shared" si="2293"/>
        <v>0</v>
      </c>
      <c r="BH299" s="19">
        <f t="shared" si="2294"/>
        <v>0</v>
      </c>
      <c r="BI299" s="19">
        <f t="shared" si="2295"/>
        <v>0</v>
      </c>
      <c r="BJ299" s="19">
        <f t="shared" si="2296"/>
        <v>0</v>
      </c>
      <c r="BK299" s="19">
        <f t="shared" si="2297"/>
        <v>0</v>
      </c>
      <c r="BL299" s="19">
        <f t="shared" si="2298"/>
        <v>0</v>
      </c>
      <c r="BM299" s="19">
        <f t="shared" si="2299"/>
        <v>0</v>
      </c>
      <c r="BN299" s="19">
        <f t="shared" si="2300"/>
        <v>0</v>
      </c>
      <c r="BO299" s="20">
        <f t="shared" si="2301"/>
        <v>0</v>
      </c>
      <c r="BP299" s="19">
        <f t="shared" si="2302"/>
        <v>0</v>
      </c>
      <c r="BQ299" s="19">
        <f t="shared" si="2303"/>
        <v>0</v>
      </c>
      <c r="BR299" s="19">
        <f t="shared" si="2304"/>
        <v>0</v>
      </c>
      <c r="BS299" s="19">
        <f t="shared" si="2305"/>
        <v>0</v>
      </c>
      <c r="BT299" s="19">
        <f t="shared" si="2306"/>
        <v>0</v>
      </c>
    </row>
    <row r="300" spans="1:72" ht="12" hidden="1" customHeight="1" outlineLevel="2">
      <c r="B300" s="1" t="s">
        <v>173</v>
      </c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20"/>
      <c r="AK300" s="19"/>
      <c r="AL300" s="19"/>
      <c r="AM300" s="19"/>
      <c r="AN300" s="19"/>
      <c r="AO300" s="19"/>
      <c r="AP300" s="19"/>
      <c r="AQ300" s="19"/>
      <c r="AR300" s="19"/>
      <c r="AS300" s="19"/>
      <c r="AU300" s="21"/>
      <c r="AV300" s="21"/>
      <c r="AW300" s="21"/>
      <c r="AX300" s="21"/>
      <c r="AY300" s="21"/>
      <c r="AZ300" s="19">
        <f t="shared" si="2286"/>
        <v>0</v>
      </c>
      <c r="BA300" s="19">
        <f t="shared" si="2287"/>
        <v>0</v>
      </c>
      <c r="BB300" s="19">
        <f t="shared" si="2288"/>
        <v>0</v>
      </c>
      <c r="BC300" s="19">
        <f t="shared" si="2289"/>
        <v>0</v>
      </c>
      <c r="BD300" s="19">
        <f t="shared" si="2290"/>
        <v>0</v>
      </c>
      <c r="BE300" s="19">
        <f t="shared" si="2291"/>
        <v>0</v>
      </c>
      <c r="BF300" s="19">
        <f t="shared" si="2292"/>
        <v>0</v>
      </c>
      <c r="BG300" s="19">
        <f t="shared" si="2293"/>
        <v>0</v>
      </c>
      <c r="BH300" s="19">
        <f t="shared" si="2294"/>
        <v>0</v>
      </c>
      <c r="BI300" s="19">
        <f t="shared" si="2295"/>
        <v>0</v>
      </c>
      <c r="BJ300" s="19">
        <f t="shared" si="2296"/>
        <v>0</v>
      </c>
      <c r="BK300" s="19">
        <f t="shared" si="2297"/>
        <v>0</v>
      </c>
      <c r="BL300" s="19">
        <f t="shared" si="2298"/>
        <v>0</v>
      </c>
      <c r="BM300" s="19">
        <f t="shared" si="2299"/>
        <v>0</v>
      </c>
      <c r="BN300" s="19">
        <f t="shared" si="2300"/>
        <v>0</v>
      </c>
      <c r="BO300" s="20">
        <f t="shared" si="2301"/>
        <v>0</v>
      </c>
      <c r="BP300" s="19">
        <f t="shared" si="2302"/>
        <v>0</v>
      </c>
      <c r="BQ300" s="19">
        <f t="shared" si="2303"/>
        <v>0</v>
      </c>
      <c r="BR300" s="19">
        <f t="shared" si="2304"/>
        <v>0</v>
      </c>
      <c r="BS300" s="19">
        <f t="shared" si="2305"/>
        <v>0</v>
      </c>
      <c r="BT300" s="19">
        <f t="shared" si="2306"/>
        <v>0</v>
      </c>
    </row>
    <row r="301" spans="1:72" ht="12" hidden="1" customHeight="1" outlineLevel="2">
      <c r="B301" s="1" t="s">
        <v>173</v>
      </c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20"/>
      <c r="AK301" s="19"/>
      <c r="AL301" s="19"/>
      <c r="AM301" s="19"/>
      <c r="AN301" s="19"/>
      <c r="AO301" s="19"/>
      <c r="AP301" s="19"/>
      <c r="AQ301" s="19"/>
      <c r="AR301" s="19"/>
      <c r="AS301" s="19"/>
      <c r="AU301" s="21"/>
      <c r="AV301" s="21"/>
      <c r="AW301" s="21"/>
      <c r="AX301" s="21"/>
      <c r="AY301" s="21"/>
      <c r="AZ301" s="19">
        <f t="shared" si="2286"/>
        <v>0</v>
      </c>
      <c r="BA301" s="19">
        <f t="shared" si="2287"/>
        <v>0</v>
      </c>
      <c r="BB301" s="19">
        <f t="shared" si="2288"/>
        <v>0</v>
      </c>
      <c r="BC301" s="19">
        <f t="shared" si="2289"/>
        <v>0</v>
      </c>
      <c r="BD301" s="19">
        <f t="shared" si="2290"/>
        <v>0</v>
      </c>
      <c r="BE301" s="19">
        <f t="shared" si="2291"/>
        <v>0</v>
      </c>
      <c r="BF301" s="19">
        <f t="shared" si="2292"/>
        <v>0</v>
      </c>
      <c r="BG301" s="19">
        <f t="shared" si="2293"/>
        <v>0</v>
      </c>
      <c r="BH301" s="19">
        <f t="shared" si="2294"/>
        <v>0</v>
      </c>
      <c r="BI301" s="19">
        <f t="shared" si="2295"/>
        <v>0</v>
      </c>
      <c r="BJ301" s="19">
        <f t="shared" si="2296"/>
        <v>0</v>
      </c>
      <c r="BK301" s="19">
        <f t="shared" si="2297"/>
        <v>0</v>
      </c>
      <c r="BL301" s="19">
        <f t="shared" si="2298"/>
        <v>0</v>
      </c>
      <c r="BM301" s="19">
        <f t="shared" si="2299"/>
        <v>0</v>
      </c>
      <c r="BN301" s="19">
        <f t="shared" si="2300"/>
        <v>0</v>
      </c>
      <c r="BO301" s="20">
        <f t="shared" si="2301"/>
        <v>0</v>
      </c>
      <c r="BP301" s="19">
        <f t="shared" si="2302"/>
        <v>0</v>
      </c>
      <c r="BQ301" s="19">
        <f t="shared" si="2303"/>
        <v>0</v>
      </c>
      <c r="BR301" s="19">
        <f t="shared" si="2304"/>
        <v>0</v>
      </c>
      <c r="BS301" s="19">
        <f t="shared" si="2305"/>
        <v>0</v>
      </c>
      <c r="BT301" s="19">
        <f t="shared" si="2306"/>
        <v>0</v>
      </c>
    </row>
    <row r="302" spans="1:72" s="9" customFormat="1" ht="12" customHeight="1" outlineLevel="1" collapsed="1">
      <c r="A302" s="91"/>
      <c r="B302" s="9" t="s">
        <v>205</v>
      </c>
      <c r="C302" s="17"/>
      <c r="D302" s="17">
        <f t="shared" ref="D302:J302" si="2352">SUM(D285:D301)</f>
        <v>-1925</v>
      </c>
      <c r="E302" s="17">
        <f t="shared" si="2352"/>
        <v>-2466</v>
      </c>
      <c r="F302" s="17">
        <f t="shared" si="2352"/>
        <v>-2664</v>
      </c>
      <c r="G302" s="17">
        <f t="shared" si="2352"/>
        <v>-2587</v>
      </c>
      <c r="H302" s="17">
        <f t="shared" si="2352"/>
        <v>-2254</v>
      </c>
      <c r="I302" s="17">
        <f t="shared" si="2352"/>
        <v>-3213</v>
      </c>
      <c r="J302" s="17">
        <f t="shared" si="2352"/>
        <v>-2854</v>
      </c>
      <c r="K302" s="17">
        <f>SUM(K285:K301)</f>
        <v>-2636</v>
      </c>
      <c r="L302" s="17">
        <f t="shared" ref="L302:M302" si="2353">SUM(L285:L301)</f>
        <v>-2806</v>
      </c>
      <c r="M302" s="17">
        <f t="shared" si="2353"/>
        <v>-2721</v>
      </c>
      <c r="N302" s="17">
        <f t="shared" ref="N302:O302" si="2354">SUM(N285:N301)</f>
        <v>-2885</v>
      </c>
      <c r="O302" s="17">
        <f t="shared" si="2354"/>
        <v>-2798</v>
      </c>
      <c r="P302" s="17">
        <f t="shared" ref="P302:Q302" si="2355">SUM(P285:P301)</f>
        <v>-2488</v>
      </c>
      <c r="Q302" s="17">
        <f t="shared" si="2355"/>
        <v>-2354</v>
      </c>
      <c r="R302" s="17">
        <f t="shared" ref="R302:S302" si="2356">SUM(R285:R301)</f>
        <v>-2250</v>
      </c>
      <c r="S302" s="17">
        <f t="shared" si="2356"/>
        <v>-2261</v>
      </c>
      <c r="T302" s="17">
        <f t="shared" ref="T302:U302" si="2357">SUM(T285:T301)</f>
        <v>-2327</v>
      </c>
      <c r="U302" s="17">
        <f t="shared" si="2357"/>
        <v>-2534</v>
      </c>
      <c r="V302" s="17">
        <f t="shared" ref="V302:W302" si="2358">SUM(V285:V301)</f>
        <v>-2665</v>
      </c>
      <c r="W302" s="17">
        <f t="shared" si="2358"/>
        <v>-2035</v>
      </c>
      <c r="X302" s="17">
        <f t="shared" ref="X302:Y302" si="2359">SUM(X285:X301)</f>
        <v>-1933</v>
      </c>
      <c r="Y302" s="17">
        <f t="shared" si="2359"/>
        <v>-2195</v>
      </c>
      <c r="Z302" s="17">
        <f t="shared" ref="Z302:AA302" si="2360">SUM(Z285:Z301)</f>
        <v>-1836</v>
      </c>
      <c r="AA302" s="17">
        <f t="shared" si="2360"/>
        <v>-2239</v>
      </c>
      <c r="AB302" s="17">
        <f t="shared" ref="AB302:AC302" si="2361">SUM(AB285:AB301)</f>
        <v>-2480</v>
      </c>
      <c r="AC302" s="17">
        <f t="shared" si="2361"/>
        <v>-2983</v>
      </c>
      <c r="AD302" s="17">
        <f t="shared" ref="AD302:AE302" si="2362">SUM(AD285:AD301)</f>
        <v>-3245</v>
      </c>
      <c r="AE302" s="17">
        <f t="shared" si="2362"/>
        <v>-3293</v>
      </c>
      <c r="AF302" s="17">
        <f t="shared" ref="AF302:AG302" si="2363">SUM(AF285:AF301)</f>
        <v>-3436</v>
      </c>
      <c r="AG302" s="17">
        <f t="shared" si="2363"/>
        <v>-3645</v>
      </c>
      <c r="AH302" s="17">
        <f t="shared" ref="AH302:AJ302" si="2364">SUM(AH285:AH301)</f>
        <v>-3362</v>
      </c>
      <c r="AI302" s="17">
        <f t="shared" si="2364"/>
        <v>-3803</v>
      </c>
      <c r="AJ302" s="18">
        <f t="shared" si="2364"/>
        <v>-3760</v>
      </c>
      <c r="AK302" s="17">
        <f t="shared" ref="AK302" si="2365">SUM(AK285:AK301)</f>
        <v>-3900.5326759977534</v>
      </c>
      <c r="AL302" s="17">
        <f t="shared" ref="AL302:AM302" si="2366">SUM(AL285:AL301)</f>
        <v>-4050.8546228191144</v>
      </c>
      <c r="AM302" s="17">
        <f t="shared" si="2366"/>
        <v>-4190.4508472109146</v>
      </c>
      <c r="AN302" s="17">
        <f t="shared" ref="AN302:AO302" si="2367">SUM(AN285:AN301)</f>
        <v>-4298.8395307860364</v>
      </c>
      <c r="AO302" s="17">
        <f t="shared" si="2367"/>
        <v>-4403.7557593265319</v>
      </c>
      <c r="AP302" s="17">
        <f t="shared" ref="AP302:AQ302" si="2368">SUM(AP285:AP301)</f>
        <v>-4503.8851695748053</v>
      </c>
      <c r="AQ302" s="17">
        <f t="shared" si="2368"/>
        <v>-4601.178626986396</v>
      </c>
      <c r="AR302" s="17">
        <f t="shared" ref="AR302:AS302" si="2369">SUM(AR285:AR301)</f>
        <v>-4695.9628055458415</v>
      </c>
      <c r="AS302" s="17">
        <f t="shared" si="2369"/>
        <v>-4796.1897347450822</v>
      </c>
      <c r="AU302" s="17">
        <f>SUM(AU285:AU301)</f>
        <v>-1171</v>
      </c>
      <c r="AV302" s="17">
        <f t="shared" ref="AV302:AX302" si="2370">SUM(AV285:AV301)</f>
        <v>-1216</v>
      </c>
      <c r="AW302" s="17">
        <f t="shared" si="2370"/>
        <v>-1327</v>
      </c>
      <c r="AX302" s="17">
        <f t="shared" si="2370"/>
        <v>-1207</v>
      </c>
      <c r="AY302" s="17">
        <f t="shared" ref="AY302" si="2371">SUM(AY285:AY301)</f>
        <v>-2263</v>
      </c>
      <c r="AZ302" s="17">
        <f t="shared" ref="AZ302:BH302" si="2372">SUM(AZ285:AZ301)</f>
        <v>-2466</v>
      </c>
      <c r="BA302" s="17">
        <f t="shared" si="2372"/>
        <v>-2587</v>
      </c>
      <c r="BB302" s="17">
        <f t="shared" si="2372"/>
        <v>-3213</v>
      </c>
      <c r="BC302" s="17">
        <f t="shared" si="2372"/>
        <v>-2636</v>
      </c>
      <c r="BD302" s="17">
        <f t="shared" si="2372"/>
        <v>-2721</v>
      </c>
      <c r="BE302" s="17">
        <f t="shared" si="2372"/>
        <v>-2798</v>
      </c>
      <c r="BF302" s="17">
        <f t="shared" si="2372"/>
        <v>-2354</v>
      </c>
      <c r="BG302" s="17">
        <f t="shared" si="2372"/>
        <v>-2261</v>
      </c>
      <c r="BH302" s="17">
        <f t="shared" si="2372"/>
        <v>-2534</v>
      </c>
      <c r="BI302" s="17">
        <f t="shared" ref="BI302" si="2373">SUM(BI285:BI301)</f>
        <v>-2035</v>
      </c>
      <c r="BJ302" s="17">
        <f t="shared" ref="BJ302:BO302" si="2374">SUM(BJ285:BJ301)</f>
        <v>-2195</v>
      </c>
      <c r="BK302" s="17">
        <f t="shared" si="2374"/>
        <v>-2239</v>
      </c>
      <c r="BL302" s="17">
        <f t="shared" si="2374"/>
        <v>-2983</v>
      </c>
      <c r="BM302" s="17">
        <f t="shared" si="2374"/>
        <v>-3293</v>
      </c>
      <c r="BN302" s="17">
        <f t="shared" si="2374"/>
        <v>-3645</v>
      </c>
      <c r="BO302" s="18">
        <f t="shared" si="2374"/>
        <v>-3803</v>
      </c>
      <c r="BP302" s="17">
        <f t="shared" ref="BP302:BQ302" si="2375">SUM(BP285:BP301)</f>
        <v>-3900.5326759977534</v>
      </c>
      <c r="BQ302" s="17">
        <f t="shared" si="2375"/>
        <v>-4190.4508472109146</v>
      </c>
      <c r="BR302" s="17">
        <f t="shared" ref="BR302:BS302" si="2376">SUM(BR285:BR301)</f>
        <v>-4403.7557593265319</v>
      </c>
      <c r="BS302" s="17">
        <f t="shared" si="2376"/>
        <v>-4601.178626986396</v>
      </c>
      <c r="BT302" s="17">
        <f>SUM(BT285:BT301)</f>
        <v>-4796.1897347450822</v>
      </c>
    </row>
    <row r="303" spans="1:72" ht="12" customHeight="1" outlineLevel="1"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20"/>
      <c r="AK303" s="19"/>
      <c r="AL303" s="19"/>
      <c r="AM303" s="19"/>
      <c r="AN303" s="19"/>
      <c r="AO303" s="19"/>
      <c r="AP303" s="19"/>
      <c r="AQ303" s="19"/>
      <c r="AR303" s="19"/>
      <c r="AS303" s="19"/>
      <c r="AU303" s="19"/>
      <c r="AV303" s="19"/>
      <c r="AW303" s="19"/>
      <c r="AX303" s="19"/>
      <c r="AY303" s="19"/>
      <c r="AZ303" s="19"/>
      <c r="BA303" s="19"/>
      <c r="BB303" s="19"/>
      <c r="BC303" s="19"/>
      <c r="BD303" s="19"/>
      <c r="BE303" s="19"/>
      <c r="BF303" s="19"/>
      <c r="BG303" s="19"/>
      <c r="BH303" s="19"/>
      <c r="BI303" s="19"/>
      <c r="BJ303" s="19"/>
      <c r="BK303" s="19"/>
      <c r="BL303" s="19"/>
    </row>
    <row r="304" spans="1:72" s="9" customFormat="1" ht="12" customHeight="1" outlineLevel="1">
      <c r="A304" s="91" t="s">
        <v>584</v>
      </c>
      <c r="B304" s="103" t="s">
        <v>207</v>
      </c>
      <c r="C304" s="17"/>
      <c r="D304" s="17">
        <f>D282+D302</f>
        <v>4581</v>
      </c>
      <c r="E304" s="17">
        <f t="shared" ref="E304:K304" si="2377">E282+E302</f>
        <v>5005</v>
      </c>
      <c r="F304" s="17">
        <f t="shared" si="2377"/>
        <v>5325</v>
      </c>
      <c r="G304" s="17">
        <f t="shared" si="2377"/>
        <v>5477</v>
      </c>
      <c r="H304" s="17">
        <f t="shared" si="2377"/>
        <v>6510</v>
      </c>
      <c r="I304" s="17">
        <f t="shared" si="2377"/>
        <v>5685</v>
      </c>
      <c r="J304" s="17">
        <f t="shared" si="2377"/>
        <v>5509</v>
      </c>
      <c r="K304" s="17">
        <f t="shared" si="2377"/>
        <v>5672</v>
      </c>
      <c r="L304" s="17">
        <f t="shared" ref="L304:M304" si="2378">L282+L302</f>
        <v>6135</v>
      </c>
      <c r="M304" s="17">
        <f t="shared" si="2378"/>
        <v>6318</v>
      </c>
      <c r="N304" s="17">
        <f t="shared" ref="N304:O304" si="2379">N282+N302</f>
        <v>6106</v>
      </c>
      <c r="O304" s="17">
        <f t="shared" si="2379"/>
        <v>8415</v>
      </c>
      <c r="P304" s="17">
        <f t="shared" ref="P304:Q304" si="2380">P282+P302</f>
        <v>9068</v>
      </c>
      <c r="Q304" s="17">
        <f t="shared" si="2380"/>
        <v>10076</v>
      </c>
      <c r="R304" s="17">
        <f t="shared" ref="R304:S304" si="2381">R282+R302</f>
        <v>9757</v>
      </c>
      <c r="S304" s="17">
        <f t="shared" si="2381"/>
        <v>10024</v>
      </c>
      <c r="T304" s="17">
        <f t="shared" ref="T304:U304" si="2382">T282+T302</f>
        <v>9899</v>
      </c>
      <c r="U304" s="17">
        <f t="shared" si="2382"/>
        <v>10128</v>
      </c>
      <c r="V304" s="17">
        <f t="shared" ref="V304:W304" si="2383">V282+V302</f>
        <v>9979</v>
      </c>
      <c r="W304" s="17">
        <f t="shared" si="2383"/>
        <v>8839</v>
      </c>
      <c r="X304" s="17">
        <f t="shared" ref="X304:Y304" si="2384">X282+X302</f>
        <v>10035</v>
      </c>
      <c r="Y304" s="17">
        <f t="shared" si="2384"/>
        <v>11653</v>
      </c>
      <c r="Z304" s="17">
        <f t="shared" ref="Z304:AA304" si="2385">Z282+Z302</f>
        <v>12011</v>
      </c>
      <c r="AA304" s="17">
        <f t="shared" si="2385"/>
        <v>11840</v>
      </c>
      <c r="AB304" s="17">
        <f t="shared" ref="AB304:AC304" si="2386">AB282+AB302</f>
        <v>13588</v>
      </c>
      <c r="AC304" s="17">
        <f t="shared" si="2386"/>
        <v>14975</v>
      </c>
      <c r="AD304" s="17">
        <f t="shared" ref="AD304:AE304" si="2387">AD282+AD302</f>
        <v>17408</v>
      </c>
      <c r="AE304" s="17">
        <f t="shared" si="2387"/>
        <v>17060</v>
      </c>
      <c r="AF304" s="17">
        <f t="shared" ref="AF304:AG304" si="2388">AF282+AF302</f>
        <v>16712</v>
      </c>
      <c r="AG304" s="17">
        <f t="shared" si="2388"/>
        <v>17708</v>
      </c>
      <c r="AH304" s="17">
        <f t="shared" ref="AH304:AJ304" si="2389">AH282+AH302</f>
        <v>17610</v>
      </c>
      <c r="AI304" s="17">
        <f t="shared" si="2389"/>
        <v>19250</v>
      </c>
      <c r="AJ304" s="18">
        <f t="shared" si="2389"/>
        <v>19123</v>
      </c>
      <c r="AK304" s="17">
        <f>AK282+AK302</f>
        <v>19867.701218939597</v>
      </c>
      <c r="AL304" s="17">
        <f t="shared" ref="AL304:AM304" si="2390">AL282+AL302</f>
        <v>19973.155291215386</v>
      </c>
      <c r="AM304" s="17">
        <f t="shared" si="2390"/>
        <v>20597.561594599338</v>
      </c>
      <c r="AN304" s="17">
        <f t="shared" ref="AN304:AO304" si="2391">AN282+AN302</f>
        <v>21153.661013332337</v>
      </c>
      <c r="AO304" s="17">
        <f t="shared" si="2391"/>
        <v>22237.790049826654</v>
      </c>
      <c r="AP304" s="17">
        <f t="shared" ref="AP304:AQ304" si="2392">AP282+AP302</f>
        <v>22711.527753351344</v>
      </c>
      <c r="AQ304" s="17">
        <f t="shared" si="2392"/>
        <v>23903.622462655581</v>
      </c>
      <c r="AR304" s="17">
        <f t="shared" ref="AR304:AS304" si="2393">AR282+AR302</f>
        <v>24634.049080619337</v>
      </c>
      <c r="AS304" s="17">
        <f t="shared" si="2393"/>
        <v>25818.770294186175</v>
      </c>
      <c r="AU304" s="17">
        <f t="shared" ref="AU304:AX304" si="2394">AU282+AU302</f>
        <v>2215</v>
      </c>
      <c r="AV304" s="17">
        <f t="shared" si="2394"/>
        <v>2586</v>
      </c>
      <c r="AW304" s="17">
        <f t="shared" si="2394"/>
        <v>4664</v>
      </c>
      <c r="AX304" s="17">
        <f t="shared" si="2394"/>
        <v>3592</v>
      </c>
      <c r="AY304" s="17">
        <f t="shared" ref="AY304" si="2395">AY282+AY302</f>
        <v>3369</v>
      </c>
      <c r="AZ304" s="17">
        <f t="shared" ref="AZ304" si="2396">AZ282+AZ302</f>
        <v>5005</v>
      </c>
      <c r="BA304" s="17">
        <f t="shared" ref="BA304" si="2397">BA282+BA302</f>
        <v>5477</v>
      </c>
      <c r="BB304" s="17">
        <f t="shared" ref="BB304" si="2398">BB282+BB302</f>
        <v>5685</v>
      </c>
      <c r="BC304" s="17">
        <f t="shared" ref="BC304:BD304" si="2399">BC282+BC302</f>
        <v>5672</v>
      </c>
      <c r="BD304" s="17">
        <f t="shared" si="2399"/>
        <v>6318</v>
      </c>
      <c r="BE304" s="17">
        <f t="shared" ref="BE304" si="2400">BE282+BE302</f>
        <v>8415</v>
      </c>
      <c r="BF304" s="17">
        <f t="shared" ref="BF304" si="2401">BF282+BF302</f>
        <v>10076</v>
      </c>
      <c r="BG304" s="17">
        <f t="shared" ref="BG304" si="2402">BG282+BG302</f>
        <v>10024</v>
      </c>
      <c r="BH304" s="17">
        <f t="shared" ref="BH304" si="2403">BH282+BH302</f>
        <v>10128</v>
      </c>
      <c r="BI304" s="17">
        <f t="shared" ref="BI304:BN304" si="2404">BI282+BI302</f>
        <v>8839</v>
      </c>
      <c r="BJ304" s="17">
        <f t="shared" si="2404"/>
        <v>11653</v>
      </c>
      <c r="BK304" s="17">
        <f t="shared" si="2404"/>
        <v>11840</v>
      </c>
      <c r="BL304" s="17">
        <f t="shared" si="2404"/>
        <v>14975</v>
      </c>
      <c r="BM304" s="17">
        <f t="shared" si="2404"/>
        <v>17060</v>
      </c>
      <c r="BN304" s="17">
        <f t="shared" si="2404"/>
        <v>17708</v>
      </c>
      <c r="BO304" s="18">
        <f t="shared" ref="BO304:BP304" si="2405">BO282+BO302</f>
        <v>19250</v>
      </c>
      <c r="BP304" s="17">
        <f t="shared" si="2405"/>
        <v>19867.701218939597</v>
      </c>
      <c r="BQ304" s="17">
        <f t="shared" ref="BQ304:BR304" si="2406">BQ282+BQ302</f>
        <v>20597.561594599338</v>
      </c>
      <c r="BR304" s="17">
        <f t="shared" si="2406"/>
        <v>22237.790049826654</v>
      </c>
      <c r="BS304" s="17">
        <f t="shared" ref="BS304" si="2407">BS282+BS302</f>
        <v>23903.622462655581</v>
      </c>
      <c r="BT304" s="17">
        <f t="shared" ref="BT304" si="2408">BT282+BT302</f>
        <v>25818.770294186175</v>
      </c>
    </row>
    <row r="305" spans="1:72" ht="12" customHeight="1" outlineLevel="1"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20"/>
      <c r="AK305" s="19"/>
      <c r="AL305" s="19"/>
      <c r="AM305" s="19"/>
      <c r="AN305" s="19"/>
      <c r="AO305" s="19"/>
      <c r="AP305" s="19"/>
      <c r="AQ305" s="19"/>
      <c r="AR305" s="19"/>
      <c r="AS305" s="19"/>
      <c r="AU305" s="19"/>
      <c r="AV305" s="19"/>
      <c r="AW305" s="19"/>
      <c r="AX305" s="19"/>
      <c r="AY305" s="19"/>
    </row>
    <row r="306" spans="1:72" ht="12" customHeight="1" outlineLevel="1">
      <c r="B306" s="9" t="s">
        <v>193</v>
      </c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20"/>
      <c r="AK306" s="19"/>
      <c r="AL306" s="19"/>
      <c r="AM306" s="19"/>
      <c r="AN306" s="19"/>
      <c r="AO306" s="19"/>
      <c r="AP306" s="19"/>
      <c r="AQ306" s="19"/>
      <c r="AR306" s="19"/>
      <c r="AS306" s="19"/>
      <c r="AU306" s="19"/>
      <c r="AV306" s="19"/>
      <c r="AW306" s="19"/>
      <c r="AX306" s="19"/>
      <c r="AY306" s="19"/>
    </row>
    <row r="307" spans="1:72" ht="12" customHeight="1" outlineLevel="1">
      <c r="A307" s="91" t="s">
        <v>585</v>
      </c>
      <c r="B307" s="1" t="s">
        <v>208</v>
      </c>
      <c r="C307" s="19"/>
      <c r="D307" s="21">
        <v>4512</v>
      </c>
      <c r="E307" s="21">
        <v>3880</v>
      </c>
      <c r="F307" s="21">
        <v>3148</v>
      </c>
      <c r="G307" s="21">
        <v>3570</v>
      </c>
      <c r="H307" s="21">
        <v>3145</v>
      </c>
      <c r="I307" s="21">
        <v>3304</v>
      </c>
      <c r="J307" s="21">
        <v>3594</v>
      </c>
      <c r="K307" s="21">
        <v>3993</v>
      </c>
      <c r="L307" s="21">
        <v>4061</v>
      </c>
      <c r="M307" s="21">
        <v>3197</v>
      </c>
      <c r="N307" s="62">
        <v>3586</v>
      </c>
      <c r="O307" s="62">
        <v>3780</v>
      </c>
      <c r="P307" s="62">
        <v>4244</v>
      </c>
      <c r="Q307" s="62">
        <v>3783</v>
      </c>
      <c r="R307" s="62">
        <v>3865</v>
      </c>
      <c r="S307" s="62">
        <v>4415</v>
      </c>
      <c r="T307" s="62">
        <v>4303</v>
      </c>
      <c r="U307" s="62">
        <v>4826</v>
      </c>
      <c r="V307" s="62">
        <v>5524</v>
      </c>
      <c r="W307" s="62">
        <v>9358</v>
      </c>
      <c r="X307" s="62">
        <v>10127</v>
      </c>
      <c r="Y307" s="62">
        <v>9589</v>
      </c>
      <c r="Z307" s="62">
        <v>9075</v>
      </c>
      <c r="AA307" s="62">
        <v>10588</v>
      </c>
      <c r="AB307" s="62">
        <v>10704</v>
      </c>
      <c r="AC307" s="62">
        <v>13315</v>
      </c>
      <c r="AD307" s="62">
        <v>14099</v>
      </c>
      <c r="AE307" s="62">
        <v>16303</v>
      </c>
      <c r="AF307" s="62">
        <v>16000</v>
      </c>
      <c r="AG307" s="62">
        <v>15542</v>
      </c>
      <c r="AH307" s="62">
        <v>15509</v>
      </c>
      <c r="AI307" s="62">
        <v>16300</v>
      </c>
      <c r="AJ307" s="57">
        <v>15685</v>
      </c>
      <c r="AK307" s="41">
        <f t="shared" ref="AK307" si="2409">AJ307+(AK272-AJ272)</f>
        <v>15906.308473734338</v>
      </c>
      <c r="AL307" s="41">
        <f t="shared" ref="AL307" si="2410">AK307+(AL272-AK272)</f>
        <v>15934.7280314118</v>
      </c>
      <c r="AM307" s="41">
        <f t="shared" ref="AM307" si="2411">AL307+(AM272-AL272)</f>
        <v>16019.617201164659</v>
      </c>
      <c r="AN307" s="41">
        <f t="shared" ref="AN307" si="2412">AM307+(AN272-AM272)</f>
        <v>16093.449212532229</v>
      </c>
      <c r="AO307" s="41">
        <f t="shared" ref="AO307" si="2413">AN307+(AO272-AN272)</f>
        <v>16225.565353091653</v>
      </c>
      <c r="AP307" s="41">
        <f t="shared" ref="AP307" si="2414">AO307+(AP272-AO272)</f>
        <v>16289.328365733094</v>
      </c>
      <c r="AQ307" s="41">
        <f t="shared" ref="AQ307" si="2415">AP307+(AQ272-AP272)</f>
        <v>16432.593717590407</v>
      </c>
      <c r="AR307" s="41">
        <f t="shared" ref="AR307" si="2416">AQ307+(AR272-AQ272)</f>
        <v>16524.283806092986</v>
      </c>
      <c r="AS307" s="41">
        <f t="shared" ref="AS307" si="2417">AR307+(AS272-AR272)</f>
        <v>16667.055821955881</v>
      </c>
      <c r="AU307" s="21"/>
      <c r="AV307" s="21"/>
      <c r="AW307" s="21"/>
      <c r="AX307" s="21"/>
      <c r="AY307" s="21">
        <v>3827</v>
      </c>
      <c r="AZ307" s="19">
        <f>E307</f>
        <v>3880</v>
      </c>
      <c r="BA307" s="19">
        <f>G307</f>
        <v>3570</v>
      </c>
      <c r="BB307" s="19">
        <f>I307</f>
        <v>3304</v>
      </c>
      <c r="BC307" s="19">
        <f>K307</f>
        <v>3993</v>
      </c>
      <c r="BD307" s="19">
        <f>M307</f>
        <v>3197</v>
      </c>
      <c r="BE307" s="19">
        <f>O307</f>
        <v>3780</v>
      </c>
      <c r="BF307" s="19">
        <f>Q307</f>
        <v>3783</v>
      </c>
      <c r="BG307" s="19">
        <f>S307</f>
        <v>4415</v>
      </c>
      <c r="BH307" s="19">
        <f>U307</f>
        <v>4826</v>
      </c>
      <c r="BI307" s="19">
        <f>W307</f>
        <v>9358</v>
      </c>
      <c r="BJ307" s="19">
        <f>Y307</f>
        <v>9589</v>
      </c>
      <c r="BK307" s="19">
        <f>AA307</f>
        <v>10588</v>
      </c>
      <c r="BL307" s="19">
        <f>AC307</f>
        <v>13315</v>
      </c>
      <c r="BM307" s="19">
        <f>AE307</f>
        <v>16303</v>
      </c>
      <c r="BN307" s="19">
        <f>AG307</f>
        <v>15542</v>
      </c>
      <c r="BO307" s="20">
        <f>AI307</f>
        <v>16300</v>
      </c>
      <c r="BP307" s="19">
        <f>AK307</f>
        <v>15906.308473734338</v>
      </c>
      <c r="BQ307" s="19">
        <f>AM307</f>
        <v>16019.617201164659</v>
      </c>
      <c r="BR307" s="19">
        <f>AO307</f>
        <v>16225.565353091653</v>
      </c>
      <c r="BS307" s="19">
        <f>AQ307</f>
        <v>16432.593717590407</v>
      </c>
      <c r="BT307" s="19">
        <f>AS307</f>
        <v>16667.055821955881</v>
      </c>
    </row>
    <row r="308" spans="1:72" ht="12" customHeight="1"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20"/>
      <c r="AK308" s="19"/>
      <c r="AL308" s="19"/>
      <c r="AM308" s="19"/>
      <c r="AN308" s="19"/>
      <c r="AO308" s="19"/>
      <c r="AP308" s="19"/>
      <c r="AQ308" s="19"/>
      <c r="AR308" s="19"/>
      <c r="AS308" s="19"/>
      <c r="AU308" s="19"/>
      <c r="AV308" s="19"/>
      <c r="AW308" s="19"/>
      <c r="AX308" s="19"/>
      <c r="AY308" s="19"/>
    </row>
    <row r="309" spans="1:72" s="9" customFormat="1" ht="12" customHeight="1">
      <c r="A309" s="91" t="s">
        <v>586</v>
      </c>
      <c r="B309" s="2" t="s">
        <v>209</v>
      </c>
      <c r="C309" s="2"/>
      <c r="D309" s="93">
        <f>D318+D337</f>
        <v>5638.4500000000007</v>
      </c>
      <c r="E309" s="93">
        <f t="shared" ref="E309:P309" si="2418">E318+E337</f>
        <v>5998.9724999999999</v>
      </c>
      <c r="F309" s="93">
        <f t="shared" si="2418"/>
        <v>6757.6725000000006</v>
      </c>
      <c r="G309" s="93">
        <f t="shared" si="2418"/>
        <v>7255.5</v>
      </c>
      <c r="H309" s="93">
        <f t="shared" si="2418"/>
        <v>7300.0825000000004</v>
      </c>
      <c r="I309" s="93">
        <f t="shared" si="2418"/>
        <v>7332.1675000000005</v>
      </c>
      <c r="J309" s="93">
        <f t="shared" si="2418"/>
        <v>7466.8249999999998</v>
      </c>
      <c r="K309" s="93">
        <f t="shared" si="2418"/>
        <v>7949.7725</v>
      </c>
      <c r="L309" s="93">
        <f t="shared" ref="L309" si="2419">L318+L337</f>
        <v>8612.630000000001</v>
      </c>
      <c r="M309" s="93">
        <f t="shared" si="2418"/>
        <v>8243.0849999999991</v>
      </c>
      <c r="N309" s="93">
        <f t="shared" ref="N309:O309" si="2420">N318+N337</f>
        <v>8933.1550000000007</v>
      </c>
      <c r="O309" s="93">
        <f t="shared" si="2420"/>
        <v>10568.415000000001</v>
      </c>
      <c r="P309" s="93">
        <f t="shared" si="2418"/>
        <v>11404.52</v>
      </c>
      <c r="Q309" s="93">
        <f t="shared" ref="Q309:R309" si="2421">Q318+Q337</f>
        <v>10991.04</v>
      </c>
      <c r="R309" s="93">
        <f t="shared" si="2421"/>
        <v>10968.830000000002</v>
      </c>
      <c r="S309" s="93">
        <f t="shared" ref="S309:T309" si="2422">S318+S337</f>
        <v>10952.36</v>
      </c>
      <c r="T309" s="93">
        <f t="shared" si="2422"/>
        <v>12552.375</v>
      </c>
      <c r="U309" s="93">
        <f t="shared" ref="U309:V309" si="2423">U318+U337</f>
        <v>13258.35</v>
      </c>
      <c r="V309" s="93">
        <f t="shared" si="2423"/>
        <v>14703</v>
      </c>
      <c r="W309" s="93">
        <f t="shared" ref="W309:X309" si="2424">W318+W337</f>
        <v>14517.115</v>
      </c>
      <c r="X309" s="93">
        <f t="shared" si="2424"/>
        <v>16158.74</v>
      </c>
      <c r="Y309" s="93">
        <f t="shared" ref="Y309:Z309" si="2425">Y318+Y337</f>
        <v>16514.71</v>
      </c>
      <c r="Z309" s="93">
        <f t="shared" si="2425"/>
        <v>14360.865</v>
      </c>
      <c r="AA309" s="93">
        <f t="shared" ref="AA309:AB309" si="2426">AA318+AA337</f>
        <v>16248</v>
      </c>
      <c r="AB309" s="93">
        <f t="shared" si="2426"/>
        <v>19443.885000000002</v>
      </c>
      <c r="AC309" s="93">
        <f t="shared" ref="AC309:AD309" si="2427">AC318+AC337</f>
        <v>21295.8</v>
      </c>
      <c r="AD309" s="93">
        <f t="shared" si="2427"/>
        <v>23142.614999999998</v>
      </c>
      <c r="AE309" s="93">
        <f t="shared" ref="AE309:AF309" si="2428">AE318+AE337</f>
        <v>23133.574999999997</v>
      </c>
      <c r="AF309" s="93">
        <f t="shared" si="2428"/>
        <v>24686.59</v>
      </c>
      <c r="AG309" s="93">
        <f t="shared" ref="AG309:AH309" si="2429">AG318+AG337</f>
        <v>25030.489999999998</v>
      </c>
      <c r="AH309" s="93">
        <f t="shared" si="2429"/>
        <v>25698.489999999998</v>
      </c>
      <c r="AI309" s="93">
        <f>AI318+AI337</f>
        <v>28499.010000000002</v>
      </c>
      <c r="AJ309" s="94">
        <f>AJ318+AJ337</f>
        <v>29651.955000000002</v>
      </c>
      <c r="AK309" s="93">
        <f t="shared" ref="AK309" si="2430">AK318+AK337</f>
        <v>32086.20857951682</v>
      </c>
      <c r="AL309" s="93">
        <f t="shared" ref="AL309:AM309" si="2431">AL318+AL337</f>
        <v>32904.268888566752</v>
      </c>
      <c r="AM309" s="93">
        <f t="shared" si="2431"/>
        <v>33694.717232839641</v>
      </c>
      <c r="AN309" s="93">
        <f t="shared" ref="AN309:AO309" si="2432">AN318+AN337</f>
        <v>34558.653988650818</v>
      </c>
      <c r="AO309" s="93">
        <f t="shared" si="2432"/>
        <v>35351.583921928534</v>
      </c>
      <c r="AP309" s="93">
        <f t="shared" ref="AP309:AQ309" si="2433">AP318+AP337</f>
        <v>36557.831209519922</v>
      </c>
      <c r="AQ309" s="93">
        <f t="shared" si="2433"/>
        <v>37748.305576437226</v>
      </c>
      <c r="AR309" s="93">
        <f t="shared" ref="AR309:AS309" si="2434">AR318+AR337</f>
        <v>38927.004475432594</v>
      </c>
      <c r="AS309" s="93">
        <f t="shared" si="2434"/>
        <v>40178.576528804188</v>
      </c>
      <c r="AT309" s="2"/>
      <c r="AU309" s="93">
        <f t="shared" ref="AU309:AY309" si="2435">AU318+AU337</f>
        <v>1631.1075000000001</v>
      </c>
      <c r="AV309" s="93">
        <f t="shared" si="2435"/>
        <v>2371.9575</v>
      </c>
      <c r="AW309" s="93">
        <f t="shared" si="2435"/>
        <v>3249.3450000000003</v>
      </c>
      <c r="AX309" s="93">
        <f t="shared" si="2435"/>
        <v>3124.605</v>
      </c>
      <c r="AY309" s="93">
        <f t="shared" si="2435"/>
        <v>5434.1125000000002</v>
      </c>
      <c r="AZ309" s="93">
        <f t="shared" ref="AZ309" si="2436">AZ318+AZ337</f>
        <v>5998.9724999999999</v>
      </c>
      <c r="BA309" s="93">
        <f t="shared" ref="BA309" si="2437">BA318+BA337</f>
        <v>7255.5</v>
      </c>
      <c r="BB309" s="93">
        <f t="shared" ref="BB309" si="2438">BB318+BB337</f>
        <v>7332.1675000000005</v>
      </c>
      <c r="BC309" s="93">
        <f t="shared" ref="BC309:BD309" si="2439">BC318+BC337</f>
        <v>7949.7725</v>
      </c>
      <c r="BD309" s="93">
        <f t="shared" si="2439"/>
        <v>8243.0849999999991</v>
      </c>
      <c r="BE309" s="93">
        <f t="shared" ref="BE309" si="2440">BE318+BE337</f>
        <v>10568.415000000001</v>
      </c>
      <c r="BF309" s="93">
        <f t="shared" ref="BF309" si="2441">BF318+BF337</f>
        <v>10991.04</v>
      </c>
      <c r="BG309" s="93">
        <f t="shared" ref="BG309" si="2442">BG318+BG337</f>
        <v>10952.36</v>
      </c>
      <c r="BH309" s="93">
        <f t="shared" ref="BH309" si="2443">BH318+BH337</f>
        <v>13258.35</v>
      </c>
      <c r="BI309" s="93">
        <f t="shared" ref="BI309:BN309" si="2444">BI318+BI337</f>
        <v>14517.115</v>
      </c>
      <c r="BJ309" s="93">
        <f t="shared" si="2444"/>
        <v>16514.71</v>
      </c>
      <c r="BK309" s="93">
        <f t="shared" si="2444"/>
        <v>16248</v>
      </c>
      <c r="BL309" s="93">
        <f t="shared" si="2444"/>
        <v>21295.8</v>
      </c>
      <c r="BM309" s="93">
        <f t="shared" si="2444"/>
        <v>23133.574999999997</v>
      </c>
      <c r="BN309" s="93">
        <f t="shared" si="2444"/>
        <v>25030.489999999998</v>
      </c>
      <c r="BO309" s="94">
        <f t="shared" ref="BO309:BP309" si="2445">BO318+BO337</f>
        <v>28499.010000000002</v>
      </c>
      <c r="BP309" s="93">
        <f t="shared" si="2445"/>
        <v>32086.20857951682</v>
      </c>
      <c r="BQ309" s="93">
        <f t="shared" ref="BQ309:BR309" si="2446">BQ318+BQ337</f>
        <v>33694.717232839641</v>
      </c>
      <c r="BR309" s="93">
        <f t="shared" si="2446"/>
        <v>35351.583921928534</v>
      </c>
      <c r="BS309" s="93">
        <f t="shared" ref="BS309" si="2447">BS318+BS337</f>
        <v>37748.305576437226</v>
      </c>
      <c r="BT309" s="93">
        <f t="shared" ref="BT309" si="2448">BT318+BT337</f>
        <v>40178.576528804188</v>
      </c>
    </row>
    <row r="310" spans="1:72" ht="12" customHeight="1" outlineLevel="1">
      <c r="H310" s="326"/>
      <c r="K310" s="326"/>
      <c r="L310" s="326"/>
      <c r="M310" s="326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20"/>
    </row>
    <row r="311" spans="1:72" ht="12" customHeight="1" outlineLevel="1">
      <c r="B311" s="9" t="s">
        <v>192</v>
      </c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20"/>
      <c r="AK311" s="19"/>
      <c r="AL311" s="19"/>
      <c r="AM311" s="19"/>
      <c r="AN311" s="19"/>
      <c r="AO311" s="19"/>
      <c r="AP311" s="19"/>
      <c r="AQ311" s="19"/>
      <c r="AR311" s="19"/>
      <c r="AS311" s="19"/>
      <c r="AU311" s="19"/>
      <c r="AV311" s="19"/>
      <c r="AW311" s="19"/>
      <c r="AX311" s="19"/>
      <c r="AY311" s="19"/>
    </row>
    <row r="312" spans="1:72" ht="12" customHeight="1" outlineLevel="1">
      <c r="B312" s="1" t="s">
        <v>210</v>
      </c>
      <c r="C312" s="19"/>
      <c r="D312" s="21">
        <v>32046</v>
      </c>
      <c r="E312" s="21">
        <v>35117</v>
      </c>
      <c r="F312" s="21">
        <v>40145</v>
      </c>
      <c r="G312" s="21">
        <v>40983</v>
      </c>
      <c r="H312" s="21">
        <v>43375</v>
      </c>
      <c r="I312" s="21">
        <v>38944</v>
      </c>
      <c r="J312" s="21">
        <v>40000</v>
      </c>
      <c r="K312" s="21">
        <v>44134</v>
      </c>
      <c r="L312" s="21">
        <v>47940</v>
      </c>
      <c r="M312" s="21">
        <v>50723</v>
      </c>
      <c r="N312" s="21">
        <v>54885</v>
      </c>
      <c r="O312" s="21">
        <v>70450</v>
      </c>
      <c r="P312" s="21">
        <v>75224</v>
      </c>
      <c r="Q312" s="21">
        <v>79698</v>
      </c>
      <c r="R312" s="21">
        <v>79124</v>
      </c>
      <c r="S312" s="21">
        <v>75997</v>
      </c>
      <c r="T312" s="21">
        <v>76286</v>
      </c>
      <c r="U312" s="21">
        <v>77714</v>
      </c>
      <c r="V312" s="21">
        <v>78769</v>
      </c>
      <c r="W312" s="21">
        <v>62024</v>
      </c>
      <c r="X312" s="21">
        <v>72772</v>
      </c>
      <c r="Y312" s="21">
        <v>80992</v>
      </c>
      <c r="Z312" s="21">
        <v>73966</v>
      </c>
      <c r="AA312" s="21">
        <v>77589</v>
      </c>
      <c r="AB312" s="21">
        <v>96456</v>
      </c>
      <c r="AC312" s="21">
        <v>108487</v>
      </c>
      <c r="AD312" s="21">
        <v>113517</v>
      </c>
      <c r="AE312" s="21">
        <v>97485</v>
      </c>
      <c r="AF312" s="21">
        <v>97783</v>
      </c>
      <c r="AG312" s="21">
        <v>98250</v>
      </c>
      <c r="AH312" s="21">
        <f>70490+36867+806</f>
        <v>108163</v>
      </c>
      <c r="AI312" s="21">
        <f>76624+42012+916</f>
        <v>119552</v>
      </c>
      <c r="AJ312" s="24">
        <f>82992+40109+1083</f>
        <v>124184</v>
      </c>
      <c r="AK312" s="19">
        <f>(AK168+AK170+AK171)*AK45</f>
        <v>137109.48509756109</v>
      </c>
      <c r="AL312" s="19">
        <f t="shared" ref="AL312:AS312" si="2449">(AL168+AL170+AL171)*AL45</f>
        <v>138550.2304672949</v>
      </c>
      <c r="AM312" s="19">
        <f t="shared" si="2449"/>
        <v>140732.03628444613</v>
      </c>
      <c r="AN312" s="19">
        <f t="shared" si="2449"/>
        <v>145660.53694856996</v>
      </c>
      <c r="AO312" s="19">
        <f t="shared" si="2449"/>
        <v>150055.11673970561</v>
      </c>
      <c r="AP312" s="19">
        <f t="shared" si="2449"/>
        <v>158556.4302071938</v>
      </c>
      <c r="AQ312" s="19">
        <f t="shared" si="2449"/>
        <v>167401.20815602961</v>
      </c>
      <c r="AR312" s="19">
        <f t="shared" si="2449"/>
        <v>176598.76875145274</v>
      </c>
      <c r="AS312" s="19">
        <f t="shared" si="2449"/>
        <v>186329.20498177275</v>
      </c>
      <c r="AU312" s="21">
        <v>14835</v>
      </c>
      <c r="AV312" s="21">
        <v>22308</v>
      </c>
      <c r="AW312" s="21">
        <v>30693</v>
      </c>
      <c r="AX312" s="21">
        <v>27303</v>
      </c>
      <c r="AY312" s="21">
        <v>27615</v>
      </c>
      <c r="AZ312" s="19">
        <f>E312</f>
        <v>35117</v>
      </c>
      <c r="BA312" s="19">
        <f>G312</f>
        <v>40983</v>
      </c>
      <c r="BB312" s="19">
        <f>I312</f>
        <v>38944</v>
      </c>
      <c r="BC312" s="19">
        <f>K312</f>
        <v>44134</v>
      </c>
      <c r="BD312" s="19">
        <f>M312</f>
        <v>50723</v>
      </c>
      <c r="BE312" s="19">
        <f>O312</f>
        <v>70450</v>
      </c>
      <c r="BF312" s="19">
        <f>Q312</f>
        <v>79698</v>
      </c>
      <c r="BG312" s="19">
        <f>S312</f>
        <v>75997</v>
      </c>
      <c r="BH312" s="19">
        <f>U312</f>
        <v>77714</v>
      </c>
      <c r="BI312" s="19">
        <f>W312</f>
        <v>62024</v>
      </c>
      <c r="BJ312" s="19">
        <f>Y312</f>
        <v>80992</v>
      </c>
      <c r="BK312" s="19">
        <f>AA312</f>
        <v>77589</v>
      </c>
      <c r="BL312" s="19">
        <f>AC312</f>
        <v>108487</v>
      </c>
      <c r="BM312" s="19">
        <f>AE312</f>
        <v>97485</v>
      </c>
      <c r="BN312" s="19">
        <f>AG312</f>
        <v>98250</v>
      </c>
      <c r="BO312" s="20">
        <f>AI312</f>
        <v>119552</v>
      </c>
      <c r="BP312" s="19">
        <f>AK312</f>
        <v>137109.48509756109</v>
      </c>
      <c r="BQ312" s="19">
        <f>AM312</f>
        <v>140732.03628444613</v>
      </c>
      <c r="BR312" s="19">
        <f>AO312</f>
        <v>150055.11673970561</v>
      </c>
      <c r="BS312" s="19">
        <f>AQ312</f>
        <v>167401.20815602961</v>
      </c>
      <c r="BT312" s="19">
        <f>AS312</f>
        <v>186329.20498177275</v>
      </c>
    </row>
    <row r="313" spans="1:72" ht="12" customHeight="1" outlineLevel="1">
      <c r="B313" s="1" t="s">
        <v>211</v>
      </c>
      <c r="C313" s="19"/>
      <c r="D313" s="19">
        <f t="shared" ref="D313:I313" si="2450">D314-D312</f>
        <v>11014</v>
      </c>
      <c r="E313" s="19">
        <f t="shared" si="2450"/>
        <v>12216</v>
      </c>
      <c r="F313" s="19">
        <f t="shared" si="2450"/>
        <v>13548</v>
      </c>
      <c r="G313" s="19">
        <f t="shared" si="2450"/>
        <v>14417</v>
      </c>
      <c r="H313" s="19">
        <f t="shared" si="2450"/>
        <v>14226</v>
      </c>
      <c r="I313" s="19">
        <f t="shared" si="2450"/>
        <v>17155</v>
      </c>
      <c r="J313" s="19">
        <f t="shared" ref="J313:O313" si="2451">J314-J312</f>
        <v>16010</v>
      </c>
      <c r="K313" s="19">
        <f t="shared" si="2451"/>
        <v>14239</v>
      </c>
      <c r="L313" s="19">
        <f t="shared" si="2451"/>
        <v>14904</v>
      </c>
      <c r="M313" s="19">
        <f t="shared" si="2451"/>
        <v>14975</v>
      </c>
      <c r="N313" s="19">
        <f t="shared" si="2451"/>
        <v>15058</v>
      </c>
      <c r="O313" s="19">
        <f t="shared" si="2451"/>
        <v>16049</v>
      </c>
      <c r="P313" s="19">
        <f t="shared" ref="P313:Q313" si="2452">P314-P312</f>
        <v>16688</v>
      </c>
      <c r="Q313" s="19">
        <f t="shared" si="2452"/>
        <v>14126</v>
      </c>
      <c r="R313" s="19">
        <f t="shared" ref="R313:S313" si="2453">R314-R312</f>
        <v>14474</v>
      </c>
      <c r="S313" s="19">
        <f t="shared" si="2453"/>
        <v>14019</v>
      </c>
      <c r="T313" s="19">
        <f t="shared" ref="T313:U313" si="2454">T314-T312</f>
        <v>13339</v>
      </c>
      <c r="U313" s="19">
        <f t="shared" si="2454"/>
        <v>14016</v>
      </c>
      <c r="V313" s="19">
        <f t="shared" ref="V313:W313" si="2455">V314-V312</f>
        <v>17231</v>
      </c>
      <c r="W313" s="19">
        <f t="shared" si="2455"/>
        <v>15493</v>
      </c>
      <c r="X313" s="19">
        <f t="shared" ref="X313:Y313" si="2456">X314-X312</f>
        <v>15320</v>
      </c>
      <c r="Y313" s="19">
        <f t="shared" si="2456"/>
        <v>14626</v>
      </c>
      <c r="Z313" s="19">
        <f t="shared" ref="Z313:AA313" si="2457">Z314-Z312</f>
        <v>14801</v>
      </c>
      <c r="AA313" s="19">
        <f t="shared" si="2457"/>
        <v>16411</v>
      </c>
      <c r="AB313" s="19">
        <f t="shared" ref="AB313:AC313" si="2458">AB314-AB312</f>
        <v>19427</v>
      </c>
      <c r="AC313" s="19">
        <f t="shared" si="2458"/>
        <v>22153</v>
      </c>
      <c r="AD313" s="19">
        <f t="shared" ref="AD313:AE313" si="2459">AD314-AD312</f>
        <v>21900</v>
      </c>
      <c r="AE313" s="19">
        <f t="shared" si="2459"/>
        <v>26745</v>
      </c>
      <c r="AF313" s="19">
        <f t="shared" ref="AF313:AG313" si="2460">AF314-AF312</f>
        <v>27575</v>
      </c>
      <c r="AG313" s="19">
        <f t="shared" si="2460"/>
        <v>30688</v>
      </c>
      <c r="AH313" s="19">
        <f t="shared" ref="AH313:AI313" si="2461">AH314-AH312</f>
        <v>28775</v>
      </c>
      <c r="AI313" s="19">
        <f t="shared" si="2461"/>
        <v>29810</v>
      </c>
      <c r="AJ313" s="20">
        <f t="shared" ref="AJ313" si="2462">AJ314-AJ312</f>
        <v>28587</v>
      </c>
      <c r="AK313" s="19">
        <f t="shared" ref="AK313:AS313" si="2463">(AK187-(AK168+AK170+AK171))*AK46</f>
        <v>31538.956291748815</v>
      </c>
      <c r="AL313" s="19">
        <f t="shared" si="2463"/>
        <v>32105.19635392585</v>
      </c>
      <c r="AM313" s="19">
        <f t="shared" si="2463"/>
        <v>32579.036646884062</v>
      </c>
      <c r="AN313" s="19">
        <f t="shared" si="2463"/>
        <v>32834.766633697298</v>
      </c>
      <c r="AO313" s="19">
        <f t="shared" si="2463"/>
        <v>33012.207301529466</v>
      </c>
      <c r="AP313" s="19">
        <f t="shared" si="2463"/>
        <v>33109.095168711072</v>
      </c>
      <c r="AQ313" s="19">
        <f t="shared" si="2463"/>
        <v>33187.322685948689</v>
      </c>
      <c r="AR313" s="19">
        <f t="shared" si="2463"/>
        <v>33247.815345205861</v>
      </c>
      <c r="AS313" s="19">
        <f t="shared" si="2463"/>
        <v>33311.56690156152</v>
      </c>
      <c r="AU313" s="19">
        <f t="shared" ref="AU313:AX313" si="2464">AU314-AU312</f>
        <v>4936</v>
      </c>
      <c r="AV313" s="19">
        <f t="shared" si="2464"/>
        <v>6443</v>
      </c>
      <c r="AW313" s="19">
        <f t="shared" si="2464"/>
        <v>8693</v>
      </c>
      <c r="AX313" s="19">
        <f t="shared" si="2464"/>
        <v>10571</v>
      </c>
      <c r="AY313" s="19">
        <f t="shared" ref="AY313" si="2465">AY314-AY312</f>
        <v>9150</v>
      </c>
      <c r="AZ313" s="19">
        <f>E313</f>
        <v>12216</v>
      </c>
      <c r="BA313" s="19">
        <f>G313</f>
        <v>14417</v>
      </c>
      <c r="BB313" s="19">
        <f>I313</f>
        <v>17155</v>
      </c>
      <c r="BC313" s="19">
        <f>K313</f>
        <v>14239</v>
      </c>
      <c r="BD313" s="19">
        <f>M313</f>
        <v>14975</v>
      </c>
      <c r="BE313" s="19">
        <f>O313</f>
        <v>16049</v>
      </c>
      <c r="BF313" s="19">
        <f>Q313</f>
        <v>14126</v>
      </c>
      <c r="BG313" s="19">
        <f>S313</f>
        <v>14019</v>
      </c>
      <c r="BH313" s="19">
        <f>U313</f>
        <v>14016</v>
      </c>
      <c r="BI313" s="19">
        <f>W313</f>
        <v>15493</v>
      </c>
      <c r="BJ313" s="19">
        <f>Y313</f>
        <v>14626</v>
      </c>
      <c r="BK313" s="19">
        <f>AA313</f>
        <v>16411</v>
      </c>
      <c r="BL313" s="19">
        <f>AC313</f>
        <v>22153</v>
      </c>
      <c r="BM313" s="19">
        <f>AE313</f>
        <v>26745</v>
      </c>
      <c r="BN313" s="19">
        <f>AG313</f>
        <v>30688</v>
      </c>
      <c r="BO313" s="20">
        <f>AI313</f>
        <v>29810</v>
      </c>
      <c r="BP313" s="19">
        <f>AK313</f>
        <v>31538.956291748815</v>
      </c>
      <c r="BQ313" s="19">
        <f>AM313</f>
        <v>32579.036646884062</v>
      </c>
      <c r="BR313" s="19">
        <f>AO313</f>
        <v>33012.207301529466</v>
      </c>
      <c r="BS313" s="19">
        <f>AQ313</f>
        <v>33187.322685948689</v>
      </c>
      <c r="BT313" s="19">
        <f>AS313</f>
        <v>33311.56690156152</v>
      </c>
    </row>
    <row r="314" spans="1:72" s="9" customFormat="1" ht="12" customHeight="1" outlineLevel="1">
      <c r="A314" s="91" t="s">
        <v>714</v>
      </c>
      <c r="B314" s="103" t="s">
        <v>212</v>
      </c>
      <c r="C314" s="17"/>
      <c r="D314" s="22">
        <v>43060</v>
      </c>
      <c r="E314" s="22">
        <v>47333</v>
      </c>
      <c r="F314" s="22">
        <v>53693</v>
      </c>
      <c r="G314" s="22">
        <v>55400</v>
      </c>
      <c r="H314" s="22">
        <v>57601</v>
      </c>
      <c r="I314" s="22">
        <v>56099</v>
      </c>
      <c r="J314" s="22">
        <v>56010</v>
      </c>
      <c r="K314" s="22">
        <v>58373</v>
      </c>
      <c r="L314" s="22">
        <v>62844</v>
      </c>
      <c r="M314" s="22">
        <v>65698</v>
      </c>
      <c r="N314" s="22">
        <v>69943</v>
      </c>
      <c r="O314" s="22">
        <v>86499</v>
      </c>
      <c r="P314" s="22">
        <v>91912</v>
      </c>
      <c r="Q314" s="22">
        <v>93824</v>
      </c>
      <c r="R314" s="22">
        <v>93598</v>
      </c>
      <c r="S314" s="22">
        <v>90016</v>
      </c>
      <c r="T314" s="22">
        <v>89625</v>
      </c>
      <c r="U314" s="22">
        <v>91730</v>
      </c>
      <c r="V314" s="22">
        <v>96000</v>
      </c>
      <c r="W314" s="22">
        <v>77517</v>
      </c>
      <c r="X314" s="22">
        <v>88092</v>
      </c>
      <c r="Y314" s="22">
        <v>95618</v>
      </c>
      <c r="Z314" s="22">
        <v>88767</v>
      </c>
      <c r="AA314" s="22">
        <v>94000</v>
      </c>
      <c r="AB314" s="22">
        <v>115883</v>
      </c>
      <c r="AC314" s="22">
        <v>130640</v>
      </c>
      <c r="AD314" s="22">
        <v>135417</v>
      </c>
      <c r="AE314" s="22">
        <v>124230</v>
      </c>
      <c r="AF314" s="22">
        <v>125358</v>
      </c>
      <c r="AG314" s="22">
        <v>128938</v>
      </c>
      <c r="AH314" s="22">
        <v>136938</v>
      </c>
      <c r="AI314" s="22">
        <v>149362</v>
      </c>
      <c r="AJ314" s="23">
        <v>152771</v>
      </c>
      <c r="AK314" s="17">
        <f t="shared" ref="AK314" si="2466">AK312+AK313</f>
        <v>168648.44138930991</v>
      </c>
      <c r="AL314" s="17">
        <f t="shared" ref="AL314:AM314" si="2467">AL312+AL313</f>
        <v>170655.42682122075</v>
      </c>
      <c r="AM314" s="17">
        <f t="shared" si="2467"/>
        <v>173311.07293133019</v>
      </c>
      <c r="AN314" s="17">
        <f t="shared" ref="AN314:AO314" si="2468">AN312+AN313</f>
        <v>178495.30358226725</v>
      </c>
      <c r="AO314" s="17">
        <f t="shared" si="2468"/>
        <v>183067.32404123509</v>
      </c>
      <c r="AP314" s="17">
        <f t="shared" ref="AP314:AQ314" si="2469">AP312+AP313</f>
        <v>191665.52537590486</v>
      </c>
      <c r="AQ314" s="17">
        <f t="shared" si="2469"/>
        <v>200588.5308419783</v>
      </c>
      <c r="AR314" s="17">
        <f t="shared" ref="AR314:AS314" si="2470">AR312+AR313</f>
        <v>209846.5840966586</v>
      </c>
      <c r="AS314" s="17">
        <f t="shared" si="2470"/>
        <v>219640.77188333427</v>
      </c>
      <c r="AU314" s="22">
        <v>19771</v>
      </c>
      <c r="AV314" s="22">
        <v>28751</v>
      </c>
      <c r="AW314" s="22">
        <v>39386</v>
      </c>
      <c r="AX314" s="22">
        <v>37874</v>
      </c>
      <c r="AY314" s="22">
        <f>37475-710</f>
        <v>36765</v>
      </c>
      <c r="AZ314" s="17">
        <f t="shared" ref="AZ314:BH314" si="2471">AZ312+AZ313</f>
        <v>47333</v>
      </c>
      <c r="BA314" s="17">
        <f t="shared" si="2471"/>
        <v>55400</v>
      </c>
      <c r="BB314" s="17">
        <f t="shared" si="2471"/>
        <v>56099</v>
      </c>
      <c r="BC314" s="17">
        <f t="shared" si="2471"/>
        <v>58373</v>
      </c>
      <c r="BD314" s="17">
        <f t="shared" si="2471"/>
        <v>65698</v>
      </c>
      <c r="BE314" s="17">
        <f t="shared" si="2471"/>
        <v>86499</v>
      </c>
      <c r="BF314" s="17">
        <f t="shared" si="2471"/>
        <v>93824</v>
      </c>
      <c r="BG314" s="17">
        <f t="shared" si="2471"/>
        <v>90016</v>
      </c>
      <c r="BH314" s="17">
        <f t="shared" si="2471"/>
        <v>91730</v>
      </c>
      <c r="BI314" s="17">
        <f t="shared" ref="BI314" si="2472">BI312+BI313</f>
        <v>77517</v>
      </c>
      <c r="BJ314" s="17">
        <f t="shared" ref="BJ314:BO314" si="2473">BJ312+BJ313</f>
        <v>95618</v>
      </c>
      <c r="BK314" s="17">
        <f t="shared" si="2473"/>
        <v>94000</v>
      </c>
      <c r="BL314" s="17">
        <f t="shared" si="2473"/>
        <v>130640</v>
      </c>
      <c r="BM314" s="17">
        <f t="shared" si="2473"/>
        <v>124230</v>
      </c>
      <c r="BN314" s="17">
        <f t="shared" si="2473"/>
        <v>128938</v>
      </c>
      <c r="BO314" s="18">
        <f t="shared" si="2473"/>
        <v>149362</v>
      </c>
      <c r="BP314" s="17">
        <f t="shared" ref="BP314:BQ314" si="2474">BP312+BP313</f>
        <v>168648.44138930991</v>
      </c>
      <c r="BQ314" s="17">
        <f t="shared" si="2474"/>
        <v>173311.07293133019</v>
      </c>
      <c r="BR314" s="17">
        <f t="shared" ref="BR314:BS314" si="2475">BR312+BR313</f>
        <v>183067.32404123509</v>
      </c>
      <c r="BS314" s="17">
        <f t="shared" si="2475"/>
        <v>200588.5308419783</v>
      </c>
      <c r="BT314" s="17">
        <f>BT312+BT313</f>
        <v>219640.77188333427</v>
      </c>
    </row>
    <row r="315" spans="1:72" ht="12" customHeight="1" outlineLevel="1">
      <c r="C315" s="19"/>
      <c r="D315" s="19"/>
      <c r="E315" s="19"/>
      <c r="F315" s="176"/>
      <c r="G315" s="176"/>
      <c r="H315" s="176"/>
      <c r="I315" s="19"/>
      <c r="J315" s="323"/>
      <c r="K315" s="324"/>
      <c r="L315" s="323"/>
      <c r="M315" s="323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20"/>
      <c r="AK315" s="19"/>
      <c r="AL315" s="19"/>
      <c r="AM315" s="19"/>
      <c r="AN315" s="19"/>
      <c r="AO315" s="19"/>
      <c r="AP315" s="19"/>
      <c r="AQ315" s="19"/>
      <c r="AR315" s="19"/>
      <c r="AS315" s="19"/>
      <c r="AU315" s="176"/>
      <c r="AV315" s="176"/>
      <c r="AW315" s="176"/>
      <c r="AX315" s="176"/>
      <c r="AY315" s="19"/>
    </row>
    <row r="316" spans="1:72" ht="12" customHeight="1" outlineLevel="1">
      <c r="B316" s="1" t="str">
        <f>"Capital charge (@ "&amp;TEXT(INDEX($48:$48,MATCH(Summary!$C$9,$3:$3,0)),"0.00%")&amp;" CET1 ratio)"</f>
        <v>Capital charge (@ 10.50% CET1 ratio)</v>
      </c>
      <c r="C316" s="19"/>
      <c r="D316" s="19">
        <f t="shared" ref="D316:AS316" si="2476">D314*D48</f>
        <v>3552.4500000000003</v>
      </c>
      <c r="E316" s="19">
        <f t="shared" si="2476"/>
        <v>3904.9725000000003</v>
      </c>
      <c r="F316" s="19">
        <f t="shared" si="2476"/>
        <v>4429.6725000000006</v>
      </c>
      <c r="G316" s="19">
        <f t="shared" si="2476"/>
        <v>4570.5</v>
      </c>
      <c r="H316" s="19">
        <f t="shared" si="2476"/>
        <v>4752.0825000000004</v>
      </c>
      <c r="I316" s="19">
        <f t="shared" si="2476"/>
        <v>4628.1675000000005</v>
      </c>
      <c r="J316" s="19">
        <f t="shared" si="2476"/>
        <v>4620.8249999999998</v>
      </c>
      <c r="K316" s="19">
        <f t="shared" si="2476"/>
        <v>4815.7725</v>
      </c>
      <c r="L316" s="19">
        <f t="shared" si="2476"/>
        <v>5184.63</v>
      </c>
      <c r="M316" s="19">
        <f t="shared" si="2476"/>
        <v>5420.085</v>
      </c>
      <c r="N316" s="19">
        <f t="shared" si="2476"/>
        <v>5945.1550000000007</v>
      </c>
      <c r="O316" s="19">
        <f t="shared" si="2476"/>
        <v>7352.4150000000009</v>
      </c>
      <c r="P316" s="19">
        <f t="shared" si="2476"/>
        <v>7812.52</v>
      </c>
      <c r="Q316" s="19">
        <f t="shared" si="2476"/>
        <v>7975.0400000000009</v>
      </c>
      <c r="R316" s="19">
        <f t="shared" si="2476"/>
        <v>7955.8300000000008</v>
      </c>
      <c r="S316" s="19">
        <f t="shared" si="2476"/>
        <v>7651.3600000000006</v>
      </c>
      <c r="T316" s="19">
        <f t="shared" si="2476"/>
        <v>8514.375</v>
      </c>
      <c r="U316" s="19">
        <f t="shared" si="2476"/>
        <v>8714.35</v>
      </c>
      <c r="V316" s="19">
        <f t="shared" si="2476"/>
        <v>9120</v>
      </c>
      <c r="W316" s="19">
        <f t="shared" si="2476"/>
        <v>7364.1149999999998</v>
      </c>
      <c r="X316" s="19">
        <f t="shared" si="2476"/>
        <v>8368.74</v>
      </c>
      <c r="Y316" s="19">
        <f t="shared" si="2476"/>
        <v>9083.7100000000009</v>
      </c>
      <c r="Z316" s="19">
        <f t="shared" si="2476"/>
        <v>8432.8649999999998</v>
      </c>
      <c r="AA316" s="19">
        <f t="shared" si="2476"/>
        <v>8930</v>
      </c>
      <c r="AB316" s="19">
        <f t="shared" si="2476"/>
        <v>11008.885</v>
      </c>
      <c r="AC316" s="19">
        <f t="shared" si="2476"/>
        <v>12410.8</v>
      </c>
      <c r="AD316" s="19">
        <f t="shared" si="2476"/>
        <v>12864.615</v>
      </c>
      <c r="AE316" s="19">
        <f t="shared" si="2476"/>
        <v>12733.574999999999</v>
      </c>
      <c r="AF316" s="19">
        <f t="shared" si="2476"/>
        <v>13162.59</v>
      </c>
      <c r="AG316" s="19">
        <f t="shared" si="2476"/>
        <v>13538.49</v>
      </c>
      <c r="AH316" s="19">
        <f t="shared" si="2476"/>
        <v>14378.49</v>
      </c>
      <c r="AI316" s="19">
        <f t="shared" si="2476"/>
        <v>15683.01</v>
      </c>
      <c r="AJ316" s="20">
        <f t="shared" ref="AJ316" si="2477">AJ314*AJ48</f>
        <v>16040.955</v>
      </c>
      <c r="AK316" s="19">
        <f t="shared" si="2476"/>
        <v>17708.086345877538</v>
      </c>
      <c r="AL316" s="19">
        <f t="shared" si="2476"/>
        <v>17918.819816228177</v>
      </c>
      <c r="AM316" s="19">
        <f t="shared" si="2476"/>
        <v>18197.662657789668</v>
      </c>
      <c r="AN316" s="19">
        <f t="shared" si="2476"/>
        <v>18742.006876138061</v>
      </c>
      <c r="AO316" s="19">
        <f t="shared" si="2476"/>
        <v>19222.069024329685</v>
      </c>
      <c r="AP316" s="19">
        <f t="shared" si="2476"/>
        <v>20124.880164470011</v>
      </c>
      <c r="AQ316" s="19">
        <f t="shared" si="2476"/>
        <v>21061.79573840772</v>
      </c>
      <c r="AR316" s="19">
        <f t="shared" si="2476"/>
        <v>22033.891330149152</v>
      </c>
      <c r="AS316" s="19">
        <f t="shared" si="2476"/>
        <v>23062.281047750097</v>
      </c>
      <c r="AU316" s="19">
        <f>AU314*AU48</f>
        <v>1631.1075000000001</v>
      </c>
      <c r="AV316" s="19">
        <f>AV314*AV48</f>
        <v>2371.9575</v>
      </c>
      <c r="AW316" s="19">
        <f>AW314*AW48</f>
        <v>3249.3450000000003</v>
      </c>
      <c r="AX316" s="19">
        <f>AX314*AX48</f>
        <v>3124.605</v>
      </c>
      <c r="AY316" s="19">
        <f>AY314*AY48</f>
        <v>3033.1125000000002</v>
      </c>
      <c r="AZ316" s="19">
        <f>E316</f>
        <v>3904.9725000000003</v>
      </c>
      <c r="BA316" s="19">
        <f>G316</f>
        <v>4570.5</v>
      </c>
      <c r="BB316" s="19">
        <f>I316</f>
        <v>4628.1675000000005</v>
      </c>
      <c r="BC316" s="19">
        <f>K316</f>
        <v>4815.7725</v>
      </c>
      <c r="BD316" s="19">
        <f>M316</f>
        <v>5420.085</v>
      </c>
      <c r="BE316" s="19">
        <f>O316</f>
        <v>7352.4150000000009</v>
      </c>
      <c r="BF316" s="19">
        <f>Q316</f>
        <v>7975.0400000000009</v>
      </c>
      <c r="BG316" s="19">
        <f>S316</f>
        <v>7651.3600000000006</v>
      </c>
      <c r="BH316" s="19">
        <f>U316</f>
        <v>8714.35</v>
      </c>
      <c r="BI316" s="19">
        <f>W316</f>
        <v>7364.1149999999998</v>
      </c>
      <c r="BJ316" s="19">
        <f>Y316</f>
        <v>9083.7100000000009</v>
      </c>
      <c r="BK316" s="19">
        <f>AA316</f>
        <v>8930</v>
      </c>
      <c r="BL316" s="19">
        <f>AC316</f>
        <v>12410.8</v>
      </c>
      <c r="BM316" s="19">
        <f>AE316</f>
        <v>12733.574999999999</v>
      </c>
      <c r="BN316" s="19">
        <f>AG316</f>
        <v>13538.49</v>
      </c>
      <c r="BO316" s="20">
        <f>AI316</f>
        <v>15683.01</v>
      </c>
      <c r="BP316" s="19">
        <f>AK316</f>
        <v>17708.086345877538</v>
      </c>
      <c r="BQ316" s="19">
        <f>AM316</f>
        <v>18197.662657789668</v>
      </c>
      <c r="BR316" s="19">
        <f>AO316</f>
        <v>19222.069024329685</v>
      </c>
      <c r="BS316" s="19">
        <f>AQ316</f>
        <v>21061.79573840772</v>
      </c>
      <c r="BT316" s="19">
        <f>AS316</f>
        <v>23062.281047750097</v>
      </c>
    </row>
    <row r="317" spans="1:72" ht="12" customHeight="1" outlineLevel="1">
      <c r="B317" s="1" t="s">
        <v>215</v>
      </c>
      <c r="C317" s="19"/>
      <c r="D317" s="21">
        <v>0</v>
      </c>
      <c r="E317" s="21">
        <v>0</v>
      </c>
      <c r="F317" s="21">
        <v>0</v>
      </c>
      <c r="G317" s="21">
        <v>-60</v>
      </c>
      <c r="H317" s="21">
        <v>-60</v>
      </c>
      <c r="I317" s="21">
        <v>-60</v>
      </c>
      <c r="J317" s="21">
        <v>-60</v>
      </c>
      <c r="K317" s="21">
        <v>0</v>
      </c>
      <c r="L317" s="21">
        <v>0</v>
      </c>
      <c r="M317" s="21">
        <v>0</v>
      </c>
      <c r="N317" s="21">
        <v>0</v>
      </c>
      <c r="O317" s="21">
        <v>0</v>
      </c>
      <c r="P317" s="21">
        <v>0</v>
      </c>
      <c r="Q317" s="21">
        <v>0</v>
      </c>
      <c r="R317" s="21">
        <v>0</v>
      </c>
      <c r="S317" s="21">
        <v>0</v>
      </c>
      <c r="T317" s="21">
        <v>0</v>
      </c>
      <c r="U317" s="21">
        <v>0</v>
      </c>
      <c r="V317" s="21">
        <v>0</v>
      </c>
      <c r="W317" s="21">
        <v>0</v>
      </c>
      <c r="X317" s="21">
        <v>0</v>
      </c>
      <c r="Y317" s="21">
        <v>0</v>
      </c>
      <c r="Z317" s="21">
        <v>0</v>
      </c>
      <c r="AA317" s="21">
        <v>0</v>
      </c>
      <c r="AB317" s="21">
        <v>0</v>
      </c>
      <c r="AC317" s="21">
        <v>0</v>
      </c>
      <c r="AD317" s="21">
        <v>0</v>
      </c>
      <c r="AE317" s="21">
        <v>0</v>
      </c>
      <c r="AF317" s="21">
        <v>0</v>
      </c>
      <c r="AG317" s="21">
        <v>0</v>
      </c>
      <c r="AH317" s="21">
        <v>0</v>
      </c>
      <c r="AI317" s="21">
        <v>0</v>
      </c>
      <c r="AJ317" s="24">
        <v>0</v>
      </c>
      <c r="AK317" s="58">
        <f t="shared" ref="AK317" si="2478">AJ317</f>
        <v>0</v>
      </c>
      <c r="AL317" s="58">
        <f t="shared" ref="AL317" si="2479">AK317</f>
        <v>0</v>
      </c>
      <c r="AM317" s="58">
        <f t="shared" ref="AM317" si="2480">AL317</f>
        <v>0</v>
      </c>
      <c r="AN317" s="58">
        <f t="shared" ref="AN317" si="2481">AM317</f>
        <v>0</v>
      </c>
      <c r="AO317" s="58">
        <f t="shared" ref="AO317" si="2482">AN317</f>
        <v>0</v>
      </c>
      <c r="AP317" s="58">
        <f t="shared" ref="AP317" si="2483">AO317</f>
        <v>0</v>
      </c>
      <c r="AQ317" s="58">
        <f t="shared" ref="AQ317" si="2484">AP317</f>
        <v>0</v>
      </c>
      <c r="AR317" s="58">
        <f t="shared" ref="AR317" si="2485">AQ317</f>
        <v>0</v>
      </c>
      <c r="AS317" s="58">
        <f t="shared" ref="AS317" si="2486">AR317</f>
        <v>0</v>
      </c>
      <c r="AU317" s="21">
        <v>0</v>
      </c>
      <c r="AV317" s="21">
        <v>0</v>
      </c>
      <c r="AW317" s="21">
        <v>0</v>
      </c>
      <c r="AX317" s="21">
        <v>0</v>
      </c>
      <c r="AY317" s="21">
        <v>0</v>
      </c>
      <c r="AZ317" s="19">
        <f>E317</f>
        <v>0</v>
      </c>
      <c r="BA317" s="19">
        <f>G317</f>
        <v>-60</v>
      </c>
      <c r="BB317" s="19">
        <f>I317</f>
        <v>-60</v>
      </c>
      <c r="BC317" s="19">
        <f>K317</f>
        <v>0</v>
      </c>
      <c r="BD317" s="19">
        <f>M317</f>
        <v>0</v>
      </c>
      <c r="BE317" s="19">
        <f>O317</f>
        <v>0</v>
      </c>
      <c r="BF317" s="19">
        <f>Q317</f>
        <v>0</v>
      </c>
      <c r="BG317" s="19">
        <f>S317</f>
        <v>0</v>
      </c>
      <c r="BH317" s="19">
        <f>U317</f>
        <v>0</v>
      </c>
      <c r="BI317" s="19">
        <f>W317</f>
        <v>0</v>
      </c>
      <c r="BJ317" s="19">
        <f>Y317</f>
        <v>0</v>
      </c>
      <c r="BK317" s="19">
        <f>AA317</f>
        <v>0</v>
      </c>
      <c r="BL317" s="19">
        <f>AC317</f>
        <v>0</v>
      </c>
      <c r="BM317" s="19">
        <f>AE317</f>
        <v>0</v>
      </c>
      <c r="BN317" s="19">
        <f>AG317</f>
        <v>0</v>
      </c>
      <c r="BO317" s="20">
        <f>AI317</f>
        <v>0</v>
      </c>
      <c r="BP317" s="19">
        <f>AK317</f>
        <v>0</v>
      </c>
      <c r="BQ317" s="19">
        <f>AM317</f>
        <v>0</v>
      </c>
      <c r="BR317" s="19">
        <f>AO317</f>
        <v>0</v>
      </c>
      <c r="BS317" s="19">
        <f>AQ317</f>
        <v>0</v>
      </c>
      <c r="BT317" s="19">
        <f>AS317</f>
        <v>0</v>
      </c>
    </row>
    <row r="318" spans="1:72" s="9" customFormat="1" ht="12" customHeight="1" outlineLevel="1">
      <c r="A318" s="91" t="s">
        <v>587</v>
      </c>
      <c r="B318" s="9" t="s">
        <v>216</v>
      </c>
      <c r="C318" s="17"/>
      <c r="D318" s="17">
        <f t="shared" ref="D318:H318" si="2487">D316+D317</f>
        <v>3552.4500000000003</v>
      </c>
      <c r="E318" s="17">
        <f t="shared" si="2487"/>
        <v>3904.9725000000003</v>
      </c>
      <c r="F318" s="17">
        <f t="shared" si="2487"/>
        <v>4429.6725000000006</v>
      </c>
      <c r="G318" s="17">
        <f t="shared" si="2487"/>
        <v>4510.5</v>
      </c>
      <c r="H318" s="17">
        <f t="shared" si="2487"/>
        <v>4692.0825000000004</v>
      </c>
      <c r="I318" s="17">
        <f t="shared" ref="I318:N318" si="2488">I316+I317</f>
        <v>4568.1675000000005</v>
      </c>
      <c r="J318" s="17">
        <f t="shared" si="2488"/>
        <v>4560.8249999999998</v>
      </c>
      <c r="K318" s="17">
        <f t="shared" si="2488"/>
        <v>4815.7725</v>
      </c>
      <c r="L318" s="17">
        <f t="shared" si="2488"/>
        <v>5184.63</v>
      </c>
      <c r="M318" s="17">
        <f t="shared" si="2488"/>
        <v>5420.085</v>
      </c>
      <c r="N318" s="17">
        <f t="shared" si="2488"/>
        <v>5945.1550000000007</v>
      </c>
      <c r="O318" s="17">
        <f t="shared" ref="O318" si="2489">O316+O317</f>
        <v>7352.4150000000009</v>
      </c>
      <c r="P318" s="17">
        <f t="shared" ref="P318:Q318" si="2490">P316+P317</f>
        <v>7812.52</v>
      </c>
      <c r="Q318" s="17">
        <f t="shared" si="2490"/>
        <v>7975.0400000000009</v>
      </c>
      <c r="R318" s="17">
        <f t="shared" ref="R318:S318" si="2491">R316+R317</f>
        <v>7955.8300000000008</v>
      </c>
      <c r="S318" s="17">
        <f t="shared" si="2491"/>
        <v>7651.3600000000006</v>
      </c>
      <c r="T318" s="17">
        <f t="shared" ref="T318:U318" si="2492">T316+T317</f>
        <v>8514.375</v>
      </c>
      <c r="U318" s="17">
        <f t="shared" si="2492"/>
        <v>8714.35</v>
      </c>
      <c r="V318" s="17">
        <f t="shared" ref="V318:W318" si="2493">V316+V317</f>
        <v>9120</v>
      </c>
      <c r="W318" s="17">
        <f t="shared" si="2493"/>
        <v>7364.1149999999998</v>
      </c>
      <c r="X318" s="17">
        <f t="shared" ref="X318:Y318" si="2494">X316+X317</f>
        <v>8368.74</v>
      </c>
      <c r="Y318" s="17">
        <f t="shared" si="2494"/>
        <v>9083.7100000000009</v>
      </c>
      <c r="Z318" s="17">
        <f t="shared" ref="Z318:AA318" si="2495">Z316+Z317</f>
        <v>8432.8649999999998</v>
      </c>
      <c r="AA318" s="17">
        <f t="shared" si="2495"/>
        <v>8930</v>
      </c>
      <c r="AB318" s="17">
        <f t="shared" ref="AB318:AC318" si="2496">AB316+AB317</f>
        <v>11008.885</v>
      </c>
      <c r="AC318" s="17">
        <f t="shared" si="2496"/>
        <v>12410.8</v>
      </c>
      <c r="AD318" s="17">
        <f t="shared" ref="AD318:AE318" si="2497">AD316+AD317</f>
        <v>12864.615</v>
      </c>
      <c r="AE318" s="17">
        <f t="shared" si="2497"/>
        <v>12733.574999999999</v>
      </c>
      <c r="AF318" s="17">
        <f t="shared" ref="AF318:AG318" si="2498">AF316+AF317</f>
        <v>13162.59</v>
      </c>
      <c r="AG318" s="17">
        <f t="shared" si="2498"/>
        <v>13538.49</v>
      </c>
      <c r="AH318" s="17">
        <f t="shared" ref="AH318:AI318" si="2499">AH316+AH317</f>
        <v>14378.49</v>
      </c>
      <c r="AI318" s="17">
        <f t="shared" si="2499"/>
        <v>15683.01</v>
      </c>
      <c r="AJ318" s="18">
        <f t="shared" ref="AJ318" si="2500">AJ316+AJ317</f>
        <v>16040.955</v>
      </c>
      <c r="AK318" s="17">
        <f t="shared" ref="AK318" si="2501">AK316+AK317</f>
        <v>17708.086345877538</v>
      </c>
      <c r="AL318" s="17">
        <f t="shared" ref="AL318:AM318" si="2502">AL316+AL317</f>
        <v>17918.819816228177</v>
      </c>
      <c r="AM318" s="17">
        <f t="shared" si="2502"/>
        <v>18197.662657789668</v>
      </c>
      <c r="AN318" s="17">
        <f t="shared" ref="AN318:AO318" si="2503">AN316+AN317</f>
        <v>18742.006876138061</v>
      </c>
      <c r="AO318" s="17">
        <f t="shared" si="2503"/>
        <v>19222.069024329685</v>
      </c>
      <c r="AP318" s="17">
        <f t="shared" ref="AP318:AQ318" si="2504">AP316+AP317</f>
        <v>20124.880164470011</v>
      </c>
      <c r="AQ318" s="17">
        <f t="shared" si="2504"/>
        <v>21061.79573840772</v>
      </c>
      <c r="AR318" s="17">
        <f t="shared" ref="AR318:AS318" si="2505">AR316+AR317</f>
        <v>22033.891330149152</v>
      </c>
      <c r="AS318" s="17">
        <f t="shared" si="2505"/>
        <v>23062.281047750097</v>
      </c>
      <c r="AU318" s="17">
        <f t="shared" ref="AU318:AV318" si="2506">AU316+AU317</f>
        <v>1631.1075000000001</v>
      </c>
      <c r="AV318" s="17">
        <f t="shared" si="2506"/>
        <v>2371.9575</v>
      </c>
      <c r="AW318" s="17">
        <f t="shared" ref="AW318:AX318" si="2507">AW316+AW317</f>
        <v>3249.3450000000003</v>
      </c>
      <c r="AX318" s="17">
        <f t="shared" si="2507"/>
        <v>3124.605</v>
      </c>
      <c r="AY318" s="17">
        <f t="shared" ref="AY318" si="2508">AY316+AY317</f>
        <v>3033.1125000000002</v>
      </c>
      <c r="AZ318" s="17">
        <f t="shared" ref="AZ318:BH318" si="2509">AZ316+AZ317</f>
        <v>3904.9725000000003</v>
      </c>
      <c r="BA318" s="17">
        <f t="shared" si="2509"/>
        <v>4510.5</v>
      </c>
      <c r="BB318" s="17">
        <f t="shared" si="2509"/>
        <v>4568.1675000000005</v>
      </c>
      <c r="BC318" s="17">
        <f t="shared" si="2509"/>
        <v>4815.7725</v>
      </c>
      <c r="BD318" s="17">
        <f t="shared" si="2509"/>
        <v>5420.085</v>
      </c>
      <c r="BE318" s="17">
        <f t="shared" si="2509"/>
        <v>7352.4150000000009</v>
      </c>
      <c r="BF318" s="17">
        <f t="shared" si="2509"/>
        <v>7975.0400000000009</v>
      </c>
      <c r="BG318" s="17">
        <f t="shared" si="2509"/>
        <v>7651.3600000000006</v>
      </c>
      <c r="BH318" s="17">
        <f t="shared" si="2509"/>
        <v>8714.35</v>
      </c>
      <c r="BI318" s="17">
        <f t="shared" ref="BI318" si="2510">BI316+BI317</f>
        <v>7364.1149999999998</v>
      </c>
      <c r="BJ318" s="17">
        <f t="shared" ref="BJ318:BO318" si="2511">BJ316+BJ317</f>
        <v>9083.7100000000009</v>
      </c>
      <c r="BK318" s="17">
        <f t="shared" si="2511"/>
        <v>8930</v>
      </c>
      <c r="BL318" s="17">
        <f t="shared" si="2511"/>
        <v>12410.8</v>
      </c>
      <c r="BM318" s="17">
        <f t="shared" si="2511"/>
        <v>12733.574999999999</v>
      </c>
      <c r="BN318" s="17">
        <f t="shared" si="2511"/>
        <v>13538.49</v>
      </c>
      <c r="BO318" s="18">
        <f t="shared" si="2511"/>
        <v>15683.01</v>
      </c>
      <c r="BP318" s="17">
        <f t="shared" ref="BP318:BQ318" si="2512">BP316+BP317</f>
        <v>17708.086345877538</v>
      </c>
      <c r="BQ318" s="17">
        <f t="shared" si="2512"/>
        <v>18197.662657789668</v>
      </c>
      <c r="BR318" s="17">
        <f t="shared" ref="BR318:BS318" si="2513">BR316+BR317</f>
        <v>19222.069024329685</v>
      </c>
      <c r="BS318" s="17">
        <f t="shared" si="2513"/>
        <v>21061.79573840772</v>
      </c>
      <c r="BT318" s="17">
        <f>BT316+BT317</f>
        <v>23062.281047750097</v>
      </c>
    </row>
    <row r="319" spans="1:72" ht="12" customHeight="1" outlineLevel="1"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20"/>
      <c r="AK319" s="19"/>
      <c r="AL319" s="19"/>
      <c r="AM319" s="19"/>
      <c r="AN319" s="19"/>
      <c r="AO319" s="19"/>
      <c r="AP319" s="19"/>
      <c r="AQ319" s="19"/>
      <c r="AR319" s="19"/>
      <c r="AS319" s="19"/>
      <c r="AU319" s="19"/>
      <c r="AV319" s="19"/>
      <c r="AW319" s="19"/>
      <c r="AX319" s="19"/>
      <c r="AY319" s="19"/>
    </row>
    <row r="320" spans="1:72" ht="12" customHeight="1" outlineLevel="1">
      <c r="B320" s="9" t="s">
        <v>193</v>
      </c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20"/>
      <c r="AK320" s="19"/>
      <c r="AL320" s="19"/>
      <c r="AM320" s="19"/>
      <c r="AN320" s="19"/>
      <c r="AO320" s="19"/>
      <c r="AP320" s="19"/>
      <c r="AQ320" s="19"/>
      <c r="AR320" s="19"/>
      <c r="AS320" s="19"/>
      <c r="AU320" s="19"/>
      <c r="AV320" s="19"/>
      <c r="AW320" s="19"/>
      <c r="AX320" s="19"/>
      <c r="AY320" s="19"/>
    </row>
    <row r="321" spans="2:72" ht="12" customHeight="1" outlineLevel="1">
      <c r="B321" s="1" t="s">
        <v>163</v>
      </c>
      <c r="C321" s="19"/>
      <c r="D321" s="21">
        <v>27</v>
      </c>
      <c r="E321" s="21">
        <v>23</v>
      </c>
      <c r="F321" s="21">
        <v>25</v>
      </c>
      <c r="G321" s="21">
        <v>24</v>
      </c>
      <c r="H321" s="21">
        <v>26</v>
      </c>
      <c r="I321" s="21">
        <v>16</v>
      </c>
      <c r="J321" s="21">
        <v>17</v>
      </c>
      <c r="K321" s="21">
        <v>20</v>
      </c>
      <c r="L321" s="21">
        <v>21</v>
      </c>
      <c r="M321" s="21">
        <v>22</v>
      </c>
      <c r="N321" s="21">
        <v>23</v>
      </c>
      <c r="O321" s="21">
        <v>30</v>
      </c>
      <c r="P321" s="21">
        <v>19</v>
      </c>
      <c r="Q321" s="21">
        <v>18</v>
      </c>
      <c r="R321" s="21">
        <v>22</v>
      </c>
      <c r="S321" s="21">
        <v>20</v>
      </c>
      <c r="T321" s="21">
        <v>22</v>
      </c>
      <c r="U321" s="21">
        <v>28</v>
      </c>
      <c r="V321" s="21">
        <v>38</v>
      </c>
      <c r="W321" s="21">
        <v>34</v>
      </c>
      <c r="X321" s="21">
        <v>57</v>
      </c>
      <c r="Y321" s="21">
        <v>51</v>
      </c>
      <c r="Z321" s="21">
        <v>84</v>
      </c>
      <c r="AA321" s="21">
        <v>80</v>
      </c>
      <c r="AB321" s="21">
        <v>143</v>
      </c>
      <c r="AC321" s="21">
        <v>217</v>
      </c>
      <c r="AD321" s="21">
        <v>293</v>
      </c>
      <c r="AE321" s="21">
        <v>262</v>
      </c>
      <c r="AF321" s="21">
        <v>305</v>
      </c>
      <c r="AG321" s="21">
        <v>247</v>
      </c>
      <c r="AH321" s="21">
        <v>289</v>
      </c>
      <c r="AI321" s="21">
        <f>AH321/SUM(AH$321:AH$324,$AH$326)*SUM(3080,7621)</f>
        <v>328.23063043939715</v>
      </c>
      <c r="AJ321" s="24">
        <f>AI321/SUM(AI$321:AI$324,AI$326)*SUM(3544,7449)</f>
        <v>337.18711526215242</v>
      </c>
      <c r="AK321" s="19">
        <f t="shared" ref="AK321:AS321" si="2514">AK50*AK222*8%</f>
        <v>304.69561012227382</v>
      </c>
      <c r="AL321" s="19">
        <f t="shared" si="2514"/>
        <v>316.12299077904197</v>
      </c>
      <c r="AM321" s="19">
        <f t="shared" si="2514"/>
        <v>327.06207737725282</v>
      </c>
      <c r="AN321" s="19">
        <f t="shared" si="2514"/>
        <v>336.24325390004714</v>
      </c>
      <c r="AO321" s="19">
        <f t="shared" si="2514"/>
        <v>344.85005352253188</v>
      </c>
      <c r="AP321" s="19">
        <f t="shared" si="2514"/>
        <v>352.8148274146069</v>
      </c>
      <c r="AQ321" s="19">
        <f t="shared" si="2514"/>
        <v>360.81135018115901</v>
      </c>
      <c r="AR321" s="19">
        <f t="shared" si="2514"/>
        <v>368.83908391300241</v>
      </c>
      <c r="AS321" s="19">
        <f t="shared" si="2514"/>
        <v>377.07389431795497</v>
      </c>
      <c r="AU321" s="21"/>
      <c r="AV321" s="21"/>
      <c r="AW321" s="21"/>
      <c r="AX321" s="21"/>
      <c r="AY321" s="21">
        <v>16</v>
      </c>
      <c r="AZ321" s="19">
        <f t="shared" ref="AZ321:AZ336" si="2515">E321</f>
        <v>23</v>
      </c>
      <c r="BA321" s="19">
        <f t="shared" ref="BA321:BA336" si="2516">G321</f>
        <v>24</v>
      </c>
      <c r="BB321" s="19">
        <f t="shared" ref="BB321:BB336" si="2517">I321</f>
        <v>16</v>
      </c>
      <c r="BC321" s="19">
        <f t="shared" ref="BC321:BC336" si="2518">K321</f>
        <v>20</v>
      </c>
      <c r="BD321" s="19">
        <f t="shared" ref="BD321:BD336" si="2519">M321</f>
        <v>22</v>
      </c>
      <c r="BE321" s="19">
        <f t="shared" ref="BE321:BE336" si="2520">O321</f>
        <v>30</v>
      </c>
      <c r="BF321" s="19">
        <f t="shared" ref="BF321:BF336" si="2521">Q321</f>
        <v>18</v>
      </c>
      <c r="BG321" s="19">
        <f t="shared" ref="BG321:BG336" si="2522">S321</f>
        <v>20</v>
      </c>
      <c r="BH321" s="19">
        <f t="shared" ref="BH321:BH336" si="2523">U321</f>
        <v>28</v>
      </c>
      <c r="BI321" s="19">
        <f t="shared" ref="BI321:BI336" si="2524">W321</f>
        <v>34</v>
      </c>
      <c r="BJ321" s="19">
        <f t="shared" ref="BJ321:BJ336" si="2525">Y321</f>
        <v>51</v>
      </c>
      <c r="BK321" s="19">
        <f t="shared" ref="BK321:BK336" si="2526">AA321</f>
        <v>80</v>
      </c>
      <c r="BL321" s="19">
        <f t="shared" ref="BL321:BL336" si="2527">AC321</f>
        <v>217</v>
      </c>
      <c r="BM321" s="19">
        <f t="shared" ref="BM321:BM336" si="2528">AE321</f>
        <v>262</v>
      </c>
      <c r="BN321" s="19">
        <f t="shared" ref="BN321:BN336" si="2529">AG321</f>
        <v>247</v>
      </c>
      <c r="BO321" s="20">
        <f t="shared" ref="BO321:BO336" si="2530">AI321</f>
        <v>328.23063043939715</v>
      </c>
      <c r="BP321" s="19">
        <f t="shared" ref="BP321:BP336" si="2531">AK321</f>
        <v>304.69561012227382</v>
      </c>
      <c r="BQ321" s="19">
        <f t="shared" ref="BQ321:BQ336" si="2532">AM321</f>
        <v>327.06207737725282</v>
      </c>
      <c r="BR321" s="19">
        <f t="shared" ref="BR321:BR336" si="2533">AO321</f>
        <v>344.85005352253188</v>
      </c>
      <c r="BS321" s="19">
        <f t="shared" ref="BS321:BS336" si="2534">AQ321</f>
        <v>360.81135018115901</v>
      </c>
      <c r="BT321" s="19">
        <f t="shared" ref="BT321:BT336" si="2535">AS321</f>
        <v>377.07389431795497</v>
      </c>
    </row>
    <row r="322" spans="2:72" ht="12" customHeight="1" outlineLevel="1">
      <c r="B322" s="1" t="s">
        <v>218</v>
      </c>
      <c r="C322" s="19"/>
      <c r="D322" s="21">
        <v>80</v>
      </c>
      <c r="E322" s="21">
        <v>85</v>
      </c>
      <c r="F322" s="21">
        <v>88</v>
      </c>
      <c r="G322" s="21">
        <v>278</v>
      </c>
      <c r="H322" s="21">
        <v>95</v>
      </c>
      <c r="I322" s="21">
        <v>115</v>
      </c>
      <c r="J322" s="21">
        <v>120</v>
      </c>
      <c r="K322" s="21">
        <v>149</v>
      </c>
      <c r="L322" s="21">
        <v>192</v>
      </c>
      <c r="M322" s="21">
        <v>150</v>
      </c>
      <c r="N322" s="21">
        <v>137</v>
      </c>
      <c r="O322" s="21">
        <v>127</v>
      </c>
      <c r="P322" s="21">
        <v>169</v>
      </c>
      <c r="Q322" s="21">
        <v>120</v>
      </c>
      <c r="R322" s="21">
        <v>138</v>
      </c>
      <c r="S322" s="21">
        <v>118</v>
      </c>
      <c r="T322" s="21">
        <v>117</v>
      </c>
      <c r="U322" s="21">
        <v>124</v>
      </c>
      <c r="V322" s="21">
        <v>194</v>
      </c>
      <c r="W322" s="21">
        <v>1689</v>
      </c>
      <c r="X322" s="21">
        <v>567</v>
      </c>
      <c r="Y322" s="21">
        <v>758</v>
      </c>
      <c r="Z322" s="21">
        <v>659</v>
      </c>
      <c r="AA322" s="21">
        <v>695</v>
      </c>
      <c r="AB322" s="21">
        <v>967</v>
      </c>
      <c r="AC322" s="21">
        <v>1352</v>
      </c>
      <c r="AD322" s="21">
        <v>1664</v>
      </c>
      <c r="AE322" s="21">
        <v>1842</v>
      </c>
      <c r="AF322" s="21">
        <v>1980</v>
      </c>
      <c r="AG322" s="21">
        <v>2014</v>
      </c>
      <c r="AH322" s="21">
        <v>2113</v>
      </c>
      <c r="AI322" s="21">
        <f t="shared" ref="AI322:AI324" si="2536">AH322/SUM(AH$321:AH$324,$AH$326)*SUM(3080,7621)</f>
        <v>2399.8315644236895</v>
      </c>
      <c r="AJ322" s="24">
        <f>AI322/SUM(AI$321:AI$324,AI$326)*SUM(3544,7449)</f>
        <v>2465.3161749097858</v>
      </c>
      <c r="AK322" s="19">
        <f t="shared" ref="AK322:AS322" si="2537">AK51*SUM(AK225:AK226)*8%</f>
        <v>2602.1137955303134</v>
      </c>
      <c r="AL322" s="19">
        <f t="shared" si="2537"/>
        <v>2797.2944536423206</v>
      </c>
      <c r="AM322" s="19">
        <f t="shared" si="2537"/>
        <v>2990.8890175408824</v>
      </c>
      <c r="AN322" s="19">
        <f t="shared" si="2537"/>
        <v>3158.8074766317891</v>
      </c>
      <c r="AO322" s="19">
        <f t="shared" si="2537"/>
        <v>3320.5191105874837</v>
      </c>
      <c r="AP322" s="19">
        <f t="shared" si="2537"/>
        <v>3473.902783578068</v>
      </c>
      <c r="AQ322" s="19">
        <f t="shared" si="2537"/>
        <v>3631.3742986004545</v>
      </c>
      <c r="AR322" s="19">
        <f t="shared" si="2537"/>
        <v>3792.9640375883614</v>
      </c>
      <c r="AS322" s="19">
        <f t="shared" si="2537"/>
        <v>3962.3297099622187</v>
      </c>
      <c r="AU322" s="21"/>
      <c r="AV322" s="21"/>
      <c r="AW322" s="21"/>
      <c r="AX322" s="21"/>
      <c r="AY322" s="21">
        <v>186</v>
      </c>
      <c r="AZ322" s="19">
        <f t="shared" si="2515"/>
        <v>85</v>
      </c>
      <c r="BA322" s="19">
        <f t="shared" si="2516"/>
        <v>278</v>
      </c>
      <c r="BB322" s="19">
        <f t="shared" si="2517"/>
        <v>115</v>
      </c>
      <c r="BC322" s="19">
        <f t="shared" si="2518"/>
        <v>149</v>
      </c>
      <c r="BD322" s="19">
        <f t="shared" si="2519"/>
        <v>150</v>
      </c>
      <c r="BE322" s="19">
        <f t="shared" si="2520"/>
        <v>127</v>
      </c>
      <c r="BF322" s="19">
        <f t="shared" si="2521"/>
        <v>120</v>
      </c>
      <c r="BG322" s="19">
        <f t="shared" si="2522"/>
        <v>118</v>
      </c>
      <c r="BH322" s="19">
        <f t="shared" si="2523"/>
        <v>124</v>
      </c>
      <c r="BI322" s="19">
        <f t="shared" si="2524"/>
        <v>1689</v>
      </c>
      <c r="BJ322" s="19">
        <f t="shared" si="2525"/>
        <v>758</v>
      </c>
      <c r="BK322" s="19">
        <f t="shared" si="2526"/>
        <v>695</v>
      </c>
      <c r="BL322" s="19">
        <f t="shared" si="2527"/>
        <v>1352</v>
      </c>
      <c r="BM322" s="19">
        <f t="shared" si="2528"/>
        <v>1842</v>
      </c>
      <c r="BN322" s="19">
        <f t="shared" si="2529"/>
        <v>2014</v>
      </c>
      <c r="BO322" s="20">
        <f t="shared" si="2530"/>
        <v>2399.8315644236895</v>
      </c>
      <c r="BP322" s="19">
        <f t="shared" si="2531"/>
        <v>2602.1137955303134</v>
      </c>
      <c r="BQ322" s="19">
        <f t="shared" si="2532"/>
        <v>2990.8890175408824</v>
      </c>
      <c r="BR322" s="19">
        <f t="shared" si="2533"/>
        <v>3320.5191105874837</v>
      </c>
      <c r="BS322" s="19">
        <f t="shared" si="2534"/>
        <v>3631.3742986004545</v>
      </c>
      <c r="BT322" s="19">
        <f t="shared" si="2535"/>
        <v>3962.3297099622187</v>
      </c>
    </row>
    <row r="323" spans="2:72" ht="12" customHeight="1" outlineLevel="1">
      <c r="B323" s="1" t="s">
        <v>168</v>
      </c>
      <c r="C323" s="19"/>
      <c r="D323" s="21">
        <v>21</v>
      </c>
      <c r="E323" s="21">
        <v>17</v>
      </c>
      <c r="F323" s="21">
        <v>10</v>
      </c>
      <c r="G323" s="21">
        <v>9</v>
      </c>
      <c r="H323" s="21">
        <v>6</v>
      </c>
      <c r="I323" s="21">
        <v>5</v>
      </c>
      <c r="J323" s="21">
        <v>4</v>
      </c>
      <c r="K323" s="21">
        <v>5</v>
      </c>
      <c r="L323" s="21">
        <v>11</v>
      </c>
      <c r="M323" s="21">
        <v>54</v>
      </c>
      <c r="N323" s="21">
        <v>85</v>
      </c>
      <c r="O323" s="21">
        <v>77</v>
      </c>
      <c r="P323" s="21">
        <v>48</v>
      </c>
      <c r="Q323" s="21">
        <v>68</v>
      </c>
      <c r="R323" s="21">
        <v>73</v>
      </c>
      <c r="S323" s="21">
        <v>68</v>
      </c>
      <c r="T323" s="21">
        <v>85</v>
      </c>
      <c r="U323" s="21">
        <v>81</v>
      </c>
      <c r="V323" s="21">
        <v>130</v>
      </c>
      <c r="W323" s="21">
        <v>96</v>
      </c>
      <c r="X323" s="21">
        <v>102</v>
      </c>
      <c r="Y323" s="21">
        <v>54</v>
      </c>
      <c r="Z323" s="21">
        <v>35</v>
      </c>
      <c r="AA323" s="21">
        <v>67</v>
      </c>
      <c r="AB323" s="21">
        <v>137</v>
      </c>
      <c r="AC323" s="21">
        <v>136</v>
      </c>
      <c r="AD323" s="21">
        <v>144</v>
      </c>
      <c r="AE323" s="21">
        <v>164</v>
      </c>
      <c r="AF323" s="21">
        <v>302</v>
      </c>
      <c r="AG323" s="21">
        <v>162</v>
      </c>
      <c r="AH323" s="21">
        <v>159</v>
      </c>
      <c r="AI323" s="21">
        <f t="shared" si="2536"/>
        <v>180.58363404797282</v>
      </c>
      <c r="AJ323" s="24">
        <f>AI323/SUM(AI$321:AI$324,AI$326)*SUM(3544,7449)</f>
        <v>185.51125026533643</v>
      </c>
      <c r="AK323" s="19">
        <f t="shared" ref="AK323:AS323" si="2538">AK52*SUM(AK227)*8%</f>
        <v>412.76259210965219</v>
      </c>
      <c r="AL323" s="19">
        <f t="shared" si="2538"/>
        <v>412.76259210965219</v>
      </c>
      <c r="AM323" s="19">
        <f t="shared" si="2538"/>
        <v>412.76259210965219</v>
      </c>
      <c r="AN323" s="19">
        <f t="shared" si="2538"/>
        <v>412.76259210965219</v>
      </c>
      <c r="AO323" s="19">
        <f t="shared" si="2538"/>
        <v>412.76259210965219</v>
      </c>
      <c r="AP323" s="19">
        <f t="shared" si="2538"/>
        <v>412.76259210965219</v>
      </c>
      <c r="AQ323" s="19">
        <f t="shared" si="2538"/>
        <v>412.76259210965219</v>
      </c>
      <c r="AR323" s="19">
        <f t="shared" si="2538"/>
        <v>412.76259210965219</v>
      </c>
      <c r="AS323" s="19">
        <f t="shared" si="2538"/>
        <v>412.76259210965219</v>
      </c>
      <c r="AU323" s="21"/>
      <c r="AV323" s="21"/>
      <c r="AW323" s="21"/>
      <c r="AX323" s="21"/>
      <c r="AY323" s="21">
        <v>73</v>
      </c>
      <c r="AZ323" s="19">
        <f t="shared" si="2515"/>
        <v>17</v>
      </c>
      <c r="BA323" s="19">
        <f t="shared" si="2516"/>
        <v>9</v>
      </c>
      <c r="BB323" s="19">
        <f t="shared" si="2517"/>
        <v>5</v>
      </c>
      <c r="BC323" s="19">
        <f t="shared" si="2518"/>
        <v>5</v>
      </c>
      <c r="BD323" s="19">
        <f t="shared" si="2519"/>
        <v>54</v>
      </c>
      <c r="BE323" s="19">
        <f t="shared" si="2520"/>
        <v>77</v>
      </c>
      <c r="BF323" s="19">
        <f t="shared" si="2521"/>
        <v>68</v>
      </c>
      <c r="BG323" s="19">
        <f t="shared" si="2522"/>
        <v>68</v>
      </c>
      <c r="BH323" s="19">
        <f t="shared" si="2523"/>
        <v>81</v>
      </c>
      <c r="BI323" s="19">
        <f t="shared" si="2524"/>
        <v>96</v>
      </c>
      <c r="BJ323" s="19">
        <f t="shared" si="2525"/>
        <v>54</v>
      </c>
      <c r="BK323" s="19">
        <f t="shared" si="2526"/>
        <v>67</v>
      </c>
      <c r="BL323" s="19">
        <f t="shared" si="2527"/>
        <v>136</v>
      </c>
      <c r="BM323" s="19">
        <f t="shared" si="2528"/>
        <v>164</v>
      </c>
      <c r="BN323" s="19">
        <f t="shared" si="2529"/>
        <v>162</v>
      </c>
      <c r="BO323" s="20">
        <f t="shared" si="2530"/>
        <v>180.58363404797282</v>
      </c>
      <c r="BP323" s="19">
        <f t="shared" si="2531"/>
        <v>412.76259210965219</v>
      </c>
      <c r="BQ323" s="19">
        <f t="shared" si="2532"/>
        <v>412.76259210965219</v>
      </c>
      <c r="BR323" s="19">
        <f t="shared" si="2533"/>
        <v>412.76259210965219</v>
      </c>
      <c r="BS323" s="19">
        <f t="shared" si="2534"/>
        <v>412.76259210965219</v>
      </c>
      <c r="BT323" s="19">
        <f t="shared" si="2535"/>
        <v>412.76259210965219</v>
      </c>
    </row>
    <row r="324" spans="2:72" ht="12" customHeight="1" outlineLevel="1">
      <c r="B324" s="1" t="s">
        <v>169</v>
      </c>
      <c r="C324" s="19"/>
      <c r="D324" s="21">
        <v>1788</v>
      </c>
      <c r="E324" s="21">
        <v>1685</v>
      </c>
      <c r="F324" s="21">
        <v>1811</v>
      </c>
      <c r="G324" s="21">
        <v>1690</v>
      </c>
      <c r="H324" s="21">
        <v>1866</v>
      </c>
      <c r="I324" s="21">
        <v>1854</v>
      </c>
      <c r="J324" s="21">
        <v>1894</v>
      </c>
      <c r="K324" s="21">
        <v>2121</v>
      </c>
      <c r="L324" s="21">
        <v>2293</v>
      </c>
      <c r="M324" s="21">
        <v>1718</v>
      </c>
      <c r="N324" s="21">
        <v>1662</v>
      </c>
      <c r="O324" s="21">
        <v>1868</v>
      </c>
      <c r="P324" s="21">
        <v>2303</v>
      </c>
      <c r="Q324" s="21">
        <v>2114</v>
      </c>
      <c r="R324" s="21">
        <v>1963</v>
      </c>
      <c r="S324" s="21">
        <v>2054</v>
      </c>
      <c r="T324" s="21">
        <v>2715</v>
      </c>
      <c r="U324" s="21">
        <v>2597</v>
      </c>
      <c r="V324" s="21">
        <v>2509</v>
      </c>
      <c r="W324" s="21">
        <v>2473</v>
      </c>
      <c r="X324" s="21">
        <v>4042</v>
      </c>
      <c r="Y324" s="21">
        <v>3411</v>
      </c>
      <c r="Z324" s="21">
        <v>2850</v>
      </c>
      <c r="AA324" s="21">
        <v>2355</v>
      </c>
      <c r="AB324" s="21">
        <v>2498</v>
      </c>
      <c r="AC324" s="21">
        <v>2402</v>
      </c>
      <c r="AD324" s="21">
        <v>3170</v>
      </c>
      <c r="AE324" s="21">
        <v>3414</v>
      </c>
      <c r="AF324" s="21">
        <v>4008</v>
      </c>
      <c r="AG324" s="21">
        <v>4493</v>
      </c>
      <c r="AH324" s="21">
        <v>4517</v>
      </c>
      <c r="AI324" s="21">
        <f t="shared" si="2536"/>
        <v>5130.1652515389515</v>
      </c>
      <c r="AJ324" s="24">
        <f>AI324/SUM(AI$321:AI$324,AI$326)*SUM(3544,7449)</f>
        <v>5270.1529399278288</v>
      </c>
      <c r="AK324" s="19">
        <f t="shared" ref="AK324:AS324" si="2539">AK53*SUM(AK228)*8%</f>
        <v>6218.1832051401834</v>
      </c>
      <c r="AL324" s="19">
        <f t="shared" si="2539"/>
        <v>6513.3393801713437</v>
      </c>
      <c r="AM324" s="19">
        <f t="shared" si="2539"/>
        <v>6717.9028146968776</v>
      </c>
      <c r="AN324" s="19">
        <f t="shared" si="2539"/>
        <v>6769.5982006687118</v>
      </c>
      <c r="AO324" s="19">
        <f t="shared" si="2539"/>
        <v>6824.9858223105448</v>
      </c>
      <c r="AP324" s="19">
        <f t="shared" si="2539"/>
        <v>6884.0061623397823</v>
      </c>
      <c r="AQ324" s="19">
        <f t="shared" si="2539"/>
        <v>6888.5255791277941</v>
      </c>
      <c r="AR324" s="19">
        <f t="shared" si="2539"/>
        <v>6841.4368918862547</v>
      </c>
      <c r="AS324" s="19">
        <f t="shared" si="2539"/>
        <v>6801.2386389461262</v>
      </c>
      <c r="AU324" s="21"/>
      <c r="AV324" s="21"/>
      <c r="AW324" s="21"/>
      <c r="AX324" s="21"/>
      <c r="AY324" s="21">
        <f>947+1173</f>
        <v>2120</v>
      </c>
      <c r="AZ324" s="19">
        <f t="shared" si="2515"/>
        <v>1685</v>
      </c>
      <c r="BA324" s="19">
        <f t="shared" si="2516"/>
        <v>1690</v>
      </c>
      <c r="BB324" s="19">
        <f t="shared" si="2517"/>
        <v>1854</v>
      </c>
      <c r="BC324" s="19">
        <f t="shared" si="2518"/>
        <v>2121</v>
      </c>
      <c r="BD324" s="19">
        <f t="shared" si="2519"/>
        <v>1718</v>
      </c>
      <c r="BE324" s="19">
        <f t="shared" si="2520"/>
        <v>1868</v>
      </c>
      <c r="BF324" s="19">
        <f t="shared" si="2521"/>
        <v>2114</v>
      </c>
      <c r="BG324" s="19">
        <f t="shared" si="2522"/>
        <v>2054</v>
      </c>
      <c r="BH324" s="19">
        <f t="shared" si="2523"/>
        <v>2597</v>
      </c>
      <c r="BI324" s="19">
        <f t="shared" si="2524"/>
        <v>2473</v>
      </c>
      <c r="BJ324" s="19">
        <f t="shared" si="2525"/>
        <v>3411</v>
      </c>
      <c r="BK324" s="19">
        <f t="shared" si="2526"/>
        <v>2355</v>
      </c>
      <c r="BL324" s="19">
        <f t="shared" si="2527"/>
        <v>2402</v>
      </c>
      <c r="BM324" s="19">
        <f t="shared" si="2528"/>
        <v>3414</v>
      </c>
      <c r="BN324" s="19">
        <f t="shared" si="2529"/>
        <v>4493</v>
      </c>
      <c r="BO324" s="20">
        <f t="shared" si="2530"/>
        <v>5130.1652515389515</v>
      </c>
      <c r="BP324" s="19">
        <f t="shared" si="2531"/>
        <v>6218.1832051401834</v>
      </c>
      <c r="BQ324" s="19">
        <f t="shared" si="2532"/>
        <v>6717.9028146968776</v>
      </c>
      <c r="BR324" s="19">
        <f t="shared" si="2533"/>
        <v>6824.9858223105448</v>
      </c>
      <c r="BS324" s="19">
        <f t="shared" si="2534"/>
        <v>6888.5255791277941</v>
      </c>
      <c r="BT324" s="19">
        <f t="shared" si="2535"/>
        <v>6801.2386389461262</v>
      </c>
    </row>
    <row r="325" spans="2:72" ht="12" customHeight="1" outlineLevel="1">
      <c r="B325" s="1" t="s">
        <v>170</v>
      </c>
      <c r="C325" s="19"/>
      <c r="D325" s="21">
        <f>2127-D321-D322-D323-D324</f>
        <v>211</v>
      </c>
      <c r="E325" s="21">
        <f>2086-E321-E322-E323-E324</f>
        <v>276</v>
      </c>
      <c r="F325" s="21">
        <f>2218-F321-F322-F323-F324</f>
        <v>284</v>
      </c>
      <c r="G325" s="21">
        <f>2326-G321-G322-G323-G324</f>
        <v>325</v>
      </c>
      <c r="H325" s="21">
        <f>2315-H321-H322-H323-H324</f>
        <v>322</v>
      </c>
      <c r="I325" s="21">
        <f>2354-I321-I322-I323-I324</f>
        <v>364</v>
      </c>
      <c r="J325" s="21">
        <v>286</v>
      </c>
      <c r="K325" s="21">
        <v>290</v>
      </c>
      <c r="L325" s="21">
        <v>293</v>
      </c>
      <c r="M325" s="21">
        <v>286</v>
      </c>
      <c r="N325" s="21">
        <v>310</v>
      </c>
      <c r="O325" s="21">
        <v>254</v>
      </c>
      <c r="P325" s="21">
        <v>337</v>
      </c>
      <c r="Q325" s="21">
        <v>249</v>
      </c>
      <c r="R325" s="21">
        <v>253</v>
      </c>
      <c r="S325" s="21">
        <v>198</v>
      </c>
      <c r="T325" s="21">
        <v>275</v>
      </c>
      <c r="U325" s="21">
        <v>288</v>
      </c>
      <c r="V325" s="21">
        <v>914</v>
      </c>
      <c r="W325" s="21">
        <v>930</v>
      </c>
      <c r="X325" s="21">
        <v>1001</v>
      </c>
      <c r="Y325" s="21">
        <v>1126</v>
      </c>
      <c r="Z325" s="21">
        <v>896</v>
      </c>
      <c r="AA325" s="21">
        <v>956</v>
      </c>
      <c r="AB325" s="21">
        <v>1835</v>
      </c>
      <c r="AC325" s="21">
        <v>1843</v>
      </c>
      <c r="AD325" s="21">
        <v>2012</v>
      </c>
      <c r="AE325" s="21">
        <v>1925</v>
      </c>
      <c r="AF325" s="21">
        <v>2107</v>
      </c>
      <c r="AG325" s="21">
        <v>1826</v>
      </c>
      <c r="AH325" s="21">
        <v>1898</v>
      </c>
      <c r="AI325" s="21">
        <f>1228+678+209</f>
        <v>2115</v>
      </c>
      <c r="AJ325" s="24">
        <f>1719+750+149</f>
        <v>2618</v>
      </c>
      <c r="AK325" s="19">
        <f t="shared" ref="AK325:AS325" si="2540">AK54*SUM(AK231)*8%</f>
        <v>2078.186185905613</v>
      </c>
      <c r="AL325" s="19">
        <f t="shared" si="2540"/>
        <v>2156.1270023566622</v>
      </c>
      <c r="AM325" s="19">
        <f t="shared" si="2540"/>
        <v>2230.7373935129526</v>
      </c>
      <c r="AN325" s="19">
        <f t="shared" si="2540"/>
        <v>2293.3579025920794</v>
      </c>
      <c r="AO325" s="19">
        <f t="shared" si="2540"/>
        <v>2352.0608555920544</v>
      </c>
      <c r="AP325" s="19">
        <f t="shared" si="2540"/>
        <v>2406.384851496457</v>
      </c>
      <c r="AQ325" s="19">
        <f t="shared" si="2540"/>
        <v>2460.9253916179869</v>
      </c>
      <c r="AR325" s="19">
        <f t="shared" si="2540"/>
        <v>2515.6788071297842</v>
      </c>
      <c r="AS325" s="19">
        <f t="shared" si="2540"/>
        <v>2571.8445957351905</v>
      </c>
      <c r="AU325" s="21"/>
      <c r="AV325" s="21"/>
      <c r="AW325" s="21"/>
      <c r="AX325" s="21"/>
      <c r="AY325" s="21">
        <f>2617-AY321-AY322-AY323-AY324</f>
        <v>222</v>
      </c>
      <c r="AZ325" s="19">
        <f t="shared" si="2515"/>
        <v>276</v>
      </c>
      <c r="BA325" s="19">
        <f t="shared" si="2516"/>
        <v>325</v>
      </c>
      <c r="BB325" s="19">
        <f t="shared" si="2517"/>
        <v>364</v>
      </c>
      <c r="BC325" s="19">
        <f t="shared" si="2518"/>
        <v>290</v>
      </c>
      <c r="BD325" s="19">
        <f t="shared" si="2519"/>
        <v>286</v>
      </c>
      <c r="BE325" s="19">
        <f t="shared" si="2520"/>
        <v>254</v>
      </c>
      <c r="BF325" s="19">
        <f t="shared" si="2521"/>
        <v>249</v>
      </c>
      <c r="BG325" s="19">
        <f t="shared" si="2522"/>
        <v>198</v>
      </c>
      <c r="BH325" s="19">
        <f t="shared" si="2523"/>
        <v>288</v>
      </c>
      <c r="BI325" s="19">
        <f t="shared" si="2524"/>
        <v>930</v>
      </c>
      <c r="BJ325" s="19">
        <f t="shared" si="2525"/>
        <v>1126</v>
      </c>
      <c r="BK325" s="19">
        <f t="shared" si="2526"/>
        <v>956</v>
      </c>
      <c r="BL325" s="19">
        <f t="shared" si="2527"/>
        <v>1843</v>
      </c>
      <c r="BM325" s="19">
        <f t="shared" si="2528"/>
        <v>1925</v>
      </c>
      <c r="BN325" s="19">
        <f t="shared" si="2529"/>
        <v>1826</v>
      </c>
      <c r="BO325" s="20">
        <f t="shared" si="2530"/>
        <v>2115</v>
      </c>
      <c r="BP325" s="19">
        <f t="shared" si="2531"/>
        <v>2078.186185905613</v>
      </c>
      <c r="BQ325" s="19">
        <f t="shared" si="2532"/>
        <v>2230.7373935129526</v>
      </c>
      <c r="BR325" s="19">
        <f t="shared" si="2533"/>
        <v>2352.0608555920544</v>
      </c>
      <c r="BS325" s="19">
        <f t="shared" si="2534"/>
        <v>2460.9253916179869</v>
      </c>
      <c r="BT325" s="19">
        <f t="shared" si="2535"/>
        <v>2571.8445957351905</v>
      </c>
    </row>
    <row r="326" spans="2:72" ht="12" customHeight="1" outlineLevel="1">
      <c r="B326" s="1" t="s">
        <v>219</v>
      </c>
      <c r="C326" s="19"/>
      <c r="D326" s="19">
        <f t="shared" ref="D326:H326" si="2541">D337-SUM(D321:D325,D327:D336)</f>
        <v>-41</v>
      </c>
      <c r="E326" s="19">
        <f t="shared" si="2541"/>
        <v>8</v>
      </c>
      <c r="F326" s="19">
        <f t="shared" si="2541"/>
        <v>110</v>
      </c>
      <c r="G326" s="19">
        <f t="shared" si="2541"/>
        <v>419</v>
      </c>
      <c r="H326" s="19">
        <f t="shared" si="2541"/>
        <v>293</v>
      </c>
      <c r="I326" s="19">
        <f t="shared" ref="I326:J326" si="2542">I337-SUM(I321:I325,I327:I336)</f>
        <v>410</v>
      </c>
      <c r="J326" s="19">
        <f t="shared" si="2542"/>
        <v>585</v>
      </c>
      <c r="K326" s="19">
        <f>K337-SUM(K321:K325,K327:K336)</f>
        <v>549</v>
      </c>
      <c r="L326" s="19">
        <f t="shared" ref="L326:M326" si="2543">L337-SUM(L321:L325,L327:L336)</f>
        <v>618</v>
      </c>
      <c r="M326" s="19">
        <f t="shared" si="2543"/>
        <v>593</v>
      </c>
      <c r="N326" s="59">
        <f t="shared" ref="N326:O326" si="2544">N337-SUM(N321:N325,N327:N336)</f>
        <v>771</v>
      </c>
      <c r="O326" s="59">
        <f t="shared" si="2544"/>
        <v>860</v>
      </c>
      <c r="P326" s="59">
        <f t="shared" ref="P326:Q326" si="2545">P337-SUM(P321:P325,P327:P336)</f>
        <v>716</v>
      </c>
      <c r="Q326" s="59">
        <f t="shared" si="2545"/>
        <v>447</v>
      </c>
      <c r="R326" s="59">
        <f t="shared" ref="R326:S326" si="2546">R337-SUM(R321:R325,R327:R336)</f>
        <v>564</v>
      </c>
      <c r="S326" s="59">
        <f t="shared" si="2546"/>
        <v>843</v>
      </c>
      <c r="T326" s="59">
        <f t="shared" ref="T326:U326" si="2547">T337-SUM(T321:T325,T327:T336)</f>
        <v>824</v>
      </c>
      <c r="U326" s="59">
        <f t="shared" si="2547"/>
        <v>1426</v>
      </c>
      <c r="V326" s="59">
        <f t="shared" ref="V326:W326" si="2548">V337-SUM(V321:V325,V327:V336)</f>
        <v>1798</v>
      </c>
      <c r="W326" s="59">
        <f t="shared" si="2548"/>
        <v>1931</v>
      </c>
      <c r="X326" s="59">
        <f t="shared" ref="X326:Y326" si="2549">X337-SUM(X321:X325,X327:X336)</f>
        <v>2021</v>
      </c>
      <c r="Y326" s="59">
        <f t="shared" si="2549"/>
        <v>2031</v>
      </c>
      <c r="Z326" s="59">
        <f t="shared" ref="Z326:AA326" si="2550">Z337-SUM(Z321:Z325,Z327:Z336)</f>
        <v>1404</v>
      </c>
      <c r="AA326" s="59">
        <f t="shared" si="2550"/>
        <v>3165</v>
      </c>
      <c r="AB326" s="59">
        <f t="shared" ref="AB326:AC326" si="2551">AB337-SUM(AB321:AB325,AB327:AB336)</f>
        <v>2855</v>
      </c>
      <c r="AC326" s="59">
        <f t="shared" si="2551"/>
        <v>2935</v>
      </c>
      <c r="AD326" s="59">
        <f t="shared" ref="AD326:AE326" si="2552">AD337-SUM(AD321:AD325,AD327:AD336)</f>
        <v>2995</v>
      </c>
      <c r="AE326" s="59">
        <f t="shared" si="2552"/>
        <v>2793</v>
      </c>
      <c r="AF326" s="59">
        <f t="shared" ref="AF326:AG326" si="2553">AF337-SUM(AF321:AF325,AF327:AF336)</f>
        <v>2822</v>
      </c>
      <c r="AG326" s="59">
        <f t="shared" si="2553"/>
        <v>2750</v>
      </c>
      <c r="AH326" s="59">
        <f t="shared" ref="AH326" si="2554">AH337-SUM(AH321:AH325,AH327:AH336)</f>
        <v>2344</v>
      </c>
      <c r="AI326" s="59">
        <f>AI337-SUM(AI321:AI325,AI327:AI336)</f>
        <v>2662.1889195499898</v>
      </c>
      <c r="AJ326" s="60">
        <f>AJ337-SUM(AJ321:AJ325,AJ327:AJ336)</f>
        <v>2734.832519634896</v>
      </c>
      <c r="AK326" s="58">
        <f t="shared" ref="AK326:AS326" si="2555">AJ326*(1+1%)</f>
        <v>2762.1808448312449</v>
      </c>
      <c r="AL326" s="58">
        <f t="shared" si="2555"/>
        <v>2789.8026532795575</v>
      </c>
      <c r="AM326" s="58">
        <f t="shared" si="2555"/>
        <v>2817.700679812353</v>
      </c>
      <c r="AN326" s="58">
        <f t="shared" si="2555"/>
        <v>2845.8776866104763</v>
      </c>
      <c r="AO326" s="58">
        <f t="shared" si="2555"/>
        <v>2874.3364634765812</v>
      </c>
      <c r="AP326" s="58">
        <f t="shared" si="2555"/>
        <v>2903.0798281113471</v>
      </c>
      <c r="AQ326" s="58">
        <f t="shared" si="2555"/>
        <v>2932.1106263924607</v>
      </c>
      <c r="AR326" s="58">
        <f t="shared" si="2555"/>
        <v>2961.4317326563855</v>
      </c>
      <c r="AS326" s="58">
        <f t="shared" si="2555"/>
        <v>2991.0460499829496</v>
      </c>
      <c r="AU326" s="19"/>
      <c r="AV326" s="19"/>
      <c r="AW326" s="19"/>
      <c r="AX326" s="19"/>
      <c r="AY326" s="19">
        <f t="shared" ref="AY326" si="2556">AY337-SUM(AY321:AY325,AY327:AY336)</f>
        <v>-216</v>
      </c>
      <c r="AZ326" s="19">
        <f t="shared" si="2515"/>
        <v>8</v>
      </c>
      <c r="BA326" s="19">
        <f t="shared" si="2516"/>
        <v>419</v>
      </c>
      <c r="BB326" s="19">
        <f t="shared" si="2517"/>
        <v>410</v>
      </c>
      <c r="BC326" s="19">
        <f t="shared" si="2518"/>
        <v>549</v>
      </c>
      <c r="BD326" s="19">
        <f t="shared" si="2519"/>
        <v>593</v>
      </c>
      <c r="BE326" s="19">
        <f t="shared" si="2520"/>
        <v>860</v>
      </c>
      <c r="BF326" s="19">
        <f t="shared" si="2521"/>
        <v>447</v>
      </c>
      <c r="BG326" s="19">
        <f t="shared" si="2522"/>
        <v>843</v>
      </c>
      <c r="BH326" s="19">
        <f t="shared" si="2523"/>
        <v>1426</v>
      </c>
      <c r="BI326" s="19">
        <f t="shared" si="2524"/>
        <v>1931</v>
      </c>
      <c r="BJ326" s="19">
        <f t="shared" si="2525"/>
        <v>2031</v>
      </c>
      <c r="BK326" s="19">
        <f t="shared" si="2526"/>
        <v>3165</v>
      </c>
      <c r="BL326" s="19">
        <f t="shared" si="2527"/>
        <v>2935</v>
      </c>
      <c r="BM326" s="19">
        <f t="shared" si="2528"/>
        <v>2793</v>
      </c>
      <c r="BN326" s="19">
        <f t="shared" si="2529"/>
        <v>2750</v>
      </c>
      <c r="BO326" s="20">
        <f t="shared" si="2530"/>
        <v>2662.1889195499898</v>
      </c>
      <c r="BP326" s="19">
        <f t="shared" si="2531"/>
        <v>2762.1808448312449</v>
      </c>
      <c r="BQ326" s="19">
        <f t="shared" si="2532"/>
        <v>2817.700679812353</v>
      </c>
      <c r="BR326" s="19">
        <f t="shared" si="2533"/>
        <v>2874.3364634765812</v>
      </c>
      <c r="BS326" s="19">
        <f t="shared" si="2534"/>
        <v>2932.1106263924607</v>
      </c>
      <c r="BT326" s="19">
        <f t="shared" si="2535"/>
        <v>2991.0460499829496</v>
      </c>
    </row>
    <row r="327" spans="2:72" ht="12" hidden="1" customHeight="1" outlineLevel="2">
      <c r="B327" s="1" t="s">
        <v>173</v>
      </c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20"/>
      <c r="AK327" s="19"/>
      <c r="AL327" s="19"/>
      <c r="AM327" s="19"/>
      <c r="AN327" s="19"/>
      <c r="AO327" s="19"/>
      <c r="AP327" s="19"/>
      <c r="AQ327" s="19"/>
      <c r="AR327" s="19"/>
      <c r="AS327" s="19"/>
      <c r="AU327" s="21"/>
      <c r="AV327" s="21"/>
      <c r="AW327" s="21"/>
      <c r="AX327" s="21"/>
      <c r="AY327" s="21"/>
      <c r="AZ327" s="19">
        <f t="shared" si="2515"/>
        <v>0</v>
      </c>
      <c r="BA327" s="19">
        <f t="shared" si="2516"/>
        <v>0</v>
      </c>
      <c r="BB327" s="19">
        <f t="shared" si="2517"/>
        <v>0</v>
      </c>
      <c r="BC327" s="19">
        <f t="shared" si="2518"/>
        <v>0</v>
      </c>
      <c r="BD327" s="19">
        <f t="shared" si="2519"/>
        <v>0</v>
      </c>
      <c r="BE327" s="19">
        <f t="shared" si="2520"/>
        <v>0</v>
      </c>
      <c r="BF327" s="19">
        <f t="shared" si="2521"/>
        <v>0</v>
      </c>
      <c r="BG327" s="19">
        <f t="shared" si="2522"/>
        <v>0</v>
      </c>
      <c r="BH327" s="19">
        <f t="shared" si="2523"/>
        <v>0</v>
      </c>
      <c r="BI327" s="19">
        <f t="shared" si="2524"/>
        <v>0</v>
      </c>
      <c r="BJ327" s="19">
        <f t="shared" si="2525"/>
        <v>0</v>
      </c>
      <c r="BK327" s="19">
        <f t="shared" si="2526"/>
        <v>0</v>
      </c>
      <c r="BL327" s="19">
        <f t="shared" si="2527"/>
        <v>0</v>
      </c>
      <c r="BM327" s="19">
        <f t="shared" si="2528"/>
        <v>0</v>
      </c>
      <c r="BN327" s="19">
        <f t="shared" si="2529"/>
        <v>0</v>
      </c>
      <c r="BO327" s="20">
        <f t="shared" si="2530"/>
        <v>0</v>
      </c>
      <c r="BP327" s="19">
        <f t="shared" si="2531"/>
        <v>0</v>
      </c>
      <c r="BQ327" s="19">
        <f t="shared" si="2532"/>
        <v>0</v>
      </c>
      <c r="BR327" s="19">
        <f t="shared" si="2533"/>
        <v>0</v>
      </c>
      <c r="BS327" s="19">
        <f t="shared" si="2534"/>
        <v>0</v>
      </c>
      <c r="BT327" s="19">
        <f t="shared" si="2535"/>
        <v>0</v>
      </c>
    </row>
    <row r="328" spans="2:72" ht="12" hidden="1" customHeight="1" outlineLevel="2">
      <c r="B328" s="1" t="s">
        <v>173</v>
      </c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20"/>
      <c r="AK328" s="19"/>
      <c r="AL328" s="19"/>
      <c r="AM328" s="19"/>
      <c r="AN328" s="19"/>
      <c r="AO328" s="19"/>
      <c r="AP328" s="19"/>
      <c r="AQ328" s="19"/>
      <c r="AR328" s="19"/>
      <c r="AS328" s="19"/>
      <c r="AU328" s="21"/>
      <c r="AV328" s="21"/>
      <c r="AW328" s="21"/>
      <c r="AX328" s="21"/>
      <c r="AY328" s="21"/>
      <c r="AZ328" s="19">
        <f t="shared" si="2515"/>
        <v>0</v>
      </c>
      <c r="BA328" s="19">
        <f t="shared" si="2516"/>
        <v>0</v>
      </c>
      <c r="BB328" s="19">
        <f t="shared" si="2517"/>
        <v>0</v>
      </c>
      <c r="BC328" s="19">
        <f t="shared" si="2518"/>
        <v>0</v>
      </c>
      <c r="BD328" s="19">
        <f t="shared" si="2519"/>
        <v>0</v>
      </c>
      <c r="BE328" s="19">
        <f t="shared" si="2520"/>
        <v>0</v>
      </c>
      <c r="BF328" s="19">
        <f t="shared" si="2521"/>
        <v>0</v>
      </c>
      <c r="BG328" s="19">
        <f t="shared" si="2522"/>
        <v>0</v>
      </c>
      <c r="BH328" s="19">
        <f t="shared" si="2523"/>
        <v>0</v>
      </c>
      <c r="BI328" s="19">
        <f t="shared" si="2524"/>
        <v>0</v>
      </c>
      <c r="BJ328" s="19">
        <f t="shared" si="2525"/>
        <v>0</v>
      </c>
      <c r="BK328" s="19">
        <f t="shared" si="2526"/>
        <v>0</v>
      </c>
      <c r="BL328" s="19">
        <f t="shared" si="2527"/>
        <v>0</v>
      </c>
      <c r="BM328" s="19">
        <f t="shared" si="2528"/>
        <v>0</v>
      </c>
      <c r="BN328" s="19">
        <f t="shared" si="2529"/>
        <v>0</v>
      </c>
      <c r="BO328" s="20">
        <f t="shared" si="2530"/>
        <v>0</v>
      </c>
      <c r="BP328" s="19">
        <f t="shared" si="2531"/>
        <v>0</v>
      </c>
      <c r="BQ328" s="19">
        <f t="shared" si="2532"/>
        <v>0</v>
      </c>
      <c r="BR328" s="19">
        <f t="shared" si="2533"/>
        <v>0</v>
      </c>
      <c r="BS328" s="19">
        <f t="shared" si="2534"/>
        <v>0</v>
      </c>
      <c r="BT328" s="19">
        <f t="shared" si="2535"/>
        <v>0</v>
      </c>
    </row>
    <row r="329" spans="2:72" ht="12" hidden="1" customHeight="1" outlineLevel="2">
      <c r="B329" s="1" t="s">
        <v>173</v>
      </c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20"/>
      <c r="AK329" s="19"/>
      <c r="AL329" s="19"/>
      <c r="AM329" s="19"/>
      <c r="AN329" s="19"/>
      <c r="AO329" s="19"/>
      <c r="AP329" s="19"/>
      <c r="AQ329" s="19"/>
      <c r="AR329" s="19"/>
      <c r="AS329" s="19"/>
      <c r="AU329" s="21"/>
      <c r="AV329" s="21"/>
      <c r="AW329" s="21"/>
      <c r="AX329" s="21"/>
      <c r="AY329" s="21"/>
      <c r="AZ329" s="19">
        <f t="shared" si="2515"/>
        <v>0</v>
      </c>
      <c r="BA329" s="19">
        <f t="shared" si="2516"/>
        <v>0</v>
      </c>
      <c r="BB329" s="19">
        <f t="shared" si="2517"/>
        <v>0</v>
      </c>
      <c r="BC329" s="19">
        <f t="shared" si="2518"/>
        <v>0</v>
      </c>
      <c r="BD329" s="19">
        <f t="shared" si="2519"/>
        <v>0</v>
      </c>
      <c r="BE329" s="19">
        <f t="shared" si="2520"/>
        <v>0</v>
      </c>
      <c r="BF329" s="19">
        <f t="shared" si="2521"/>
        <v>0</v>
      </c>
      <c r="BG329" s="19">
        <f t="shared" si="2522"/>
        <v>0</v>
      </c>
      <c r="BH329" s="19">
        <f t="shared" si="2523"/>
        <v>0</v>
      </c>
      <c r="BI329" s="19">
        <f t="shared" si="2524"/>
        <v>0</v>
      </c>
      <c r="BJ329" s="19">
        <f t="shared" si="2525"/>
        <v>0</v>
      </c>
      <c r="BK329" s="19">
        <f t="shared" si="2526"/>
        <v>0</v>
      </c>
      <c r="BL329" s="19">
        <f t="shared" si="2527"/>
        <v>0</v>
      </c>
      <c r="BM329" s="19">
        <f t="shared" si="2528"/>
        <v>0</v>
      </c>
      <c r="BN329" s="19">
        <f t="shared" si="2529"/>
        <v>0</v>
      </c>
      <c r="BO329" s="20">
        <f t="shared" si="2530"/>
        <v>0</v>
      </c>
      <c r="BP329" s="19">
        <f t="shared" si="2531"/>
        <v>0</v>
      </c>
      <c r="BQ329" s="19">
        <f t="shared" si="2532"/>
        <v>0</v>
      </c>
      <c r="BR329" s="19">
        <f t="shared" si="2533"/>
        <v>0</v>
      </c>
      <c r="BS329" s="19">
        <f t="shared" si="2534"/>
        <v>0</v>
      </c>
      <c r="BT329" s="19">
        <f t="shared" si="2535"/>
        <v>0</v>
      </c>
    </row>
    <row r="330" spans="2:72" ht="12" hidden="1" customHeight="1" outlineLevel="2">
      <c r="B330" s="1" t="s">
        <v>173</v>
      </c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20"/>
      <c r="AK330" s="19"/>
      <c r="AL330" s="19"/>
      <c r="AM330" s="19"/>
      <c r="AN330" s="19"/>
      <c r="AO330" s="19"/>
      <c r="AP330" s="19"/>
      <c r="AQ330" s="19"/>
      <c r="AR330" s="19"/>
      <c r="AS330" s="19"/>
      <c r="AU330" s="21"/>
      <c r="AV330" s="21"/>
      <c r="AW330" s="21"/>
      <c r="AX330" s="21"/>
      <c r="AY330" s="21"/>
      <c r="AZ330" s="19">
        <f t="shared" si="2515"/>
        <v>0</v>
      </c>
      <c r="BA330" s="19">
        <f t="shared" si="2516"/>
        <v>0</v>
      </c>
      <c r="BB330" s="19">
        <f t="shared" si="2517"/>
        <v>0</v>
      </c>
      <c r="BC330" s="19">
        <f t="shared" si="2518"/>
        <v>0</v>
      </c>
      <c r="BD330" s="19">
        <f t="shared" si="2519"/>
        <v>0</v>
      </c>
      <c r="BE330" s="19">
        <f t="shared" si="2520"/>
        <v>0</v>
      </c>
      <c r="BF330" s="19">
        <f t="shared" si="2521"/>
        <v>0</v>
      </c>
      <c r="BG330" s="19">
        <f t="shared" si="2522"/>
        <v>0</v>
      </c>
      <c r="BH330" s="19">
        <f t="shared" si="2523"/>
        <v>0</v>
      </c>
      <c r="BI330" s="19">
        <f t="shared" si="2524"/>
        <v>0</v>
      </c>
      <c r="BJ330" s="19">
        <f t="shared" si="2525"/>
        <v>0</v>
      </c>
      <c r="BK330" s="19">
        <f t="shared" si="2526"/>
        <v>0</v>
      </c>
      <c r="BL330" s="19">
        <f t="shared" si="2527"/>
        <v>0</v>
      </c>
      <c r="BM330" s="19">
        <f t="shared" si="2528"/>
        <v>0</v>
      </c>
      <c r="BN330" s="19">
        <f t="shared" si="2529"/>
        <v>0</v>
      </c>
      <c r="BO330" s="20">
        <f t="shared" si="2530"/>
        <v>0</v>
      </c>
      <c r="BP330" s="19">
        <f t="shared" si="2531"/>
        <v>0</v>
      </c>
      <c r="BQ330" s="19">
        <f t="shared" si="2532"/>
        <v>0</v>
      </c>
      <c r="BR330" s="19">
        <f t="shared" si="2533"/>
        <v>0</v>
      </c>
      <c r="BS330" s="19">
        <f t="shared" si="2534"/>
        <v>0</v>
      </c>
      <c r="BT330" s="19">
        <f t="shared" si="2535"/>
        <v>0</v>
      </c>
    </row>
    <row r="331" spans="2:72" ht="12" hidden="1" customHeight="1" outlineLevel="2">
      <c r="B331" s="1" t="s">
        <v>173</v>
      </c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20"/>
      <c r="AK331" s="19"/>
      <c r="AL331" s="19"/>
      <c r="AM331" s="19"/>
      <c r="AN331" s="19"/>
      <c r="AO331" s="19"/>
      <c r="AP331" s="19"/>
      <c r="AQ331" s="19"/>
      <c r="AR331" s="19"/>
      <c r="AS331" s="19"/>
      <c r="AU331" s="21"/>
      <c r="AV331" s="21"/>
      <c r="AW331" s="21"/>
      <c r="AX331" s="21"/>
      <c r="AY331" s="21"/>
      <c r="AZ331" s="19">
        <f t="shared" si="2515"/>
        <v>0</v>
      </c>
      <c r="BA331" s="19">
        <f t="shared" si="2516"/>
        <v>0</v>
      </c>
      <c r="BB331" s="19">
        <f t="shared" si="2517"/>
        <v>0</v>
      </c>
      <c r="BC331" s="19">
        <f t="shared" si="2518"/>
        <v>0</v>
      </c>
      <c r="BD331" s="19">
        <f t="shared" si="2519"/>
        <v>0</v>
      </c>
      <c r="BE331" s="19">
        <f t="shared" si="2520"/>
        <v>0</v>
      </c>
      <c r="BF331" s="19">
        <f t="shared" si="2521"/>
        <v>0</v>
      </c>
      <c r="BG331" s="19">
        <f t="shared" si="2522"/>
        <v>0</v>
      </c>
      <c r="BH331" s="19">
        <f t="shared" si="2523"/>
        <v>0</v>
      </c>
      <c r="BI331" s="19">
        <f t="shared" si="2524"/>
        <v>0</v>
      </c>
      <c r="BJ331" s="19">
        <f t="shared" si="2525"/>
        <v>0</v>
      </c>
      <c r="BK331" s="19">
        <f t="shared" si="2526"/>
        <v>0</v>
      </c>
      <c r="BL331" s="19">
        <f t="shared" si="2527"/>
        <v>0</v>
      </c>
      <c r="BM331" s="19">
        <f t="shared" si="2528"/>
        <v>0</v>
      </c>
      <c r="BN331" s="19">
        <f t="shared" si="2529"/>
        <v>0</v>
      </c>
      <c r="BO331" s="20">
        <f t="shared" si="2530"/>
        <v>0</v>
      </c>
      <c r="BP331" s="19">
        <f t="shared" si="2531"/>
        <v>0</v>
      </c>
      <c r="BQ331" s="19">
        <f t="shared" si="2532"/>
        <v>0</v>
      </c>
      <c r="BR331" s="19">
        <f t="shared" si="2533"/>
        <v>0</v>
      </c>
      <c r="BS331" s="19">
        <f t="shared" si="2534"/>
        <v>0</v>
      </c>
      <c r="BT331" s="19">
        <f t="shared" si="2535"/>
        <v>0</v>
      </c>
    </row>
    <row r="332" spans="2:72" ht="12" hidden="1" customHeight="1" outlineLevel="2">
      <c r="B332" s="1" t="s">
        <v>173</v>
      </c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20"/>
      <c r="AK332" s="19"/>
      <c r="AL332" s="19"/>
      <c r="AM332" s="19"/>
      <c r="AN332" s="19"/>
      <c r="AO332" s="19"/>
      <c r="AP332" s="19"/>
      <c r="AQ332" s="19"/>
      <c r="AR332" s="19"/>
      <c r="AS332" s="19"/>
      <c r="AU332" s="21"/>
      <c r="AV332" s="21"/>
      <c r="AW332" s="21"/>
      <c r="AX332" s="21"/>
      <c r="AY332" s="21"/>
      <c r="AZ332" s="19">
        <f t="shared" si="2515"/>
        <v>0</v>
      </c>
      <c r="BA332" s="19">
        <f t="shared" si="2516"/>
        <v>0</v>
      </c>
      <c r="BB332" s="19">
        <f t="shared" si="2517"/>
        <v>0</v>
      </c>
      <c r="BC332" s="19">
        <f t="shared" si="2518"/>
        <v>0</v>
      </c>
      <c r="BD332" s="19">
        <f t="shared" si="2519"/>
        <v>0</v>
      </c>
      <c r="BE332" s="19">
        <f t="shared" si="2520"/>
        <v>0</v>
      </c>
      <c r="BF332" s="19">
        <f t="shared" si="2521"/>
        <v>0</v>
      </c>
      <c r="BG332" s="19">
        <f t="shared" si="2522"/>
        <v>0</v>
      </c>
      <c r="BH332" s="19">
        <f t="shared" si="2523"/>
        <v>0</v>
      </c>
      <c r="BI332" s="19">
        <f t="shared" si="2524"/>
        <v>0</v>
      </c>
      <c r="BJ332" s="19">
        <f t="shared" si="2525"/>
        <v>0</v>
      </c>
      <c r="BK332" s="19">
        <f t="shared" si="2526"/>
        <v>0</v>
      </c>
      <c r="BL332" s="19">
        <f t="shared" si="2527"/>
        <v>0</v>
      </c>
      <c r="BM332" s="19">
        <f t="shared" si="2528"/>
        <v>0</v>
      </c>
      <c r="BN332" s="19">
        <f t="shared" si="2529"/>
        <v>0</v>
      </c>
      <c r="BO332" s="20">
        <f t="shared" si="2530"/>
        <v>0</v>
      </c>
      <c r="BP332" s="19">
        <f t="shared" si="2531"/>
        <v>0</v>
      </c>
      <c r="BQ332" s="19">
        <f t="shared" si="2532"/>
        <v>0</v>
      </c>
      <c r="BR332" s="19">
        <f t="shared" si="2533"/>
        <v>0</v>
      </c>
      <c r="BS332" s="19">
        <f t="shared" si="2534"/>
        <v>0</v>
      </c>
      <c r="BT332" s="19">
        <f t="shared" si="2535"/>
        <v>0</v>
      </c>
    </row>
    <row r="333" spans="2:72" ht="12" hidden="1" customHeight="1" outlineLevel="2">
      <c r="B333" s="1" t="s">
        <v>173</v>
      </c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20"/>
      <c r="AK333" s="19"/>
      <c r="AL333" s="19"/>
      <c r="AM333" s="19"/>
      <c r="AN333" s="19"/>
      <c r="AO333" s="19"/>
      <c r="AP333" s="19"/>
      <c r="AQ333" s="19"/>
      <c r="AR333" s="19"/>
      <c r="AS333" s="19"/>
      <c r="AU333" s="21"/>
      <c r="AV333" s="21"/>
      <c r="AW333" s="21"/>
      <c r="AX333" s="21"/>
      <c r="AY333" s="21"/>
      <c r="AZ333" s="19">
        <f t="shared" si="2515"/>
        <v>0</v>
      </c>
      <c r="BA333" s="19">
        <f t="shared" si="2516"/>
        <v>0</v>
      </c>
      <c r="BB333" s="19">
        <f t="shared" si="2517"/>
        <v>0</v>
      </c>
      <c r="BC333" s="19">
        <f t="shared" si="2518"/>
        <v>0</v>
      </c>
      <c r="BD333" s="19">
        <f t="shared" si="2519"/>
        <v>0</v>
      </c>
      <c r="BE333" s="19">
        <f t="shared" si="2520"/>
        <v>0</v>
      </c>
      <c r="BF333" s="19">
        <f t="shared" si="2521"/>
        <v>0</v>
      </c>
      <c r="BG333" s="19">
        <f t="shared" si="2522"/>
        <v>0</v>
      </c>
      <c r="BH333" s="19">
        <f t="shared" si="2523"/>
        <v>0</v>
      </c>
      <c r="BI333" s="19">
        <f t="shared" si="2524"/>
        <v>0</v>
      </c>
      <c r="BJ333" s="19">
        <f t="shared" si="2525"/>
        <v>0</v>
      </c>
      <c r="BK333" s="19">
        <f t="shared" si="2526"/>
        <v>0</v>
      </c>
      <c r="BL333" s="19">
        <f t="shared" si="2527"/>
        <v>0</v>
      </c>
      <c r="BM333" s="19">
        <f t="shared" si="2528"/>
        <v>0</v>
      </c>
      <c r="BN333" s="19">
        <f t="shared" si="2529"/>
        <v>0</v>
      </c>
      <c r="BO333" s="20">
        <f t="shared" si="2530"/>
        <v>0</v>
      </c>
      <c r="BP333" s="19">
        <f t="shared" si="2531"/>
        <v>0</v>
      </c>
      <c r="BQ333" s="19">
        <f t="shared" si="2532"/>
        <v>0</v>
      </c>
      <c r="BR333" s="19">
        <f t="shared" si="2533"/>
        <v>0</v>
      </c>
      <c r="BS333" s="19">
        <f t="shared" si="2534"/>
        <v>0</v>
      </c>
      <c r="BT333" s="19">
        <f t="shared" si="2535"/>
        <v>0</v>
      </c>
    </row>
    <row r="334" spans="2:72" ht="12" hidden="1" customHeight="1" outlineLevel="2">
      <c r="B334" s="1" t="s">
        <v>173</v>
      </c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20"/>
      <c r="AK334" s="19"/>
      <c r="AL334" s="19"/>
      <c r="AM334" s="19"/>
      <c r="AN334" s="19"/>
      <c r="AO334" s="19"/>
      <c r="AP334" s="19"/>
      <c r="AQ334" s="19"/>
      <c r="AR334" s="19"/>
      <c r="AS334" s="19"/>
      <c r="AU334" s="21"/>
      <c r="AV334" s="21"/>
      <c r="AW334" s="21"/>
      <c r="AX334" s="21"/>
      <c r="AY334" s="21"/>
      <c r="AZ334" s="19">
        <f t="shared" si="2515"/>
        <v>0</v>
      </c>
      <c r="BA334" s="19">
        <f t="shared" si="2516"/>
        <v>0</v>
      </c>
      <c r="BB334" s="19">
        <f t="shared" si="2517"/>
        <v>0</v>
      </c>
      <c r="BC334" s="19">
        <f t="shared" si="2518"/>
        <v>0</v>
      </c>
      <c r="BD334" s="19">
        <f t="shared" si="2519"/>
        <v>0</v>
      </c>
      <c r="BE334" s="19">
        <f t="shared" si="2520"/>
        <v>0</v>
      </c>
      <c r="BF334" s="19">
        <f t="shared" si="2521"/>
        <v>0</v>
      </c>
      <c r="BG334" s="19">
        <f t="shared" si="2522"/>
        <v>0</v>
      </c>
      <c r="BH334" s="19">
        <f t="shared" si="2523"/>
        <v>0</v>
      </c>
      <c r="BI334" s="19">
        <f t="shared" si="2524"/>
        <v>0</v>
      </c>
      <c r="BJ334" s="19">
        <f t="shared" si="2525"/>
        <v>0</v>
      </c>
      <c r="BK334" s="19">
        <f t="shared" si="2526"/>
        <v>0</v>
      </c>
      <c r="BL334" s="19">
        <f t="shared" si="2527"/>
        <v>0</v>
      </c>
      <c r="BM334" s="19">
        <f t="shared" si="2528"/>
        <v>0</v>
      </c>
      <c r="BN334" s="19">
        <f t="shared" si="2529"/>
        <v>0</v>
      </c>
      <c r="BO334" s="20">
        <f t="shared" si="2530"/>
        <v>0</v>
      </c>
      <c r="BP334" s="19">
        <f t="shared" si="2531"/>
        <v>0</v>
      </c>
      <c r="BQ334" s="19">
        <f t="shared" si="2532"/>
        <v>0</v>
      </c>
      <c r="BR334" s="19">
        <f t="shared" si="2533"/>
        <v>0</v>
      </c>
      <c r="BS334" s="19">
        <f t="shared" si="2534"/>
        <v>0</v>
      </c>
      <c r="BT334" s="19">
        <f t="shared" si="2535"/>
        <v>0</v>
      </c>
    </row>
    <row r="335" spans="2:72" ht="12" hidden="1" customHeight="1" outlineLevel="2">
      <c r="B335" s="1" t="s">
        <v>173</v>
      </c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20"/>
      <c r="AK335" s="19"/>
      <c r="AL335" s="19"/>
      <c r="AM335" s="19"/>
      <c r="AN335" s="19"/>
      <c r="AO335" s="19"/>
      <c r="AP335" s="19"/>
      <c r="AQ335" s="19"/>
      <c r="AR335" s="19"/>
      <c r="AS335" s="19"/>
      <c r="AU335" s="21"/>
      <c r="AV335" s="21"/>
      <c r="AW335" s="21"/>
      <c r="AX335" s="21"/>
      <c r="AY335" s="21"/>
      <c r="AZ335" s="19">
        <f t="shared" si="2515"/>
        <v>0</v>
      </c>
      <c r="BA335" s="19">
        <f t="shared" si="2516"/>
        <v>0</v>
      </c>
      <c r="BB335" s="19">
        <f t="shared" si="2517"/>
        <v>0</v>
      </c>
      <c r="BC335" s="19">
        <f t="shared" si="2518"/>
        <v>0</v>
      </c>
      <c r="BD335" s="19">
        <f t="shared" si="2519"/>
        <v>0</v>
      </c>
      <c r="BE335" s="19">
        <f t="shared" si="2520"/>
        <v>0</v>
      </c>
      <c r="BF335" s="19">
        <f t="shared" si="2521"/>
        <v>0</v>
      </c>
      <c r="BG335" s="19">
        <f t="shared" si="2522"/>
        <v>0</v>
      </c>
      <c r="BH335" s="19">
        <f t="shared" si="2523"/>
        <v>0</v>
      </c>
      <c r="BI335" s="19">
        <f t="shared" si="2524"/>
        <v>0</v>
      </c>
      <c r="BJ335" s="19">
        <f t="shared" si="2525"/>
        <v>0</v>
      </c>
      <c r="BK335" s="19">
        <f t="shared" si="2526"/>
        <v>0</v>
      </c>
      <c r="BL335" s="19">
        <f t="shared" si="2527"/>
        <v>0</v>
      </c>
      <c r="BM335" s="19">
        <f t="shared" si="2528"/>
        <v>0</v>
      </c>
      <c r="BN335" s="19">
        <f t="shared" si="2529"/>
        <v>0</v>
      </c>
      <c r="BO335" s="20">
        <f t="shared" si="2530"/>
        <v>0</v>
      </c>
      <c r="BP335" s="19">
        <f t="shared" si="2531"/>
        <v>0</v>
      </c>
      <c r="BQ335" s="19">
        <f t="shared" si="2532"/>
        <v>0</v>
      </c>
      <c r="BR335" s="19">
        <f t="shared" si="2533"/>
        <v>0</v>
      </c>
      <c r="BS335" s="19">
        <f t="shared" si="2534"/>
        <v>0</v>
      </c>
      <c r="BT335" s="19">
        <f t="shared" si="2535"/>
        <v>0</v>
      </c>
    </row>
    <row r="336" spans="2:72" ht="12" hidden="1" customHeight="1" outlineLevel="2">
      <c r="B336" s="1" t="s">
        <v>173</v>
      </c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20"/>
      <c r="AK336" s="19"/>
      <c r="AL336" s="19"/>
      <c r="AM336" s="19"/>
      <c r="AN336" s="19"/>
      <c r="AO336" s="19"/>
      <c r="AP336" s="19"/>
      <c r="AQ336" s="19"/>
      <c r="AR336" s="19"/>
      <c r="AS336" s="19"/>
      <c r="AU336" s="21"/>
      <c r="AV336" s="21"/>
      <c r="AW336" s="21"/>
      <c r="AX336" s="21"/>
      <c r="AY336" s="21"/>
      <c r="AZ336" s="19">
        <f t="shared" si="2515"/>
        <v>0</v>
      </c>
      <c r="BA336" s="19">
        <f t="shared" si="2516"/>
        <v>0</v>
      </c>
      <c r="BB336" s="19">
        <f t="shared" si="2517"/>
        <v>0</v>
      </c>
      <c r="BC336" s="19">
        <f t="shared" si="2518"/>
        <v>0</v>
      </c>
      <c r="BD336" s="19">
        <f t="shared" si="2519"/>
        <v>0</v>
      </c>
      <c r="BE336" s="19">
        <f t="shared" si="2520"/>
        <v>0</v>
      </c>
      <c r="BF336" s="19">
        <f t="shared" si="2521"/>
        <v>0</v>
      </c>
      <c r="BG336" s="19">
        <f t="shared" si="2522"/>
        <v>0</v>
      </c>
      <c r="BH336" s="19">
        <f t="shared" si="2523"/>
        <v>0</v>
      </c>
      <c r="BI336" s="19">
        <f t="shared" si="2524"/>
        <v>0</v>
      </c>
      <c r="BJ336" s="19">
        <f t="shared" si="2525"/>
        <v>0</v>
      </c>
      <c r="BK336" s="19">
        <f t="shared" si="2526"/>
        <v>0</v>
      </c>
      <c r="BL336" s="19">
        <f t="shared" si="2527"/>
        <v>0</v>
      </c>
      <c r="BM336" s="19">
        <f t="shared" si="2528"/>
        <v>0</v>
      </c>
      <c r="BN336" s="19">
        <f t="shared" si="2529"/>
        <v>0</v>
      </c>
      <c r="BO336" s="20">
        <f t="shared" si="2530"/>
        <v>0</v>
      </c>
      <c r="BP336" s="19">
        <f t="shared" si="2531"/>
        <v>0</v>
      </c>
      <c r="BQ336" s="19">
        <f t="shared" si="2532"/>
        <v>0</v>
      </c>
      <c r="BR336" s="19">
        <f t="shared" si="2533"/>
        <v>0</v>
      </c>
      <c r="BS336" s="19">
        <f t="shared" si="2534"/>
        <v>0</v>
      </c>
      <c r="BT336" s="19">
        <f t="shared" si="2535"/>
        <v>0</v>
      </c>
    </row>
    <row r="337" spans="1:72" s="9" customFormat="1" ht="12" customHeight="1" outlineLevel="1" collapsed="1">
      <c r="A337" s="91" t="s">
        <v>588</v>
      </c>
      <c r="B337" s="9" t="s">
        <v>216</v>
      </c>
      <c r="C337" s="17"/>
      <c r="D337" s="22">
        <v>2086</v>
      </c>
      <c r="E337" s="22">
        <v>2094</v>
      </c>
      <c r="F337" s="22">
        <v>2328</v>
      </c>
      <c r="G337" s="22">
        <v>2745</v>
      </c>
      <c r="H337" s="22">
        <v>2608</v>
      </c>
      <c r="I337" s="22">
        <v>2764</v>
      </c>
      <c r="J337" s="22">
        <v>2906</v>
      </c>
      <c r="K337" s="22">
        <v>3134</v>
      </c>
      <c r="L337" s="22">
        <v>3428</v>
      </c>
      <c r="M337" s="22">
        <v>2823</v>
      </c>
      <c r="N337" s="22">
        <v>2988</v>
      </c>
      <c r="O337" s="22">
        <v>3216</v>
      </c>
      <c r="P337" s="22">
        <v>3592</v>
      </c>
      <c r="Q337" s="22">
        <v>3016</v>
      </c>
      <c r="R337" s="22">
        <v>3013</v>
      </c>
      <c r="S337" s="22">
        <v>3301</v>
      </c>
      <c r="T337" s="22">
        <v>4038</v>
      </c>
      <c r="U337" s="22">
        <v>4544</v>
      </c>
      <c r="V337" s="22">
        <v>5583</v>
      </c>
      <c r="W337" s="22">
        <v>7153</v>
      </c>
      <c r="X337" s="22">
        <v>7790</v>
      </c>
      <c r="Y337" s="22">
        <v>7431</v>
      </c>
      <c r="Z337" s="22">
        <v>5928</v>
      </c>
      <c r="AA337" s="22">
        <v>7318</v>
      </c>
      <c r="AB337" s="22">
        <v>8435</v>
      </c>
      <c r="AC337" s="22">
        <v>8885</v>
      </c>
      <c r="AD337" s="22">
        <v>10278</v>
      </c>
      <c r="AE337" s="22">
        <v>10400</v>
      </c>
      <c r="AF337" s="22">
        <v>11524</v>
      </c>
      <c r="AG337" s="22">
        <v>11492</v>
      </c>
      <c r="AH337" s="22">
        <v>11320</v>
      </c>
      <c r="AI337" s="22">
        <v>12816</v>
      </c>
      <c r="AJ337" s="23">
        <v>13611</v>
      </c>
      <c r="AK337" s="17">
        <f t="shared" ref="AK337" si="2557">SUM(AK321:AK336)</f>
        <v>14378.122233639282</v>
      </c>
      <c r="AL337" s="17">
        <f t="shared" ref="AL337:AM337" si="2558">SUM(AL321:AL336)</f>
        <v>14985.449072338577</v>
      </c>
      <c r="AM337" s="17">
        <f t="shared" si="2558"/>
        <v>15497.054575049971</v>
      </c>
      <c r="AN337" s="17">
        <f t="shared" ref="AN337:AO337" si="2559">SUM(AN321:AN336)</f>
        <v>15816.647112512755</v>
      </c>
      <c r="AO337" s="17">
        <f t="shared" si="2559"/>
        <v>16129.514897598849</v>
      </c>
      <c r="AP337" s="17">
        <f t="shared" ref="AP337:AQ337" si="2560">SUM(AP321:AP336)</f>
        <v>16432.951045049915</v>
      </c>
      <c r="AQ337" s="17">
        <f t="shared" si="2560"/>
        <v>16686.509838029506</v>
      </c>
      <c r="AR337" s="17">
        <f t="shared" ref="AR337:AS337" si="2561">SUM(AR321:AR336)</f>
        <v>16893.113145283442</v>
      </c>
      <c r="AS337" s="17">
        <f t="shared" si="2561"/>
        <v>17116.29548105409</v>
      </c>
      <c r="AU337" s="22"/>
      <c r="AV337" s="22"/>
      <c r="AW337" s="22"/>
      <c r="AX337" s="22"/>
      <c r="AY337" s="22">
        <v>2401</v>
      </c>
      <c r="AZ337" s="17">
        <f t="shared" ref="AZ337:BH337" si="2562">SUM(AZ321:AZ336)</f>
        <v>2094</v>
      </c>
      <c r="BA337" s="17">
        <f t="shared" si="2562"/>
        <v>2745</v>
      </c>
      <c r="BB337" s="17">
        <f t="shared" si="2562"/>
        <v>2764</v>
      </c>
      <c r="BC337" s="17">
        <f t="shared" si="2562"/>
        <v>3134</v>
      </c>
      <c r="BD337" s="17">
        <f t="shared" si="2562"/>
        <v>2823</v>
      </c>
      <c r="BE337" s="17">
        <f t="shared" si="2562"/>
        <v>3216</v>
      </c>
      <c r="BF337" s="17">
        <f t="shared" si="2562"/>
        <v>3016</v>
      </c>
      <c r="BG337" s="17">
        <f t="shared" si="2562"/>
        <v>3301</v>
      </c>
      <c r="BH337" s="17">
        <f t="shared" si="2562"/>
        <v>4544</v>
      </c>
      <c r="BI337" s="17">
        <f t="shared" ref="BI337" si="2563">SUM(BI321:BI336)</f>
        <v>7153</v>
      </c>
      <c r="BJ337" s="17">
        <f t="shared" ref="BJ337:BO337" si="2564">SUM(BJ321:BJ336)</f>
        <v>7431</v>
      </c>
      <c r="BK337" s="17">
        <f t="shared" si="2564"/>
        <v>7318</v>
      </c>
      <c r="BL337" s="17">
        <f t="shared" si="2564"/>
        <v>8885</v>
      </c>
      <c r="BM337" s="17">
        <f t="shared" si="2564"/>
        <v>10400</v>
      </c>
      <c r="BN337" s="17">
        <f t="shared" si="2564"/>
        <v>11492</v>
      </c>
      <c r="BO337" s="18">
        <f t="shared" si="2564"/>
        <v>12816</v>
      </c>
      <c r="BP337" s="17">
        <f t="shared" ref="BP337:BQ337" si="2565">SUM(BP321:BP336)</f>
        <v>14378.122233639282</v>
      </c>
      <c r="BQ337" s="17">
        <f t="shared" si="2565"/>
        <v>15497.054575049971</v>
      </c>
      <c r="BR337" s="17">
        <f t="shared" ref="BR337:BS337" si="2566">SUM(BR321:BR336)</f>
        <v>16129.514897598849</v>
      </c>
      <c r="BS337" s="17">
        <f t="shared" si="2566"/>
        <v>16686.509838029506</v>
      </c>
      <c r="BT337" s="17">
        <f>SUM(BT321:BT336)</f>
        <v>17116.29548105409</v>
      </c>
    </row>
    <row r="338" spans="1:72" ht="12" customHeight="1">
      <c r="C338" s="19"/>
      <c r="D338" s="19"/>
      <c r="E338" s="19"/>
      <c r="F338" s="19"/>
      <c r="G338" s="19"/>
      <c r="H338" s="19"/>
      <c r="I338" s="19"/>
      <c r="J338" s="19"/>
      <c r="K338" s="323"/>
      <c r="L338" s="323"/>
      <c r="M338" s="323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20"/>
      <c r="AK338" s="19"/>
      <c r="AL338" s="19"/>
      <c r="AM338" s="19"/>
      <c r="AN338" s="19"/>
      <c r="AO338" s="19"/>
      <c r="AP338" s="19"/>
      <c r="AQ338" s="19"/>
      <c r="AR338" s="19"/>
      <c r="AS338" s="19"/>
      <c r="AU338" s="19"/>
      <c r="AV338" s="19"/>
      <c r="AW338" s="19"/>
      <c r="AX338" s="19"/>
      <c r="AY338" s="19"/>
    </row>
    <row r="339" spans="1:72" s="9" customFormat="1" ht="12" customHeight="1">
      <c r="A339" s="91"/>
      <c r="B339" s="2" t="s">
        <v>220</v>
      </c>
      <c r="C339" s="2"/>
      <c r="D339" s="93">
        <f>D351</f>
        <v>-9721</v>
      </c>
      <c r="E339" s="93">
        <f t="shared" ref="E339:O339" si="2567">E351</f>
        <v>65</v>
      </c>
      <c r="F339" s="93">
        <f t="shared" si="2567"/>
        <v>509</v>
      </c>
      <c r="G339" s="93">
        <f t="shared" si="2567"/>
        <v>306</v>
      </c>
      <c r="H339" s="93">
        <f t="shared" si="2567"/>
        <v>577</v>
      </c>
      <c r="I339" s="93">
        <f t="shared" si="2567"/>
        <v>256</v>
      </c>
      <c r="J339" s="93">
        <f t="shared" si="2567"/>
        <v>745</v>
      </c>
      <c r="K339" s="93">
        <f t="shared" si="2567"/>
        <v>416</v>
      </c>
      <c r="L339" s="93">
        <f t="shared" ref="L339" si="2568">L351</f>
        <v>945</v>
      </c>
      <c r="M339" s="93">
        <f t="shared" si="2567"/>
        <v>1385</v>
      </c>
      <c r="N339" s="93">
        <f t="shared" ref="N339" si="2569">N351</f>
        <v>906</v>
      </c>
      <c r="O339" s="93">
        <f t="shared" si="2567"/>
        <v>607</v>
      </c>
      <c r="P339" s="93">
        <f t="shared" ref="P339:Q339" si="2570">P351</f>
        <v>917</v>
      </c>
      <c r="Q339" s="93">
        <f t="shared" si="2570"/>
        <v>291</v>
      </c>
      <c r="R339" s="93">
        <f t="shared" ref="R339:S339" si="2571">R351</f>
        <v>1078</v>
      </c>
      <c r="S339" s="93">
        <f t="shared" si="2571"/>
        <v>952</v>
      </c>
      <c r="T339" s="93">
        <f t="shared" ref="T339:U339" si="2572">T351</f>
        <v>1070</v>
      </c>
      <c r="U339" s="93">
        <f t="shared" si="2572"/>
        <v>1089</v>
      </c>
      <c r="V339" s="93">
        <f t="shared" ref="V339" si="2573">V351</f>
        <v>1184</v>
      </c>
      <c r="W339" s="93">
        <f t="shared" ref="W339:X339" si="2574">W351</f>
        <v>1224</v>
      </c>
      <c r="X339" s="93">
        <f t="shared" si="2574"/>
        <v>-179</v>
      </c>
      <c r="Y339" s="93">
        <f t="shared" ref="Y339:Z339" si="2575">Y351</f>
        <v>637</v>
      </c>
      <c r="Z339" s="93">
        <f t="shared" si="2575"/>
        <v>-309</v>
      </c>
      <c r="AA339" s="93">
        <f t="shared" ref="AA339:AB339" si="2576">AA351</f>
        <v>1164</v>
      </c>
      <c r="AB339" s="93">
        <f t="shared" si="2576"/>
        <v>-34</v>
      </c>
      <c r="AC339" s="93">
        <f t="shared" ref="AC339:AD339" si="2577">AC351</f>
        <v>-1524</v>
      </c>
      <c r="AD339" s="93">
        <f t="shared" si="2577"/>
        <v>671</v>
      </c>
      <c r="AE339" s="93">
        <f t="shared" ref="AE339:AF339" si="2578">AE351</f>
        <v>1734</v>
      </c>
      <c r="AF339" s="93">
        <f t="shared" si="2578"/>
        <v>982</v>
      </c>
      <c r="AG339" s="93">
        <f t="shared" ref="AG339:AH339" si="2579">AG351</f>
        <v>2109</v>
      </c>
      <c r="AH339" s="93">
        <f t="shared" si="2579"/>
        <v>1356</v>
      </c>
      <c r="AI339" s="93">
        <f t="shared" ref="AI339" si="2580">AI351</f>
        <v>1480</v>
      </c>
      <c r="AJ339" s="94">
        <f t="shared" ref="AJ339:AK339" si="2581">AJ351</f>
        <v>1067.1875620000001</v>
      </c>
      <c r="AK339" s="93">
        <f t="shared" si="2581"/>
        <v>1844.8943794323109</v>
      </c>
      <c r="AL339" s="93">
        <f t="shared" ref="AL339:AM339" si="2582">AL351</f>
        <v>1612.3520257897055</v>
      </c>
      <c r="AM339" s="93">
        <f t="shared" si="2582"/>
        <v>1909.3922250131557</v>
      </c>
      <c r="AN339" s="93">
        <f t="shared" ref="AN339:AO339" si="2583">AN351</f>
        <v>1432.4498995687654</v>
      </c>
      <c r="AO339" s="93">
        <f t="shared" si="2583"/>
        <v>1847.1064494439336</v>
      </c>
      <c r="AP339" s="93">
        <f t="shared" ref="AP339:AQ339" si="2584">AP351</f>
        <v>1470.1459495574265</v>
      </c>
      <c r="AQ339" s="93">
        <f t="shared" si="2584"/>
        <v>1734.0182994779816</v>
      </c>
      <c r="AR339" s="93">
        <f t="shared" ref="AR339:AS339" si="2585">AR351</f>
        <v>1583.2340995233744</v>
      </c>
      <c r="AS339" s="93">
        <f t="shared" si="2585"/>
        <v>1884.8024994325881</v>
      </c>
      <c r="AT339" s="2"/>
      <c r="AU339" s="93"/>
      <c r="AV339" s="93"/>
      <c r="AW339" s="93"/>
      <c r="AX339" s="93"/>
      <c r="AY339" s="93"/>
      <c r="AZ339" s="93">
        <f t="shared" ref="AZ339:BH339" si="2586">AZ351</f>
        <v>-982</v>
      </c>
      <c r="BA339" s="93">
        <f t="shared" si="2586"/>
        <v>815</v>
      </c>
      <c r="BB339" s="93">
        <f t="shared" si="2586"/>
        <v>833</v>
      </c>
      <c r="BC339" s="93">
        <f t="shared" si="2586"/>
        <v>1161</v>
      </c>
      <c r="BD339" s="93">
        <f t="shared" si="2586"/>
        <v>2330</v>
      </c>
      <c r="BE339" s="93">
        <f t="shared" si="2586"/>
        <v>1513</v>
      </c>
      <c r="BF339" s="93">
        <f t="shared" si="2586"/>
        <v>1208</v>
      </c>
      <c r="BG339" s="93">
        <f t="shared" si="2586"/>
        <v>2030</v>
      </c>
      <c r="BH339" s="93">
        <f t="shared" si="2586"/>
        <v>2159</v>
      </c>
      <c r="BI339" s="93">
        <f t="shared" ref="BI339" si="2587">BI351</f>
        <v>2408</v>
      </c>
      <c r="BJ339" s="93">
        <f t="shared" ref="BJ339:BO339" si="2588">BJ351</f>
        <v>458</v>
      </c>
      <c r="BK339" s="93">
        <f t="shared" si="2588"/>
        <v>855</v>
      </c>
      <c r="BL339" s="93">
        <f t="shared" si="2588"/>
        <v>-1558</v>
      </c>
      <c r="BM339" s="93">
        <f t="shared" si="2588"/>
        <v>2405</v>
      </c>
      <c r="BN339" s="93">
        <f t="shared" si="2588"/>
        <v>3091</v>
      </c>
      <c r="BO339" s="94">
        <f t="shared" si="2588"/>
        <v>2836</v>
      </c>
      <c r="BP339" s="93">
        <f t="shared" ref="BP339:BQ339" si="2589">BP351</f>
        <v>2912.0819414323109</v>
      </c>
      <c r="BQ339" s="93">
        <f t="shared" si="2589"/>
        <v>3521.7442508028612</v>
      </c>
      <c r="BR339" s="93">
        <f t="shared" ref="BR339:BS339" si="2590">BR351</f>
        <v>3279.5563490126988</v>
      </c>
      <c r="BS339" s="93">
        <f t="shared" si="2590"/>
        <v>3204.1642490354088</v>
      </c>
      <c r="BT339" s="93">
        <f>BT351</f>
        <v>3468.0365989559623</v>
      </c>
    </row>
    <row r="340" spans="1:72" ht="12" customHeight="1" outlineLevel="1"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20"/>
      <c r="AK340" s="19"/>
      <c r="AL340" s="19"/>
      <c r="AM340" s="19"/>
      <c r="AN340" s="19"/>
      <c r="AO340" s="19"/>
      <c r="AP340" s="19"/>
      <c r="AQ340" s="19"/>
      <c r="AR340" s="19"/>
      <c r="AS340" s="19"/>
      <c r="AU340" s="19"/>
      <c r="AV340" s="19"/>
      <c r="AW340" s="19"/>
      <c r="AX340" s="19"/>
      <c r="AY340" s="19"/>
      <c r="BJ340" s="34"/>
    </row>
    <row r="341" spans="1:72" ht="12" customHeight="1" outlineLevel="1">
      <c r="A341" s="91" t="s">
        <v>237</v>
      </c>
      <c r="B341" s="9" t="s">
        <v>221</v>
      </c>
      <c r="C341" s="19"/>
      <c r="D341" s="17">
        <f>D81</f>
        <v>479</v>
      </c>
      <c r="E341" s="17">
        <f t="shared" ref="E341:K341" si="2591">E81</f>
        <v>571</v>
      </c>
      <c r="F341" s="17">
        <f t="shared" si="2591"/>
        <v>403</v>
      </c>
      <c r="G341" s="17">
        <f t="shared" si="2591"/>
        <v>553</v>
      </c>
      <c r="H341" s="17">
        <f t="shared" si="2591"/>
        <v>305</v>
      </c>
      <c r="I341" s="17">
        <f t="shared" si="2591"/>
        <v>425</v>
      </c>
      <c r="J341" s="17">
        <f t="shared" si="2591"/>
        <v>361</v>
      </c>
      <c r="K341" s="17">
        <f t="shared" si="2591"/>
        <v>490</v>
      </c>
      <c r="L341" s="17">
        <f t="shared" ref="L341:M341" si="2592">L81</f>
        <v>501</v>
      </c>
      <c r="M341" s="17">
        <f t="shared" si="2592"/>
        <v>764</v>
      </c>
      <c r="N341" s="17">
        <f t="shared" ref="N341:O341" si="2593">N81</f>
        <v>678</v>
      </c>
      <c r="O341" s="17">
        <f t="shared" si="2593"/>
        <v>926</v>
      </c>
      <c r="P341" s="17">
        <f t="shared" ref="P341:Q341" si="2594">P81</f>
        <v>1070</v>
      </c>
      <c r="Q341" s="17">
        <f t="shared" si="2594"/>
        <v>993</v>
      </c>
      <c r="R341" s="17">
        <f t="shared" ref="R341:S341" si="2595">R81</f>
        <v>1050</v>
      </c>
      <c r="S341" s="17">
        <f t="shared" si="2595"/>
        <v>1167</v>
      </c>
      <c r="T341" s="17">
        <f t="shared" ref="T341:U341" si="2596">T81</f>
        <v>1248</v>
      </c>
      <c r="U341" s="17">
        <f t="shared" si="2596"/>
        <v>1309</v>
      </c>
      <c r="V341" s="17">
        <f t="shared" ref="V341:W341" si="2597">V81</f>
        <v>1310</v>
      </c>
      <c r="W341" s="17">
        <f t="shared" si="2597"/>
        <v>1672</v>
      </c>
      <c r="X341" s="17">
        <f t="shared" ref="X341:Y341" si="2598">X81</f>
        <v>1457</v>
      </c>
      <c r="Y341" s="17">
        <f t="shared" si="2598"/>
        <v>1274</v>
      </c>
      <c r="Z341" s="17">
        <f t="shared" ref="Z341:AA341" si="2599">Z81</f>
        <v>985</v>
      </c>
      <c r="AA341" s="17">
        <f t="shared" si="2599"/>
        <v>2030</v>
      </c>
      <c r="AB341" s="17">
        <f t="shared" ref="AB341:AC341" si="2600">AB81</f>
        <v>2043</v>
      </c>
      <c r="AC341" s="17">
        <f t="shared" si="2600"/>
        <v>2663</v>
      </c>
      <c r="AD341" s="17">
        <f t="shared" ref="AD341:AE341" si="2601">AD81</f>
        <v>2305</v>
      </c>
      <c r="AE341" s="17">
        <f t="shared" si="2601"/>
        <v>2877</v>
      </c>
      <c r="AF341" s="17">
        <f t="shared" ref="AF341:AG341" si="2602">AF81</f>
        <v>1415</v>
      </c>
      <c r="AG341" s="17">
        <f t="shared" si="2602"/>
        <v>2107</v>
      </c>
      <c r="AH341" s="17">
        <f t="shared" ref="AH341:AI341" si="2603">AH81</f>
        <v>1612</v>
      </c>
      <c r="AI341" s="17">
        <f t="shared" si="2603"/>
        <v>2103</v>
      </c>
      <c r="AJ341" s="18">
        <f t="shared" ref="AJ341" si="2604">AJ81</f>
        <v>1655</v>
      </c>
      <c r="AK341" s="17">
        <f t="shared" ref="AK341" si="2605">AK81</f>
        <v>2499.8880561614696</v>
      </c>
      <c r="AL341" s="17">
        <f t="shared" ref="AL341:AM341" si="2606">AL81</f>
        <v>2129.0899562069253</v>
      </c>
      <c r="AM341" s="17">
        <f t="shared" si="2606"/>
        <v>2461.2437233183127</v>
      </c>
      <c r="AN341" s="17">
        <f t="shared" ref="AN341:AO341" si="2607">AN81</f>
        <v>2321.5542131990633</v>
      </c>
      <c r="AO341" s="17">
        <f t="shared" si="2607"/>
        <v>2753.611305163</v>
      </c>
      <c r="AP341" s="17">
        <f t="shared" ref="AP341:AQ341" si="2608">AP81</f>
        <v>2484.7365758583487</v>
      </c>
      <c r="AQ341" s="17">
        <f t="shared" si="2608"/>
        <v>2902.7994681305609</v>
      </c>
      <c r="AR341" s="17">
        <f t="shared" ref="AR341:AS341" si="2609">AR81</f>
        <v>2650.9191845037622</v>
      </c>
      <c r="AS341" s="17">
        <f t="shared" si="2609"/>
        <v>3010.9542581523465</v>
      </c>
      <c r="AU341" s="17"/>
      <c r="AV341" s="17">
        <f t="shared" ref="AV341" si="2610">AV81</f>
        <v>916</v>
      </c>
      <c r="AW341" s="17">
        <f t="shared" ref="AW341:AX341" si="2611">AW81</f>
        <v>1463</v>
      </c>
      <c r="AX341" s="17">
        <f t="shared" si="2611"/>
        <v>1803</v>
      </c>
      <c r="AY341" s="17">
        <f t="shared" ref="AY341:AZ341" si="2612">AY81</f>
        <v>871</v>
      </c>
      <c r="AZ341" s="17">
        <f t="shared" si="2612"/>
        <v>1050</v>
      </c>
      <c r="BA341" s="17">
        <f>SUM(F341:G341)</f>
        <v>956</v>
      </c>
      <c r="BB341" s="17">
        <f>SUM(H341:I341)</f>
        <v>730</v>
      </c>
      <c r="BC341" s="17">
        <f>SUM(J341:K341)</f>
        <v>851</v>
      </c>
      <c r="BD341" s="17">
        <f>SUM(L341:M341)</f>
        <v>1265</v>
      </c>
      <c r="BE341" s="17">
        <f>SUM(N341:O341)</f>
        <v>1604</v>
      </c>
      <c r="BF341" s="17">
        <f>SUM(P341:Q341)</f>
        <v>2063</v>
      </c>
      <c r="BG341" s="17">
        <f>SUM(R341:S341)</f>
        <v>2217</v>
      </c>
      <c r="BH341" s="17">
        <f>SUM(T341:U341)</f>
        <v>2557</v>
      </c>
      <c r="BI341" s="17">
        <f>SUM(V341:W341)</f>
        <v>2982</v>
      </c>
      <c r="BJ341" s="17">
        <f>SUM(X341:Y341)</f>
        <v>2731</v>
      </c>
      <c r="BK341" s="17">
        <f>SUM(Z341:AA341)</f>
        <v>3015</v>
      </c>
      <c r="BL341" s="17">
        <f>SUM(AB341:AC341)</f>
        <v>4706</v>
      </c>
      <c r="BM341" s="17">
        <f>SUM(AD341:AE341)</f>
        <v>5182</v>
      </c>
      <c r="BN341" s="17">
        <f>SUM(AF341:AG341)</f>
        <v>3522</v>
      </c>
      <c r="BO341" s="18">
        <f>SUM(AH341:AI341)</f>
        <v>3715</v>
      </c>
      <c r="BP341" s="17">
        <f>SUM(AJ341:AK341)</f>
        <v>4154.8880561614696</v>
      </c>
      <c r="BQ341" s="17">
        <f>SUM(AL341:AM341)</f>
        <v>4590.333679525238</v>
      </c>
      <c r="BR341" s="17">
        <f>SUM(AN341:AO341)</f>
        <v>5075.1655183620633</v>
      </c>
      <c r="BS341" s="17">
        <f>SUM(AP341:AQ341)</f>
        <v>5387.53604398891</v>
      </c>
      <c r="BT341" s="17">
        <f>SUM(AR341:AS341)</f>
        <v>5661.8734426561086</v>
      </c>
    </row>
    <row r="342" spans="1:72" ht="12" customHeight="1" outlineLevel="1">
      <c r="A342" s="91" t="s">
        <v>238</v>
      </c>
      <c r="B342" s="1" t="s">
        <v>129</v>
      </c>
      <c r="C342" s="19"/>
      <c r="D342" s="19">
        <f t="shared" ref="D342:K343" si="2613">D85</f>
        <v>-42</v>
      </c>
      <c r="E342" s="19">
        <f t="shared" si="2613"/>
        <v>-200</v>
      </c>
      <c r="F342" s="19">
        <f t="shared" si="2613"/>
        <v>-284</v>
      </c>
      <c r="G342" s="19">
        <f t="shared" si="2613"/>
        <v>-219</v>
      </c>
      <c r="H342" s="19">
        <f t="shared" si="2613"/>
        <v>333</v>
      </c>
      <c r="I342" s="19">
        <f t="shared" si="2613"/>
        <v>-293</v>
      </c>
      <c r="J342" s="19">
        <f t="shared" si="2613"/>
        <v>-28</v>
      </c>
      <c r="K342" s="19">
        <f t="shared" si="2613"/>
        <v>-94</v>
      </c>
      <c r="L342" s="19">
        <f t="shared" ref="L342:M342" si="2614">L85</f>
        <v>599</v>
      </c>
      <c r="M342" s="19">
        <f t="shared" si="2614"/>
        <v>13</v>
      </c>
      <c r="N342" s="19">
        <f t="shared" ref="N342:O342" si="2615">N85</f>
        <v>250</v>
      </c>
      <c r="O342" s="19">
        <f t="shared" si="2615"/>
        <v>627</v>
      </c>
      <c r="P342" s="19">
        <f t="shared" ref="P342:Q342" si="2616">P85</f>
        <v>474</v>
      </c>
      <c r="Q342" s="19">
        <f t="shared" si="2616"/>
        <v>-662</v>
      </c>
      <c r="R342" s="19">
        <f t="shared" ref="R342:S342" si="2617">R85</f>
        <v>-80</v>
      </c>
      <c r="S342" s="19">
        <f t="shared" si="2617"/>
        <v>-50</v>
      </c>
      <c r="T342" s="19">
        <f t="shared" ref="T342:U342" si="2618">T85</f>
        <v>-10</v>
      </c>
      <c r="U342" s="19">
        <f t="shared" si="2618"/>
        <v>273</v>
      </c>
      <c r="V342" s="19">
        <f t="shared" ref="V342:W342" si="2619">V85</f>
        <v>308</v>
      </c>
      <c r="W342" s="19">
        <f t="shared" si="2619"/>
        <v>114</v>
      </c>
      <c r="X342" s="19">
        <f t="shared" ref="X342:Y342" si="2620">X85</f>
        <v>338</v>
      </c>
      <c r="Y342" s="19">
        <f t="shared" si="2620"/>
        <v>892</v>
      </c>
      <c r="Z342" s="19">
        <f t="shared" ref="Z342:AA342" si="2621">Z85</f>
        <v>-1319</v>
      </c>
      <c r="AA342" s="19">
        <f t="shared" si="2621"/>
        <v>-442</v>
      </c>
      <c r="AB342" s="19">
        <f t="shared" ref="AB342:AC342" si="2622">AB85</f>
        <v>441</v>
      </c>
      <c r="AC342" s="19">
        <f t="shared" si="2622"/>
        <v>-441</v>
      </c>
      <c r="AD342" s="19">
        <f t="shared" ref="AD342:AE342" si="2623">AD85</f>
        <v>1719</v>
      </c>
      <c r="AE342" s="19">
        <f t="shared" si="2623"/>
        <v>-381</v>
      </c>
      <c r="AF342" s="19">
        <f t="shared" ref="AF342:AG342" si="2624">AF85</f>
        <v>572</v>
      </c>
      <c r="AG342" s="19">
        <f t="shared" si="2624"/>
        <v>-125</v>
      </c>
      <c r="AH342" s="19">
        <f t="shared" ref="AH342:AI342" si="2625">AH85</f>
        <v>-794</v>
      </c>
      <c r="AI342" s="19">
        <f t="shared" si="2625"/>
        <v>-40</v>
      </c>
      <c r="AJ342" s="20">
        <f t="shared" ref="AJ342" si="2626">AJ85</f>
        <v>-832</v>
      </c>
      <c r="AK342" s="19">
        <f t="shared" ref="AK342" si="2627">AK85</f>
        <v>0</v>
      </c>
      <c r="AL342" s="19">
        <f t="shared" ref="AL342:AM342" si="2628">AL85</f>
        <v>0</v>
      </c>
      <c r="AM342" s="19">
        <f t="shared" si="2628"/>
        <v>0</v>
      </c>
      <c r="AN342" s="19">
        <f t="shared" ref="AN342:AO342" si="2629">AN85</f>
        <v>0</v>
      </c>
      <c r="AO342" s="19">
        <f t="shared" si="2629"/>
        <v>0</v>
      </c>
      <c r="AP342" s="19">
        <f t="shared" ref="AP342:AQ342" si="2630">AP85</f>
        <v>0</v>
      </c>
      <c r="AQ342" s="19">
        <f t="shared" si="2630"/>
        <v>0</v>
      </c>
      <c r="AR342" s="19">
        <f t="shared" ref="AR342:AS342" si="2631">AR85</f>
        <v>0</v>
      </c>
      <c r="AS342" s="19">
        <f t="shared" si="2631"/>
        <v>0</v>
      </c>
      <c r="AU342" s="19"/>
      <c r="AV342" s="19">
        <f t="shared" ref="AV342" si="2632">AV85</f>
        <v>0</v>
      </c>
      <c r="AW342" s="19">
        <f t="shared" ref="AW342:AX342" si="2633">AW85</f>
        <v>-3</v>
      </c>
      <c r="AX342" s="19">
        <f t="shared" si="2633"/>
        <v>-109</v>
      </c>
      <c r="AY342" s="19">
        <f t="shared" ref="AY342:AZ342" si="2634">AY85</f>
        <v>21</v>
      </c>
      <c r="AZ342" s="19">
        <f t="shared" si="2634"/>
        <v>-242</v>
      </c>
      <c r="BA342" s="19">
        <f>SUM(F342:G342)</f>
        <v>-503</v>
      </c>
      <c r="BB342" s="19">
        <f>SUM(H342:I342)</f>
        <v>40</v>
      </c>
      <c r="BC342" s="19">
        <f>SUM(J342:K342)</f>
        <v>-122</v>
      </c>
      <c r="BD342" s="19">
        <f>SUM(L342:M342)</f>
        <v>612</v>
      </c>
      <c r="BE342" s="19">
        <f>SUM(N342:O342)</f>
        <v>877</v>
      </c>
      <c r="BF342" s="19">
        <f>SUM(P342:Q342)</f>
        <v>-188</v>
      </c>
      <c r="BG342" s="19">
        <f>SUM(R342:S342)</f>
        <v>-130</v>
      </c>
      <c r="BH342" s="19">
        <f>SUM(T342:U342)</f>
        <v>263</v>
      </c>
      <c r="BI342" s="19">
        <f>SUM(V342:W342)</f>
        <v>422</v>
      </c>
      <c r="BJ342" s="19">
        <f>SUM(X342:Y342)</f>
        <v>1230</v>
      </c>
      <c r="BK342" s="19">
        <f>SUM(Z342:AA342)</f>
        <v>-1761</v>
      </c>
      <c r="BL342" s="19">
        <f>SUM(AB342:AC342)</f>
        <v>0</v>
      </c>
      <c r="BM342" s="19">
        <f>SUM(AD342:AE342)</f>
        <v>1338</v>
      </c>
      <c r="BN342" s="19">
        <f>SUM(AF342:AG342)</f>
        <v>447</v>
      </c>
      <c r="BO342" s="20">
        <f>SUM(AH342:AI342)</f>
        <v>-834</v>
      </c>
      <c r="BP342" s="19">
        <f>SUM(AJ342:AK342)</f>
        <v>-832</v>
      </c>
      <c r="BQ342" s="19">
        <f>SUM(AL342:AM342)</f>
        <v>0</v>
      </c>
      <c r="BR342" s="19">
        <f>SUM(AN342:AO342)</f>
        <v>0</v>
      </c>
      <c r="BS342" s="19">
        <f>SUM(AP342:AQ342)</f>
        <v>0</v>
      </c>
      <c r="BT342" s="19">
        <f>SUM(AR342:AS342)</f>
        <v>0</v>
      </c>
    </row>
    <row r="343" spans="1:72" ht="12" customHeight="1" outlineLevel="1">
      <c r="A343" s="91" t="s">
        <v>239</v>
      </c>
      <c r="B343" s="1" t="s">
        <v>130</v>
      </c>
      <c r="C343" s="19"/>
      <c r="D343" s="19">
        <f t="shared" si="2613"/>
        <v>45</v>
      </c>
      <c r="E343" s="19">
        <f t="shared" si="2613"/>
        <v>156</v>
      </c>
      <c r="F343" s="19">
        <f t="shared" si="2613"/>
        <v>106</v>
      </c>
      <c r="G343" s="19">
        <f t="shared" si="2613"/>
        <v>142</v>
      </c>
      <c r="H343" s="19">
        <f t="shared" si="2613"/>
        <v>91</v>
      </c>
      <c r="I343" s="19">
        <f t="shared" si="2613"/>
        <v>149</v>
      </c>
      <c r="J343" s="19">
        <f t="shared" si="2613"/>
        <v>119</v>
      </c>
      <c r="K343" s="19">
        <f t="shared" si="2613"/>
        <v>138</v>
      </c>
      <c r="L343" s="19">
        <f t="shared" ref="L343:M343" si="2635">L86</f>
        <v>127</v>
      </c>
      <c r="M343" s="19">
        <f t="shared" si="2635"/>
        <v>139</v>
      </c>
      <c r="N343" s="19">
        <f t="shared" ref="N343:O343" si="2636">N86</f>
        <v>165</v>
      </c>
      <c r="O343" s="19">
        <f t="shared" si="2636"/>
        <v>1217</v>
      </c>
      <c r="P343" s="19">
        <f t="shared" ref="P343:Q343" si="2637">P86</f>
        <v>138</v>
      </c>
      <c r="Q343" s="19">
        <f t="shared" si="2637"/>
        <v>250</v>
      </c>
      <c r="R343" s="19">
        <f t="shared" ref="R343:S343" si="2638">R86</f>
        <v>233</v>
      </c>
      <c r="S343" s="19">
        <f t="shared" si="2638"/>
        <v>168</v>
      </c>
      <c r="T343" s="19">
        <f t="shared" ref="T343:U343" si="2639">T86</f>
        <v>162</v>
      </c>
      <c r="U343" s="19">
        <f t="shared" si="2639"/>
        <v>156</v>
      </c>
      <c r="V343" s="19">
        <f t="shared" ref="V343:W343" si="2640">V86</f>
        <v>128</v>
      </c>
      <c r="W343" s="19">
        <f t="shared" si="2640"/>
        <v>265</v>
      </c>
      <c r="X343" s="19">
        <f t="shared" ref="X343:Y343" si="2641">X86</f>
        <v>222</v>
      </c>
      <c r="Y343" s="19">
        <f t="shared" si="2641"/>
        <v>339</v>
      </c>
      <c r="Z343" s="19">
        <f t="shared" ref="Z343:AA343" si="2642">Z86</f>
        <v>-373</v>
      </c>
      <c r="AA343" s="19">
        <f t="shared" si="2642"/>
        <v>309</v>
      </c>
      <c r="AB343" s="19">
        <f t="shared" ref="AB343:AC343" si="2643">AB86</f>
        <v>-301</v>
      </c>
      <c r="AC343" s="19">
        <f t="shared" si="2643"/>
        <v>408</v>
      </c>
      <c r="AD343" s="19">
        <f t="shared" ref="AD343:AE343" si="2644">AD86</f>
        <v>-584</v>
      </c>
      <c r="AE343" s="19">
        <f t="shared" si="2644"/>
        <v>406</v>
      </c>
      <c r="AF343" s="19">
        <f t="shared" ref="AF343:AG343" si="2645">AF86</f>
        <v>-659</v>
      </c>
      <c r="AG343" s="19">
        <f t="shared" si="2645"/>
        <v>427</v>
      </c>
      <c r="AH343" s="19">
        <f t="shared" ref="AH343:AI343" si="2646">AH86</f>
        <v>-205</v>
      </c>
      <c r="AI343" s="19">
        <f t="shared" si="2646"/>
        <v>1989</v>
      </c>
      <c r="AJ343" s="20">
        <f t="shared" ref="AJ343" si="2647">AJ86</f>
        <v>-196</v>
      </c>
      <c r="AK343" s="19">
        <f t="shared" ref="AK343" si="2648">AK86</f>
        <v>0</v>
      </c>
      <c r="AL343" s="19">
        <f t="shared" ref="AL343:AM343" si="2649">AL86</f>
        <v>0</v>
      </c>
      <c r="AM343" s="19">
        <f t="shared" si="2649"/>
        <v>0</v>
      </c>
      <c r="AN343" s="19">
        <f t="shared" ref="AN343:AO343" si="2650">AN86</f>
        <v>0</v>
      </c>
      <c r="AO343" s="19">
        <f t="shared" si="2650"/>
        <v>0</v>
      </c>
      <c r="AP343" s="19">
        <f t="shared" ref="AP343:AQ343" si="2651">AP86</f>
        <v>0</v>
      </c>
      <c r="AQ343" s="19">
        <f t="shared" si="2651"/>
        <v>0</v>
      </c>
      <c r="AR343" s="19">
        <f t="shared" ref="AR343:AS343" si="2652">AR86</f>
        <v>0</v>
      </c>
      <c r="AS343" s="19">
        <f t="shared" si="2652"/>
        <v>0</v>
      </c>
      <c r="AU343" s="19"/>
      <c r="AV343" s="19">
        <f t="shared" ref="AV343" si="2653">AV86</f>
        <v>185</v>
      </c>
      <c r="AW343" s="19">
        <f t="shared" ref="AW343:AX343" si="2654">AW86</f>
        <v>73</v>
      </c>
      <c r="AX343" s="19">
        <f t="shared" si="2654"/>
        <v>270</v>
      </c>
      <c r="AY343" s="19">
        <f t="shared" ref="AY343:AZ343" si="2655">AY86</f>
        <v>75</v>
      </c>
      <c r="AZ343" s="19">
        <f t="shared" si="2655"/>
        <v>201</v>
      </c>
      <c r="BA343" s="19">
        <f>SUM(F343:G343)</f>
        <v>248</v>
      </c>
      <c r="BB343" s="19">
        <f>SUM(H343:I343)</f>
        <v>240</v>
      </c>
      <c r="BC343" s="19">
        <f>SUM(J343:K343)</f>
        <v>257</v>
      </c>
      <c r="BD343" s="19">
        <f>SUM(L343:M343)</f>
        <v>266</v>
      </c>
      <c r="BE343" s="19">
        <f>SUM(N343:O343)</f>
        <v>1382</v>
      </c>
      <c r="BF343" s="19">
        <f>SUM(P343:Q343)</f>
        <v>388</v>
      </c>
      <c r="BG343" s="19">
        <f>SUM(R343:S343)</f>
        <v>401</v>
      </c>
      <c r="BH343" s="19">
        <f>SUM(T343:U343)</f>
        <v>318</v>
      </c>
      <c r="BI343" s="19">
        <f>SUM(V343:W343)</f>
        <v>393</v>
      </c>
      <c r="BJ343" s="19">
        <f>SUM(X343:Y343)</f>
        <v>561</v>
      </c>
      <c r="BK343" s="19">
        <f>SUM(Z343:AA343)</f>
        <v>-64</v>
      </c>
      <c r="BL343" s="19">
        <f>SUM(AB343:AC343)</f>
        <v>107</v>
      </c>
      <c r="BM343" s="19">
        <f>SUM(AD343:AE343)</f>
        <v>-178</v>
      </c>
      <c r="BN343" s="19">
        <f>SUM(AF343:AG343)</f>
        <v>-232</v>
      </c>
      <c r="BO343" s="20">
        <f>SUM(AH343:AI343)</f>
        <v>1784</v>
      </c>
      <c r="BP343" s="19">
        <f>SUM(AJ343:AK343)</f>
        <v>-196</v>
      </c>
      <c r="BQ343" s="19">
        <f>SUM(AL343:AM343)</f>
        <v>0</v>
      </c>
      <c r="BR343" s="19">
        <f>SUM(AN343:AO343)</f>
        <v>0</v>
      </c>
      <c r="BS343" s="19">
        <f>SUM(AP343:AQ343)</f>
        <v>0</v>
      </c>
      <c r="BT343" s="19">
        <f>SUM(AR343:AS343)</f>
        <v>0</v>
      </c>
    </row>
    <row r="344" spans="1:72" ht="12" customHeight="1" outlineLevel="1">
      <c r="A344" s="91" t="s">
        <v>242</v>
      </c>
      <c r="B344" s="1" t="s">
        <v>131</v>
      </c>
      <c r="C344" s="19"/>
      <c r="D344" s="19">
        <f>D87+D83</f>
        <v>316</v>
      </c>
      <c r="E344" s="19">
        <f t="shared" ref="E344:K344" si="2656">E87+E83</f>
        <v>27</v>
      </c>
      <c r="F344" s="19">
        <f t="shared" si="2656"/>
        <v>162</v>
      </c>
      <c r="G344" s="19">
        <f t="shared" si="2656"/>
        <v>123</v>
      </c>
      <c r="H344" s="19">
        <f t="shared" si="2656"/>
        <v>-183</v>
      </c>
      <c r="I344" s="19">
        <f t="shared" si="2656"/>
        <v>-105</v>
      </c>
      <c r="J344" s="19">
        <f t="shared" si="2656"/>
        <v>82</v>
      </c>
      <c r="K344" s="19">
        <f t="shared" si="2656"/>
        <v>131</v>
      </c>
      <c r="L344" s="19">
        <f t="shared" ref="L344:M344" si="2657">L87+L83</f>
        <v>223</v>
      </c>
      <c r="M344" s="19">
        <f t="shared" si="2657"/>
        <v>-116</v>
      </c>
      <c r="N344" s="19">
        <f t="shared" ref="N344:O344" si="2658">N87+N83</f>
        <v>-46</v>
      </c>
      <c r="O344" s="19">
        <f t="shared" si="2658"/>
        <v>34</v>
      </c>
      <c r="P344" s="19">
        <f t="shared" ref="P344:Q344" si="2659">P87+P83</f>
        <v>83</v>
      </c>
      <c r="Q344" s="19">
        <f t="shared" si="2659"/>
        <v>-80</v>
      </c>
      <c r="R344" s="19">
        <f t="shared" ref="R344:S344" si="2660">R87+R83</f>
        <v>-150</v>
      </c>
      <c r="S344" s="19">
        <f t="shared" si="2660"/>
        <v>3</v>
      </c>
      <c r="T344" s="19">
        <f t="shared" ref="T344:U344" si="2661">T87+T83</f>
        <v>-281</v>
      </c>
      <c r="U344" s="19">
        <f t="shared" si="2661"/>
        <v>-41</v>
      </c>
      <c r="V344" s="19">
        <f t="shared" ref="V344:W344" si="2662">V87+V83</f>
        <v>0</v>
      </c>
      <c r="W344" s="19">
        <f t="shared" si="2662"/>
        <v>-120</v>
      </c>
      <c r="X344" s="19">
        <f t="shared" ref="X344:Y344" si="2663">X87+X83</f>
        <v>0</v>
      </c>
      <c r="Y344" s="19">
        <f t="shared" si="2663"/>
        <v>-175</v>
      </c>
      <c r="Z344" s="19">
        <f t="shared" ref="Z344:AA344" si="2664">Z87+Z83</f>
        <v>-6</v>
      </c>
      <c r="AA344" s="19">
        <f t="shared" si="2664"/>
        <v>85</v>
      </c>
      <c r="AB344" s="19">
        <f t="shared" ref="AB344:AC344" si="2665">AB87+AB83</f>
        <v>-14</v>
      </c>
      <c r="AC344" s="19">
        <f t="shared" si="2665"/>
        <v>25</v>
      </c>
      <c r="AD344" s="19">
        <f t="shared" ref="AD344:AE344" si="2666">AD87+AD83</f>
        <v>190</v>
      </c>
      <c r="AE344" s="19">
        <f t="shared" si="2666"/>
        <v>72</v>
      </c>
      <c r="AF344" s="19">
        <f t="shared" ref="AF344:AG344" si="2667">AF87+AF83</f>
        <v>-98</v>
      </c>
      <c r="AG344" s="19">
        <f t="shared" si="2667"/>
        <v>47</v>
      </c>
      <c r="AH344" s="19">
        <f t="shared" ref="AH344:AI344" si="2668">AH87+AH83</f>
        <v>39</v>
      </c>
      <c r="AI344" s="19">
        <f t="shared" si="2668"/>
        <v>-8</v>
      </c>
      <c r="AJ344" s="20">
        <f t="shared" ref="AJ344" si="2669">AJ87+AJ83</f>
        <v>58</v>
      </c>
      <c r="AK344" s="19">
        <f t="shared" ref="AK344" si="2670">AK87+AK83</f>
        <v>0</v>
      </c>
      <c r="AL344" s="19">
        <f t="shared" ref="AL344:AM344" si="2671">AL87+AL83</f>
        <v>0</v>
      </c>
      <c r="AM344" s="19">
        <f t="shared" si="2671"/>
        <v>0</v>
      </c>
      <c r="AN344" s="19">
        <f t="shared" ref="AN344:AO344" si="2672">AN87+AN83</f>
        <v>0</v>
      </c>
      <c r="AO344" s="19">
        <f t="shared" si="2672"/>
        <v>0</v>
      </c>
      <c r="AP344" s="19">
        <f t="shared" ref="AP344:AQ344" si="2673">AP87+AP83</f>
        <v>0</v>
      </c>
      <c r="AQ344" s="19">
        <f t="shared" si="2673"/>
        <v>0</v>
      </c>
      <c r="AR344" s="19">
        <f t="shared" ref="AR344:AS344" si="2674">AR87+AR83</f>
        <v>0</v>
      </c>
      <c r="AS344" s="19">
        <f t="shared" si="2674"/>
        <v>0</v>
      </c>
      <c r="AU344" s="19"/>
      <c r="AV344" s="19">
        <f t="shared" ref="AV344" si="2675">AV87+AV83</f>
        <v>80</v>
      </c>
      <c r="AW344" s="19">
        <f t="shared" ref="AW344:AX344" si="2676">AW87+AW83</f>
        <v>73</v>
      </c>
      <c r="AX344" s="19">
        <f t="shared" si="2676"/>
        <v>13</v>
      </c>
      <c r="AY344" s="19">
        <f t="shared" ref="AY344:AZ344" si="2677">AY87+AY83</f>
        <v>-535</v>
      </c>
      <c r="AZ344" s="19">
        <f t="shared" si="2677"/>
        <v>343</v>
      </c>
      <c r="BA344" s="19">
        <f>SUM(F344:G344)</f>
        <v>285</v>
      </c>
      <c r="BB344" s="19">
        <f>SUM(H344:I344)</f>
        <v>-288</v>
      </c>
      <c r="BC344" s="19">
        <f>SUM(J344:K344)</f>
        <v>213</v>
      </c>
      <c r="BD344" s="19">
        <f>SUM(L344:M344)</f>
        <v>107</v>
      </c>
      <c r="BE344" s="19">
        <f>SUM(N344:O344)</f>
        <v>-12</v>
      </c>
      <c r="BF344" s="19">
        <f>SUM(P344:Q344)</f>
        <v>3</v>
      </c>
      <c r="BG344" s="19">
        <f>SUM(R344:S344)</f>
        <v>-147</v>
      </c>
      <c r="BH344" s="19">
        <f>SUM(T344:U344)</f>
        <v>-322</v>
      </c>
      <c r="BI344" s="19">
        <f>SUM(V344:W344)</f>
        <v>-120</v>
      </c>
      <c r="BJ344" s="19">
        <f>SUM(X344:Y344)</f>
        <v>-175</v>
      </c>
      <c r="BK344" s="19">
        <f>SUM(Z344:AA344)</f>
        <v>79</v>
      </c>
      <c r="BL344" s="19">
        <f>SUM(AB344:AC344)</f>
        <v>11</v>
      </c>
      <c r="BM344" s="19">
        <f>SUM(AD344:AE344)</f>
        <v>262</v>
      </c>
      <c r="BN344" s="19">
        <f>SUM(AF344:AG344)</f>
        <v>-51</v>
      </c>
      <c r="BO344" s="20">
        <f>SUM(AH344:AI344)</f>
        <v>31</v>
      </c>
      <c r="BP344" s="19">
        <f>SUM(AJ344:AK344)</f>
        <v>58</v>
      </c>
      <c r="BQ344" s="19">
        <f>SUM(AL344:AM344)</f>
        <v>0</v>
      </c>
      <c r="BR344" s="19">
        <f>SUM(AN344:AO344)</f>
        <v>0</v>
      </c>
      <c r="BS344" s="19">
        <f>SUM(AP344:AQ344)</f>
        <v>0</v>
      </c>
      <c r="BT344" s="19">
        <f>SUM(AR344:AS344)</f>
        <v>0</v>
      </c>
    </row>
    <row r="345" spans="1:72" s="9" customFormat="1" ht="12" customHeight="1" outlineLevel="1">
      <c r="A345" s="91" t="s">
        <v>240</v>
      </c>
      <c r="B345" s="9" t="s">
        <v>222</v>
      </c>
      <c r="C345" s="17"/>
      <c r="D345" s="17">
        <f>D341+D342+D343+D344</f>
        <v>798</v>
      </c>
      <c r="E345" s="17">
        <f t="shared" ref="E345:K345" si="2678">E341+E342+E343+E344</f>
        <v>554</v>
      </c>
      <c r="F345" s="17">
        <f t="shared" si="2678"/>
        <v>387</v>
      </c>
      <c r="G345" s="17">
        <f t="shared" si="2678"/>
        <v>599</v>
      </c>
      <c r="H345" s="17">
        <f t="shared" si="2678"/>
        <v>546</v>
      </c>
      <c r="I345" s="17">
        <f t="shared" si="2678"/>
        <v>176</v>
      </c>
      <c r="J345" s="17">
        <f t="shared" si="2678"/>
        <v>534</v>
      </c>
      <c r="K345" s="17">
        <f t="shared" si="2678"/>
        <v>665</v>
      </c>
      <c r="L345" s="17">
        <f t="shared" ref="L345:M345" si="2679">L341+L342+L343+L344</f>
        <v>1450</v>
      </c>
      <c r="M345" s="17">
        <f t="shared" si="2679"/>
        <v>800</v>
      </c>
      <c r="N345" s="17">
        <f t="shared" ref="N345:O345" si="2680">N341+N342+N343+N344</f>
        <v>1047</v>
      </c>
      <c r="O345" s="17">
        <f t="shared" si="2680"/>
        <v>2804</v>
      </c>
      <c r="P345" s="17">
        <f t="shared" ref="P345:Q345" si="2681">P341+P342+P343+P344</f>
        <v>1765</v>
      </c>
      <c r="Q345" s="17">
        <f t="shared" si="2681"/>
        <v>501</v>
      </c>
      <c r="R345" s="17">
        <f t="shared" ref="R345:S345" si="2682">R341+R342+R343+R344</f>
        <v>1053</v>
      </c>
      <c r="S345" s="17">
        <f t="shared" si="2682"/>
        <v>1288</v>
      </c>
      <c r="T345" s="17">
        <f t="shared" ref="T345:U345" si="2683">T341+T342+T343+T344</f>
        <v>1119</v>
      </c>
      <c r="U345" s="17">
        <f t="shared" si="2683"/>
        <v>1697</v>
      </c>
      <c r="V345" s="17">
        <f t="shared" ref="V345:W345" si="2684">V341+V342+V343+V344</f>
        <v>1746</v>
      </c>
      <c r="W345" s="17">
        <f t="shared" si="2684"/>
        <v>1931</v>
      </c>
      <c r="X345" s="17">
        <f t="shared" ref="X345:Y345" si="2685">X341+X342+X343+X344</f>
        <v>2017</v>
      </c>
      <c r="Y345" s="17">
        <f t="shared" si="2685"/>
        <v>2330</v>
      </c>
      <c r="Z345" s="17">
        <f t="shared" ref="Z345:AA345" si="2686">Z341+Z342+Z343+Z344</f>
        <v>-713</v>
      </c>
      <c r="AA345" s="17">
        <f t="shared" si="2686"/>
        <v>1982</v>
      </c>
      <c r="AB345" s="17">
        <f t="shared" ref="AB345:AC345" si="2687">AB341+AB342+AB343+AB344</f>
        <v>2169</v>
      </c>
      <c r="AC345" s="17">
        <f t="shared" si="2687"/>
        <v>2655</v>
      </c>
      <c r="AD345" s="17">
        <f t="shared" ref="AD345:AE345" si="2688">AD341+AD342+AD343+AD344</f>
        <v>3630</v>
      </c>
      <c r="AE345" s="17">
        <f t="shared" si="2688"/>
        <v>2974</v>
      </c>
      <c r="AF345" s="17">
        <f t="shared" ref="AF345:AG345" si="2689">AF341+AF342+AF343+AF344</f>
        <v>1230</v>
      </c>
      <c r="AG345" s="17">
        <f t="shared" si="2689"/>
        <v>2456</v>
      </c>
      <c r="AH345" s="17">
        <f t="shared" ref="AH345:AI345" si="2690">AH341+AH342+AH343+AH344</f>
        <v>652</v>
      </c>
      <c r="AI345" s="17">
        <f t="shared" si="2690"/>
        <v>4044</v>
      </c>
      <c r="AJ345" s="18">
        <f t="shared" ref="AJ345" si="2691">AJ341+AJ342+AJ343+AJ344</f>
        <v>685</v>
      </c>
      <c r="AK345" s="17">
        <f t="shared" ref="AK345" si="2692">AK341+AK342+AK343+AK344</f>
        <v>2499.8880561614696</v>
      </c>
      <c r="AL345" s="17">
        <f t="shared" ref="AL345:AM345" si="2693">AL341+AL342+AL343+AL344</f>
        <v>2129.0899562069253</v>
      </c>
      <c r="AM345" s="17">
        <f t="shared" si="2693"/>
        <v>2461.2437233183127</v>
      </c>
      <c r="AN345" s="17">
        <f t="shared" ref="AN345:AO345" si="2694">AN341+AN342+AN343+AN344</f>
        <v>2321.5542131990633</v>
      </c>
      <c r="AO345" s="17">
        <f t="shared" si="2694"/>
        <v>2753.611305163</v>
      </c>
      <c r="AP345" s="17">
        <f t="shared" ref="AP345:AQ345" si="2695">AP341+AP342+AP343+AP344</f>
        <v>2484.7365758583487</v>
      </c>
      <c r="AQ345" s="17">
        <f t="shared" si="2695"/>
        <v>2902.7994681305609</v>
      </c>
      <c r="AR345" s="17">
        <f t="shared" ref="AR345:AS345" si="2696">AR341+AR342+AR343+AR344</f>
        <v>2650.9191845037622</v>
      </c>
      <c r="AS345" s="17">
        <f t="shared" si="2696"/>
        <v>3010.9542581523465</v>
      </c>
      <c r="AU345" s="17"/>
      <c r="AV345" s="17">
        <f t="shared" ref="AV345" si="2697">AV341+AV342+AV343+AV344</f>
        <v>1181</v>
      </c>
      <c r="AW345" s="17">
        <f t="shared" ref="AW345:AX345" si="2698">AW341+AW342+AW343+AW344</f>
        <v>1606</v>
      </c>
      <c r="AX345" s="17">
        <f t="shared" si="2698"/>
        <v>1977</v>
      </c>
      <c r="AY345" s="17">
        <f t="shared" ref="AY345:AZ345" si="2699">AY341+AY342+AY343+AY344</f>
        <v>432</v>
      </c>
      <c r="AZ345" s="17">
        <f t="shared" si="2699"/>
        <v>1352</v>
      </c>
      <c r="BA345" s="17">
        <f t="shared" ref="BA345:BH345" si="2700">BA341+BA342+BA343+BA344</f>
        <v>986</v>
      </c>
      <c r="BB345" s="17">
        <f t="shared" si="2700"/>
        <v>722</v>
      </c>
      <c r="BC345" s="17">
        <f t="shared" si="2700"/>
        <v>1199</v>
      </c>
      <c r="BD345" s="17">
        <f t="shared" si="2700"/>
        <v>2250</v>
      </c>
      <c r="BE345" s="17">
        <f t="shared" si="2700"/>
        <v>3851</v>
      </c>
      <c r="BF345" s="17">
        <f t="shared" si="2700"/>
        <v>2266</v>
      </c>
      <c r="BG345" s="17">
        <f t="shared" si="2700"/>
        <v>2341</v>
      </c>
      <c r="BH345" s="17">
        <f t="shared" si="2700"/>
        <v>2816</v>
      </c>
      <c r="BI345" s="17">
        <f t="shared" ref="BI345" si="2701">BI341+BI342+BI343+BI344</f>
        <v>3677</v>
      </c>
      <c r="BJ345" s="17">
        <f t="shared" ref="BJ345:BO345" si="2702">BJ341+BJ342+BJ343+BJ344</f>
        <v>4347</v>
      </c>
      <c r="BK345" s="17">
        <f t="shared" si="2702"/>
        <v>1269</v>
      </c>
      <c r="BL345" s="17">
        <f t="shared" si="2702"/>
        <v>4824</v>
      </c>
      <c r="BM345" s="17">
        <f t="shared" si="2702"/>
        <v>6604</v>
      </c>
      <c r="BN345" s="17">
        <f t="shared" si="2702"/>
        <v>3686</v>
      </c>
      <c r="BO345" s="18">
        <f t="shared" si="2702"/>
        <v>4696</v>
      </c>
      <c r="BP345" s="17">
        <f t="shared" ref="BP345:BQ345" si="2703">BP341+BP342+BP343+BP344</f>
        <v>3184.8880561614696</v>
      </c>
      <c r="BQ345" s="17">
        <f t="shared" si="2703"/>
        <v>4590.333679525238</v>
      </c>
      <c r="BR345" s="17">
        <f t="shared" ref="BR345:BS345" si="2704">BR341+BR342+BR343+BR344</f>
        <v>5075.1655183620633</v>
      </c>
      <c r="BS345" s="17">
        <f t="shared" si="2704"/>
        <v>5387.53604398891</v>
      </c>
      <c r="BT345" s="17">
        <f>BT341+BT342+BT343+BT344</f>
        <v>5661.8734426561086</v>
      </c>
    </row>
    <row r="346" spans="1:72" ht="12" customHeight="1" outlineLevel="1">
      <c r="A346" s="91" t="s">
        <v>241</v>
      </c>
      <c r="B346" s="1" t="s">
        <v>223</v>
      </c>
      <c r="C346" s="19"/>
      <c r="D346" s="19">
        <f>C316-D316</f>
        <v>-3552.4500000000003</v>
      </c>
      <c r="E346" s="19">
        <f t="shared" ref="E346:I346" si="2705">D316-E316</f>
        <v>-352.52250000000004</v>
      </c>
      <c r="F346" s="19">
        <f t="shared" si="2705"/>
        <v>-524.70000000000027</v>
      </c>
      <c r="G346" s="19">
        <f t="shared" si="2705"/>
        <v>-140.82749999999942</v>
      </c>
      <c r="H346" s="19">
        <f t="shared" si="2705"/>
        <v>-181.58250000000044</v>
      </c>
      <c r="I346" s="19">
        <f t="shared" si="2705"/>
        <v>123.91499999999996</v>
      </c>
      <c r="J346" s="19">
        <f>I316-J316</f>
        <v>7.3425000000006548</v>
      </c>
      <c r="K346" s="19">
        <f t="shared" ref="K346" si="2706">J316-K316</f>
        <v>-194.94750000000022</v>
      </c>
      <c r="L346" s="19">
        <f t="shared" ref="L346:AJ346" si="2707">K316-L316</f>
        <v>-368.85750000000007</v>
      </c>
      <c r="M346" s="19">
        <f t="shared" si="2707"/>
        <v>-235.45499999999993</v>
      </c>
      <c r="N346" s="19">
        <f t="shared" si="2707"/>
        <v>-525.07000000000062</v>
      </c>
      <c r="O346" s="19">
        <f t="shared" si="2707"/>
        <v>-1407.2600000000002</v>
      </c>
      <c r="P346" s="19">
        <f t="shared" si="2707"/>
        <v>-460.10499999999956</v>
      </c>
      <c r="Q346" s="19">
        <f t="shared" si="2707"/>
        <v>-162.52000000000044</v>
      </c>
      <c r="R346" s="19">
        <f t="shared" si="2707"/>
        <v>19.210000000000036</v>
      </c>
      <c r="S346" s="19">
        <f t="shared" si="2707"/>
        <v>304.47000000000025</v>
      </c>
      <c r="T346" s="19">
        <f t="shared" si="2707"/>
        <v>-863.01499999999942</v>
      </c>
      <c r="U346" s="19">
        <f t="shared" si="2707"/>
        <v>-199.97500000000036</v>
      </c>
      <c r="V346" s="19">
        <f t="shared" si="2707"/>
        <v>-405.64999999999964</v>
      </c>
      <c r="W346" s="19">
        <f t="shared" si="2707"/>
        <v>1755.8850000000002</v>
      </c>
      <c r="X346" s="19">
        <f t="shared" si="2707"/>
        <v>-1004.625</v>
      </c>
      <c r="Y346" s="19">
        <f t="shared" si="2707"/>
        <v>-714.97000000000116</v>
      </c>
      <c r="Z346" s="19">
        <f t="shared" si="2707"/>
        <v>650.84500000000116</v>
      </c>
      <c r="AA346" s="19">
        <f t="shared" si="2707"/>
        <v>-497.13500000000022</v>
      </c>
      <c r="AB346" s="19">
        <f t="shared" si="2707"/>
        <v>-2078.8850000000002</v>
      </c>
      <c r="AC346" s="19">
        <f t="shared" si="2707"/>
        <v>-1401.9149999999991</v>
      </c>
      <c r="AD346" s="19">
        <f t="shared" si="2707"/>
        <v>-453.81500000000051</v>
      </c>
      <c r="AE346" s="19">
        <f t="shared" si="2707"/>
        <v>131.04000000000087</v>
      </c>
      <c r="AF346" s="19">
        <f t="shared" si="2707"/>
        <v>-429.01500000000124</v>
      </c>
      <c r="AG346" s="19">
        <f t="shared" si="2707"/>
        <v>-375.89999999999964</v>
      </c>
      <c r="AH346" s="19">
        <f t="shared" si="2707"/>
        <v>-840</v>
      </c>
      <c r="AI346" s="19">
        <f t="shared" si="2707"/>
        <v>-1304.5200000000004</v>
      </c>
      <c r="AJ346" s="20">
        <f t="shared" si="2707"/>
        <v>-357.94499999999971</v>
      </c>
      <c r="AK346" s="19">
        <f t="shared" ref="AK346" si="2708">AJ316-AK316</f>
        <v>-1667.1313458775385</v>
      </c>
      <c r="AL346" s="19">
        <f t="shared" ref="AL346" si="2709">AK316-AL316</f>
        <v>-210.73347035063853</v>
      </c>
      <c r="AM346" s="19">
        <f t="shared" ref="AM346" si="2710">AL316-AM316</f>
        <v>-278.84284156149079</v>
      </c>
      <c r="AN346" s="19">
        <f t="shared" ref="AN346" si="2711">AM316-AN316</f>
        <v>-544.34421834839304</v>
      </c>
      <c r="AO346" s="19">
        <f t="shared" ref="AO346" si="2712">AN316-AO316</f>
        <v>-480.06214819162415</v>
      </c>
      <c r="AP346" s="19">
        <f t="shared" ref="AP346" si="2713">AO316-AP316</f>
        <v>-902.81114014032573</v>
      </c>
      <c r="AQ346" s="19">
        <f t="shared" ref="AQ346" si="2714">AP316-AQ316</f>
        <v>-936.91557393770927</v>
      </c>
      <c r="AR346" s="19">
        <f t="shared" ref="AR346" si="2715">AQ316-AR316</f>
        <v>-972.09559174143214</v>
      </c>
      <c r="AS346" s="19">
        <f t="shared" ref="AS346" si="2716">AR316-AS316</f>
        <v>-1028.389717600945</v>
      </c>
      <c r="AU346" s="19"/>
      <c r="AV346" s="19">
        <f t="shared" ref="AV346:AW346" si="2717">AU316-AV316</f>
        <v>-740.84999999999991</v>
      </c>
      <c r="AW346" s="19">
        <f t="shared" si="2717"/>
        <v>-877.38750000000027</v>
      </c>
      <c r="AX346" s="19">
        <f t="shared" ref="AX346" si="2718">AW316-AX316</f>
        <v>124.74000000000024</v>
      </c>
      <c r="AY346" s="19">
        <f t="shared" ref="AY346:AZ346" si="2719">AX316-AY316</f>
        <v>91.492499999999836</v>
      </c>
      <c r="AZ346" s="19">
        <f t="shared" si="2719"/>
        <v>-871.86000000000013</v>
      </c>
      <c r="BA346" s="19">
        <f>SUM(F346:G346)</f>
        <v>-665.52749999999969</v>
      </c>
      <c r="BB346" s="19">
        <f>SUM(H346:I346)</f>
        <v>-57.667500000000473</v>
      </c>
      <c r="BC346" s="19">
        <f>SUM(J346:K346)</f>
        <v>-187.60499999999956</v>
      </c>
      <c r="BD346" s="19">
        <f>SUM(L346:M346)</f>
        <v>-604.3125</v>
      </c>
      <c r="BE346" s="19">
        <f>SUM(N346:O346)</f>
        <v>-1932.3300000000008</v>
      </c>
      <c r="BF346" s="19">
        <f>SUM(P346:Q346)</f>
        <v>-622.625</v>
      </c>
      <c r="BG346" s="19">
        <f>SUM(R346:S346)</f>
        <v>323.68000000000029</v>
      </c>
      <c r="BH346" s="19">
        <f>SUM(T346:U346)</f>
        <v>-1062.9899999999998</v>
      </c>
      <c r="BI346" s="19">
        <f>SUM(V346:W346)</f>
        <v>1350.2350000000006</v>
      </c>
      <c r="BJ346" s="19">
        <f>SUM(X346:Y346)</f>
        <v>-1719.5950000000012</v>
      </c>
      <c r="BK346" s="19">
        <f>SUM(Z346:AA346)</f>
        <v>153.71000000000095</v>
      </c>
      <c r="BL346" s="19">
        <f>SUM(AB346:AC346)</f>
        <v>-3480.7999999999993</v>
      </c>
      <c r="BM346" s="19">
        <f>SUM(AD346:AE346)</f>
        <v>-322.77499999999964</v>
      </c>
      <c r="BN346" s="19">
        <f>SUM(AF346:AG346)</f>
        <v>-804.91500000000087</v>
      </c>
      <c r="BO346" s="20">
        <f>SUM(AH346:AI346)</f>
        <v>-2144.5200000000004</v>
      </c>
      <c r="BP346" s="19">
        <f>SUM(AJ346:AK346)</f>
        <v>-2025.0763458775382</v>
      </c>
      <c r="BQ346" s="19">
        <f>SUM(AL346:AM346)</f>
        <v>-489.57631191212931</v>
      </c>
      <c r="BR346" s="19">
        <f>SUM(AN346:AO346)</f>
        <v>-1024.4063665400172</v>
      </c>
      <c r="BS346" s="19">
        <f>SUM(AP346:AQ346)</f>
        <v>-1839.726714078035</v>
      </c>
      <c r="BT346" s="19">
        <f>SUM(AR346:AS346)</f>
        <v>-2000.4853093423771</v>
      </c>
    </row>
    <row r="347" spans="1:72" ht="12" customHeight="1" outlineLevel="1">
      <c r="A347" s="91" t="s">
        <v>245</v>
      </c>
      <c r="B347" s="1" t="s">
        <v>224</v>
      </c>
      <c r="C347" s="19"/>
      <c r="D347" s="19">
        <f>(C337+C317)-(D337+D317)</f>
        <v>-2086</v>
      </c>
      <c r="E347" s="19">
        <f t="shared" ref="E347:I347" si="2720">(D337+D317)-(E337+E317)</f>
        <v>-8</v>
      </c>
      <c r="F347" s="19">
        <f t="shared" si="2720"/>
        <v>-234</v>
      </c>
      <c r="G347" s="19">
        <f t="shared" si="2720"/>
        <v>-357</v>
      </c>
      <c r="H347" s="19">
        <f t="shared" si="2720"/>
        <v>137</v>
      </c>
      <c r="I347" s="19">
        <f t="shared" si="2720"/>
        <v>-156</v>
      </c>
      <c r="J347" s="19">
        <f>(I337+I317)-(J337+J317)</f>
        <v>-142</v>
      </c>
      <c r="K347" s="19">
        <f t="shared" ref="K347" si="2721">(J337+J317)-(K337+K317)</f>
        <v>-288</v>
      </c>
      <c r="L347" s="19">
        <f t="shared" ref="L347:AH347" si="2722">(K337+K317)-(L337+L317)</f>
        <v>-294</v>
      </c>
      <c r="M347" s="19">
        <f t="shared" si="2722"/>
        <v>605</v>
      </c>
      <c r="N347" s="19">
        <f t="shared" si="2722"/>
        <v>-165</v>
      </c>
      <c r="O347" s="19">
        <f t="shared" si="2722"/>
        <v>-228</v>
      </c>
      <c r="P347" s="19">
        <f t="shared" si="2722"/>
        <v>-376</v>
      </c>
      <c r="Q347" s="19">
        <f t="shared" si="2722"/>
        <v>576</v>
      </c>
      <c r="R347" s="19">
        <f t="shared" si="2722"/>
        <v>3</v>
      </c>
      <c r="S347" s="19">
        <f t="shared" si="2722"/>
        <v>-288</v>
      </c>
      <c r="T347" s="19">
        <f t="shared" si="2722"/>
        <v>-737</v>
      </c>
      <c r="U347" s="19">
        <f t="shared" si="2722"/>
        <v>-506</v>
      </c>
      <c r="V347" s="19">
        <f t="shared" si="2722"/>
        <v>-1039</v>
      </c>
      <c r="W347" s="19">
        <f t="shared" si="2722"/>
        <v>-1570</v>
      </c>
      <c r="X347" s="19">
        <f t="shared" si="2722"/>
        <v>-637</v>
      </c>
      <c r="Y347" s="19">
        <f t="shared" si="2722"/>
        <v>359</v>
      </c>
      <c r="Z347" s="19">
        <f t="shared" si="2722"/>
        <v>1503</v>
      </c>
      <c r="AA347" s="19">
        <f t="shared" si="2722"/>
        <v>-1390</v>
      </c>
      <c r="AB347" s="19">
        <f t="shared" si="2722"/>
        <v>-1117</v>
      </c>
      <c r="AC347" s="19">
        <f t="shared" si="2722"/>
        <v>-450</v>
      </c>
      <c r="AD347" s="19">
        <f t="shared" si="2722"/>
        <v>-1393</v>
      </c>
      <c r="AE347" s="19">
        <f t="shared" si="2722"/>
        <v>-122</v>
      </c>
      <c r="AF347" s="19">
        <f t="shared" si="2722"/>
        <v>-1124</v>
      </c>
      <c r="AG347" s="19">
        <f t="shared" si="2722"/>
        <v>32</v>
      </c>
      <c r="AH347" s="19">
        <f t="shared" si="2722"/>
        <v>172</v>
      </c>
      <c r="AI347" s="19">
        <f>(AH337+AH317)-(AI337+AI317)</f>
        <v>-1496</v>
      </c>
      <c r="AJ347" s="20">
        <f>(AI337+AI317)-(AJ337+AJ317)</f>
        <v>-795</v>
      </c>
      <c r="AK347" s="19">
        <f>(AJ337+AJ317)-(AK337+AK317)</f>
        <v>-767.12223363928206</v>
      </c>
      <c r="AL347" s="19">
        <f t="shared" ref="AL347" si="2723">(AK337+AK317)-(AL337+AL317)</f>
        <v>-607.32683869929497</v>
      </c>
      <c r="AM347" s="19">
        <f t="shared" ref="AM347" si="2724">(AL337+AL317)-(AM337+AM317)</f>
        <v>-511.60550271139437</v>
      </c>
      <c r="AN347" s="19">
        <f t="shared" ref="AN347" si="2725">(AM337+AM317)-(AN337+AN317)</f>
        <v>-319.59253746278409</v>
      </c>
      <c r="AO347" s="19">
        <f t="shared" ref="AO347" si="2726">(AN337+AN317)-(AO337+AO317)</f>
        <v>-312.86778508609314</v>
      </c>
      <c r="AP347" s="19">
        <f t="shared" ref="AP347" si="2727">(AO337+AO317)-(AP337+AP317)</f>
        <v>-303.43614745106606</v>
      </c>
      <c r="AQ347" s="19">
        <f t="shared" ref="AQ347" si="2728">(AP337+AP317)-(AQ337+AQ317)</f>
        <v>-253.55879297959109</v>
      </c>
      <c r="AR347" s="19">
        <f t="shared" ref="AR347" si="2729">(AQ337+AQ317)-(AR337+AR317)</f>
        <v>-206.60330725393578</v>
      </c>
      <c r="AS347" s="19">
        <f t="shared" ref="AS347" si="2730">(AR337+AR317)-(AS337+AS317)</f>
        <v>-223.18233577064893</v>
      </c>
      <c r="AU347" s="19"/>
      <c r="AV347" s="19">
        <f t="shared" ref="AV347:AW347" si="2731">(AU337+AU317)-(AV337+AV317)</f>
        <v>0</v>
      </c>
      <c r="AW347" s="19">
        <f t="shared" si="2731"/>
        <v>0</v>
      </c>
      <c r="AX347" s="19">
        <f t="shared" ref="AX347" si="2732">(AW337+AW317)-(AX337+AX317)</f>
        <v>0</v>
      </c>
      <c r="AY347" s="19">
        <f t="shared" ref="AY347:AZ347" si="2733">(AX337+AX317)-(AY337+AY317)</f>
        <v>-2401</v>
      </c>
      <c r="AZ347" s="19">
        <f t="shared" si="2733"/>
        <v>307</v>
      </c>
      <c r="BA347" s="19">
        <f>SUM(F347:G347)</f>
        <v>-591</v>
      </c>
      <c r="BB347" s="19">
        <f>SUM(H347:I347)</f>
        <v>-19</v>
      </c>
      <c r="BC347" s="19">
        <f>SUM(J347:K347)</f>
        <v>-430</v>
      </c>
      <c r="BD347" s="19">
        <f>SUM(L347:M347)</f>
        <v>311</v>
      </c>
      <c r="BE347" s="19">
        <f>SUM(N347:O347)</f>
        <v>-393</v>
      </c>
      <c r="BF347" s="19">
        <f>SUM(P347:Q347)</f>
        <v>200</v>
      </c>
      <c r="BG347" s="19">
        <f>SUM(R347:S347)</f>
        <v>-285</v>
      </c>
      <c r="BH347" s="19">
        <f>SUM(T347:U347)</f>
        <v>-1243</v>
      </c>
      <c r="BI347" s="19">
        <f>SUM(V347:W347)</f>
        <v>-2609</v>
      </c>
      <c r="BJ347" s="19">
        <f>SUM(X347:Y347)</f>
        <v>-278</v>
      </c>
      <c r="BK347" s="19">
        <f>SUM(Z347:AA347)</f>
        <v>113</v>
      </c>
      <c r="BL347" s="19">
        <f>SUM(AB347:AC347)</f>
        <v>-1567</v>
      </c>
      <c r="BM347" s="19">
        <f>SUM(AD347:AE347)</f>
        <v>-1515</v>
      </c>
      <c r="BN347" s="19">
        <f>SUM(AF347:AG347)</f>
        <v>-1092</v>
      </c>
      <c r="BO347" s="20">
        <f>SUM(AH347:AI347)</f>
        <v>-1324</v>
      </c>
      <c r="BP347" s="19">
        <f>SUM(AJ347:AK347)</f>
        <v>-1562.1222336392821</v>
      </c>
      <c r="BQ347" s="19">
        <f>SUM(AL347:AM347)</f>
        <v>-1118.9323414106893</v>
      </c>
      <c r="BR347" s="19">
        <f>SUM(AN347:AO347)</f>
        <v>-632.46032254887723</v>
      </c>
      <c r="BS347" s="19">
        <f>SUM(AP347:AQ347)</f>
        <v>-556.99494043065715</v>
      </c>
      <c r="BT347" s="19">
        <f>SUM(AR347:AS347)</f>
        <v>-429.78564302458472</v>
      </c>
    </row>
    <row r="348" spans="1:72" ht="12" customHeight="1" outlineLevel="1">
      <c r="A348" s="91" t="s">
        <v>246</v>
      </c>
      <c r="B348" s="1" t="s">
        <v>225</v>
      </c>
      <c r="C348" s="19"/>
      <c r="D348" s="19">
        <f>SUM(D285:D291,D281,D99:D100) - SUM(C285:C291,C281,C99:C100)</f>
        <v>-1683</v>
      </c>
      <c r="E348" s="19">
        <f t="shared" ref="E348:I348" si="2734">SUM(E285:E291,E281,E99:E100) - SUM(D285:D291,D281,D99:D100)</f>
        <v>-1275</v>
      </c>
      <c r="F348" s="19">
        <f t="shared" si="2734"/>
        <v>115</v>
      </c>
      <c r="G348" s="19">
        <f t="shared" si="2734"/>
        <v>-252</v>
      </c>
      <c r="H348" s="19">
        <f t="shared" si="2734"/>
        <v>718</v>
      </c>
      <c r="I348" s="19">
        <f t="shared" si="2734"/>
        <v>-609</v>
      </c>
      <c r="J348" s="19">
        <f>SUM(J285:J291,J281,J99:J100) - SUM(I285:I291,I281,I99:I100)</f>
        <v>307</v>
      </c>
      <c r="K348" s="19">
        <f t="shared" ref="K348" si="2735">SUM(K285:K291,K281,K99:K100) - SUM(J285:J291,J281,J99:J100)</f>
        <v>203</v>
      </c>
      <c r="L348" s="19">
        <f t="shared" ref="L348:AJ348" si="2736">SUM(L285:L291,L281,L99:L100) - SUM(K285:K291,K281,K99:K100)</f>
        <v>-299</v>
      </c>
      <c r="M348" s="19">
        <f t="shared" si="2736"/>
        <v>89</v>
      </c>
      <c r="N348" s="19">
        <f t="shared" si="2736"/>
        <v>-82</v>
      </c>
      <c r="O348" s="19">
        <f t="shared" si="2736"/>
        <v>70</v>
      </c>
      <c r="P348" s="19">
        <f t="shared" si="2736"/>
        <v>452</v>
      </c>
      <c r="Q348" s="19">
        <f t="shared" si="2736"/>
        <v>170</v>
      </c>
      <c r="R348" s="19">
        <f t="shared" si="2736"/>
        <v>-125</v>
      </c>
      <c r="S348" s="19">
        <f t="shared" si="2736"/>
        <v>1332</v>
      </c>
      <c r="T348" s="19">
        <f t="shared" si="2736"/>
        <v>-90</v>
      </c>
      <c r="U348" s="19">
        <f t="shared" si="2736"/>
        <v>-1690</v>
      </c>
      <c r="V348" s="19">
        <f t="shared" si="2736"/>
        <v>-1273</v>
      </c>
      <c r="W348" s="19">
        <f t="shared" si="2736"/>
        <v>564</v>
      </c>
      <c r="X348" s="19">
        <f t="shared" si="2736"/>
        <v>88</v>
      </c>
      <c r="Y348" s="19">
        <f t="shared" si="2736"/>
        <v>-156</v>
      </c>
      <c r="Z348" s="19">
        <f t="shared" si="2736"/>
        <v>18</v>
      </c>
      <c r="AA348" s="19">
        <f t="shared" si="2736"/>
        <v>-249</v>
      </c>
      <c r="AB348" s="19">
        <f t="shared" si="2736"/>
        <v>-805</v>
      </c>
      <c r="AC348" s="19">
        <f t="shared" si="2736"/>
        <v>-618</v>
      </c>
      <c r="AD348" s="19">
        <f t="shared" si="2736"/>
        <v>-283</v>
      </c>
      <c r="AE348" s="19">
        <f t="shared" si="2736"/>
        <v>603</v>
      </c>
      <c r="AF348" s="19">
        <f t="shared" si="2736"/>
        <v>-652</v>
      </c>
      <c r="AG348" s="19">
        <f t="shared" si="2736"/>
        <v>-164</v>
      </c>
      <c r="AH348" s="19">
        <f t="shared" si="2736"/>
        <v>368</v>
      </c>
      <c r="AI348" s="19">
        <f t="shared" si="2736"/>
        <v>-658</v>
      </c>
      <c r="AJ348" s="20">
        <f t="shared" si="2736"/>
        <v>309</v>
      </c>
      <c r="AK348" s="19">
        <f t="shared" ref="AK348" si="2737">SUM(AK285:AK291,AK281,AK99:AK100) - SUM(AJ285:AJ291,AJ281,AJ99:AJ100)</f>
        <v>-140.53267599775336</v>
      </c>
      <c r="AL348" s="19">
        <f t="shared" ref="AL348" si="2738">SUM(AL285:AL291,AL281,AL99:AL100) - SUM(AK285:AK291,AK281,AK99:AK100)</f>
        <v>-150.32194682136105</v>
      </c>
      <c r="AM348" s="19">
        <f t="shared" ref="AM348" si="2739">SUM(AM285:AM291,AM281,AM99:AM100) - SUM(AL285:AL291,AL281,AL99:AL100)</f>
        <v>-139.59622439180021</v>
      </c>
      <c r="AN348" s="19">
        <f t="shared" ref="AN348" si="2740">SUM(AN285:AN291,AN281,AN99:AN100) - SUM(AM285:AM291,AM281,AM99:AM100)</f>
        <v>-108.38868357512183</v>
      </c>
      <c r="AO348" s="19">
        <f t="shared" ref="AO348" si="2741">SUM(AO285:AO291,AO281,AO99:AO100) - SUM(AN285:AN291,AN281,AN99:AN100)</f>
        <v>-104.91622854049547</v>
      </c>
      <c r="AP348" s="19">
        <f t="shared" ref="AP348" si="2742">SUM(AP285:AP291,AP281,AP99:AP100) - SUM(AO285:AO291,AO281,AO99:AO100)</f>
        <v>-100.12941024827342</v>
      </c>
      <c r="AQ348" s="19">
        <f t="shared" ref="AQ348" si="2743">SUM(AQ285:AQ291,AQ281,AQ99:AQ100) - SUM(AP285:AP291,AP281,AP99:AP100)</f>
        <v>-97.29345741159068</v>
      </c>
      <c r="AR348" s="19">
        <f t="shared" ref="AR348" si="2744">SUM(AR285:AR291,AR281,AR99:AR100) - SUM(AQ285:AQ291,AQ281,AQ99:AQ100)</f>
        <v>-94.784178559445536</v>
      </c>
      <c r="AS348" s="19">
        <f t="shared" ref="AS348" si="2745">SUM(AS285:AS291,AS281,AS99:AS100) - SUM(AR285:AR291,AR281,AR99:AR100)</f>
        <v>-100.22692919924066</v>
      </c>
      <c r="AU348" s="19"/>
      <c r="AV348" s="19">
        <f>SUM(AV285:AV291,AV281,AV99:AV100) - SUM(AU285:AU291,AU281,AU99:AU100)</f>
        <v>356</v>
      </c>
      <c r="AW348" s="19">
        <f t="shared" ref="AW348" si="2746">SUM(AW285:AW291,AW281,AW99:AW100) - SUM(AV285:AV291,AV281,AV99:AV100)</f>
        <v>2087</v>
      </c>
      <c r="AX348" s="19">
        <f t="shared" ref="AX348" si="2747">SUM(AX285:AX291,AX281,AX99:AX100) - SUM(AW285:AW291,AW281,AW99:AW100)</f>
        <v>-7488</v>
      </c>
      <c r="AY348" s="19">
        <f t="shared" ref="AY348:AZ348" si="2748">SUM(AY285:AY291,AY281,AY99:AY100) - SUM(AX285:AX291,AX281,AX99:AX100)</f>
        <v>-559</v>
      </c>
      <c r="AZ348" s="19">
        <f t="shared" si="2748"/>
        <v>-823</v>
      </c>
      <c r="BA348" s="19">
        <f>SUM(F348:G348)</f>
        <v>-137</v>
      </c>
      <c r="BB348" s="19">
        <f>SUM(H348:I348)</f>
        <v>109</v>
      </c>
      <c r="BC348" s="19">
        <f>SUM(J348:K348)</f>
        <v>510</v>
      </c>
      <c r="BD348" s="19">
        <f>SUM(L348:M348)</f>
        <v>-210</v>
      </c>
      <c r="BE348" s="19">
        <f>SUM(N348:O348)</f>
        <v>-12</v>
      </c>
      <c r="BF348" s="19">
        <f>SUM(P348:Q348)</f>
        <v>622</v>
      </c>
      <c r="BG348" s="19">
        <f>SUM(R348:S348)</f>
        <v>1207</v>
      </c>
      <c r="BH348" s="19">
        <f>SUM(T348:U348)</f>
        <v>-1780</v>
      </c>
      <c r="BI348" s="19">
        <f>SUM(V348:W348)</f>
        <v>-709</v>
      </c>
      <c r="BJ348" s="19">
        <f>SUM(X348:Y348)</f>
        <v>-68</v>
      </c>
      <c r="BK348" s="19">
        <f>SUM(Z348:AA348)</f>
        <v>-231</v>
      </c>
      <c r="BL348" s="19">
        <f>SUM(AB348:AC348)</f>
        <v>-1423</v>
      </c>
      <c r="BM348" s="19">
        <f>SUM(AD348:AE348)</f>
        <v>320</v>
      </c>
      <c r="BN348" s="19">
        <f>SUM(AF348:AG348)</f>
        <v>-816</v>
      </c>
      <c r="BO348" s="20">
        <f>SUM(AH348:AI348)</f>
        <v>-290</v>
      </c>
      <c r="BP348" s="19">
        <f>SUM(AJ348:AK348)</f>
        <v>168.46732400224664</v>
      </c>
      <c r="BQ348" s="19">
        <f>SUM(AL348:AM348)</f>
        <v>-289.91817121316126</v>
      </c>
      <c r="BR348" s="19">
        <f>SUM(AN348:AO348)</f>
        <v>-213.3049121156173</v>
      </c>
      <c r="BS348" s="19">
        <f>SUM(AP348:AQ348)</f>
        <v>-197.4228676598641</v>
      </c>
      <c r="BT348" s="19">
        <f>SUM(AR348:AS348)</f>
        <v>-195.01110775868619</v>
      </c>
    </row>
    <row r="349" spans="1:72" s="9" customFormat="1" ht="12" customHeight="1" outlineLevel="1">
      <c r="A349" s="91" t="s">
        <v>243</v>
      </c>
      <c r="B349" s="16" t="s">
        <v>226</v>
      </c>
      <c r="C349" s="17"/>
      <c r="D349" s="17">
        <f t="shared" ref="D349:I349" si="2749">D345+D346+D347+D348</f>
        <v>-6523.4500000000007</v>
      </c>
      <c r="E349" s="17">
        <f t="shared" si="2749"/>
        <v>-1081.5225</v>
      </c>
      <c r="F349" s="17">
        <f t="shared" si="2749"/>
        <v>-256.70000000000027</v>
      </c>
      <c r="G349" s="17">
        <f t="shared" si="2749"/>
        <v>-150.82749999999942</v>
      </c>
      <c r="H349" s="17">
        <f t="shared" si="2749"/>
        <v>1219.4174999999996</v>
      </c>
      <c r="I349" s="17">
        <f t="shared" si="2749"/>
        <v>-465.08500000000004</v>
      </c>
      <c r="J349" s="17">
        <f>J345+J346+J347+J348</f>
        <v>706.34250000000065</v>
      </c>
      <c r="K349" s="17">
        <f t="shared" ref="K349" si="2750">K345+K346+K347+K348</f>
        <v>385.05249999999978</v>
      </c>
      <c r="L349" s="17">
        <f t="shared" ref="L349:Q349" si="2751">L345+L346+L347+L348</f>
        <v>488.14249999999993</v>
      </c>
      <c r="M349" s="17">
        <f t="shared" si="2751"/>
        <v>1258.5450000000001</v>
      </c>
      <c r="N349" s="17">
        <f t="shared" si="2751"/>
        <v>274.92999999999938</v>
      </c>
      <c r="O349" s="17">
        <f t="shared" si="2751"/>
        <v>1238.7399999999998</v>
      </c>
      <c r="P349" s="17">
        <f t="shared" si="2751"/>
        <v>1380.8950000000004</v>
      </c>
      <c r="Q349" s="17">
        <f t="shared" si="2751"/>
        <v>1084.4799999999996</v>
      </c>
      <c r="R349" s="17">
        <f t="shared" ref="R349:S349" si="2752">R345+R346+R347+R348</f>
        <v>950.21</v>
      </c>
      <c r="S349" s="17">
        <f t="shared" si="2752"/>
        <v>2636.4700000000003</v>
      </c>
      <c r="T349" s="17">
        <f t="shared" ref="T349:U349" si="2753">T345+T346+T347+T348</f>
        <v>-571.01499999999942</v>
      </c>
      <c r="U349" s="17">
        <f t="shared" si="2753"/>
        <v>-698.97500000000036</v>
      </c>
      <c r="V349" s="17">
        <f t="shared" ref="V349:W349" si="2754">V345+V346+V347+V348</f>
        <v>-971.64999999999964</v>
      </c>
      <c r="W349" s="17">
        <f t="shared" si="2754"/>
        <v>2680.8850000000002</v>
      </c>
      <c r="X349" s="17">
        <f t="shared" ref="X349:Y349" si="2755">X345+X346+X347+X348</f>
        <v>463.375</v>
      </c>
      <c r="Y349" s="17">
        <f t="shared" si="2755"/>
        <v>1818.0299999999988</v>
      </c>
      <c r="Z349" s="17">
        <f t="shared" ref="Z349:AA349" si="2756">Z345+Z346+Z347+Z348</f>
        <v>1458.8450000000012</v>
      </c>
      <c r="AA349" s="17">
        <f t="shared" si="2756"/>
        <v>-154.13500000000022</v>
      </c>
      <c r="AB349" s="17">
        <f t="shared" ref="AB349:AC349" si="2757">AB345+AB346+AB347+AB348</f>
        <v>-1831.8850000000002</v>
      </c>
      <c r="AC349" s="17">
        <f t="shared" si="2757"/>
        <v>185.08500000000095</v>
      </c>
      <c r="AD349" s="17">
        <f t="shared" ref="AD349:AE349" si="2758">AD345+AD346+AD347+AD348</f>
        <v>1500.1849999999995</v>
      </c>
      <c r="AE349" s="17">
        <f t="shared" si="2758"/>
        <v>3586.0400000000009</v>
      </c>
      <c r="AF349" s="17">
        <f t="shared" ref="AF349:AG349" si="2759">AF345+AF346+AF347+AF348</f>
        <v>-975.01500000000124</v>
      </c>
      <c r="AG349" s="17">
        <f t="shared" si="2759"/>
        <v>1948.1000000000004</v>
      </c>
      <c r="AH349" s="17">
        <f t="shared" ref="AH349:AI349" si="2760">AH345+AH346+AH347+AH348</f>
        <v>352</v>
      </c>
      <c r="AI349" s="17">
        <f t="shared" si="2760"/>
        <v>585.47999999999956</v>
      </c>
      <c r="AJ349" s="18">
        <f t="shared" ref="AJ349" si="2761">AJ345+AJ346+AJ347+AJ348</f>
        <v>-158.94499999999971</v>
      </c>
      <c r="AK349" s="17">
        <f t="shared" ref="AK349" si="2762">AK345+AK346+AK347+AK348</f>
        <v>-74.898199353104246</v>
      </c>
      <c r="AL349" s="17">
        <f t="shared" ref="AL349:AM349" si="2763">AL345+AL346+AL347+AL348</f>
        <v>1160.7077003356308</v>
      </c>
      <c r="AM349" s="17">
        <f t="shared" si="2763"/>
        <v>1531.1991546536274</v>
      </c>
      <c r="AN349" s="17">
        <f t="shared" ref="AN349:AO349" si="2764">AN345+AN346+AN347+AN348</f>
        <v>1349.2287738127643</v>
      </c>
      <c r="AO349" s="17">
        <f t="shared" si="2764"/>
        <v>1855.7651433447872</v>
      </c>
      <c r="AP349" s="17">
        <f t="shared" ref="AP349:AQ349" si="2765">AP345+AP346+AP347+AP348</f>
        <v>1178.3598780186835</v>
      </c>
      <c r="AQ349" s="17">
        <f t="shared" si="2765"/>
        <v>1615.0316438016698</v>
      </c>
      <c r="AR349" s="17">
        <f t="shared" ref="AR349:AS349" si="2766">AR345+AR346+AR347+AR348</f>
        <v>1377.4361069489487</v>
      </c>
      <c r="AS349" s="17">
        <f t="shared" si="2766"/>
        <v>1659.1552755815119</v>
      </c>
      <c r="AU349" s="17"/>
      <c r="AV349" s="17">
        <f>AV345+AV346+AV347+AV348</f>
        <v>796.15000000000009</v>
      </c>
      <c r="AW349" s="17">
        <f t="shared" ref="AW349:AX349" si="2767">AW345+AW346+AW347+AW348</f>
        <v>2815.6124999999997</v>
      </c>
      <c r="AX349" s="17">
        <f t="shared" si="2767"/>
        <v>-5386.26</v>
      </c>
      <c r="AY349" s="17">
        <f t="shared" ref="AY349:AZ349" si="2768">AY345+AY346+AY347+AY348</f>
        <v>-2436.5075000000002</v>
      </c>
      <c r="AZ349" s="17">
        <f t="shared" si="2768"/>
        <v>-35.860000000000127</v>
      </c>
      <c r="BA349" s="17">
        <f t="shared" ref="BA349:BH349" si="2769">BA345+BA346+BA347+BA348</f>
        <v>-407.52749999999969</v>
      </c>
      <c r="BB349" s="17">
        <f t="shared" si="2769"/>
        <v>754.33249999999953</v>
      </c>
      <c r="BC349" s="17">
        <f t="shared" si="2769"/>
        <v>1091.3950000000004</v>
      </c>
      <c r="BD349" s="17">
        <f t="shared" si="2769"/>
        <v>1746.6875</v>
      </c>
      <c r="BE349" s="17">
        <f t="shared" si="2769"/>
        <v>1513.6699999999992</v>
      </c>
      <c r="BF349" s="17">
        <f t="shared" si="2769"/>
        <v>2465.375</v>
      </c>
      <c r="BG349" s="17">
        <f t="shared" si="2769"/>
        <v>3586.6800000000003</v>
      </c>
      <c r="BH349" s="17">
        <f t="shared" si="2769"/>
        <v>-1269.9899999999998</v>
      </c>
      <c r="BI349" s="17">
        <f t="shared" ref="BI349" si="2770">BI345+BI346+BI347+BI348</f>
        <v>1709.2350000000006</v>
      </c>
      <c r="BJ349" s="17">
        <f t="shared" ref="BJ349:BO349" si="2771">BJ345+BJ346+BJ347+BJ348</f>
        <v>2281.4049999999988</v>
      </c>
      <c r="BK349" s="17">
        <f t="shared" si="2771"/>
        <v>1304.7100000000009</v>
      </c>
      <c r="BL349" s="17">
        <f t="shared" si="2771"/>
        <v>-1646.7999999999993</v>
      </c>
      <c r="BM349" s="17">
        <f t="shared" si="2771"/>
        <v>5086.2250000000004</v>
      </c>
      <c r="BN349" s="17">
        <f t="shared" si="2771"/>
        <v>973.08499999999913</v>
      </c>
      <c r="BO349" s="18">
        <f t="shared" si="2771"/>
        <v>937.47999999999956</v>
      </c>
      <c r="BP349" s="17">
        <f t="shared" ref="BP349:BQ349" si="2772">BP345+BP346+BP347+BP348</f>
        <v>-233.84319935310396</v>
      </c>
      <c r="BQ349" s="17">
        <f t="shared" si="2772"/>
        <v>2691.9068549892581</v>
      </c>
      <c r="BR349" s="17">
        <f t="shared" ref="BR349:BS349" si="2773">BR345+BR346+BR347+BR348</f>
        <v>3204.9939171575516</v>
      </c>
      <c r="BS349" s="17">
        <f t="shared" si="2773"/>
        <v>2793.3915218203538</v>
      </c>
      <c r="BT349" s="17">
        <f>BT345+BT346+BT347+BT348</f>
        <v>3036.5913825304606</v>
      </c>
    </row>
    <row r="350" spans="1:72" ht="12" customHeight="1" outlineLevel="1">
      <c r="A350" s="91" t="s">
        <v>244</v>
      </c>
      <c r="B350" s="87" t="s">
        <v>227</v>
      </c>
      <c r="C350" s="19"/>
      <c r="D350" s="19">
        <f t="shared" ref="D350:AJ350" si="2774">(C55-D55) + (D95-E95) - (C307-D307 + (D101-C101) - (D217-C217))</f>
        <v>-3197.5499999999997</v>
      </c>
      <c r="E350" s="19">
        <f t="shared" si="2774"/>
        <v>1146.5225</v>
      </c>
      <c r="F350" s="19">
        <f t="shared" si="2774"/>
        <v>765.70000000000027</v>
      </c>
      <c r="G350" s="19">
        <f t="shared" si="2774"/>
        <v>456.82749999999942</v>
      </c>
      <c r="H350" s="19">
        <f t="shared" si="2774"/>
        <v>-642.41749999999956</v>
      </c>
      <c r="I350" s="19">
        <f t="shared" si="2774"/>
        <v>721.08500000000004</v>
      </c>
      <c r="J350" s="19">
        <f t="shared" si="2774"/>
        <v>38.657499999999345</v>
      </c>
      <c r="K350" s="19">
        <f t="shared" si="2774"/>
        <v>30.947500000000218</v>
      </c>
      <c r="L350" s="19">
        <f t="shared" si="2774"/>
        <v>456.85750000000007</v>
      </c>
      <c r="M350" s="19">
        <f t="shared" si="2774"/>
        <v>126.45499999999993</v>
      </c>
      <c r="N350" s="19">
        <f t="shared" si="2774"/>
        <v>631.07000000000062</v>
      </c>
      <c r="O350" s="19">
        <f t="shared" si="2774"/>
        <v>-631.73999999999978</v>
      </c>
      <c r="P350" s="19">
        <f t="shared" si="2774"/>
        <v>-463.89500000000044</v>
      </c>
      <c r="Q350" s="19">
        <f t="shared" si="2774"/>
        <v>-793.47999999999956</v>
      </c>
      <c r="R350" s="19">
        <f t="shared" si="2774"/>
        <v>127.78999999999996</v>
      </c>
      <c r="S350" s="19">
        <f t="shared" si="2774"/>
        <v>-1684.4700000000003</v>
      </c>
      <c r="T350" s="19">
        <f t="shared" si="2774"/>
        <v>1641.0149999999994</v>
      </c>
      <c r="U350" s="19">
        <f t="shared" si="2774"/>
        <v>1787.9750000000004</v>
      </c>
      <c r="V350" s="19">
        <f t="shared" si="2774"/>
        <v>2155.6499999999996</v>
      </c>
      <c r="W350" s="19">
        <f t="shared" si="2774"/>
        <v>-1456.8850000000002</v>
      </c>
      <c r="X350" s="19">
        <f t="shared" si="2774"/>
        <v>-642.375</v>
      </c>
      <c r="Y350" s="19">
        <f t="shared" si="2774"/>
        <v>-1181.0299999999988</v>
      </c>
      <c r="Z350" s="19">
        <f t="shared" si="2774"/>
        <v>-1767.8450000000012</v>
      </c>
      <c r="AA350" s="19">
        <f t="shared" si="2774"/>
        <v>1318.1350000000002</v>
      </c>
      <c r="AB350" s="19">
        <f t="shared" si="2774"/>
        <v>1797.8850000000002</v>
      </c>
      <c r="AC350" s="19">
        <f t="shared" si="2774"/>
        <v>-1709.0850000000009</v>
      </c>
      <c r="AD350" s="19">
        <f t="shared" si="2774"/>
        <v>-829.18499999999949</v>
      </c>
      <c r="AE350" s="19">
        <f t="shared" si="2774"/>
        <v>-1852.0400000000009</v>
      </c>
      <c r="AF350" s="19">
        <f t="shared" si="2774"/>
        <v>1957.0150000000012</v>
      </c>
      <c r="AG350" s="19">
        <f t="shared" si="2774"/>
        <v>160.89999999999964</v>
      </c>
      <c r="AH350" s="19">
        <f t="shared" si="2774"/>
        <v>1004</v>
      </c>
      <c r="AI350" s="19">
        <f t="shared" si="2774"/>
        <v>894.52000000000044</v>
      </c>
      <c r="AJ350" s="20">
        <f t="shared" si="2774"/>
        <v>1226.1325619999998</v>
      </c>
      <c r="AK350" s="19">
        <f t="shared" ref="AK350:AS350" si="2775">(AJ55-AK55) + (AK95-(-AK103*AK36)) - (AJ307-AK307 + (AK101-AJ101) - (AK217-AJ217))</f>
        <v>1919.7925787854151</v>
      </c>
      <c r="AL350" s="19">
        <f t="shared" si="2775"/>
        <v>451.64432545407476</v>
      </c>
      <c r="AM350" s="19">
        <f t="shared" si="2775"/>
        <v>378.19307035952829</v>
      </c>
      <c r="AN350" s="19">
        <f t="shared" si="2775"/>
        <v>83.221125756001129</v>
      </c>
      <c r="AO350" s="19">
        <f t="shared" si="2775"/>
        <v>-8.6586939008536774</v>
      </c>
      <c r="AP350" s="19">
        <f t="shared" si="2775"/>
        <v>291.78607153874304</v>
      </c>
      <c r="AQ350" s="19">
        <f t="shared" si="2775"/>
        <v>118.98665567631178</v>
      </c>
      <c r="AR350" s="19">
        <f t="shared" si="2775"/>
        <v>205.79799257442573</v>
      </c>
      <c r="AS350" s="19">
        <f t="shared" si="2775"/>
        <v>225.64722385107621</v>
      </c>
      <c r="AU350" s="19"/>
      <c r="AV350" s="19">
        <f>(AU55-AV55) + (AV95-AW95) - (AU307-AV307 + (AV101-AU101) - (AV217-AU217))</f>
        <v>-490.15000000000009</v>
      </c>
      <c r="AW350" s="19">
        <f>(AV55-AW55) + (AW95-AX95) - (AV307-AW307 + (AW101-AV101) - (AW217-AV217))</f>
        <v>-3104.6124999999997</v>
      </c>
      <c r="AX350" s="19">
        <f>(AW55-AX55) + (AX95-AY95) - (AW307-AX307 + (AX101-AW101) - (AX217-AW217))</f>
        <v>4887.26</v>
      </c>
      <c r="AY350" s="19">
        <f>(AX55-AY55) + (AY95-AZ95) - (AX307-AY307 + (AY101-AX101) - (AY217-AX217))</f>
        <v>2480.5075000000002</v>
      </c>
      <c r="AZ350" s="19">
        <f>(AY55-AZ55) + (AZ95-BA95) - (AY307-AZ307 + (AZ101-AY101) - (AZ217-AY217))</f>
        <v>-946.13999999999987</v>
      </c>
      <c r="BA350" s="19">
        <f>SUM(F350:G350)</f>
        <v>1222.5274999999997</v>
      </c>
      <c r="BB350" s="19">
        <f>SUM(H350:I350)</f>
        <v>78.667500000000473</v>
      </c>
      <c r="BC350" s="19">
        <f>SUM(J350:K350)</f>
        <v>69.604999999999563</v>
      </c>
      <c r="BD350" s="19">
        <f>SUM(L350:M350)</f>
        <v>583.3125</v>
      </c>
      <c r="BE350" s="19">
        <f>SUM(N350:O350)</f>
        <v>-0.66999999999916326</v>
      </c>
      <c r="BF350" s="19">
        <f>SUM(P350:Q350)</f>
        <v>-1257.375</v>
      </c>
      <c r="BG350" s="19">
        <f>SUM(R350:S350)</f>
        <v>-1556.6800000000003</v>
      </c>
      <c r="BH350" s="19">
        <f>SUM(T350:U350)</f>
        <v>3428.99</v>
      </c>
      <c r="BI350" s="19">
        <f>SUM(V350:W350)</f>
        <v>698.76499999999942</v>
      </c>
      <c r="BJ350" s="19">
        <f>SUM(X350:Y350)</f>
        <v>-1823.4049999999988</v>
      </c>
      <c r="BK350" s="19">
        <f>SUM(Z350:AA350)</f>
        <v>-449.71000000000095</v>
      </c>
      <c r="BL350" s="19">
        <f>SUM(AB350:AC350)</f>
        <v>88.799999999999272</v>
      </c>
      <c r="BM350" s="19">
        <f>SUM(AD350:AE350)</f>
        <v>-2681.2250000000004</v>
      </c>
      <c r="BN350" s="19">
        <f>SUM(AF350:AG350)</f>
        <v>2117.9150000000009</v>
      </c>
      <c r="BO350" s="20">
        <f>SUM(AH350:AI350)</f>
        <v>1898.5200000000004</v>
      </c>
      <c r="BP350" s="19">
        <f>SUM(AJ350:AK350)</f>
        <v>3145.9251407854149</v>
      </c>
      <c r="BQ350" s="19">
        <f>SUM(AL350:AM350)</f>
        <v>829.83739581360305</v>
      </c>
      <c r="BR350" s="19">
        <f>SUM(AN350:AO350)</f>
        <v>74.562431855147452</v>
      </c>
      <c r="BS350" s="19">
        <f>SUM(AP350:AQ350)</f>
        <v>410.77272721505483</v>
      </c>
      <c r="BT350" s="19">
        <f>SUM(AR350:AS350)</f>
        <v>431.44521642550194</v>
      </c>
    </row>
    <row r="351" spans="1:72" s="9" customFormat="1" ht="12" customHeight="1" outlineLevel="1">
      <c r="A351" s="91" t="s">
        <v>233</v>
      </c>
      <c r="B351" s="16" t="s">
        <v>228</v>
      </c>
      <c r="C351" s="17"/>
      <c r="D351" s="17">
        <f>D349+D350</f>
        <v>-9721</v>
      </c>
      <c r="E351" s="17">
        <f t="shared" ref="E351:K351" si="2776">E349+E350</f>
        <v>65</v>
      </c>
      <c r="F351" s="17">
        <f t="shared" si="2776"/>
        <v>509</v>
      </c>
      <c r="G351" s="17">
        <f t="shared" si="2776"/>
        <v>306</v>
      </c>
      <c r="H351" s="17">
        <f t="shared" si="2776"/>
        <v>577</v>
      </c>
      <c r="I351" s="17">
        <f t="shared" si="2776"/>
        <v>256</v>
      </c>
      <c r="J351" s="17">
        <f t="shared" si="2776"/>
        <v>745</v>
      </c>
      <c r="K351" s="17">
        <f t="shared" si="2776"/>
        <v>416</v>
      </c>
      <c r="L351" s="17">
        <f t="shared" ref="L351:M351" si="2777">L349+L350</f>
        <v>945</v>
      </c>
      <c r="M351" s="17">
        <f t="shared" si="2777"/>
        <v>1385</v>
      </c>
      <c r="N351" s="17">
        <f t="shared" ref="N351:O351" si="2778">N349+N350</f>
        <v>906</v>
      </c>
      <c r="O351" s="17">
        <f t="shared" si="2778"/>
        <v>607</v>
      </c>
      <c r="P351" s="17">
        <f t="shared" ref="P351:Q351" si="2779">P349+P350</f>
        <v>917</v>
      </c>
      <c r="Q351" s="17">
        <f t="shared" si="2779"/>
        <v>291</v>
      </c>
      <c r="R351" s="17">
        <f t="shared" ref="R351:S351" si="2780">R349+R350</f>
        <v>1078</v>
      </c>
      <c r="S351" s="17">
        <f t="shared" si="2780"/>
        <v>952</v>
      </c>
      <c r="T351" s="17">
        <f t="shared" ref="T351:U351" si="2781">T349+T350</f>
        <v>1070</v>
      </c>
      <c r="U351" s="17">
        <f t="shared" si="2781"/>
        <v>1089</v>
      </c>
      <c r="V351" s="17">
        <f t="shared" ref="V351:W351" si="2782">V349+V350</f>
        <v>1184</v>
      </c>
      <c r="W351" s="17">
        <f t="shared" si="2782"/>
        <v>1224</v>
      </c>
      <c r="X351" s="17">
        <f t="shared" ref="X351:Y351" si="2783">X349+X350</f>
        <v>-179</v>
      </c>
      <c r="Y351" s="17">
        <f t="shared" si="2783"/>
        <v>637</v>
      </c>
      <c r="Z351" s="17">
        <f t="shared" ref="Z351:AA351" si="2784">Z349+Z350</f>
        <v>-309</v>
      </c>
      <c r="AA351" s="17">
        <f t="shared" si="2784"/>
        <v>1164</v>
      </c>
      <c r="AB351" s="17">
        <f t="shared" ref="AB351:AC351" si="2785">AB349+AB350</f>
        <v>-34</v>
      </c>
      <c r="AC351" s="17">
        <f t="shared" si="2785"/>
        <v>-1524</v>
      </c>
      <c r="AD351" s="17">
        <f t="shared" ref="AD351:AE351" si="2786">AD349+AD350</f>
        <v>671</v>
      </c>
      <c r="AE351" s="17">
        <f t="shared" si="2786"/>
        <v>1734</v>
      </c>
      <c r="AF351" s="17">
        <f t="shared" ref="AF351:AG351" si="2787">AF349+AF350</f>
        <v>982</v>
      </c>
      <c r="AG351" s="17">
        <f t="shared" si="2787"/>
        <v>2109</v>
      </c>
      <c r="AH351" s="17">
        <f t="shared" ref="AH351:AI351" si="2788">AH349+AH350</f>
        <v>1356</v>
      </c>
      <c r="AI351" s="17">
        <f t="shared" si="2788"/>
        <v>1480</v>
      </c>
      <c r="AJ351" s="18">
        <f t="shared" ref="AJ351" si="2789">AJ349+AJ350</f>
        <v>1067.1875620000001</v>
      </c>
      <c r="AK351" s="17">
        <f t="shared" ref="AK351" si="2790">AK349+AK350</f>
        <v>1844.8943794323109</v>
      </c>
      <c r="AL351" s="17">
        <f t="shared" ref="AL351:AM351" si="2791">AL349+AL350</f>
        <v>1612.3520257897055</v>
      </c>
      <c r="AM351" s="17">
        <f t="shared" si="2791"/>
        <v>1909.3922250131557</v>
      </c>
      <c r="AN351" s="17">
        <f t="shared" ref="AN351:AO351" si="2792">AN349+AN350</f>
        <v>1432.4498995687654</v>
      </c>
      <c r="AO351" s="17">
        <f t="shared" si="2792"/>
        <v>1847.1064494439336</v>
      </c>
      <c r="AP351" s="17">
        <f t="shared" ref="AP351:AQ351" si="2793">AP349+AP350</f>
        <v>1470.1459495574265</v>
      </c>
      <c r="AQ351" s="17">
        <f t="shared" si="2793"/>
        <v>1734.0182994779816</v>
      </c>
      <c r="AR351" s="17">
        <f t="shared" ref="AR351:AS351" si="2794">AR349+AR350</f>
        <v>1583.2340995233744</v>
      </c>
      <c r="AS351" s="17">
        <f t="shared" si="2794"/>
        <v>1884.8024994325881</v>
      </c>
      <c r="AU351" s="17"/>
      <c r="AV351" s="17">
        <f t="shared" ref="AV351" si="2795">AV349+AV350</f>
        <v>306</v>
      </c>
      <c r="AW351" s="17">
        <f t="shared" ref="AW351:AX351" si="2796">AW349+AW350</f>
        <v>-289</v>
      </c>
      <c r="AX351" s="17">
        <f t="shared" si="2796"/>
        <v>-499</v>
      </c>
      <c r="AY351" s="17">
        <f t="shared" ref="AY351:AZ351" si="2797">AY349+AY350</f>
        <v>44</v>
      </c>
      <c r="AZ351" s="17">
        <f t="shared" si="2797"/>
        <v>-982</v>
      </c>
      <c r="BA351" s="17">
        <f t="shared" ref="BA351:BH351" si="2798">BA349+BA350</f>
        <v>815</v>
      </c>
      <c r="BB351" s="17">
        <f t="shared" si="2798"/>
        <v>833</v>
      </c>
      <c r="BC351" s="17">
        <f t="shared" si="2798"/>
        <v>1161</v>
      </c>
      <c r="BD351" s="17">
        <f t="shared" si="2798"/>
        <v>2330</v>
      </c>
      <c r="BE351" s="17">
        <f t="shared" si="2798"/>
        <v>1513</v>
      </c>
      <c r="BF351" s="17">
        <f t="shared" si="2798"/>
        <v>1208</v>
      </c>
      <c r="BG351" s="17">
        <f t="shared" si="2798"/>
        <v>2030</v>
      </c>
      <c r="BH351" s="17">
        <f t="shared" si="2798"/>
        <v>2159</v>
      </c>
      <c r="BI351" s="17">
        <f t="shared" ref="BI351" si="2799">BI349+BI350</f>
        <v>2408</v>
      </c>
      <c r="BJ351" s="17">
        <f t="shared" ref="BJ351:BO351" si="2800">BJ349+BJ350</f>
        <v>458</v>
      </c>
      <c r="BK351" s="17">
        <f t="shared" si="2800"/>
        <v>855</v>
      </c>
      <c r="BL351" s="17">
        <f t="shared" si="2800"/>
        <v>-1558</v>
      </c>
      <c r="BM351" s="17">
        <f t="shared" si="2800"/>
        <v>2405</v>
      </c>
      <c r="BN351" s="17">
        <f t="shared" si="2800"/>
        <v>3091</v>
      </c>
      <c r="BO351" s="18">
        <f t="shared" si="2800"/>
        <v>2836</v>
      </c>
      <c r="BP351" s="17">
        <f t="shared" ref="BP351:BQ351" si="2801">BP349+BP350</f>
        <v>2912.0819414323109</v>
      </c>
      <c r="BQ351" s="17">
        <f t="shared" si="2801"/>
        <v>3521.7442508028612</v>
      </c>
      <c r="BR351" s="17">
        <f t="shared" ref="BR351:BS351" si="2802">BR349+BR350</f>
        <v>3279.5563490126988</v>
      </c>
      <c r="BS351" s="17">
        <f t="shared" si="2802"/>
        <v>3204.1642490354088</v>
      </c>
      <c r="BT351" s="17">
        <f>BT349+BT350</f>
        <v>3468.0365989559623</v>
      </c>
    </row>
    <row r="352" spans="1:72" ht="12" customHeight="1" outlineLevel="1"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20"/>
      <c r="AK352" s="19"/>
      <c r="AL352" s="19"/>
      <c r="AM352" s="19"/>
      <c r="AN352" s="19"/>
      <c r="AO352" s="19"/>
      <c r="AP352" s="19"/>
      <c r="AQ352" s="19"/>
      <c r="AR352" s="19"/>
      <c r="AS352" s="19"/>
      <c r="AU352" s="19"/>
      <c r="AV352" s="19"/>
      <c r="AW352" s="19"/>
      <c r="AX352" s="19"/>
      <c r="AY352" s="19"/>
      <c r="AZ352" s="19"/>
    </row>
    <row r="353" spans="1:72" ht="12" customHeight="1" outlineLevel="1">
      <c r="A353" s="91" t="s">
        <v>231</v>
      </c>
      <c r="B353" s="87" t="s">
        <v>229</v>
      </c>
      <c r="C353" s="19"/>
      <c r="D353" s="19">
        <f t="shared" ref="D353:I353" si="2803">-E95</f>
        <v>287</v>
      </c>
      <c r="E353" s="19">
        <f t="shared" si="2803"/>
        <v>346</v>
      </c>
      <c r="F353" s="19">
        <f t="shared" si="2803"/>
        <v>297</v>
      </c>
      <c r="G353" s="19">
        <f t="shared" si="2803"/>
        <v>347</v>
      </c>
      <c r="H353" s="19">
        <f t="shared" si="2803"/>
        <v>225</v>
      </c>
      <c r="I353" s="19">
        <f t="shared" si="2803"/>
        <v>257</v>
      </c>
      <c r="J353" s="19">
        <f t="shared" ref="J353:AJ353" si="2804">-K95</f>
        <v>252</v>
      </c>
      <c r="K353" s="19">
        <f t="shared" si="2804"/>
        <v>419</v>
      </c>
      <c r="L353" s="19">
        <f t="shared" si="2804"/>
        <v>740</v>
      </c>
      <c r="M353" s="19">
        <f t="shared" si="2804"/>
        <v>514</v>
      </c>
      <c r="N353" s="19">
        <f t="shared" si="2804"/>
        <v>645</v>
      </c>
      <c r="O353" s="19">
        <f t="shared" si="2804"/>
        <v>667</v>
      </c>
      <c r="P353" s="19">
        <f t="shared" si="2804"/>
        <v>541</v>
      </c>
      <c r="Q353" s="19">
        <f t="shared" si="2804"/>
        <v>816</v>
      </c>
      <c r="R353" s="19">
        <f t="shared" si="2804"/>
        <v>646</v>
      </c>
      <c r="S353" s="19">
        <f t="shared" si="2804"/>
        <v>952</v>
      </c>
      <c r="T353" s="19">
        <f t="shared" si="2804"/>
        <v>697</v>
      </c>
      <c r="U353" s="19">
        <f t="shared" si="2804"/>
        <v>1089</v>
      </c>
      <c r="V353" s="19">
        <f t="shared" si="2804"/>
        <v>730</v>
      </c>
      <c r="W353" s="19">
        <f t="shared" si="2804"/>
        <v>1224</v>
      </c>
      <c r="X353" s="19">
        <f t="shared" si="2804"/>
        <v>884</v>
      </c>
      <c r="Y353" s="19">
        <f t="shared" si="2804"/>
        <v>637</v>
      </c>
      <c r="Z353" s="19">
        <f t="shared" si="2804"/>
        <v>486</v>
      </c>
      <c r="AA353" s="19">
        <f t="shared" si="2804"/>
        <v>1208</v>
      </c>
      <c r="AB353" s="19">
        <f t="shared" si="2804"/>
        <v>1021</v>
      </c>
      <c r="AC353" s="19">
        <f t="shared" si="2804"/>
        <v>1339</v>
      </c>
      <c r="AD353" s="19">
        <f t="shared" si="2804"/>
        <v>1156</v>
      </c>
      <c r="AE353" s="19">
        <f t="shared" si="2804"/>
        <v>1734</v>
      </c>
      <c r="AF353" s="19">
        <f t="shared" si="2804"/>
        <v>982</v>
      </c>
      <c r="AG353" s="19">
        <f t="shared" si="2804"/>
        <v>1465</v>
      </c>
      <c r="AH353" s="19">
        <f t="shared" si="2804"/>
        <v>987</v>
      </c>
      <c r="AI353" s="19">
        <f t="shared" si="2804"/>
        <v>1480</v>
      </c>
      <c r="AJ353" s="20">
        <f t="shared" si="2804"/>
        <v>1067.1875620000001</v>
      </c>
      <c r="AK353" s="19">
        <f t="shared" ref="AK353:AS353" si="2805">AK36*AK103</f>
        <v>1518.7362539425299</v>
      </c>
      <c r="AL353" s="19">
        <f t="shared" si="2805"/>
        <v>1286.1939002999213</v>
      </c>
      <c r="AM353" s="19">
        <f t="shared" si="2805"/>
        <v>1583.2340995233762</v>
      </c>
      <c r="AN353" s="19">
        <f t="shared" si="2805"/>
        <v>1432.4498995687691</v>
      </c>
      <c r="AO353" s="19">
        <f t="shared" si="2805"/>
        <v>1847.106449443939</v>
      </c>
      <c r="AP353" s="19">
        <f t="shared" si="2805"/>
        <v>1470.1459495574209</v>
      </c>
      <c r="AQ353" s="19">
        <f t="shared" si="2805"/>
        <v>1734.0182994779834</v>
      </c>
      <c r="AR353" s="19">
        <f t="shared" si="2805"/>
        <v>1583.2340995233762</v>
      </c>
      <c r="AS353" s="19">
        <f t="shared" si="2805"/>
        <v>1884.8024994325908</v>
      </c>
      <c r="AU353" s="19"/>
      <c r="AV353" s="19">
        <f t="shared" ref="AV353" si="2806">-AW95</f>
        <v>602</v>
      </c>
      <c r="AW353" s="19">
        <f t="shared" ref="AW353" si="2807">-AX95</f>
        <v>880</v>
      </c>
      <c r="AX353" s="19">
        <f t="shared" ref="AX353" si="2808">-AY95</f>
        <v>962</v>
      </c>
      <c r="AY353" s="19">
        <f t="shared" ref="AY353:AZ353" si="2809">-AZ95</f>
        <v>409</v>
      </c>
      <c r="AZ353" s="19">
        <f t="shared" si="2809"/>
        <v>643</v>
      </c>
      <c r="BA353" s="19">
        <f>SUM(F353:G353)</f>
        <v>644</v>
      </c>
      <c r="BB353" s="19">
        <f>SUM(H353:I353)</f>
        <v>482</v>
      </c>
      <c r="BC353" s="19">
        <f>SUM(J353:K353)</f>
        <v>671</v>
      </c>
      <c r="BD353" s="19">
        <f>SUM(L353:M353)</f>
        <v>1254</v>
      </c>
      <c r="BE353" s="19">
        <f>SUM(N353:O353)</f>
        <v>1312</v>
      </c>
      <c r="BF353" s="19">
        <f>SUM(P353:Q353)</f>
        <v>1357</v>
      </c>
      <c r="BG353" s="19">
        <f>SUM(R353:S353)</f>
        <v>1598</v>
      </c>
      <c r="BH353" s="19">
        <f>SUM(T353:U353)</f>
        <v>1786</v>
      </c>
      <c r="BI353" s="19">
        <f>SUM(V353:W353)</f>
        <v>1954</v>
      </c>
      <c r="BJ353" s="19">
        <f>SUM(X353:Y353)</f>
        <v>1521</v>
      </c>
      <c r="BK353" s="19">
        <f>SUM(Z353:AA353)</f>
        <v>1694</v>
      </c>
      <c r="BL353" s="19">
        <f>SUM(AB353:AC353)</f>
        <v>2360</v>
      </c>
      <c r="BM353" s="19">
        <f>SUM(AD353:AE353)</f>
        <v>2890</v>
      </c>
      <c r="BN353" s="19">
        <f>SUM(AF353:AG353)</f>
        <v>2447</v>
      </c>
      <c r="BO353" s="20">
        <f>SUM(AH353:AI353)</f>
        <v>2467</v>
      </c>
      <c r="BP353" s="19">
        <f>SUM(AJ353:AK353)</f>
        <v>2585.9238159425299</v>
      </c>
      <c r="BQ353" s="19">
        <f>SUM(AL353:AM353)</f>
        <v>2869.4279998232978</v>
      </c>
      <c r="BR353" s="19">
        <f>SUM(AN353:AO353)</f>
        <v>3279.5563490127079</v>
      </c>
      <c r="BS353" s="19">
        <f>SUM(AP353:AQ353)</f>
        <v>3204.1642490354043</v>
      </c>
      <c r="BT353" s="19">
        <f>SUM(AR353:AS353)</f>
        <v>3468.0365989559668</v>
      </c>
    </row>
    <row r="354" spans="1:72" ht="12" customHeight="1" outlineLevel="1">
      <c r="A354" s="91" t="s">
        <v>232</v>
      </c>
      <c r="B354" s="87" t="s">
        <v>109</v>
      </c>
      <c r="C354" s="19"/>
      <c r="D354" s="19">
        <f t="shared" ref="D354:I354" si="2810">-D97</f>
        <v>-1344</v>
      </c>
      <c r="E354" s="19">
        <f t="shared" si="2810"/>
        <v>-281</v>
      </c>
      <c r="F354" s="19">
        <f t="shared" si="2810"/>
        <v>212</v>
      </c>
      <c r="G354" s="19">
        <f t="shared" si="2810"/>
        <v>-41</v>
      </c>
      <c r="H354" s="19">
        <f t="shared" si="2810"/>
        <v>352</v>
      </c>
      <c r="I354" s="19">
        <f t="shared" si="2810"/>
        <v>-1</v>
      </c>
      <c r="J354" s="19">
        <f>-J97</f>
        <v>493</v>
      </c>
      <c r="K354" s="19">
        <f t="shared" ref="K354" si="2811">-K97</f>
        <v>-3</v>
      </c>
      <c r="L354" s="19">
        <f t="shared" ref="L354:Q354" si="2812">-L97</f>
        <v>205</v>
      </c>
      <c r="M354" s="19">
        <f t="shared" si="2812"/>
        <v>871</v>
      </c>
      <c r="N354" s="19">
        <f t="shared" si="2812"/>
        <v>261</v>
      </c>
      <c r="O354" s="19">
        <f t="shared" si="2812"/>
        <v>-60</v>
      </c>
      <c r="P354" s="19">
        <f t="shared" si="2812"/>
        <v>376</v>
      </c>
      <c r="Q354" s="19">
        <f t="shared" si="2812"/>
        <v>-525</v>
      </c>
      <c r="R354" s="19">
        <f t="shared" ref="R354:S354" si="2813">-R97</f>
        <v>432</v>
      </c>
      <c r="S354" s="19">
        <f t="shared" si="2813"/>
        <v>0</v>
      </c>
      <c r="T354" s="19">
        <f t="shared" ref="T354:U354" si="2814">-T97</f>
        <v>373</v>
      </c>
      <c r="U354" s="19">
        <f t="shared" si="2814"/>
        <v>0</v>
      </c>
      <c r="V354" s="19">
        <f t="shared" ref="V354:W354" si="2815">-V97</f>
        <v>454</v>
      </c>
      <c r="W354" s="19">
        <f t="shared" si="2815"/>
        <v>0</v>
      </c>
      <c r="X354" s="19">
        <f t="shared" ref="X354:Y354" si="2816">-X97</f>
        <v>-1063</v>
      </c>
      <c r="Y354" s="19">
        <f t="shared" si="2816"/>
        <v>0</v>
      </c>
      <c r="Z354" s="19">
        <f t="shared" ref="Z354:AA354" si="2817">-Z97</f>
        <v>-795</v>
      </c>
      <c r="AA354" s="19">
        <f t="shared" si="2817"/>
        <v>-44</v>
      </c>
      <c r="AB354" s="19">
        <f t="shared" ref="AB354:AC354" si="2818">-AB97</f>
        <v>-1055</v>
      </c>
      <c r="AC354" s="19">
        <f t="shared" si="2818"/>
        <v>-2863</v>
      </c>
      <c r="AD354" s="19">
        <f t="shared" ref="AD354:AE354" si="2819">-AD97</f>
        <v>-485</v>
      </c>
      <c r="AE354" s="19">
        <f t="shared" si="2819"/>
        <v>0</v>
      </c>
      <c r="AF354" s="19">
        <f t="shared" ref="AF354:AG354" si="2820">-AF97</f>
        <v>0</v>
      </c>
      <c r="AG354" s="19">
        <f t="shared" si="2820"/>
        <v>644</v>
      </c>
      <c r="AH354" s="19">
        <f t="shared" ref="AH354:AI354" si="2821">-AH97</f>
        <v>369</v>
      </c>
      <c r="AI354" s="19">
        <f t="shared" si="2821"/>
        <v>0</v>
      </c>
      <c r="AJ354" s="20">
        <f t="shared" ref="AJ354" si="2822">-AJ97</f>
        <v>0</v>
      </c>
      <c r="AK354" s="19">
        <f t="shared" ref="AK354" si="2823">-AK97</f>
        <v>326.15812548978181</v>
      </c>
      <c r="AL354" s="19">
        <f t="shared" ref="AL354:AM354" si="2824">-AL97</f>
        <v>326.15812548978175</v>
      </c>
      <c r="AM354" s="19">
        <f t="shared" si="2824"/>
        <v>326.15812548978181</v>
      </c>
      <c r="AN354" s="19">
        <f t="shared" ref="AN354:AO354" si="2825">-AN97</f>
        <v>0</v>
      </c>
      <c r="AO354" s="19">
        <f t="shared" si="2825"/>
        <v>0</v>
      </c>
      <c r="AP354" s="19">
        <f t="shared" ref="AP354:AQ354" si="2826">-AP97</f>
        <v>0</v>
      </c>
      <c r="AQ354" s="19">
        <f t="shared" si="2826"/>
        <v>0</v>
      </c>
      <c r="AR354" s="19">
        <f t="shared" ref="AR354:AS354" si="2827">-AR97</f>
        <v>0</v>
      </c>
      <c r="AS354" s="19">
        <f t="shared" si="2827"/>
        <v>0</v>
      </c>
      <c r="AU354" s="19"/>
      <c r="AV354" s="19">
        <f t="shared" ref="AV354:AW354" si="2828">-AV97</f>
        <v>-296</v>
      </c>
      <c r="AW354" s="19">
        <f t="shared" si="2828"/>
        <v>-1169</v>
      </c>
      <c r="AX354" s="19">
        <f t="shared" ref="AX354" si="2829">-AX97</f>
        <v>-1461</v>
      </c>
      <c r="AY354" s="19">
        <f t="shared" ref="AY354:AZ354" si="2830">-AY97</f>
        <v>-365</v>
      </c>
      <c r="AZ354" s="19">
        <f t="shared" si="2830"/>
        <v>-1625</v>
      </c>
      <c r="BA354" s="19">
        <f>SUM(F354:G354)</f>
        <v>171</v>
      </c>
      <c r="BB354" s="19">
        <f>SUM(H354:I354)</f>
        <v>351</v>
      </c>
      <c r="BC354" s="19">
        <f>SUM(J354:K354)</f>
        <v>490</v>
      </c>
      <c r="BD354" s="19">
        <f>SUM(L354:M354)</f>
        <v>1076</v>
      </c>
      <c r="BE354" s="19">
        <f>SUM(N354:O354)</f>
        <v>201</v>
      </c>
      <c r="BF354" s="19">
        <f>SUM(P354:Q354)</f>
        <v>-149</v>
      </c>
      <c r="BG354" s="19">
        <f>SUM(R354:S354)</f>
        <v>432</v>
      </c>
      <c r="BH354" s="19">
        <f>SUM(T354:U354)</f>
        <v>373</v>
      </c>
      <c r="BI354" s="19">
        <f>SUM(V354:W354)</f>
        <v>454</v>
      </c>
      <c r="BJ354" s="19">
        <f>SUM(X354:Y354)</f>
        <v>-1063</v>
      </c>
      <c r="BK354" s="19">
        <f>SUM(Z354:AA354)</f>
        <v>-839</v>
      </c>
      <c r="BL354" s="19">
        <f>SUM(AB354:AC354)</f>
        <v>-3918</v>
      </c>
      <c r="BM354" s="19">
        <f>SUM(AD354:AE354)</f>
        <v>-485</v>
      </c>
      <c r="BN354" s="19">
        <f>SUM(AF354:AG354)</f>
        <v>644</v>
      </c>
      <c r="BO354" s="20">
        <f>SUM(AH354:AI354)</f>
        <v>369</v>
      </c>
      <c r="BP354" s="19">
        <f>SUM(AJ354:AK354)</f>
        <v>326.15812548978181</v>
      </c>
      <c r="BQ354" s="19">
        <f>SUM(AL354:AM354)</f>
        <v>652.31625097956362</v>
      </c>
      <c r="BR354" s="19">
        <f>SUM(AN354:AO354)</f>
        <v>0</v>
      </c>
      <c r="BS354" s="19">
        <f>SUM(AP354:AQ354)</f>
        <v>0</v>
      </c>
      <c r="BT354" s="19">
        <f>SUM(AR354:AS354)</f>
        <v>0</v>
      </c>
    </row>
    <row r="355" spans="1:72" s="9" customFormat="1" ht="12" customHeight="1" outlineLevel="1">
      <c r="A355" s="91" t="s">
        <v>233</v>
      </c>
      <c r="B355" s="16" t="s">
        <v>228</v>
      </c>
      <c r="C355" s="17"/>
      <c r="D355" s="17">
        <f>D353+D354</f>
        <v>-1057</v>
      </c>
      <c r="E355" s="17">
        <f t="shared" ref="E355:J355" si="2831">E353+E354</f>
        <v>65</v>
      </c>
      <c r="F355" s="17">
        <f t="shared" si="2831"/>
        <v>509</v>
      </c>
      <c r="G355" s="17">
        <f t="shared" si="2831"/>
        <v>306</v>
      </c>
      <c r="H355" s="17">
        <f t="shared" si="2831"/>
        <v>577</v>
      </c>
      <c r="I355" s="17">
        <f t="shared" si="2831"/>
        <v>256</v>
      </c>
      <c r="J355" s="17">
        <f t="shared" si="2831"/>
        <v>745</v>
      </c>
      <c r="K355" s="17">
        <f t="shared" ref="K355:L355" si="2832">K353+K354</f>
        <v>416</v>
      </c>
      <c r="L355" s="17">
        <f t="shared" si="2832"/>
        <v>945</v>
      </c>
      <c r="M355" s="17">
        <f t="shared" ref="M355:N355" si="2833">M353+M354</f>
        <v>1385</v>
      </c>
      <c r="N355" s="17">
        <f t="shared" si="2833"/>
        <v>906</v>
      </c>
      <c r="O355" s="17">
        <f t="shared" ref="O355:P355" si="2834">O353+O354</f>
        <v>607</v>
      </c>
      <c r="P355" s="17">
        <f t="shared" si="2834"/>
        <v>917</v>
      </c>
      <c r="Q355" s="17">
        <f t="shared" ref="Q355:R355" si="2835">Q353+Q354</f>
        <v>291</v>
      </c>
      <c r="R355" s="17">
        <f t="shared" si="2835"/>
        <v>1078</v>
      </c>
      <c r="S355" s="17">
        <f t="shared" ref="S355:T355" si="2836">S353+S354</f>
        <v>952</v>
      </c>
      <c r="T355" s="17">
        <f t="shared" si="2836"/>
        <v>1070</v>
      </c>
      <c r="U355" s="17">
        <f t="shared" ref="U355:V355" si="2837">U353+U354</f>
        <v>1089</v>
      </c>
      <c r="V355" s="17">
        <f t="shared" si="2837"/>
        <v>1184</v>
      </c>
      <c r="W355" s="17">
        <f t="shared" ref="W355:X355" si="2838">W353+W354</f>
        <v>1224</v>
      </c>
      <c r="X355" s="17">
        <f t="shared" si="2838"/>
        <v>-179</v>
      </c>
      <c r="Y355" s="17">
        <f t="shared" ref="Y355:Z355" si="2839">Y353+Y354</f>
        <v>637</v>
      </c>
      <c r="Z355" s="17">
        <f t="shared" si="2839"/>
        <v>-309</v>
      </c>
      <c r="AA355" s="17">
        <f t="shared" ref="AA355:AB355" si="2840">AA353+AA354</f>
        <v>1164</v>
      </c>
      <c r="AB355" s="17">
        <f t="shared" si="2840"/>
        <v>-34</v>
      </c>
      <c r="AC355" s="17">
        <f t="shared" ref="AC355:AD355" si="2841">AC353+AC354</f>
        <v>-1524</v>
      </c>
      <c r="AD355" s="17">
        <f t="shared" si="2841"/>
        <v>671</v>
      </c>
      <c r="AE355" s="17">
        <f t="shared" ref="AE355:AF355" si="2842">AE353+AE354</f>
        <v>1734</v>
      </c>
      <c r="AF355" s="17">
        <f t="shared" si="2842"/>
        <v>982</v>
      </c>
      <c r="AG355" s="17">
        <f t="shared" ref="AG355:AH355" si="2843">AG353+AG354</f>
        <v>2109</v>
      </c>
      <c r="AH355" s="17">
        <f t="shared" si="2843"/>
        <v>1356</v>
      </c>
      <c r="AI355" s="17">
        <f t="shared" ref="AI355:AJ355" si="2844">AI353+AI354</f>
        <v>1480</v>
      </c>
      <c r="AJ355" s="18">
        <f t="shared" si="2844"/>
        <v>1067.1875620000001</v>
      </c>
      <c r="AK355" s="17">
        <f t="shared" ref="AK355" si="2845">AK353+AK354</f>
        <v>1844.8943794323118</v>
      </c>
      <c r="AL355" s="17">
        <f t="shared" ref="AL355:AM355" si="2846">AL353+AL354</f>
        <v>1612.352025789703</v>
      </c>
      <c r="AM355" s="17">
        <f t="shared" si="2846"/>
        <v>1909.3922250131582</v>
      </c>
      <c r="AN355" s="17">
        <f t="shared" ref="AN355:AO355" si="2847">AN353+AN354</f>
        <v>1432.4498995687691</v>
      </c>
      <c r="AO355" s="17">
        <f t="shared" si="2847"/>
        <v>1847.106449443939</v>
      </c>
      <c r="AP355" s="17">
        <f t="shared" ref="AP355:AQ355" si="2848">AP353+AP354</f>
        <v>1470.1459495574209</v>
      </c>
      <c r="AQ355" s="17">
        <f t="shared" si="2848"/>
        <v>1734.0182994779834</v>
      </c>
      <c r="AR355" s="17">
        <f t="shared" ref="AR355:AS355" si="2849">AR353+AR354</f>
        <v>1583.2340995233762</v>
      </c>
      <c r="AS355" s="17">
        <f t="shared" si="2849"/>
        <v>1884.8024994325908</v>
      </c>
      <c r="AU355" s="17"/>
      <c r="AV355" s="17">
        <f t="shared" ref="AV355:AW355" si="2850">AV353+AV354</f>
        <v>306</v>
      </c>
      <c r="AW355" s="17">
        <f t="shared" si="2850"/>
        <v>-289</v>
      </c>
      <c r="AX355" s="17">
        <f t="shared" ref="AX355" si="2851">AX353+AX354</f>
        <v>-499</v>
      </c>
      <c r="AY355" s="17">
        <f t="shared" ref="AY355:AZ355" si="2852">AY353+AY354</f>
        <v>44</v>
      </c>
      <c r="AZ355" s="17">
        <f t="shared" si="2852"/>
        <v>-982</v>
      </c>
      <c r="BA355" s="17">
        <f t="shared" ref="BA355:BH355" si="2853">BA353+BA354</f>
        <v>815</v>
      </c>
      <c r="BB355" s="17">
        <f t="shared" si="2853"/>
        <v>833</v>
      </c>
      <c r="BC355" s="17">
        <f t="shared" si="2853"/>
        <v>1161</v>
      </c>
      <c r="BD355" s="17">
        <f t="shared" si="2853"/>
        <v>2330</v>
      </c>
      <c r="BE355" s="17">
        <f t="shared" si="2853"/>
        <v>1513</v>
      </c>
      <c r="BF355" s="17">
        <f t="shared" si="2853"/>
        <v>1208</v>
      </c>
      <c r="BG355" s="17">
        <f t="shared" si="2853"/>
        <v>2030</v>
      </c>
      <c r="BH355" s="17">
        <f t="shared" si="2853"/>
        <v>2159</v>
      </c>
      <c r="BI355" s="17">
        <f t="shared" ref="BI355" si="2854">BI353+BI354</f>
        <v>2408</v>
      </c>
      <c r="BJ355" s="17">
        <f t="shared" ref="BJ355:BO355" si="2855">BJ353+BJ354</f>
        <v>458</v>
      </c>
      <c r="BK355" s="17">
        <f t="shared" si="2855"/>
        <v>855</v>
      </c>
      <c r="BL355" s="17">
        <f t="shared" si="2855"/>
        <v>-1558</v>
      </c>
      <c r="BM355" s="17">
        <f t="shared" si="2855"/>
        <v>2405</v>
      </c>
      <c r="BN355" s="17">
        <f t="shared" si="2855"/>
        <v>3091</v>
      </c>
      <c r="BO355" s="18">
        <f t="shared" si="2855"/>
        <v>2836</v>
      </c>
      <c r="BP355" s="17">
        <f t="shared" ref="BP355:BQ355" si="2856">BP353+BP354</f>
        <v>2912.0819414323119</v>
      </c>
      <c r="BQ355" s="17">
        <f t="shared" si="2856"/>
        <v>3521.7442508028616</v>
      </c>
      <c r="BR355" s="17">
        <f t="shared" ref="BR355:BS355" si="2857">BR353+BR354</f>
        <v>3279.5563490127079</v>
      </c>
      <c r="BS355" s="17">
        <f t="shared" si="2857"/>
        <v>3204.1642490354043</v>
      </c>
      <c r="BT355" s="17">
        <f>BT353+BT354</f>
        <v>3468.0365989559668</v>
      </c>
    </row>
    <row r="356" spans="1:72" ht="12" customHeight="1" outlineLevel="1">
      <c r="A356" s="91" t="s">
        <v>234</v>
      </c>
      <c r="B356" s="87" t="s">
        <v>236</v>
      </c>
      <c r="C356" s="19"/>
      <c r="D356" s="19">
        <f t="shared" ref="D356:AS356" si="2858">D353/(1-D29)*D29*D33*D39</f>
        <v>0</v>
      </c>
      <c r="E356" s="19">
        <f t="shared" si="2858"/>
        <v>0</v>
      </c>
      <c r="F356" s="19">
        <f t="shared" si="2858"/>
        <v>0</v>
      </c>
      <c r="G356" s="19">
        <f t="shared" si="2858"/>
        <v>0</v>
      </c>
      <c r="H356" s="19">
        <f t="shared" si="2858"/>
        <v>0</v>
      </c>
      <c r="I356" s="19">
        <f t="shared" si="2858"/>
        <v>0</v>
      </c>
      <c r="J356" s="19">
        <f t="shared" si="2858"/>
        <v>0</v>
      </c>
      <c r="K356" s="19">
        <f t="shared" si="2858"/>
        <v>43.097142857142856</v>
      </c>
      <c r="L356" s="19">
        <f t="shared" si="2858"/>
        <v>76.1142857142857</v>
      </c>
      <c r="M356" s="19">
        <f t="shared" si="2858"/>
        <v>52.868571428571435</v>
      </c>
      <c r="N356" s="19">
        <f t="shared" si="2858"/>
        <v>66.342857142857142</v>
      </c>
      <c r="O356" s="19">
        <f t="shared" si="2858"/>
        <v>68.605714285714285</v>
      </c>
      <c r="P356" s="19">
        <f t="shared" si="2858"/>
        <v>55.645714285714284</v>
      </c>
      <c r="Q356" s="19">
        <f t="shared" si="2858"/>
        <v>83.931428571428569</v>
      </c>
      <c r="R356" s="19">
        <f t="shared" si="2858"/>
        <v>74.751428571428562</v>
      </c>
      <c r="S356" s="19">
        <f t="shared" si="2858"/>
        <v>110.16</v>
      </c>
      <c r="T356" s="19">
        <f t="shared" si="2858"/>
        <v>80.652857142857144</v>
      </c>
      <c r="U356" s="19">
        <f t="shared" si="2858"/>
        <v>126.01285714285714</v>
      </c>
      <c r="V356" s="19">
        <f t="shared" si="2858"/>
        <v>84.471428571428561</v>
      </c>
      <c r="W356" s="19">
        <f t="shared" si="2858"/>
        <v>141.63428571428571</v>
      </c>
      <c r="X356" s="19">
        <f t="shared" si="2858"/>
        <v>90.925714285714278</v>
      </c>
      <c r="Y356" s="19">
        <f t="shared" si="2858"/>
        <v>65.519999999999982</v>
      </c>
      <c r="Z356" s="19">
        <f t="shared" si="2858"/>
        <v>49.988571428571433</v>
      </c>
      <c r="AA356" s="19">
        <f t="shared" si="2858"/>
        <v>124.25142857142856</v>
      </c>
      <c r="AB356" s="19">
        <f t="shared" si="2858"/>
        <v>105.01714285714286</v>
      </c>
      <c r="AC356" s="19">
        <f t="shared" si="2858"/>
        <v>137.7257142857143</v>
      </c>
      <c r="AD356" s="19">
        <f t="shared" si="2858"/>
        <v>118.90285714285716</v>
      </c>
      <c r="AE356" s="19">
        <f t="shared" si="2858"/>
        <v>178.35428571428574</v>
      </c>
      <c r="AF356" s="19">
        <f t="shared" si="2858"/>
        <v>101.00571428571428</v>
      </c>
      <c r="AG356" s="19">
        <f t="shared" si="2858"/>
        <v>150.68571428571428</v>
      </c>
      <c r="AH356" s="19">
        <f t="shared" si="2858"/>
        <v>88.829999999999984</v>
      </c>
      <c r="AI356" s="19">
        <f t="shared" si="2858"/>
        <v>133.19999999999996</v>
      </c>
      <c r="AJ356" s="20">
        <f t="shared" ref="AJ356" si="2859">AJ353/(1-AJ29)*AJ29*AJ33*AJ39</f>
        <v>96.046880580000007</v>
      </c>
      <c r="AK356" s="19">
        <f t="shared" si="2858"/>
        <v>136.68626285482765</v>
      </c>
      <c r="AL356" s="19">
        <f t="shared" si="2858"/>
        <v>115.7574510269929</v>
      </c>
      <c r="AM356" s="19">
        <f t="shared" si="2858"/>
        <v>142.49106895710383</v>
      </c>
      <c r="AN356" s="19">
        <f t="shared" si="2858"/>
        <v>128.92049096118922</v>
      </c>
      <c r="AO356" s="19">
        <f t="shared" si="2858"/>
        <v>166.2395804499545</v>
      </c>
      <c r="AP356" s="19">
        <f t="shared" si="2858"/>
        <v>132.31313546016787</v>
      </c>
      <c r="AQ356" s="19">
        <f t="shared" si="2858"/>
        <v>156.06164695301848</v>
      </c>
      <c r="AR356" s="19">
        <f t="shared" si="2858"/>
        <v>142.49106895710383</v>
      </c>
      <c r="AS356" s="19">
        <f t="shared" si="2858"/>
        <v>169.63222494893316</v>
      </c>
      <c r="AU356" s="19"/>
      <c r="AV356" s="19">
        <f>AV353/(1-AV29)*AV29*AV33*AV39</f>
        <v>148.32</v>
      </c>
      <c r="AW356" s="19">
        <f>AW353/(1-AW29)*AW29*AW33*AW39</f>
        <v>226.28571428571425</v>
      </c>
      <c r="AX356" s="19">
        <f>AX353/(1-AX29)*AX29*AX33*AX39</f>
        <v>247.37142857142859</v>
      </c>
      <c r="AY356" s="19">
        <f>AY353/(1-AY29)*AY29*AY33*AY39</f>
        <v>79.589189189189227</v>
      </c>
      <c r="AZ356" s="19">
        <f>AZ353/(1-AZ29)*AZ29*AZ33*AZ39</f>
        <v>0</v>
      </c>
      <c r="BA356" s="19">
        <f>SUM(F356:G356)</f>
        <v>0</v>
      </c>
      <c r="BB356" s="19">
        <f>SUM(H356:I356)</f>
        <v>0</v>
      </c>
      <c r="BC356" s="19">
        <f>SUM(J356:K356)</f>
        <v>43.097142857142856</v>
      </c>
      <c r="BD356" s="19">
        <f>SUM(L356:M356)</f>
        <v>128.98285714285714</v>
      </c>
      <c r="BE356" s="19">
        <f>SUM(N356:O356)</f>
        <v>134.94857142857143</v>
      </c>
      <c r="BF356" s="19">
        <f>SUM(P356:Q356)</f>
        <v>139.57714285714286</v>
      </c>
      <c r="BG356" s="19">
        <f>SUM(R356:S356)</f>
        <v>184.91142857142856</v>
      </c>
      <c r="BH356" s="19">
        <f>SUM(T356:U356)</f>
        <v>206.66571428571427</v>
      </c>
      <c r="BI356" s="19">
        <f>SUM(V356:W356)</f>
        <v>226.10571428571427</v>
      </c>
      <c r="BJ356" s="19">
        <f>SUM(X356:Y356)</f>
        <v>156.44571428571425</v>
      </c>
      <c r="BK356" s="19">
        <f>SUM(Z356:AA356)</f>
        <v>174.24</v>
      </c>
      <c r="BL356" s="19">
        <f>SUM(AB356:AC356)</f>
        <v>242.74285714285716</v>
      </c>
      <c r="BM356" s="19">
        <f>SUM(AD356:AE356)</f>
        <v>297.25714285714287</v>
      </c>
      <c r="BN356" s="19">
        <f>SUM(AF356:AG356)</f>
        <v>251.69142857142856</v>
      </c>
      <c r="BO356" s="20">
        <f>SUM(AH356:AI356)</f>
        <v>222.02999999999994</v>
      </c>
      <c r="BP356" s="19">
        <f>SUM(AJ356:AK356)</f>
        <v>232.73314343482764</v>
      </c>
      <c r="BQ356" s="19">
        <f>SUM(AL356:AM356)</f>
        <v>258.24851998409673</v>
      </c>
      <c r="BR356" s="19">
        <f>SUM(AN356:AO356)</f>
        <v>295.16007141114369</v>
      </c>
      <c r="BS356" s="19">
        <f>SUM(AP356:AQ356)</f>
        <v>288.37478241318638</v>
      </c>
      <c r="BT356" s="19">
        <f>SUM(AR356:AS356)</f>
        <v>312.12329390603702</v>
      </c>
    </row>
    <row r="357" spans="1:72" s="9" customFormat="1" ht="12" customHeight="1" outlineLevel="1">
      <c r="A357" s="91" t="s">
        <v>235</v>
      </c>
      <c r="B357" s="16" t="s">
        <v>230</v>
      </c>
      <c r="C357" s="17"/>
      <c r="D357" s="17">
        <f>D355+D356</f>
        <v>-1057</v>
      </c>
      <c r="E357" s="17">
        <f t="shared" ref="E357:K357" si="2860">E355+E356</f>
        <v>65</v>
      </c>
      <c r="F357" s="17">
        <f t="shared" si="2860"/>
        <v>509</v>
      </c>
      <c r="G357" s="17">
        <f t="shared" si="2860"/>
        <v>306</v>
      </c>
      <c r="H357" s="17">
        <f t="shared" si="2860"/>
        <v>577</v>
      </c>
      <c r="I357" s="17">
        <f t="shared" si="2860"/>
        <v>256</v>
      </c>
      <c r="J357" s="17">
        <f t="shared" si="2860"/>
        <v>745</v>
      </c>
      <c r="K357" s="17">
        <f t="shared" si="2860"/>
        <v>459.09714285714284</v>
      </c>
      <c r="L357" s="17">
        <f t="shared" ref="L357:M357" si="2861">L355+L356</f>
        <v>1021.1142857142856</v>
      </c>
      <c r="M357" s="17">
        <f t="shared" si="2861"/>
        <v>1437.8685714285714</v>
      </c>
      <c r="N357" s="17">
        <f t="shared" ref="N357:O357" si="2862">N355+N356</f>
        <v>972.34285714285716</v>
      </c>
      <c r="O357" s="17">
        <f t="shared" si="2862"/>
        <v>675.60571428571427</v>
      </c>
      <c r="P357" s="17">
        <f t="shared" ref="P357:Q357" si="2863">P355+P356</f>
        <v>972.64571428571423</v>
      </c>
      <c r="Q357" s="17">
        <f t="shared" si="2863"/>
        <v>374.93142857142857</v>
      </c>
      <c r="R357" s="17">
        <f t="shared" ref="R357:S357" si="2864">R355+R356</f>
        <v>1152.7514285714285</v>
      </c>
      <c r="S357" s="17">
        <f t="shared" si="2864"/>
        <v>1062.1600000000001</v>
      </c>
      <c r="T357" s="17">
        <f t="shared" ref="T357:U357" si="2865">T355+T356</f>
        <v>1150.6528571428571</v>
      </c>
      <c r="U357" s="17">
        <f t="shared" si="2865"/>
        <v>1215.0128571428572</v>
      </c>
      <c r="V357" s="17">
        <f t="shared" ref="V357:W357" si="2866">V355+V356</f>
        <v>1268.4714285714285</v>
      </c>
      <c r="W357" s="17">
        <f t="shared" si="2866"/>
        <v>1365.6342857142856</v>
      </c>
      <c r="X357" s="17">
        <f t="shared" ref="X357:Y357" si="2867">X355+X356</f>
        <v>-88.074285714285722</v>
      </c>
      <c r="Y357" s="17">
        <f t="shared" si="2867"/>
        <v>702.52</v>
      </c>
      <c r="Z357" s="17">
        <f t="shared" ref="Z357:AA357" si="2868">Z355+Z356</f>
        <v>-259.01142857142855</v>
      </c>
      <c r="AA357" s="17">
        <f t="shared" si="2868"/>
        <v>1288.2514285714285</v>
      </c>
      <c r="AB357" s="17">
        <f t="shared" ref="AB357:AC357" si="2869">AB355+AB356</f>
        <v>71.017142857142858</v>
      </c>
      <c r="AC357" s="17">
        <f t="shared" si="2869"/>
        <v>-1386.2742857142857</v>
      </c>
      <c r="AD357" s="17">
        <f t="shared" ref="AD357:AE357" si="2870">AD355+AD356</f>
        <v>789.9028571428571</v>
      </c>
      <c r="AE357" s="17">
        <f t="shared" si="2870"/>
        <v>1912.3542857142857</v>
      </c>
      <c r="AF357" s="17">
        <f t="shared" ref="AF357:AG357" si="2871">AF355+AF356</f>
        <v>1083.0057142857142</v>
      </c>
      <c r="AG357" s="17">
        <f t="shared" si="2871"/>
        <v>2259.6857142857143</v>
      </c>
      <c r="AH357" s="17">
        <f t="shared" ref="AH357:AI357" si="2872">AH355+AH356</f>
        <v>1444.83</v>
      </c>
      <c r="AI357" s="17">
        <f t="shared" si="2872"/>
        <v>1613.2</v>
      </c>
      <c r="AJ357" s="18">
        <f t="shared" ref="AJ357" si="2873">AJ355+AJ356</f>
        <v>1163.2344425800002</v>
      </c>
      <c r="AK357" s="17">
        <f t="shared" ref="AK357" si="2874">AK355+AK356</f>
        <v>1981.5806422871394</v>
      </c>
      <c r="AL357" s="17">
        <f t="shared" ref="AL357:AM357" si="2875">AL355+AL356</f>
        <v>1728.1094768166959</v>
      </c>
      <c r="AM357" s="17">
        <f t="shared" si="2875"/>
        <v>2051.883293970262</v>
      </c>
      <c r="AN357" s="17">
        <f t="shared" ref="AN357:AO357" si="2876">AN355+AN356</f>
        <v>1561.3703905299583</v>
      </c>
      <c r="AO357" s="17">
        <f t="shared" si="2876"/>
        <v>2013.3460298938935</v>
      </c>
      <c r="AP357" s="17">
        <f t="shared" ref="AP357:AQ357" si="2877">AP355+AP356</f>
        <v>1602.4590850175887</v>
      </c>
      <c r="AQ357" s="17">
        <f t="shared" si="2877"/>
        <v>1890.0799464310019</v>
      </c>
      <c r="AR357" s="17">
        <f t="shared" ref="AR357:AS357" si="2878">AR355+AR356</f>
        <v>1725.7251684804801</v>
      </c>
      <c r="AS357" s="17">
        <f t="shared" si="2878"/>
        <v>2054.4347243815241</v>
      </c>
      <c r="AU357" s="17"/>
      <c r="AV357" s="17">
        <f t="shared" ref="AV357:AW357" si="2879">AV355+AV356</f>
        <v>454.32</v>
      </c>
      <c r="AW357" s="17">
        <f t="shared" si="2879"/>
        <v>-62.714285714285751</v>
      </c>
      <c r="AX357" s="17">
        <f t="shared" ref="AX357" si="2880">AX355+AX356</f>
        <v>-251.62857142857141</v>
      </c>
      <c r="AY357" s="17">
        <f t="shared" ref="AY357:AZ357" si="2881">AY355+AY356</f>
        <v>123.58918918918923</v>
      </c>
      <c r="AZ357" s="17">
        <f t="shared" si="2881"/>
        <v>-982</v>
      </c>
      <c r="BA357" s="17">
        <f t="shared" ref="BA357:BH357" si="2882">BA355+BA356</f>
        <v>815</v>
      </c>
      <c r="BB357" s="17">
        <f t="shared" si="2882"/>
        <v>833</v>
      </c>
      <c r="BC357" s="17">
        <f t="shared" si="2882"/>
        <v>1204.0971428571429</v>
      </c>
      <c r="BD357" s="17">
        <f t="shared" si="2882"/>
        <v>2458.982857142857</v>
      </c>
      <c r="BE357" s="17">
        <f t="shared" si="2882"/>
        <v>1647.9485714285715</v>
      </c>
      <c r="BF357" s="17">
        <f t="shared" si="2882"/>
        <v>1347.5771428571429</v>
      </c>
      <c r="BG357" s="17">
        <f t="shared" si="2882"/>
        <v>2214.9114285714286</v>
      </c>
      <c r="BH357" s="17">
        <f t="shared" si="2882"/>
        <v>2365.6657142857143</v>
      </c>
      <c r="BI357" s="17">
        <f t="shared" ref="BI357:BJ357" si="2883">BI355+BI356</f>
        <v>2634.1057142857144</v>
      </c>
      <c r="BJ357" s="17">
        <f t="shared" si="2883"/>
        <v>614.4457142857143</v>
      </c>
      <c r="BK357" s="17">
        <f t="shared" ref="BK357:BM357" si="2884">BK355+BK356</f>
        <v>1029.24</v>
      </c>
      <c r="BL357" s="17">
        <f t="shared" si="2884"/>
        <v>-1315.2571428571428</v>
      </c>
      <c r="BM357" s="17">
        <f t="shared" si="2884"/>
        <v>2702.2571428571428</v>
      </c>
      <c r="BN357" s="17">
        <f t="shared" ref="BN357:BO357" si="2885">BN355+BN356</f>
        <v>3342.6914285714283</v>
      </c>
      <c r="BO357" s="18">
        <f t="shared" si="2885"/>
        <v>3058.0299999999997</v>
      </c>
      <c r="BP357" s="17">
        <f t="shared" ref="BP357:BQ357" si="2886">BP355+BP356</f>
        <v>3144.8150848671394</v>
      </c>
      <c r="BQ357" s="17">
        <f t="shared" si="2886"/>
        <v>3779.9927707869583</v>
      </c>
      <c r="BR357" s="17">
        <f t="shared" ref="BR357:BS357" si="2887">BR355+BR356</f>
        <v>3574.7164204238516</v>
      </c>
      <c r="BS357" s="17">
        <f t="shared" si="2887"/>
        <v>3492.5390314485908</v>
      </c>
      <c r="BT357" s="17">
        <f>BT355+BT356</f>
        <v>3780.1598928620037</v>
      </c>
    </row>
    <row r="358" spans="1:72" ht="12" customHeight="1" outlineLevel="1"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20"/>
      <c r="AK358" s="19"/>
      <c r="AL358" s="19"/>
      <c r="AM358" s="19"/>
      <c r="AN358" s="19"/>
      <c r="AO358" s="19"/>
      <c r="AP358" s="19"/>
      <c r="AQ358" s="19"/>
      <c r="AR358" s="19"/>
      <c r="AS358" s="19"/>
      <c r="AU358" s="19"/>
      <c r="AV358" s="19"/>
      <c r="AW358" s="19"/>
      <c r="AX358" s="19"/>
      <c r="AY358" s="19"/>
      <c r="AZ358" s="19"/>
    </row>
    <row r="359" spans="1:72" ht="12" customHeight="1" outlineLevel="1">
      <c r="B359" s="3" t="s">
        <v>248</v>
      </c>
      <c r="C359" s="96" t="str">
        <f t="shared" ref="C359" si="2888">IF(ROUND(C351,2)=ROUND(C355,2),"Ok","Error")</f>
        <v>Ok</v>
      </c>
      <c r="D359" s="96" t="str">
        <f>IF(ROUND(D351,2)=ROUND(D355,2),"Ok","Error")</f>
        <v>Error</v>
      </c>
      <c r="E359" s="96" t="str">
        <f t="shared" ref="E359:BC359" si="2889">IF(ROUND(E351,2)=ROUND(E355,2),"Ok","Error")</f>
        <v>Ok</v>
      </c>
      <c r="F359" s="96" t="str">
        <f t="shared" si="2889"/>
        <v>Ok</v>
      </c>
      <c r="G359" s="96" t="str">
        <f t="shared" si="2889"/>
        <v>Ok</v>
      </c>
      <c r="H359" s="96" t="str">
        <f t="shared" si="2889"/>
        <v>Ok</v>
      </c>
      <c r="I359" s="96" t="str">
        <f t="shared" si="2889"/>
        <v>Ok</v>
      </c>
      <c r="J359" s="96" t="str">
        <f t="shared" si="2889"/>
        <v>Ok</v>
      </c>
      <c r="K359" s="100" t="str">
        <f t="shared" si="2889"/>
        <v>Ok</v>
      </c>
      <c r="L359" s="100" t="str">
        <f t="shared" ref="L359" si="2890">IF(ROUND(L351,2)=ROUND(L355,2),"Ok","Error")</f>
        <v>Ok</v>
      </c>
      <c r="M359" s="100" t="str">
        <f t="shared" si="2889"/>
        <v>Ok</v>
      </c>
      <c r="N359" s="100" t="str">
        <f t="shared" ref="N359" si="2891">IF(ROUND(N351,2)=ROUND(N355,2),"Ok","Error")</f>
        <v>Ok</v>
      </c>
      <c r="O359" s="100" t="str">
        <f t="shared" si="2889"/>
        <v>Ok</v>
      </c>
      <c r="P359" s="100" t="str">
        <f t="shared" ref="P359:Q359" si="2892">IF(ROUND(P351,2)=ROUND(P355,2),"Ok","Error")</f>
        <v>Ok</v>
      </c>
      <c r="Q359" s="100" t="str">
        <f t="shared" si="2892"/>
        <v>Ok</v>
      </c>
      <c r="R359" s="100" t="str">
        <f t="shared" ref="R359:S359" si="2893">IF(ROUND(R351,2)=ROUND(R355,2),"Ok","Error")</f>
        <v>Ok</v>
      </c>
      <c r="S359" s="100" t="str">
        <f t="shared" si="2893"/>
        <v>Ok</v>
      </c>
      <c r="T359" s="100" t="str">
        <f t="shared" ref="T359:U359" si="2894">IF(ROUND(T351,2)=ROUND(T355,2),"Ok","Error")</f>
        <v>Ok</v>
      </c>
      <c r="U359" s="100" t="str">
        <f t="shared" si="2894"/>
        <v>Ok</v>
      </c>
      <c r="V359" s="100" t="str">
        <f t="shared" ref="V359:W359" si="2895">IF(ROUND(V351,2)=ROUND(V355,2),"Ok","Error")</f>
        <v>Ok</v>
      </c>
      <c r="W359" s="100" t="str">
        <f t="shared" si="2895"/>
        <v>Ok</v>
      </c>
      <c r="X359" s="100" t="str">
        <f t="shared" ref="X359:Y359" si="2896">IF(ROUND(X351,2)=ROUND(X355,2),"Ok","Error")</f>
        <v>Ok</v>
      </c>
      <c r="Y359" s="100" t="str">
        <f t="shared" si="2896"/>
        <v>Ok</v>
      </c>
      <c r="Z359" s="100" t="str">
        <f t="shared" ref="Z359:AA359" si="2897">IF(ROUND(Z351,2)=ROUND(Z355,2),"Ok","Error")</f>
        <v>Ok</v>
      </c>
      <c r="AA359" s="100" t="str">
        <f t="shared" si="2897"/>
        <v>Ok</v>
      </c>
      <c r="AB359" s="100" t="str">
        <f t="shared" ref="AB359:AC359" si="2898">IF(ROUND(AB351,2)=ROUND(AB355,2),"Ok","Error")</f>
        <v>Ok</v>
      </c>
      <c r="AC359" s="100" t="str">
        <f t="shared" si="2898"/>
        <v>Ok</v>
      </c>
      <c r="AD359" s="100" t="str">
        <f t="shared" ref="AD359:AE359" si="2899">IF(ROUND(AD351,2)=ROUND(AD355,2),"Ok","Error")</f>
        <v>Ok</v>
      </c>
      <c r="AE359" s="100" t="str">
        <f t="shared" si="2899"/>
        <v>Ok</v>
      </c>
      <c r="AF359" s="100" t="str">
        <f t="shared" ref="AF359:AG359" si="2900">IF(ROUND(AF351,2)=ROUND(AF355,2),"Ok","Error")</f>
        <v>Ok</v>
      </c>
      <c r="AG359" s="100" t="str">
        <f t="shared" si="2900"/>
        <v>Ok</v>
      </c>
      <c r="AH359" s="100" t="str">
        <f t="shared" ref="AH359:AI359" si="2901">IF(ROUND(AH351,2)=ROUND(AH355,2),"Ok","Error")</f>
        <v>Ok</v>
      </c>
      <c r="AI359" s="100" t="str">
        <f t="shared" si="2901"/>
        <v>Ok</v>
      </c>
      <c r="AJ359" s="97" t="str">
        <f t="shared" ref="AJ359:AK359" si="2902">IF(ROUND(AJ351,2)=ROUND(AJ355,2),"Ok","Error")</f>
        <v>Ok</v>
      </c>
      <c r="AK359" s="96" t="str">
        <f t="shared" si="2902"/>
        <v>Ok</v>
      </c>
      <c r="AL359" s="96" t="str">
        <f t="shared" ref="AL359:AM359" si="2903">IF(ROUND(AL351,2)=ROUND(AL355,2),"Ok","Error")</f>
        <v>Ok</v>
      </c>
      <c r="AM359" s="96" t="str">
        <f t="shared" si="2903"/>
        <v>Ok</v>
      </c>
      <c r="AN359" s="96" t="str">
        <f t="shared" ref="AN359:AO359" si="2904">IF(ROUND(AN351,2)=ROUND(AN355,2),"Ok","Error")</f>
        <v>Ok</v>
      </c>
      <c r="AO359" s="96" t="str">
        <f t="shared" si="2904"/>
        <v>Ok</v>
      </c>
      <c r="AP359" s="96" t="str">
        <f t="shared" ref="AP359:AQ359" si="2905">IF(ROUND(AP351,2)=ROUND(AP355,2),"Ok","Error")</f>
        <v>Ok</v>
      </c>
      <c r="AQ359" s="96" t="str">
        <f t="shared" si="2905"/>
        <v>Ok</v>
      </c>
      <c r="AR359" s="96" t="str">
        <f t="shared" ref="AR359:AS359" si="2906">IF(ROUND(AR351,2)=ROUND(AR355,2),"Ok","Error")</f>
        <v>Ok</v>
      </c>
      <c r="AS359" s="96" t="str">
        <f t="shared" si="2906"/>
        <v>Ok</v>
      </c>
      <c r="AU359" s="96"/>
      <c r="AV359" s="96" t="str">
        <f t="shared" ref="AV359:AW359" si="2907">IF(ROUND(AV351,2)=ROUND(AV355,2),"Ok","Error")</f>
        <v>Ok</v>
      </c>
      <c r="AW359" s="96" t="str">
        <f t="shared" si="2907"/>
        <v>Ok</v>
      </c>
      <c r="AX359" s="96" t="str">
        <f t="shared" si="2889"/>
        <v>Ok</v>
      </c>
      <c r="AY359" s="96" t="str">
        <f t="shared" ref="AY359:AZ359" si="2908">IF(ROUND(AY351,2)=ROUND(AY355,2),"Ok","Error")</f>
        <v>Ok</v>
      </c>
      <c r="AZ359" s="96" t="str">
        <f t="shared" si="2908"/>
        <v>Ok</v>
      </c>
      <c r="BA359" s="100" t="str">
        <f t="shared" ref="BA359" si="2909">IF(ROUND(BA351,2)=ROUND(BA355,2),"Ok","Error")</f>
        <v>Ok</v>
      </c>
      <c r="BB359" s="100" t="str">
        <f t="shared" ref="BB359" si="2910">IF(ROUND(BB351,2)=ROUND(BB355,2),"Ok","Error")</f>
        <v>Ok</v>
      </c>
      <c r="BC359" s="100" t="str">
        <f t="shared" si="2889"/>
        <v>Ok</v>
      </c>
      <c r="BD359" s="100" t="str">
        <f t="shared" ref="BD359" si="2911">IF(ROUND(BD351,2)=ROUND(BD355,2),"Ok","Error")</f>
        <v>Ok</v>
      </c>
      <c r="BE359" s="100" t="str">
        <f t="shared" ref="BE359" si="2912">IF(ROUND(BE351,2)=ROUND(BE355,2),"Ok","Error")</f>
        <v>Ok</v>
      </c>
      <c r="BF359" s="100" t="str">
        <f t="shared" ref="BF359" si="2913">IF(ROUND(BF351,2)=ROUND(BF355,2),"Ok","Error")</f>
        <v>Ok</v>
      </c>
      <c r="BG359" s="100" t="str">
        <f t="shared" ref="BG359" si="2914">IF(ROUND(BG351,2)=ROUND(BG355,2),"Ok","Error")</f>
        <v>Ok</v>
      </c>
      <c r="BH359" s="100" t="str">
        <f t="shared" ref="BH359" si="2915">IF(ROUND(BH351,2)=ROUND(BH355,2),"Ok","Error")</f>
        <v>Ok</v>
      </c>
      <c r="BI359" s="100" t="str">
        <f t="shared" ref="BI359:BN359" si="2916">IF(ROUND(BI351,2)=ROUND(BI355,2),"Ok","Error")</f>
        <v>Ok</v>
      </c>
      <c r="BJ359" s="100" t="str">
        <f t="shared" si="2916"/>
        <v>Ok</v>
      </c>
      <c r="BK359" s="100" t="str">
        <f t="shared" si="2916"/>
        <v>Ok</v>
      </c>
      <c r="BL359" s="100" t="str">
        <f t="shared" si="2916"/>
        <v>Ok</v>
      </c>
      <c r="BM359" s="100" t="str">
        <f t="shared" si="2916"/>
        <v>Ok</v>
      </c>
      <c r="BN359" s="100" t="str">
        <f t="shared" si="2916"/>
        <v>Ok</v>
      </c>
      <c r="BO359" s="97" t="str">
        <f t="shared" ref="BO359:BP359" si="2917">IF(ROUND(BO351,2)=ROUND(BO355,2),"Ok","Error")</f>
        <v>Ok</v>
      </c>
      <c r="BP359" s="100" t="str">
        <f t="shared" si="2917"/>
        <v>Ok</v>
      </c>
      <c r="BQ359" s="100" t="str">
        <f t="shared" ref="BQ359:BR359" si="2918">IF(ROUND(BQ351,2)=ROUND(BQ355,2),"Ok","Error")</f>
        <v>Ok</v>
      </c>
      <c r="BR359" s="100" t="str">
        <f t="shared" si="2918"/>
        <v>Ok</v>
      </c>
      <c r="BS359" s="100" t="str">
        <f t="shared" ref="BS359" si="2919">IF(ROUND(BS351,2)=ROUND(BS355,2),"Ok","Error")</f>
        <v>Ok</v>
      </c>
      <c r="BT359" s="100" t="str">
        <f t="shared" ref="BT359" si="2920">IF(ROUND(BT351,2)=ROUND(BT355,2),"Ok","Error")</f>
        <v>Ok</v>
      </c>
    </row>
    <row r="360" spans="1:72" ht="12" customHeight="1"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20"/>
      <c r="AK360" s="19"/>
      <c r="AL360" s="19"/>
      <c r="AM360" s="19"/>
      <c r="AN360" s="19"/>
      <c r="AO360" s="19"/>
      <c r="AP360" s="19"/>
      <c r="AQ360" s="19"/>
      <c r="AR360" s="19"/>
      <c r="AS360" s="19"/>
      <c r="AU360" s="19"/>
      <c r="AV360" s="19"/>
      <c r="AW360" s="19"/>
      <c r="AX360" s="19"/>
      <c r="AY360" s="19"/>
    </row>
    <row r="361" spans="1:72" s="9" customFormat="1" ht="12" customHeight="1">
      <c r="A361" s="91" t="s">
        <v>251</v>
      </c>
      <c r="B361" s="2" t="s">
        <v>249</v>
      </c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14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172"/>
      <c r="AV361" s="172">
        <f t="shared" ref="AV361:AY361" ca="1" si="2921">AV373</f>
        <v>92.818991411959615</v>
      </c>
      <c r="AW361" s="172">
        <f t="shared" ca="1" si="2921"/>
        <v>93.019338311257883</v>
      </c>
      <c r="AX361" s="172">
        <f t="shared" ca="1" si="2921"/>
        <v>94.846441593142984</v>
      </c>
      <c r="AY361" s="172">
        <f t="shared" ca="1" si="2921"/>
        <v>99.903328796426905</v>
      </c>
      <c r="AZ361" s="172">
        <f ca="1">AZ373</f>
        <v>92.629594641772854</v>
      </c>
      <c r="BA361" s="172">
        <f t="shared" ref="BA361:BH361" ca="1" si="2922">BA373</f>
        <v>98.090806844653429</v>
      </c>
      <c r="BB361" s="172">
        <f t="shared" ca="1" si="2922"/>
        <v>104.22144531504563</v>
      </c>
      <c r="BC361" s="172">
        <f t="shared" ca="1" si="2922"/>
        <v>113.36515593401828</v>
      </c>
      <c r="BD361" s="172">
        <f t="shared" ca="1" si="2922"/>
        <v>125.45243692710665</v>
      </c>
      <c r="BE361" s="172">
        <f t="shared" ca="1" si="2922"/>
        <v>126.96475618732687</v>
      </c>
      <c r="BF361" s="172">
        <f t="shared" ca="1" si="2922"/>
        <v>131.89695140644048</v>
      </c>
      <c r="BG361" s="172">
        <f t="shared" ca="1" si="2922"/>
        <v>137.50287705184792</v>
      </c>
      <c r="BH361" s="172">
        <f t="shared" ca="1" si="2922"/>
        <v>143.19698490643643</v>
      </c>
      <c r="BI361" s="172">
        <f t="shared" ref="BI361:BJ361" ca="1" si="2923">BI373</f>
        <v>148.6242176864464</v>
      </c>
      <c r="BJ361" s="172">
        <f t="shared" ca="1" si="2923"/>
        <v>154.15276287433343</v>
      </c>
      <c r="BK361" s="172">
        <f t="shared" ref="BK361:BM361" ca="1" si="2924">BK373</f>
        <v>162.02881087562793</v>
      </c>
      <c r="BL361" s="172">
        <f t="shared" ca="1" si="2924"/>
        <v>170.2976459471875</v>
      </c>
      <c r="BM361" s="172">
        <f t="shared" ca="1" si="2924"/>
        <v>177.61168357680748</v>
      </c>
      <c r="BN361" s="172">
        <f t="shared" ref="BN361:BO361" ca="1" si="2925">BN373</f>
        <v>187.00323331959549</v>
      </c>
      <c r="BO361" s="173">
        <f t="shared" ca="1" si="2925"/>
        <v>197.16145182347586</v>
      </c>
      <c r="BP361" s="172">
        <f t="shared" ref="BP361:BQ361" ca="1" si="2926">BP373</f>
        <v>207.84228164991325</v>
      </c>
      <c r="BQ361" s="172">
        <f t="shared" ca="1" si="2926"/>
        <v>218.57604259488872</v>
      </c>
      <c r="BR361" s="172">
        <f t="shared" ref="BR361:BS361" ca="1" si="2927">BR373</f>
        <v>229.2020385136185</v>
      </c>
      <c r="BS361" s="172">
        <f t="shared" ca="1" si="2927"/>
        <v>241.02362605687148</v>
      </c>
      <c r="BT361" s="172">
        <f ca="1">BT373</f>
        <v>253.16979965410363</v>
      </c>
    </row>
    <row r="362" spans="1:72" ht="12" customHeight="1" outlineLevel="1">
      <c r="B362" s="87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20"/>
      <c r="AK362" s="19"/>
      <c r="AL362" s="19"/>
      <c r="AM362" s="19"/>
      <c r="AN362" s="19"/>
      <c r="AO362" s="19"/>
      <c r="AP362" s="19"/>
      <c r="AQ362" s="19"/>
      <c r="AR362" s="19"/>
      <c r="AS362" s="19"/>
      <c r="AU362" s="19"/>
      <c r="AV362" s="19"/>
      <c r="AW362" s="19"/>
      <c r="AX362" s="19"/>
      <c r="AY362" s="19"/>
    </row>
    <row r="363" spans="1:72" ht="12" customHeight="1" outlineLevel="1">
      <c r="A363" s="91" t="s">
        <v>252</v>
      </c>
      <c r="B363" s="87" t="s">
        <v>250</v>
      </c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20"/>
      <c r="AK363" s="19"/>
      <c r="AL363" s="19"/>
      <c r="AM363" s="19"/>
      <c r="AN363" s="19"/>
      <c r="AO363" s="19"/>
      <c r="AP363" s="19"/>
      <c r="AQ363" s="19"/>
      <c r="AR363" s="19"/>
      <c r="AS363" s="19"/>
      <c r="AT363" s="19"/>
      <c r="AU363" s="19">
        <f ca="1">IF(AU$1=Summary!$G$3,0,NPV(Summary!$G$8,OFFSET(AU351,0,1,1,MATCH(Summary!$G$3,AV$1:$JD$1,0))))</f>
        <v>8511.2562757377582</v>
      </c>
      <c r="AV363" s="19">
        <f ca="1">IF(AV$1=Summary!$G$3,0,NPV(Summary!$G$8,OFFSET(AV351,0,1,1,MATCH(Summary!$G$3,AW$1:$JD$1,0))))</f>
        <v>8988.291853105633</v>
      </c>
      <c r="AW363" s="19">
        <f ca="1">IF(AW$1=Summary!$G$3,0,NPV(Summary!$G$8,OFFSET(AW351,0,1,1,MATCH(Summary!$G$3,AX$1:$JD$1,0))))</f>
        <v>10104.214703591353</v>
      </c>
      <c r="AX363" s="19">
        <f ca="1">IF(AX$1=Summary!$G$3,0,NPV(Summary!$G$8,OFFSET(AX351,0,1,1,MATCH(Summary!$G$3,AY$1:$JD$1,0))))</f>
        <v>11532.80245632176</v>
      </c>
      <c r="AY363" s="19">
        <f ca="1">IF(AY$1=Summary!$G$3,0,NPV(Summary!$G$8,OFFSET(AY351,0,1,1,MATCH(Summary!$G$3,AZ$1:$JD$1,0))))</f>
        <v>12549.820282303361</v>
      </c>
      <c r="AZ363" s="19">
        <f ca="1">IF(AZ$1=Summary!$G$3,0,NPV(Summary!$G$8,OFFSET(AZ351,0,1,1,MATCH(Summary!$G$3,BA$1:$JD$1,0))))</f>
        <v>14686.403748275272</v>
      </c>
      <c r="BA363" s="19">
        <f ca="1">IF(BA$1=Summary!$G$3,0,NPV(Summary!$G$8,OFFSET(BA351,0,1,1,MATCH(Summary!$G$3,BB$1:$JD$1,0))))</f>
        <v>15222.552893116601</v>
      </c>
      <c r="BB363" s="19">
        <f ca="1">IF(BB$1=Summary!$G$3,0,NPV(Summary!$G$8,OFFSET(BB351,0,1,1,MATCH(Summary!$G$3,BC$1:$JD$1,0))))</f>
        <v>15790.027759283328</v>
      </c>
      <c r="BC363" s="19">
        <f ca="1">IF(BC$1=Summary!$G$3,0,NPV(Summary!$G$8,OFFSET(BC351,0,1,1,MATCH(Summary!$G$3,BD$1:$JD$1,0))))</f>
        <v>16081.710313137397</v>
      </c>
      <c r="BD363" s="19">
        <f ca="1">IF(BD$1=Summary!$G$3,0,NPV(Summary!$G$8,OFFSET(BD351,0,1,1,MATCH(Summary!$G$3,BE$1:$JD$1,0))))</f>
        <v>15231.227661946041</v>
      </c>
      <c r="BE363" s="19">
        <f ca="1">IF(BE$1=Summary!$G$3,0,NPV(Summary!$G$8,OFFSET(BE351,0,1,1,MATCH(Summary!$G$3,BF$1:$JD$1,0))))</f>
        <v>15119.500606845073</v>
      </c>
      <c r="BF363" s="19">
        <f ca="1">IF(BF$1=Summary!$G$3,0,NPV(Summary!$G$8,OFFSET(BF351,0,1,1,MATCH(Summary!$G$3,BG$1:$JD$1,0))))</f>
        <v>15302.494662674824</v>
      </c>
      <c r="BG363" s="19">
        <f ca="1">IF(BG$1=Summary!$G$3,0,NPV(Summary!$G$8,OFFSET(BG351,0,1,1,MATCH(Summary!$G$3,BH$1:$JD$1,0))))</f>
        <v>14680.324171640908</v>
      </c>
      <c r="BH363" s="19">
        <f ca="1">IF(BH$1=Summary!$G$3,0,NPV(Summary!$G$8,OFFSET(BH351,0,1,1,MATCH(Summary!$G$3,BI$1:$JD$1,0))))</f>
        <v>13871.913995431874</v>
      </c>
      <c r="BI363" s="19">
        <f ca="1">IF(BI$1=Summary!$G$3,0,NPV(Summary!$G$8,OFFSET(BI351,0,1,1,MATCH(Summary!$G$3,BJ$1:$JD$1,0))))</f>
        <v>12740.130083011605</v>
      </c>
      <c r="BJ363" s="19">
        <f ca="1">IF(BJ$1=Summary!$G$3,0,NPV(Summary!$G$8,OFFSET(BJ351,0,1,1,MATCH(Summary!$G$3,BK$1:$JD$1,0))))</f>
        <v>13454.222050648677</v>
      </c>
      <c r="BK363" s="19">
        <f ca="1">IF(BK$1=Summary!$G$3,0,NPV(Summary!$G$8,OFFSET(BK351,0,1,1,MATCH(Summary!$G$3,BL$1:$JD$1,0))))</f>
        <v>13837.010479308357</v>
      </c>
      <c r="BL363" s="19">
        <f ca="1">IF(BL$1=Summary!$G$3,0,NPV(Summary!$G$8,OFFSET(BL351,0,1,1,MATCH(Summary!$G$3,BM$1:$JD$1,0))))</f>
        <v>16668.015443404725</v>
      </c>
      <c r="BM363" s="19">
        <f ca="1">IF(BM$1=Summary!$G$3,0,NPV(Summary!$G$8,OFFSET(BM351,0,1,1,MATCH(Summary!$G$3,BN$1:$JD$1,0))))</f>
        <v>15796.47286419796</v>
      </c>
      <c r="BN363" s="19">
        <f ca="1">IF(BN$1=Summary!$G$3,0,NPV(Summary!$G$8,OFFSET(BN351,0,1,1,MATCH(Summary!$G$3,BO$1:$JD$1,0))))</f>
        <v>14158.748367704173</v>
      </c>
      <c r="BO363" s="20">
        <f ca="1">IF(BO$1=Summary!$G$3,0,NPV(Summary!$G$8,OFFSET(BO351,0,1,1,MATCH(Summary!$G$3,BP$1:$JD$1,0))))</f>
        <v>12625.353217532962</v>
      </c>
      <c r="BP363" s="19">
        <f ca="1">IF(BP$1=Summary!$G$3,0,NPV(Summary!$G$8,OFFSET(BP351,0,1,1,MATCH(Summary!$G$3,BQ$1:$JD$1,0))))</f>
        <v>10874.803772113682</v>
      </c>
      <c r="BQ363" s="19">
        <f ca="1">IF(BQ$1=Summary!$G$3,0,NPV(Summary!$G$8,OFFSET(BQ351,0,1,1,MATCH(Summary!$G$3,BR$1:$JD$1,0))))</f>
        <v>8353.5414683452818</v>
      </c>
      <c r="BR363" s="19">
        <f ca="1">IF(BR$1=Summary!$G$3,0,NPV(Summary!$G$8,OFFSET(BR351,0,1,1,MATCH(Summary!$G$3,BS$1:$JD$1,0))))</f>
        <v>5842.5109344203502</v>
      </c>
      <c r="BS363" s="19">
        <f ca="1">IF(BS$1=Summary!$G$3,0,NPV(Summary!$G$8,OFFSET(BS351,0,1,1,MATCH(Summary!$G$3,BT$1:$JD$1,0))))</f>
        <v>3175.8576913516135</v>
      </c>
      <c r="BT363" s="19">
        <f ca="1">IF(BT$1=Summary!$G$3,0,NPV(Summary!$G$8,OFFSET(BT351,0,1,1,MATCH(Summary!$G$3,BU$1:$JD$1,0))))</f>
        <v>0</v>
      </c>
    </row>
    <row r="364" spans="1:72" ht="12" customHeight="1" outlineLevel="1">
      <c r="A364" s="91" t="s">
        <v>253</v>
      </c>
      <c r="B364" s="87" t="s">
        <v>254</v>
      </c>
      <c r="C364" s="19"/>
      <c r="D364" s="19"/>
      <c r="E364" s="19"/>
      <c r="F364" s="19"/>
      <c r="G364" s="19"/>
      <c r="H364" s="36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20"/>
      <c r="AK364" s="19"/>
      <c r="AL364" s="19"/>
      <c r="AM364" s="19"/>
      <c r="AN364" s="19"/>
      <c r="AO364" s="19"/>
      <c r="AP364" s="19"/>
      <c r="AQ364" s="19"/>
      <c r="AR364" s="19"/>
      <c r="AS364" s="19"/>
      <c r="AT364" s="19"/>
      <c r="AU364" s="19">
        <f ca="1">IF(AU$1=Summary!$G$3,((AU81-AU55*AU56*(1-AU30))*(1+Summary!$G$4)-AU314*Summary!$G$4*AU48)/(Summary!$G$8-Summary!$G$4)+AU55,(((OFFSET(AU81,0,MATCH(Summary!$G$3,AV$1:$JD$1,0),1,1)-OFFSET(AU55,0,MATCH(Summary!$G$3,AV$1:$JD$1,0),1,1)*OFFSET(AU56,0,MATCH(Summary!$G$3,AV$1:$JD$1,0),1,1)*(1-OFFSET(AU30,0,MATCH(Summary!$G$3,AV$1:$JD$1,0),1,1)))*(1+Summary!$G$4)-OFFSET(AU314,0,MATCH(Summary!$G$3,AV$1:$JD$1,0),1,1)*Summary!$G$4*OFFSET(AU48,0,MATCH(Summary!$G$3,AV$1:$JD$1,0),1,1))/(Summary!$G$8-Summary!$G$4)+OFFSET(AU55,0,MATCH(Summary!$G$3,AV$1:$JD$1,0),1,1))/(1+Summary!$G$8)^COUNTA(OFFSET(AU$1,0,0,1,MATCH(Summary!$G$3,AV$1:$JD$1,0))))</f>
        <v>9943.8194621507973</v>
      </c>
      <c r="AV364" s="19">
        <f ca="1">IF(AV$1=Summary!$G$3,((AV81-AV55*AV56*(1-AV30))*(1+Summary!$G$4)-AV314*Summary!$G$4*AV48)/(Summary!$G$8-Summary!$G$4)+AV55,(((OFFSET(AV81,0,MATCH(Summary!$G$3,AW$1:$JD$1,0),1,1)-OFFSET(AV55,0,MATCH(Summary!$G$3,AW$1:$JD$1,0),1,1)*OFFSET(AV56,0,MATCH(Summary!$G$3,AW$1:$JD$1,0),1,1)*(1-OFFSET(AV30,0,MATCH(Summary!$G$3,AW$1:$JD$1,0),1,1)))*(1+Summary!$G$4)-OFFSET(AV314,0,MATCH(Summary!$G$3,AW$1:$JD$1,0),1,1)*Summary!$G$4*OFFSET(AV48,0,MATCH(Summary!$G$3,AW$1:$JD$1,0),1,1))/(Summary!$G$8-Summary!$G$4)+OFFSET(AV55,0,MATCH(Summary!$G$3,AW$1:$JD$1,0),1,1))/(1+Summary!$G$8)^COUNTA(OFFSET(AV$1,0,0,1,MATCH(Summary!$G$3,AW$1:$JD$1,0))))</f>
        <v>10858.650852668672</v>
      </c>
      <c r="AW364" s="19">
        <f ca="1">IF(AW$1=Summary!$G$3,((AW81-AW55*AW56*(1-AW30))*(1+Summary!$G$4)-AW314*Summary!$G$4*AW48)/(Summary!$G$8-Summary!$G$4)+AW55,(((OFFSET(AW81,0,MATCH(Summary!$G$3,AX$1:$JD$1,0),1,1)-OFFSET(AW55,0,MATCH(Summary!$G$3,AX$1:$JD$1,0),1,1)*OFFSET(AW56,0,MATCH(Summary!$G$3,AX$1:$JD$1,0),1,1)*(1-OFFSET(AW30,0,MATCH(Summary!$G$3,AX$1:$JD$1,0),1,1)))*(1+Summary!$G$4)-OFFSET(AW314,0,MATCH(Summary!$G$3,AX$1:$JD$1,0),1,1)*Summary!$G$4*OFFSET(AW48,0,MATCH(Summary!$G$3,AX$1:$JD$1,0),1,1))/(Summary!$G$8-Summary!$G$4)+OFFSET(AW55,0,MATCH(Summary!$G$3,AX$1:$JD$1,0),1,1))/(1+Summary!$G$8)^COUNTA(OFFSET(AW$1,0,0,1,MATCH(Summary!$G$3,AX$1:$JD$1,0))))</f>
        <v>11857.64673111419</v>
      </c>
      <c r="AX364" s="19">
        <f ca="1">IF(AX$1=Summary!$G$3,((AX81-AX55*AX56*(1-AX30))*(1+Summary!$G$4)-AX314*Summary!$G$4*AX48)/(Summary!$G$8-Summary!$G$4)+AX55,(((OFFSET(AX81,0,MATCH(Summary!$G$3,AY$1:$JD$1,0),1,1)-OFFSET(AX55,0,MATCH(Summary!$G$3,AY$1:$JD$1,0),1,1)*OFFSET(AX56,0,MATCH(Summary!$G$3,AY$1:$JD$1,0),1,1)*(1-OFFSET(AX30,0,MATCH(Summary!$G$3,AY$1:$JD$1,0),1,1)))*(1+Summary!$G$4)-OFFSET(AX314,0,MATCH(Summary!$G$3,AY$1:$JD$1,0),1,1)*Summary!$G$4*OFFSET(AX48,0,MATCH(Summary!$G$3,AY$1:$JD$1,0),1,1))/(Summary!$G$8-Summary!$G$4)+OFFSET(AX55,0,MATCH(Summary!$G$3,AY$1:$JD$1,0),1,1))/(1+Summary!$G$8)^COUNTA(OFFSET(AX$1,0,0,1,MATCH(Summary!$G$3,AY$1:$JD$1,0))))</f>
        <v>12948.550230376697</v>
      </c>
      <c r="AY364" s="19">
        <f ca="1">IF(AY$1=Summary!$G$3,((AY81-AY55*AY56*(1-AY30))*(1+Summary!$G$4)-AY314*Summary!$G$4*AY48)/(Summary!$G$8-Summary!$G$4)+AY55,(((OFFSET(AY81,0,MATCH(Summary!$G$3,AZ$1:$JD$1,0),1,1)-OFFSET(AY55,0,MATCH(Summary!$G$3,AZ$1:$JD$1,0),1,1)*OFFSET(AY56,0,MATCH(Summary!$G$3,AZ$1:$JD$1,0),1,1)*(1-OFFSET(AY30,0,MATCH(Summary!$G$3,AZ$1:$JD$1,0),1,1)))*(1+Summary!$G$4)-OFFSET(AY314,0,MATCH(Summary!$G$3,AZ$1:$JD$1,0),1,1)*Summary!$G$4*OFFSET(AY48,0,MATCH(Summary!$G$3,AZ$1:$JD$1,0),1,1))/(Summary!$G$8-Summary!$G$4)+OFFSET(AY55,0,MATCH(Summary!$G$3,AZ$1:$JD$1,0),1,1))/(1+Summary!$G$8)^COUNTA(OFFSET(AY$1,0,0,1,MATCH(Summary!$G$3,AZ$1:$JD$1,0))))</f>
        <v>14139.816851571353</v>
      </c>
      <c r="AZ364" s="19">
        <f ca="1">IF(AZ$1=Summary!$G$3,((AZ81-AZ55*AZ56*(1-AZ30))*(1+Summary!$G$4)-AZ314*Summary!$G$4*AZ48)/(Summary!$G$8-Summary!$G$4)+AZ55,(((OFFSET(AZ81,0,MATCH(Summary!$G$3,BA$1:$JD$1,0),1,1)-OFFSET(AZ55,0,MATCH(Summary!$G$3,BA$1:$JD$1,0),1,1)*OFFSET(AZ56,0,MATCH(Summary!$G$3,BA$1:$JD$1,0),1,1)*(1-OFFSET(AZ30,0,MATCH(Summary!$G$3,BA$1:$JD$1,0),1,1)))*(1+Summary!$G$4)-OFFSET(AZ314,0,MATCH(Summary!$G$3,BA$1:$JD$1,0),1,1)*Summary!$G$4*OFFSET(AZ48,0,MATCH(Summary!$G$3,BA$1:$JD$1,0),1,1))/(Summary!$G$8-Summary!$G$4)+OFFSET(AZ55,0,MATCH(Summary!$G$3,BA$1:$JD$1,0),1,1))/(1+Summary!$G$8)^COUNTA(OFFSET(AZ$1,0,0,1,MATCH(Summary!$G$3,BA$1:$JD$1,0))))</f>
        <v>15440.680001915918</v>
      </c>
      <c r="BA364" s="19">
        <f ca="1">IF(BA$1=Summary!$G$3,((BA81-BA55*BA56*(1-BA30))*(1+Summary!$G$4)-BA314*Summary!$G$4*BA48)/(Summary!$G$8-Summary!$G$4)+BA55,(((OFFSET(BA81,0,MATCH(Summary!$G$3,BB$1:$JD$1,0),1,1)-OFFSET(BA55,0,MATCH(Summary!$G$3,BB$1:$JD$1,0),1,1)*OFFSET(BA56,0,MATCH(Summary!$G$3,BB$1:$JD$1,0),1,1)*(1-OFFSET(BA30,0,MATCH(Summary!$G$3,BB$1:$JD$1,0),1,1)))*(1+Summary!$G$4)-OFFSET(BA314,0,MATCH(Summary!$G$3,BB$1:$JD$1,0),1,1)*Summary!$G$4*OFFSET(BA48,0,MATCH(Summary!$G$3,BB$1:$JD$1,0),1,1))/(Summary!$G$8-Summary!$G$4)+OFFSET(BA55,0,MATCH(Summary!$G$3,BB$1:$JD$1,0),1,1))/(1+Summary!$G$8)^COUNTA(OFFSET(BA$1,0,0,1,MATCH(Summary!$G$3,BB$1:$JD$1,0))))</f>
        <v>16861.222562092185</v>
      </c>
      <c r="BB364" s="19">
        <f ca="1">IF(BB$1=Summary!$G$3,((BB81-BB55*BB56*(1-BB30))*(1+Summary!$G$4)-BB314*Summary!$G$4*BB48)/(Summary!$G$8-Summary!$G$4)+BB55,(((OFFSET(BB81,0,MATCH(Summary!$G$3,BC$1:$JD$1,0),1,1)-OFFSET(BB55,0,MATCH(Summary!$G$3,BC$1:$JD$1,0),1,1)*OFFSET(BB56,0,MATCH(Summary!$G$3,BC$1:$JD$1,0),1,1)*(1-OFFSET(BB30,0,MATCH(Summary!$G$3,BC$1:$JD$1,0),1,1)))*(1+Summary!$G$4)-OFFSET(BB314,0,MATCH(Summary!$G$3,BC$1:$JD$1,0),1,1)*Summary!$G$4*OFFSET(BB48,0,MATCH(Summary!$G$3,BC$1:$JD$1,0),1,1))/(Summary!$G$8-Summary!$G$4)+OFFSET(BB55,0,MATCH(Summary!$G$3,BC$1:$JD$1,0),1,1))/(1+Summary!$G$8)^COUNTA(OFFSET(BB$1,0,0,1,MATCH(Summary!$G$3,BC$1:$JD$1,0))))</f>
        <v>18412.45503780467</v>
      </c>
      <c r="BC364" s="19">
        <f ca="1">IF(BC$1=Summary!$G$3,((BC81-BC55*BC56*(1-BC30))*(1+Summary!$G$4)-BC314*Summary!$G$4*BC48)/(Summary!$G$8-Summary!$G$4)+BC55,(((OFFSET(BC81,0,MATCH(Summary!$G$3,BD$1:$JD$1,0),1,1)-OFFSET(BC55,0,MATCH(Summary!$G$3,BD$1:$JD$1,0),1,1)*OFFSET(BC56,0,MATCH(Summary!$G$3,BD$1:$JD$1,0),1,1)*(1-OFFSET(BC30,0,MATCH(Summary!$G$3,BD$1:$JD$1,0),1,1)))*(1+Summary!$G$4)-OFFSET(BC314,0,MATCH(Summary!$G$3,BD$1:$JD$1,0),1,1)*Summary!$G$4*OFFSET(BC48,0,MATCH(Summary!$G$3,BD$1:$JD$1,0),1,1))/(Summary!$G$8-Summary!$G$4)+OFFSET(BC55,0,MATCH(Summary!$G$3,BD$1:$JD$1,0),1,1))/(1+Summary!$G$8)^COUNTA(OFFSET(BC$1,0,0,1,MATCH(Summary!$G$3,BD$1:$JD$1,0))))</f>
        <v>20106.400901282701</v>
      </c>
      <c r="BD364" s="19">
        <f ca="1">IF(BD$1=Summary!$G$3,((BD81-BD55*BD56*(1-BD30))*(1+Summary!$G$4)-BD314*Summary!$G$4*BD48)/(Summary!$G$8-Summary!$G$4)+BD55,(((OFFSET(BD81,0,MATCH(Summary!$G$3,BE$1:$JD$1,0),1,1)-OFFSET(BD55,0,MATCH(Summary!$G$3,BE$1:$JD$1,0),1,1)*OFFSET(BD56,0,MATCH(Summary!$G$3,BE$1:$JD$1,0),1,1)*(1-OFFSET(BD30,0,MATCH(Summary!$G$3,BE$1:$JD$1,0),1,1)))*(1+Summary!$G$4)-OFFSET(BD314,0,MATCH(Summary!$G$3,BE$1:$JD$1,0),1,1)*Summary!$G$4*OFFSET(BD48,0,MATCH(Summary!$G$3,BE$1:$JD$1,0),1,1))/(Summary!$G$8-Summary!$G$4)+OFFSET(BD55,0,MATCH(Summary!$G$3,BE$1:$JD$1,0),1,1))/(1+Summary!$G$8)^COUNTA(OFFSET(BD$1,0,0,1,MATCH(Summary!$G$3,BE$1:$JD$1,0))))</f>
        <v>21956.189784200709</v>
      </c>
      <c r="BE364" s="19">
        <f ca="1">IF(BE$1=Summary!$G$3,((BE81-BE55*BE56*(1-BE30))*(1+Summary!$G$4)-BE314*Summary!$G$4*BE48)/(Summary!$G$8-Summary!$G$4)+BE55,(((OFFSET(BE81,0,MATCH(Summary!$G$3,BF$1:$JD$1,0),1,1)-OFFSET(BE55,0,MATCH(Summary!$G$3,BF$1:$JD$1,0),1,1)*OFFSET(BE56,0,MATCH(Summary!$G$3,BF$1:$JD$1,0),1,1)*(1-OFFSET(BE30,0,MATCH(Summary!$G$3,BF$1:$JD$1,0),1,1)))*(1+Summary!$G$4)-OFFSET(BE314,0,MATCH(Summary!$G$3,BF$1:$JD$1,0),1,1)*Summary!$G$4*OFFSET(BE48,0,MATCH(Summary!$G$3,BF$1:$JD$1,0),1,1))/(Summary!$G$8-Summary!$G$4)+OFFSET(BE55,0,MATCH(Summary!$G$3,BF$1:$JD$1,0),1,1))/(1+Summary!$G$8)^COUNTA(OFFSET(BE$1,0,0,1,MATCH(Summary!$G$3,BF$1:$JD$1,0))))</f>
        <v>23976.159244347178</v>
      </c>
      <c r="BF364" s="19">
        <f ca="1">IF(BF$1=Summary!$G$3,((BF81-BF55*BF56*(1-BF30))*(1+Summary!$G$4)-BF314*Summary!$G$4*BF48)/(Summary!$G$8-Summary!$G$4)+BF55,(((OFFSET(BF81,0,MATCH(Summary!$G$3,BG$1:$JD$1,0),1,1)-OFFSET(BF55,0,MATCH(Summary!$G$3,BG$1:$JD$1,0),1,1)*OFFSET(BF56,0,MATCH(Summary!$G$3,BG$1:$JD$1,0),1,1)*(1-OFFSET(BF30,0,MATCH(Summary!$G$3,BG$1:$JD$1,0),1,1)))*(1+Summary!$G$4)-OFFSET(BF314,0,MATCH(Summary!$G$3,BG$1:$JD$1,0),1,1)*Summary!$G$4*OFFSET(BF48,0,MATCH(Summary!$G$3,BG$1:$JD$1,0),1,1))/(Summary!$G$8-Summary!$G$4)+OFFSET(BF55,0,MATCH(Summary!$G$3,BG$1:$JD$1,0),1,1))/(1+Summary!$G$8)^COUNTA(OFFSET(BF$1,0,0,1,MATCH(Summary!$G$3,BG$1:$JD$1,0))))</f>
        <v>26181.965894827121</v>
      </c>
      <c r="BG364" s="19">
        <f ca="1">IF(BG$1=Summary!$G$3,((BG81-BG55*BG56*(1-BG30))*(1+Summary!$G$4)-BG314*Summary!$G$4*BG48)/(Summary!$G$8-Summary!$G$4)+BG55,(((OFFSET(BG81,0,MATCH(Summary!$G$3,BH$1:$JD$1,0),1,1)-OFFSET(BG55,0,MATCH(Summary!$G$3,BH$1:$JD$1,0),1,1)*OFFSET(BG56,0,MATCH(Summary!$G$3,BH$1:$JD$1,0),1,1)*(1-OFFSET(BG30,0,MATCH(Summary!$G$3,BH$1:$JD$1,0),1,1)))*(1+Summary!$G$4)-OFFSET(BG314,0,MATCH(Summary!$G$3,BH$1:$JD$1,0),1,1)*Summary!$G$4*OFFSET(BG48,0,MATCH(Summary!$G$3,BH$1:$JD$1,0),1,1))/(Summary!$G$8-Summary!$G$4)+OFFSET(BG55,0,MATCH(Summary!$G$3,BH$1:$JD$1,0),1,1))/(1+Summary!$G$8)^COUNTA(OFFSET(BG$1,0,0,1,MATCH(Summary!$G$3,BH$1:$JD$1,0))))</f>
        <v>28590.70675715122</v>
      </c>
      <c r="BH364" s="19">
        <f ca="1">IF(BH$1=Summary!$G$3,((BH81-BH55*BH56*(1-BH30))*(1+Summary!$G$4)-BH314*Summary!$G$4*BH48)/(Summary!$G$8-Summary!$G$4)+BH55,(((OFFSET(BH81,0,MATCH(Summary!$G$3,BI$1:$JD$1,0),1,1)-OFFSET(BH55,0,MATCH(Summary!$G$3,BI$1:$JD$1,0),1,1)*OFFSET(BH56,0,MATCH(Summary!$G$3,BI$1:$JD$1,0),1,1)*(1-OFFSET(BH30,0,MATCH(Summary!$G$3,BI$1:$JD$1,0),1,1)))*(1+Summary!$G$4)-OFFSET(BH314,0,MATCH(Summary!$G$3,BI$1:$JD$1,0),1,1)*Summary!$G$4*OFFSET(BH48,0,MATCH(Summary!$G$3,BI$1:$JD$1,0),1,1))/(Summary!$G$8-Summary!$G$4)+OFFSET(BH55,0,MATCH(Summary!$G$3,BI$1:$JD$1,0),1,1))/(1+Summary!$G$8)^COUNTA(OFFSET(BH$1,0,0,1,MATCH(Summary!$G$3,BI$1:$JD$1,0))))</f>
        <v>31221.051778809135</v>
      </c>
      <c r="BI364" s="19">
        <f ca="1">IF(BI$1=Summary!$G$3,((BI81-BI55*BI56*(1-BI30))*(1+Summary!$G$4)-BI314*Summary!$G$4*BI48)/(Summary!$G$8-Summary!$G$4)+BI55,(((OFFSET(BI81,0,MATCH(Summary!$G$3,BJ$1:$JD$1,0),1,1)-OFFSET(BI55,0,MATCH(Summary!$G$3,BJ$1:$JD$1,0),1,1)*OFFSET(BI56,0,MATCH(Summary!$G$3,BJ$1:$JD$1,0),1,1)*(1-OFFSET(BI30,0,MATCH(Summary!$G$3,BJ$1:$JD$1,0),1,1)))*(1+Summary!$G$4)-OFFSET(BI314,0,MATCH(Summary!$G$3,BJ$1:$JD$1,0),1,1)*Summary!$G$4*OFFSET(BI48,0,MATCH(Summary!$G$3,BJ$1:$JD$1,0),1,1))/(Summary!$G$8-Summary!$G$4)+OFFSET(BI55,0,MATCH(Summary!$G$3,BJ$1:$JD$1,0),1,1))/(1+Summary!$G$8)^COUNTA(OFFSET(BI$1,0,0,1,MATCH(Summary!$G$3,BJ$1:$JD$1,0))))</f>
        <v>34093.388542459572</v>
      </c>
      <c r="BJ364" s="19">
        <f ca="1">IF(BJ$1=Summary!$G$3,((BJ81-BJ55*BJ56*(1-BJ30))*(1+Summary!$G$4)-BJ314*Summary!$G$4*BJ48)/(Summary!$G$8-Summary!$G$4)+BJ55,(((OFFSET(BJ81,0,MATCH(Summary!$G$3,BK$1:$JD$1,0),1,1)-OFFSET(BJ55,0,MATCH(Summary!$G$3,BK$1:$JD$1,0),1,1)*OFFSET(BJ56,0,MATCH(Summary!$G$3,BK$1:$JD$1,0),1,1)*(1-OFFSET(BJ30,0,MATCH(Summary!$G$3,BK$1:$JD$1,0),1,1)))*(1+Summary!$G$4)-OFFSET(BJ314,0,MATCH(Summary!$G$3,BK$1:$JD$1,0),1,1)*Summary!$G$4*OFFSET(BJ48,0,MATCH(Summary!$G$3,BK$1:$JD$1,0),1,1))/(Summary!$G$8-Summary!$G$4)+OFFSET(BJ55,0,MATCH(Summary!$G$3,BK$1:$JD$1,0),1,1))/(1+Summary!$G$8)^COUNTA(OFFSET(BJ$1,0,0,1,MATCH(Summary!$G$3,BK$1:$JD$1,0))))</f>
        <v>37229.980288365863</v>
      </c>
      <c r="BK364" s="19">
        <f ca="1">IF(BK$1=Summary!$G$3,((BK81-BK55*BK56*(1-BK30))*(1+Summary!$G$4)-BK314*Summary!$G$4*BK48)/(Summary!$G$8-Summary!$G$4)+BK55,(((OFFSET(BK81,0,MATCH(Summary!$G$3,BL$1:$JD$1,0),1,1)-OFFSET(BK55,0,MATCH(Summary!$G$3,BL$1:$JD$1,0),1,1)*OFFSET(BK56,0,MATCH(Summary!$G$3,BL$1:$JD$1,0),1,1)*(1-OFFSET(BK30,0,MATCH(Summary!$G$3,BL$1:$JD$1,0),1,1)))*(1+Summary!$G$4)-OFFSET(BK314,0,MATCH(Summary!$G$3,BL$1:$JD$1,0),1,1)*Summary!$G$4*OFFSET(BK48,0,MATCH(Summary!$G$3,BL$1:$JD$1,0),1,1))/(Summary!$G$8-Summary!$G$4)+OFFSET(BK55,0,MATCH(Summary!$G$3,BL$1:$JD$1,0),1,1))/(1+Summary!$G$8)^COUNTA(OFFSET(BK$1,0,0,1,MATCH(Summary!$G$3,BL$1:$JD$1,0))))</f>
        <v>40655.138474895517</v>
      </c>
      <c r="BL364" s="19">
        <f ca="1">IF(BL$1=Summary!$G$3,((BL81-BL55*BL56*(1-BL30))*(1+Summary!$G$4)-BL314*Summary!$G$4*BL48)/(Summary!$G$8-Summary!$G$4)+BL55,(((OFFSET(BL81,0,MATCH(Summary!$G$3,BM$1:$JD$1,0),1,1)-OFFSET(BL55,0,MATCH(Summary!$G$3,BM$1:$JD$1,0),1,1)*OFFSET(BL56,0,MATCH(Summary!$G$3,BM$1:$JD$1,0),1,1)*(1-OFFSET(BL30,0,MATCH(Summary!$G$3,BM$1:$JD$1,0),1,1)))*(1+Summary!$G$4)-OFFSET(BL314,0,MATCH(Summary!$G$3,BM$1:$JD$1,0),1,1)*Summary!$G$4*OFFSET(BL48,0,MATCH(Summary!$G$3,BM$1:$JD$1,0),1,1))/(Summary!$G$8-Summary!$G$4)+OFFSET(BL55,0,MATCH(Summary!$G$3,BM$1:$JD$1,0),1,1))/(1+Summary!$G$8)^COUNTA(OFFSET(BL$1,0,0,1,MATCH(Summary!$G$3,BM$1:$JD$1,0))))</f>
        <v>44395.411214585918</v>
      </c>
      <c r="BM364" s="19">
        <f ca="1">IF(BM$1=Summary!$G$3,((BM81-BM55*BM56*(1-BM30))*(1+Summary!$G$4)-BM314*Summary!$G$4*BM48)/(Summary!$G$8-Summary!$G$4)+BM55,(((OFFSET(BM81,0,MATCH(Summary!$G$3,BN$1:$JD$1,0),1,1)-OFFSET(BM55,0,MATCH(Summary!$G$3,BN$1:$JD$1,0),1,1)*OFFSET(BM56,0,MATCH(Summary!$G$3,BN$1:$JD$1,0),1,1)*(1-OFFSET(BM30,0,MATCH(Summary!$G$3,BN$1:$JD$1,0),1,1)))*(1+Summary!$G$4)-OFFSET(BM314,0,MATCH(Summary!$G$3,BN$1:$JD$1,0),1,1)*Summary!$G$4*OFFSET(BM48,0,MATCH(Summary!$G$3,BN$1:$JD$1,0),1,1))/(Summary!$G$8-Summary!$G$4)+OFFSET(BM55,0,MATCH(Summary!$G$3,BN$1:$JD$1,0),1,1))/(1+Summary!$G$8)^COUNTA(OFFSET(BM$1,0,0,1,MATCH(Summary!$G$3,BN$1:$JD$1,0))))</f>
        <v>48479.789046327824</v>
      </c>
      <c r="BN364" s="19">
        <f ca="1">IF(BN$1=Summary!$G$3,((BN81-BN55*BN56*(1-BN30))*(1+Summary!$G$4)-BN314*Summary!$G$4*BN48)/(Summary!$G$8-Summary!$G$4)+BN55,(((OFFSET(BN81,0,MATCH(Summary!$G$3,BO$1:$JD$1,0),1,1)-OFFSET(BN55,0,MATCH(Summary!$G$3,BO$1:$JD$1,0),1,1)*OFFSET(BN56,0,MATCH(Summary!$G$3,BO$1:$JD$1,0),1,1)*(1-OFFSET(BN30,0,MATCH(Summary!$G$3,BO$1:$JD$1,0),1,1)))*(1+Summary!$G$4)-OFFSET(BN314,0,MATCH(Summary!$G$3,BO$1:$JD$1,0),1,1)*Summary!$G$4*OFFSET(BN48,0,MATCH(Summary!$G$3,BO$1:$JD$1,0),1,1))/(Summary!$G$8-Summary!$G$4)+OFFSET(BN55,0,MATCH(Summary!$G$3,BO$1:$JD$1,0),1,1))/(1+Summary!$G$8)^COUNTA(OFFSET(BN$1,0,0,1,MATCH(Summary!$G$3,BO$1:$JD$1,0))))</f>
        <v>52939.929638589987</v>
      </c>
      <c r="BO364" s="20">
        <f ca="1">IF(BO$1=Summary!$G$3,((BO81-BO55*BO56*(1-BO30))*(1+Summary!$G$4)-BO314*Summary!$G$4*BO48)/(Summary!$G$8-Summary!$G$4)+BO55,(((OFFSET(BO81,0,MATCH(Summary!$G$3,BP$1:$JD$1,0),1,1)-OFFSET(BO55,0,MATCH(Summary!$G$3,BP$1:$JD$1,0),1,1)*OFFSET(BO56,0,MATCH(Summary!$G$3,BP$1:$JD$1,0),1,1)*(1-OFFSET(BO30,0,MATCH(Summary!$G$3,BP$1:$JD$1,0),1,1)))*(1+Summary!$G$4)-OFFSET(BO314,0,MATCH(Summary!$G$3,BP$1:$JD$1,0),1,1)*Summary!$G$4*OFFSET(BO48,0,MATCH(Summary!$G$3,BP$1:$JD$1,0),1,1))/(Summary!$G$8-Summary!$G$4)+OFFSET(BO55,0,MATCH(Summary!$G$3,BP$1:$JD$1,0),1,1))/(1+Summary!$G$8)^COUNTA(OFFSET(BO$1,0,0,1,MATCH(Summary!$G$3,BP$1:$JD$1,0))))</f>
        <v>57810.403165340271</v>
      </c>
      <c r="BP364" s="19">
        <f ca="1">IF(BP$1=Summary!$G$3,((BP81-BP55*BP56*(1-BP30))*(1+Summary!$G$4)-BP314*Summary!$G$4*BP48)/(Summary!$G$8-Summary!$G$4)+BP55,(((OFFSET(BP81,0,MATCH(Summary!$G$3,BQ$1:$JD$1,0),1,1)-OFFSET(BP55,0,MATCH(Summary!$G$3,BQ$1:$JD$1,0),1,1)*OFFSET(BP56,0,MATCH(Summary!$G$3,BQ$1:$JD$1,0),1,1)*(1-OFFSET(BP30,0,MATCH(Summary!$G$3,BQ$1:$JD$1,0),1,1)))*(1+Summary!$G$4)-OFFSET(BP314,0,MATCH(Summary!$G$3,BQ$1:$JD$1,0),1,1)*Summary!$G$4*OFFSET(BP48,0,MATCH(Summary!$G$3,BQ$1:$JD$1,0),1,1))/(Summary!$G$8-Summary!$G$4)+OFFSET(BP55,0,MATCH(Summary!$G$3,BQ$1:$JD$1,0),1,1))/(1+Summary!$G$8)^COUNTA(OFFSET(BP$1,0,0,1,MATCH(Summary!$G$3,BQ$1:$JD$1,0))))</f>
        <v>63128.960256551582</v>
      </c>
      <c r="BQ364" s="19">
        <f ca="1">IF(BQ$1=Summary!$G$3,((BQ81-BQ55*BQ56*(1-BQ30))*(1+Summary!$G$4)-BQ314*Summary!$G$4*BQ48)/(Summary!$G$8-Summary!$G$4)+BQ55,(((OFFSET(BQ81,0,MATCH(Summary!$G$3,BR$1:$JD$1,0),1,1)-OFFSET(BQ55,0,MATCH(Summary!$G$3,BR$1:$JD$1,0),1,1)*OFFSET(BQ56,0,MATCH(Summary!$G$3,BR$1:$JD$1,0),1,1)*(1-OFFSET(BQ30,0,MATCH(Summary!$G$3,BR$1:$JD$1,0),1,1)))*(1+Summary!$G$4)-OFFSET(BQ314,0,MATCH(Summary!$G$3,BR$1:$JD$1,0),1,1)*Summary!$G$4*OFFSET(BQ48,0,MATCH(Summary!$G$3,BR$1:$JD$1,0),1,1))/(Summary!$G$8-Summary!$G$4)+OFFSET(BQ55,0,MATCH(Summary!$G$3,BR$1:$JD$1,0),1,1))/(1+Summary!$G$8)^COUNTA(OFFSET(BQ$1,0,0,1,MATCH(Summary!$G$3,BR$1:$JD$1,0))))</f>
        <v>68936.82460015433</v>
      </c>
      <c r="BR364" s="19">
        <f ca="1">IF(BR$1=Summary!$G$3,((BR81-BR55*BR56*(1-BR30))*(1+Summary!$G$4)-BR314*Summary!$G$4*BR48)/(Summary!$G$8-Summary!$G$4)+BR55,(((OFFSET(BR81,0,MATCH(Summary!$G$3,BS$1:$JD$1,0),1,1)-OFFSET(BR55,0,MATCH(Summary!$G$3,BS$1:$JD$1,0),1,1)*OFFSET(BR56,0,MATCH(Summary!$G$3,BS$1:$JD$1,0),1,1)*(1-OFFSET(BR30,0,MATCH(Summary!$G$3,BS$1:$JD$1,0),1,1)))*(1+Summary!$G$4)-OFFSET(BR314,0,MATCH(Summary!$G$3,BS$1:$JD$1,0),1,1)*Summary!$G$4*OFFSET(BR48,0,MATCH(Summary!$G$3,BS$1:$JD$1,0),1,1))/(Summary!$G$8-Summary!$G$4)+OFFSET(BR55,0,MATCH(Summary!$G$3,BS$1:$JD$1,0),1,1))/(1+Summary!$G$8)^COUNTA(OFFSET(BR$1,0,0,1,MATCH(Summary!$G$3,BS$1:$JD$1,0))))</f>
        <v>75279.012463368534</v>
      </c>
      <c r="BS364" s="19">
        <f ca="1">IF(BS$1=Summary!$G$3,((BS81-BS55*BS56*(1-BS30))*(1+Summary!$G$4)-BS314*Summary!$G$4*BS48)/(Summary!$G$8-Summary!$G$4)+BS55,(((OFFSET(BS81,0,MATCH(Summary!$G$3,BT$1:$JD$1,0),1,1)-OFFSET(BS55,0,MATCH(Summary!$G$3,BT$1:$JD$1,0),1,1)*OFFSET(BS56,0,MATCH(Summary!$G$3,BT$1:$JD$1,0),1,1)*(1-OFFSET(BS30,0,MATCH(Summary!$G$3,BT$1:$JD$1,0),1,1)))*(1+Summary!$G$4)-OFFSET(BS314,0,MATCH(Summary!$G$3,BT$1:$JD$1,0),1,1)*Summary!$G$4*OFFSET(BS48,0,MATCH(Summary!$G$3,BT$1:$JD$1,0),1,1))/(Summary!$G$8-Summary!$G$4)+OFFSET(BS55,0,MATCH(Summary!$G$3,BT$1:$JD$1,0),1,1))/(1+Summary!$G$8)^COUNTA(OFFSET(BS$1,0,0,1,MATCH(Summary!$G$3,BT$1:$JD$1,0))))</f>
        <v>82204.681609998457</v>
      </c>
      <c r="BT364" s="19">
        <f ca="1">IF(BT$1=Summary!$G$3,((BT81-BT55*BT56*(1-BT30))*(1+Summary!$G$4)-BT314*Summary!$G$4*BT48)/(Summary!$G$8-Summary!$G$4)+BT55,(((OFFSET(BT81,0,MATCH(Summary!$G$3,BU$1:$JD$1,0),1,1)-OFFSET(BT55,0,MATCH(Summary!$G$3,BU$1:$JD$1,0),1,1)*OFFSET(BT56,0,MATCH(Summary!$G$3,BU$1:$JD$1,0),1,1)*(1-OFFSET(BT30,0,MATCH(Summary!$G$3,BU$1:$JD$1,0),1,1)))*(1+Summary!$G$4)-OFFSET(BT314,0,MATCH(Summary!$G$3,BU$1:$JD$1,0),1,1)*Summary!$G$4*OFFSET(BT48,0,MATCH(Summary!$G$3,BU$1:$JD$1,0),1,1))/(Summary!$G$8-Summary!$G$4)+OFFSET(BT55,0,MATCH(Summary!$G$3,BU$1:$JD$1,0),1,1))/(1+Summary!$G$8)^COUNTA(OFFSET(BT$1,0,0,1,MATCH(Summary!$G$3,BU$1:$JD$1,0))))</f>
        <v>89767.512318118315</v>
      </c>
    </row>
    <row r="365" spans="1:72" ht="12" customHeight="1" outlineLevel="1">
      <c r="A365" s="91" t="s">
        <v>255</v>
      </c>
      <c r="B365" s="16" t="s">
        <v>205</v>
      </c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20"/>
      <c r="AK365" s="19"/>
      <c r="AL365" s="19"/>
      <c r="AM365" s="19"/>
      <c r="AN365" s="19"/>
      <c r="AO365" s="19"/>
      <c r="AP365" s="19"/>
      <c r="AQ365" s="19"/>
      <c r="AR365" s="19"/>
      <c r="AS365" s="19"/>
      <c r="AT365" s="19"/>
      <c r="AU365" s="17">
        <f t="shared" ref="AU365" ca="1" si="2928">AU363+AU364</f>
        <v>18455.075737888554</v>
      </c>
      <c r="AV365" s="17">
        <f t="shared" ref="AV365:AY365" ca="1" si="2929">AV363+AV364</f>
        <v>19846.942705774305</v>
      </c>
      <c r="AW365" s="17">
        <f t="shared" ca="1" si="2929"/>
        <v>21961.861434705541</v>
      </c>
      <c r="AX365" s="17">
        <f t="shared" ca="1" si="2929"/>
        <v>24481.352686698458</v>
      </c>
      <c r="AY365" s="17">
        <f t="shared" ca="1" si="2929"/>
        <v>26689.637133874712</v>
      </c>
      <c r="AZ365" s="17">
        <f t="shared" ref="AZ365:BG365" ca="1" si="2930">AZ363+AZ364</f>
        <v>30127.083750191188</v>
      </c>
      <c r="BA365" s="17">
        <f t="shared" ca="1" si="2930"/>
        <v>32083.775455208786</v>
      </c>
      <c r="BB365" s="17">
        <f t="shared" ca="1" si="2930"/>
        <v>34202.482797088</v>
      </c>
      <c r="BC365" s="17">
        <f t="shared" ca="1" si="2930"/>
        <v>36188.111214420096</v>
      </c>
      <c r="BD365" s="17">
        <f t="shared" ca="1" si="2930"/>
        <v>37187.417446146748</v>
      </c>
      <c r="BE365" s="17">
        <f t="shared" ca="1" si="2930"/>
        <v>39095.659851192249</v>
      </c>
      <c r="BF365" s="17">
        <f t="shared" ca="1" si="2930"/>
        <v>41484.460557501945</v>
      </c>
      <c r="BG365" s="17">
        <f t="shared" ca="1" si="2930"/>
        <v>43271.030928792126</v>
      </c>
      <c r="BH365" s="17">
        <f t="shared" ref="BH365" ca="1" si="2931">BH363+BH364</f>
        <v>45092.965774241005</v>
      </c>
      <c r="BI365" s="17">
        <f t="shared" ref="BI365:BK365" ca="1" si="2932">BI363+BI364</f>
        <v>46833.518625471173</v>
      </c>
      <c r="BJ365" s="17">
        <f t="shared" ca="1" si="2932"/>
        <v>50684.20233901454</v>
      </c>
      <c r="BK365" s="17">
        <f t="shared" ca="1" si="2932"/>
        <v>54492.148954203876</v>
      </c>
      <c r="BL365" s="17">
        <f t="shared" ref="BL365:BM365" ca="1" si="2933">BL363+BL364</f>
        <v>61063.42665799064</v>
      </c>
      <c r="BM365" s="17">
        <f t="shared" ca="1" si="2933"/>
        <v>64276.261910525784</v>
      </c>
      <c r="BN365" s="17">
        <f t="shared" ref="BN365:BO365" ca="1" si="2934">BN363+BN364</f>
        <v>67098.678006294154</v>
      </c>
      <c r="BO365" s="18">
        <f t="shared" ca="1" si="2934"/>
        <v>70435.756382873238</v>
      </c>
      <c r="BP365" s="17">
        <f t="shared" ref="BP365:BQ365" ca="1" si="2935">BP363+BP364</f>
        <v>74003.76402866526</v>
      </c>
      <c r="BQ365" s="17">
        <f t="shared" ca="1" si="2935"/>
        <v>77290.366068499614</v>
      </c>
      <c r="BR365" s="17">
        <f t="shared" ref="BR365:BS365" ca="1" si="2936">BR363+BR364</f>
        <v>81121.523397788886</v>
      </c>
      <c r="BS365" s="17">
        <f t="shared" ca="1" si="2936"/>
        <v>85380.539301350072</v>
      </c>
      <c r="BT365" s="17">
        <f ca="1">BT363+BT364</f>
        <v>89767.512318118315</v>
      </c>
    </row>
    <row r="366" spans="1:72" ht="12" customHeight="1" outlineLevel="1">
      <c r="B366" s="87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20"/>
      <c r="AK366" s="19"/>
      <c r="AL366" s="19"/>
      <c r="AM366" s="19"/>
      <c r="AN366" s="19"/>
      <c r="AO366" s="19"/>
      <c r="AP366" s="19"/>
      <c r="AQ366" s="19"/>
      <c r="AR366" s="19"/>
      <c r="AS366" s="19"/>
      <c r="AT366" s="19"/>
      <c r="AU366" s="19"/>
      <c r="AV366" s="19"/>
      <c r="AW366" s="19"/>
      <c r="AX366" s="19"/>
      <c r="AY366" s="19"/>
      <c r="AZ366" s="19"/>
      <c r="BA366" s="19"/>
      <c r="BB366" s="19"/>
      <c r="BC366" s="19"/>
      <c r="BD366" s="19"/>
      <c r="BE366" s="19"/>
      <c r="BF366" s="19"/>
      <c r="BG366" s="19"/>
      <c r="BH366" s="19"/>
      <c r="BI366" s="19"/>
      <c r="BJ366" s="19"/>
      <c r="BK366" s="19"/>
      <c r="BL366" s="19"/>
      <c r="BM366" s="19"/>
      <c r="BN366" s="19"/>
      <c r="BO366" s="20"/>
      <c r="BP366" s="19"/>
      <c r="BQ366" s="19"/>
      <c r="BR366" s="19"/>
      <c r="BS366" s="19"/>
      <c r="BT366" s="19"/>
    </row>
    <row r="367" spans="1:72" ht="12" customHeight="1" outlineLevel="1">
      <c r="A367" s="91" t="s">
        <v>256</v>
      </c>
      <c r="B367" s="87" t="s">
        <v>257</v>
      </c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20"/>
      <c r="AK367" s="19"/>
      <c r="AL367" s="19"/>
      <c r="AM367" s="19"/>
      <c r="AN367" s="19"/>
      <c r="AO367" s="19"/>
      <c r="AP367" s="19"/>
      <c r="AQ367" s="19"/>
      <c r="AR367" s="19"/>
      <c r="AS367" s="19"/>
      <c r="AT367" s="19"/>
      <c r="AU367" s="19">
        <f ca="1">IF(AU$1=Summary!$G$3,0,NPV(Summary!$G$8,OFFSET(AU356,0,1,1,MATCH(Summary!$G$3,AV$1:$JD$1,0))))</f>
        <v>1423.8845263122273</v>
      </c>
      <c r="AV367" s="19">
        <f ca="1">IF(AV$1=Summary!$G$3,0,NPV(Summary!$G$8,OFFSET(AV356,0,1,1,MATCH(Summary!$G$3,AW$1:$JD$1,0))))</f>
        <v>1406.5619027329526</v>
      </c>
      <c r="AW367" s="19">
        <f ca="1">IF(AW$1=Summary!$G$3,0,NPV(Summary!$G$8,OFFSET(AW356,0,1,1,MATCH(Summary!$G$3,AX$1:$JD$1,0))))</f>
        <v>1309.6798834986703</v>
      </c>
      <c r="AX367" s="19">
        <f ca="1">IF(AX$1=Summary!$G$3,0,NPV(Summary!$G$8,OFFSET(AX356,0,1,1,MATCH(Summary!$G$3,AY$1:$JD$1,0))))</f>
        <v>1182.7990042091194</v>
      </c>
      <c r="AY367" s="19">
        <f ca="1">IF(AY$1=Summary!$G$3,0,NPV(Summary!$G$8,OFFSET(AY356,0,1,1,MATCH(Summary!$G$3,AZ$1:$JD$1,0))))</f>
        <v>1212.027323407169</v>
      </c>
      <c r="AZ367" s="19">
        <f ca="1">IF(AZ$1=Summary!$G$3,0,NPV(Summary!$G$8,OFFSET(AZ356,0,1,1,MATCH(Summary!$G$3,BA$1:$JD$1,0))))</f>
        <v>1323.5338371606285</v>
      </c>
      <c r="BA367" s="19">
        <f ca="1">IF(BA$1=Summary!$G$3,0,NPV(Summary!$G$8,OFFSET(BA356,0,1,1,MATCH(Summary!$G$3,BB$1:$JD$1,0))))</f>
        <v>1445.298950179407</v>
      </c>
      <c r="BB367" s="19">
        <f ca="1">IF(BB$1=Summary!$G$3,0,NPV(Summary!$G$8,OFFSET(BB356,0,1,1,MATCH(Summary!$G$3,BC$1:$JD$1,0))))</f>
        <v>1578.2664535959123</v>
      </c>
      <c r="BC367" s="19">
        <f ca="1">IF(BC$1=Summary!$G$3,0,NPV(Summary!$G$8,OFFSET(BC356,0,1,1,MATCH(Summary!$G$3,BD$1:$JD$1,0))))</f>
        <v>1680.3698244695934</v>
      </c>
      <c r="BD367" s="19">
        <f ca="1">IF(BD$1=Summary!$G$3,0,NPV(Summary!$G$8,OFFSET(BD356,0,1,1,MATCH(Summary!$G$3,BE$1:$JD$1,0))))</f>
        <v>1705.9809911779389</v>
      </c>
      <c r="BE367" s="19">
        <f ca="1">IF(BE$1=Summary!$G$3,0,NPV(Summary!$G$8,OFFSET(BE356,0,1,1,MATCH(Summary!$G$3,BF$1:$JD$1,0))))</f>
        <v>1727.9826709377378</v>
      </c>
      <c r="BF367" s="19">
        <f ca="1">IF(BF$1=Summary!$G$3,0,NPV(Summary!$G$8,OFFSET(BF356,0,1,1,MATCH(Summary!$G$3,BG$1:$JD$1,0))))</f>
        <v>1747.3799338068673</v>
      </c>
      <c r="BG367" s="19">
        <f ca="1">IF(BG$1=Summary!$G$3,0,NPV(Summary!$G$8,OFFSET(BG356,0,1,1,MATCH(Summary!$G$3,BH$1:$JD$1,0))))</f>
        <v>1723.2274591456705</v>
      </c>
      <c r="BH367" s="19">
        <f ca="1">IF(BH$1=Summary!$G$3,0,NPV(Summary!$G$8,OFFSET(BH356,0,1,1,MATCH(Summary!$G$3,BI$1:$JD$1,0))))</f>
        <v>1675.0986711013584</v>
      </c>
      <c r="BI367" s="19">
        <f ca="1">IF(BI$1=Summary!$G$3,0,NPV(Summary!$G$8,OFFSET(BI356,0,1,1,MATCH(Summary!$G$3,BJ$1:$JD$1,0))))</f>
        <v>1603.1020345569689</v>
      </c>
      <c r="BJ367" s="19">
        <f ca="1">IF(BJ$1=Summary!$G$3,0,NPV(Summary!$G$8,OFFSET(BJ356,0,1,1,MATCH(Summary!$G$3,BK$1:$JD$1,0))))</f>
        <v>1594.1417074504964</v>
      </c>
      <c r="BK367" s="19">
        <f ca="1">IF(BK$1=Summary!$G$3,0,NPV(Summary!$G$8,OFFSET(BK356,0,1,1,MATCH(Summary!$G$3,BL$1:$JD$1,0))))</f>
        <v>1566.5627445359423</v>
      </c>
      <c r="BL367" s="19">
        <f ca="1">IF(BL$1=Summary!$G$3,0,NPV(Summary!$G$8,OFFSET(BL356,0,1,1,MATCH(Summary!$G$3,BM$1:$JD$1,0))))</f>
        <v>1467.9436598903917</v>
      </c>
      <c r="BM367" s="19">
        <f ca="1">IF(BM$1=Summary!$G$3,0,NPV(Summary!$G$8,OFFSET(BM356,0,1,1,MATCH(Summary!$G$3,BN$1:$JD$1,0))))</f>
        <v>1305.737333743165</v>
      </c>
      <c r="BN367" s="19">
        <f ca="1">IF(BN$1=Summary!$G$3,0,NPV(Summary!$G$8,OFFSET(BN356,0,1,1,MATCH(Summary!$G$3,BO$1:$JD$1,0))))</f>
        <v>1174.1737398761077</v>
      </c>
      <c r="BO367" s="20">
        <f ca="1">IF(BO$1=Summary!$G$3,0,NPV(Summary!$G$8,OFFSET(BO356,0,1,1,MATCH(Summary!$G$3,BP$1:$JD$1,0))))</f>
        <v>1060.1677239447097</v>
      </c>
      <c r="BP367" s="19">
        <f ca="1">IF(BP$1=Summary!$G$3,0,NPV(Summary!$G$8,OFFSET(BP356,0,1,1,MATCH(Summary!$G$3,BQ$1:$JD$1,0))))</f>
        <v>924.97001111279553</v>
      </c>
      <c r="BQ367" s="19">
        <f ca="1">IF(BQ$1=Summary!$G$3,0,NPV(Summary!$G$8,OFFSET(BQ356,0,1,1,MATCH(Summary!$G$3,BR$1:$JD$1,0))))</f>
        <v>751.81873215107612</v>
      </c>
      <c r="BR367" s="19">
        <f ca="1">IF(BR$1=Summary!$G$3,0,NPV(Summary!$G$8,OFFSET(BR356,0,1,1,MATCH(Summary!$G$3,BS$1:$JD$1,0))))</f>
        <v>525.82598409783134</v>
      </c>
      <c r="BS367" s="19">
        <f ca="1">IF(BS$1=Summary!$G$3,0,NPV(Summary!$G$8,OFFSET(BS356,0,1,1,MATCH(Summary!$G$3,BT$1:$JD$1,0))))</f>
        <v>285.82719222164559</v>
      </c>
      <c r="BT367" s="19">
        <f ca="1">IF(BT$1=Summary!$G$3,0,NPV(Summary!$G$8,OFFSET(BT356,0,1,1,MATCH(Summary!$G$3,BU$1:$JD$1,0))))</f>
        <v>0</v>
      </c>
    </row>
    <row r="368" spans="1:72" ht="12" customHeight="1" outlineLevel="1">
      <c r="A368" s="91" t="s">
        <v>258</v>
      </c>
      <c r="B368" s="87" t="s">
        <v>259</v>
      </c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20"/>
      <c r="AK368" s="19"/>
      <c r="AL368" s="19"/>
      <c r="AM368" s="19"/>
      <c r="AN368" s="19"/>
      <c r="AO368" s="19"/>
      <c r="AP368" s="19"/>
      <c r="AQ368" s="19"/>
      <c r="AR368" s="19"/>
      <c r="AS368" s="19"/>
      <c r="AT368" s="19"/>
      <c r="AU368" s="19">
        <f ca="1">IF(AU$1=Summary!$G$3,AU356*(1+Summary!$G$4)/(Summary!$G$8-Summary!$G$4),OFFSET(AU356,0,MATCH(Summary!$G$3,AV$1:$JD$1,0),1,1)*(1+Summary!$G$4)/(Summary!$G$8-Summary!$G$4)/(1+Summary!$G$8)^COUNTA(OFFSET(AU$1,0,0,1,MATCH(Summary!$G$3,AV$1:$JD$1,0))))</f>
        <v>627.80636775387643</v>
      </c>
      <c r="AV368" s="19">
        <f ca="1">IF(AV$1=Summary!$G$3,AV356*(1+Summary!$G$4)/(Summary!$G$8-Summary!$G$4),OFFSET(AV356,0,MATCH(Summary!$G$3,AW$1:$JD$1,0),1,1)*(1+Summary!$G$4)/(Summary!$G$8-Summary!$G$4)/(1+Summary!$G$8)^COUNTA(OFFSET(AV$1,0,0,1,MATCH(Summary!$G$3,AW$1:$JD$1,0))))</f>
        <v>685.56455358723315</v>
      </c>
      <c r="AW368" s="19">
        <f ca="1">IF(AW$1=Summary!$G$3,AW356*(1+Summary!$G$4)/(Summary!$G$8-Summary!$G$4),OFFSET(AW356,0,MATCH(Summary!$G$3,AX$1:$JD$1,0),1,1)*(1+Summary!$G$4)/(Summary!$G$8-Summary!$G$4)/(1+Summary!$G$8)^COUNTA(OFFSET(AW$1,0,0,1,MATCH(Summary!$G$3,AX$1:$JD$1,0))))</f>
        <v>748.6364925172586</v>
      </c>
      <c r="AX368" s="19">
        <f ca="1">IF(AX$1=Summary!$G$3,AX356*(1+Summary!$G$4)/(Summary!$G$8-Summary!$G$4),OFFSET(AX356,0,MATCH(Summary!$G$3,AY$1:$JD$1,0),1,1)*(1+Summary!$G$4)/(Summary!$G$8-Summary!$G$4)/(1+Summary!$G$8)^COUNTA(OFFSET(AX$1,0,0,1,MATCH(Summary!$G$3,AY$1:$JD$1,0))))</f>
        <v>817.51104982884647</v>
      </c>
      <c r="AY368" s="19">
        <f ca="1">IF(AY$1=Summary!$G$3,AY356*(1+Summary!$G$4)/(Summary!$G$8-Summary!$G$4),OFFSET(AY356,0,MATCH(Summary!$G$3,AZ$1:$JD$1,0),1,1)*(1+Summary!$G$4)/(Summary!$G$8-Summary!$G$4)/(1+Summary!$G$8)^COUNTA(OFFSET(AY$1,0,0,1,MATCH(Summary!$G$3,AZ$1:$JD$1,0))))</f>
        <v>892.72206641310038</v>
      </c>
      <c r="AZ368" s="19">
        <f ca="1">IF(AZ$1=Summary!$G$3,AZ356*(1+Summary!$G$4)/(Summary!$G$8-Summary!$G$4),OFFSET(AZ356,0,MATCH(Summary!$G$3,BA$1:$JD$1,0),1,1)*(1+Summary!$G$4)/(Summary!$G$8-Summary!$G$4)/(1+Summary!$G$8)^COUNTA(OFFSET(AZ$1,0,0,1,MATCH(Summary!$G$3,BA$1:$JD$1,0))))</f>
        <v>974.85249652310574</v>
      </c>
      <c r="BA368" s="19">
        <f ca="1">IF(BA$1=Summary!$G$3,BA356*(1+Summary!$G$4)/(Summary!$G$8-Summary!$G$4),OFFSET(BA356,0,MATCH(Summary!$G$3,BB$1:$JD$1,0),1,1)*(1+Summary!$G$4)/(Summary!$G$8-Summary!$G$4)/(1+Summary!$G$8)^COUNTA(OFFSET(BA$1,0,0,1,MATCH(Summary!$G$3,BB$1:$JD$1,0))))</f>
        <v>1064.5389262032315</v>
      </c>
      <c r="BB368" s="19">
        <f ca="1">IF(BB$1=Summary!$G$3,BB356*(1+Summary!$G$4)/(Summary!$G$8-Summary!$G$4),OFFSET(BB356,0,MATCH(Summary!$G$3,BC$1:$JD$1,0),1,1)*(1+Summary!$G$4)/(Summary!$G$8-Summary!$G$4)/(1+Summary!$G$8)^COUNTA(OFFSET(BB$1,0,0,1,MATCH(Summary!$G$3,BC$1:$JD$1,0))))</f>
        <v>1162.4765074139291</v>
      </c>
      <c r="BC368" s="19">
        <f ca="1">IF(BC$1=Summary!$G$3,BC356*(1+Summary!$G$4)/(Summary!$G$8-Summary!$G$4),OFFSET(BC356,0,MATCH(Summary!$G$3,BD$1:$JD$1,0),1,1)*(1+Summary!$G$4)/(Summary!$G$8-Summary!$G$4)/(1+Summary!$G$8)^COUNTA(OFFSET(BC$1,0,0,1,MATCH(Summary!$G$3,BD$1:$JD$1,0))))</f>
        <v>1269.4243460960106</v>
      </c>
      <c r="BD368" s="19">
        <f ca="1">IF(BD$1=Summary!$G$3,BD356*(1+Summary!$G$4)/(Summary!$G$8-Summary!$G$4),OFFSET(BD356,0,MATCH(Summary!$G$3,BE$1:$JD$1,0),1,1)*(1+Summary!$G$4)/(Summary!$G$8-Summary!$G$4)/(1+Summary!$G$8)^COUNTA(OFFSET(BD$1,0,0,1,MATCH(Summary!$G$3,BE$1:$JD$1,0))))</f>
        <v>1386.2113859368437</v>
      </c>
      <c r="BE368" s="19">
        <f ca="1">IF(BE$1=Summary!$G$3,BE356*(1+Summary!$G$4)/(Summary!$G$8-Summary!$G$4),OFFSET(BE356,0,MATCH(Summary!$G$3,BF$1:$JD$1,0),1,1)*(1+Summary!$G$4)/(Summary!$G$8-Summary!$G$4)/(1+Summary!$G$8)^COUNTA(OFFSET(BE$1,0,0,1,MATCH(Summary!$G$3,BF$1:$JD$1,0))))</f>
        <v>1513.7428334430333</v>
      </c>
      <c r="BF368" s="19">
        <f ca="1">IF(BF$1=Summary!$G$3,BF356*(1+Summary!$G$4)/(Summary!$G$8-Summary!$G$4),OFFSET(BF356,0,MATCH(Summary!$G$3,BG$1:$JD$1,0),1,1)*(1+Summary!$G$4)/(Summary!$G$8-Summary!$G$4)/(1+Summary!$G$8)^COUNTA(OFFSET(BF$1,0,0,1,MATCH(Summary!$G$3,BG$1:$JD$1,0))))</f>
        <v>1653.0071741197928</v>
      </c>
      <c r="BG368" s="19">
        <f ca="1">IF(BG$1=Summary!$G$3,BG356*(1+Summary!$G$4)/(Summary!$G$8-Summary!$G$4),OFFSET(BG356,0,MATCH(Summary!$G$3,BH$1:$JD$1,0),1,1)*(1+Summary!$G$4)/(Summary!$G$8-Summary!$G$4)/(1+Summary!$G$8)^COUNTA(OFFSET(BG$1,0,0,1,MATCH(Summary!$G$3,BH$1:$JD$1,0))))</f>
        <v>1805.0838341388137</v>
      </c>
      <c r="BH368" s="19">
        <f ca="1">IF(BH$1=Summary!$G$3,BH356*(1+Summary!$G$4)/(Summary!$G$8-Summary!$G$4),OFFSET(BH356,0,MATCH(Summary!$G$3,BI$1:$JD$1,0),1,1)*(1+Summary!$G$4)/(Summary!$G$8-Summary!$G$4)/(1+Summary!$G$8)^COUNTA(OFFSET(BH$1,0,0,1,MATCH(Summary!$G$3,BI$1:$JD$1,0))))</f>
        <v>1971.1515468795849</v>
      </c>
      <c r="BI368" s="19">
        <f ca="1">IF(BI$1=Summary!$G$3,BI356*(1+Summary!$G$4)/(Summary!$G$8-Summary!$G$4),OFFSET(BI356,0,MATCH(Summary!$G$3,BJ$1:$JD$1,0),1,1)*(1+Summary!$G$4)/(Summary!$G$8-Summary!$G$4)/(1+Summary!$G$8)^COUNTA(OFFSET(BI$1,0,0,1,MATCH(Summary!$G$3,BJ$1:$JD$1,0))))</f>
        <v>2152.4974891925067</v>
      </c>
      <c r="BJ368" s="19">
        <f ca="1">IF(BJ$1=Summary!$G$3,BJ356*(1+Summary!$G$4)/(Summary!$G$8-Summary!$G$4),OFFSET(BJ356,0,MATCH(Summary!$G$3,BK$1:$JD$1,0),1,1)*(1+Summary!$G$4)/(Summary!$G$8-Summary!$G$4)/(1+Summary!$G$8)^COUNTA(OFFSET(BJ$1,0,0,1,MATCH(Summary!$G$3,BK$1:$JD$1,0))))</f>
        <v>2350.5272581982176</v>
      </c>
      <c r="BK368" s="19">
        <f ca="1">IF(BK$1=Summary!$G$3,BK356*(1+Summary!$G$4)/(Summary!$G$8-Summary!$G$4),OFFSET(BK356,0,MATCH(Summary!$G$3,BL$1:$JD$1,0),1,1)*(1+Summary!$G$4)/(Summary!$G$8-Summary!$G$4)/(1+Summary!$G$8)^COUNTA(OFFSET(BK$1,0,0,1,MATCH(Summary!$G$3,BL$1:$JD$1,0))))</f>
        <v>2566.7757659524536</v>
      </c>
      <c r="BL368" s="19">
        <f ca="1">IF(BL$1=Summary!$G$3,BL356*(1+Summary!$G$4)/(Summary!$G$8-Summary!$G$4),OFFSET(BL356,0,MATCH(Summary!$G$3,BM$1:$JD$1,0),1,1)*(1+Summary!$G$4)/(Summary!$G$8-Summary!$G$4)/(1+Summary!$G$8)^COUNTA(OFFSET(BL$1,0,0,1,MATCH(Summary!$G$3,BM$1:$JD$1,0))))</f>
        <v>2802.9191364200797</v>
      </c>
      <c r="BM368" s="19">
        <f ca="1">IF(BM$1=Summary!$G$3,BM356*(1+Summary!$G$4)/(Summary!$G$8-Summary!$G$4),OFFSET(BM356,0,MATCH(Summary!$G$3,BN$1:$JD$1,0),1,1)*(1+Summary!$G$4)/(Summary!$G$8-Summary!$G$4)/(1+Summary!$G$8)^COUNTA(OFFSET(BM$1,0,0,1,MATCH(Summary!$G$3,BN$1:$JD$1,0))))</f>
        <v>3060.7876969707272</v>
      </c>
      <c r="BN368" s="19">
        <f ca="1">IF(BN$1=Summary!$G$3,BN356*(1+Summary!$G$4)/(Summary!$G$8-Summary!$G$4),OFFSET(BN356,0,MATCH(Summary!$G$3,BO$1:$JD$1,0),1,1)*(1+Summary!$G$4)/(Summary!$G$8-Summary!$G$4)/(1+Summary!$G$8)^COUNTA(OFFSET(BN$1,0,0,1,MATCH(Summary!$G$3,BO$1:$JD$1,0))))</f>
        <v>3342.3801650920345</v>
      </c>
      <c r="BO368" s="20">
        <f ca="1">IF(BO$1=Summary!$G$3,BO356*(1+Summary!$G$4)/(Summary!$G$8-Summary!$G$4),OFFSET(BO356,0,MATCH(Summary!$G$3,BP$1:$JD$1,0),1,1)*(1+Summary!$G$4)/(Summary!$G$8-Summary!$G$4)/(1+Summary!$G$8)^COUNTA(OFFSET(BO$1,0,0,1,MATCH(Summary!$G$3,BP$1:$JD$1,0))))</f>
        <v>3649.8791402805018</v>
      </c>
      <c r="BP368" s="19">
        <f ca="1">IF(BP$1=Summary!$G$3,BP356*(1+Summary!$G$4)/(Summary!$G$8-Summary!$G$4),OFFSET(BP356,0,MATCH(Summary!$G$3,BQ$1:$JD$1,0),1,1)*(1+Summary!$G$4)/(Summary!$G$8-Summary!$G$4)/(1+Summary!$G$8)^COUNTA(OFFSET(BP$1,0,0,1,MATCH(Summary!$G$3,BQ$1:$JD$1,0))))</f>
        <v>3985.6680211863086</v>
      </c>
      <c r="BQ368" s="19">
        <f ca="1">IF(BQ$1=Summary!$G$3,BQ356*(1+Summary!$G$4)/(Summary!$G$8-Summary!$G$4),OFFSET(BQ356,0,MATCH(Summary!$G$3,BR$1:$JD$1,0),1,1)*(1+Summary!$G$4)/(Summary!$G$8-Summary!$G$4)/(1+Summary!$G$8)^COUNTA(OFFSET(BQ$1,0,0,1,MATCH(Summary!$G$3,BR$1:$JD$1,0))))</f>
        <v>4352.3494791354497</v>
      </c>
      <c r="BR368" s="19">
        <f ca="1">IF(BR$1=Summary!$G$3,BR356*(1+Summary!$G$4)/(Summary!$G$8-Summary!$G$4),OFFSET(BR356,0,MATCH(Summary!$G$3,BS$1:$JD$1,0),1,1)*(1+Summary!$G$4)/(Summary!$G$8-Summary!$G$4)/(1+Summary!$G$8)^COUNTA(OFFSET(BR$1,0,0,1,MATCH(Summary!$G$3,BS$1:$JD$1,0))))</f>
        <v>4752.7656312159115</v>
      </c>
      <c r="BS368" s="19">
        <f ca="1">IF(BS$1=Summary!$G$3,BS356*(1+Summary!$G$4)/(Summary!$G$8-Summary!$G$4),OFFSET(BS356,0,MATCH(Summary!$G$3,BT$1:$JD$1,0),1,1)*(1+Summary!$G$4)/(Summary!$G$8-Summary!$G$4)/(1+Summary!$G$8)^COUNTA(OFFSET(BS$1,0,0,1,MATCH(Summary!$G$3,BT$1:$JD$1,0))))</f>
        <v>5190.0200692877752</v>
      </c>
      <c r="BT368" s="19">
        <f ca="1">IF(BT$1=Summary!$G$3,BT356*(1+Summary!$G$4)/(Summary!$G$8-Summary!$G$4),OFFSET(BT356,0,MATCH(Summary!$G$3,BU$1:$JD$1,0),1,1)*(1+Summary!$G$4)/(Summary!$G$8-Summary!$G$4)/(1+Summary!$G$8)^COUNTA(OFFSET(BT$1,0,0,1,MATCH(Summary!$G$3,BU$1:$JD$1,0))))</f>
        <v>5667.5019156622511</v>
      </c>
    </row>
    <row r="369" spans="1:72" ht="12" customHeight="1" outlineLevel="1">
      <c r="A369" s="91" t="s">
        <v>260</v>
      </c>
      <c r="B369" s="16" t="s">
        <v>205</v>
      </c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20"/>
      <c r="AK369" s="19"/>
      <c r="AL369" s="19"/>
      <c r="AM369" s="19"/>
      <c r="AN369" s="19"/>
      <c r="AO369" s="19"/>
      <c r="AP369" s="19"/>
      <c r="AQ369" s="19"/>
      <c r="AR369" s="19"/>
      <c r="AS369" s="19"/>
      <c r="AT369" s="19"/>
      <c r="AU369" s="17">
        <f t="shared" ref="AU369" ca="1" si="2937">AU367+AU368</f>
        <v>2051.6908940661037</v>
      </c>
      <c r="AV369" s="17">
        <f t="shared" ref="AV369:AY369" ca="1" si="2938">AV367+AV368</f>
        <v>2092.1264563201858</v>
      </c>
      <c r="AW369" s="17">
        <f t="shared" ca="1" si="2938"/>
        <v>2058.3163760159287</v>
      </c>
      <c r="AX369" s="17">
        <f t="shared" ca="1" si="2938"/>
        <v>2000.310054037966</v>
      </c>
      <c r="AY369" s="17">
        <f t="shared" ca="1" si="2938"/>
        <v>2104.7493898202692</v>
      </c>
      <c r="AZ369" s="17">
        <f t="shared" ref="AZ369:BG369" ca="1" si="2939">AZ367+AZ368</f>
        <v>2298.3863336837344</v>
      </c>
      <c r="BA369" s="17">
        <f t="shared" ca="1" si="2939"/>
        <v>2509.8378763826386</v>
      </c>
      <c r="BB369" s="17">
        <f t="shared" ca="1" si="2939"/>
        <v>2740.7429610098416</v>
      </c>
      <c r="BC369" s="17">
        <f t="shared" ca="1" si="2939"/>
        <v>2949.794170565604</v>
      </c>
      <c r="BD369" s="17">
        <f t="shared" ca="1" si="2939"/>
        <v>3092.1923771147826</v>
      </c>
      <c r="BE369" s="17">
        <f t="shared" ca="1" si="2939"/>
        <v>3241.7255043807709</v>
      </c>
      <c r="BF369" s="17">
        <f t="shared" ca="1" si="2939"/>
        <v>3400.3871079266601</v>
      </c>
      <c r="BG369" s="17">
        <f t="shared" ca="1" si="2939"/>
        <v>3528.3112932844842</v>
      </c>
      <c r="BH369" s="17">
        <f t="shared" ref="BH369" ca="1" si="2940">BH367+BH368</f>
        <v>3646.2502179809435</v>
      </c>
      <c r="BI369" s="17">
        <f t="shared" ref="BI369:BK369" ca="1" si="2941">BI367+BI368</f>
        <v>3755.5995237494753</v>
      </c>
      <c r="BJ369" s="17">
        <f t="shared" ca="1" si="2941"/>
        <v>3944.6689656487142</v>
      </c>
      <c r="BK369" s="17">
        <f t="shared" ca="1" si="2941"/>
        <v>4133.3385104883964</v>
      </c>
      <c r="BL369" s="17">
        <f t="shared" ref="BL369:BM369" ca="1" si="2942">BL367+BL368</f>
        <v>4270.8627963104718</v>
      </c>
      <c r="BM369" s="17">
        <f t="shared" ca="1" si="2942"/>
        <v>4366.5250307138922</v>
      </c>
      <c r="BN369" s="17">
        <f t="shared" ref="BN369:BO369" ca="1" si="2943">BN367+BN368</f>
        <v>4516.553904968142</v>
      </c>
      <c r="BO369" s="18">
        <f t="shared" ca="1" si="2943"/>
        <v>4710.0468642252117</v>
      </c>
      <c r="BP369" s="17">
        <f t="shared" ref="BP369:BQ369" ca="1" si="2944">BP367+BP368</f>
        <v>4910.6380322991045</v>
      </c>
      <c r="BQ369" s="17">
        <f t="shared" ca="1" si="2944"/>
        <v>5104.1682112865255</v>
      </c>
      <c r="BR369" s="17">
        <f t="shared" ref="BR369:BS369" ca="1" si="2945">BR367+BR368</f>
        <v>5278.5916153137432</v>
      </c>
      <c r="BS369" s="17">
        <f t="shared" ca="1" si="2945"/>
        <v>5475.8472615094206</v>
      </c>
      <c r="BT369" s="17">
        <f ca="1">BT367+BT368</f>
        <v>5667.5019156622511</v>
      </c>
    </row>
    <row r="370" spans="1:72" ht="12" customHeight="1" outlineLevel="1">
      <c r="B370" s="87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20"/>
      <c r="AK370" s="19"/>
      <c r="AL370" s="19"/>
      <c r="AM370" s="19"/>
      <c r="AN370" s="19"/>
      <c r="AO370" s="19"/>
      <c r="AP370" s="19"/>
      <c r="AQ370" s="19"/>
      <c r="AR370" s="19"/>
      <c r="AS370" s="19"/>
      <c r="AT370" s="19"/>
      <c r="AU370" s="19"/>
      <c r="AV370" s="19"/>
      <c r="AW370" s="19"/>
      <c r="AX370" s="19"/>
      <c r="AY370" s="19"/>
      <c r="AZ370" s="19"/>
      <c r="BA370" s="19"/>
      <c r="BB370" s="19"/>
      <c r="BC370" s="19"/>
      <c r="BD370" s="19"/>
      <c r="BE370" s="19"/>
      <c r="BF370" s="19"/>
      <c r="BG370" s="19"/>
      <c r="BH370" s="19"/>
      <c r="BI370" s="19"/>
      <c r="BJ370" s="19"/>
      <c r="BK370" s="33"/>
      <c r="BL370" s="19"/>
      <c r="BM370" s="19"/>
      <c r="BN370" s="19"/>
      <c r="BO370" s="20"/>
      <c r="BP370" s="19"/>
      <c r="BQ370" s="19"/>
      <c r="BR370" s="19"/>
      <c r="BS370" s="19"/>
      <c r="BT370" s="19"/>
    </row>
    <row r="371" spans="1:72" s="9" customFormat="1" ht="12" customHeight="1" outlineLevel="1">
      <c r="A371" s="91" t="s">
        <v>261</v>
      </c>
      <c r="B371" s="16" t="s">
        <v>262</v>
      </c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8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>
        <f t="shared" ref="AU371" ca="1" si="2946">AU365+AU369</f>
        <v>20506.766631954659</v>
      </c>
      <c r="AV371" s="17">
        <f t="shared" ref="AV371:AY371" ca="1" si="2947">AV365+AV369</f>
        <v>21939.069162094493</v>
      </c>
      <c r="AW371" s="17">
        <f t="shared" ca="1" si="2947"/>
        <v>24020.17781072147</v>
      </c>
      <c r="AX371" s="17">
        <f t="shared" ca="1" si="2947"/>
        <v>26481.662740736425</v>
      </c>
      <c r="AY371" s="17">
        <f t="shared" ca="1" si="2947"/>
        <v>28794.386523694982</v>
      </c>
      <c r="AZ371" s="17">
        <f t="shared" ref="AZ371:BG371" ca="1" si="2948">AZ365+AZ369</f>
        <v>32425.470083874923</v>
      </c>
      <c r="BA371" s="17">
        <f t="shared" ca="1" si="2948"/>
        <v>34593.613331591427</v>
      </c>
      <c r="BB371" s="17">
        <f t="shared" ca="1" si="2948"/>
        <v>36943.22575809784</v>
      </c>
      <c r="BC371" s="17">
        <f t="shared" ca="1" si="2948"/>
        <v>39137.905384985701</v>
      </c>
      <c r="BD371" s="17">
        <f t="shared" ca="1" si="2948"/>
        <v>40279.609823261533</v>
      </c>
      <c r="BE371" s="17">
        <f t="shared" ca="1" si="2948"/>
        <v>42337.385355573017</v>
      </c>
      <c r="BF371" s="17">
        <f t="shared" ca="1" si="2948"/>
        <v>44884.847665428606</v>
      </c>
      <c r="BG371" s="17">
        <f t="shared" ca="1" si="2948"/>
        <v>46799.342222076608</v>
      </c>
      <c r="BH371" s="17">
        <f t="shared" ref="BH371" ca="1" si="2949">BH365+BH369</f>
        <v>48739.215992221951</v>
      </c>
      <c r="BI371" s="17">
        <f t="shared" ref="BI371:BK371" ca="1" si="2950">BI365+BI369</f>
        <v>50589.118149220652</v>
      </c>
      <c r="BJ371" s="17">
        <f t="shared" ca="1" si="2950"/>
        <v>54628.871304663255</v>
      </c>
      <c r="BK371" s="17">
        <f t="shared" ca="1" si="2950"/>
        <v>58625.487464692269</v>
      </c>
      <c r="BL371" s="17">
        <f t="shared" ref="BL371:BM371" ca="1" si="2951">BL365+BL369</f>
        <v>65334.289454301113</v>
      </c>
      <c r="BM371" s="17">
        <f t="shared" ca="1" si="2951"/>
        <v>68642.786941239669</v>
      </c>
      <c r="BN371" s="17">
        <f t="shared" ref="BN371:BO371" ca="1" si="2952">BN365+BN369</f>
        <v>71615.231911262294</v>
      </c>
      <c r="BO371" s="18">
        <f t="shared" ca="1" si="2952"/>
        <v>75145.803247098447</v>
      </c>
      <c r="BP371" s="17">
        <f t="shared" ref="BP371:BQ371" ca="1" si="2953">BP365+BP369</f>
        <v>78914.402060964363</v>
      </c>
      <c r="BQ371" s="17">
        <f t="shared" ca="1" si="2953"/>
        <v>82394.534279786138</v>
      </c>
      <c r="BR371" s="17">
        <f t="shared" ref="BR371:BS371" ca="1" si="2954">BR365+BR369</f>
        <v>86400.115013102622</v>
      </c>
      <c r="BS371" s="17">
        <f t="shared" ca="1" si="2954"/>
        <v>90856.386562859494</v>
      </c>
      <c r="BT371" s="17">
        <f ca="1">BT365+BT369</f>
        <v>95435.014233780559</v>
      </c>
    </row>
    <row r="372" spans="1:72" ht="12" customHeight="1" outlineLevel="1">
      <c r="A372" s="91" t="s">
        <v>263</v>
      </c>
      <c r="B372" s="87" t="s">
        <v>150</v>
      </c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20"/>
      <c r="AK372" s="19"/>
      <c r="AL372" s="19"/>
      <c r="AM372" s="19"/>
      <c r="AN372" s="19"/>
      <c r="AO372" s="19"/>
      <c r="AP372" s="19"/>
      <c r="AQ372" s="19"/>
      <c r="AR372" s="19"/>
      <c r="AS372" s="19"/>
      <c r="AT372" s="19"/>
      <c r="AU372" s="19">
        <f t="shared" ref="AU372:AY372" si="2955">AU103</f>
        <v>227.45941834451901</v>
      </c>
      <c r="AV372" s="19">
        <f t="shared" si="2955"/>
        <v>236.36401159243439</v>
      </c>
      <c r="AW372" s="19">
        <f t="shared" si="2955"/>
        <v>258.22778625177955</v>
      </c>
      <c r="AX372" s="19">
        <f t="shared" si="2955"/>
        <v>279.20565385397595</v>
      </c>
      <c r="AY372" s="19">
        <f t="shared" si="2955"/>
        <v>288.2224933902786</v>
      </c>
      <c r="AZ372" s="19">
        <f t="shared" ref="AZ372:BG372" si="2956">AZ103</f>
        <v>350.05518710595891</v>
      </c>
      <c r="BA372" s="19">
        <f t="shared" si="2956"/>
        <v>352.66927089688829</v>
      </c>
      <c r="BB372" s="19">
        <f t="shared" si="2956"/>
        <v>354.46856111450069</v>
      </c>
      <c r="BC372" s="19">
        <f t="shared" si="2956"/>
        <v>345.23752084604433</v>
      </c>
      <c r="BD372" s="19">
        <f t="shared" si="2956"/>
        <v>321.07474999999999</v>
      </c>
      <c r="BE372" s="19">
        <f t="shared" si="2956"/>
        <v>333.45777700000002</v>
      </c>
      <c r="BF372" s="19">
        <f t="shared" si="2956"/>
        <v>340.30238900000001</v>
      </c>
      <c r="BG372" s="19">
        <f t="shared" si="2956"/>
        <v>340.35173099999997</v>
      </c>
      <c r="BH372" s="19">
        <f t="shared" ref="BH372" si="2957">BH103</f>
        <v>340.36482000000001</v>
      </c>
      <c r="BI372" s="19">
        <f t="shared" ref="BI372:BK372" si="2958">BI103</f>
        <v>340.38273800000002</v>
      </c>
      <c r="BJ372" s="19">
        <f t="shared" si="2958"/>
        <v>354.381396</v>
      </c>
      <c r="BK372" s="19">
        <f t="shared" si="2958"/>
        <v>361.82137699999998</v>
      </c>
      <c r="BL372" s="19">
        <f t="shared" ref="BL372:BM372" si="2959">BL103</f>
        <v>383.64763699999997</v>
      </c>
      <c r="BM372" s="19">
        <f t="shared" si="2959"/>
        <v>386.47675400000003</v>
      </c>
      <c r="BN372" s="19">
        <f t="shared" ref="BN372:BO372" si="2960">BN103</f>
        <v>382.96253300000001</v>
      </c>
      <c r="BO372" s="20">
        <f t="shared" si="2960"/>
        <v>381.13841500000001</v>
      </c>
      <c r="BP372" s="19">
        <f t="shared" ref="BP372:BQ372" si="2961">BP103</f>
        <v>379.68406348563246</v>
      </c>
      <c r="BQ372" s="19">
        <f t="shared" si="2961"/>
        <v>376.96049988651816</v>
      </c>
      <c r="BR372" s="19">
        <f t="shared" ref="BR372:BS372" si="2962">BR103</f>
        <v>376.96049988651816</v>
      </c>
      <c r="BS372" s="19">
        <f t="shared" si="2962"/>
        <v>376.96049988651816</v>
      </c>
      <c r="BT372" s="19">
        <f>BT103</f>
        <v>376.96049988651816</v>
      </c>
    </row>
    <row r="373" spans="1:72" ht="12" customHeight="1" outlineLevel="1">
      <c r="A373" s="91" t="s">
        <v>264</v>
      </c>
      <c r="B373" s="16" t="s">
        <v>265</v>
      </c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20"/>
      <c r="AK373" s="19"/>
      <c r="AL373" s="19"/>
      <c r="AM373" s="19"/>
      <c r="AN373" s="19"/>
      <c r="AO373" s="19"/>
      <c r="AP373" s="19"/>
      <c r="AQ373" s="19"/>
      <c r="AR373" s="19"/>
      <c r="AS373" s="19"/>
      <c r="AT373" s="19"/>
      <c r="AU373" s="155">
        <f t="shared" ref="AU373:AY373" ca="1" si="2963">AU371/AU372</f>
        <v>90.155715605032896</v>
      </c>
      <c r="AV373" s="155">
        <f t="shared" ca="1" si="2963"/>
        <v>92.818991411959615</v>
      </c>
      <c r="AW373" s="155">
        <f t="shared" ca="1" si="2963"/>
        <v>93.019338311257883</v>
      </c>
      <c r="AX373" s="155">
        <f t="shared" ca="1" si="2963"/>
        <v>94.846441593142984</v>
      </c>
      <c r="AY373" s="155">
        <f t="shared" ca="1" si="2963"/>
        <v>99.903328796426905</v>
      </c>
      <c r="AZ373" s="155">
        <f t="shared" ref="AZ373:BG373" ca="1" si="2964">AZ371/AZ372</f>
        <v>92.629594641772854</v>
      </c>
      <c r="BA373" s="155">
        <f t="shared" ca="1" si="2964"/>
        <v>98.090806844653429</v>
      </c>
      <c r="BB373" s="155">
        <f t="shared" ca="1" si="2964"/>
        <v>104.22144531504563</v>
      </c>
      <c r="BC373" s="155">
        <f t="shared" ca="1" si="2964"/>
        <v>113.36515593401828</v>
      </c>
      <c r="BD373" s="155">
        <f t="shared" ca="1" si="2964"/>
        <v>125.45243692710665</v>
      </c>
      <c r="BE373" s="155">
        <f t="shared" ca="1" si="2964"/>
        <v>126.96475618732687</v>
      </c>
      <c r="BF373" s="155">
        <f t="shared" ca="1" si="2964"/>
        <v>131.89695140644048</v>
      </c>
      <c r="BG373" s="155">
        <f t="shared" ca="1" si="2964"/>
        <v>137.50287705184792</v>
      </c>
      <c r="BH373" s="155">
        <f t="shared" ref="BH373" ca="1" si="2965">BH371/BH372</f>
        <v>143.19698490643643</v>
      </c>
      <c r="BI373" s="155">
        <f t="shared" ref="BI373:BK373" ca="1" si="2966">BI371/BI372</f>
        <v>148.6242176864464</v>
      </c>
      <c r="BJ373" s="155">
        <f t="shared" ca="1" si="2966"/>
        <v>154.15276287433343</v>
      </c>
      <c r="BK373" s="155">
        <f t="shared" ca="1" si="2966"/>
        <v>162.02881087562793</v>
      </c>
      <c r="BL373" s="155">
        <f t="shared" ref="BL373:BM373" ca="1" si="2967">BL371/BL372</f>
        <v>170.2976459471875</v>
      </c>
      <c r="BM373" s="155">
        <f t="shared" ca="1" si="2967"/>
        <v>177.61168357680748</v>
      </c>
      <c r="BN373" s="155">
        <f t="shared" ref="BN373:BO373" ca="1" si="2968">BN371/BN372</f>
        <v>187.00323331959549</v>
      </c>
      <c r="BO373" s="156">
        <f t="shared" ca="1" si="2968"/>
        <v>197.16145182347586</v>
      </c>
      <c r="BP373" s="155">
        <f t="shared" ref="BP373:BQ373" ca="1" si="2969">BP371/BP372</f>
        <v>207.84228164991325</v>
      </c>
      <c r="BQ373" s="155">
        <f t="shared" ca="1" si="2969"/>
        <v>218.57604259488872</v>
      </c>
      <c r="BR373" s="155">
        <f t="shared" ref="BR373:BS373" ca="1" si="2970">BR371/BR372</f>
        <v>229.2020385136185</v>
      </c>
      <c r="BS373" s="155">
        <f t="shared" ca="1" si="2970"/>
        <v>241.02362605687148</v>
      </c>
      <c r="BT373" s="155">
        <f ca="1">BT371/BT372</f>
        <v>253.16979965410363</v>
      </c>
    </row>
    <row r="374" spans="1:72" ht="12" customHeight="1" outlineLevel="1">
      <c r="B374" s="87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20"/>
      <c r="AK374" s="19"/>
      <c r="AL374" s="19"/>
      <c r="AM374" s="19"/>
      <c r="AN374" s="19"/>
      <c r="AO374" s="19"/>
      <c r="AP374" s="19"/>
      <c r="AQ374" s="19"/>
      <c r="AR374" s="19"/>
      <c r="AS374" s="19"/>
      <c r="AT374" s="19"/>
      <c r="AU374" s="19"/>
      <c r="AV374" s="19"/>
      <c r="AW374" s="36"/>
      <c r="AX374" s="36"/>
      <c r="AY374" s="36"/>
      <c r="AZ374" s="36"/>
      <c r="BA374" s="36"/>
      <c r="BB374" s="36"/>
      <c r="BC374" s="36"/>
      <c r="BD374" s="19"/>
      <c r="BE374" s="19"/>
      <c r="BF374" s="19"/>
      <c r="BG374" s="19"/>
      <c r="BH374" s="19"/>
      <c r="BI374" s="19"/>
      <c r="BJ374" s="19"/>
      <c r="BK374" s="19"/>
      <c r="BL374" s="19"/>
      <c r="BM374" s="19"/>
      <c r="BN374" s="19"/>
      <c r="BO374" s="20"/>
      <c r="BP374" s="19"/>
      <c r="BQ374" s="19"/>
      <c r="BR374" s="19"/>
      <c r="BS374" s="19"/>
      <c r="BT374" s="19"/>
    </row>
    <row r="375" spans="1:72" ht="12" customHeight="1" outlineLevel="1">
      <c r="B375" s="3" t="s">
        <v>405</v>
      </c>
      <c r="C375" s="96"/>
      <c r="D375" s="96"/>
      <c r="E375" s="96"/>
      <c r="F375" s="96"/>
      <c r="G375" s="96"/>
      <c r="H375" s="96"/>
      <c r="I375" s="96"/>
      <c r="J375" s="96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  <c r="V375" s="100"/>
      <c r="W375" s="100"/>
      <c r="X375" s="100"/>
      <c r="Y375" s="100"/>
      <c r="Z375" s="100"/>
      <c r="AA375" s="100"/>
      <c r="AB375" s="100"/>
      <c r="AC375" s="100"/>
      <c r="AD375" s="100"/>
      <c r="AE375" s="100"/>
      <c r="AF375" s="100"/>
      <c r="AG375" s="100"/>
      <c r="AH375" s="100"/>
      <c r="AI375" s="100"/>
      <c r="AJ375" s="97"/>
      <c r="AK375" s="96"/>
      <c r="AL375" s="96"/>
      <c r="AM375" s="96"/>
      <c r="AN375" s="96"/>
      <c r="AO375" s="96"/>
      <c r="AP375" s="96"/>
      <c r="AQ375" s="96"/>
      <c r="AR375" s="96"/>
      <c r="AS375" s="96"/>
      <c r="AU375" s="100"/>
      <c r="AV375" s="100" t="str">
        <f ca="1">IF(ISNA(AV371),"Ok",IF(ROUND((AV371+AV357)/AU371-1,5)&lt;&gt;Summary!$G$8,"Error","Ok"))</f>
        <v>Ok</v>
      </c>
      <c r="AW375" s="100" t="str">
        <f ca="1">IF(ISNA(AW371),"Ok",IF(ROUND((AW371+AW357)/AV371-1,5)&lt;&gt;Summary!$G$8,"Error","Ok"))</f>
        <v>Ok</v>
      </c>
      <c r="AX375" s="100" t="str">
        <f ca="1">IF(ISNA(AX371),"Ok",IF(ROUND((AX371+AX357)/AW371-1,5)&lt;&gt;Summary!$G$8,"Error","Ok"))</f>
        <v>Ok</v>
      </c>
      <c r="AY375" s="100" t="str">
        <f ca="1">IF(ISNA(AY371),"Ok",IF(ROUND((AY371+AY357)/AX371-1,5)&lt;&gt;Summary!$G$8,"Error","Ok"))</f>
        <v>Ok</v>
      </c>
      <c r="AZ375" s="100" t="str">
        <f ca="1">IF(ISNA(AZ371),"Ok",IF(ROUND((AZ371+AZ357)/AY371-1,5)&lt;&gt;Summary!$G$8,"Error","Ok"))</f>
        <v>Ok</v>
      </c>
      <c r="BA375" s="100" t="str">
        <f ca="1">IF(ISNA(BA371),"Ok",IF(ROUND((BA371+BA357)/AZ371-1,5)&lt;&gt;Summary!$G$8,"Error","Ok"))</f>
        <v>Ok</v>
      </c>
      <c r="BB375" s="100" t="str">
        <f ca="1">IF(ISNA(BB371),"Ok",IF(ROUND((BB371+BB357)/BA371-1,5)&lt;&gt;Summary!$G$8,"Error","Ok"))</f>
        <v>Ok</v>
      </c>
      <c r="BC375" s="100" t="str">
        <f ca="1">IF(ISNA(BC371),"Ok",IF(ROUND((BC371+BC357)/BB371-1,5)&lt;&gt;Summary!$G$8,"Error","Ok"))</f>
        <v>Ok</v>
      </c>
      <c r="BD375" s="100" t="str">
        <f ca="1">IF(ISNA(BD371),"Ok",IF(ROUND((BD371+BD357)/BC371-1,5)&lt;&gt;Summary!$G$8,"Error","Ok"))</f>
        <v>Ok</v>
      </c>
      <c r="BE375" s="100" t="str">
        <f ca="1">IF(ISNA(BE371),"Ok",IF(ROUND((BE371+BE357)/BD371-1,5)&lt;&gt;Summary!$G$8,"Error","Ok"))</f>
        <v>Ok</v>
      </c>
      <c r="BF375" s="100" t="str">
        <f ca="1">IF(ISNA(BF371),"Ok",IF(ROUND((BF371+BF357)/BE371-1,5)&lt;&gt;Summary!$G$8,"Error","Ok"))</f>
        <v>Ok</v>
      </c>
      <c r="BG375" s="100" t="str">
        <f ca="1">IF(ISNA(BG371),"Ok",IF(ROUND((BG371+BG357)/BF371-1,5)&lt;&gt;Summary!$G$8,"Error","Ok"))</f>
        <v>Ok</v>
      </c>
      <c r="BH375" s="100" t="str">
        <f ca="1">IF(ISNA(BH371),"Ok",IF(ROUND((BH371+BH357)/BG371-1,5)&lt;&gt;Summary!$G$8,"Error","Ok"))</f>
        <v>Ok</v>
      </c>
      <c r="BI375" s="100" t="str">
        <f ca="1">IF(ISNA(BI371),"Ok",IF(ROUND((BI371+BI357)/BH371-1,5)&lt;&gt;Summary!$G$8,"Error","Ok"))</f>
        <v>Ok</v>
      </c>
      <c r="BJ375" s="100" t="str">
        <f ca="1">IF(ISNA(BJ371),"Ok",IF(ROUND((BJ371+BJ357)/BI371-1,5)&lt;&gt;Summary!$G$8,"Error","Ok"))</f>
        <v>Ok</v>
      </c>
      <c r="BK375" s="100" t="str">
        <f ca="1">IF(ISNA(BK371),"Ok",IF(ROUND((BK371+BK357)/BJ371-1,5)&lt;&gt;Summary!$G$8,"Error","Ok"))</f>
        <v>Ok</v>
      </c>
      <c r="BL375" s="100" t="str">
        <f ca="1">IF(ISNA(BL371),"Ok",IF(ROUND((BL371+BL357)/BK371-1,5)&lt;&gt;Summary!$G$8,"Error","Ok"))</f>
        <v>Ok</v>
      </c>
      <c r="BM375" s="100" t="str">
        <f ca="1">IF(ISNA(BM371),"Ok",IF(ROUND((BM371+BM357)/BL371-1,5)&lt;&gt;Summary!$G$8,"Error","Ok"))</f>
        <v>Ok</v>
      </c>
      <c r="BN375" s="100" t="str">
        <f ca="1">IF(ISNA(BN371),"Ok",IF(ROUND((BN371+BN357)/BM371-1,5)&lt;&gt;Summary!$G$8,"Error","Ok"))</f>
        <v>Ok</v>
      </c>
      <c r="BO375" s="97" t="str">
        <f ca="1">IF(ISNA(BO371),"Ok",IF(ROUND((BO371+BO357)/BN371-1,5)&lt;&gt;Summary!$G$8,"Error","Ok"))</f>
        <v>Ok</v>
      </c>
      <c r="BP375" s="100" t="str">
        <f ca="1">IF(ISNA(BP371),"Ok",IF(ROUND((BP371+BP357)/BO371-1,5)&lt;&gt;Summary!$G$8,"Error","Ok"))</f>
        <v>Ok</v>
      </c>
      <c r="BQ375" s="100" t="str">
        <f ca="1">IF(ISNA(BQ371),"Ok",IF(ROUND((BQ371+BQ357)/BP371-1,5)&lt;&gt;Summary!$G$8,"Error","Ok"))</f>
        <v>Ok</v>
      </c>
      <c r="BR375" s="100" t="str">
        <f ca="1">IF(ISNA(BR371),"Ok",IF(ROUND((BR371+BR357)/BQ371-1,5)&lt;&gt;Summary!$G$8,"Error","Ok"))</f>
        <v>Ok</v>
      </c>
      <c r="BS375" s="100" t="str">
        <f ca="1">IF(ISNA(BS371),"Ok",IF(ROUND((BS371+BS357)/BR371-1,5)&lt;&gt;Summary!$G$8,"Error","Ok"))</f>
        <v>Ok</v>
      </c>
      <c r="BT375" s="100" t="str">
        <f ca="1">IF(ISNA(BT371),"Ok",IF(ROUND((BT371+BT357)/BS371-1,5)&lt;&gt;Summary!$G$8,"Error","Ok"))</f>
        <v>Ok</v>
      </c>
    </row>
    <row r="376" spans="1:72" ht="12" customHeight="1"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20"/>
      <c r="AK376" s="19"/>
      <c r="AL376" s="19"/>
      <c r="AM376" s="19"/>
      <c r="AN376" s="19"/>
      <c r="AO376" s="19"/>
      <c r="AP376" s="19"/>
      <c r="AQ376" s="19"/>
      <c r="AR376" s="19"/>
      <c r="AS376" s="19"/>
      <c r="AT376" s="19"/>
      <c r="AU376" s="19"/>
      <c r="AV376" s="19"/>
      <c r="AW376" s="19"/>
      <c r="AX376" s="19"/>
      <c r="AY376" s="19"/>
      <c r="AZ376" s="19"/>
      <c r="BA376" s="19"/>
      <c r="BB376" s="19"/>
      <c r="BC376" s="19"/>
      <c r="BD376" s="19"/>
      <c r="BE376" s="19"/>
      <c r="BF376" s="19"/>
      <c r="BG376" s="19"/>
      <c r="BH376" s="19"/>
      <c r="BI376" s="19"/>
      <c r="BJ376" s="19"/>
      <c r="BK376" s="19"/>
      <c r="BL376" s="19"/>
      <c r="BM376" s="19"/>
      <c r="BN376" s="19"/>
      <c r="BO376" s="20"/>
      <c r="BP376" s="19"/>
      <c r="BQ376" s="19"/>
      <c r="BR376" s="19"/>
      <c r="BS376" s="19"/>
      <c r="BT376" s="19"/>
    </row>
    <row r="377" spans="1:72" s="9" customFormat="1" ht="12" customHeight="1">
      <c r="A377" s="91" t="s">
        <v>577</v>
      </c>
      <c r="B377" s="2" t="s">
        <v>406</v>
      </c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14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14"/>
      <c r="BP377" s="2"/>
      <c r="BQ377" s="2"/>
      <c r="BR377" s="2"/>
      <c r="BS377" s="2"/>
      <c r="BT377" s="2"/>
    </row>
    <row r="378" spans="1:72" ht="12" customHeight="1" outlineLevel="1"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20"/>
      <c r="AK378" s="19"/>
      <c r="AL378" s="19"/>
      <c r="AM378" s="19"/>
      <c r="AN378" s="19"/>
      <c r="AO378" s="19"/>
      <c r="AP378" s="19"/>
      <c r="AQ378" s="19"/>
      <c r="AR378" s="19"/>
      <c r="AS378" s="19"/>
      <c r="AT378" s="19"/>
      <c r="AU378" s="19"/>
      <c r="AV378" s="19"/>
      <c r="AW378" s="19"/>
      <c r="AX378" s="19"/>
      <c r="AY378" s="19"/>
      <c r="AZ378" s="19"/>
      <c r="BA378" s="19"/>
      <c r="BB378" s="19"/>
      <c r="BC378" s="19"/>
      <c r="BD378" s="19"/>
      <c r="BE378" s="19"/>
      <c r="BF378" s="19"/>
      <c r="BG378" s="19"/>
      <c r="BH378" s="19"/>
      <c r="BI378" s="19"/>
      <c r="BJ378" s="19"/>
      <c r="BK378" s="19"/>
      <c r="BL378" s="19"/>
      <c r="BM378" s="19"/>
      <c r="BN378" s="19"/>
      <c r="BO378" s="20"/>
      <c r="BP378" s="19"/>
      <c r="BQ378" s="19"/>
      <c r="BR378" s="19"/>
      <c r="BS378" s="19"/>
      <c r="BT378" s="19"/>
    </row>
    <row r="379" spans="1:72" ht="12" customHeight="1" outlineLevel="1">
      <c r="B379" s="9" t="s">
        <v>407</v>
      </c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20"/>
      <c r="AK379" s="19"/>
      <c r="AL379" s="19"/>
      <c r="AM379" s="19"/>
      <c r="AN379" s="19"/>
      <c r="AO379" s="19"/>
      <c r="AP379" s="19"/>
      <c r="AQ379" s="19"/>
      <c r="AR379" s="19"/>
      <c r="AS379" s="19"/>
      <c r="AT379" s="19"/>
      <c r="AU379" s="19"/>
      <c r="AV379" s="19"/>
      <c r="AW379" s="19"/>
      <c r="AX379" s="19"/>
      <c r="AY379" s="19"/>
      <c r="AZ379" s="19"/>
      <c r="BA379" s="19"/>
      <c r="BB379" s="19"/>
      <c r="BC379" s="19"/>
      <c r="BD379" s="19"/>
      <c r="BE379" s="19"/>
      <c r="BF379" s="19"/>
      <c r="BG379" s="19"/>
      <c r="BH379" s="19"/>
      <c r="BI379" s="19"/>
      <c r="BJ379" s="19"/>
      <c r="BK379" s="19"/>
      <c r="BL379" s="19"/>
      <c r="BM379" s="19"/>
      <c r="BN379" s="19"/>
      <c r="BO379" s="20"/>
      <c r="BP379" s="19"/>
      <c r="BQ379" s="19"/>
      <c r="BR379" s="19"/>
      <c r="BS379" s="19"/>
      <c r="BT379" s="19"/>
    </row>
    <row r="380" spans="1:72" ht="12" customHeight="1" outlineLevel="1">
      <c r="B380" s="1" t="s">
        <v>427</v>
      </c>
      <c r="C380" s="19"/>
      <c r="D380" s="21">
        <f>3+8936+4493</f>
        <v>13432</v>
      </c>
      <c r="E380" s="21">
        <f>8251+7149</f>
        <v>15400</v>
      </c>
      <c r="F380" s="21">
        <f>9766+9266</f>
        <v>19032</v>
      </c>
      <c r="G380" s="21">
        <f>9817+8790</f>
        <v>18607</v>
      </c>
      <c r="H380" s="21">
        <f>11525+6696</f>
        <v>18221</v>
      </c>
      <c r="I380" s="21">
        <v>18510</v>
      </c>
      <c r="J380" s="21">
        <v>18226</v>
      </c>
      <c r="K380" s="21">
        <v>14806</v>
      </c>
      <c r="L380" s="21">
        <v>20001</v>
      </c>
      <c r="M380" s="21">
        <v>19457</v>
      </c>
      <c r="N380" s="21">
        <v>20775</v>
      </c>
      <c r="O380" s="21">
        <v>28705</v>
      </c>
      <c r="P380" s="21">
        <v>36954</v>
      </c>
      <c r="Q380" s="21">
        <v>33128</v>
      </c>
      <c r="R380" s="21">
        <v>33260</v>
      </c>
      <c r="S380" s="21">
        <v>27471</v>
      </c>
      <c r="T380" s="21">
        <v>40345</v>
      </c>
      <c r="U380" s="21">
        <f>9722+28837</f>
        <v>38559</v>
      </c>
      <c r="V380" s="21">
        <f>9625+27837</f>
        <v>37462</v>
      </c>
      <c r="W380" s="21">
        <f>9717+37710</f>
        <v>47427</v>
      </c>
      <c r="X380" s="21">
        <f>9579+30201</f>
        <v>39780</v>
      </c>
      <c r="Y380" s="21">
        <f>9717+37710</f>
        <v>47427</v>
      </c>
      <c r="Z380" s="21">
        <f>8681+42933</f>
        <v>51614</v>
      </c>
      <c r="AA380" s="21">
        <f>18425+36681</f>
        <v>55106</v>
      </c>
      <c r="AB380" s="21">
        <f>32221+39444</f>
        <v>71665</v>
      </c>
      <c r="AC380" s="21">
        <f>52754+51197</f>
        <v>103951</v>
      </c>
      <c r="AD380" s="21">
        <f>54125+75788</f>
        <v>129913</v>
      </c>
      <c r="AE380" s="21">
        <f>45656+54323</f>
        <v>99979</v>
      </c>
      <c r="AF380" s="21">
        <f>29587+66119</f>
        <v>95706</v>
      </c>
      <c r="AG380" s="21">
        <f>31855+58416</f>
        <v>90271</v>
      </c>
      <c r="AH380" s="21">
        <f>19109+69671</f>
        <v>88780</v>
      </c>
      <c r="AI380" s="21">
        <f>26385+66579</f>
        <v>92964</v>
      </c>
      <c r="AJ380" s="24">
        <f>23455+71498</f>
        <v>94953</v>
      </c>
      <c r="AK380" s="19">
        <f t="shared" ref="AK380" si="2971">AK402-SUM(AK381:AK401)</f>
        <v>96449.379587858508</v>
      </c>
      <c r="AL380" s="19">
        <f t="shared" ref="AL380:AM380" si="2972">AL402-SUM(AL381:AL401)</f>
        <v>97936.873678495293</v>
      </c>
      <c r="AM380" s="19">
        <f t="shared" si="2972"/>
        <v>99116.176883456588</v>
      </c>
      <c r="AN380" s="19">
        <f t="shared" ref="AN380:AO380" si="2973">AN402-SUM(AN381:AN401)</f>
        <v>99819.233395045972</v>
      </c>
      <c r="AO380" s="19">
        <f t="shared" si="2973"/>
        <v>100411.23539294378</v>
      </c>
      <c r="AP380" s="19">
        <f t="shared" ref="AP380:AQ380" si="2974">AP402-SUM(AP381:AP401)</f>
        <v>100903.52387892129</v>
      </c>
      <c r="AQ380" s="19">
        <f t="shared" si="2974"/>
        <v>101248.81427061919</v>
      </c>
      <c r="AR380" s="19">
        <f t="shared" ref="AR380:AS380" si="2975">AR402-SUM(AR381:AR401)</f>
        <v>101450.87238847534</v>
      </c>
      <c r="AS380" s="19">
        <f t="shared" si="2975"/>
        <v>101605.45421723695</v>
      </c>
      <c r="AT380" s="19"/>
      <c r="AU380" s="21">
        <f>4+3969+8927</f>
        <v>12900</v>
      </c>
      <c r="AV380" s="21">
        <f>5+6394+13570</f>
        <v>19969</v>
      </c>
      <c r="AW380" s="21">
        <f>3+6120+25909</f>
        <v>32032</v>
      </c>
      <c r="AX380" s="21">
        <f>7+10110+22906</f>
        <v>33023</v>
      </c>
      <c r="AY380" s="21">
        <f>141+12271+5096</f>
        <v>17508</v>
      </c>
      <c r="AZ380" s="19">
        <f t="shared" ref="AZ380:AZ401" si="2976">E380</f>
        <v>15400</v>
      </c>
      <c r="BA380" s="19">
        <f t="shared" ref="BA380:BA401" si="2977">G380</f>
        <v>18607</v>
      </c>
      <c r="BB380" s="19">
        <f t="shared" ref="BB380:BB401" si="2978">I380</f>
        <v>18510</v>
      </c>
      <c r="BC380" s="19">
        <f t="shared" ref="BC380:BC401" si="2979">K380</f>
        <v>14806</v>
      </c>
      <c r="BD380" s="19">
        <f t="shared" ref="BD380:BD401" si="2980">M380</f>
        <v>19457</v>
      </c>
      <c r="BE380" s="19">
        <f t="shared" ref="BE380:BE401" si="2981">O380</f>
        <v>28705</v>
      </c>
      <c r="BF380" s="19">
        <f t="shared" ref="BF380:BF401" si="2982">Q380</f>
        <v>33128</v>
      </c>
      <c r="BG380" s="19">
        <f t="shared" ref="BG380:BG401" si="2983">S380</f>
        <v>27471</v>
      </c>
      <c r="BH380" s="19">
        <f t="shared" ref="BH380:BH401" si="2984">U380</f>
        <v>38559</v>
      </c>
      <c r="BI380" s="19">
        <f t="shared" ref="BI380:BI401" si="2985">W380</f>
        <v>47427</v>
      </c>
      <c r="BJ380" s="19">
        <f t="shared" ref="BJ380:BJ401" si="2986">Y380</f>
        <v>47427</v>
      </c>
      <c r="BK380" s="19">
        <f t="shared" ref="BK380:BK401" si="2987">AA380</f>
        <v>55106</v>
      </c>
      <c r="BL380" s="19">
        <f t="shared" ref="BL380:BL401" si="2988">AC380</f>
        <v>103951</v>
      </c>
      <c r="BM380" s="19">
        <f t="shared" ref="BM380:BM401" si="2989">AE380</f>
        <v>99979</v>
      </c>
      <c r="BN380" s="19">
        <f t="shared" ref="BN380:BN401" si="2990">AG380</f>
        <v>90271</v>
      </c>
      <c r="BO380" s="20">
        <f t="shared" ref="BO380:BO401" si="2991">AI380</f>
        <v>92964</v>
      </c>
      <c r="BP380" s="19">
        <f t="shared" ref="BP380:BP401" si="2992">AK380</f>
        <v>96449.379587858508</v>
      </c>
      <c r="BQ380" s="19">
        <f t="shared" ref="BQ380:BQ401" si="2993">AM380</f>
        <v>99116.176883456588</v>
      </c>
      <c r="BR380" s="19">
        <f t="shared" ref="BR380:BR401" si="2994">AO380</f>
        <v>100411.23539294378</v>
      </c>
      <c r="BS380" s="19">
        <f t="shared" ref="BS380:BS401" si="2995">AQ380</f>
        <v>101248.81427061919</v>
      </c>
      <c r="BT380" s="19">
        <f t="shared" ref="BT380:BT401" si="2996">AS380</f>
        <v>101605.45421723695</v>
      </c>
    </row>
    <row r="381" spans="1:72" ht="12" customHeight="1" outlineLevel="1">
      <c r="B381" s="1" t="s">
        <v>428</v>
      </c>
      <c r="C381" s="19"/>
      <c r="D381" s="21">
        <v>14502</v>
      </c>
      <c r="E381" s="21">
        <v>12138</v>
      </c>
      <c r="F381" s="21">
        <v>15938</v>
      </c>
      <c r="G381" s="21">
        <v>14898</v>
      </c>
      <c r="H381" s="21">
        <v>14616</v>
      </c>
      <c r="I381" s="21">
        <v>12689</v>
      </c>
      <c r="J381" s="21">
        <v>15546</v>
      </c>
      <c r="K381" s="21">
        <v>19776</v>
      </c>
      <c r="L381" s="21">
        <v>22489</v>
      </c>
      <c r="M381" s="21">
        <v>22462</v>
      </c>
      <c r="N381" s="21">
        <v>26310</v>
      </c>
      <c r="O381" s="21">
        <v>30406</v>
      </c>
      <c r="P381" s="21">
        <v>31337</v>
      </c>
      <c r="Q381" s="21">
        <v>23537</v>
      </c>
      <c r="R381" s="21">
        <v>27207</v>
      </c>
      <c r="S381" s="21">
        <v>26933</v>
      </c>
      <c r="T381" s="21">
        <v>18596</v>
      </c>
      <c r="U381" s="21">
        <v>15341</v>
      </c>
      <c r="V381" s="21">
        <v>20158</v>
      </c>
      <c r="W381" s="21">
        <v>17446</v>
      </c>
      <c r="X381" s="21">
        <v>24230</v>
      </c>
      <c r="Y381" s="21">
        <v>16855</v>
      </c>
      <c r="Z381" s="21">
        <v>19252</v>
      </c>
      <c r="AA381" s="21">
        <v>21746</v>
      </c>
      <c r="AB381" s="21">
        <v>21783</v>
      </c>
      <c r="AC381" s="21">
        <v>13578</v>
      </c>
      <c r="AD381" s="21">
        <v>13310</v>
      </c>
      <c r="AE381" s="21">
        <v>16881</v>
      </c>
      <c r="AF381" s="21">
        <v>20224</v>
      </c>
      <c r="AG381" s="21">
        <v>27924</v>
      </c>
      <c r="AH381" s="21">
        <v>35303</v>
      </c>
      <c r="AI381" s="21">
        <v>35036</v>
      </c>
      <c r="AJ381" s="24">
        <v>46998</v>
      </c>
      <c r="AK381" s="19">
        <f t="shared" ref="AK381" si="2997">AJ381*AK114/AJ114</f>
        <v>48978.734906250007</v>
      </c>
      <c r="AL381" s="19">
        <f t="shared" ref="AL381" si="2998">AK381*AL114/AK114</f>
        <v>50815.645676431595</v>
      </c>
      <c r="AM381" s="19">
        <f t="shared" ref="AM381" si="2999">AL381*AM114/AL114</f>
        <v>52574.064914553477</v>
      </c>
      <c r="AN381" s="19">
        <f t="shared" ref="AN381" si="3000">AM381*AN114/AM114</f>
        <v>54049.906364507297</v>
      </c>
      <c r="AO381" s="19">
        <f t="shared" ref="AO381" si="3001">AN381*AO114/AN114</f>
        <v>55433.41877196126</v>
      </c>
      <c r="AP381" s="19">
        <f t="shared" ref="AP381" si="3002">AO381*AP114/AO114</f>
        <v>56713.727828240764</v>
      </c>
      <c r="AQ381" s="19">
        <f t="shared" ref="AQ381" si="3003">AP381*AQ114/AP114</f>
        <v>57999.140403097241</v>
      </c>
      <c r="AR381" s="19">
        <f t="shared" ref="AR381" si="3004">AQ381*AR114/AQ114</f>
        <v>59289.570029543567</v>
      </c>
      <c r="AS381" s="19">
        <f t="shared" ref="AS381" si="3005">AR381*AS114/AR114</f>
        <v>60613.286494199936</v>
      </c>
      <c r="AT381" s="19"/>
      <c r="AU381" s="21">
        <f>7800+1712</f>
        <v>9512</v>
      </c>
      <c r="AV381" s="21">
        <v>14246</v>
      </c>
      <c r="AW381" s="21">
        <v>15518</v>
      </c>
      <c r="AX381" s="21">
        <v>15807</v>
      </c>
      <c r="AY381" s="21">
        <v>9260</v>
      </c>
      <c r="AZ381" s="19">
        <f t="shared" si="2976"/>
        <v>12138</v>
      </c>
      <c r="BA381" s="19">
        <f t="shared" si="2977"/>
        <v>14898</v>
      </c>
      <c r="BB381" s="19">
        <f t="shared" si="2978"/>
        <v>12689</v>
      </c>
      <c r="BC381" s="19">
        <f t="shared" si="2979"/>
        <v>19776</v>
      </c>
      <c r="BD381" s="19">
        <f t="shared" si="2980"/>
        <v>22462</v>
      </c>
      <c r="BE381" s="19">
        <f t="shared" si="2981"/>
        <v>30406</v>
      </c>
      <c r="BF381" s="19">
        <f t="shared" si="2982"/>
        <v>23537</v>
      </c>
      <c r="BG381" s="19">
        <f t="shared" si="2983"/>
        <v>26933</v>
      </c>
      <c r="BH381" s="19">
        <f t="shared" si="2984"/>
        <v>15341</v>
      </c>
      <c r="BI381" s="19">
        <f t="shared" si="2985"/>
        <v>17446</v>
      </c>
      <c r="BJ381" s="19">
        <f t="shared" si="2986"/>
        <v>16855</v>
      </c>
      <c r="BK381" s="19">
        <f t="shared" si="2987"/>
        <v>21746</v>
      </c>
      <c r="BL381" s="19">
        <f t="shared" si="2988"/>
        <v>13578</v>
      </c>
      <c r="BM381" s="19">
        <f t="shared" si="2989"/>
        <v>16881</v>
      </c>
      <c r="BN381" s="19">
        <f t="shared" si="2990"/>
        <v>27924</v>
      </c>
      <c r="BO381" s="20">
        <f t="shared" si="2991"/>
        <v>35036</v>
      </c>
      <c r="BP381" s="19">
        <f t="shared" si="2992"/>
        <v>48978.734906250007</v>
      </c>
      <c r="BQ381" s="19">
        <f t="shared" si="2993"/>
        <v>52574.064914553477</v>
      </c>
      <c r="BR381" s="19">
        <f t="shared" si="2994"/>
        <v>55433.41877196126</v>
      </c>
      <c r="BS381" s="19">
        <f t="shared" si="2995"/>
        <v>57999.140403097241</v>
      </c>
      <c r="BT381" s="19">
        <f t="shared" si="2996"/>
        <v>60613.286494199936</v>
      </c>
    </row>
    <row r="382" spans="1:72" ht="12" customHeight="1" outlineLevel="1">
      <c r="B382" s="1" t="s">
        <v>429</v>
      </c>
      <c r="C382" s="19"/>
      <c r="D382" s="21">
        <v>21441</v>
      </c>
      <c r="E382" s="21">
        <v>21561</v>
      </c>
      <c r="F382" s="21">
        <v>23430</v>
      </c>
      <c r="G382" s="21">
        <v>21185</v>
      </c>
      <c r="H382" s="21">
        <v>34201</v>
      </c>
      <c r="I382" s="21">
        <v>22078</v>
      </c>
      <c r="J382" s="21">
        <v>21691</v>
      </c>
      <c r="K382" s="21">
        <v>14704</v>
      </c>
      <c r="L382" s="21">
        <v>14647</v>
      </c>
      <c r="M382" s="21">
        <v>12633</v>
      </c>
      <c r="N382" s="21">
        <v>14648</v>
      </c>
      <c r="O382" s="21">
        <v>20080</v>
      </c>
      <c r="P382" s="21">
        <v>22307</v>
      </c>
      <c r="Q382" s="21">
        <v>17983</v>
      </c>
      <c r="R382" s="21">
        <v>15233</v>
      </c>
      <c r="S382" s="21">
        <v>12106</v>
      </c>
      <c r="T382" s="21">
        <v>12360</v>
      </c>
      <c r="U382" s="21">
        <v>12937</v>
      </c>
      <c r="V382" s="21">
        <v>18115</v>
      </c>
      <c r="W382" s="21">
        <v>14390</v>
      </c>
      <c r="X382" s="21">
        <v>18221</v>
      </c>
      <c r="Y382" s="21">
        <v>45607</v>
      </c>
      <c r="Z382" s="21">
        <v>22055</v>
      </c>
      <c r="AA382" s="21">
        <v>20642</v>
      </c>
      <c r="AB382" s="21">
        <v>77186</v>
      </c>
      <c r="AC382" s="21">
        <v>84981</v>
      </c>
      <c r="AD382" s="21">
        <v>111913</v>
      </c>
      <c r="AE382" s="21">
        <v>36114</v>
      </c>
      <c r="AF382" s="21">
        <v>29121</v>
      </c>
      <c r="AG382" s="21">
        <v>24067</v>
      </c>
      <c r="AH382" s="21">
        <v>23855</v>
      </c>
      <c r="AI382" s="21">
        <v>24269</v>
      </c>
      <c r="AJ382" s="24">
        <v>25348</v>
      </c>
      <c r="AK382" s="19">
        <f t="shared" ref="AK382:AK384" si="3006">AJ382*AK$419/AJ$419</f>
        <v>26972.447969501376</v>
      </c>
      <c r="AL382" s="19">
        <f t="shared" ref="AL382:AL384" si="3007">AK382*AL$419/AK$419</f>
        <v>28556.113552038638</v>
      </c>
      <c r="AM382" s="19">
        <f t="shared" ref="AM382:AM384" si="3008">AL382*AM$419/AL$419</f>
        <v>30095.193218976641</v>
      </c>
      <c r="AN382" s="19">
        <f t="shared" ref="AN382:AN384" si="3009">AM382*AN$419/AM$419</f>
        <v>31393.231077262182</v>
      </c>
      <c r="AO382" s="19">
        <f t="shared" ref="AO382:AO384" si="3010">AN382*AO$419/AN$419</f>
        <v>32636.89109201933</v>
      </c>
      <c r="AP382" s="19">
        <f t="shared" ref="AP382:AP384" si="3011">AO382*AP$419/AO$419</f>
        <v>33811.466869179691</v>
      </c>
      <c r="AQ382" s="19">
        <f t="shared" ref="AQ382:AQ384" si="3012">AP382*AQ$419/AP$419</f>
        <v>34999.473788131181</v>
      </c>
      <c r="AR382" s="19">
        <f t="shared" ref="AR382:AR384" si="3013">AQ382*AR$419/AQ$419</f>
        <v>36201.694419487045</v>
      </c>
      <c r="AS382" s="19">
        <f t="shared" ref="AS382:AS384" si="3014">AR382*AS$419/AR$419</f>
        <v>37457.936230353487</v>
      </c>
      <c r="AT382" s="19"/>
      <c r="AU382" s="21">
        <v>5690</v>
      </c>
      <c r="AV382" s="21">
        <v>10978</v>
      </c>
      <c r="AW382" s="21">
        <v>11913</v>
      </c>
      <c r="AX382" s="21">
        <v>21136</v>
      </c>
      <c r="AY382" s="21">
        <v>27428</v>
      </c>
      <c r="AZ382" s="19">
        <f t="shared" si="2976"/>
        <v>21561</v>
      </c>
      <c r="BA382" s="19">
        <f t="shared" si="2977"/>
        <v>21185</v>
      </c>
      <c r="BB382" s="19">
        <f t="shared" si="2978"/>
        <v>22078</v>
      </c>
      <c r="BC382" s="19">
        <f t="shared" si="2979"/>
        <v>14704</v>
      </c>
      <c r="BD382" s="19">
        <f t="shared" si="2980"/>
        <v>12633</v>
      </c>
      <c r="BE382" s="19">
        <f t="shared" si="2981"/>
        <v>20080</v>
      </c>
      <c r="BF382" s="19">
        <f t="shared" si="2982"/>
        <v>17983</v>
      </c>
      <c r="BG382" s="19">
        <f t="shared" si="2983"/>
        <v>12106</v>
      </c>
      <c r="BH382" s="19">
        <f t="shared" si="2984"/>
        <v>12937</v>
      </c>
      <c r="BI382" s="19">
        <f t="shared" si="2985"/>
        <v>14390</v>
      </c>
      <c r="BJ382" s="19">
        <f t="shared" si="2986"/>
        <v>45607</v>
      </c>
      <c r="BK382" s="19">
        <f t="shared" si="2987"/>
        <v>20642</v>
      </c>
      <c r="BL382" s="19">
        <f t="shared" si="2988"/>
        <v>84981</v>
      </c>
      <c r="BM382" s="19">
        <f t="shared" si="2989"/>
        <v>36114</v>
      </c>
      <c r="BN382" s="19">
        <f t="shared" si="2990"/>
        <v>24067</v>
      </c>
      <c r="BO382" s="20">
        <f t="shared" si="2991"/>
        <v>24269</v>
      </c>
      <c r="BP382" s="19">
        <f t="shared" si="2992"/>
        <v>26972.447969501376</v>
      </c>
      <c r="BQ382" s="19">
        <f t="shared" si="2993"/>
        <v>30095.193218976641</v>
      </c>
      <c r="BR382" s="19">
        <f t="shared" si="2994"/>
        <v>32636.89109201933</v>
      </c>
      <c r="BS382" s="19">
        <f t="shared" si="2995"/>
        <v>34999.473788131181</v>
      </c>
      <c r="BT382" s="19">
        <f t="shared" si="2996"/>
        <v>37457.936230353487</v>
      </c>
    </row>
    <row r="383" spans="1:72" ht="12" customHeight="1" outlineLevel="1">
      <c r="B383" s="1" t="s">
        <v>1771</v>
      </c>
      <c r="C383" s="19"/>
      <c r="D383" s="21">
        <v>23152</v>
      </c>
      <c r="E383" s="21">
        <v>18221</v>
      </c>
      <c r="F383" s="21">
        <v>18576</v>
      </c>
      <c r="G383" s="21">
        <v>17051</v>
      </c>
      <c r="H383" s="21">
        <v>21334</v>
      </c>
      <c r="I383" s="21">
        <v>18266</v>
      </c>
      <c r="J383" s="21">
        <v>20506</v>
      </c>
      <c r="K383" s="21">
        <v>17057</v>
      </c>
      <c r="L383" s="21">
        <v>16578</v>
      </c>
      <c r="M383" s="21">
        <v>14051</v>
      </c>
      <c r="N383" s="21">
        <v>9299</v>
      </c>
      <c r="O383" s="21">
        <v>8896</v>
      </c>
      <c r="P383" s="21">
        <v>10707</v>
      </c>
      <c r="Q383" s="21">
        <v>11456</v>
      </c>
      <c r="R383" s="21">
        <v>7857</v>
      </c>
      <c r="S383" s="21">
        <v>6893</v>
      </c>
      <c r="T383" s="21">
        <v>5761</v>
      </c>
      <c r="U383" s="21">
        <v>7160</v>
      </c>
      <c r="V383" s="21">
        <v>6633</v>
      </c>
      <c r="W383" s="21">
        <v>7161</v>
      </c>
      <c r="X383" s="21">
        <v>7937</v>
      </c>
      <c r="Y383" s="21">
        <v>8930</v>
      </c>
      <c r="Z383" s="21">
        <v>8977</v>
      </c>
      <c r="AA383" s="21">
        <v>9566</v>
      </c>
      <c r="AB383" s="21">
        <v>13142</v>
      </c>
      <c r="AC383" s="21">
        <v>12127</v>
      </c>
      <c r="AD383" s="21">
        <v>25046</v>
      </c>
      <c r="AE383" s="21">
        <v>21874</v>
      </c>
      <c r="AF383" s="21">
        <v>22862</v>
      </c>
      <c r="AG383" s="21">
        <v>24378</v>
      </c>
      <c r="AH383" s="21">
        <v>18887</v>
      </c>
      <c r="AI383" s="21">
        <v>21455</v>
      </c>
      <c r="AJ383" s="24">
        <v>26241</v>
      </c>
      <c r="AK383" s="19">
        <f t="shared" si="3006"/>
        <v>27922.676628045036</v>
      </c>
      <c r="AL383" s="19">
        <f t="shared" si="3007"/>
        <v>29562.134121786567</v>
      </c>
      <c r="AM383" s="19">
        <f t="shared" si="3008"/>
        <v>31155.434955782152</v>
      </c>
      <c r="AN383" s="19">
        <f t="shared" si="3009"/>
        <v>32499.202173679849</v>
      </c>
      <c r="AO383" s="19">
        <f t="shared" si="3010"/>
        <v>33786.675838159972</v>
      </c>
      <c r="AP383" s="19">
        <f t="shared" si="3011"/>
        <v>35002.631454716116</v>
      </c>
      <c r="AQ383" s="19">
        <f t="shared" si="3012"/>
        <v>36232.491386868787</v>
      </c>
      <c r="AR383" s="19">
        <f t="shared" si="3013"/>
        <v>37477.065774883988</v>
      </c>
      <c r="AS383" s="19">
        <f t="shared" si="3014"/>
        <v>38777.564487166863</v>
      </c>
      <c r="AT383" s="19"/>
      <c r="AU383" s="21">
        <v>0</v>
      </c>
      <c r="AV383" s="21">
        <v>3746</v>
      </c>
      <c r="AW383" s="21">
        <v>6060</v>
      </c>
      <c r="AX383" s="21">
        <v>16454</v>
      </c>
      <c r="AY383" s="21">
        <v>18123</v>
      </c>
      <c r="AZ383" s="19">
        <f t="shared" si="2976"/>
        <v>18221</v>
      </c>
      <c r="BA383" s="19">
        <f t="shared" si="2977"/>
        <v>17051</v>
      </c>
      <c r="BB383" s="19">
        <f t="shared" si="2978"/>
        <v>18266</v>
      </c>
      <c r="BC383" s="19">
        <f t="shared" si="2979"/>
        <v>17057</v>
      </c>
      <c r="BD383" s="19">
        <f t="shared" si="2980"/>
        <v>14051</v>
      </c>
      <c r="BE383" s="19">
        <f t="shared" si="2981"/>
        <v>8896</v>
      </c>
      <c r="BF383" s="19">
        <f t="shared" si="2982"/>
        <v>11456</v>
      </c>
      <c r="BG383" s="19">
        <f t="shared" si="2983"/>
        <v>6893</v>
      </c>
      <c r="BH383" s="19">
        <f t="shared" si="2984"/>
        <v>7160</v>
      </c>
      <c r="BI383" s="19">
        <f t="shared" si="2985"/>
        <v>7161</v>
      </c>
      <c r="BJ383" s="19">
        <f t="shared" si="2986"/>
        <v>8930</v>
      </c>
      <c r="BK383" s="19">
        <f t="shared" si="2987"/>
        <v>9566</v>
      </c>
      <c r="BL383" s="19">
        <f t="shared" si="2988"/>
        <v>12127</v>
      </c>
      <c r="BM383" s="19">
        <f t="shared" si="2989"/>
        <v>21874</v>
      </c>
      <c r="BN383" s="19">
        <f t="shared" si="2990"/>
        <v>24378</v>
      </c>
      <c r="BO383" s="20">
        <f t="shared" si="2991"/>
        <v>21455</v>
      </c>
      <c r="BP383" s="19">
        <f t="shared" si="2992"/>
        <v>27922.676628045036</v>
      </c>
      <c r="BQ383" s="19">
        <f t="shared" si="2993"/>
        <v>31155.434955782152</v>
      </c>
      <c r="BR383" s="19">
        <f t="shared" si="2994"/>
        <v>33786.675838159972</v>
      </c>
      <c r="BS383" s="19">
        <f t="shared" si="2995"/>
        <v>36232.491386868787</v>
      </c>
      <c r="BT383" s="19">
        <f t="shared" si="2996"/>
        <v>38777.564487166863</v>
      </c>
    </row>
    <row r="384" spans="1:72" ht="12" customHeight="1" outlineLevel="1">
      <c r="B384" s="1" t="s">
        <v>430</v>
      </c>
      <c r="C384" s="19"/>
      <c r="D384" s="19">
        <f t="shared" ref="D384:V384" si="3015">D402-SUM(D380:D383,D385:D392,D393:D401)</f>
        <v>13260</v>
      </c>
      <c r="E384" s="19">
        <f t="shared" si="3015"/>
        <v>13223</v>
      </c>
      <c r="F384" s="19">
        <f t="shared" si="3015"/>
        <v>11746</v>
      </c>
      <c r="G384" s="19">
        <f t="shared" si="3015"/>
        <v>12725</v>
      </c>
      <c r="H384" s="19">
        <f t="shared" si="3015"/>
        <v>15049</v>
      </c>
      <c r="I384" s="19">
        <f t="shared" si="3015"/>
        <v>13717</v>
      </c>
      <c r="J384" s="19">
        <f t="shared" si="3015"/>
        <v>7295</v>
      </c>
      <c r="K384" s="19">
        <f t="shared" si="3015"/>
        <v>14107</v>
      </c>
      <c r="L384" s="19">
        <f t="shared" si="3015"/>
        <v>16018</v>
      </c>
      <c r="M384" s="19">
        <f t="shared" si="3015"/>
        <v>13426</v>
      </c>
      <c r="N384" s="19">
        <f t="shared" si="3015"/>
        <v>13024</v>
      </c>
      <c r="O384" s="19">
        <f t="shared" si="3015"/>
        <v>13557</v>
      </c>
      <c r="P384" s="19">
        <f t="shared" si="3015"/>
        <v>13742</v>
      </c>
      <c r="Q384" s="19">
        <f t="shared" si="3015"/>
        <v>12496</v>
      </c>
      <c r="R384" s="19">
        <f t="shared" si="3015"/>
        <v>15421</v>
      </c>
      <c r="S384" s="19">
        <f t="shared" si="3015"/>
        <v>16558</v>
      </c>
      <c r="T384" s="19">
        <f t="shared" si="3015"/>
        <v>26049</v>
      </c>
      <c r="U384" s="19">
        <f t="shared" si="3015"/>
        <v>26695</v>
      </c>
      <c r="V384" s="19">
        <f t="shared" si="3015"/>
        <v>28104</v>
      </c>
      <c r="W384" s="19">
        <f t="shared" ref="W384:X384" si="3016">W402-SUM(W380:W383,W385:W392,W393:W401)</f>
        <v>21540</v>
      </c>
      <c r="X384" s="19">
        <f t="shared" si="3016"/>
        <v>26545</v>
      </c>
      <c r="Y384" s="19">
        <f t="shared" ref="Y384:Z384" si="3017">Y402-SUM(Y380:Y383,Y385:Y392,Y393:Y401)</f>
        <v>24895</v>
      </c>
      <c r="Z384" s="19">
        <f t="shared" si="3017"/>
        <v>20845</v>
      </c>
      <c r="AA384" s="19">
        <f t="shared" ref="AA384:AB384" si="3018">AA402-SUM(AA380:AA383,AA385:AA392,AA393:AA401)</f>
        <v>20682</v>
      </c>
      <c r="AB384" s="19">
        <f t="shared" si="3018"/>
        <v>31888</v>
      </c>
      <c r="AC384" s="19">
        <f t="shared" ref="AC384:AD384" si="3019">AC402-SUM(AC380:AC383,AC385:AC392,AC393:AC401)</f>
        <v>34947</v>
      </c>
      <c r="AD384" s="19">
        <f t="shared" si="3019"/>
        <v>12185</v>
      </c>
      <c r="AE384" s="19">
        <f t="shared" ref="AE384:AF384" si="3020">AE402-SUM(AE380:AE383,AE385:AE392,AE393:AE401)</f>
        <v>11359</v>
      </c>
      <c r="AF384" s="19">
        <f t="shared" si="3020"/>
        <v>15501</v>
      </c>
      <c r="AG384" s="19">
        <f t="shared" ref="AG384:AH384" si="3021">AG402-SUM(AG380:AG383,AG385:AG392,AG393:AG401)</f>
        <v>14842</v>
      </c>
      <c r="AH384" s="19">
        <f t="shared" si="3021"/>
        <v>14095</v>
      </c>
      <c r="AI384" s="19">
        <f t="shared" ref="AI384:AJ384" si="3022">AI402-SUM(AI380:AI383,AI385:AI392,AI393:AI401)</f>
        <v>20825</v>
      </c>
      <c r="AJ384" s="20">
        <f t="shared" si="3022"/>
        <v>22740</v>
      </c>
      <c r="AK384" s="19">
        <f t="shared" si="3006"/>
        <v>24197.312088782597</v>
      </c>
      <c r="AL384" s="19">
        <f t="shared" si="3007"/>
        <v>25618.037800747938</v>
      </c>
      <c r="AM384" s="19">
        <f t="shared" si="3008"/>
        <v>26998.764943961214</v>
      </c>
      <c r="AN384" s="19">
        <f t="shared" si="3009"/>
        <v>28163.25054035593</v>
      </c>
      <c r="AO384" s="19">
        <f t="shared" si="3010"/>
        <v>29278.95311000945</v>
      </c>
      <c r="AP384" s="19">
        <f t="shared" si="3011"/>
        <v>30332.679367411478</v>
      </c>
      <c r="AQ384" s="19">
        <f t="shared" si="3012"/>
        <v>31398.454865950098</v>
      </c>
      <c r="AR384" s="19">
        <f t="shared" si="3013"/>
        <v>32476.981659268404</v>
      </c>
      <c r="AS384" s="19">
        <f t="shared" si="3014"/>
        <v>33603.971511686861</v>
      </c>
      <c r="AT384" s="19"/>
      <c r="AU384" s="19">
        <f>AU402-SUM(AU380:AU383,AU385:AU401)</f>
        <v>4141</v>
      </c>
      <c r="AV384" s="19">
        <f>AV402-SUM(AV380:AV383,AV385:AV401)</f>
        <v>10841</v>
      </c>
      <c r="AW384" s="19">
        <f>AW402-SUM(AW380:AW383,AW385:AW401)</f>
        <v>11438</v>
      </c>
      <c r="AX384" s="19">
        <f>AX402-SUM(AX380:AX383,AX385:AX401)</f>
        <v>11506</v>
      </c>
      <c r="AY384" s="19">
        <f>AY402-SUM(AY380:AY383,AY385:AY401)</f>
        <v>11177</v>
      </c>
      <c r="AZ384" s="19">
        <f t="shared" si="2976"/>
        <v>13223</v>
      </c>
      <c r="BA384" s="19">
        <f t="shared" si="2977"/>
        <v>12725</v>
      </c>
      <c r="BB384" s="19">
        <f t="shared" si="2978"/>
        <v>13717</v>
      </c>
      <c r="BC384" s="19">
        <f t="shared" si="2979"/>
        <v>14107</v>
      </c>
      <c r="BD384" s="19">
        <f t="shared" si="2980"/>
        <v>13426</v>
      </c>
      <c r="BE384" s="19">
        <f t="shared" si="2981"/>
        <v>13557</v>
      </c>
      <c r="BF384" s="19">
        <f t="shared" si="2982"/>
        <v>12496</v>
      </c>
      <c r="BG384" s="19">
        <f t="shared" si="2983"/>
        <v>16558</v>
      </c>
      <c r="BH384" s="19">
        <f t="shared" si="2984"/>
        <v>26695</v>
      </c>
      <c r="BI384" s="19">
        <f t="shared" si="2985"/>
        <v>21540</v>
      </c>
      <c r="BJ384" s="19">
        <f t="shared" si="2986"/>
        <v>24895</v>
      </c>
      <c r="BK384" s="19">
        <f t="shared" si="2987"/>
        <v>20682</v>
      </c>
      <c r="BL384" s="19">
        <f t="shared" si="2988"/>
        <v>34947</v>
      </c>
      <c r="BM384" s="19">
        <f t="shared" si="2989"/>
        <v>11359</v>
      </c>
      <c r="BN384" s="19">
        <f t="shared" si="2990"/>
        <v>14842</v>
      </c>
      <c r="BO384" s="20">
        <f t="shared" si="2991"/>
        <v>20825</v>
      </c>
      <c r="BP384" s="19">
        <f t="shared" si="2992"/>
        <v>24197.312088782597</v>
      </c>
      <c r="BQ384" s="19">
        <f t="shared" si="2993"/>
        <v>26998.764943961214</v>
      </c>
      <c r="BR384" s="19">
        <f t="shared" si="2994"/>
        <v>29278.95311000945</v>
      </c>
      <c r="BS384" s="19">
        <f t="shared" si="2995"/>
        <v>31398.454865950098</v>
      </c>
      <c r="BT384" s="19">
        <f t="shared" si="2996"/>
        <v>33603.971511686861</v>
      </c>
    </row>
    <row r="385" spans="1:72" ht="12" customHeight="1" outlineLevel="1">
      <c r="A385" s="91" t="s">
        <v>652</v>
      </c>
      <c r="B385" s="1" t="s">
        <v>431</v>
      </c>
      <c r="C385" s="19"/>
      <c r="D385" s="25">
        <f>'Divisional Model'!C39</f>
        <v>42504</v>
      </c>
      <c r="E385" s="25">
        <f>'Divisional Model'!D39</f>
        <v>44267</v>
      </c>
      <c r="F385" s="25">
        <f>'Divisional Model'!E39</f>
        <v>45130</v>
      </c>
      <c r="G385" s="25">
        <f>'Divisional Model'!F39</f>
        <v>46016</v>
      </c>
      <c r="H385" s="25">
        <f>'Divisional Model'!G39</f>
        <v>45843</v>
      </c>
      <c r="I385" s="25">
        <f>'Divisional Model'!H39</f>
        <v>45218</v>
      </c>
      <c r="J385" s="25">
        <f>'Divisional Model'!I39</f>
        <v>47559</v>
      </c>
      <c r="K385" s="25">
        <f>'Divisional Model'!J39</f>
        <v>49083</v>
      </c>
      <c r="L385" s="25">
        <f>'Divisional Model'!K39</f>
        <v>50793</v>
      </c>
      <c r="M385" s="25">
        <f>'Divisional Model'!L39</f>
        <v>58712</v>
      </c>
      <c r="N385" s="25">
        <f>'Divisional Model'!M39</f>
        <v>64435</v>
      </c>
      <c r="O385" s="25">
        <f>'Divisional Model'!N39</f>
        <v>72762</v>
      </c>
      <c r="P385" s="25">
        <f>'Divisional Model'!O39</f>
        <v>76690</v>
      </c>
      <c r="Q385" s="25">
        <f>'Divisional Model'!P39</f>
        <v>80366</v>
      </c>
      <c r="R385" s="25">
        <f>'Divisional Model'!Q39</f>
        <v>77976</v>
      </c>
      <c r="S385" s="25">
        <f>'Divisional Model'!R39</f>
        <v>76663</v>
      </c>
      <c r="T385" s="25">
        <f>'Divisional Model'!S39</f>
        <v>70387</v>
      </c>
      <c r="U385" s="25">
        <f>'Divisional Model'!T39</f>
        <v>73509</v>
      </c>
      <c r="V385" s="25">
        <f>'Divisional Model'!U39</f>
        <v>76953</v>
      </c>
      <c r="W385" s="25">
        <f>'Divisional Model'!V39</f>
        <v>77811</v>
      </c>
      <c r="X385" s="25">
        <f>'Divisional Model'!W39</f>
        <v>85066</v>
      </c>
      <c r="Y385" s="25">
        <f>'Divisional Model'!X39</f>
        <v>94117</v>
      </c>
      <c r="Z385" s="25">
        <f>'Divisional Model'!Y39</f>
        <v>93414</v>
      </c>
      <c r="AA385" s="25">
        <f>'Divisional Model'!Z39</f>
        <v>105026</v>
      </c>
      <c r="AB385" s="25">
        <f>'Divisional Model'!AA39</f>
        <v>118359</v>
      </c>
      <c r="AC385" s="25">
        <f>'Divisional Model'!AB39</f>
        <v>134744</v>
      </c>
      <c r="AD385" s="25">
        <f>'Divisional Model'!AC39</f>
        <v>148874</v>
      </c>
      <c r="AE385" s="25">
        <f>'Divisional Model'!AD39</f>
        <v>158572</v>
      </c>
      <c r="AF385" s="25">
        <f>'Divisional Model'!AE39</f>
        <v>167495</v>
      </c>
      <c r="AG385" s="25">
        <f>'Divisional Model'!AF39</f>
        <v>176371</v>
      </c>
      <c r="AH385" s="25">
        <f>'Divisional Model'!AG39</f>
        <v>187064</v>
      </c>
      <c r="AI385" s="25">
        <f>'Divisional Model'!AH39</f>
        <v>205648</v>
      </c>
      <c r="AJ385" s="26">
        <f>'Divisional Model'!AI39</f>
        <v>224042</v>
      </c>
      <c r="AK385" s="25">
        <f>'Divisional Model'!AJ39</f>
        <v>242927.20000000004</v>
      </c>
      <c r="AL385" s="25">
        <f>'Divisional Model'!AK39</f>
        <v>261149.26700000002</v>
      </c>
      <c r="AM385" s="25">
        <f>'Divisional Model'!AL39</f>
        <v>279223.12067499995</v>
      </c>
      <c r="AN385" s="25">
        <f>'Divisional Model'!AM39</f>
        <v>294899.84337050002</v>
      </c>
      <c r="AO385" s="25">
        <f>'Divisional Model'!AN39</f>
        <v>309997.13012037257</v>
      </c>
      <c r="AP385" s="25">
        <f>'Divisional Model'!AO39</f>
        <v>324316.95743989758</v>
      </c>
      <c r="AQ385" s="25">
        <f>'Divisional Model'!AP39</f>
        <v>339018.49411400117</v>
      </c>
      <c r="AR385" s="25">
        <f>'Divisional Model'!AQ39</f>
        <v>354104.58352151711</v>
      </c>
      <c r="AS385" s="25">
        <f>'Divisional Model'!AR39</f>
        <v>369916.64374498883</v>
      </c>
      <c r="AT385" s="19"/>
      <c r="AU385" s="21">
        <v>28425</v>
      </c>
      <c r="AV385" s="21">
        <v>34999</v>
      </c>
      <c r="AW385" s="21">
        <v>45796</v>
      </c>
      <c r="AX385" s="21">
        <v>52407</v>
      </c>
      <c r="AY385" s="21">
        <v>44751</v>
      </c>
      <c r="AZ385" s="19">
        <f t="shared" si="2976"/>
        <v>44267</v>
      </c>
      <c r="BA385" s="19">
        <f t="shared" si="2977"/>
        <v>46016</v>
      </c>
      <c r="BB385" s="19">
        <f t="shared" si="2978"/>
        <v>45218</v>
      </c>
      <c r="BC385" s="19">
        <f t="shared" si="2979"/>
        <v>49083</v>
      </c>
      <c r="BD385" s="19">
        <f t="shared" si="2980"/>
        <v>58712</v>
      </c>
      <c r="BE385" s="19">
        <f t="shared" si="2981"/>
        <v>72762</v>
      </c>
      <c r="BF385" s="19">
        <f t="shared" si="2982"/>
        <v>80366</v>
      </c>
      <c r="BG385" s="19">
        <f t="shared" si="2983"/>
        <v>76663</v>
      </c>
      <c r="BH385" s="19">
        <f t="shared" si="2984"/>
        <v>73509</v>
      </c>
      <c r="BI385" s="19">
        <f t="shared" si="2985"/>
        <v>77811</v>
      </c>
      <c r="BJ385" s="19">
        <f t="shared" si="2986"/>
        <v>94117</v>
      </c>
      <c r="BK385" s="19">
        <f t="shared" si="2987"/>
        <v>105026</v>
      </c>
      <c r="BL385" s="19">
        <f t="shared" si="2988"/>
        <v>134744</v>
      </c>
      <c r="BM385" s="19">
        <f t="shared" si="2989"/>
        <v>158572</v>
      </c>
      <c r="BN385" s="19">
        <f t="shared" si="2990"/>
        <v>176371</v>
      </c>
      <c r="BO385" s="20">
        <f t="shared" si="2991"/>
        <v>205648</v>
      </c>
      <c r="BP385" s="19">
        <f t="shared" si="2992"/>
        <v>242927.20000000004</v>
      </c>
      <c r="BQ385" s="19">
        <f t="shared" si="2993"/>
        <v>279223.12067499995</v>
      </c>
      <c r="BR385" s="19">
        <f t="shared" si="2994"/>
        <v>309997.13012037257</v>
      </c>
      <c r="BS385" s="19">
        <f t="shared" si="2995"/>
        <v>339018.49411400117</v>
      </c>
      <c r="BT385" s="19">
        <f t="shared" si="2996"/>
        <v>369916.64374498883</v>
      </c>
    </row>
    <row r="386" spans="1:72" ht="12" customHeight="1" outlineLevel="1">
      <c r="B386" s="1" t="s">
        <v>432</v>
      </c>
      <c r="C386" s="19"/>
      <c r="D386" s="21">
        <v>5249</v>
      </c>
      <c r="E386" s="21">
        <v>9172</v>
      </c>
      <c r="F386" s="21">
        <v>11025</v>
      </c>
      <c r="G386" s="21">
        <v>11668</v>
      </c>
      <c r="H386" s="21">
        <v>9998</v>
      </c>
      <c r="I386" s="21">
        <v>6715</v>
      </c>
      <c r="J386" s="21">
        <v>5327</v>
      </c>
      <c r="K386" s="21">
        <v>5033</v>
      </c>
      <c r="L386" s="21">
        <v>3116</v>
      </c>
      <c r="M386" s="21">
        <v>2854</v>
      </c>
      <c r="N386" s="21">
        <v>2752</v>
      </c>
      <c r="O386" s="21">
        <v>2125</v>
      </c>
      <c r="P386" s="21">
        <v>2101</v>
      </c>
      <c r="Q386" s="21">
        <v>1649</v>
      </c>
      <c r="R386" s="21">
        <v>1378</v>
      </c>
      <c r="S386" s="21">
        <v>1502</v>
      </c>
      <c r="T386" s="21">
        <v>0</v>
      </c>
      <c r="U386" s="21">
        <v>0</v>
      </c>
      <c r="V386" s="21">
        <v>0</v>
      </c>
      <c r="W386" s="21">
        <v>0</v>
      </c>
      <c r="X386" s="21">
        <v>0</v>
      </c>
      <c r="Y386" s="21">
        <v>0</v>
      </c>
      <c r="Z386" s="21">
        <v>0</v>
      </c>
      <c r="AA386" s="21">
        <v>0</v>
      </c>
      <c r="AB386" s="21">
        <v>0</v>
      </c>
      <c r="AC386" s="21">
        <v>0</v>
      </c>
      <c r="AD386" s="21">
        <v>29360</v>
      </c>
      <c r="AE386" s="21">
        <v>25256</v>
      </c>
      <c r="AF386" s="21">
        <v>24145</v>
      </c>
      <c r="AG386" s="21">
        <v>24117</v>
      </c>
      <c r="AH386" s="21">
        <v>25829</v>
      </c>
      <c r="AI386" s="21">
        <v>26620</v>
      </c>
      <c r="AJ386" s="24">
        <v>27325</v>
      </c>
      <c r="AK386" s="19">
        <f t="shared" ref="AK386" si="3023">AJ386*AK$419/AJ$419</f>
        <v>29076.145682760973</v>
      </c>
      <c r="AL386" s="19">
        <f t="shared" ref="AL386" si="3024">AK386*AL$419/AK$419</f>
        <v>30783.328184056172</v>
      </c>
      <c r="AM386" s="19">
        <f t="shared" ref="AM386" si="3025">AL386*AM$419/AL$419</f>
        <v>32442.447321624455</v>
      </c>
      <c r="AN386" s="19">
        <f t="shared" ref="AN386" si="3026">AM386*AN$419/AM$419</f>
        <v>33841.724758804994</v>
      </c>
      <c r="AO386" s="19">
        <f t="shared" ref="AO386" si="3027">AN386*AO$419/AN$419</f>
        <v>35182.383189578191</v>
      </c>
      <c r="AP386" s="19">
        <f t="shared" ref="AP386" si="3028">AO386*AP$419/AO$419</f>
        <v>36448.569204684187</v>
      </c>
      <c r="AQ386" s="19">
        <f t="shared" ref="AQ386" si="3029">AP386*AQ$419/AP$419</f>
        <v>37729.233914339762</v>
      </c>
      <c r="AR386" s="19">
        <f t="shared" ref="AR386" si="3030">AQ386*AR$419/AQ$419</f>
        <v>39025.220925220259</v>
      </c>
      <c r="AS386" s="19">
        <f t="shared" ref="AS386" si="3031">AR386*AS$419/AR$419</f>
        <v>40379.442460723083</v>
      </c>
      <c r="AT386" s="19"/>
      <c r="AU386" s="21">
        <v>0</v>
      </c>
      <c r="AV386" s="21">
        <v>2104</v>
      </c>
      <c r="AW386" s="21">
        <v>2779</v>
      </c>
      <c r="AX386" s="21">
        <v>4131</v>
      </c>
      <c r="AY386" s="21">
        <v>7910</v>
      </c>
      <c r="AZ386" s="19">
        <f t="shared" si="2976"/>
        <v>9172</v>
      </c>
      <c r="BA386" s="19">
        <f t="shared" si="2977"/>
        <v>11668</v>
      </c>
      <c r="BB386" s="19">
        <f t="shared" si="2978"/>
        <v>6715</v>
      </c>
      <c r="BC386" s="19">
        <f t="shared" si="2979"/>
        <v>5033</v>
      </c>
      <c r="BD386" s="19">
        <f t="shared" si="2980"/>
        <v>2854</v>
      </c>
      <c r="BE386" s="19">
        <f t="shared" si="2981"/>
        <v>2125</v>
      </c>
      <c r="BF386" s="19">
        <f t="shared" si="2982"/>
        <v>1649</v>
      </c>
      <c r="BG386" s="19">
        <f t="shared" si="2983"/>
        <v>1502</v>
      </c>
      <c r="BH386" s="19">
        <f t="shared" si="2984"/>
        <v>0</v>
      </c>
      <c r="BI386" s="19">
        <f t="shared" si="2985"/>
        <v>0</v>
      </c>
      <c r="BJ386" s="19">
        <f t="shared" si="2986"/>
        <v>0</v>
      </c>
      <c r="BK386" s="19">
        <f t="shared" si="2987"/>
        <v>0</v>
      </c>
      <c r="BL386" s="19">
        <f t="shared" si="2988"/>
        <v>0</v>
      </c>
      <c r="BM386" s="19">
        <f t="shared" si="2989"/>
        <v>25256</v>
      </c>
      <c r="BN386" s="19">
        <f t="shared" si="2990"/>
        <v>24117</v>
      </c>
      <c r="BO386" s="20">
        <f t="shared" si="2991"/>
        <v>26620</v>
      </c>
      <c r="BP386" s="19">
        <f t="shared" si="2992"/>
        <v>29076.145682760973</v>
      </c>
      <c r="BQ386" s="19">
        <f t="shared" si="2993"/>
        <v>32442.447321624455</v>
      </c>
      <c r="BR386" s="19">
        <f t="shared" si="2994"/>
        <v>35182.383189578191</v>
      </c>
      <c r="BS386" s="19">
        <f t="shared" si="2995"/>
        <v>37729.233914339762</v>
      </c>
      <c r="BT386" s="19">
        <f t="shared" si="2996"/>
        <v>40379.442460723083</v>
      </c>
    </row>
    <row r="387" spans="1:72" ht="12" customHeight="1" outlineLevel="1">
      <c r="B387" s="1" t="s">
        <v>433</v>
      </c>
      <c r="C387" s="19"/>
      <c r="D387" s="21">
        <v>5066</v>
      </c>
      <c r="E387" s="21">
        <v>4846</v>
      </c>
      <c r="F387" s="21">
        <v>5047</v>
      </c>
      <c r="G387" s="21">
        <v>5059</v>
      </c>
      <c r="H387" s="21">
        <v>4758</v>
      </c>
      <c r="I387" s="21">
        <v>5904</v>
      </c>
      <c r="J387" s="21">
        <v>6059</v>
      </c>
      <c r="K387" s="21">
        <v>0</v>
      </c>
      <c r="L387" s="21">
        <v>0</v>
      </c>
      <c r="M387" s="21">
        <v>0</v>
      </c>
      <c r="N387" s="62">
        <v>0</v>
      </c>
      <c r="O387" s="62">
        <v>0</v>
      </c>
      <c r="P387" s="62">
        <v>0</v>
      </c>
      <c r="Q387" s="62">
        <v>0</v>
      </c>
      <c r="R387" s="62">
        <v>0</v>
      </c>
      <c r="S387" s="62">
        <v>0</v>
      </c>
      <c r="T387" s="62">
        <v>0</v>
      </c>
      <c r="U387" s="62">
        <v>0</v>
      </c>
      <c r="V387" s="62">
        <v>0</v>
      </c>
      <c r="W387" s="62">
        <v>0</v>
      </c>
      <c r="X387" s="62">
        <v>0</v>
      </c>
      <c r="Y387" s="62">
        <v>0</v>
      </c>
      <c r="Z387" s="62">
        <v>0</v>
      </c>
      <c r="AA387" s="62">
        <v>0</v>
      </c>
      <c r="AB387" s="62">
        <v>0</v>
      </c>
      <c r="AC387" s="62">
        <v>0</v>
      </c>
      <c r="AD387" s="62">
        <v>0</v>
      </c>
      <c r="AE387" s="62">
        <v>0</v>
      </c>
      <c r="AF387" s="62">
        <v>0</v>
      </c>
      <c r="AG387" s="62">
        <v>0</v>
      </c>
      <c r="AH387" s="62">
        <v>0</v>
      </c>
      <c r="AI387" s="62">
        <v>0</v>
      </c>
      <c r="AJ387" s="57">
        <v>0</v>
      </c>
      <c r="AK387" s="58">
        <f t="shared" ref="AK387" si="3032">AJ387</f>
        <v>0</v>
      </c>
      <c r="AL387" s="58">
        <f t="shared" ref="AL387" si="3033">AK387</f>
        <v>0</v>
      </c>
      <c r="AM387" s="58">
        <f t="shared" ref="AM387" si="3034">AL387</f>
        <v>0</v>
      </c>
      <c r="AN387" s="58">
        <f t="shared" ref="AN387" si="3035">AM387</f>
        <v>0</v>
      </c>
      <c r="AO387" s="58">
        <f t="shared" ref="AO387" si="3036">AN387</f>
        <v>0</v>
      </c>
      <c r="AP387" s="58">
        <f t="shared" ref="AP387" si="3037">AO387</f>
        <v>0</v>
      </c>
      <c r="AQ387" s="58">
        <f t="shared" ref="AQ387" si="3038">AP387</f>
        <v>0</v>
      </c>
      <c r="AR387" s="58">
        <f t="shared" ref="AR387" si="3039">AQ387</f>
        <v>0</v>
      </c>
      <c r="AS387" s="58">
        <f t="shared" ref="AS387" si="3040">AR387</f>
        <v>0</v>
      </c>
      <c r="AT387" s="19"/>
      <c r="AU387" s="21">
        <v>4473</v>
      </c>
      <c r="AV387" s="21">
        <v>5183</v>
      </c>
      <c r="AW387" s="21">
        <v>5847</v>
      </c>
      <c r="AX387" s="21">
        <v>5699</v>
      </c>
      <c r="AY387" s="21">
        <v>4314</v>
      </c>
      <c r="AZ387" s="19">
        <f t="shared" si="2976"/>
        <v>4846</v>
      </c>
      <c r="BA387" s="19">
        <f t="shared" si="2977"/>
        <v>5059</v>
      </c>
      <c r="BB387" s="19">
        <f t="shared" si="2978"/>
        <v>5904</v>
      </c>
      <c r="BC387" s="19">
        <f t="shared" si="2979"/>
        <v>0</v>
      </c>
      <c r="BD387" s="19">
        <f t="shared" si="2980"/>
        <v>0</v>
      </c>
      <c r="BE387" s="19">
        <f t="shared" si="2981"/>
        <v>0</v>
      </c>
      <c r="BF387" s="19">
        <f t="shared" si="2982"/>
        <v>0</v>
      </c>
      <c r="BG387" s="19">
        <f t="shared" si="2983"/>
        <v>0</v>
      </c>
      <c r="BH387" s="19">
        <f t="shared" si="2984"/>
        <v>0</v>
      </c>
      <c r="BI387" s="19">
        <f t="shared" si="2985"/>
        <v>0</v>
      </c>
      <c r="BJ387" s="19">
        <f t="shared" si="2986"/>
        <v>0</v>
      </c>
      <c r="BK387" s="19">
        <f t="shared" si="2987"/>
        <v>0</v>
      </c>
      <c r="BL387" s="19">
        <f t="shared" si="2988"/>
        <v>0</v>
      </c>
      <c r="BM387" s="19">
        <f t="shared" si="2989"/>
        <v>0</v>
      </c>
      <c r="BN387" s="19">
        <f t="shared" si="2990"/>
        <v>0</v>
      </c>
      <c r="BO387" s="20">
        <f t="shared" si="2991"/>
        <v>0</v>
      </c>
      <c r="BP387" s="19">
        <f t="shared" si="2992"/>
        <v>0</v>
      </c>
      <c r="BQ387" s="19">
        <f t="shared" si="2993"/>
        <v>0</v>
      </c>
      <c r="BR387" s="19">
        <f t="shared" si="2994"/>
        <v>0</v>
      </c>
      <c r="BS387" s="19">
        <f t="shared" si="2995"/>
        <v>0</v>
      </c>
      <c r="BT387" s="19">
        <f t="shared" si="2996"/>
        <v>0</v>
      </c>
    </row>
    <row r="388" spans="1:72" ht="12" customHeight="1" outlineLevel="1">
      <c r="B388" s="1" t="s">
        <v>434</v>
      </c>
      <c r="C388" s="19"/>
      <c r="D388" s="21">
        <v>647</v>
      </c>
      <c r="E388" s="21">
        <v>605</v>
      </c>
      <c r="F388" s="21">
        <v>2899</v>
      </c>
      <c r="G388" s="21">
        <v>5007</v>
      </c>
      <c r="H388" s="21">
        <v>5133</v>
      </c>
      <c r="I388" s="21">
        <v>5235</v>
      </c>
      <c r="J388" s="21">
        <v>5134</v>
      </c>
      <c r="K388" s="21">
        <v>5643</v>
      </c>
      <c r="L388" s="21">
        <v>6175</v>
      </c>
      <c r="M388" s="21">
        <v>6311</v>
      </c>
      <c r="N388" s="21">
        <v>6636</v>
      </c>
      <c r="O388" s="21">
        <v>7079</v>
      </c>
      <c r="P388" s="21">
        <v>10383</v>
      </c>
      <c r="Q388" s="21">
        <v>11521</v>
      </c>
      <c r="R388" s="21">
        <v>10957</v>
      </c>
      <c r="S388" s="21">
        <v>11009</v>
      </c>
      <c r="T388" s="21">
        <v>10960</v>
      </c>
      <c r="U388" s="21">
        <v>11426</v>
      </c>
      <c r="V388" s="21">
        <v>11361</v>
      </c>
      <c r="W388" s="21">
        <v>4701</v>
      </c>
      <c r="X388" s="21">
        <v>5471</v>
      </c>
      <c r="Y388" s="21">
        <v>5044</v>
      </c>
      <c r="Z388" s="21">
        <v>4519</v>
      </c>
      <c r="AA388" s="21">
        <v>4676</v>
      </c>
      <c r="AB388" s="21">
        <v>4961</v>
      </c>
      <c r="AC388" s="21">
        <v>5143</v>
      </c>
      <c r="AD388" s="21">
        <v>5511</v>
      </c>
      <c r="AE388" s="21">
        <v>6639</v>
      </c>
      <c r="AF388" s="21">
        <v>7531</v>
      </c>
      <c r="AG388" s="21">
        <v>8134</v>
      </c>
      <c r="AH388" s="21">
        <v>8128</v>
      </c>
      <c r="AI388" s="21">
        <v>6928</v>
      </c>
      <c r="AJ388" s="24">
        <v>6089</v>
      </c>
      <c r="AK388" s="19">
        <f t="shared" ref="AK388" si="3041">AJ388*AK385/AJ385</f>
        <v>6602.2608296658673</v>
      </c>
      <c r="AL388" s="19">
        <f t="shared" ref="AL388" si="3042">AK388*AL385/AK385</f>
        <v>7097.499070544809</v>
      </c>
      <c r="AM388" s="19">
        <f t="shared" ref="AM388" si="3043">AL388*AM385/AL385</f>
        <v>7588.7091785918474</v>
      </c>
      <c r="AN388" s="19">
        <f t="shared" ref="AN388" si="3044">AM388*AN385/AM385</f>
        <v>8014.7702050641146</v>
      </c>
      <c r="AO388" s="19">
        <f t="shared" ref="AO388" si="3045">AN388*AO385/AN385</f>
        <v>8425.0833562588632</v>
      </c>
      <c r="AP388" s="19">
        <f t="shared" ref="AP388" si="3046">AO388*AP385/AO385</f>
        <v>8814.2667618193718</v>
      </c>
      <c r="AQ388" s="19">
        <f t="shared" ref="AQ388" si="3047">AP388*AQ385/AP385</f>
        <v>9213.8242412590153</v>
      </c>
      <c r="AR388" s="19">
        <f t="shared" ref="AR388" si="3048">AQ388*AR385/AQ385</f>
        <v>9623.8330717567114</v>
      </c>
      <c r="AS388" s="19">
        <f t="shared" ref="AS388" si="3049">AR388*AS385/AR385</f>
        <v>10053.572293423718</v>
      </c>
      <c r="AT388" s="19"/>
      <c r="AU388" s="21">
        <v>148</v>
      </c>
      <c r="AV388" s="21">
        <v>292</v>
      </c>
      <c r="AW388" s="21">
        <v>378</v>
      </c>
      <c r="AX388" s="21">
        <v>375</v>
      </c>
      <c r="AY388" s="21">
        <v>605</v>
      </c>
      <c r="AZ388" s="19">
        <f t="shared" si="2976"/>
        <v>605</v>
      </c>
      <c r="BA388" s="19">
        <f t="shared" si="2977"/>
        <v>5007</v>
      </c>
      <c r="BB388" s="19">
        <f t="shared" si="2978"/>
        <v>5235</v>
      </c>
      <c r="BC388" s="19">
        <f t="shared" si="2979"/>
        <v>5643</v>
      </c>
      <c r="BD388" s="19">
        <f t="shared" si="2980"/>
        <v>6311</v>
      </c>
      <c r="BE388" s="19">
        <f t="shared" si="2981"/>
        <v>7079</v>
      </c>
      <c r="BF388" s="19">
        <f t="shared" si="2982"/>
        <v>11521</v>
      </c>
      <c r="BG388" s="19">
        <f t="shared" si="2983"/>
        <v>11009</v>
      </c>
      <c r="BH388" s="19">
        <f t="shared" si="2984"/>
        <v>11426</v>
      </c>
      <c r="BI388" s="19">
        <f t="shared" si="2985"/>
        <v>4701</v>
      </c>
      <c r="BJ388" s="19">
        <f t="shared" si="2986"/>
        <v>5044</v>
      </c>
      <c r="BK388" s="19">
        <f t="shared" si="2987"/>
        <v>4676</v>
      </c>
      <c r="BL388" s="19">
        <f t="shared" si="2988"/>
        <v>5143</v>
      </c>
      <c r="BM388" s="19">
        <f t="shared" si="2989"/>
        <v>6639</v>
      </c>
      <c r="BN388" s="19">
        <f t="shared" si="2990"/>
        <v>8134</v>
      </c>
      <c r="BO388" s="20">
        <f t="shared" si="2991"/>
        <v>6928</v>
      </c>
      <c r="BP388" s="19">
        <f t="shared" si="2992"/>
        <v>6602.2608296658673</v>
      </c>
      <c r="BQ388" s="19">
        <f t="shared" si="2993"/>
        <v>7588.7091785918474</v>
      </c>
      <c r="BR388" s="19">
        <f t="shared" si="2994"/>
        <v>8425.0833562588632</v>
      </c>
      <c r="BS388" s="19">
        <f t="shared" si="2995"/>
        <v>9213.8242412590153</v>
      </c>
      <c r="BT388" s="19">
        <f t="shared" si="2996"/>
        <v>10053.572293423718</v>
      </c>
    </row>
    <row r="389" spans="1:72" ht="12" customHeight="1" outlineLevel="1">
      <c r="A389" s="91" t="s">
        <v>1309</v>
      </c>
      <c r="B389" s="1" t="s">
        <v>435</v>
      </c>
      <c r="C389" s="19"/>
      <c r="D389" s="21">
        <v>4931</v>
      </c>
      <c r="E389" s="21">
        <v>3927</v>
      </c>
      <c r="F389" s="21">
        <v>2719</v>
      </c>
      <c r="G389" s="21">
        <v>2790</v>
      </c>
      <c r="H389" s="21">
        <v>2891</v>
      </c>
      <c r="I389" s="21">
        <v>2664</v>
      </c>
      <c r="J389" s="21">
        <v>2285</v>
      </c>
      <c r="K389" s="21">
        <v>2048</v>
      </c>
      <c r="L389" s="21">
        <v>2497</v>
      </c>
      <c r="M389" s="21">
        <v>2447</v>
      </c>
      <c r="N389" s="21">
        <v>2483</v>
      </c>
      <c r="O389" s="21">
        <v>2328</v>
      </c>
      <c r="P389" s="21">
        <v>2779</v>
      </c>
      <c r="Q389" s="21">
        <v>2691</v>
      </c>
      <c r="R389" s="21">
        <v>2048</v>
      </c>
      <c r="S389" s="21">
        <v>2095</v>
      </c>
      <c r="T389" s="21">
        <v>3622</v>
      </c>
      <c r="U389" s="21">
        <v>4055</v>
      </c>
      <c r="V389" s="21">
        <v>4143</v>
      </c>
      <c r="W389" s="21">
        <v>4219</v>
      </c>
      <c r="X389" s="21">
        <v>8500</v>
      </c>
      <c r="Y389" s="21">
        <v>8319</v>
      </c>
      <c r="Z389" s="21">
        <v>6012</v>
      </c>
      <c r="AA389" s="21">
        <v>4194</v>
      </c>
      <c r="AB389" s="21">
        <v>4675</v>
      </c>
      <c r="AC389" s="21">
        <v>4373</v>
      </c>
      <c r="AD389" s="21">
        <v>4840</v>
      </c>
      <c r="AE389" s="21">
        <v>5574</v>
      </c>
      <c r="AF389" s="21">
        <v>6174</v>
      </c>
      <c r="AG389" s="21">
        <v>6969</v>
      </c>
      <c r="AH389" s="21">
        <v>7151</v>
      </c>
      <c r="AI389" s="21">
        <v>7720</v>
      </c>
      <c r="AJ389" s="24">
        <v>6950</v>
      </c>
      <c r="AK389" s="19">
        <f t="shared" ref="AK389" si="3050">AJ389*AK118/AJ118</f>
        <v>7127.977106215978</v>
      </c>
      <c r="AL389" s="19">
        <f t="shared" ref="AL389" si="3051">AK389*AL118/AK118</f>
        <v>7466.3181278573556</v>
      </c>
      <c r="AM389" s="19">
        <f t="shared" ref="AM389" si="3052">AL389*AM118/AL118</f>
        <v>7700.8116173482367</v>
      </c>
      <c r="AN389" s="19">
        <f t="shared" ref="AN389" si="3053">AM389*AN118/AM118</f>
        <v>7760.0706509835973</v>
      </c>
      <c r="AO389" s="19">
        <f t="shared" ref="AO389" si="3054">AN389*AO118/AN118</f>
        <v>7823.5621381280062</v>
      </c>
      <c r="AP389" s="19">
        <f t="shared" ref="AP389" si="3055">AO389*AP118/AO118</f>
        <v>7891.2178534150244</v>
      </c>
      <c r="AQ389" s="19">
        <f t="shared" ref="AQ389" si="3056">AP389*AQ118/AP118</f>
        <v>7896.3985144434382</v>
      </c>
      <c r="AR389" s="19">
        <f t="shared" ref="AR389" si="3057">AQ389*AR118/AQ118</f>
        <v>7842.4201941613983</v>
      </c>
      <c r="AS389" s="19">
        <f t="shared" ref="AS389" si="3058">AR389*AS118/AR118</f>
        <v>7796.3404603847766</v>
      </c>
      <c r="AT389" s="19"/>
      <c r="AU389" s="21">
        <v>2117</v>
      </c>
      <c r="AV389" s="21">
        <v>3463</v>
      </c>
      <c r="AW389" s="21">
        <v>4071</v>
      </c>
      <c r="AX389" s="21">
        <v>5500</v>
      </c>
      <c r="AY389" s="21">
        <v>6123</v>
      </c>
      <c r="AZ389" s="19">
        <f t="shared" si="2976"/>
        <v>3927</v>
      </c>
      <c r="BA389" s="19">
        <f t="shared" si="2977"/>
        <v>2790</v>
      </c>
      <c r="BB389" s="19">
        <f t="shared" si="2978"/>
        <v>2664</v>
      </c>
      <c r="BC389" s="19">
        <f t="shared" si="2979"/>
        <v>2048</v>
      </c>
      <c r="BD389" s="19">
        <f t="shared" si="2980"/>
        <v>2447</v>
      </c>
      <c r="BE389" s="19">
        <f t="shared" si="2981"/>
        <v>2328</v>
      </c>
      <c r="BF389" s="19">
        <f t="shared" si="2982"/>
        <v>2691</v>
      </c>
      <c r="BG389" s="19">
        <f t="shared" si="2983"/>
        <v>2095</v>
      </c>
      <c r="BH389" s="19">
        <f t="shared" si="2984"/>
        <v>4055</v>
      </c>
      <c r="BI389" s="19">
        <f t="shared" si="2985"/>
        <v>4219</v>
      </c>
      <c r="BJ389" s="19">
        <f t="shared" si="2986"/>
        <v>8319</v>
      </c>
      <c r="BK389" s="19">
        <f t="shared" si="2987"/>
        <v>4194</v>
      </c>
      <c r="BL389" s="19">
        <f t="shared" si="2988"/>
        <v>4373</v>
      </c>
      <c r="BM389" s="19">
        <f t="shared" si="2989"/>
        <v>5574</v>
      </c>
      <c r="BN389" s="19">
        <f t="shared" si="2990"/>
        <v>6969</v>
      </c>
      <c r="BO389" s="20">
        <f t="shared" si="2991"/>
        <v>7720</v>
      </c>
      <c r="BP389" s="19">
        <f t="shared" si="2992"/>
        <v>7127.977106215978</v>
      </c>
      <c r="BQ389" s="19">
        <f t="shared" si="2993"/>
        <v>7700.8116173482367</v>
      </c>
      <c r="BR389" s="19">
        <f t="shared" si="2994"/>
        <v>7823.5621381280062</v>
      </c>
      <c r="BS389" s="19">
        <f t="shared" si="2995"/>
        <v>7896.3985144434382</v>
      </c>
      <c r="BT389" s="19">
        <f t="shared" si="2996"/>
        <v>7796.3404603847766</v>
      </c>
    </row>
    <row r="390" spans="1:72" ht="12" customHeight="1" outlineLevel="1">
      <c r="A390" s="91" t="s">
        <v>1335</v>
      </c>
      <c r="B390" s="1" t="s">
        <v>1773</v>
      </c>
      <c r="C390" s="19"/>
      <c r="D390" s="21">
        <v>715</v>
      </c>
      <c r="E390" s="21">
        <f>1456-E391</f>
        <v>689</v>
      </c>
      <c r="F390" s="21">
        <f>1411-F391</f>
        <v>695</v>
      </c>
      <c r="G390" s="21">
        <f>1317-G391</f>
        <v>652</v>
      </c>
      <c r="H390" s="21">
        <f>1393-H391</f>
        <v>689.6</v>
      </c>
      <c r="I390" s="21">
        <f>1351-I391</f>
        <v>658</v>
      </c>
      <c r="J390" s="21">
        <f>1304-J391</f>
        <v>635.1</v>
      </c>
      <c r="K390" s="21">
        <f>1221-K391</f>
        <v>608</v>
      </c>
      <c r="L390" s="21">
        <f>1276-L391</f>
        <v>635.4</v>
      </c>
      <c r="M390" s="21">
        <f>785-M391</f>
        <v>467</v>
      </c>
      <c r="N390" s="21">
        <f>1237-N391</f>
        <v>788</v>
      </c>
      <c r="O390" s="21">
        <f>1164-O391</f>
        <v>584</v>
      </c>
      <c r="P390" s="21">
        <f>1182-P391</f>
        <v>629.5</v>
      </c>
      <c r="Q390" s="21">
        <f>1078-Q391</f>
        <v>553</v>
      </c>
      <c r="R390" s="21">
        <f>993-R391</f>
        <v>509.5</v>
      </c>
      <c r="S390" s="21">
        <f>1009-S391</f>
        <v>567</v>
      </c>
      <c r="T390" s="21">
        <f>991-T391</f>
        <v>535.5</v>
      </c>
      <c r="U390" s="21">
        <f>993-U391</f>
        <v>524</v>
      </c>
      <c r="V390" s="21">
        <f>1894-V391</f>
        <v>999.45216515609263</v>
      </c>
      <c r="W390" s="21">
        <f>2031-W391</f>
        <v>999</v>
      </c>
      <c r="X390" s="21">
        <f>2666-X391</f>
        <v>1200</v>
      </c>
      <c r="Y390" s="21">
        <f>3268-Y391</f>
        <v>1551</v>
      </c>
      <c r="Z390" s="21">
        <f>2816-Z391</f>
        <v>1355</v>
      </c>
      <c r="AA390" s="21">
        <f>2543-AA391</f>
        <v>1222</v>
      </c>
      <c r="AB390" s="21">
        <f>3497-AB391</f>
        <v>1964</v>
      </c>
      <c r="AC390" s="21">
        <f>3780-AC391</f>
        <v>1917</v>
      </c>
      <c r="AD390" s="21">
        <f>4170-AD391</f>
        <v>2114.7857142857142</v>
      </c>
      <c r="AE390" s="21">
        <f>3827-AE391</f>
        <v>1823</v>
      </c>
      <c r="AF390" s="21">
        <f>4249-AF391</f>
        <v>2024.0206428011497</v>
      </c>
      <c r="AG390" s="21">
        <f>4254-AG391</f>
        <v>1876</v>
      </c>
      <c r="AH390" s="21">
        <f>3482-AH391</f>
        <v>1104</v>
      </c>
      <c r="AI390" s="21">
        <f>1671-AI391</f>
        <v>587</v>
      </c>
      <c r="AJ390" s="24">
        <f>1786-AJ391</f>
        <v>702</v>
      </c>
      <c r="AK390" s="19">
        <f t="shared" ref="AK390" si="3059">AJ390*(AK285+AK287)/(AJ285+AJ287)</f>
        <v>719.97696813865002</v>
      </c>
      <c r="AL390" s="19">
        <f t="shared" ref="AL390" si="3060">AK390*(AL285+AL287)/(AK285+AK287)</f>
        <v>754.15184543249848</v>
      </c>
      <c r="AM390" s="19">
        <f t="shared" ref="AM390" si="3061">AL390*(AM285+AM287)/(AL285+AL287)</f>
        <v>777.83737487459905</v>
      </c>
      <c r="AN390" s="19">
        <f t="shared" ref="AN390" si="3062">AM390*(AN285+AN287)/(AM285+AM287)</f>
        <v>783.82296359575355</v>
      </c>
      <c r="AO390" s="19">
        <f t="shared" ref="AO390" si="3063">AN390*(AO285+AO287)/(AN285+AN287)</f>
        <v>790.23606057062761</v>
      </c>
      <c r="AP390" s="19">
        <f t="shared" ref="AP390" si="3064">AO390*(AP285+AP287)/(AO285+AO287)</f>
        <v>797.06977454638115</v>
      </c>
      <c r="AQ390" s="19">
        <f t="shared" ref="AQ390" si="3065">AP390*(AQ285+AQ287)/(AP285+AP287)</f>
        <v>797.59305858119353</v>
      </c>
      <c r="AR390" s="19">
        <f t="shared" ref="AR390" si="3066">AQ390*(AR285+AR287)/(AQ285+AQ287)</f>
        <v>792.14085989946807</v>
      </c>
      <c r="AS390" s="19">
        <f t="shared" ref="AS390" si="3067">AR390*(AS285+AS287)/(AR285+AR287)</f>
        <v>787.48647527915318</v>
      </c>
      <c r="AT390" s="19"/>
      <c r="AU390" s="21">
        <v>371</v>
      </c>
      <c r="AV390" s="21">
        <v>150</v>
      </c>
      <c r="AW390" s="21">
        <f>100-AW391</f>
        <v>61</v>
      </c>
      <c r="AX390" s="21">
        <f>494-AX391</f>
        <v>118</v>
      </c>
      <c r="AY390" s="21">
        <f>759-AY391</f>
        <v>264</v>
      </c>
      <c r="AZ390" s="19">
        <f t="shared" si="2976"/>
        <v>689</v>
      </c>
      <c r="BA390" s="19">
        <f t="shared" si="2977"/>
        <v>652</v>
      </c>
      <c r="BB390" s="19">
        <f t="shared" si="2978"/>
        <v>658</v>
      </c>
      <c r="BC390" s="19">
        <f t="shared" si="2979"/>
        <v>608</v>
      </c>
      <c r="BD390" s="19">
        <f t="shared" si="2980"/>
        <v>467</v>
      </c>
      <c r="BE390" s="19">
        <f t="shared" si="2981"/>
        <v>584</v>
      </c>
      <c r="BF390" s="19">
        <f t="shared" si="2982"/>
        <v>553</v>
      </c>
      <c r="BG390" s="19">
        <f t="shared" si="2983"/>
        <v>567</v>
      </c>
      <c r="BH390" s="19">
        <f t="shared" si="2984"/>
        <v>524</v>
      </c>
      <c r="BI390" s="19">
        <f t="shared" si="2985"/>
        <v>999</v>
      </c>
      <c r="BJ390" s="19">
        <f t="shared" si="2986"/>
        <v>1551</v>
      </c>
      <c r="BK390" s="19">
        <f t="shared" si="2987"/>
        <v>1222</v>
      </c>
      <c r="BL390" s="19">
        <f t="shared" si="2988"/>
        <v>1917</v>
      </c>
      <c r="BM390" s="19">
        <f t="shared" si="2989"/>
        <v>1823</v>
      </c>
      <c r="BN390" s="19">
        <f t="shared" si="2990"/>
        <v>1876</v>
      </c>
      <c r="BO390" s="20">
        <f t="shared" si="2991"/>
        <v>587</v>
      </c>
      <c r="BP390" s="19">
        <f t="shared" si="2992"/>
        <v>719.97696813865002</v>
      </c>
      <c r="BQ390" s="19">
        <f t="shared" si="2993"/>
        <v>777.83737487459905</v>
      </c>
      <c r="BR390" s="19">
        <f t="shared" si="2994"/>
        <v>790.23606057062761</v>
      </c>
      <c r="BS390" s="19">
        <f t="shared" si="2995"/>
        <v>797.59305858119353</v>
      </c>
      <c r="BT390" s="19">
        <f t="shared" si="2996"/>
        <v>787.48647527915318</v>
      </c>
    </row>
    <row r="391" spans="1:72" ht="12" customHeight="1" outlineLevel="1">
      <c r="A391" s="91" t="s">
        <v>1320</v>
      </c>
      <c r="B391" s="1" t="s">
        <v>200</v>
      </c>
      <c r="D391" s="325">
        <f>AVERAGE(E391,AY391)</f>
        <v>631</v>
      </c>
      <c r="E391" s="21">
        <v>767</v>
      </c>
      <c r="F391" s="21">
        <v>716</v>
      </c>
      <c r="G391" s="21">
        <v>665</v>
      </c>
      <c r="H391" s="21">
        <v>703.4</v>
      </c>
      <c r="I391" s="21">
        <v>693</v>
      </c>
      <c r="J391" s="21">
        <v>668.9</v>
      </c>
      <c r="K391" s="21">
        <v>613</v>
      </c>
      <c r="L391" s="21">
        <v>640.6</v>
      </c>
      <c r="M391" s="21">
        <v>318</v>
      </c>
      <c r="N391" s="21">
        <f>AVERAGE(M391,O391)</f>
        <v>449</v>
      </c>
      <c r="O391" s="21">
        <v>580</v>
      </c>
      <c r="P391" s="21">
        <f>AVERAGE(O391,Q391)</f>
        <v>552.5</v>
      </c>
      <c r="Q391" s="21">
        <v>525</v>
      </c>
      <c r="R391" s="21">
        <f>AVERAGE(Q391,S391)</f>
        <v>483.5</v>
      </c>
      <c r="S391" s="21">
        <v>442</v>
      </c>
      <c r="T391" s="21">
        <f>AVERAGE(S391,U391)</f>
        <v>455.5</v>
      </c>
      <c r="U391" s="21">
        <v>469</v>
      </c>
      <c r="V391" s="21">
        <f>1894/993*U391</f>
        <v>894.54783484390737</v>
      </c>
      <c r="W391" s="21">
        <v>1032</v>
      </c>
      <c r="X391" s="21">
        <v>1466</v>
      </c>
      <c r="Y391" s="21">
        <v>1717</v>
      </c>
      <c r="Z391" s="21">
        <v>1461</v>
      </c>
      <c r="AA391" s="21">
        <v>1321</v>
      </c>
      <c r="AB391" s="21">
        <v>1533</v>
      </c>
      <c r="AC391" s="21">
        <v>1863</v>
      </c>
      <c r="AD391" s="21">
        <f>AC391*4170/3780</f>
        <v>2055.2142857142858</v>
      </c>
      <c r="AE391" s="21">
        <v>2004</v>
      </c>
      <c r="AF391" s="21">
        <f>AE391*4249/3827</f>
        <v>2224.9793571988503</v>
      </c>
      <c r="AG391" s="21">
        <v>2378</v>
      </c>
      <c r="AH391" s="21">
        <v>2378</v>
      </c>
      <c r="AI391" s="21">
        <v>1084</v>
      </c>
      <c r="AJ391" s="576">
        <v>1084</v>
      </c>
      <c r="AK391" s="19">
        <f t="shared" ref="AK391" si="3068">AJ391</f>
        <v>1084</v>
      </c>
      <c r="AL391" s="19">
        <f t="shared" ref="AL391" si="3069">AK391</f>
        <v>1084</v>
      </c>
      <c r="AM391" s="19">
        <f t="shared" ref="AM391" si="3070">AL391</f>
        <v>1084</v>
      </c>
      <c r="AN391" s="19">
        <f t="shared" ref="AN391" si="3071">AM391</f>
        <v>1084</v>
      </c>
      <c r="AO391" s="19">
        <f t="shared" ref="AO391" si="3072">AN391</f>
        <v>1084</v>
      </c>
      <c r="AP391" s="19">
        <f t="shared" ref="AP391" si="3073">AO391</f>
        <v>1084</v>
      </c>
      <c r="AQ391" s="19">
        <f t="shared" ref="AQ391" si="3074">AP391</f>
        <v>1084</v>
      </c>
      <c r="AR391" s="19">
        <f t="shared" ref="AR391" si="3075">AQ391</f>
        <v>1084</v>
      </c>
      <c r="AS391" s="19">
        <f t="shared" ref="AS391" si="3076">AR391</f>
        <v>1084</v>
      </c>
      <c r="AU391" s="21"/>
      <c r="AV391" s="325">
        <v>0</v>
      </c>
      <c r="AW391" s="21">
        <v>39</v>
      </c>
      <c r="AX391" s="21">
        <v>376</v>
      </c>
      <c r="AY391" s="21">
        <v>495</v>
      </c>
      <c r="AZ391" s="19">
        <f t="shared" si="2976"/>
        <v>767</v>
      </c>
      <c r="BA391" s="19">
        <f t="shared" si="2977"/>
        <v>665</v>
      </c>
      <c r="BB391" s="19">
        <f t="shared" si="2978"/>
        <v>693</v>
      </c>
      <c r="BC391" s="19">
        <f t="shared" si="2979"/>
        <v>613</v>
      </c>
      <c r="BD391" s="19">
        <f t="shared" si="2980"/>
        <v>318</v>
      </c>
      <c r="BE391" s="19">
        <f t="shared" si="2981"/>
        <v>580</v>
      </c>
      <c r="BF391" s="19">
        <f t="shared" si="2982"/>
        <v>525</v>
      </c>
      <c r="BG391" s="19">
        <f t="shared" si="2983"/>
        <v>442</v>
      </c>
      <c r="BH391" s="19">
        <f t="shared" si="2984"/>
        <v>469</v>
      </c>
      <c r="BI391" s="19">
        <f t="shared" si="2985"/>
        <v>1032</v>
      </c>
      <c r="BJ391" s="19">
        <f t="shared" si="2986"/>
        <v>1717</v>
      </c>
      <c r="BK391" s="19">
        <f t="shared" si="2987"/>
        <v>1321</v>
      </c>
      <c r="BL391" s="19">
        <f t="shared" si="2988"/>
        <v>1863</v>
      </c>
      <c r="BM391" s="19">
        <f t="shared" si="2989"/>
        <v>2004</v>
      </c>
      <c r="BN391" s="19">
        <f t="shared" si="2990"/>
        <v>2378</v>
      </c>
      <c r="BO391" s="20">
        <f t="shared" si="2991"/>
        <v>1084</v>
      </c>
      <c r="BP391" s="19">
        <f t="shared" si="2992"/>
        <v>1084</v>
      </c>
      <c r="BQ391" s="19">
        <f t="shared" si="2993"/>
        <v>1084</v>
      </c>
      <c r="BR391" s="19">
        <f t="shared" si="2994"/>
        <v>1084</v>
      </c>
      <c r="BS391" s="19">
        <f t="shared" si="2995"/>
        <v>1084</v>
      </c>
      <c r="BT391" s="19">
        <f t="shared" si="2996"/>
        <v>1084</v>
      </c>
    </row>
    <row r="392" spans="1:72" ht="12" customHeight="1" outlineLevel="1">
      <c r="B392" s="1" t="s">
        <v>201</v>
      </c>
      <c r="C392" s="19"/>
      <c r="D392" s="21">
        <v>1401</v>
      </c>
      <c r="E392" s="21">
        <v>1124</v>
      </c>
      <c r="F392" s="21">
        <v>1107</v>
      </c>
      <c r="G392" s="21">
        <v>1245</v>
      </c>
      <c r="H392" s="21">
        <v>1251</v>
      </c>
      <c r="I392" s="21">
        <v>1279</v>
      </c>
      <c r="J392" s="21">
        <v>1248</v>
      </c>
      <c r="K392" s="21">
        <v>1270</v>
      </c>
      <c r="L392" s="21">
        <v>1010</v>
      </c>
      <c r="M392" s="21">
        <v>766</v>
      </c>
      <c r="N392" s="21">
        <v>733</v>
      </c>
      <c r="O392" s="21">
        <v>874</v>
      </c>
      <c r="P392" s="21">
        <v>908</v>
      </c>
      <c r="Q392" s="21">
        <v>850</v>
      </c>
      <c r="R392" s="21">
        <v>763</v>
      </c>
      <c r="S392" s="21">
        <v>638</v>
      </c>
      <c r="T392" s="21">
        <v>689</v>
      </c>
      <c r="U392" s="21">
        <v>650</v>
      </c>
      <c r="V392" s="21">
        <v>775</v>
      </c>
      <c r="W392" s="21">
        <v>1031</v>
      </c>
      <c r="X392" s="21">
        <v>1079</v>
      </c>
      <c r="Y392" s="21">
        <v>1340</v>
      </c>
      <c r="Z392" s="21">
        <v>1231</v>
      </c>
      <c r="AA392" s="21">
        <v>1472</v>
      </c>
      <c r="AB392" s="21">
        <v>1411</v>
      </c>
      <c r="AC392" s="21">
        <v>1552</v>
      </c>
      <c r="AD392" s="21">
        <v>1452</v>
      </c>
      <c r="AE392" s="21">
        <v>1797</v>
      </c>
      <c r="AF392" s="21">
        <v>1586</v>
      </c>
      <c r="AG392" s="21">
        <v>2077</v>
      </c>
      <c r="AH392" s="21">
        <v>1741</v>
      </c>
      <c r="AI392" s="21">
        <v>2085</v>
      </c>
      <c r="AJ392" s="24">
        <v>1744</v>
      </c>
      <c r="AK392" s="19">
        <f t="shared" ref="AK392" si="3077">AJ392*(AK286)/(AJ286)</f>
        <v>1744</v>
      </c>
      <c r="AL392" s="19">
        <f t="shared" ref="AL392" si="3078">AK392*(AL286)/(AK286)</f>
        <v>1744</v>
      </c>
      <c r="AM392" s="19">
        <f t="shared" ref="AM392" si="3079">AL392*(AM286)/(AL286)</f>
        <v>1744</v>
      </c>
      <c r="AN392" s="19">
        <f t="shared" ref="AN392" si="3080">AM392*(AN286)/(AM286)</f>
        <v>1744</v>
      </c>
      <c r="AO392" s="19">
        <f t="shared" ref="AO392" si="3081">AN392*(AO286)/(AN286)</f>
        <v>1744</v>
      </c>
      <c r="AP392" s="19">
        <f t="shared" ref="AP392" si="3082">AO392*(AP286)/(AO286)</f>
        <v>1744</v>
      </c>
      <c r="AQ392" s="19">
        <f t="shared" ref="AQ392" si="3083">AP392*(AQ286)/(AP286)</f>
        <v>1744</v>
      </c>
      <c r="AR392" s="19">
        <f t="shared" ref="AR392" si="3084">AQ392*(AR286)/(AQ286)</f>
        <v>1744</v>
      </c>
      <c r="AS392" s="19">
        <f t="shared" ref="AS392" si="3085">AR392*(AS286)/(AR286)</f>
        <v>1744</v>
      </c>
      <c r="AT392" s="19"/>
      <c r="AU392" s="21">
        <v>203</v>
      </c>
      <c r="AV392" s="21">
        <v>240</v>
      </c>
      <c r="AW392" s="21">
        <v>457</v>
      </c>
      <c r="AX392" s="21">
        <v>718</v>
      </c>
      <c r="AY392" s="21">
        <v>1186</v>
      </c>
      <c r="AZ392" s="19">
        <f t="shared" si="2976"/>
        <v>1124</v>
      </c>
      <c r="BA392" s="19">
        <f t="shared" si="2977"/>
        <v>1245</v>
      </c>
      <c r="BB392" s="19">
        <f t="shared" si="2978"/>
        <v>1279</v>
      </c>
      <c r="BC392" s="19">
        <f t="shared" si="2979"/>
        <v>1270</v>
      </c>
      <c r="BD392" s="19">
        <f t="shared" si="2980"/>
        <v>766</v>
      </c>
      <c r="BE392" s="19">
        <f t="shared" si="2981"/>
        <v>874</v>
      </c>
      <c r="BF392" s="19">
        <f t="shared" si="2982"/>
        <v>850</v>
      </c>
      <c r="BG392" s="19">
        <f t="shared" si="2983"/>
        <v>638</v>
      </c>
      <c r="BH392" s="19">
        <f t="shared" si="2984"/>
        <v>650</v>
      </c>
      <c r="BI392" s="19">
        <f t="shared" si="2985"/>
        <v>1031</v>
      </c>
      <c r="BJ392" s="19">
        <f t="shared" si="2986"/>
        <v>1340</v>
      </c>
      <c r="BK392" s="19">
        <f t="shared" si="2987"/>
        <v>1472</v>
      </c>
      <c r="BL392" s="19">
        <f t="shared" si="2988"/>
        <v>1552</v>
      </c>
      <c r="BM392" s="19">
        <f t="shared" si="2989"/>
        <v>1797</v>
      </c>
      <c r="BN392" s="19">
        <f t="shared" si="2990"/>
        <v>2077</v>
      </c>
      <c r="BO392" s="20">
        <f t="shared" si="2991"/>
        <v>2085</v>
      </c>
      <c r="BP392" s="19">
        <f t="shared" si="2992"/>
        <v>1744</v>
      </c>
      <c r="BQ392" s="19">
        <f t="shared" si="2993"/>
        <v>1744</v>
      </c>
      <c r="BR392" s="19">
        <f t="shared" si="2994"/>
        <v>1744</v>
      </c>
      <c r="BS392" s="19">
        <f t="shared" si="2995"/>
        <v>1744</v>
      </c>
      <c r="BT392" s="19">
        <f t="shared" si="2996"/>
        <v>1744</v>
      </c>
    </row>
    <row r="393" spans="1:72" ht="12" hidden="1" customHeight="1" outlineLevel="2">
      <c r="B393" s="1" t="s">
        <v>173</v>
      </c>
      <c r="D393" s="21"/>
      <c r="E393" s="21"/>
      <c r="F393" s="21"/>
      <c r="G393" s="21"/>
      <c r="H393" s="21"/>
      <c r="I393" s="21"/>
      <c r="J393" s="21"/>
      <c r="K393" s="21"/>
      <c r="L393" s="21"/>
      <c r="M393" s="21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20"/>
      <c r="AK393" s="19"/>
      <c r="AL393" s="19"/>
      <c r="AM393" s="19"/>
      <c r="AN393" s="19"/>
      <c r="AO393" s="19"/>
      <c r="AP393" s="19"/>
      <c r="AQ393" s="19"/>
      <c r="AR393" s="19"/>
      <c r="AS393" s="19"/>
      <c r="AU393" s="21"/>
      <c r="AV393" s="21"/>
      <c r="AW393" s="21"/>
      <c r="AX393" s="21"/>
      <c r="AY393" s="21"/>
      <c r="AZ393" s="19">
        <f t="shared" si="2976"/>
        <v>0</v>
      </c>
      <c r="BA393" s="19">
        <f t="shared" si="2977"/>
        <v>0</v>
      </c>
      <c r="BB393" s="19">
        <f t="shared" si="2978"/>
        <v>0</v>
      </c>
      <c r="BC393" s="19">
        <f t="shared" si="2979"/>
        <v>0</v>
      </c>
      <c r="BD393" s="19">
        <f t="shared" si="2980"/>
        <v>0</v>
      </c>
      <c r="BE393" s="19">
        <f t="shared" si="2981"/>
        <v>0</v>
      </c>
      <c r="BF393" s="19">
        <f t="shared" si="2982"/>
        <v>0</v>
      </c>
      <c r="BG393" s="19">
        <f t="shared" si="2983"/>
        <v>0</v>
      </c>
      <c r="BH393" s="19">
        <f t="shared" si="2984"/>
        <v>0</v>
      </c>
      <c r="BI393" s="19">
        <f t="shared" si="2985"/>
        <v>0</v>
      </c>
      <c r="BJ393" s="19">
        <f t="shared" si="2986"/>
        <v>0</v>
      </c>
      <c r="BK393" s="19">
        <f t="shared" si="2987"/>
        <v>0</v>
      </c>
      <c r="BL393" s="19">
        <f t="shared" si="2988"/>
        <v>0</v>
      </c>
      <c r="BM393" s="19">
        <f t="shared" si="2989"/>
        <v>0</v>
      </c>
      <c r="BN393" s="19">
        <f t="shared" si="2990"/>
        <v>0</v>
      </c>
      <c r="BO393" s="20">
        <f t="shared" si="2991"/>
        <v>0</v>
      </c>
      <c r="BP393" s="19">
        <f t="shared" si="2992"/>
        <v>0</v>
      </c>
      <c r="BQ393" s="19">
        <f t="shared" si="2993"/>
        <v>0</v>
      </c>
      <c r="BR393" s="19">
        <f t="shared" si="2994"/>
        <v>0</v>
      </c>
      <c r="BS393" s="19">
        <f t="shared" si="2995"/>
        <v>0</v>
      </c>
      <c r="BT393" s="19">
        <f t="shared" si="2996"/>
        <v>0</v>
      </c>
    </row>
    <row r="394" spans="1:72" ht="12" hidden="1" customHeight="1" outlineLevel="2">
      <c r="B394" s="1" t="s">
        <v>173</v>
      </c>
      <c r="D394" s="21"/>
      <c r="E394" s="21"/>
      <c r="F394" s="21"/>
      <c r="G394" s="21"/>
      <c r="H394" s="21"/>
      <c r="I394" s="21"/>
      <c r="J394" s="21"/>
      <c r="K394" s="21"/>
      <c r="L394" s="21"/>
      <c r="M394" s="21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20"/>
      <c r="AK394" s="19"/>
      <c r="AL394" s="19"/>
      <c r="AM394" s="19"/>
      <c r="AN394" s="19"/>
      <c r="AO394" s="19"/>
      <c r="AP394" s="19"/>
      <c r="AQ394" s="19"/>
      <c r="AR394" s="19"/>
      <c r="AS394" s="19"/>
      <c r="AU394" s="21"/>
      <c r="AV394" s="21"/>
      <c r="AW394" s="21"/>
      <c r="AX394" s="21"/>
      <c r="AY394" s="21"/>
      <c r="AZ394" s="19">
        <f t="shared" si="2976"/>
        <v>0</v>
      </c>
      <c r="BA394" s="19">
        <f t="shared" si="2977"/>
        <v>0</v>
      </c>
      <c r="BB394" s="19">
        <f t="shared" si="2978"/>
        <v>0</v>
      </c>
      <c r="BC394" s="19">
        <f t="shared" si="2979"/>
        <v>0</v>
      </c>
      <c r="BD394" s="19">
        <f t="shared" si="2980"/>
        <v>0</v>
      </c>
      <c r="BE394" s="19">
        <f t="shared" si="2981"/>
        <v>0</v>
      </c>
      <c r="BF394" s="19">
        <f t="shared" si="2982"/>
        <v>0</v>
      </c>
      <c r="BG394" s="19">
        <f t="shared" si="2983"/>
        <v>0</v>
      </c>
      <c r="BH394" s="19">
        <f t="shared" si="2984"/>
        <v>0</v>
      </c>
      <c r="BI394" s="19">
        <f t="shared" si="2985"/>
        <v>0</v>
      </c>
      <c r="BJ394" s="19">
        <f t="shared" si="2986"/>
        <v>0</v>
      </c>
      <c r="BK394" s="19">
        <f t="shared" si="2987"/>
        <v>0</v>
      </c>
      <c r="BL394" s="19">
        <f t="shared" si="2988"/>
        <v>0</v>
      </c>
      <c r="BM394" s="19">
        <f t="shared" si="2989"/>
        <v>0</v>
      </c>
      <c r="BN394" s="19">
        <f t="shared" si="2990"/>
        <v>0</v>
      </c>
      <c r="BO394" s="20">
        <f t="shared" si="2991"/>
        <v>0</v>
      </c>
      <c r="BP394" s="19">
        <f t="shared" si="2992"/>
        <v>0</v>
      </c>
      <c r="BQ394" s="19">
        <f t="shared" si="2993"/>
        <v>0</v>
      </c>
      <c r="BR394" s="19">
        <f t="shared" si="2994"/>
        <v>0</v>
      </c>
      <c r="BS394" s="19">
        <f t="shared" si="2995"/>
        <v>0</v>
      </c>
      <c r="BT394" s="19">
        <f t="shared" si="2996"/>
        <v>0</v>
      </c>
    </row>
    <row r="395" spans="1:72" ht="12" hidden="1" customHeight="1" outlineLevel="2">
      <c r="B395" s="1" t="s">
        <v>173</v>
      </c>
      <c r="D395" s="21"/>
      <c r="E395" s="21"/>
      <c r="F395" s="21"/>
      <c r="G395" s="21"/>
      <c r="H395" s="21"/>
      <c r="I395" s="21"/>
      <c r="J395" s="21"/>
      <c r="K395" s="21"/>
      <c r="L395" s="21"/>
      <c r="M395" s="21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20"/>
      <c r="AK395" s="19"/>
      <c r="AL395" s="19"/>
      <c r="AM395" s="19"/>
      <c r="AN395" s="19"/>
      <c r="AO395" s="19"/>
      <c r="AP395" s="19"/>
      <c r="AQ395" s="19"/>
      <c r="AR395" s="19"/>
      <c r="AS395" s="19"/>
      <c r="AU395" s="21"/>
      <c r="AV395" s="21"/>
      <c r="AW395" s="21"/>
      <c r="AX395" s="21"/>
      <c r="AY395" s="21"/>
      <c r="AZ395" s="19">
        <f t="shared" si="2976"/>
        <v>0</v>
      </c>
      <c r="BA395" s="19">
        <f t="shared" si="2977"/>
        <v>0</v>
      </c>
      <c r="BB395" s="19">
        <f t="shared" si="2978"/>
        <v>0</v>
      </c>
      <c r="BC395" s="19">
        <f t="shared" si="2979"/>
        <v>0</v>
      </c>
      <c r="BD395" s="19">
        <f t="shared" si="2980"/>
        <v>0</v>
      </c>
      <c r="BE395" s="19">
        <f t="shared" si="2981"/>
        <v>0</v>
      </c>
      <c r="BF395" s="19">
        <f t="shared" si="2982"/>
        <v>0</v>
      </c>
      <c r="BG395" s="19">
        <f t="shared" si="2983"/>
        <v>0</v>
      </c>
      <c r="BH395" s="19">
        <f t="shared" si="2984"/>
        <v>0</v>
      </c>
      <c r="BI395" s="19">
        <f t="shared" si="2985"/>
        <v>0</v>
      </c>
      <c r="BJ395" s="19">
        <f t="shared" si="2986"/>
        <v>0</v>
      </c>
      <c r="BK395" s="19">
        <f t="shared" si="2987"/>
        <v>0</v>
      </c>
      <c r="BL395" s="19">
        <f t="shared" si="2988"/>
        <v>0</v>
      </c>
      <c r="BM395" s="19">
        <f t="shared" si="2989"/>
        <v>0</v>
      </c>
      <c r="BN395" s="19">
        <f t="shared" si="2990"/>
        <v>0</v>
      </c>
      <c r="BO395" s="20">
        <f t="shared" si="2991"/>
        <v>0</v>
      </c>
      <c r="BP395" s="19">
        <f t="shared" si="2992"/>
        <v>0</v>
      </c>
      <c r="BQ395" s="19">
        <f t="shared" si="2993"/>
        <v>0</v>
      </c>
      <c r="BR395" s="19">
        <f t="shared" si="2994"/>
        <v>0</v>
      </c>
      <c r="BS395" s="19">
        <f t="shared" si="2995"/>
        <v>0</v>
      </c>
      <c r="BT395" s="19">
        <f t="shared" si="2996"/>
        <v>0</v>
      </c>
    </row>
    <row r="396" spans="1:72" ht="12" hidden="1" customHeight="1" outlineLevel="2">
      <c r="B396" s="1" t="s">
        <v>173</v>
      </c>
      <c r="D396" s="21"/>
      <c r="E396" s="21"/>
      <c r="F396" s="21"/>
      <c r="G396" s="21"/>
      <c r="H396" s="21"/>
      <c r="I396" s="21"/>
      <c r="J396" s="21"/>
      <c r="K396" s="21"/>
      <c r="L396" s="21"/>
      <c r="M396" s="21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20"/>
      <c r="AK396" s="19"/>
      <c r="AL396" s="19"/>
      <c r="AM396" s="19"/>
      <c r="AN396" s="19"/>
      <c r="AO396" s="19"/>
      <c r="AP396" s="19"/>
      <c r="AQ396" s="19"/>
      <c r="AR396" s="19"/>
      <c r="AS396" s="19"/>
      <c r="AU396" s="21"/>
      <c r="AV396" s="21"/>
      <c r="AW396" s="21"/>
      <c r="AX396" s="21"/>
      <c r="AY396" s="21"/>
      <c r="AZ396" s="19">
        <f t="shared" si="2976"/>
        <v>0</v>
      </c>
      <c r="BA396" s="19">
        <f t="shared" si="2977"/>
        <v>0</v>
      </c>
      <c r="BB396" s="19">
        <f t="shared" si="2978"/>
        <v>0</v>
      </c>
      <c r="BC396" s="19">
        <f t="shared" si="2979"/>
        <v>0</v>
      </c>
      <c r="BD396" s="19">
        <f t="shared" si="2980"/>
        <v>0</v>
      </c>
      <c r="BE396" s="19">
        <f t="shared" si="2981"/>
        <v>0</v>
      </c>
      <c r="BF396" s="19">
        <f t="shared" si="2982"/>
        <v>0</v>
      </c>
      <c r="BG396" s="19">
        <f t="shared" si="2983"/>
        <v>0</v>
      </c>
      <c r="BH396" s="19">
        <f t="shared" si="2984"/>
        <v>0</v>
      </c>
      <c r="BI396" s="19">
        <f t="shared" si="2985"/>
        <v>0</v>
      </c>
      <c r="BJ396" s="19">
        <f t="shared" si="2986"/>
        <v>0</v>
      </c>
      <c r="BK396" s="19">
        <f t="shared" si="2987"/>
        <v>0</v>
      </c>
      <c r="BL396" s="19">
        <f t="shared" si="2988"/>
        <v>0</v>
      </c>
      <c r="BM396" s="19">
        <f t="shared" si="2989"/>
        <v>0</v>
      </c>
      <c r="BN396" s="19">
        <f t="shared" si="2990"/>
        <v>0</v>
      </c>
      <c r="BO396" s="20">
        <f t="shared" si="2991"/>
        <v>0</v>
      </c>
      <c r="BP396" s="19">
        <f t="shared" si="2992"/>
        <v>0</v>
      </c>
      <c r="BQ396" s="19">
        <f t="shared" si="2993"/>
        <v>0</v>
      </c>
      <c r="BR396" s="19">
        <f t="shared" si="2994"/>
        <v>0</v>
      </c>
      <c r="BS396" s="19">
        <f t="shared" si="2995"/>
        <v>0</v>
      </c>
      <c r="BT396" s="19">
        <f t="shared" si="2996"/>
        <v>0</v>
      </c>
    </row>
    <row r="397" spans="1:72" ht="12" hidden="1" customHeight="1" outlineLevel="2">
      <c r="B397" s="1" t="s">
        <v>173</v>
      </c>
      <c r="D397" s="21"/>
      <c r="E397" s="21"/>
      <c r="F397" s="21"/>
      <c r="G397" s="21"/>
      <c r="H397" s="21"/>
      <c r="I397" s="21"/>
      <c r="J397" s="21"/>
      <c r="K397" s="21"/>
      <c r="L397" s="21"/>
      <c r="M397" s="21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20"/>
      <c r="AK397" s="19"/>
      <c r="AL397" s="19"/>
      <c r="AM397" s="19"/>
      <c r="AN397" s="19"/>
      <c r="AO397" s="19"/>
      <c r="AP397" s="19"/>
      <c r="AQ397" s="19"/>
      <c r="AR397" s="19"/>
      <c r="AS397" s="19"/>
      <c r="AU397" s="21"/>
      <c r="AV397" s="21"/>
      <c r="AW397" s="21"/>
      <c r="AX397" s="21"/>
      <c r="AY397" s="21"/>
      <c r="AZ397" s="19">
        <f t="shared" si="2976"/>
        <v>0</v>
      </c>
      <c r="BA397" s="19">
        <f t="shared" si="2977"/>
        <v>0</v>
      </c>
      <c r="BB397" s="19">
        <f t="shared" si="2978"/>
        <v>0</v>
      </c>
      <c r="BC397" s="19">
        <f t="shared" si="2979"/>
        <v>0</v>
      </c>
      <c r="BD397" s="19">
        <f t="shared" si="2980"/>
        <v>0</v>
      </c>
      <c r="BE397" s="19">
        <f t="shared" si="2981"/>
        <v>0</v>
      </c>
      <c r="BF397" s="19">
        <f t="shared" si="2982"/>
        <v>0</v>
      </c>
      <c r="BG397" s="19">
        <f t="shared" si="2983"/>
        <v>0</v>
      </c>
      <c r="BH397" s="19">
        <f t="shared" si="2984"/>
        <v>0</v>
      </c>
      <c r="BI397" s="19">
        <f t="shared" si="2985"/>
        <v>0</v>
      </c>
      <c r="BJ397" s="19">
        <f t="shared" si="2986"/>
        <v>0</v>
      </c>
      <c r="BK397" s="19">
        <f t="shared" si="2987"/>
        <v>0</v>
      </c>
      <c r="BL397" s="19">
        <f t="shared" si="2988"/>
        <v>0</v>
      </c>
      <c r="BM397" s="19">
        <f t="shared" si="2989"/>
        <v>0</v>
      </c>
      <c r="BN397" s="19">
        <f t="shared" si="2990"/>
        <v>0</v>
      </c>
      <c r="BO397" s="20">
        <f t="shared" si="2991"/>
        <v>0</v>
      </c>
      <c r="BP397" s="19">
        <f t="shared" si="2992"/>
        <v>0</v>
      </c>
      <c r="BQ397" s="19">
        <f t="shared" si="2993"/>
        <v>0</v>
      </c>
      <c r="BR397" s="19">
        <f t="shared" si="2994"/>
        <v>0</v>
      </c>
      <c r="BS397" s="19">
        <f t="shared" si="2995"/>
        <v>0</v>
      </c>
      <c r="BT397" s="19">
        <f t="shared" si="2996"/>
        <v>0</v>
      </c>
    </row>
    <row r="398" spans="1:72" ht="12" hidden="1" customHeight="1" outlineLevel="2">
      <c r="B398" s="1" t="s">
        <v>173</v>
      </c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20"/>
      <c r="AK398" s="19"/>
      <c r="AL398" s="19"/>
      <c r="AM398" s="19"/>
      <c r="AN398" s="19"/>
      <c r="AO398" s="19"/>
      <c r="AP398" s="19"/>
      <c r="AQ398" s="19"/>
      <c r="AR398" s="19"/>
      <c r="AS398" s="19"/>
      <c r="AU398" s="21"/>
      <c r="AV398" s="21"/>
      <c r="AW398" s="21"/>
      <c r="AX398" s="21"/>
      <c r="AY398" s="21"/>
      <c r="AZ398" s="19">
        <f t="shared" si="2976"/>
        <v>0</v>
      </c>
      <c r="BA398" s="19">
        <f t="shared" si="2977"/>
        <v>0</v>
      </c>
      <c r="BB398" s="19">
        <f t="shared" si="2978"/>
        <v>0</v>
      </c>
      <c r="BC398" s="19">
        <f t="shared" si="2979"/>
        <v>0</v>
      </c>
      <c r="BD398" s="19">
        <f t="shared" si="2980"/>
        <v>0</v>
      </c>
      <c r="BE398" s="19">
        <f t="shared" si="2981"/>
        <v>0</v>
      </c>
      <c r="BF398" s="19">
        <f t="shared" si="2982"/>
        <v>0</v>
      </c>
      <c r="BG398" s="19">
        <f t="shared" si="2983"/>
        <v>0</v>
      </c>
      <c r="BH398" s="19">
        <f t="shared" si="2984"/>
        <v>0</v>
      </c>
      <c r="BI398" s="19">
        <f t="shared" si="2985"/>
        <v>0</v>
      </c>
      <c r="BJ398" s="19">
        <f t="shared" si="2986"/>
        <v>0</v>
      </c>
      <c r="BK398" s="19">
        <f t="shared" si="2987"/>
        <v>0</v>
      </c>
      <c r="BL398" s="19">
        <f t="shared" si="2988"/>
        <v>0</v>
      </c>
      <c r="BM398" s="19">
        <f t="shared" si="2989"/>
        <v>0</v>
      </c>
      <c r="BN398" s="19">
        <f t="shared" si="2990"/>
        <v>0</v>
      </c>
      <c r="BO398" s="20">
        <f t="shared" si="2991"/>
        <v>0</v>
      </c>
      <c r="BP398" s="19">
        <f t="shared" si="2992"/>
        <v>0</v>
      </c>
      <c r="BQ398" s="19">
        <f t="shared" si="2993"/>
        <v>0</v>
      </c>
      <c r="BR398" s="19">
        <f t="shared" si="2994"/>
        <v>0</v>
      </c>
      <c r="BS398" s="19">
        <f t="shared" si="2995"/>
        <v>0</v>
      </c>
      <c r="BT398" s="19">
        <f t="shared" si="2996"/>
        <v>0</v>
      </c>
    </row>
    <row r="399" spans="1:72" ht="12" hidden="1" customHeight="1" outlineLevel="2">
      <c r="B399" s="1" t="s">
        <v>173</v>
      </c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20"/>
      <c r="AK399" s="19"/>
      <c r="AL399" s="19"/>
      <c r="AM399" s="19"/>
      <c r="AN399" s="19"/>
      <c r="AO399" s="19"/>
      <c r="AP399" s="19"/>
      <c r="AQ399" s="19"/>
      <c r="AR399" s="19"/>
      <c r="AS399" s="19"/>
      <c r="AU399" s="21"/>
      <c r="AV399" s="21"/>
      <c r="AW399" s="21"/>
      <c r="AX399" s="21"/>
      <c r="AY399" s="21"/>
      <c r="AZ399" s="19">
        <f t="shared" si="2976"/>
        <v>0</v>
      </c>
      <c r="BA399" s="19">
        <f t="shared" si="2977"/>
        <v>0</v>
      </c>
      <c r="BB399" s="19">
        <f t="shared" si="2978"/>
        <v>0</v>
      </c>
      <c r="BC399" s="19">
        <f t="shared" si="2979"/>
        <v>0</v>
      </c>
      <c r="BD399" s="19">
        <f t="shared" si="2980"/>
        <v>0</v>
      </c>
      <c r="BE399" s="19">
        <f t="shared" si="2981"/>
        <v>0</v>
      </c>
      <c r="BF399" s="19">
        <f t="shared" si="2982"/>
        <v>0</v>
      </c>
      <c r="BG399" s="19">
        <f t="shared" si="2983"/>
        <v>0</v>
      </c>
      <c r="BH399" s="19">
        <f t="shared" si="2984"/>
        <v>0</v>
      </c>
      <c r="BI399" s="19">
        <f t="shared" si="2985"/>
        <v>0</v>
      </c>
      <c r="BJ399" s="19">
        <f t="shared" si="2986"/>
        <v>0</v>
      </c>
      <c r="BK399" s="19">
        <f t="shared" si="2987"/>
        <v>0</v>
      </c>
      <c r="BL399" s="19">
        <f t="shared" si="2988"/>
        <v>0</v>
      </c>
      <c r="BM399" s="19">
        <f t="shared" si="2989"/>
        <v>0</v>
      </c>
      <c r="BN399" s="19">
        <f t="shared" si="2990"/>
        <v>0</v>
      </c>
      <c r="BO399" s="20">
        <f t="shared" si="2991"/>
        <v>0</v>
      </c>
      <c r="BP399" s="19">
        <f t="shared" si="2992"/>
        <v>0</v>
      </c>
      <c r="BQ399" s="19">
        <f t="shared" si="2993"/>
        <v>0</v>
      </c>
      <c r="BR399" s="19">
        <f t="shared" si="2994"/>
        <v>0</v>
      </c>
      <c r="BS399" s="19">
        <f t="shared" si="2995"/>
        <v>0</v>
      </c>
      <c r="BT399" s="19">
        <f t="shared" si="2996"/>
        <v>0</v>
      </c>
    </row>
    <row r="400" spans="1:72" ht="12" hidden="1" customHeight="1" outlineLevel="2">
      <c r="B400" s="1" t="s">
        <v>173</v>
      </c>
      <c r="D400" s="21"/>
      <c r="E400" s="21"/>
      <c r="F400" s="21"/>
      <c r="G400" s="21"/>
      <c r="H400" s="21"/>
      <c r="I400" s="21"/>
      <c r="J400" s="21"/>
      <c r="K400" s="21"/>
      <c r="L400" s="21"/>
      <c r="M400" s="21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20"/>
      <c r="AK400" s="19"/>
      <c r="AL400" s="19"/>
      <c r="AM400" s="19"/>
      <c r="AN400" s="19"/>
      <c r="AO400" s="19"/>
      <c r="AP400" s="19"/>
      <c r="AQ400" s="19"/>
      <c r="AR400" s="19"/>
      <c r="AS400" s="19"/>
      <c r="AU400" s="21"/>
      <c r="AV400" s="21"/>
      <c r="AW400" s="21"/>
      <c r="AX400" s="21"/>
      <c r="AY400" s="21"/>
      <c r="AZ400" s="19">
        <f t="shared" si="2976"/>
        <v>0</v>
      </c>
      <c r="BA400" s="19">
        <f t="shared" si="2977"/>
        <v>0</v>
      </c>
      <c r="BB400" s="19">
        <f t="shared" si="2978"/>
        <v>0</v>
      </c>
      <c r="BC400" s="19">
        <f t="shared" si="2979"/>
        <v>0</v>
      </c>
      <c r="BD400" s="19">
        <f t="shared" si="2980"/>
        <v>0</v>
      </c>
      <c r="BE400" s="19">
        <f t="shared" si="2981"/>
        <v>0</v>
      </c>
      <c r="BF400" s="19">
        <f t="shared" si="2982"/>
        <v>0</v>
      </c>
      <c r="BG400" s="19">
        <f t="shared" si="2983"/>
        <v>0</v>
      </c>
      <c r="BH400" s="19">
        <f t="shared" si="2984"/>
        <v>0</v>
      </c>
      <c r="BI400" s="19">
        <f t="shared" si="2985"/>
        <v>0</v>
      </c>
      <c r="BJ400" s="19">
        <f t="shared" si="2986"/>
        <v>0</v>
      </c>
      <c r="BK400" s="19">
        <f t="shared" si="2987"/>
        <v>0</v>
      </c>
      <c r="BL400" s="19">
        <f t="shared" si="2988"/>
        <v>0</v>
      </c>
      <c r="BM400" s="19">
        <f t="shared" si="2989"/>
        <v>0</v>
      </c>
      <c r="BN400" s="19">
        <f t="shared" si="2990"/>
        <v>0</v>
      </c>
      <c r="BO400" s="20">
        <f t="shared" si="2991"/>
        <v>0</v>
      </c>
      <c r="BP400" s="19">
        <f t="shared" si="2992"/>
        <v>0</v>
      </c>
      <c r="BQ400" s="19">
        <f t="shared" si="2993"/>
        <v>0</v>
      </c>
      <c r="BR400" s="19">
        <f t="shared" si="2994"/>
        <v>0</v>
      </c>
      <c r="BS400" s="19">
        <f t="shared" si="2995"/>
        <v>0</v>
      </c>
      <c r="BT400" s="19">
        <f t="shared" si="2996"/>
        <v>0</v>
      </c>
    </row>
    <row r="401" spans="1:72" ht="12" hidden="1" customHeight="1" outlineLevel="2">
      <c r="B401" s="1" t="s">
        <v>173</v>
      </c>
      <c r="D401" s="21"/>
      <c r="E401" s="21"/>
      <c r="F401" s="21"/>
      <c r="G401" s="21"/>
      <c r="H401" s="21"/>
      <c r="I401" s="21"/>
      <c r="J401" s="21"/>
      <c r="K401" s="21"/>
      <c r="L401" s="21"/>
      <c r="M401" s="21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20"/>
      <c r="AK401" s="19"/>
      <c r="AL401" s="19"/>
      <c r="AM401" s="19"/>
      <c r="AN401" s="19"/>
      <c r="AO401" s="19"/>
      <c r="AP401" s="19"/>
      <c r="AQ401" s="19"/>
      <c r="AR401" s="19"/>
      <c r="AS401" s="19"/>
      <c r="AU401" s="21"/>
      <c r="AV401" s="21"/>
      <c r="AW401" s="21"/>
      <c r="AX401" s="21"/>
      <c r="AY401" s="21"/>
      <c r="AZ401" s="19">
        <f t="shared" si="2976"/>
        <v>0</v>
      </c>
      <c r="BA401" s="19">
        <f t="shared" si="2977"/>
        <v>0</v>
      </c>
      <c r="BB401" s="19">
        <f t="shared" si="2978"/>
        <v>0</v>
      </c>
      <c r="BC401" s="19">
        <f t="shared" si="2979"/>
        <v>0</v>
      </c>
      <c r="BD401" s="19">
        <f t="shared" si="2980"/>
        <v>0</v>
      </c>
      <c r="BE401" s="19">
        <f t="shared" si="2981"/>
        <v>0</v>
      </c>
      <c r="BF401" s="19">
        <f t="shared" si="2982"/>
        <v>0</v>
      </c>
      <c r="BG401" s="19">
        <f t="shared" si="2983"/>
        <v>0</v>
      </c>
      <c r="BH401" s="19">
        <f t="shared" si="2984"/>
        <v>0</v>
      </c>
      <c r="BI401" s="19">
        <f t="shared" si="2985"/>
        <v>0</v>
      </c>
      <c r="BJ401" s="19">
        <f t="shared" si="2986"/>
        <v>0</v>
      </c>
      <c r="BK401" s="19">
        <f t="shared" si="2987"/>
        <v>0</v>
      </c>
      <c r="BL401" s="19">
        <f t="shared" si="2988"/>
        <v>0</v>
      </c>
      <c r="BM401" s="19">
        <f t="shared" si="2989"/>
        <v>0</v>
      </c>
      <c r="BN401" s="19">
        <f t="shared" si="2990"/>
        <v>0</v>
      </c>
      <c r="BO401" s="20">
        <f t="shared" si="2991"/>
        <v>0</v>
      </c>
      <c r="BP401" s="19">
        <f t="shared" si="2992"/>
        <v>0</v>
      </c>
      <c r="BQ401" s="19">
        <f t="shared" si="2993"/>
        <v>0</v>
      </c>
      <c r="BR401" s="19">
        <f t="shared" si="2994"/>
        <v>0</v>
      </c>
      <c r="BS401" s="19">
        <f t="shared" si="2995"/>
        <v>0</v>
      </c>
      <c r="BT401" s="19">
        <f t="shared" si="2996"/>
        <v>0</v>
      </c>
    </row>
    <row r="402" spans="1:72" s="9" customFormat="1" ht="12" customHeight="1" outlineLevel="1" collapsed="1">
      <c r="A402" s="91" t="s">
        <v>655</v>
      </c>
      <c r="B402" s="9" t="s">
        <v>174</v>
      </c>
      <c r="C402" s="17"/>
      <c r="D402" s="22">
        <v>146931</v>
      </c>
      <c r="E402" s="22">
        <v>145940</v>
      </c>
      <c r="F402" s="22">
        <v>158060</v>
      </c>
      <c r="G402" s="22">
        <v>157568</v>
      </c>
      <c r="H402" s="22">
        <v>174688</v>
      </c>
      <c r="I402" s="22">
        <v>153626</v>
      </c>
      <c r="J402" s="22">
        <v>152180</v>
      </c>
      <c r="K402" s="22">
        <v>144748</v>
      </c>
      <c r="L402" s="22">
        <v>154600</v>
      </c>
      <c r="M402" s="22">
        <v>153904</v>
      </c>
      <c r="N402" s="22">
        <v>162332</v>
      </c>
      <c r="O402" s="22">
        <v>187976</v>
      </c>
      <c r="P402" s="22">
        <v>209090</v>
      </c>
      <c r="Q402" s="22">
        <v>196755</v>
      </c>
      <c r="R402" s="22">
        <v>193093</v>
      </c>
      <c r="S402" s="22">
        <v>182877</v>
      </c>
      <c r="T402" s="22">
        <v>189760</v>
      </c>
      <c r="U402" s="22">
        <v>191325</v>
      </c>
      <c r="V402" s="22">
        <v>205598</v>
      </c>
      <c r="W402" s="22">
        <v>197757</v>
      </c>
      <c r="X402" s="22">
        <v>219495</v>
      </c>
      <c r="Y402" s="22">
        <v>255802</v>
      </c>
      <c r="Z402" s="22">
        <v>230735</v>
      </c>
      <c r="AA402" s="22">
        <v>245653</v>
      </c>
      <c r="AB402" s="22">
        <v>348567</v>
      </c>
      <c r="AC402" s="22">
        <v>399176</v>
      </c>
      <c r="AD402" s="22">
        <v>486574</v>
      </c>
      <c r="AE402" s="22">
        <v>387872</v>
      </c>
      <c r="AF402" s="22">
        <v>394594</v>
      </c>
      <c r="AG402" s="22">
        <v>403404</v>
      </c>
      <c r="AH402" s="22">
        <v>414315</v>
      </c>
      <c r="AI402" s="22">
        <v>445221</v>
      </c>
      <c r="AJ402" s="23">
        <v>484216</v>
      </c>
      <c r="AK402" s="17">
        <f t="shared" ref="AK402" si="3086">AK419-SUM(AK403:AK418)</f>
        <v>513802.11176721903</v>
      </c>
      <c r="AL402" s="17">
        <f t="shared" ref="AL402:AM402" si="3087">AL419-SUM(AL403:AL418)</f>
        <v>542567.36905739084</v>
      </c>
      <c r="AM402" s="17">
        <f t="shared" si="3087"/>
        <v>570500.5610841692</v>
      </c>
      <c r="AN402" s="17">
        <f t="shared" ref="AN402:AO402" si="3088">AN419-SUM(AN403:AN418)</f>
        <v>594053.05549979967</v>
      </c>
      <c r="AO402" s="17">
        <f t="shared" si="3088"/>
        <v>616593.56907000206</v>
      </c>
      <c r="AP402" s="17">
        <f t="shared" ref="AP402:AQ402" si="3089">AP419-SUM(AP403:AP418)</f>
        <v>637860.11043283204</v>
      </c>
      <c r="AQ402" s="17">
        <f t="shared" si="3089"/>
        <v>659361.91855729115</v>
      </c>
      <c r="AR402" s="17">
        <f t="shared" ref="AR402:AS402" si="3090">AR419-SUM(AR403:AR418)</f>
        <v>681112.38284421328</v>
      </c>
      <c r="AS402" s="17">
        <f t="shared" si="3090"/>
        <v>703819.6983754437</v>
      </c>
      <c r="AT402" s="17"/>
      <c r="AU402" s="22">
        <v>67980</v>
      </c>
      <c r="AV402" s="22">
        <v>106211</v>
      </c>
      <c r="AW402" s="22">
        <v>136389</v>
      </c>
      <c r="AX402" s="22">
        <v>167250</v>
      </c>
      <c r="AY402" s="22">
        <v>149144</v>
      </c>
      <c r="AZ402" s="17">
        <f t="shared" ref="AZ402:BM402" si="3091">SUM(AZ380:AZ401)</f>
        <v>145940</v>
      </c>
      <c r="BA402" s="17">
        <f t="shared" si="3091"/>
        <v>157568</v>
      </c>
      <c r="BB402" s="17">
        <f t="shared" si="3091"/>
        <v>153626</v>
      </c>
      <c r="BC402" s="17">
        <f t="shared" si="3091"/>
        <v>144748</v>
      </c>
      <c r="BD402" s="17">
        <f t="shared" si="3091"/>
        <v>153904</v>
      </c>
      <c r="BE402" s="17">
        <f t="shared" si="3091"/>
        <v>187976</v>
      </c>
      <c r="BF402" s="17">
        <f t="shared" si="3091"/>
        <v>196755</v>
      </c>
      <c r="BG402" s="17">
        <f t="shared" si="3091"/>
        <v>182877</v>
      </c>
      <c r="BH402" s="17">
        <f t="shared" si="3091"/>
        <v>191325</v>
      </c>
      <c r="BI402" s="17">
        <f t="shared" si="3091"/>
        <v>197757</v>
      </c>
      <c r="BJ402" s="17">
        <f t="shared" si="3091"/>
        <v>255802</v>
      </c>
      <c r="BK402" s="17">
        <f t="shared" si="3091"/>
        <v>245653</v>
      </c>
      <c r="BL402" s="17">
        <f t="shared" si="3091"/>
        <v>399176</v>
      </c>
      <c r="BM402" s="17">
        <f t="shared" si="3091"/>
        <v>387872</v>
      </c>
      <c r="BN402" s="17">
        <f t="shared" ref="BN402:BO402" si="3092">SUM(BN380:BN401)</f>
        <v>403404</v>
      </c>
      <c r="BO402" s="18">
        <f t="shared" si="3092"/>
        <v>445221</v>
      </c>
      <c r="BP402" s="17">
        <f t="shared" ref="BP402:BQ402" si="3093">SUM(BP380:BP401)</f>
        <v>513802.11176721903</v>
      </c>
      <c r="BQ402" s="17">
        <f t="shared" si="3093"/>
        <v>570500.5610841692</v>
      </c>
      <c r="BR402" s="17">
        <f t="shared" ref="BR402:BS402" si="3094">SUM(BR380:BR401)</f>
        <v>616593.56907000195</v>
      </c>
      <c r="BS402" s="17">
        <f t="shared" si="3094"/>
        <v>659361.91855729115</v>
      </c>
      <c r="BT402" s="17">
        <f>SUM(BT380:BT401)</f>
        <v>703819.6983754437</v>
      </c>
    </row>
    <row r="403" spans="1:72" ht="12" customHeight="1" outlineLevel="1">
      <c r="B403" s="1" t="s">
        <v>437</v>
      </c>
      <c r="C403" s="19"/>
      <c r="D403" s="21">
        <v>-16000</v>
      </c>
      <c r="E403" s="21">
        <v>-15400</v>
      </c>
      <c r="F403" s="21">
        <v>-16600</v>
      </c>
      <c r="G403" s="21">
        <v>-14700</v>
      </c>
      <c r="H403" s="21">
        <v>-15000</v>
      </c>
      <c r="I403" s="21">
        <v>-10000</v>
      </c>
      <c r="J403" s="21">
        <v>-13900</v>
      </c>
      <c r="K403" s="21">
        <v>-13600</v>
      </c>
      <c r="L403" s="21">
        <v>-16700</v>
      </c>
      <c r="M403" s="21">
        <v>-17900</v>
      </c>
      <c r="N403" s="21">
        <v>-16200</v>
      </c>
      <c r="O403" s="21">
        <v>-19300</v>
      </c>
      <c r="P403" s="21">
        <v>-25900</v>
      </c>
      <c r="Q403" s="21">
        <v>-16600</v>
      </c>
      <c r="R403" s="21">
        <v>-21100</v>
      </c>
      <c r="S403" s="21">
        <v>-14600</v>
      </c>
      <c r="T403" s="21">
        <v>-20100</v>
      </c>
      <c r="U403" s="21">
        <v>-16700</v>
      </c>
      <c r="V403" s="21">
        <v>-18200</v>
      </c>
      <c r="W403" s="21">
        <v>-16600</v>
      </c>
      <c r="X403" s="21">
        <v>-19100</v>
      </c>
      <c r="Y403" s="21">
        <v>-17700</v>
      </c>
      <c r="Z403" s="21">
        <v>-17100</v>
      </c>
      <c r="AA403" s="21">
        <v>-15900</v>
      </c>
      <c r="AB403" s="21">
        <v>-17100</v>
      </c>
      <c r="AC403" s="21">
        <v>-20700</v>
      </c>
      <c r="AD403" s="21">
        <v>-33500</v>
      </c>
      <c r="AE403" s="21">
        <v>-14800</v>
      </c>
      <c r="AF403" s="21">
        <v>-14800</v>
      </c>
      <c r="AG403" s="21">
        <v>-10200</v>
      </c>
      <c r="AH403" s="21">
        <v>-10400</v>
      </c>
      <c r="AI403" s="21">
        <f>-29000</f>
        <v>-29000</v>
      </c>
      <c r="AJ403" s="24">
        <v>-39000</v>
      </c>
      <c r="AK403" s="19">
        <f t="shared" ref="AK403" si="3095">AJ403*AK114/AJ114</f>
        <v>-40643.658482142862</v>
      </c>
      <c r="AL403" s="19">
        <f t="shared" ref="AL403" si="3096">AK403*AL114/AK114</f>
        <v>-42167.96845356893</v>
      </c>
      <c r="AM403" s="19">
        <f t="shared" ref="AM403" si="3097">AL403*AM114/AL114</f>
        <v>-43627.144382049999</v>
      </c>
      <c r="AN403" s="19">
        <f t="shared" ref="AN403" si="3098">AM403*AN114/AM114</f>
        <v>-44851.830891012061</v>
      </c>
      <c r="AO403" s="19">
        <f t="shared" ref="AO403" si="3099">AN403*AO114/AN114</f>
        <v>-45999.900678890364</v>
      </c>
      <c r="AP403" s="19">
        <f t="shared" ref="AP403" si="3100">AO403*AP114/AO114</f>
        <v>-47062.329999178481</v>
      </c>
      <c r="AQ403" s="19">
        <f t="shared" ref="AQ403" si="3101">AP403*AQ114/AP114</f>
        <v>-48128.994334243864</v>
      </c>
      <c r="AR403" s="19">
        <f t="shared" ref="AR403" si="3102">AQ403*AR114/AQ114</f>
        <v>-49199.821931831138</v>
      </c>
      <c r="AS403" s="19">
        <f t="shared" ref="AS403" si="3103">AR403*AS114/AR114</f>
        <v>-50298.271698238183</v>
      </c>
      <c r="AT403" s="19"/>
      <c r="AU403" s="21"/>
      <c r="AV403" s="21"/>
      <c r="AW403" s="21"/>
      <c r="AX403" s="21">
        <v>-28900</v>
      </c>
      <c r="AY403" s="21">
        <v>-10500</v>
      </c>
      <c r="AZ403" s="19">
        <f t="shared" ref="AZ403:AZ418" si="3104">E403</f>
        <v>-15400</v>
      </c>
      <c r="BA403" s="19">
        <f t="shared" ref="BA403:BA418" si="3105">G403</f>
        <v>-14700</v>
      </c>
      <c r="BB403" s="19">
        <f t="shared" ref="BB403:BB418" si="3106">I403</f>
        <v>-10000</v>
      </c>
      <c r="BC403" s="19">
        <f t="shared" ref="BC403:BC418" si="3107">K403</f>
        <v>-13600</v>
      </c>
      <c r="BD403" s="19">
        <f t="shared" ref="BD403:BD418" si="3108">M403</f>
        <v>-17900</v>
      </c>
      <c r="BE403" s="19">
        <f t="shared" ref="BE403:BE418" si="3109">O403</f>
        <v>-19300</v>
      </c>
      <c r="BF403" s="19">
        <f t="shared" ref="BF403:BF418" si="3110">Q403</f>
        <v>-16600</v>
      </c>
      <c r="BG403" s="19">
        <f t="shared" ref="BG403:BG418" si="3111">S403</f>
        <v>-14600</v>
      </c>
      <c r="BH403" s="19">
        <f t="shared" ref="BH403:BH418" si="3112">U403</f>
        <v>-16700</v>
      </c>
      <c r="BI403" s="19">
        <f t="shared" ref="BI403:BI418" si="3113">W403</f>
        <v>-16600</v>
      </c>
      <c r="BJ403" s="19">
        <f t="shared" ref="BJ403:BJ418" si="3114">Y403</f>
        <v>-17700</v>
      </c>
      <c r="BK403" s="19">
        <f t="shared" ref="BK403:BK418" si="3115">AA403</f>
        <v>-15900</v>
      </c>
      <c r="BL403" s="19">
        <f t="shared" ref="BL403:BL418" si="3116">AC403</f>
        <v>-20700</v>
      </c>
      <c r="BM403" s="19">
        <f t="shared" ref="BM403:BM418" si="3117">AE403</f>
        <v>-14800</v>
      </c>
      <c r="BN403" s="19">
        <f t="shared" ref="BN403:BN418" si="3118">AG403</f>
        <v>-10200</v>
      </c>
      <c r="BO403" s="20">
        <f t="shared" ref="BO403:BO418" si="3119">AI403</f>
        <v>-29000</v>
      </c>
      <c r="BP403" s="19">
        <f t="shared" ref="BP403:BP418" si="3120">AK403</f>
        <v>-40643.658482142862</v>
      </c>
      <c r="BQ403" s="19">
        <f t="shared" ref="BQ403:BQ418" si="3121">AM403</f>
        <v>-43627.144382049999</v>
      </c>
      <c r="BR403" s="19">
        <f t="shared" ref="BR403:BR418" si="3122">AO403</f>
        <v>-45999.900678890364</v>
      </c>
      <c r="BS403" s="19">
        <f t="shared" ref="BS403:BS418" si="3123">AQ403</f>
        <v>-48128.994334243864</v>
      </c>
      <c r="BT403" s="19">
        <f t="shared" ref="BT403:BT418" si="3124">AS403</f>
        <v>-50298.271698238183</v>
      </c>
    </row>
    <row r="404" spans="1:72" ht="12" customHeight="1" outlineLevel="1">
      <c r="B404" s="1" t="s">
        <v>1779</v>
      </c>
      <c r="C404" s="19"/>
      <c r="D404" s="21">
        <v>-20600</v>
      </c>
      <c r="E404" s="21">
        <v>-21200</v>
      </c>
      <c r="F404" s="21">
        <v>-21800</v>
      </c>
      <c r="G404" s="21">
        <v>-20500</v>
      </c>
      <c r="H404" s="21">
        <v>-32000</v>
      </c>
      <c r="I404" s="21">
        <v>-20500</v>
      </c>
      <c r="J404" s="21">
        <v>-20400</v>
      </c>
      <c r="K404" s="21">
        <v>-14400</v>
      </c>
      <c r="L404" s="21">
        <v>-13900</v>
      </c>
      <c r="M404" s="21">
        <v>-11600</v>
      </c>
      <c r="N404" s="21">
        <v>-14300</v>
      </c>
      <c r="O404" s="21">
        <v>-17900</v>
      </c>
      <c r="P404" s="21">
        <v>-19800</v>
      </c>
      <c r="Q404" s="21">
        <v>-14400</v>
      </c>
      <c r="R404" s="21">
        <v>-12500</v>
      </c>
      <c r="S404" s="21">
        <v>-10700</v>
      </c>
      <c r="T404" s="21">
        <v>-10400</v>
      </c>
      <c r="U404" s="21">
        <v>-11800</v>
      </c>
      <c r="V404" s="21">
        <v>-18000</v>
      </c>
      <c r="W404" s="21">
        <v>-12500</v>
      </c>
      <c r="X404" s="21">
        <v>-14300</v>
      </c>
      <c r="Y404" s="21">
        <v>-38000</v>
      </c>
      <c r="Z404" s="21">
        <v>-16400</v>
      </c>
      <c r="AA404" s="21">
        <v>-17400</v>
      </c>
      <c r="AB404" s="21">
        <v>-78000</v>
      </c>
      <c r="AC404" s="21">
        <v>-84500</v>
      </c>
      <c r="AD404" s="21">
        <v>-111700</v>
      </c>
      <c r="AE404" s="21">
        <v>-32800</v>
      </c>
      <c r="AF404" s="21">
        <v>-29500</v>
      </c>
      <c r="AG404" s="21">
        <v>-25600</v>
      </c>
      <c r="AH404" s="21">
        <v>-22400</v>
      </c>
      <c r="AI404" s="21">
        <v>-23400</v>
      </c>
      <c r="AJ404" s="24">
        <v>-23500</v>
      </c>
      <c r="AK404" s="19">
        <f t="shared" ref="AK404" si="3125">AJ404*AK$419/AJ$419</f>
        <v>-25006.017330096351</v>
      </c>
      <c r="AL404" s="19">
        <f t="shared" ref="AL404" si="3126">AK404*AL$419/AK$419</f>
        <v>-26474.225519682339</v>
      </c>
      <c r="AM404" s="19">
        <f t="shared" ref="AM404" si="3127">AL404*AM$419/AL$419</f>
        <v>-27901.098336987176</v>
      </c>
      <c r="AN404" s="19">
        <f t="shared" ref="AN404" si="3128">AM404*AN$419/AM$419</f>
        <v>-29104.502537307129</v>
      </c>
      <c r="AO404" s="19">
        <f t="shared" ref="AO404" si="3129">AN404*AO$419/AN$419</f>
        <v>-30257.493319490848</v>
      </c>
      <c r="AP404" s="19">
        <f t="shared" ref="AP404" si="3130">AO404*AP$419/AO$419</f>
        <v>-31346.436461485027</v>
      </c>
      <c r="AQ404" s="19">
        <f t="shared" ref="AQ404" si="3131">AP404*AQ$419/AP$419</f>
        <v>-32447.831545726785</v>
      </c>
      <c r="AR404" s="19">
        <f t="shared" ref="AR404" si="3132">AQ404*AR$419/AQ$419</f>
        <v>-33562.404089393458</v>
      </c>
      <c r="AS404" s="19">
        <f t="shared" ref="AS404" si="3133">AR404*AS$419/AR$419</f>
        <v>-34727.059389825896</v>
      </c>
      <c r="AT404" s="19"/>
      <c r="AU404" s="21"/>
      <c r="AV404" s="21"/>
      <c r="AW404" s="21"/>
      <c r="AX404" s="21">
        <v>-18600</v>
      </c>
      <c r="AY404" s="21">
        <v>-26100</v>
      </c>
      <c r="AZ404" s="19">
        <f t="shared" si="3104"/>
        <v>-21200</v>
      </c>
      <c r="BA404" s="19">
        <f t="shared" si="3105"/>
        <v>-20500</v>
      </c>
      <c r="BB404" s="19">
        <f t="shared" si="3106"/>
        <v>-20500</v>
      </c>
      <c r="BC404" s="19">
        <f t="shared" si="3107"/>
        <v>-14400</v>
      </c>
      <c r="BD404" s="19">
        <f t="shared" si="3108"/>
        <v>-11600</v>
      </c>
      <c r="BE404" s="19">
        <f t="shared" si="3109"/>
        <v>-17900</v>
      </c>
      <c r="BF404" s="19">
        <f t="shared" si="3110"/>
        <v>-14400</v>
      </c>
      <c r="BG404" s="19">
        <f t="shared" si="3111"/>
        <v>-10700</v>
      </c>
      <c r="BH404" s="19">
        <f t="shared" si="3112"/>
        <v>-11800</v>
      </c>
      <c r="BI404" s="19">
        <f t="shared" si="3113"/>
        <v>-12500</v>
      </c>
      <c r="BJ404" s="19">
        <f t="shared" si="3114"/>
        <v>-38000</v>
      </c>
      <c r="BK404" s="19">
        <f t="shared" si="3115"/>
        <v>-17400</v>
      </c>
      <c r="BL404" s="19">
        <f t="shared" si="3116"/>
        <v>-84500</v>
      </c>
      <c r="BM404" s="19">
        <f t="shared" si="3117"/>
        <v>-32800</v>
      </c>
      <c r="BN404" s="19">
        <f t="shared" si="3118"/>
        <v>-25600</v>
      </c>
      <c r="BO404" s="20">
        <f t="shared" si="3119"/>
        <v>-23400</v>
      </c>
      <c r="BP404" s="19">
        <f t="shared" si="3120"/>
        <v>-25006.017330096351</v>
      </c>
      <c r="BQ404" s="19">
        <f t="shared" si="3121"/>
        <v>-27901.098336987176</v>
      </c>
      <c r="BR404" s="19">
        <f t="shared" si="3122"/>
        <v>-30257.493319490848</v>
      </c>
      <c r="BS404" s="19">
        <f t="shared" si="3123"/>
        <v>-32447.831545726785</v>
      </c>
      <c r="BT404" s="19">
        <f t="shared" si="3124"/>
        <v>-34727.059389825896</v>
      </c>
    </row>
    <row r="405" spans="1:72" ht="12" customHeight="1" outlineLevel="1">
      <c r="B405" s="1" t="s">
        <v>1780</v>
      </c>
      <c r="C405" s="19"/>
      <c r="D405" s="21">
        <v>-8000</v>
      </c>
      <c r="E405" s="21">
        <v>-7300</v>
      </c>
      <c r="F405" s="21">
        <v>-8300</v>
      </c>
      <c r="G405" s="21">
        <v>-8100</v>
      </c>
      <c r="H405" s="21">
        <v>-7800</v>
      </c>
      <c r="I405" s="21">
        <v>-9000</v>
      </c>
      <c r="J405" s="21">
        <v>-9800</v>
      </c>
      <c r="K405" s="21">
        <v>-5400</v>
      </c>
      <c r="L405" s="21">
        <v>0</v>
      </c>
      <c r="M405" s="21">
        <v>-5700</v>
      </c>
      <c r="N405" s="62">
        <v>-5600</v>
      </c>
      <c r="O405" s="62">
        <v>-7500</v>
      </c>
      <c r="P405" s="62">
        <v>-8500</v>
      </c>
      <c r="Q405" s="62">
        <v>-8400</v>
      </c>
      <c r="R405" s="62">
        <v>-9400</v>
      </c>
      <c r="S405" s="62">
        <v>-9600</v>
      </c>
      <c r="T405" s="62">
        <v>-9000</v>
      </c>
      <c r="U405" s="62">
        <v>-9800</v>
      </c>
      <c r="V405" s="62">
        <v>-10500</v>
      </c>
      <c r="W405" s="62">
        <f>-4600-200</f>
        <v>-4800</v>
      </c>
      <c r="X405" s="62">
        <v>-11100</v>
      </c>
      <c r="Y405" s="62">
        <f>-7000-300</f>
        <v>-7300</v>
      </c>
      <c r="Z405" s="62">
        <f>-7400-300</f>
        <v>-7700</v>
      </c>
      <c r="AA405" s="62">
        <f>-7700-300</f>
        <v>-8000</v>
      </c>
      <c r="AB405" s="62">
        <f>-9100-300</f>
        <v>-9400</v>
      </c>
      <c r="AC405" s="21">
        <f>-7400-200</f>
        <v>-7600</v>
      </c>
      <c r="AD405" s="21">
        <f>-12400-300</f>
        <v>-12700</v>
      </c>
      <c r="AE405" s="21">
        <f>-8700-1000</f>
        <v>-9700</v>
      </c>
      <c r="AF405" s="21">
        <f>-8300-500</f>
        <v>-8800</v>
      </c>
      <c r="AG405" s="21">
        <f>-12000-500</f>
        <v>-12500</v>
      </c>
      <c r="AH405" s="21">
        <f>-10600-500</f>
        <v>-11100</v>
      </c>
      <c r="AI405" s="21">
        <f>-10600</f>
        <v>-10600</v>
      </c>
      <c r="AJ405" s="24">
        <v>-9200</v>
      </c>
      <c r="AK405" s="58">
        <f t="shared" ref="AK405" si="3134">AJ405</f>
        <v>-9200</v>
      </c>
      <c r="AL405" s="58">
        <f t="shared" ref="AL405" si="3135">AK405</f>
        <v>-9200</v>
      </c>
      <c r="AM405" s="58">
        <f t="shared" ref="AM405" si="3136">AL405</f>
        <v>-9200</v>
      </c>
      <c r="AN405" s="58">
        <f t="shared" ref="AN405" si="3137">AM405</f>
        <v>-9200</v>
      </c>
      <c r="AO405" s="58">
        <f t="shared" ref="AO405" si="3138">AN405</f>
        <v>-9200</v>
      </c>
      <c r="AP405" s="58">
        <f t="shared" ref="AP405" si="3139">AO405</f>
        <v>-9200</v>
      </c>
      <c r="AQ405" s="58">
        <f t="shared" ref="AQ405" si="3140">AP405</f>
        <v>-9200</v>
      </c>
      <c r="AR405" s="58">
        <f t="shared" ref="AR405" si="3141">AQ405</f>
        <v>-9200</v>
      </c>
      <c r="AS405" s="58">
        <f t="shared" ref="AS405" si="3142">AR405</f>
        <v>-9200</v>
      </c>
      <c r="AT405" s="19"/>
      <c r="AU405" s="21"/>
      <c r="AV405" s="21"/>
      <c r="AW405" s="21"/>
      <c r="AX405" s="21">
        <v>-8300</v>
      </c>
      <c r="AY405" s="21">
        <v>-6900</v>
      </c>
      <c r="AZ405" s="19">
        <f t="shared" si="3104"/>
        <v>-7300</v>
      </c>
      <c r="BA405" s="19">
        <f t="shared" si="3105"/>
        <v>-8100</v>
      </c>
      <c r="BB405" s="19">
        <f t="shared" si="3106"/>
        <v>-9000</v>
      </c>
      <c r="BC405" s="19">
        <f t="shared" si="3107"/>
        <v>-5400</v>
      </c>
      <c r="BD405" s="19">
        <f t="shared" si="3108"/>
        <v>-5700</v>
      </c>
      <c r="BE405" s="19">
        <f t="shared" si="3109"/>
        <v>-7500</v>
      </c>
      <c r="BF405" s="19">
        <f t="shared" si="3110"/>
        <v>-8400</v>
      </c>
      <c r="BG405" s="19">
        <f t="shared" si="3111"/>
        <v>-9600</v>
      </c>
      <c r="BH405" s="19">
        <f t="shared" si="3112"/>
        <v>-9800</v>
      </c>
      <c r="BI405" s="19">
        <f t="shared" si="3113"/>
        <v>-4800</v>
      </c>
      <c r="BJ405" s="19">
        <f t="shared" si="3114"/>
        <v>-7300</v>
      </c>
      <c r="BK405" s="19">
        <f t="shared" si="3115"/>
        <v>-8000</v>
      </c>
      <c r="BL405" s="19">
        <f t="shared" si="3116"/>
        <v>-7600</v>
      </c>
      <c r="BM405" s="19">
        <f t="shared" si="3117"/>
        <v>-9700</v>
      </c>
      <c r="BN405" s="19">
        <f t="shared" si="3118"/>
        <v>-12500</v>
      </c>
      <c r="BO405" s="20">
        <f t="shared" si="3119"/>
        <v>-10600</v>
      </c>
      <c r="BP405" s="19">
        <f t="shared" si="3120"/>
        <v>-9200</v>
      </c>
      <c r="BQ405" s="19">
        <f t="shared" si="3121"/>
        <v>-9200</v>
      </c>
      <c r="BR405" s="19">
        <f t="shared" si="3122"/>
        <v>-9200</v>
      </c>
      <c r="BS405" s="19">
        <f t="shared" si="3123"/>
        <v>-9200</v>
      </c>
      <c r="BT405" s="19">
        <f t="shared" si="3124"/>
        <v>-9200</v>
      </c>
    </row>
    <row r="406" spans="1:72" ht="12" customHeight="1" outlineLevel="1">
      <c r="B406" s="1" t="s">
        <v>438</v>
      </c>
      <c r="C406" s="19"/>
      <c r="D406" s="21">
        <v>-7500</v>
      </c>
      <c r="E406" s="21">
        <v>-5700</v>
      </c>
      <c r="F406" s="21">
        <v>-7400</v>
      </c>
      <c r="G406" s="21">
        <v>-6300</v>
      </c>
      <c r="H406" s="21">
        <v>-8800</v>
      </c>
      <c r="I406" s="21">
        <v>-9200</v>
      </c>
      <c r="J406" s="21">
        <v>-7400</v>
      </c>
      <c r="K406" s="21">
        <v>-7700</v>
      </c>
      <c r="L406" s="21">
        <v>-7000</v>
      </c>
      <c r="M406" s="21">
        <v>-7200</v>
      </c>
      <c r="N406" s="21">
        <v>-7100</v>
      </c>
      <c r="O406" s="21">
        <v>-7700</v>
      </c>
      <c r="P406" s="21">
        <v>-8800</v>
      </c>
      <c r="Q406" s="21">
        <v>-5800</v>
      </c>
      <c r="R406" s="21">
        <v>-7000</v>
      </c>
      <c r="S406" s="21">
        <v>-6600</v>
      </c>
      <c r="T406" s="21">
        <v>-7500</v>
      </c>
      <c r="U406" s="21">
        <v>-7000</v>
      </c>
      <c r="V406" s="21">
        <v>-9300</v>
      </c>
      <c r="W406" s="21">
        <v>-7400</v>
      </c>
      <c r="X406" s="21">
        <v>-8200</v>
      </c>
      <c r="Y406" s="21">
        <v>-6800</v>
      </c>
      <c r="Z406" s="21">
        <v>-5600</v>
      </c>
      <c r="AA406" s="21">
        <v>-7500</v>
      </c>
      <c r="AB406" s="21">
        <v>-7400</v>
      </c>
      <c r="AC406" s="21">
        <v>-5800</v>
      </c>
      <c r="AD406" s="21">
        <v>-5600</v>
      </c>
      <c r="AE406" s="21">
        <v>-6400</v>
      </c>
      <c r="AF406" s="21">
        <v>-6500</v>
      </c>
      <c r="AG406" s="21">
        <v>-6300</v>
      </c>
      <c r="AH406" s="21">
        <v>-11600</v>
      </c>
      <c r="AI406" s="21">
        <v>0</v>
      </c>
      <c r="AJ406" s="24">
        <v>0</v>
      </c>
      <c r="AK406" s="19">
        <f t="shared" ref="AK406:AK408" si="3143">AJ406*AK$419/AJ$419</f>
        <v>0</v>
      </c>
      <c r="AL406" s="19">
        <f t="shared" ref="AL406:AL408" si="3144">AK406*AL$419/AK$419</f>
        <v>0</v>
      </c>
      <c r="AM406" s="19">
        <f t="shared" ref="AM406:AM408" si="3145">AL406*AM$419/AL$419</f>
        <v>0</v>
      </c>
      <c r="AN406" s="19">
        <f t="shared" ref="AN406:AN408" si="3146">AM406*AN$419/AM$419</f>
        <v>0</v>
      </c>
      <c r="AO406" s="19">
        <f t="shared" ref="AO406:AO408" si="3147">AN406*AO$419/AN$419</f>
        <v>0</v>
      </c>
      <c r="AP406" s="19">
        <f t="shared" ref="AP406:AP408" si="3148">AO406*AP$419/AO$419</f>
        <v>0</v>
      </c>
      <c r="AQ406" s="19">
        <f t="shared" ref="AQ406:AQ408" si="3149">AP406*AQ$419/AP$419</f>
        <v>0</v>
      </c>
      <c r="AR406" s="19">
        <f t="shared" ref="AR406:AR408" si="3150">AQ406*AR$419/AQ$419</f>
        <v>0</v>
      </c>
      <c r="AS406" s="19">
        <f t="shared" ref="AS406:AS408" si="3151">AR406*AS$419/AR$419</f>
        <v>0</v>
      </c>
      <c r="AT406" s="19"/>
      <c r="AU406" s="21"/>
      <c r="AV406" s="21"/>
      <c r="AW406" s="21"/>
      <c r="AX406" s="21">
        <v>-5800</v>
      </c>
      <c r="AY406" s="21">
        <v>-5500</v>
      </c>
      <c r="AZ406" s="19">
        <f t="shared" si="3104"/>
        <v>-5700</v>
      </c>
      <c r="BA406" s="19">
        <f t="shared" si="3105"/>
        <v>-6300</v>
      </c>
      <c r="BB406" s="19">
        <f t="shared" si="3106"/>
        <v>-9200</v>
      </c>
      <c r="BC406" s="19">
        <f t="shared" si="3107"/>
        <v>-7700</v>
      </c>
      <c r="BD406" s="19">
        <f t="shared" si="3108"/>
        <v>-7200</v>
      </c>
      <c r="BE406" s="19">
        <f t="shared" si="3109"/>
        <v>-7700</v>
      </c>
      <c r="BF406" s="19">
        <f t="shared" si="3110"/>
        <v>-5800</v>
      </c>
      <c r="BG406" s="19">
        <f t="shared" si="3111"/>
        <v>-6600</v>
      </c>
      <c r="BH406" s="19">
        <f t="shared" si="3112"/>
        <v>-7000</v>
      </c>
      <c r="BI406" s="19">
        <f t="shared" si="3113"/>
        <v>-7400</v>
      </c>
      <c r="BJ406" s="19">
        <f t="shared" si="3114"/>
        <v>-6800</v>
      </c>
      <c r="BK406" s="19">
        <f t="shared" si="3115"/>
        <v>-7500</v>
      </c>
      <c r="BL406" s="19">
        <f t="shared" si="3116"/>
        <v>-5800</v>
      </c>
      <c r="BM406" s="19">
        <f t="shared" si="3117"/>
        <v>-6400</v>
      </c>
      <c r="BN406" s="19">
        <f t="shared" si="3118"/>
        <v>-6300</v>
      </c>
      <c r="BO406" s="20">
        <f t="shared" si="3119"/>
        <v>0</v>
      </c>
      <c r="BP406" s="19">
        <f t="shared" si="3120"/>
        <v>0</v>
      </c>
      <c r="BQ406" s="19">
        <f t="shared" si="3121"/>
        <v>0</v>
      </c>
      <c r="BR406" s="19">
        <f t="shared" si="3122"/>
        <v>0</v>
      </c>
      <c r="BS406" s="19">
        <f t="shared" si="3123"/>
        <v>0</v>
      </c>
      <c r="BT406" s="19">
        <f t="shared" si="3124"/>
        <v>0</v>
      </c>
    </row>
    <row r="407" spans="1:72" ht="12" customHeight="1" outlineLevel="1">
      <c r="B407" s="1" t="s">
        <v>439</v>
      </c>
      <c r="C407" s="19"/>
      <c r="D407" s="21">
        <v>-5800</v>
      </c>
      <c r="E407" s="21">
        <v>-6600</v>
      </c>
      <c r="F407" s="21">
        <v>-6000</v>
      </c>
      <c r="G407" s="21">
        <v>-7600</v>
      </c>
      <c r="H407" s="21">
        <v>-6500</v>
      </c>
      <c r="I407" s="21">
        <v>-5700</v>
      </c>
      <c r="J407" s="21">
        <v>-4900</v>
      </c>
      <c r="K407" s="21">
        <v>-5200</v>
      </c>
      <c r="L407" s="21">
        <v>-5300</v>
      </c>
      <c r="M407" s="21">
        <v>-5500</v>
      </c>
      <c r="N407" s="21">
        <v>-5700</v>
      </c>
      <c r="O407" s="21">
        <v>-6200</v>
      </c>
      <c r="P407" s="21">
        <v>-5800</v>
      </c>
      <c r="Q407" s="21">
        <v>-5600</v>
      </c>
      <c r="R407" s="21">
        <v>-7000</v>
      </c>
      <c r="S407" s="21">
        <v>-5800</v>
      </c>
      <c r="T407" s="21">
        <v>-6200</v>
      </c>
      <c r="U407" s="21">
        <v>-6800</v>
      </c>
      <c r="V407" s="21">
        <v>-7500</v>
      </c>
      <c r="W407" s="21">
        <v>-8800</v>
      </c>
      <c r="X407" s="21">
        <v>-9700</v>
      </c>
      <c r="Y407" s="21">
        <v>-8400</v>
      </c>
      <c r="Z407" s="21">
        <v>-7700</v>
      </c>
      <c r="AA407" s="21">
        <v>-9100</v>
      </c>
      <c r="AB407" s="21">
        <v>-10800</v>
      </c>
      <c r="AC407" s="21">
        <v>-13400</v>
      </c>
      <c r="AD407" s="21">
        <v>-15500</v>
      </c>
      <c r="AE407" s="21">
        <v>-13900</v>
      </c>
      <c r="AF407" s="21">
        <v>-16600</v>
      </c>
      <c r="AG407" s="21">
        <v>-17400</v>
      </c>
      <c r="AH407" s="21">
        <v>-16300</v>
      </c>
      <c r="AI407" s="21">
        <v>-14100</v>
      </c>
      <c r="AJ407" s="24">
        <v>-11200</v>
      </c>
      <c r="AK407" s="19">
        <f t="shared" si="3143"/>
        <v>-11917.761450939537</v>
      </c>
      <c r="AL407" s="19">
        <f t="shared" si="3144"/>
        <v>-12617.503226401797</v>
      </c>
      <c r="AM407" s="19">
        <f t="shared" si="3145"/>
        <v>-13297.54473933006</v>
      </c>
      <c r="AN407" s="19">
        <f t="shared" si="3146"/>
        <v>-13871.082060333612</v>
      </c>
      <c r="AO407" s="19">
        <f t="shared" si="3147"/>
        <v>-14420.592560778619</v>
      </c>
      <c r="AP407" s="19">
        <f t="shared" si="3148"/>
        <v>-14939.578228452443</v>
      </c>
      <c r="AQ407" s="19">
        <f t="shared" si="3149"/>
        <v>-15464.498438814469</v>
      </c>
      <c r="AR407" s="19">
        <f t="shared" si="3150"/>
        <v>-15995.698970264119</v>
      </c>
      <c r="AS407" s="19">
        <f t="shared" si="3151"/>
        <v>-16550.768730470219</v>
      </c>
      <c r="AT407" s="19"/>
      <c r="AU407" s="21"/>
      <c r="AV407" s="21"/>
      <c r="AW407" s="21"/>
      <c r="AX407" s="21">
        <v>-6700</v>
      </c>
      <c r="AY407" s="21">
        <v>-5100</v>
      </c>
      <c r="AZ407" s="19">
        <f t="shared" si="3104"/>
        <v>-6600</v>
      </c>
      <c r="BA407" s="19">
        <f t="shared" si="3105"/>
        <v>-7600</v>
      </c>
      <c r="BB407" s="19">
        <f t="shared" si="3106"/>
        <v>-5700</v>
      </c>
      <c r="BC407" s="19">
        <f t="shared" si="3107"/>
        <v>-5200</v>
      </c>
      <c r="BD407" s="19">
        <f t="shared" si="3108"/>
        <v>-5500</v>
      </c>
      <c r="BE407" s="19">
        <f t="shared" si="3109"/>
        <v>-6200</v>
      </c>
      <c r="BF407" s="19">
        <f t="shared" si="3110"/>
        <v>-5600</v>
      </c>
      <c r="BG407" s="19">
        <f t="shared" si="3111"/>
        <v>-5800</v>
      </c>
      <c r="BH407" s="19">
        <f t="shared" si="3112"/>
        <v>-6800</v>
      </c>
      <c r="BI407" s="19">
        <f t="shared" si="3113"/>
        <v>-8800</v>
      </c>
      <c r="BJ407" s="19">
        <f t="shared" si="3114"/>
        <v>-8400</v>
      </c>
      <c r="BK407" s="19">
        <f t="shared" si="3115"/>
        <v>-9100</v>
      </c>
      <c r="BL407" s="19">
        <f t="shared" si="3116"/>
        <v>-13400</v>
      </c>
      <c r="BM407" s="19">
        <f t="shared" si="3117"/>
        <v>-13900</v>
      </c>
      <c r="BN407" s="19">
        <f t="shared" si="3118"/>
        <v>-17400</v>
      </c>
      <c r="BO407" s="20">
        <f t="shared" si="3119"/>
        <v>-14100</v>
      </c>
      <c r="BP407" s="19">
        <f t="shared" si="3120"/>
        <v>-11917.761450939537</v>
      </c>
      <c r="BQ407" s="19">
        <f t="shared" si="3121"/>
        <v>-13297.54473933006</v>
      </c>
      <c r="BR407" s="19">
        <f t="shared" si="3122"/>
        <v>-14420.592560778619</v>
      </c>
      <c r="BS407" s="19">
        <f t="shared" si="3123"/>
        <v>-15464.498438814469</v>
      </c>
      <c r="BT407" s="19">
        <f t="shared" si="3124"/>
        <v>-16550.768730470219</v>
      </c>
    </row>
    <row r="408" spans="1:72" ht="12" customHeight="1" outlineLevel="1">
      <c r="B408" s="1" t="s">
        <v>440</v>
      </c>
      <c r="C408" s="19"/>
      <c r="D408" s="19">
        <f t="shared" ref="D408:J408" si="3152">D419-SUM(D402:D407,D409:D418)</f>
        <v>-16031</v>
      </c>
      <c r="E408" s="19">
        <f t="shared" si="3152"/>
        <v>-13640</v>
      </c>
      <c r="F408" s="19">
        <f t="shared" si="3152"/>
        <v>-11760</v>
      </c>
      <c r="G408" s="19">
        <f t="shared" si="3152"/>
        <v>-12068</v>
      </c>
      <c r="H408" s="19">
        <f t="shared" si="3152"/>
        <v>-12988</v>
      </c>
      <c r="I408" s="19">
        <f t="shared" si="3152"/>
        <v>-13026</v>
      </c>
      <c r="J408" s="19">
        <f t="shared" si="3152"/>
        <v>-7380</v>
      </c>
      <c r="K408" s="19">
        <f>K419-SUM(K402:K407,K409:K418)</f>
        <v>-10848</v>
      </c>
      <c r="L408" s="19">
        <f t="shared" ref="L408:M408" si="3153">L419-SUM(L402:L407,L409:L418)</f>
        <v>-17900</v>
      </c>
      <c r="M408" s="19">
        <f t="shared" si="3153"/>
        <v>-13404</v>
      </c>
      <c r="N408" s="19">
        <f t="shared" ref="N408:O408" si="3154">N419-SUM(N402:N407,N409:N418)</f>
        <v>-15532</v>
      </c>
      <c r="O408" s="19">
        <f t="shared" si="3154"/>
        <v>-16176</v>
      </c>
      <c r="P408" s="19">
        <f t="shared" ref="P408:Q408" si="3155">P419-SUM(P402:P407,P409:P418)</f>
        <v>-16590</v>
      </c>
      <c r="Q408" s="19">
        <f t="shared" si="3155"/>
        <v>-15155</v>
      </c>
      <c r="R408" s="19">
        <f t="shared" ref="R408:S408" si="3156">R419-SUM(R402:R407,R409:R418)</f>
        <v>-13693</v>
      </c>
      <c r="S408" s="19">
        <f t="shared" si="3156"/>
        <v>-14777</v>
      </c>
      <c r="T408" s="19">
        <f t="shared" ref="T408:U408" si="3157">T419-SUM(T402:T407,T409:T418)</f>
        <v>-12660</v>
      </c>
      <c r="U408" s="19">
        <f t="shared" si="3157"/>
        <v>-10425</v>
      </c>
      <c r="V408" s="19">
        <f t="shared" ref="V408:W408" si="3158">V419-SUM(V402:V407,V409:V418)</f>
        <v>-7698</v>
      </c>
      <c r="W408" s="19">
        <f t="shared" si="3158"/>
        <v>-7157</v>
      </c>
      <c r="X408" s="19">
        <f t="shared" ref="X408:Y408" si="3159">X419-SUM(X402:X407,X409:X418)</f>
        <v>-10695</v>
      </c>
      <c r="Y408" s="19">
        <f t="shared" si="3159"/>
        <v>-16002</v>
      </c>
      <c r="Z408" s="19">
        <f t="shared" ref="Z408:AA408" si="3160">Z419-SUM(Z402:Z407,Z409:Z418)</f>
        <v>-3735</v>
      </c>
      <c r="AA408" s="19">
        <f t="shared" si="3160"/>
        <v>-1353</v>
      </c>
      <c r="AB408" s="19">
        <f t="shared" ref="AB408:AC408" si="3161">AB419-SUM(AB402:AB407,AB409:AB418)</f>
        <v>-967</v>
      </c>
      <c r="AC408" s="19">
        <f t="shared" si="3161"/>
        <v>-1276</v>
      </c>
      <c r="AD408" s="19">
        <f t="shared" ref="AD408:AE408" si="3162">AD419-SUM(AD402:AD407,AD409:AD418)</f>
        <v>-1074</v>
      </c>
      <c r="AE408" s="19">
        <f t="shared" si="3162"/>
        <v>-1272</v>
      </c>
      <c r="AF408" s="19">
        <f t="shared" ref="AF408:AG408" si="3163">AF419-SUM(AF402:AF407,AF409:AF418)</f>
        <v>-1394</v>
      </c>
      <c r="AG408" s="19">
        <f t="shared" si="3163"/>
        <v>-1304</v>
      </c>
      <c r="AH408" s="19">
        <f t="shared" ref="AH408:AI408" si="3164">AH419-SUM(AH402:AH407,AH409:AH418)</f>
        <v>-1715</v>
      </c>
      <c r="AI408" s="19">
        <f t="shared" si="3164"/>
        <v>-21</v>
      </c>
      <c r="AJ408" s="20">
        <f t="shared" ref="AJ408" si="3165">AJ419-SUM(AJ402:AJ407,AJ409:AJ418)</f>
        <v>-16</v>
      </c>
      <c r="AK408" s="19">
        <f t="shared" si="3143"/>
        <v>-17.025373501342198</v>
      </c>
      <c r="AL408" s="19">
        <f t="shared" si="3144"/>
        <v>-18.025004609145427</v>
      </c>
      <c r="AM408" s="19">
        <f t="shared" si="3145"/>
        <v>-18.99649248475723</v>
      </c>
      <c r="AN408" s="19">
        <f t="shared" si="3146"/>
        <v>-19.815831514762305</v>
      </c>
      <c r="AO408" s="19">
        <f t="shared" si="3147"/>
        <v>-20.600846515398029</v>
      </c>
      <c r="AP408" s="19">
        <f t="shared" si="3148"/>
        <v>-21.342254612074921</v>
      </c>
      <c r="AQ408" s="19">
        <f t="shared" si="3149"/>
        <v>-22.092140626877821</v>
      </c>
      <c r="AR408" s="19">
        <f t="shared" si="3150"/>
        <v>-22.850998528948747</v>
      </c>
      <c r="AS408" s="19">
        <f t="shared" si="3151"/>
        <v>-23.643955329243173</v>
      </c>
      <c r="AT408" s="19"/>
      <c r="AU408" s="19">
        <f t="shared" ref="AU408:AW408" si="3166">AU419-SUM(AU402:AU407,AU409:AU418)</f>
        <v>-67980</v>
      </c>
      <c r="AV408" s="19">
        <f t="shared" si="3166"/>
        <v>-106211</v>
      </c>
      <c r="AW408" s="19">
        <f t="shared" si="3166"/>
        <v>-136389</v>
      </c>
      <c r="AX408" s="19">
        <f t="shared" ref="AX408" si="3167">AX419-SUM(AX402:AX407,AX409:AX418)</f>
        <v>-16450</v>
      </c>
      <c r="AY408" s="19">
        <f t="shared" ref="AY408" si="3168">AY419-SUM(AY402:AY407,AY409:AY418)</f>
        <v>-16644</v>
      </c>
      <c r="AZ408" s="19">
        <f t="shared" si="3104"/>
        <v>-13640</v>
      </c>
      <c r="BA408" s="19">
        <f t="shared" si="3105"/>
        <v>-12068</v>
      </c>
      <c r="BB408" s="19">
        <f t="shared" si="3106"/>
        <v>-13026</v>
      </c>
      <c r="BC408" s="19">
        <f t="shared" si="3107"/>
        <v>-10848</v>
      </c>
      <c r="BD408" s="19">
        <f t="shared" si="3108"/>
        <v>-13404</v>
      </c>
      <c r="BE408" s="19">
        <f t="shared" si="3109"/>
        <v>-16176</v>
      </c>
      <c r="BF408" s="19">
        <f t="shared" si="3110"/>
        <v>-15155</v>
      </c>
      <c r="BG408" s="19">
        <f t="shared" si="3111"/>
        <v>-14777</v>
      </c>
      <c r="BH408" s="19">
        <f t="shared" si="3112"/>
        <v>-10425</v>
      </c>
      <c r="BI408" s="19">
        <f t="shared" si="3113"/>
        <v>-7157</v>
      </c>
      <c r="BJ408" s="19">
        <f t="shared" si="3114"/>
        <v>-16002</v>
      </c>
      <c r="BK408" s="19">
        <f t="shared" si="3115"/>
        <v>-1353</v>
      </c>
      <c r="BL408" s="19">
        <f t="shared" si="3116"/>
        <v>-1276</v>
      </c>
      <c r="BM408" s="19">
        <f t="shared" si="3117"/>
        <v>-1272</v>
      </c>
      <c r="BN408" s="19">
        <f t="shared" si="3118"/>
        <v>-1304</v>
      </c>
      <c r="BO408" s="20">
        <f t="shared" si="3119"/>
        <v>-21</v>
      </c>
      <c r="BP408" s="19">
        <f t="shared" si="3120"/>
        <v>-17.025373501342198</v>
      </c>
      <c r="BQ408" s="19">
        <f t="shared" si="3121"/>
        <v>-18.99649248475723</v>
      </c>
      <c r="BR408" s="19">
        <f t="shared" si="3122"/>
        <v>-20.600846515398029</v>
      </c>
      <c r="BS408" s="19">
        <f t="shared" si="3123"/>
        <v>-22.092140626877821</v>
      </c>
      <c r="BT408" s="19">
        <f t="shared" si="3124"/>
        <v>-23.643955329243173</v>
      </c>
    </row>
    <row r="409" spans="1:72" ht="12" hidden="1" customHeight="1" outlineLevel="2">
      <c r="B409" s="1" t="s">
        <v>173</v>
      </c>
      <c r="D409" s="21"/>
      <c r="E409" s="21"/>
      <c r="F409" s="21"/>
      <c r="G409" s="21"/>
      <c r="H409" s="21"/>
      <c r="I409" s="21"/>
      <c r="J409" s="21"/>
      <c r="K409" s="21"/>
      <c r="L409" s="21"/>
      <c r="M409" s="21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20"/>
      <c r="AK409" s="19"/>
      <c r="AL409" s="19"/>
      <c r="AM409" s="19"/>
      <c r="AN409" s="19"/>
      <c r="AO409" s="19"/>
      <c r="AP409" s="19"/>
      <c r="AQ409" s="19"/>
      <c r="AR409" s="19"/>
      <c r="AS409" s="19"/>
      <c r="AU409" s="21"/>
      <c r="AV409" s="21"/>
      <c r="AW409" s="21"/>
      <c r="AX409" s="21"/>
      <c r="AY409" s="21"/>
      <c r="AZ409" s="19">
        <f t="shared" si="3104"/>
        <v>0</v>
      </c>
      <c r="BA409" s="19">
        <f t="shared" si="3105"/>
        <v>0</v>
      </c>
      <c r="BB409" s="19">
        <f t="shared" si="3106"/>
        <v>0</v>
      </c>
      <c r="BC409" s="19">
        <f t="shared" si="3107"/>
        <v>0</v>
      </c>
      <c r="BD409" s="19">
        <f t="shared" si="3108"/>
        <v>0</v>
      </c>
      <c r="BE409" s="19">
        <f t="shared" si="3109"/>
        <v>0</v>
      </c>
      <c r="BF409" s="19">
        <f t="shared" si="3110"/>
        <v>0</v>
      </c>
      <c r="BG409" s="19">
        <f t="shared" si="3111"/>
        <v>0</v>
      </c>
      <c r="BH409" s="19">
        <f t="shared" si="3112"/>
        <v>0</v>
      </c>
      <c r="BI409" s="19">
        <f t="shared" si="3113"/>
        <v>0</v>
      </c>
      <c r="BJ409" s="19">
        <f t="shared" si="3114"/>
        <v>0</v>
      </c>
      <c r="BK409" s="19">
        <f t="shared" si="3115"/>
        <v>0</v>
      </c>
      <c r="BL409" s="19">
        <f t="shared" si="3116"/>
        <v>0</v>
      </c>
      <c r="BM409" s="19">
        <f t="shared" si="3117"/>
        <v>0</v>
      </c>
      <c r="BN409" s="19">
        <f t="shared" si="3118"/>
        <v>0</v>
      </c>
      <c r="BO409" s="20">
        <f t="shared" si="3119"/>
        <v>0</v>
      </c>
      <c r="BP409" s="19">
        <f t="shared" si="3120"/>
        <v>0</v>
      </c>
      <c r="BQ409" s="19">
        <f t="shared" si="3121"/>
        <v>0</v>
      </c>
      <c r="BR409" s="19">
        <f t="shared" si="3122"/>
        <v>0</v>
      </c>
      <c r="BS409" s="19">
        <f t="shared" si="3123"/>
        <v>0</v>
      </c>
      <c r="BT409" s="19">
        <f t="shared" si="3124"/>
        <v>0</v>
      </c>
    </row>
    <row r="410" spans="1:72" ht="12" hidden="1" customHeight="1" outlineLevel="2">
      <c r="B410" s="1" t="s">
        <v>173</v>
      </c>
      <c r="D410" s="21"/>
      <c r="E410" s="21"/>
      <c r="F410" s="21"/>
      <c r="G410" s="21"/>
      <c r="H410" s="21"/>
      <c r="I410" s="21"/>
      <c r="J410" s="21"/>
      <c r="K410" s="21"/>
      <c r="L410" s="21"/>
      <c r="M410" s="21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20"/>
      <c r="AK410" s="19"/>
      <c r="AL410" s="19"/>
      <c r="AM410" s="19"/>
      <c r="AN410" s="19"/>
      <c r="AO410" s="19"/>
      <c r="AP410" s="19"/>
      <c r="AQ410" s="19"/>
      <c r="AR410" s="19"/>
      <c r="AS410" s="19"/>
      <c r="AU410" s="21"/>
      <c r="AV410" s="21"/>
      <c r="AW410" s="21"/>
      <c r="AX410" s="21"/>
      <c r="AY410" s="21"/>
      <c r="AZ410" s="19">
        <f t="shared" si="3104"/>
        <v>0</v>
      </c>
      <c r="BA410" s="19">
        <f t="shared" si="3105"/>
        <v>0</v>
      </c>
      <c r="BB410" s="19">
        <f t="shared" si="3106"/>
        <v>0</v>
      </c>
      <c r="BC410" s="19">
        <f t="shared" si="3107"/>
        <v>0</v>
      </c>
      <c r="BD410" s="19">
        <f t="shared" si="3108"/>
        <v>0</v>
      </c>
      <c r="BE410" s="19">
        <f t="shared" si="3109"/>
        <v>0</v>
      </c>
      <c r="BF410" s="19">
        <f t="shared" si="3110"/>
        <v>0</v>
      </c>
      <c r="BG410" s="19">
        <f t="shared" si="3111"/>
        <v>0</v>
      </c>
      <c r="BH410" s="19">
        <f t="shared" si="3112"/>
        <v>0</v>
      </c>
      <c r="BI410" s="19">
        <f t="shared" si="3113"/>
        <v>0</v>
      </c>
      <c r="BJ410" s="19">
        <f t="shared" si="3114"/>
        <v>0</v>
      </c>
      <c r="BK410" s="19">
        <f t="shared" si="3115"/>
        <v>0</v>
      </c>
      <c r="BL410" s="19">
        <f t="shared" si="3116"/>
        <v>0</v>
      </c>
      <c r="BM410" s="19">
        <f t="shared" si="3117"/>
        <v>0</v>
      </c>
      <c r="BN410" s="19">
        <f t="shared" si="3118"/>
        <v>0</v>
      </c>
      <c r="BO410" s="20">
        <f t="shared" si="3119"/>
        <v>0</v>
      </c>
      <c r="BP410" s="19">
        <f t="shared" si="3120"/>
        <v>0</v>
      </c>
      <c r="BQ410" s="19">
        <f t="shared" si="3121"/>
        <v>0</v>
      </c>
      <c r="BR410" s="19">
        <f t="shared" si="3122"/>
        <v>0</v>
      </c>
      <c r="BS410" s="19">
        <f t="shared" si="3123"/>
        <v>0</v>
      </c>
      <c r="BT410" s="19">
        <f t="shared" si="3124"/>
        <v>0</v>
      </c>
    </row>
    <row r="411" spans="1:72" ht="12" hidden="1" customHeight="1" outlineLevel="2">
      <c r="B411" s="1" t="s">
        <v>173</v>
      </c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20"/>
      <c r="AK411" s="19"/>
      <c r="AL411" s="19"/>
      <c r="AM411" s="19"/>
      <c r="AN411" s="19"/>
      <c r="AO411" s="19"/>
      <c r="AP411" s="19"/>
      <c r="AQ411" s="19"/>
      <c r="AR411" s="19"/>
      <c r="AS411" s="19"/>
      <c r="AU411" s="21"/>
      <c r="AV411" s="21"/>
      <c r="AW411" s="21"/>
      <c r="AX411" s="21"/>
      <c r="AY411" s="21"/>
      <c r="AZ411" s="19">
        <f t="shared" si="3104"/>
        <v>0</v>
      </c>
      <c r="BA411" s="19">
        <f t="shared" si="3105"/>
        <v>0</v>
      </c>
      <c r="BB411" s="19">
        <f t="shared" si="3106"/>
        <v>0</v>
      </c>
      <c r="BC411" s="19">
        <f t="shared" si="3107"/>
        <v>0</v>
      </c>
      <c r="BD411" s="19">
        <f t="shared" si="3108"/>
        <v>0</v>
      </c>
      <c r="BE411" s="19">
        <f t="shared" si="3109"/>
        <v>0</v>
      </c>
      <c r="BF411" s="19">
        <f t="shared" si="3110"/>
        <v>0</v>
      </c>
      <c r="BG411" s="19">
        <f t="shared" si="3111"/>
        <v>0</v>
      </c>
      <c r="BH411" s="19">
        <f t="shared" si="3112"/>
        <v>0</v>
      </c>
      <c r="BI411" s="19">
        <f t="shared" si="3113"/>
        <v>0</v>
      </c>
      <c r="BJ411" s="19">
        <f t="shared" si="3114"/>
        <v>0</v>
      </c>
      <c r="BK411" s="19">
        <f t="shared" si="3115"/>
        <v>0</v>
      </c>
      <c r="BL411" s="19">
        <f t="shared" si="3116"/>
        <v>0</v>
      </c>
      <c r="BM411" s="19">
        <f t="shared" si="3117"/>
        <v>0</v>
      </c>
      <c r="BN411" s="19">
        <f t="shared" si="3118"/>
        <v>0</v>
      </c>
      <c r="BO411" s="20">
        <f t="shared" si="3119"/>
        <v>0</v>
      </c>
      <c r="BP411" s="19">
        <f t="shared" si="3120"/>
        <v>0</v>
      </c>
      <c r="BQ411" s="19">
        <f t="shared" si="3121"/>
        <v>0</v>
      </c>
      <c r="BR411" s="19">
        <f t="shared" si="3122"/>
        <v>0</v>
      </c>
      <c r="BS411" s="19">
        <f t="shared" si="3123"/>
        <v>0</v>
      </c>
      <c r="BT411" s="19">
        <f t="shared" si="3124"/>
        <v>0</v>
      </c>
    </row>
    <row r="412" spans="1:72" ht="12" hidden="1" customHeight="1" outlineLevel="2">
      <c r="B412" s="1" t="s">
        <v>173</v>
      </c>
      <c r="D412" s="21"/>
      <c r="E412" s="21"/>
      <c r="F412" s="21"/>
      <c r="G412" s="21"/>
      <c r="H412" s="21"/>
      <c r="I412" s="21"/>
      <c r="J412" s="21"/>
      <c r="K412" s="21"/>
      <c r="L412" s="21"/>
      <c r="M412" s="21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20"/>
      <c r="AK412" s="19"/>
      <c r="AL412" s="19"/>
      <c r="AM412" s="19"/>
      <c r="AN412" s="19"/>
      <c r="AO412" s="19"/>
      <c r="AP412" s="19"/>
      <c r="AQ412" s="19"/>
      <c r="AR412" s="19"/>
      <c r="AS412" s="19"/>
      <c r="AU412" s="21"/>
      <c r="AV412" s="21"/>
      <c r="AW412" s="21"/>
      <c r="AX412" s="21"/>
      <c r="AY412" s="21"/>
      <c r="AZ412" s="19">
        <f t="shared" si="3104"/>
        <v>0</v>
      </c>
      <c r="BA412" s="19">
        <f t="shared" si="3105"/>
        <v>0</v>
      </c>
      <c r="BB412" s="19">
        <f t="shared" si="3106"/>
        <v>0</v>
      </c>
      <c r="BC412" s="19">
        <f t="shared" si="3107"/>
        <v>0</v>
      </c>
      <c r="BD412" s="19">
        <f t="shared" si="3108"/>
        <v>0</v>
      </c>
      <c r="BE412" s="19">
        <f t="shared" si="3109"/>
        <v>0</v>
      </c>
      <c r="BF412" s="19">
        <f t="shared" si="3110"/>
        <v>0</v>
      </c>
      <c r="BG412" s="19">
        <f t="shared" si="3111"/>
        <v>0</v>
      </c>
      <c r="BH412" s="19">
        <f t="shared" si="3112"/>
        <v>0</v>
      </c>
      <c r="BI412" s="19">
        <f t="shared" si="3113"/>
        <v>0</v>
      </c>
      <c r="BJ412" s="19">
        <f t="shared" si="3114"/>
        <v>0</v>
      </c>
      <c r="BK412" s="19">
        <f t="shared" si="3115"/>
        <v>0</v>
      </c>
      <c r="BL412" s="19">
        <f t="shared" si="3116"/>
        <v>0</v>
      </c>
      <c r="BM412" s="19">
        <f t="shared" si="3117"/>
        <v>0</v>
      </c>
      <c r="BN412" s="19">
        <f t="shared" si="3118"/>
        <v>0</v>
      </c>
      <c r="BO412" s="20">
        <f t="shared" si="3119"/>
        <v>0</v>
      </c>
      <c r="BP412" s="19">
        <f t="shared" si="3120"/>
        <v>0</v>
      </c>
      <c r="BQ412" s="19">
        <f t="shared" si="3121"/>
        <v>0</v>
      </c>
      <c r="BR412" s="19">
        <f t="shared" si="3122"/>
        <v>0</v>
      </c>
      <c r="BS412" s="19">
        <f t="shared" si="3123"/>
        <v>0</v>
      </c>
      <c r="BT412" s="19">
        <f t="shared" si="3124"/>
        <v>0</v>
      </c>
    </row>
    <row r="413" spans="1:72" ht="12" hidden="1" customHeight="1" outlineLevel="2">
      <c r="B413" s="1" t="s">
        <v>173</v>
      </c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20"/>
      <c r="AK413" s="19"/>
      <c r="AL413" s="19"/>
      <c r="AM413" s="19"/>
      <c r="AN413" s="19"/>
      <c r="AO413" s="19"/>
      <c r="AP413" s="19"/>
      <c r="AQ413" s="19"/>
      <c r="AR413" s="19"/>
      <c r="AS413" s="19"/>
      <c r="AU413" s="21"/>
      <c r="AV413" s="21"/>
      <c r="AW413" s="21"/>
      <c r="AX413" s="21"/>
      <c r="AY413" s="21"/>
      <c r="AZ413" s="19">
        <f t="shared" si="3104"/>
        <v>0</v>
      </c>
      <c r="BA413" s="19">
        <f t="shared" si="3105"/>
        <v>0</v>
      </c>
      <c r="BB413" s="19">
        <f t="shared" si="3106"/>
        <v>0</v>
      </c>
      <c r="BC413" s="19">
        <f t="shared" si="3107"/>
        <v>0</v>
      </c>
      <c r="BD413" s="19">
        <f t="shared" si="3108"/>
        <v>0</v>
      </c>
      <c r="BE413" s="19">
        <f t="shared" si="3109"/>
        <v>0</v>
      </c>
      <c r="BF413" s="19">
        <f t="shared" si="3110"/>
        <v>0</v>
      </c>
      <c r="BG413" s="19">
        <f t="shared" si="3111"/>
        <v>0</v>
      </c>
      <c r="BH413" s="19">
        <f t="shared" si="3112"/>
        <v>0</v>
      </c>
      <c r="BI413" s="19">
        <f t="shared" si="3113"/>
        <v>0</v>
      </c>
      <c r="BJ413" s="19">
        <f t="shared" si="3114"/>
        <v>0</v>
      </c>
      <c r="BK413" s="19">
        <f t="shared" si="3115"/>
        <v>0</v>
      </c>
      <c r="BL413" s="19">
        <f t="shared" si="3116"/>
        <v>0</v>
      </c>
      <c r="BM413" s="19">
        <f t="shared" si="3117"/>
        <v>0</v>
      </c>
      <c r="BN413" s="19">
        <f t="shared" si="3118"/>
        <v>0</v>
      </c>
      <c r="BO413" s="20">
        <f t="shared" si="3119"/>
        <v>0</v>
      </c>
      <c r="BP413" s="19">
        <f t="shared" si="3120"/>
        <v>0</v>
      </c>
      <c r="BQ413" s="19">
        <f t="shared" si="3121"/>
        <v>0</v>
      </c>
      <c r="BR413" s="19">
        <f t="shared" si="3122"/>
        <v>0</v>
      </c>
      <c r="BS413" s="19">
        <f t="shared" si="3123"/>
        <v>0</v>
      </c>
      <c r="BT413" s="19">
        <f t="shared" si="3124"/>
        <v>0</v>
      </c>
    </row>
    <row r="414" spans="1:72" ht="12" hidden="1" customHeight="1" outlineLevel="2">
      <c r="B414" s="1" t="s">
        <v>173</v>
      </c>
      <c r="D414" s="21"/>
      <c r="E414" s="21"/>
      <c r="F414" s="21"/>
      <c r="G414" s="21"/>
      <c r="H414" s="21"/>
      <c r="I414" s="21"/>
      <c r="J414" s="21"/>
      <c r="K414" s="21"/>
      <c r="L414" s="21"/>
      <c r="M414" s="21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20"/>
      <c r="AK414" s="19"/>
      <c r="AL414" s="19"/>
      <c r="AM414" s="19"/>
      <c r="AN414" s="19"/>
      <c r="AO414" s="19"/>
      <c r="AP414" s="19"/>
      <c r="AQ414" s="19"/>
      <c r="AR414" s="19"/>
      <c r="AS414" s="19"/>
      <c r="AU414" s="21"/>
      <c r="AV414" s="21"/>
      <c r="AW414" s="21"/>
      <c r="AX414" s="21"/>
      <c r="AY414" s="21"/>
      <c r="AZ414" s="19">
        <f t="shared" si="3104"/>
        <v>0</v>
      </c>
      <c r="BA414" s="19">
        <f t="shared" si="3105"/>
        <v>0</v>
      </c>
      <c r="BB414" s="19">
        <f t="shared" si="3106"/>
        <v>0</v>
      </c>
      <c r="BC414" s="19">
        <f t="shared" si="3107"/>
        <v>0</v>
      </c>
      <c r="BD414" s="19">
        <f t="shared" si="3108"/>
        <v>0</v>
      </c>
      <c r="BE414" s="19">
        <f t="shared" si="3109"/>
        <v>0</v>
      </c>
      <c r="BF414" s="19">
        <f t="shared" si="3110"/>
        <v>0</v>
      </c>
      <c r="BG414" s="19">
        <f t="shared" si="3111"/>
        <v>0</v>
      </c>
      <c r="BH414" s="19">
        <f t="shared" si="3112"/>
        <v>0</v>
      </c>
      <c r="BI414" s="19">
        <f t="shared" si="3113"/>
        <v>0</v>
      </c>
      <c r="BJ414" s="19">
        <f t="shared" si="3114"/>
        <v>0</v>
      </c>
      <c r="BK414" s="19">
        <f t="shared" si="3115"/>
        <v>0</v>
      </c>
      <c r="BL414" s="19">
        <f t="shared" si="3116"/>
        <v>0</v>
      </c>
      <c r="BM414" s="19">
        <f t="shared" si="3117"/>
        <v>0</v>
      </c>
      <c r="BN414" s="19">
        <f t="shared" si="3118"/>
        <v>0</v>
      </c>
      <c r="BO414" s="20">
        <f t="shared" si="3119"/>
        <v>0</v>
      </c>
      <c r="BP414" s="19">
        <f t="shared" si="3120"/>
        <v>0</v>
      </c>
      <c r="BQ414" s="19">
        <f t="shared" si="3121"/>
        <v>0</v>
      </c>
      <c r="BR414" s="19">
        <f t="shared" si="3122"/>
        <v>0</v>
      </c>
      <c r="BS414" s="19">
        <f t="shared" si="3123"/>
        <v>0</v>
      </c>
      <c r="BT414" s="19">
        <f t="shared" si="3124"/>
        <v>0</v>
      </c>
    </row>
    <row r="415" spans="1:72" ht="12" hidden="1" customHeight="1" outlineLevel="2">
      <c r="B415" s="1" t="s">
        <v>173</v>
      </c>
      <c r="D415" s="21"/>
      <c r="E415" s="21"/>
      <c r="F415" s="21"/>
      <c r="G415" s="21"/>
      <c r="H415" s="21"/>
      <c r="I415" s="21"/>
      <c r="J415" s="21"/>
      <c r="K415" s="21"/>
      <c r="L415" s="21"/>
      <c r="M415" s="21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20"/>
      <c r="AK415" s="19"/>
      <c r="AL415" s="19"/>
      <c r="AM415" s="19"/>
      <c r="AN415" s="19"/>
      <c r="AO415" s="19"/>
      <c r="AP415" s="19"/>
      <c r="AQ415" s="19"/>
      <c r="AR415" s="19"/>
      <c r="AS415" s="19"/>
      <c r="AU415" s="21"/>
      <c r="AV415" s="21"/>
      <c r="AW415" s="21"/>
      <c r="AX415" s="21"/>
      <c r="AY415" s="21"/>
      <c r="AZ415" s="19">
        <f t="shared" si="3104"/>
        <v>0</v>
      </c>
      <c r="BA415" s="19">
        <f t="shared" si="3105"/>
        <v>0</v>
      </c>
      <c r="BB415" s="19">
        <f t="shared" si="3106"/>
        <v>0</v>
      </c>
      <c r="BC415" s="19">
        <f t="shared" si="3107"/>
        <v>0</v>
      </c>
      <c r="BD415" s="19">
        <f t="shared" si="3108"/>
        <v>0</v>
      </c>
      <c r="BE415" s="19">
        <f t="shared" si="3109"/>
        <v>0</v>
      </c>
      <c r="BF415" s="19">
        <f t="shared" si="3110"/>
        <v>0</v>
      </c>
      <c r="BG415" s="19">
        <f t="shared" si="3111"/>
        <v>0</v>
      </c>
      <c r="BH415" s="19">
        <f t="shared" si="3112"/>
        <v>0</v>
      </c>
      <c r="BI415" s="19">
        <f t="shared" si="3113"/>
        <v>0</v>
      </c>
      <c r="BJ415" s="19">
        <f t="shared" si="3114"/>
        <v>0</v>
      </c>
      <c r="BK415" s="19">
        <f t="shared" si="3115"/>
        <v>0</v>
      </c>
      <c r="BL415" s="19">
        <f t="shared" si="3116"/>
        <v>0</v>
      </c>
      <c r="BM415" s="19">
        <f t="shared" si="3117"/>
        <v>0</v>
      </c>
      <c r="BN415" s="19">
        <f t="shared" si="3118"/>
        <v>0</v>
      </c>
      <c r="BO415" s="20">
        <f t="shared" si="3119"/>
        <v>0</v>
      </c>
      <c r="BP415" s="19">
        <f t="shared" si="3120"/>
        <v>0</v>
      </c>
      <c r="BQ415" s="19">
        <f t="shared" si="3121"/>
        <v>0</v>
      </c>
      <c r="BR415" s="19">
        <f t="shared" si="3122"/>
        <v>0</v>
      </c>
      <c r="BS415" s="19">
        <f t="shared" si="3123"/>
        <v>0</v>
      </c>
      <c r="BT415" s="19">
        <f t="shared" si="3124"/>
        <v>0</v>
      </c>
    </row>
    <row r="416" spans="1:72" ht="12" hidden="1" customHeight="1" outlineLevel="2">
      <c r="B416" s="1" t="s">
        <v>173</v>
      </c>
      <c r="D416" s="21"/>
      <c r="E416" s="21"/>
      <c r="F416" s="21"/>
      <c r="G416" s="21"/>
      <c r="H416" s="21"/>
      <c r="I416" s="21"/>
      <c r="J416" s="21"/>
      <c r="K416" s="21"/>
      <c r="L416" s="21"/>
      <c r="M416" s="21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20"/>
      <c r="AK416" s="19"/>
      <c r="AL416" s="19"/>
      <c r="AM416" s="19"/>
      <c r="AN416" s="19"/>
      <c r="AO416" s="19"/>
      <c r="AP416" s="19"/>
      <c r="AQ416" s="19"/>
      <c r="AR416" s="19"/>
      <c r="AS416" s="19"/>
      <c r="AU416" s="21"/>
      <c r="AV416" s="21"/>
      <c r="AW416" s="21"/>
      <c r="AX416" s="21"/>
      <c r="AY416" s="21"/>
      <c r="AZ416" s="19">
        <f t="shared" si="3104"/>
        <v>0</v>
      </c>
      <c r="BA416" s="19">
        <f t="shared" si="3105"/>
        <v>0</v>
      </c>
      <c r="BB416" s="19">
        <f t="shared" si="3106"/>
        <v>0</v>
      </c>
      <c r="BC416" s="19">
        <f t="shared" si="3107"/>
        <v>0</v>
      </c>
      <c r="BD416" s="19">
        <f t="shared" si="3108"/>
        <v>0</v>
      </c>
      <c r="BE416" s="19">
        <f t="shared" si="3109"/>
        <v>0</v>
      </c>
      <c r="BF416" s="19">
        <f t="shared" si="3110"/>
        <v>0</v>
      </c>
      <c r="BG416" s="19">
        <f t="shared" si="3111"/>
        <v>0</v>
      </c>
      <c r="BH416" s="19">
        <f t="shared" si="3112"/>
        <v>0</v>
      </c>
      <c r="BI416" s="19">
        <f t="shared" si="3113"/>
        <v>0</v>
      </c>
      <c r="BJ416" s="19">
        <f t="shared" si="3114"/>
        <v>0</v>
      </c>
      <c r="BK416" s="19">
        <f t="shared" si="3115"/>
        <v>0</v>
      </c>
      <c r="BL416" s="19">
        <f t="shared" si="3116"/>
        <v>0</v>
      </c>
      <c r="BM416" s="19">
        <f t="shared" si="3117"/>
        <v>0</v>
      </c>
      <c r="BN416" s="19">
        <f t="shared" si="3118"/>
        <v>0</v>
      </c>
      <c r="BO416" s="20">
        <f t="shared" si="3119"/>
        <v>0</v>
      </c>
      <c r="BP416" s="19">
        <f t="shared" si="3120"/>
        <v>0</v>
      </c>
      <c r="BQ416" s="19">
        <f t="shared" si="3121"/>
        <v>0</v>
      </c>
      <c r="BR416" s="19">
        <f t="shared" si="3122"/>
        <v>0</v>
      </c>
      <c r="BS416" s="19">
        <f t="shared" si="3123"/>
        <v>0</v>
      </c>
      <c r="BT416" s="19">
        <f t="shared" si="3124"/>
        <v>0</v>
      </c>
    </row>
    <row r="417" spans="1:72" ht="12" hidden="1" customHeight="1" outlineLevel="2">
      <c r="B417" s="1" t="s">
        <v>173</v>
      </c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20"/>
      <c r="AK417" s="19"/>
      <c r="AL417" s="19"/>
      <c r="AM417" s="19"/>
      <c r="AN417" s="19"/>
      <c r="AO417" s="19"/>
      <c r="AP417" s="19"/>
      <c r="AQ417" s="19"/>
      <c r="AR417" s="19"/>
      <c r="AS417" s="19"/>
      <c r="AU417" s="21"/>
      <c r="AV417" s="21"/>
      <c r="AW417" s="21"/>
      <c r="AX417" s="21"/>
      <c r="AY417" s="21"/>
      <c r="AZ417" s="19">
        <f t="shared" si="3104"/>
        <v>0</v>
      </c>
      <c r="BA417" s="19">
        <f t="shared" si="3105"/>
        <v>0</v>
      </c>
      <c r="BB417" s="19">
        <f t="shared" si="3106"/>
        <v>0</v>
      </c>
      <c r="BC417" s="19">
        <f t="shared" si="3107"/>
        <v>0</v>
      </c>
      <c r="BD417" s="19">
        <f t="shared" si="3108"/>
        <v>0</v>
      </c>
      <c r="BE417" s="19">
        <f t="shared" si="3109"/>
        <v>0</v>
      </c>
      <c r="BF417" s="19">
        <f t="shared" si="3110"/>
        <v>0</v>
      </c>
      <c r="BG417" s="19">
        <f t="shared" si="3111"/>
        <v>0</v>
      </c>
      <c r="BH417" s="19">
        <f t="shared" si="3112"/>
        <v>0</v>
      </c>
      <c r="BI417" s="19">
        <f t="shared" si="3113"/>
        <v>0</v>
      </c>
      <c r="BJ417" s="19">
        <f t="shared" si="3114"/>
        <v>0</v>
      </c>
      <c r="BK417" s="19">
        <f t="shared" si="3115"/>
        <v>0</v>
      </c>
      <c r="BL417" s="19">
        <f t="shared" si="3116"/>
        <v>0</v>
      </c>
      <c r="BM417" s="19">
        <f t="shared" si="3117"/>
        <v>0</v>
      </c>
      <c r="BN417" s="19">
        <f t="shared" si="3118"/>
        <v>0</v>
      </c>
      <c r="BO417" s="20">
        <f t="shared" si="3119"/>
        <v>0</v>
      </c>
      <c r="BP417" s="19">
        <f t="shared" si="3120"/>
        <v>0</v>
      </c>
      <c r="BQ417" s="19">
        <f t="shared" si="3121"/>
        <v>0</v>
      </c>
      <c r="BR417" s="19">
        <f t="shared" si="3122"/>
        <v>0</v>
      </c>
      <c r="BS417" s="19">
        <f t="shared" si="3123"/>
        <v>0</v>
      </c>
      <c r="BT417" s="19">
        <f t="shared" si="3124"/>
        <v>0</v>
      </c>
    </row>
    <row r="418" spans="1:72" ht="12" hidden="1" customHeight="1" outlineLevel="2">
      <c r="B418" s="1" t="s">
        <v>173</v>
      </c>
      <c r="D418" s="21"/>
      <c r="E418" s="21"/>
      <c r="F418" s="21"/>
      <c r="G418" s="21"/>
      <c r="H418" s="21"/>
      <c r="I418" s="21"/>
      <c r="J418" s="21"/>
      <c r="K418" s="21"/>
      <c r="L418" s="21"/>
      <c r="M418" s="21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20"/>
      <c r="AK418" s="19"/>
      <c r="AL418" s="19"/>
      <c r="AM418" s="19"/>
      <c r="AN418" s="19"/>
      <c r="AO418" s="19"/>
      <c r="AP418" s="19"/>
      <c r="AQ418" s="19"/>
      <c r="AR418" s="19"/>
      <c r="AS418" s="19"/>
      <c r="AU418" s="21"/>
      <c r="AV418" s="21"/>
      <c r="AW418" s="21"/>
      <c r="AX418" s="21"/>
      <c r="AY418" s="21"/>
      <c r="AZ418" s="19">
        <f t="shared" si="3104"/>
        <v>0</v>
      </c>
      <c r="BA418" s="19">
        <f t="shared" si="3105"/>
        <v>0</v>
      </c>
      <c r="BB418" s="19">
        <f t="shared" si="3106"/>
        <v>0</v>
      </c>
      <c r="BC418" s="19">
        <f t="shared" si="3107"/>
        <v>0</v>
      </c>
      <c r="BD418" s="19">
        <f t="shared" si="3108"/>
        <v>0</v>
      </c>
      <c r="BE418" s="19">
        <f t="shared" si="3109"/>
        <v>0</v>
      </c>
      <c r="BF418" s="19">
        <f t="shared" si="3110"/>
        <v>0</v>
      </c>
      <c r="BG418" s="19">
        <f t="shared" si="3111"/>
        <v>0</v>
      </c>
      <c r="BH418" s="19">
        <f t="shared" si="3112"/>
        <v>0</v>
      </c>
      <c r="BI418" s="19">
        <f t="shared" si="3113"/>
        <v>0</v>
      </c>
      <c r="BJ418" s="19">
        <f t="shared" si="3114"/>
        <v>0</v>
      </c>
      <c r="BK418" s="19">
        <f t="shared" si="3115"/>
        <v>0</v>
      </c>
      <c r="BL418" s="19">
        <f t="shared" si="3116"/>
        <v>0</v>
      </c>
      <c r="BM418" s="19">
        <f t="shared" si="3117"/>
        <v>0</v>
      </c>
      <c r="BN418" s="19">
        <f t="shared" si="3118"/>
        <v>0</v>
      </c>
      <c r="BO418" s="20">
        <f t="shared" si="3119"/>
        <v>0</v>
      </c>
      <c r="BP418" s="19">
        <f t="shared" si="3120"/>
        <v>0</v>
      </c>
      <c r="BQ418" s="19">
        <f t="shared" si="3121"/>
        <v>0</v>
      </c>
      <c r="BR418" s="19">
        <f t="shared" si="3122"/>
        <v>0</v>
      </c>
      <c r="BS418" s="19">
        <f t="shared" si="3123"/>
        <v>0</v>
      </c>
      <c r="BT418" s="19">
        <f t="shared" si="3124"/>
        <v>0</v>
      </c>
    </row>
    <row r="419" spans="1:72" s="9" customFormat="1" ht="12" customHeight="1" outlineLevel="1" collapsed="1">
      <c r="A419" s="91"/>
      <c r="B419" s="9" t="s">
        <v>441</v>
      </c>
      <c r="C419" s="17"/>
      <c r="D419" s="17">
        <f t="shared" ref="D419:V419" si="3169">D132</f>
        <v>73000</v>
      </c>
      <c r="E419" s="17">
        <f t="shared" si="3169"/>
        <v>76100</v>
      </c>
      <c r="F419" s="17">
        <f t="shared" si="3169"/>
        <v>86200</v>
      </c>
      <c r="G419" s="17">
        <f t="shared" si="3169"/>
        <v>88300</v>
      </c>
      <c r="H419" s="17">
        <f t="shared" si="3169"/>
        <v>91600</v>
      </c>
      <c r="I419" s="17">
        <f t="shared" si="3169"/>
        <v>86200</v>
      </c>
      <c r="J419" s="17">
        <f t="shared" si="3169"/>
        <v>88400</v>
      </c>
      <c r="K419" s="17">
        <f t="shared" si="3169"/>
        <v>87600</v>
      </c>
      <c r="L419" s="17">
        <f t="shared" si="3169"/>
        <v>93800</v>
      </c>
      <c r="M419" s="17">
        <f t="shared" si="3169"/>
        <v>92600</v>
      </c>
      <c r="N419" s="17">
        <f t="shared" si="3169"/>
        <v>97900</v>
      </c>
      <c r="O419" s="17">
        <f t="shared" si="3169"/>
        <v>113200</v>
      </c>
      <c r="P419" s="17">
        <f t="shared" si="3169"/>
        <v>123700</v>
      </c>
      <c r="Q419" s="17">
        <f t="shared" si="3169"/>
        <v>130800</v>
      </c>
      <c r="R419" s="17">
        <f t="shared" si="3169"/>
        <v>122400</v>
      </c>
      <c r="S419" s="17">
        <f t="shared" si="3169"/>
        <v>120800</v>
      </c>
      <c r="T419" s="17">
        <f t="shared" si="3169"/>
        <v>123900</v>
      </c>
      <c r="U419" s="17">
        <f t="shared" si="3169"/>
        <v>128800</v>
      </c>
      <c r="V419" s="17">
        <f t="shared" si="3169"/>
        <v>134400</v>
      </c>
      <c r="W419" s="17">
        <f t="shared" ref="W419:X419" si="3170">W132</f>
        <v>140500</v>
      </c>
      <c r="X419" s="17">
        <f t="shared" si="3170"/>
        <v>146400</v>
      </c>
      <c r="Y419" s="17">
        <f t="shared" ref="Y419:Z419" si="3171">Y132</f>
        <v>161600</v>
      </c>
      <c r="Z419" s="17">
        <f t="shared" si="3171"/>
        <v>172500</v>
      </c>
      <c r="AA419" s="17">
        <f t="shared" ref="AA419:AB419" si="3172">AA132</f>
        <v>186400</v>
      </c>
      <c r="AB419" s="17">
        <f t="shared" si="3172"/>
        <v>224900</v>
      </c>
      <c r="AC419" s="17">
        <f t="shared" ref="AC419:AD419" si="3173">AC132</f>
        <v>265900</v>
      </c>
      <c r="AD419" s="17">
        <f t="shared" si="3173"/>
        <v>306500</v>
      </c>
      <c r="AE419" s="17">
        <f t="shared" ref="AE419:AF419" si="3174">AE132</f>
        <v>309000</v>
      </c>
      <c r="AF419" s="17">
        <f t="shared" si="3174"/>
        <v>317000</v>
      </c>
      <c r="AG419" s="17">
        <f t="shared" ref="AG419:AH419" si="3175">AG132</f>
        <v>330100</v>
      </c>
      <c r="AH419" s="17">
        <f t="shared" si="3175"/>
        <v>340800</v>
      </c>
      <c r="AI419" s="17">
        <f t="shared" ref="AI419:AJ419" si="3176">AI132</f>
        <v>368100</v>
      </c>
      <c r="AJ419" s="18">
        <f t="shared" si="3176"/>
        <v>401300</v>
      </c>
      <c r="AK419" s="17">
        <f t="shared" ref="AK419" si="3177">AK132</f>
        <v>427017.64913053898</v>
      </c>
      <c r="AL419" s="17">
        <f t="shared" ref="AL419:AM419" si="3178">AL132</f>
        <v>452089.64685312868</v>
      </c>
      <c r="AM419" s="17">
        <f t="shared" si="3178"/>
        <v>476455.77713331726</v>
      </c>
      <c r="AN419" s="17">
        <f t="shared" ref="AN419:AO419" si="3179">AN132</f>
        <v>497005.82417963207</v>
      </c>
      <c r="AO419" s="17">
        <f t="shared" si="3179"/>
        <v>516694.9816643268</v>
      </c>
      <c r="AP419" s="17">
        <f t="shared" ref="AP419:AQ419" si="3180">AP132</f>
        <v>535290.42348910403</v>
      </c>
      <c r="AQ419" s="17">
        <f t="shared" si="3180"/>
        <v>554098.50209787919</v>
      </c>
      <c r="AR419" s="17">
        <f t="shared" ref="AR419:AS419" si="3181">AR132</f>
        <v>573131.60685419559</v>
      </c>
      <c r="AS419" s="17">
        <f t="shared" si="3181"/>
        <v>593019.95460158016</v>
      </c>
      <c r="AT419" s="17"/>
      <c r="AU419" s="17">
        <f>AU132</f>
        <v>0</v>
      </c>
      <c r="AV419" s="17">
        <f>AV132</f>
        <v>0</v>
      </c>
      <c r="AW419" s="17">
        <f>AW132</f>
        <v>0</v>
      </c>
      <c r="AX419" s="17">
        <f>AX132</f>
        <v>82500</v>
      </c>
      <c r="AY419" s="17">
        <f>AY132</f>
        <v>78400</v>
      </c>
      <c r="AZ419" s="17">
        <f>SUM(AZ402:AZ418)</f>
        <v>76100</v>
      </c>
      <c r="BA419" s="17">
        <f t="shared" ref="BA419:BH419" si="3182">SUM(BA402:BA418)</f>
        <v>88300</v>
      </c>
      <c r="BB419" s="17">
        <f t="shared" si="3182"/>
        <v>86200</v>
      </c>
      <c r="BC419" s="17">
        <f t="shared" si="3182"/>
        <v>87600</v>
      </c>
      <c r="BD419" s="17">
        <f t="shared" si="3182"/>
        <v>92600</v>
      </c>
      <c r="BE419" s="17">
        <f t="shared" si="3182"/>
        <v>113200</v>
      </c>
      <c r="BF419" s="17">
        <f t="shared" si="3182"/>
        <v>130800</v>
      </c>
      <c r="BG419" s="17">
        <f t="shared" si="3182"/>
        <v>120800</v>
      </c>
      <c r="BH419" s="17">
        <f t="shared" si="3182"/>
        <v>128800</v>
      </c>
      <c r="BI419" s="17">
        <f t="shared" ref="BI419" si="3183">SUM(BI402:BI418)</f>
        <v>140500</v>
      </c>
      <c r="BJ419" s="17">
        <f t="shared" ref="BJ419:BO419" si="3184">SUM(BJ402:BJ418)</f>
        <v>161600</v>
      </c>
      <c r="BK419" s="17">
        <f t="shared" si="3184"/>
        <v>186400</v>
      </c>
      <c r="BL419" s="17">
        <f t="shared" si="3184"/>
        <v>265900</v>
      </c>
      <c r="BM419" s="17">
        <f t="shared" si="3184"/>
        <v>309000</v>
      </c>
      <c r="BN419" s="17">
        <f t="shared" si="3184"/>
        <v>330100</v>
      </c>
      <c r="BO419" s="18">
        <f t="shared" si="3184"/>
        <v>368100</v>
      </c>
      <c r="BP419" s="17">
        <f t="shared" ref="BP419:BQ419" si="3185">SUM(BP402:BP418)</f>
        <v>427017.64913053898</v>
      </c>
      <c r="BQ419" s="17">
        <f t="shared" si="3185"/>
        <v>476455.77713331714</v>
      </c>
      <c r="BR419" s="17">
        <f t="shared" ref="BR419:BS419" si="3186">SUM(BR402:BR418)</f>
        <v>516694.98166432674</v>
      </c>
      <c r="BS419" s="17">
        <f t="shared" si="3186"/>
        <v>554098.5020978793</v>
      </c>
      <c r="BT419" s="17">
        <f>SUM(BT402:BT418)</f>
        <v>593019.95460158016</v>
      </c>
    </row>
    <row r="420" spans="1:72" ht="12" customHeight="1" outlineLevel="1"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77"/>
      <c r="U420" s="177"/>
      <c r="V420" s="177"/>
      <c r="W420" s="177"/>
      <c r="X420" s="177"/>
      <c r="Y420" s="177"/>
      <c r="Z420" s="177"/>
      <c r="AA420" s="177"/>
      <c r="AB420" s="177"/>
      <c r="AC420" s="177"/>
      <c r="AD420" s="177"/>
      <c r="AE420" s="177"/>
      <c r="AF420" s="177"/>
      <c r="AG420" s="177"/>
      <c r="AH420" s="177"/>
      <c r="AI420" s="177"/>
      <c r="AJ420" s="178"/>
      <c r="AK420" s="19"/>
      <c r="AL420" s="19"/>
      <c r="AM420" s="19"/>
      <c r="AN420" s="19"/>
      <c r="AO420" s="19"/>
      <c r="AP420" s="19"/>
      <c r="AQ420" s="19"/>
      <c r="AR420" s="19"/>
      <c r="AS420" s="19"/>
      <c r="AT420" s="19"/>
      <c r="AU420" s="19"/>
      <c r="AV420" s="19"/>
      <c r="AW420" s="19"/>
      <c r="AX420" s="19"/>
      <c r="AY420" s="19"/>
      <c r="AZ420" s="19"/>
      <c r="BA420" s="19"/>
      <c r="BB420" s="19"/>
      <c r="BC420" s="19"/>
      <c r="BD420" s="19"/>
      <c r="BE420" s="19"/>
      <c r="BF420" s="19"/>
      <c r="BG420" s="19"/>
      <c r="BH420" s="19"/>
      <c r="BI420" s="19"/>
      <c r="BJ420" s="19"/>
      <c r="BK420" s="19"/>
      <c r="BL420" s="19"/>
      <c r="BM420" s="19"/>
      <c r="BN420" s="19"/>
      <c r="BO420" s="20"/>
      <c r="BP420" s="19"/>
      <c r="BQ420" s="19"/>
      <c r="BR420" s="19"/>
      <c r="BS420" s="19"/>
      <c r="BT420" s="19"/>
    </row>
    <row r="421" spans="1:72" ht="12" customHeight="1" outlineLevel="1">
      <c r="B421" s="1" t="s">
        <v>442</v>
      </c>
      <c r="C421" s="19"/>
      <c r="D421" s="21">
        <v>7368</v>
      </c>
      <c r="E421" s="21">
        <v>5432</v>
      </c>
      <c r="F421" s="21">
        <v>5811</v>
      </c>
      <c r="G421" s="21">
        <v>5808</v>
      </c>
      <c r="H421" s="21">
        <v>4425</v>
      </c>
      <c r="I421" s="21">
        <v>3615</v>
      </c>
      <c r="J421" s="21">
        <v>3641</v>
      </c>
      <c r="K421" s="21">
        <v>1497</v>
      </c>
      <c r="L421" s="21">
        <v>3485</v>
      </c>
      <c r="M421" s="21">
        <v>2762</v>
      </c>
      <c r="N421" s="21">
        <v>4118</v>
      </c>
      <c r="O421" s="21">
        <v>5295</v>
      </c>
      <c r="P421" s="21">
        <v>8702</v>
      </c>
      <c r="Q421" s="21">
        <v>5030</v>
      </c>
      <c r="R421" s="21">
        <v>5714</v>
      </c>
      <c r="S421" s="21">
        <v>5067</v>
      </c>
      <c r="T421" s="21">
        <v>7451</v>
      </c>
      <c r="U421" s="21">
        <v>8061</v>
      </c>
      <c r="V421" s="21">
        <v>7197</v>
      </c>
      <c r="W421" s="21">
        <v>4838</v>
      </c>
      <c r="X421" s="21">
        <v>8146</v>
      </c>
      <c r="Y421" s="21">
        <v>2334</v>
      </c>
      <c r="Z421" s="21">
        <v>4961</v>
      </c>
      <c r="AA421" s="21">
        <v>4542</v>
      </c>
      <c r="AB421" s="21">
        <v>13809</v>
      </c>
      <c r="AC421" s="21">
        <v>16947</v>
      </c>
      <c r="AD421" s="21">
        <v>22410</v>
      </c>
      <c r="AE421" s="21">
        <v>18737</v>
      </c>
      <c r="AF421" s="21">
        <v>13507</v>
      </c>
      <c r="AG421" s="21">
        <v>12599</v>
      </c>
      <c r="AH421" s="21">
        <v>3146</v>
      </c>
      <c r="AI421" s="21">
        <v>4933</v>
      </c>
      <c r="AJ421" s="24">
        <v>8381</v>
      </c>
      <c r="AK421" s="19">
        <f t="shared" ref="AK421:AK422" si="3187">AJ421*AK381/AJ381</f>
        <v>8734.2179933035713</v>
      </c>
      <c r="AL421" s="19">
        <f t="shared" ref="AL421:AL422" si="3188">AK421*AL381/AK381</f>
        <v>9061.7882976759265</v>
      </c>
      <c r="AM421" s="19">
        <f t="shared" ref="AM421:AM422" si="3189">AL421*AM381/AL381</f>
        <v>9375.3614632297704</v>
      </c>
      <c r="AN421" s="19">
        <f t="shared" ref="AN421:AN422" si="3190">AM421*AN381/AM381</f>
        <v>9638.5434537838992</v>
      </c>
      <c r="AO421" s="19">
        <f t="shared" ref="AO421:AO422" si="3191">AN421*AO381/AN381</f>
        <v>9885.2607074302596</v>
      </c>
      <c r="AP421" s="19">
        <f t="shared" ref="AP421:AP422" si="3192">AO421*AP381/AO381</f>
        <v>10113.574044182431</v>
      </c>
      <c r="AQ421" s="19">
        <f t="shared" ref="AQ421:AQ422" si="3193">AP421*AQ381/AP381</f>
        <v>10342.797474751223</v>
      </c>
      <c r="AR421" s="19">
        <f t="shared" ref="AR421:AR422" si="3194">AQ421*AR381/AQ381</f>
        <v>10572.91557976094</v>
      </c>
      <c r="AS421" s="19">
        <f t="shared" ref="AS421:AS422" si="3195">AR421*AS381/AR381</f>
        <v>10808.969618023952</v>
      </c>
      <c r="AT421" s="19"/>
      <c r="AU421" s="21">
        <v>7681</v>
      </c>
      <c r="AV421" s="21">
        <v>10057</v>
      </c>
      <c r="AW421" s="21">
        <v>15922</v>
      </c>
      <c r="AX421" s="21">
        <v>11825</v>
      </c>
      <c r="AY421" s="21">
        <v>2161</v>
      </c>
      <c r="AZ421" s="19">
        <f t="shared" ref="AZ421:AZ443" si="3196">E421</f>
        <v>5432</v>
      </c>
      <c r="BA421" s="19">
        <f t="shared" ref="BA421:BA443" si="3197">G421</f>
        <v>5808</v>
      </c>
      <c r="BB421" s="19">
        <f t="shared" ref="BB421:BB443" si="3198">I421</f>
        <v>3615</v>
      </c>
      <c r="BC421" s="19">
        <f t="shared" ref="BC421:BC443" si="3199">K421</f>
        <v>1497</v>
      </c>
      <c r="BD421" s="19">
        <f t="shared" ref="BD421:BD443" si="3200">M421</f>
        <v>2762</v>
      </c>
      <c r="BE421" s="19">
        <f t="shared" ref="BE421:BE443" si="3201">O421</f>
        <v>5295</v>
      </c>
      <c r="BF421" s="19">
        <f t="shared" ref="BF421:BF443" si="3202">Q421</f>
        <v>5030</v>
      </c>
      <c r="BG421" s="19">
        <f t="shared" ref="BG421:BG443" si="3203">S421</f>
        <v>5067</v>
      </c>
      <c r="BH421" s="19">
        <f t="shared" ref="BH421:BH443" si="3204">U421</f>
        <v>8061</v>
      </c>
      <c r="BI421" s="19">
        <f t="shared" ref="BI421:BI443" si="3205">W421</f>
        <v>4838</v>
      </c>
      <c r="BJ421" s="19">
        <f t="shared" ref="BJ421:BJ443" si="3206">Y421</f>
        <v>2334</v>
      </c>
      <c r="BK421" s="19">
        <f t="shared" ref="BK421:BK443" si="3207">AA421</f>
        <v>4542</v>
      </c>
      <c r="BL421" s="19">
        <f t="shared" ref="BL421:BL443" si="3208">AC421</f>
        <v>16947</v>
      </c>
      <c r="BM421" s="19">
        <f t="shared" ref="BM421:BM443" si="3209">AE421</f>
        <v>18737</v>
      </c>
      <c r="BN421" s="19">
        <f t="shared" ref="BN421:BN443" si="3210">AG421</f>
        <v>12599</v>
      </c>
      <c r="BO421" s="20">
        <f t="shared" ref="BO421:BO443" si="3211">AI421</f>
        <v>4933</v>
      </c>
      <c r="BP421" s="19">
        <f t="shared" ref="BP421:BP443" si="3212">AK421</f>
        <v>8734.2179933035713</v>
      </c>
      <c r="BQ421" s="19">
        <f t="shared" ref="BQ421:BQ443" si="3213">AM421</f>
        <v>9375.3614632297704</v>
      </c>
      <c r="BR421" s="19">
        <f t="shared" ref="BR421:BR443" si="3214">AO421</f>
        <v>9885.2607074302596</v>
      </c>
      <c r="BS421" s="19">
        <f t="shared" ref="BS421:BS443" si="3215">AQ421</f>
        <v>10342.797474751223</v>
      </c>
      <c r="BT421" s="19">
        <f t="shared" ref="BT421:BT443" si="3216">AS421</f>
        <v>10808.969618023952</v>
      </c>
    </row>
    <row r="422" spans="1:72" ht="12" customHeight="1" outlineLevel="1">
      <c r="B422" s="1" t="s">
        <v>443</v>
      </c>
      <c r="C422" s="19"/>
      <c r="D422" s="21">
        <v>21552</v>
      </c>
      <c r="E422" s="21">
        <v>21706</v>
      </c>
      <c r="F422" s="21">
        <v>24326</v>
      </c>
      <c r="G422" s="21">
        <v>21572</v>
      </c>
      <c r="H422" s="21">
        <v>32240</v>
      </c>
      <c r="I422" s="21">
        <v>21022</v>
      </c>
      <c r="J422" s="21">
        <v>21047</v>
      </c>
      <c r="K422" s="21">
        <v>14853</v>
      </c>
      <c r="L422" s="21">
        <v>14149</v>
      </c>
      <c r="M422" s="21">
        <v>11973</v>
      </c>
      <c r="N422" s="21">
        <v>14634</v>
      </c>
      <c r="O422" s="21">
        <v>18267</v>
      </c>
      <c r="P422" s="21">
        <v>20018</v>
      </c>
      <c r="Q422" s="21">
        <v>14744</v>
      </c>
      <c r="R422" s="21">
        <v>12949</v>
      </c>
      <c r="S422" s="21">
        <v>11128</v>
      </c>
      <c r="T422" s="21">
        <v>10717</v>
      </c>
      <c r="U422" s="21">
        <v>11925</v>
      </c>
      <c r="V422" s="21">
        <v>18205</v>
      </c>
      <c r="W422" s="21">
        <v>12666</v>
      </c>
      <c r="X422" s="21">
        <v>14514</v>
      </c>
      <c r="Y422" s="21">
        <v>38399</v>
      </c>
      <c r="Z422" s="21">
        <v>16467</v>
      </c>
      <c r="AA422" s="21">
        <v>17579</v>
      </c>
      <c r="AB422" s="21">
        <v>77980</v>
      </c>
      <c r="AC422" s="21">
        <v>84464</v>
      </c>
      <c r="AD422" s="21">
        <v>111734</v>
      </c>
      <c r="AE422" s="21">
        <v>32790</v>
      </c>
      <c r="AF422" s="21">
        <v>29527</v>
      </c>
      <c r="AG422" s="21">
        <v>25585</v>
      </c>
      <c r="AH422" s="21">
        <v>22340</v>
      </c>
      <c r="AI422" s="21">
        <v>23368</v>
      </c>
      <c r="AJ422" s="24">
        <v>23528</v>
      </c>
      <c r="AK422" s="19">
        <f t="shared" si="3187"/>
        <v>25035.811733723702</v>
      </c>
      <c r="AL422" s="19">
        <f t="shared" si="3188"/>
        <v>26505.769277748346</v>
      </c>
      <c r="AM422" s="19">
        <f t="shared" si="3189"/>
        <v>27934.342198835508</v>
      </c>
      <c r="AN422" s="19">
        <f t="shared" si="3190"/>
        <v>29139.180242457969</v>
      </c>
      <c r="AO422" s="19">
        <f t="shared" si="3191"/>
        <v>30293.544800892803</v>
      </c>
      <c r="AP422" s="19">
        <f t="shared" si="3192"/>
        <v>31383.785407056166</v>
      </c>
      <c r="AQ422" s="19">
        <f t="shared" si="3193"/>
        <v>32486.492791823825</v>
      </c>
      <c r="AR422" s="19">
        <f t="shared" si="3194"/>
        <v>33602.393336819121</v>
      </c>
      <c r="AS422" s="19">
        <f t="shared" si="3195"/>
        <v>34768.436311652076</v>
      </c>
      <c r="AT422" s="19"/>
      <c r="AU422" s="21">
        <v>6224</v>
      </c>
      <c r="AV422" s="21">
        <v>10057</v>
      </c>
      <c r="AW422" s="21">
        <v>11069</v>
      </c>
      <c r="AX422" s="21">
        <v>21399</v>
      </c>
      <c r="AY422" s="21">
        <v>27371</v>
      </c>
      <c r="AZ422" s="19">
        <f t="shared" si="3196"/>
        <v>21706</v>
      </c>
      <c r="BA422" s="19">
        <f t="shared" si="3197"/>
        <v>21572</v>
      </c>
      <c r="BB422" s="19">
        <f t="shared" si="3198"/>
        <v>21022</v>
      </c>
      <c r="BC422" s="19">
        <f t="shared" si="3199"/>
        <v>14853</v>
      </c>
      <c r="BD422" s="19">
        <f t="shared" si="3200"/>
        <v>11973</v>
      </c>
      <c r="BE422" s="19">
        <f t="shared" si="3201"/>
        <v>18267</v>
      </c>
      <c r="BF422" s="19">
        <f t="shared" si="3202"/>
        <v>14744</v>
      </c>
      <c r="BG422" s="19">
        <f t="shared" si="3203"/>
        <v>11128</v>
      </c>
      <c r="BH422" s="19">
        <f t="shared" si="3204"/>
        <v>11925</v>
      </c>
      <c r="BI422" s="19">
        <f t="shared" si="3205"/>
        <v>12666</v>
      </c>
      <c r="BJ422" s="19">
        <f t="shared" si="3206"/>
        <v>38399</v>
      </c>
      <c r="BK422" s="19">
        <f t="shared" si="3207"/>
        <v>17579</v>
      </c>
      <c r="BL422" s="19">
        <f t="shared" si="3208"/>
        <v>84464</v>
      </c>
      <c r="BM422" s="19">
        <f t="shared" si="3209"/>
        <v>32790</v>
      </c>
      <c r="BN422" s="19">
        <f t="shared" si="3210"/>
        <v>25585</v>
      </c>
      <c r="BO422" s="20">
        <f t="shared" si="3211"/>
        <v>23368</v>
      </c>
      <c r="BP422" s="19">
        <f t="shared" si="3212"/>
        <v>25035.811733723702</v>
      </c>
      <c r="BQ422" s="19">
        <f t="shared" si="3213"/>
        <v>27934.342198835508</v>
      </c>
      <c r="BR422" s="19">
        <f t="shared" si="3214"/>
        <v>30293.544800892803</v>
      </c>
      <c r="BS422" s="19">
        <f t="shared" si="3215"/>
        <v>32486.492791823825</v>
      </c>
      <c r="BT422" s="19">
        <f t="shared" si="3216"/>
        <v>34768.436311652076</v>
      </c>
    </row>
    <row r="423" spans="1:72" ht="12" customHeight="1" outlineLevel="1">
      <c r="A423" s="91" t="s">
        <v>1362</v>
      </c>
      <c r="B423" s="1" t="s">
        <v>182</v>
      </c>
      <c r="C423" s="19"/>
      <c r="D423" s="21">
        <v>20692</v>
      </c>
      <c r="E423" s="21">
        <v>22484</v>
      </c>
      <c r="F423" s="21">
        <v>35047</v>
      </c>
      <c r="G423" s="21">
        <v>35338</v>
      </c>
      <c r="H423" s="21">
        <v>38050</v>
      </c>
      <c r="I423" s="21">
        <v>37169</v>
      </c>
      <c r="J423" s="21">
        <v>39959</v>
      </c>
      <c r="K423" s="21">
        <v>41103</v>
      </c>
      <c r="L423" s="21">
        <v>42694</v>
      </c>
      <c r="M423" s="21">
        <v>42401</v>
      </c>
      <c r="N423" s="21">
        <v>44216</v>
      </c>
      <c r="O423" s="21">
        <v>47386</v>
      </c>
      <c r="P423" s="21">
        <v>51915</v>
      </c>
      <c r="Q423" s="21">
        <v>52245</v>
      </c>
      <c r="R423" s="21">
        <v>55438</v>
      </c>
      <c r="S423" s="21">
        <v>57708</v>
      </c>
      <c r="T423" s="21">
        <v>49330</v>
      </c>
      <c r="U423" s="21">
        <v>48395</v>
      </c>
      <c r="V423" s="21">
        <v>52620</v>
      </c>
      <c r="W423" s="21">
        <v>56191</v>
      </c>
      <c r="X423" s="21">
        <v>59042</v>
      </c>
      <c r="Y423" s="21">
        <v>67342</v>
      </c>
      <c r="Z423" s="21">
        <v>77258</v>
      </c>
      <c r="AA423" s="21">
        <v>84199</v>
      </c>
      <c r="AB423" s="21">
        <v>91736</v>
      </c>
      <c r="AC423" s="21">
        <v>101667</v>
      </c>
      <c r="AD423" s="21">
        <v>122227</v>
      </c>
      <c r="AE423" s="21">
        <v>134714</v>
      </c>
      <c r="AF423" s="21">
        <v>135966</v>
      </c>
      <c r="AG423" s="21">
        <v>148416</v>
      </c>
      <c r="AH423" s="21">
        <v>158472</v>
      </c>
      <c r="AI423" s="21">
        <v>177671</v>
      </c>
      <c r="AJ423" s="24">
        <v>198769</v>
      </c>
      <c r="AK423" s="19">
        <f t="shared" ref="AK423" si="3217">AJ423*AK142/AJ142</f>
        <v>215523.27450446435</v>
      </c>
      <c r="AL423" s="19">
        <f t="shared" ref="AL423" si="3218">AK423*AL142/AK142</f>
        <v>231689.35249401792</v>
      </c>
      <c r="AM423" s="19">
        <f t="shared" ref="AM423" si="3219">AL423*AM142/AL142</f>
        <v>247724.06028018464</v>
      </c>
      <c r="AN423" s="19">
        <f t="shared" ref="AN423" si="3220">AM423*AN142/AM142</f>
        <v>261632.11311599083</v>
      </c>
      <c r="AO423" s="19">
        <f t="shared" ref="AO423" si="3221">AN423*AO142/AN142</f>
        <v>275026.0780284655</v>
      </c>
      <c r="AP423" s="19">
        <f t="shared" ref="AP423" si="3222">AO423*AP142/AO142</f>
        <v>287730.26933448645</v>
      </c>
      <c r="AQ423" s="19">
        <f t="shared" ref="AQ423" si="3223">AP423*AQ142/AP142</f>
        <v>300773.04118293553</v>
      </c>
      <c r="AR423" s="19">
        <f t="shared" ref="AR423" si="3224">AQ423*AR142/AQ142</f>
        <v>314156.90999482892</v>
      </c>
      <c r="AS423" s="19">
        <f t="shared" ref="AS423" si="3225">AR423*AS142/AR142</f>
        <v>328184.83005019458</v>
      </c>
      <c r="AT423" s="19"/>
      <c r="AU423" s="21">
        <v>7240</v>
      </c>
      <c r="AV423" s="21">
        <v>9267</v>
      </c>
      <c r="AW423" s="21">
        <v>12403</v>
      </c>
      <c r="AX423" s="21">
        <v>15783</v>
      </c>
      <c r="AY423" s="21">
        <v>21868</v>
      </c>
      <c r="AZ423" s="19">
        <f t="shared" si="3196"/>
        <v>22484</v>
      </c>
      <c r="BA423" s="19">
        <f t="shared" si="3197"/>
        <v>35338</v>
      </c>
      <c r="BB423" s="19">
        <f t="shared" si="3198"/>
        <v>37169</v>
      </c>
      <c r="BC423" s="19">
        <f t="shared" si="3199"/>
        <v>41103</v>
      </c>
      <c r="BD423" s="19">
        <f t="shared" si="3200"/>
        <v>42401</v>
      </c>
      <c r="BE423" s="19">
        <f t="shared" si="3201"/>
        <v>47386</v>
      </c>
      <c r="BF423" s="19">
        <f t="shared" si="3202"/>
        <v>52245</v>
      </c>
      <c r="BG423" s="19">
        <f t="shared" si="3203"/>
        <v>57708</v>
      </c>
      <c r="BH423" s="19">
        <f t="shared" si="3204"/>
        <v>48395</v>
      </c>
      <c r="BI423" s="19">
        <f t="shared" si="3205"/>
        <v>56191</v>
      </c>
      <c r="BJ423" s="19">
        <f t="shared" si="3206"/>
        <v>67342</v>
      </c>
      <c r="BK423" s="19">
        <f t="shared" si="3207"/>
        <v>84199</v>
      </c>
      <c r="BL423" s="19">
        <f t="shared" si="3208"/>
        <v>101667</v>
      </c>
      <c r="BM423" s="19">
        <f t="shared" si="3209"/>
        <v>134714</v>
      </c>
      <c r="BN423" s="19">
        <f t="shared" si="3210"/>
        <v>148416</v>
      </c>
      <c r="BO423" s="20">
        <f t="shared" si="3211"/>
        <v>177671</v>
      </c>
      <c r="BP423" s="19">
        <f t="shared" si="3212"/>
        <v>215523.27450446435</v>
      </c>
      <c r="BQ423" s="19">
        <f t="shared" si="3213"/>
        <v>247724.06028018464</v>
      </c>
      <c r="BR423" s="19">
        <f t="shared" si="3214"/>
        <v>275026.0780284655</v>
      </c>
      <c r="BS423" s="19">
        <f t="shared" si="3215"/>
        <v>300773.04118293553</v>
      </c>
      <c r="BT423" s="19">
        <f t="shared" si="3216"/>
        <v>328184.83005019458</v>
      </c>
    </row>
    <row r="424" spans="1:72" ht="12" customHeight="1" outlineLevel="1">
      <c r="B424" s="1" t="s">
        <v>444</v>
      </c>
      <c r="C424" s="19"/>
      <c r="D424" s="19">
        <f t="shared" ref="D424:H424" si="3226">D444-SUM(D421:D423,D425:D443)</f>
        <v>18302</v>
      </c>
      <c r="E424" s="19">
        <f t="shared" si="3226"/>
        <v>20297</v>
      </c>
      <c r="F424" s="19">
        <f t="shared" si="3226"/>
        <v>19549</v>
      </c>
      <c r="G424" s="19">
        <f t="shared" si="3226"/>
        <v>21141</v>
      </c>
      <c r="H424" s="19">
        <f t="shared" si="3226"/>
        <v>24096</v>
      </c>
      <c r="I424" s="19">
        <f>I444-SUM(I421:I423,I425:I443)</f>
        <v>15096</v>
      </c>
      <c r="J424" s="19">
        <f t="shared" ref="J424:K424" si="3227">J444-SUM(J421:J423,J425:J443)</f>
        <v>7242</v>
      </c>
      <c r="K424" s="19">
        <f t="shared" si="3227"/>
        <v>13572</v>
      </c>
      <c r="L424" s="19">
        <f t="shared" ref="L424:M424" si="3228">L444-SUM(L421:L423,L425:L443)</f>
        <v>12638</v>
      </c>
      <c r="M424" s="19">
        <f t="shared" si="3228"/>
        <v>13908</v>
      </c>
      <c r="N424" s="19">
        <f t="shared" ref="N424:O424" si="3229">N444-SUM(N421:N423,N425:N443)</f>
        <v>13287</v>
      </c>
      <c r="O424" s="19">
        <f t="shared" si="3229"/>
        <v>15830</v>
      </c>
      <c r="P424" s="19">
        <f t="shared" ref="P424:Q424" si="3230">P444-SUM(P421:P423,P425:P443)</f>
        <v>15372</v>
      </c>
      <c r="Q424" s="19">
        <f t="shared" si="3230"/>
        <v>13103</v>
      </c>
      <c r="R424" s="19">
        <f t="shared" ref="R424:S424" si="3231">R444-SUM(R421:R423,R425:R443)</f>
        <v>13676</v>
      </c>
      <c r="S424" s="19">
        <f t="shared" si="3231"/>
        <v>15031</v>
      </c>
      <c r="T424" s="19">
        <f t="shared" ref="T424:U424" si="3232">T444-SUM(T421:T423,T425:T443)</f>
        <v>26687</v>
      </c>
      <c r="U424" s="19">
        <f t="shared" si="3232"/>
        <v>28306</v>
      </c>
      <c r="V424" s="19">
        <f t="shared" ref="V424:W424" si="3233">V444-SUM(V421:V423,V425:V443)</f>
        <v>31817</v>
      </c>
      <c r="W424" s="19">
        <f t="shared" si="3233"/>
        <v>30024</v>
      </c>
      <c r="X424" s="19">
        <f t="shared" ref="X424:Y424" si="3234">X444-SUM(X421:X423,X425:X443)</f>
        <v>33439</v>
      </c>
      <c r="Y424" s="19">
        <f t="shared" si="3234"/>
        <v>30924</v>
      </c>
      <c r="Z424" s="19">
        <f t="shared" ref="Z424:AA424" si="3235">Z444-SUM(Z421:Z423,Z425:Z443)</f>
        <v>26252</v>
      </c>
      <c r="AA424" s="19">
        <f t="shared" si="3235"/>
        <v>24251</v>
      </c>
      <c r="AB424" s="19">
        <f t="shared" ref="AB424:AC424" si="3236">AB444-SUM(AB421:AB423,AB425:AB443)</f>
        <v>24409</v>
      </c>
      <c r="AC424" s="19">
        <f t="shared" si="3236"/>
        <v>30878</v>
      </c>
      <c r="AD424" s="19">
        <f t="shared" ref="AD424:AE424" si="3237">AD444-SUM(AD421:AD423,AD425:AD443)</f>
        <v>17754</v>
      </c>
      <c r="AE424" s="19">
        <f t="shared" si="3237"/>
        <v>17495</v>
      </c>
      <c r="AF424" s="19">
        <f t="shared" ref="AF424:AG424" si="3238">AF444-SUM(AF421:AF423,AF425:AF443)</f>
        <v>22360</v>
      </c>
      <c r="AG424" s="19">
        <f t="shared" si="3238"/>
        <v>19923</v>
      </c>
      <c r="AH424" s="19">
        <f t="shared" ref="AH424:AI424" si="3239">AH444-SUM(AH421:AH423,AH425:AH443)</f>
        <v>18233</v>
      </c>
      <c r="AI424" s="19">
        <f t="shared" si="3239"/>
        <v>21096</v>
      </c>
      <c r="AJ424" s="20">
        <f t="shared" ref="AJ424" si="3240">AJ444-SUM(AJ421:AJ423,AJ425:AJ443)</f>
        <v>25984</v>
      </c>
      <c r="AK424" s="19">
        <f t="shared" ref="AK424:AK425" si="3241">AJ424*AK$402/AJ$402</f>
        <v>27571.649991242379</v>
      </c>
      <c r="AL424" s="19">
        <f t="shared" ref="AL424:AL425" si="3242">AK424*AL$402/AK$402</f>
        <v>29115.251287828662</v>
      </c>
      <c r="AM424" s="19">
        <f t="shared" ref="AM424:AM425" si="3243">AL424*AM$402/AL$402</f>
        <v>30614.202296518604</v>
      </c>
      <c r="AN424" s="19">
        <f t="shared" ref="AN424:AN425" si="3244">AM424*AN$402/AM$402</f>
        <v>31878.076300879758</v>
      </c>
      <c r="AO424" s="19">
        <f t="shared" ref="AO424:AO425" si="3245">AN424*AO$402/AN$402</f>
        <v>33087.645387006902</v>
      </c>
      <c r="AP424" s="19">
        <f t="shared" ref="AP424:AP425" si="3246">AO424*AP$402/AO$402</f>
        <v>34228.850573889977</v>
      </c>
      <c r="AQ424" s="19">
        <f t="shared" ref="AQ424:AQ425" si="3247">AP424*AQ$402/AP$402</f>
        <v>35382.680646225352</v>
      </c>
      <c r="AR424" s="19">
        <f t="shared" ref="AR424:AR425" si="3248">AQ424*AR$402/AQ$402</f>
        <v>36549.854106068451</v>
      </c>
      <c r="AS424" s="19">
        <f t="shared" ref="AS424:AS425" si="3249">AR424*AS$402/AR$402</f>
        <v>37768.374119375512</v>
      </c>
      <c r="AT424" s="19"/>
      <c r="AU424" s="19">
        <f t="shared" ref="AU424:AX424" si="3250">AU444-SUM(AU421:AU423,AU425:AU443)</f>
        <v>6605</v>
      </c>
      <c r="AV424" s="19">
        <f t="shared" si="3250"/>
        <v>18072</v>
      </c>
      <c r="AW424" s="19">
        <f t="shared" si="3250"/>
        <v>19749</v>
      </c>
      <c r="AX424" s="19">
        <f t="shared" si="3250"/>
        <v>26399</v>
      </c>
      <c r="AY424" s="19">
        <f t="shared" ref="AY424" si="3251">AY444-SUM(AY421:AY423,AY425:AY443)</f>
        <v>14810</v>
      </c>
      <c r="AZ424" s="19">
        <f t="shared" si="3196"/>
        <v>20297</v>
      </c>
      <c r="BA424" s="19">
        <f t="shared" si="3197"/>
        <v>21141</v>
      </c>
      <c r="BB424" s="19">
        <f t="shared" si="3198"/>
        <v>15096</v>
      </c>
      <c r="BC424" s="19">
        <f t="shared" si="3199"/>
        <v>13572</v>
      </c>
      <c r="BD424" s="19">
        <f t="shared" si="3200"/>
        <v>13908</v>
      </c>
      <c r="BE424" s="19">
        <f t="shared" si="3201"/>
        <v>15830</v>
      </c>
      <c r="BF424" s="19">
        <f t="shared" si="3202"/>
        <v>13103</v>
      </c>
      <c r="BG424" s="19">
        <f t="shared" si="3203"/>
        <v>15031</v>
      </c>
      <c r="BH424" s="19">
        <f t="shared" si="3204"/>
        <v>28306</v>
      </c>
      <c r="BI424" s="19">
        <f t="shared" si="3205"/>
        <v>30024</v>
      </c>
      <c r="BJ424" s="19">
        <f t="shared" si="3206"/>
        <v>30924</v>
      </c>
      <c r="BK424" s="19">
        <f t="shared" si="3207"/>
        <v>24251</v>
      </c>
      <c r="BL424" s="19">
        <f t="shared" si="3208"/>
        <v>30878</v>
      </c>
      <c r="BM424" s="19">
        <f t="shared" si="3209"/>
        <v>17495</v>
      </c>
      <c r="BN424" s="19">
        <f t="shared" si="3210"/>
        <v>19923</v>
      </c>
      <c r="BO424" s="20">
        <f t="shared" si="3211"/>
        <v>21096</v>
      </c>
      <c r="BP424" s="19">
        <f t="shared" si="3212"/>
        <v>27571.649991242379</v>
      </c>
      <c r="BQ424" s="19">
        <f t="shared" si="3213"/>
        <v>30614.202296518604</v>
      </c>
      <c r="BR424" s="19">
        <f t="shared" si="3214"/>
        <v>33087.645387006902</v>
      </c>
      <c r="BS424" s="19">
        <f t="shared" si="3215"/>
        <v>35382.680646225352</v>
      </c>
      <c r="BT424" s="19">
        <f t="shared" si="3216"/>
        <v>37768.374119375512</v>
      </c>
    </row>
    <row r="425" spans="1:72" ht="12" customHeight="1" outlineLevel="1">
      <c r="B425" s="1" t="s">
        <v>445</v>
      </c>
      <c r="C425" s="19"/>
      <c r="D425" s="21">
        <v>10284</v>
      </c>
      <c r="E425" s="21">
        <v>9927</v>
      </c>
      <c r="F425" s="21">
        <v>9981</v>
      </c>
      <c r="G425" s="21">
        <v>7810</v>
      </c>
      <c r="H425" s="21">
        <v>9557</v>
      </c>
      <c r="I425" s="21">
        <v>12629</v>
      </c>
      <c r="J425" s="21">
        <v>16703</v>
      </c>
      <c r="K425" s="21">
        <v>18075</v>
      </c>
      <c r="L425" s="21">
        <v>19625</v>
      </c>
      <c r="M425" s="21">
        <v>19654</v>
      </c>
      <c r="N425" s="21">
        <v>16961</v>
      </c>
      <c r="O425" s="21">
        <v>18645</v>
      </c>
      <c r="P425" s="21">
        <v>23525</v>
      </c>
      <c r="Q425" s="21">
        <v>23860</v>
      </c>
      <c r="R425" s="21">
        <v>23736</v>
      </c>
      <c r="S425" s="21">
        <v>17072</v>
      </c>
      <c r="T425" s="21">
        <v>17799</v>
      </c>
      <c r="U425" s="21">
        <v>14390</v>
      </c>
      <c r="V425" s="21">
        <f>6916+13336</f>
        <v>20252</v>
      </c>
      <c r="W425" s="21">
        <v>16897</v>
      </c>
      <c r="X425" s="21">
        <f>14626+5803</f>
        <v>20429</v>
      </c>
      <c r="Y425" s="21">
        <v>22815</v>
      </c>
      <c r="Z425" s="21">
        <v>20093</v>
      </c>
      <c r="AA425" s="21">
        <v>22124</v>
      </c>
      <c r="AB425" s="21">
        <v>25895</v>
      </c>
      <c r="AC425" s="21">
        <v>27158</v>
      </c>
      <c r="AD425" s="21">
        <v>40426</v>
      </c>
      <c r="AE425" s="21">
        <v>27482</v>
      </c>
      <c r="AF425" s="21">
        <v>27136</v>
      </c>
      <c r="AG425" s="21">
        <v>28423</v>
      </c>
      <c r="AH425" s="21">
        <v>32541</v>
      </c>
      <c r="AI425" s="21">
        <v>28845</v>
      </c>
      <c r="AJ425" s="24">
        <v>28274</v>
      </c>
      <c r="AK425" s="19">
        <f t="shared" si="3241"/>
        <v>30001.571422890509</v>
      </c>
      <c r="AL425" s="19">
        <f t="shared" si="3242"/>
        <v>31681.212088672553</v>
      </c>
      <c r="AM425" s="19">
        <f t="shared" si="3243"/>
        <v>33312.267384997198</v>
      </c>
      <c r="AN425" s="19">
        <f t="shared" si="3244"/>
        <v>34687.528068468077</v>
      </c>
      <c r="AO425" s="19">
        <f t="shared" si="3245"/>
        <v>36003.697878395673</v>
      </c>
      <c r="AP425" s="19">
        <f t="shared" si="3246"/>
        <v>37245.478799498349</v>
      </c>
      <c r="AQ425" s="19">
        <f t="shared" si="3247"/>
        <v>38500.997251823253</v>
      </c>
      <c r="AR425" s="19">
        <f t="shared" si="3248"/>
        <v>39771.035059843714</v>
      </c>
      <c r="AS425" s="19">
        <f t="shared" si="3249"/>
        <v>41096.944652525512</v>
      </c>
      <c r="AT425" s="19"/>
      <c r="AU425" s="21">
        <v>1548</v>
      </c>
      <c r="AV425" s="21">
        <v>2118</v>
      </c>
      <c r="AW425" s="21">
        <v>4127</v>
      </c>
      <c r="AX425" s="21">
        <v>10041</v>
      </c>
      <c r="AY425" s="21">
        <v>11858</v>
      </c>
      <c r="AZ425" s="19">
        <f t="shared" si="3196"/>
        <v>9927</v>
      </c>
      <c r="BA425" s="19">
        <f t="shared" si="3197"/>
        <v>7810</v>
      </c>
      <c r="BB425" s="19">
        <f t="shared" si="3198"/>
        <v>12629</v>
      </c>
      <c r="BC425" s="19">
        <f t="shared" si="3199"/>
        <v>18075</v>
      </c>
      <c r="BD425" s="19">
        <f t="shared" si="3200"/>
        <v>19654</v>
      </c>
      <c r="BE425" s="19">
        <f t="shared" si="3201"/>
        <v>18645</v>
      </c>
      <c r="BF425" s="19">
        <f t="shared" si="3202"/>
        <v>23860</v>
      </c>
      <c r="BG425" s="19">
        <f t="shared" si="3203"/>
        <v>17072</v>
      </c>
      <c r="BH425" s="19">
        <f t="shared" si="3204"/>
        <v>14390</v>
      </c>
      <c r="BI425" s="19">
        <f t="shared" si="3205"/>
        <v>16897</v>
      </c>
      <c r="BJ425" s="19">
        <f t="shared" si="3206"/>
        <v>22815</v>
      </c>
      <c r="BK425" s="19">
        <f t="shared" si="3207"/>
        <v>22124</v>
      </c>
      <c r="BL425" s="19">
        <f t="shared" si="3208"/>
        <v>27158</v>
      </c>
      <c r="BM425" s="19">
        <f t="shared" si="3209"/>
        <v>27482</v>
      </c>
      <c r="BN425" s="19">
        <f t="shared" si="3210"/>
        <v>28423</v>
      </c>
      <c r="BO425" s="20">
        <f t="shared" si="3211"/>
        <v>28845</v>
      </c>
      <c r="BP425" s="19">
        <f t="shared" si="3212"/>
        <v>30001.571422890509</v>
      </c>
      <c r="BQ425" s="19">
        <f t="shared" si="3213"/>
        <v>33312.267384997198</v>
      </c>
      <c r="BR425" s="19">
        <f t="shared" si="3214"/>
        <v>36003.697878395673</v>
      </c>
      <c r="BS425" s="19">
        <f t="shared" si="3215"/>
        <v>38500.997251823253</v>
      </c>
      <c r="BT425" s="19">
        <f t="shared" si="3216"/>
        <v>41096.944652525512</v>
      </c>
    </row>
    <row r="426" spans="1:72" ht="12" customHeight="1" outlineLevel="1">
      <c r="B426" s="1" t="s">
        <v>446</v>
      </c>
      <c r="C426" s="19"/>
      <c r="D426" s="21">
        <v>5037</v>
      </c>
      <c r="E426" s="21">
        <v>4413</v>
      </c>
      <c r="F426" s="21">
        <v>3710</v>
      </c>
      <c r="G426" s="21">
        <v>4339</v>
      </c>
      <c r="H426" s="21">
        <v>3334</v>
      </c>
      <c r="I426" s="21">
        <v>2733</v>
      </c>
      <c r="J426" s="21">
        <v>1593</v>
      </c>
      <c r="K426" s="21">
        <v>1704</v>
      </c>
      <c r="L426" s="21">
        <v>1205</v>
      </c>
      <c r="M426" s="21">
        <v>1464</v>
      </c>
      <c r="N426" s="21">
        <v>1364</v>
      </c>
      <c r="O426" s="21">
        <v>1626</v>
      </c>
      <c r="P426" s="21">
        <v>2309</v>
      </c>
      <c r="Q426" s="21">
        <v>2672</v>
      </c>
      <c r="R426" s="21">
        <v>3018</v>
      </c>
      <c r="S426" s="21">
        <v>2404</v>
      </c>
      <c r="T426" s="21">
        <v>0</v>
      </c>
      <c r="U426" s="21">
        <v>0</v>
      </c>
      <c r="V426" s="21">
        <v>0</v>
      </c>
      <c r="W426" s="21">
        <v>0</v>
      </c>
      <c r="X426" s="21">
        <v>0</v>
      </c>
      <c r="Y426" s="21">
        <v>0</v>
      </c>
      <c r="Z426" s="21">
        <v>0</v>
      </c>
      <c r="AA426" s="21">
        <v>0</v>
      </c>
      <c r="AB426" s="21">
        <v>0</v>
      </c>
      <c r="AC426" s="21">
        <v>0</v>
      </c>
      <c r="AD426" s="21">
        <v>0</v>
      </c>
      <c r="AE426" s="21">
        <v>0</v>
      </c>
      <c r="AF426" s="21">
        <v>0</v>
      </c>
      <c r="AG426" s="21">
        <v>0</v>
      </c>
      <c r="AH426" s="21">
        <v>0</v>
      </c>
      <c r="AI426" s="21">
        <v>0</v>
      </c>
      <c r="AJ426" s="24">
        <v>0</v>
      </c>
      <c r="AK426" s="58">
        <f t="shared" ref="AK426:AK427" si="3252">AJ426</f>
        <v>0</v>
      </c>
      <c r="AL426" s="58">
        <f t="shared" ref="AL426:AL427" si="3253">AK426</f>
        <v>0</v>
      </c>
      <c r="AM426" s="58">
        <f t="shared" ref="AM426:AM427" si="3254">AL426</f>
        <v>0</v>
      </c>
      <c r="AN426" s="58">
        <f t="shared" ref="AN426:AN427" si="3255">AM426</f>
        <v>0</v>
      </c>
      <c r="AO426" s="58">
        <f t="shared" ref="AO426:AO427" si="3256">AN426</f>
        <v>0</v>
      </c>
      <c r="AP426" s="58">
        <f t="shared" ref="AP426:AP427" si="3257">AO426</f>
        <v>0</v>
      </c>
      <c r="AQ426" s="58">
        <f t="shared" ref="AQ426:AQ427" si="3258">AP426</f>
        <v>0</v>
      </c>
      <c r="AR426" s="58">
        <f t="shared" ref="AR426:AR427" si="3259">AQ426</f>
        <v>0</v>
      </c>
      <c r="AS426" s="58">
        <f t="shared" ref="AS426:AS427" si="3260">AR426</f>
        <v>0</v>
      </c>
      <c r="AT426" s="19"/>
      <c r="AU426" s="21">
        <v>0</v>
      </c>
      <c r="AV426" s="21">
        <v>5481</v>
      </c>
      <c r="AW426" s="21">
        <v>5552</v>
      </c>
      <c r="AX426" s="21">
        <v>6288</v>
      </c>
      <c r="AY426" s="21">
        <v>6203</v>
      </c>
      <c r="AZ426" s="19">
        <f t="shared" si="3196"/>
        <v>4413</v>
      </c>
      <c r="BA426" s="19">
        <f t="shared" si="3197"/>
        <v>4339</v>
      </c>
      <c r="BB426" s="19">
        <f t="shared" si="3198"/>
        <v>2733</v>
      </c>
      <c r="BC426" s="19">
        <f t="shared" si="3199"/>
        <v>1704</v>
      </c>
      <c r="BD426" s="19">
        <f t="shared" si="3200"/>
        <v>1464</v>
      </c>
      <c r="BE426" s="19">
        <f t="shared" si="3201"/>
        <v>1626</v>
      </c>
      <c r="BF426" s="19">
        <f t="shared" si="3202"/>
        <v>2672</v>
      </c>
      <c r="BG426" s="19">
        <f t="shared" si="3203"/>
        <v>2404</v>
      </c>
      <c r="BH426" s="19">
        <f t="shared" si="3204"/>
        <v>0</v>
      </c>
      <c r="BI426" s="19">
        <f t="shared" si="3205"/>
        <v>0</v>
      </c>
      <c r="BJ426" s="19">
        <f t="shared" si="3206"/>
        <v>0</v>
      </c>
      <c r="BK426" s="19">
        <f t="shared" si="3207"/>
        <v>0</v>
      </c>
      <c r="BL426" s="19">
        <f t="shared" si="3208"/>
        <v>0</v>
      </c>
      <c r="BM426" s="19">
        <f t="shared" si="3209"/>
        <v>0</v>
      </c>
      <c r="BN426" s="19">
        <f t="shared" si="3210"/>
        <v>0</v>
      </c>
      <c r="BO426" s="20">
        <f t="shared" si="3211"/>
        <v>0</v>
      </c>
      <c r="BP426" s="19">
        <f t="shared" si="3212"/>
        <v>0</v>
      </c>
      <c r="BQ426" s="19">
        <f t="shared" si="3213"/>
        <v>0</v>
      </c>
      <c r="BR426" s="19">
        <f t="shared" si="3214"/>
        <v>0</v>
      </c>
      <c r="BS426" s="19">
        <f t="shared" si="3215"/>
        <v>0</v>
      </c>
      <c r="BT426" s="19">
        <f t="shared" si="3216"/>
        <v>0</v>
      </c>
    </row>
    <row r="427" spans="1:72" ht="12" customHeight="1" outlineLevel="1">
      <c r="B427" s="1" t="s">
        <v>447</v>
      </c>
      <c r="C427" s="19"/>
      <c r="D427" s="21">
        <v>5062</v>
      </c>
      <c r="E427" s="21">
        <v>4864</v>
      </c>
      <c r="F427" s="21">
        <v>5069</v>
      </c>
      <c r="G427" s="21">
        <v>5055</v>
      </c>
      <c r="H427" s="21">
        <v>4759</v>
      </c>
      <c r="I427" s="21">
        <v>5897</v>
      </c>
      <c r="J427" s="21">
        <v>6047</v>
      </c>
      <c r="K427" s="21">
        <v>0</v>
      </c>
      <c r="L427" s="21">
        <v>0</v>
      </c>
      <c r="M427" s="21">
        <v>0</v>
      </c>
      <c r="N427" s="62">
        <v>0</v>
      </c>
      <c r="O427" s="62">
        <v>0</v>
      </c>
      <c r="P427" s="62">
        <v>0</v>
      </c>
      <c r="Q427" s="62">
        <v>0</v>
      </c>
      <c r="R427" s="62">
        <v>0</v>
      </c>
      <c r="S427" s="62">
        <v>0</v>
      </c>
      <c r="T427" s="62">
        <v>0</v>
      </c>
      <c r="U427" s="62">
        <v>0</v>
      </c>
      <c r="V427" s="62">
        <v>0</v>
      </c>
      <c r="W427" s="62">
        <v>0</v>
      </c>
      <c r="X427" s="62">
        <v>0</v>
      </c>
      <c r="Y427" s="62">
        <v>0</v>
      </c>
      <c r="Z427" s="62">
        <v>0</v>
      </c>
      <c r="AA427" s="62">
        <v>0</v>
      </c>
      <c r="AB427" s="62">
        <v>0</v>
      </c>
      <c r="AC427" s="62">
        <v>0</v>
      </c>
      <c r="AD427" s="62">
        <v>0</v>
      </c>
      <c r="AE427" s="62">
        <v>0</v>
      </c>
      <c r="AF427" s="62">
        <v>0</v>
      </c>
      <c r="AG427" s="62">
        <v>0</v>
      </c>
      <c r="AH427" s="62">
        <v>0</v>
      </c>
      <c r="AI427" s="62">
        <v>0</v>
      </c>
      <c r="AJ427" s="57">
        <v>0</v>
      </c>
      <c r="AK427" s="58">
        <f t="shared" si="3252"/>
        <v>0</v>
      </c>
      <c r="AL427" s="58">
        <f t="shared" si="3253"/>
        <v>0</v>
      </c>
      <c r="AM427" s="58">
        <f t="shared" si="3254"/>
        <v>0</v>
      </c>
      <c r="AN427" s="58">
        <f t="shared" si="3255"/>
        <v>0</v>
      </c>
      <c r="AO427" s="58">
        <f t="shared" si="3256"/>
        <v>0</v>
      </c>
      <c r="AP427" s="58">
        <f t="shared" si="3257"/>
        <v>0</v>
      </c>
      <c r="AQ427" s="58">
        <f t="shared" si="3258"/>
        <v>0</v>
      </c>
      <c r="AR427" s="58">
        <f t="shared" si="3259"/>
        <v>0</v>
      </c>
      <c r="AS427" s="58">
        <f t="shared" si="3260"/>
        <v>0</v>
      </c>
      <c r="AT427" s="19"/>
      <c r="AU427" s="21">
        <v>4429</v>
      </c>
      <c r="AV427" s="21">
        <v>5130</v>
      </c>
      <c r="AW427" s="21">
        <v>5781</v>
      </c>
      <c r="AX427" s="21">
        <v>5689</v>
      </c>
      <c r="AY427" s="21">
        <v>4312</v>
      </c>
      <c r="AZ427" s="19">
        <f t="shared" si="3196"/>
        <v>4864</v>
      </c>
      <c r="BA427" s="19">
        <f t="shared" si="3197"/>
        <v>5055</v>
      </c>
      <c r="BB427" s="19">
        <f t="shared" si="3198"/>
        <v>5897</v>
      </c>
      <c r="BC427" s="19">
        <f t="shared" si="3199"/>
        <v>0</v>
      </c>
      <c r="BD427" s="19">
        <f t="shared" si="3200"/>
        <v>0</v>
      </c>
      <c r="BE427" s="19">
        <f t="shared" si="3201"/>
        <v>0</v>
      </c>
      <c r="BF427" s="19">
        <f t="shared" si="3202"/>
        <v>0</v>
      </c>
      <c r="BG427" s="19">
        <f t="shared" si="3203"/>
        <v>0</v>
      </c>
      <c r="BH427" s="19">
        <f t="shared" si="3204"/>
        <v>0</v>
      </c>
      <c r="BI427" s="19">
        <f t="shared" si="3205"/>
        <v>0</v>
      </c>
      <c r="BJ427" s="19">
        <f t="shared" si="3206"/>
        <v>0</v>
      </c>
      <c r="BK427" s="19">
        <f t="shared" si="3207"/>
        <v>0</v>
      </c>
      <c r="BL427" s="19">
        <f t="shared" si="3208"/>
        <v>0</v>
      </c>
      <c r="BM427" s="19">
        <f t="shared" si="3209"/>
        <v>0</v>
      </c>
      <c r="BN427" s="19">
        <f t="shared" si="3210"/>
        <v>0</v>
      </c>
      <c r="BO427" s="20">
        <f t="shared" si="3211"/>
        <v>0</v>
      </c>
      <c r="BP427" s="19">
        <f t="shared" si="3212"/>
        <v>0</v>
      </c>
      <c r="BQ427" s="19">
        <f t="shared" si="3213"/>
        <v>0</v>
      </c>
      <c r="BR427" s="19">
        <f t="shared" si="3214"/>
        <v>0</v>
      </c>
      <c r="BS427" s="19">
        <f t="shared" si="3215"/>
        <v>0</v>
      </c>
      <c r="BT427" s="19">
        <f t="shared" si="3216"/>
        <v>0</v>
      </c>
    </row>
    <row r="428" spans="1:72" ht="12" customHeight="1" outlineLevel="1">
      <c r="B428" s="1" t="s">
        <v>448</v>
      </c>
      <c r="C428" s="19"/>
      <c r="D428" s="21">
        <v>44896</v>
      </c>
      <c r="E428" s="21">
        <v>42614</v>
      </c>
      <c r="F428" s="21">
        <v>39955</v>
      </c>
      <c r="G428" s="21">
        <v>41177</v>
      </c>
      <c r="H428" s="21">
        <v>42258</v>
      </c>
      <c r="I428" s="21">
        <v>39713</v>
      </c>
      <c r="J428" s="21">
        <v>40714</v>
      </c>
      <c r="K428" s="21">
        <v>38014</v>
      </c>
      <c r="L428" s="21">
        <v>43755</v>
      </c>
      <c r="M428" s="21">
        <v>45565</v>
      </c>
      <c r="N428" s="21">
        <v>51076</v>
      </c>
      <c r="O428" s="21">
        <v>61463</v>
      </c>
      <c r="P428" s="21">
        <v>65466</v>
      </c>
      <c r="Q428" s="21">
        <v>63685</v>
      </c>
      <c r="R428" s="21">
        <v>57617</v>
      </c>
      <c r="S428" s="21">
        <v>50828</v>
      </c>
      <c r="T428" s="21">
        <v>54551</v>
      </c>
      <c r="U428" s="21">
        <v>55927</v>
      </c>
      <c r="V428" s="21">
        <v>51665</v>
      </c>
      <c r="W428" s="21">
        <v>51389</v>
      </c>
      <c r="X428" s="21">
        <v>56070</v>
      </c>
      <c r="Y428" s="21">
        <v>64556</v>
      </c>
      <c r="Z428" s="21">
        <v>56339</v>
      </c>
      <c r="AA428" s="21">
        <v>60980</v>
      </c>
      <c r="AB428" s="21">
        <v>80043</v>
      </c>
      <c r="AC428" s="21">
        <v>99527</v>
      </c>
      <c r="AD428" s="21">
        <v>128621</v>
      </c>
      <c r="AE428" s="21">
        <v>109461</v>
      </c>
      <c r="AF428" s="21">
        <v>119886</v>
      </c>
      <c r="AG428" s="21">
        <v>119878</v>
      </c>
      <c r="AH428" s="21">
        <v>130478</v>
      </c>
      <c r="AI428" s="21">
        <v>135172</v>
      </c>
      <c r="AJ428" s="24">
        <v>144391</v>
      </c>
      <c r="AK428" s="19">
        <f t="shared" ref="AK428" si="3261">AK444-SUM(AK421:AK427,AK429:AK443)</f>
        <v>150940.04375292279</v>
      </c>
      <c r="AL428" s="19">
        <f t="shared" ref="AL428:AM428" si="3262">AL444-SUM(AL421:AL427,AL429:AL443)</f>
        <v>158234.25766600115</v>
      </c>
      <c r="AM428" s="19">
        <f t="shared" si="3262"/>
        <v>164411.6978174285</v>
      </c>
      <c r="AN428" s="19">
        <f t="shared" ref="AN428:AO428" si="3263">AN444-SUM(AN421:AN427,AN429:AN443)</f>
        <v>169210.66456156853</v>
      </c>
      <c r="AO428" s="19">
        <f t="shared" si="3263"/>
        <v>173109.23110556608</v>
      </c>
      <c r="AP428" s="19">
        <f t="shared" ref="AP428:AQ428" si="3264">AP444-SUM(AP421:AP427,AP429:AP443)</f>
        <v>177332.4109850594</v>
      </c>
      <c r="AQ428" s="19">
        <f t="shared" si="3264"/>
        <v>180617.51440249954</v>
      </c>
      <c r="AR428" s="19">
        <f t="shared" ref="AR428:AS428" si="3265">AR444-SUM(AR421:AR427,AR429:AR443)</f>
        <v>184283.97907463397</v>
      </c>
      <c r="AS428" s="19">
        <f t="shared" si="3265"/>
        <v>187589.12777278485</v>
      </c>
      <c r="AT428" s="19"/>
      <c r="AU428" s="21">
        <v>28161</v>
      </c>
      <c r="AV428" s="21">
        <v>39022</v>
      </c>
      <c r="AW428" s="21">
        <v>51365</v>
      </c>
      <c r="AX428" s="21">
        <v>57115</v>
      </c>
      <c r="AY428" s="21">
        <v>48270</v>
      </c>
      <c r="AZ428" s="19">
        <f t="shared" si="3196"/>
        <v>42614</v>
      </c>
      <c r="BA428" s="19">
        <f t="shared" si="3197"/>
        <v>41177</v>
      </c>
      <c r="BB428" s="19">
        <f t="shared" si="3198"/>
        <v>39713</v>
      </c>
      <c r="BC428" s="19">
        <f t="shared" si="3199"/>
        <v>38014</v>
      </c>
      <c r="BD428" s="19">
        <f t="shared" si="3200"/>
        <v>45565</v>
      </c>
      <c r="BE428" s="19">
        <f t="shared" si="3201"/>
        <v>61463</v>
      </c>
      <c r="BF428" s="19">
        <f t="shared" si="3202"/>
        <v>63685</v>
      </c>
      <c r="BG428" s="19">
        <f t="shared" si="3203"/>
        <v>50828</v>
      </c>
      <c r="BH428" s="19">
        <f t="shared" si="3204"/>
        <v>55927</v>
      </c>
      <c r="BI428" s="19">
        <f t="shared" si="3205"/>
        <v>51389</v>
      </c>
      <c r="BJ428" s="19">
        <f t="shared" si="3206"/>
        <v>64556</v>
      </c>
      <c r="BK428" s="19">
        <f t="shared" si="3207"/>
        <v>60980</v>
      </c>
      <c r="BL428" s="19">
        <f t="shared" si="3208"/>
        <v>99527</v>
      </c>
      <c r="BM428" s="19">
        <f t="shared" si="3209"/>
        <v>109461</v>
      </c>
      <c r="BN428" s="19">
        <f t="shared" si="3210"/>
        <v>119878</v>
      </c>
      <c r="BO428" s="20">
        <f t="shared" si="3211"/>
        <v>135172</v>
      </c>
      <c r="BP428" s="19">
        <f t="shared" si="3212"/>
        <v>150940.04375292279</v>
      </c>
      <c r="BQ428" s="19">
        <f t="shared" si="3213"/>
        <v>164411.6978174285</v>
      </c>
      <c r="BR428" s="19">
        <f t="shared" si="3214"/>
        <v>173109.23110556608</v>
      </c>
      <c r="BS428" s="19">
        <f t="shared" si="3215"/>
        <v>180617.51440249954</v>
      </c>
      <c r="BT428" s="19">
        <f t="shared" si="3216"/>
        <v>187589.12777278485</v>
      </c>
    </row>
    <row r="429" spans="1:72" ht="12" customHeight="1" outlineLevel="1">
      <c r="B429" s="1" t="s">
        <v>449</v>
      </c>
      <c r="C429" s="19"/>
      <c r="D429" s="21">
        <v>184</v>
      </c>
      <c r="E429" s="21">
        <v>191</v>
      </c>
      <c r="F429" s="21">
        <v>221</v>
      </c>
      <c r="G429" s="21">
        <v>215</v>
      </c>
      <c r="H429" s="21">
        <v>232</v>
      </c>
      <c r="I429" s="21">
        <v>241</v>
      </c>
      <c r="J429" s="21">
        <v>228</v>
      </c>
      <c r="K429" s="21">
        <v>213</v>
      </c>
      <c r="L429" s="21">
        <v>225</v>
      </c>
      <c r="M429" s="21">
        <v>205</v>
      </c>
      <c r="N429" s="62">
        <v>221</v>
      </c>
      <c r="O429" s="62">
        <v>220</v>
      </c>
      <c r="P429" s="62">
        <v>238</v>
      </c>
      <c r="Q429" s="21">
        <v>0</v>
      </c>
      <c r="R429" s="21">
        <v>0</v>
      </c>
      <c r="S429" s="21">
        <v>0</v>
      </c>
      <c r="T429" s="21">
        <v>0</v>
      </c>
      <c r="U429" s="21">
        <v>0</v>
      </c>
      <c r="V429" s="21">
        <v>0</v>
      </c>
      <c r="W429" s="21">
        <v>0</v>
      </c>
      <c r="X429" s="21">
        <v>0</v>
      </c>
      <c r="Y429" s="21">
        <v>0</v>
      </c>
      <c r="Z429" s="21">
        <v>0</v>
      </c>
      <c r="AA429" s="21">
        <v>0</v>
      </c>
      <c r="AB429" s="21">
        <v>0</v>
      </c>
      <c r="AC429" s="21">
        <v>0</v>
      </c>
      <c r="AD429" s="21">
        <v>0</v>
      </c>
      <c r="AE429" s="21">
        <v>0</v>
      </c>
      <c r="AF429" s="21">
        <v>0</v>
      </c>
      <c r="AG429" s="21">
        <v>0</v>
      </c>
      <c r="AH429" s="21">
        <v>0</v>
      </c>
      <c r="AI429" s="21">
        <v>0</v>
      </c>
      <c r="AJ429" s="24">
        <v>0</v>
      </c>
      <c r="AK429" s="58">
        <f t="shared" ref="AK429" si="3266">AJ429</f>
        <v>0</v>
      </c>
      <c r="AL429" s="58">
        <f t="shared" ref="AL429" si="3267">AK429</f>
        <v>0</v>
      </c>
      <c r="AM429" s="58">
        <f t="shared" ref="AM429" si="3268">AL429</f>
        <v>0</v>
      </c>
      <c r="AN429" s="58">
        <f t="shared" ref="AN429" si="3269">AM429</f>
        <v>0</v>
      </c>
      <c r="AO429" s="58">
        <f t="shared" ref="AO429" si="3270">AN429</f>
        <v>0</v>
      </c>
      <c r="AP429" s="58">
        <f t="shared" ref="AP429" si="3271">AO429</f>
        <v>0</v>
      </c>
      <c r="AQ429" s="58">
        <f t="shared" ref="AQ429" si="3272">AP429</f>
        <v>0</v>
      </c>
      <c r="AR429" s="58">
        <f t="shared" ref="AR429" si="3273">AQ429</f>
        <v>0</v>
      </c>
      <c r="AS429" s="58">
        <f t="shared" ref="AS429" si="3274">AR429</f>
        <v>0</v>
      </c>
      <c r="AT429" s="19"/>
      <c r="AU429" s="21">
        <v>119</v>
      </c>
      <c r="AV429" s="21">
        <v>132</v>
      </c>
      <c r="AW429" s="21">
        <v>153</v>
      </c>
      <c r="AX429" s="21">
        <v>179</v>
      </c>
      <c r="AY429" s="21">
        <v>189</v>
      </c>
      <c r="AZ429" s="19">
        <f t="shared" si="3196"/>
        <v>191</v>
      </c>
      <c r="BA429" s="19">
        <f t="shared" si="3197"/>
        <v>215</v>
      </c>
      <c r="BB429" s="19">
        <f t="shared" si="3198"/>
        <v>241</v>
      </c>
      <c r="BC429" s="19">
        <f t="shared" si="3199"/>
        <v>213</v>
      </c>
      <c r="BD429" s="19">
        <f t="shared" si="3200"/>
        <v>205</v>
      </c>
      <c r="BE429" s="19">
        <f t="shared" si="3201"/>
        <v>220</v>
      </c>
      <c r="BF429" s="19">
        <f t="shared" si="3202"/>
        <v>0</v>
      </c>
      <c r="BG429" s="19">
        <f t="shared" si="3203"/>
        <v>0</v>
      </c>
      <c r="BH429" s="19">
        <f t="shared" si="3204"/>
        <v>0</v>
      </c>
      <c r="BI429" s="19">
        <f t="shared" si="3205"/>
        <v>0</v>
      </c>
      <c r="BJ429" s="19">
        <f t="shared" si="3206"/>
        <v>0</v>
      </c>
      <c r="BK429" s="19">
        <f t="shared" si="3207"/>
        <v>0</v>
      </c>
      <c r="BL429" s="19">
        <f t="shared" si="3208"/>
        <v>0</v>
      </c>
      <c r="BM429" s="19">
        <f t="shared" si="3209"/>
        <v>0</v>
      </c>
      <c r="BN429" s="19">
        <f t="shared" si="3210"/>
        <v>0</v>
      </c>
      <c r="BO429" s="20">
        <f t="shared" si="3211"/>
        <v>0</v>
      </c>
      <c r="BP429" s="19">
        <f t="shared" si="3212"/>
        <v>0</v>
      </c>
      <c r="BQ429" s="19">
        <f t="shared" si="3213"/>
        <v>0</v>
      </c>
      <c r="BR429" s="19">
        <f t="shared" si="3214"/>
        <v>0</v>
      </c>
      <c r="BS429" s="19">
        <f t="shared" si="3215"/>
        <v>0</v>
      </c>
      <c r="BT429" s="19">
        <f t="shared" si="3216"/>
        <v>0</v>
      </c>
    </row>
    <row r="430" spans="1:72" ht="12" customHeight="1" outlineLevel="1">
      <c r="B430" s="1" t="s">
        <v>450</v>
      </c>
      <c r="C430" s="19"/>
      <c r="D430" s="21">
        <v>210</v>
      </c>
      <c r="E430" s="21">
        <v>235</v>
      </c>
      <c r="F430" s="21">
        <v>235</v>
      </c>
      <c r="G430" s="21">
        <v>287</v>
      </c>
      <c r="H430" s="21">
        <v>351</v>
      </c>
      <c r="I430" s="21">
        <v>436</v>
      </c>
      <c r="J430" s="21">
        <v>514</v>
      </c>
      <c r="K430" s="21">
        <v>542</v>
      </c>
      <c r="L430" s="21">
        <v>667</v>
      </c>
      <c r="M430" s="21">
        <v>551</v>
      </c>
      <c r="N430" s="21">
        <v>635</v>
      </c>
      <c r="O430" s="21">
        <v>464</v>
      </c>
      <c r="P430" s="21">
        <v>546</v>
      </c>
      <c r="Q430" s="21">
        <v>543</v>
      </c>
      <c r="R430" s="21">
        <v>540</v>
      </c>
      <c r="S430" s="21">
        <v>621</v>
      </c>
      <c r="T430" s="21">
        <v>746</v>
      </c>
      <c r="U430" s="21">
        <v>749</v>
      </c>
      <c r="V430" s="21">
        <v>800</v>
      </c>
      <c r="W430" s="21">
        <v>425</v>
      </c>
      <c r="X430" s="21">
        <v>297</v>
      </c>
      <c r="Y430" s="21">
        <v>234</v>
      </c>
      <c r="Z430" s="21">
        <v>165</v>
      </c>
      <c r="AA430" s="21">
        <v>204</v>
      </c>
      <c r="AB430" s="21">
        <v>320</v>
      </c>
      <c r="AC430" s="21">
        <v>216</v>
      </c>
      <c r="AD430" s="21">
        <v>258</v>
      </c>
      <c r="AE430" s="21">
        <v>196</v>
      </c>
      <c r="AF430" s="21">
        <v>241</v>
      </c>
      <c r="AG430" s="21">
        <v>383</v>
      </c>
      <c r="AH430" s="21"/>
      <c r="AI430" s="21">
        <v>1946</v>
      </c>
      <c r="AJ430" s="24">
        <v>2649</v>
      </c>
      <c r="AK430" s="19">
        <f t="shared" ref="AK430" si="3275">AJ430*AK392/AJ392</f>
        <v>2649</v>
      </c>
      <c r="AL430" s="19">
        <f t="shared" ref="AL430" si="3276">AK430*AL392/AK392</f>
        <v>2649</v>
      </c>
      <c r="AM430" s="19">
        <f t="shared" ref="AM430" si="3277">AL430*AM392/AL392</f>
        <v>2649</v>
      </c>
      <c r="AN430" s="19">
        <f t="shared" ref="AN430" si="3278">AM430*AN392/AM392</f>
        <v>2649</v>
      </c>
      <c r="AO430" s="19">
        <f t="shared" ref="AO430" si="3279">AN430*AO392/AN392</f>
        <v>2649</v>
      </c>
      <c r="AP430" s="19">
        <f t="shared" ref="AP430" si="3280">AO430*AP392/AO392</f>
        <v>2649</v>
      </c>
      <c r="AQ430" s="19">
        <f t="shared" ref="AQ430" si="3281">AP430*AQ392/AP392</f>
        <v>2649</v>
      </c>
      <c r="AR430" s="19">
        <f t="shared" ref="AR430" si="3282">AQ430*AR392/AQ392</f>
        <v>2649</v>
      </c>
      <c r="AS430" s="19">
        <f t="shared" ref="AS430" si="3283">AR430*AS392/AR392</f>
        <v>2649</v>
      </c>
      <c r="AT430" s="19"/>
      <c r="AU430" s="21">
        <v>189</v>
      </c>
      <c r="AV430" s="21">
        <v>157</v>
      </c>
      <c r="AW430" s="21">
        <v>78</v>
      </c>
      <c r="AX430" s="21">
        <v>121</v>
      </c>
      <c r="AY430" s="21">
        <v>4</v>
      </c>
      <c r="AZ430" s="19">
        <f t="shared" si="3196"/>
        <v>235</v>
      </c>
      <c r="BA430" s="19">
        <f t="shared" si="3197"/>
        <v>287</v>
      </c>
      <c r="BB430" s="19">
        <f t="shared" si="3198"/>
        <v>436</v>
      </c>
      <c r="BC430" s="19">
        <f t="shared" si="3199"/>
        <v>542</v>
      </c>
      <c r="BD430" s="19">
        <f t="shared" si="3200"/>
        <v>551</v>
      </c>
      <c r="BE430" s="19">
        <f t="shared" si="3201"/>
        <v>464</v>
      </c>
      <c r="BF430" s="19">
        <f t="shared" si="3202"/>
        <v>543</v>
      </c>
      <c r="BG430" s="19">
        <f t="shared" si="3203"/>
        <v>621</v>
      </c>
      <c r="BH430" s="19">
        <f t="shared" si="3204"/>
        <v>749</v>
      </c>
      <c r="BI430" s="19">
        <f t="shared" si="3205"/>
        <v>425</v>
      </c>
      <c r="BJ430" s="19">
        <f t="shared" si="3206"/>
        <v>234</v>
      </c>
      <c r="BK430" s="19">
        <f t="shared" si="3207"/>
        <v>204</v>
      </c>
      <c r="BL430" s="19">
        <f t="shared" si="3208"/>
        <v>216</v>
      </c>
      <c r="BM430" s="19">
        <f t="shared" si="3209"/>
        <v>196</v>
      </c>
      <c r="BN430" s="19">
        <f t="shared" si="3210"/>
        <v>383</v>
      </c>
      <c r="BO430" s="20">
        <f t="shared" si="3211"/>
        <v>1946</v>
      </c>
      <c r="BP430" s="19">
        <f t="shared" si="3212"/>
        <v>2649</v>
      </c>
      <c r="BQ430" s="19">
        <f t="shared" si="3213"/>
        <v>2649</v>
      </c>
      <c r="BR430" s="19">
        <f t="shared" si="3214"/>
        <v>2649</v>
      </c>
      <c r="BS430" s="19">
        <f t="shared" si="3215"/>
        <v>2649</v>
      </c>
      <c r="BT430" s="19">
        <f t="shared" si="3216"/>
        <v>2649</v>
      </c>
    </row>
    <row r="431" spans="1:72" ht="12" customHeight="1" outlineLevel="1">
      <c r="B431" s="1" t="s">
        <v>451</v>
      </c>
      <c r="C431" s="19"/>
      <c r="D431" s="21">
        <v>591</v>
      </c>
      <c r="E431" s="21">
        <v>593</v>
      </c>
      <c r="F431" s="21">
        <v>593</v>
      </c>
      <c r="G431" s="21">
        <v>595</v>
      </c>
      <c r="H431" s="21">
        <v>596</v>
      </c>
      <c r="I431" s="21">
        <v>614</v>
      </c>
      <c r="J431" s="21">
        <v>615</v>
      </c>
      <c r="K431" s="21">
        <v>616</v>
      </c>
      <c r="L431" s="21">
        <v>0</v>
      </c>
      <c r="M431" s="21">
        <v>0</v>
      </c>
      <c r="N431" s="62">
        <v>0</v>
      </c>
      <c r="O431" s="62">
        <v>0</v>
      </c>
      <c r="P431" s="62">
        <v>0</v>
      </c>
      <c r="Q431" s="62">
        <v>0</v>
      </c>
      <c r="R431" s="62">
        <v>0</v>
      </c>
      <c r="S431" s="62">
        <v>0</v>
      </c>
      <c r="T431" s="62">
        <v>0</v>
      </c>
      <c r="U431" s="62">
        <v>0</v>
      </c>
      <c r="V431" s="62">
        <v>0</v>
      </c>
      <c r="W431" s="62">
        <v>0</v>
      </c>
      <c r="X431" s="62">
        <v>0</v>
      </c>
      <c r="Y431" s="62">
        <v>0</v>
      </c>
      <c r="Z431" s="62">
        <v>0</v>
      </c>
      <c r="AA431" s="62">
        <v>0</v>
      </c>
      <c r="AB431" s="62">
        <v>0</v>
      </c>
      <c r="AC431" s="62">
        <v>0</v>
      </c>
      <c r="AD431" s="62">
        <v>0</v>
      </c>
      <c r="AE431" s="62">
        <v>0</v>
      </c>
      <c r="AF431" s="62">
        <v>0</v>
      </c>
      <c r="AG431" s="62">
        <v>0</v>
      </c>
      <c r="AH431" s="62">
        <v>0</v>
      </c>
      <c r="AI431" s="62">
        <v>0</v>
      </c>
      <c r="AJ431" s="57">
        <v>0</v>
      </c>
      <c r="AK431" s="58">
        <f t="shared" ref="AK431:AK433" si="3284">AJ431</f>
        <v>0</v>
      </c>
      <c r="AL431" s="58">
        <f t="shared" ref="AL431:AL433" si="3285">AK431</f>
        <v>0</v>
      </c>
      <c r="AM431" s="58">
        <f t="shared" ref="AM431:AM433" si="3286">AL431</f>
        <v>0</v>
      </c>
      <c r="AN431" s="58">
        <f t="shared" ref="AN431:AN433" si="3287">AM431</f>
        <v>0</v>
      </c>
      <c r="AO431" s="58">
        <f t="shared" ref="AO431:AO433" si="3288">AN431</f>
        <v>0</v>
      </c>
      <c r="AP431" s="58">
        <f t="shared" ref="AP431:AP433" si="3289">AO431</f>
        <v>0</v>
      </c>
      <c r="AQ431" s="58">
        <f t="shared" ref="AQ431:AQ433" si="3290">AP431</f>
        <v>0</v>
      </c>
      <c r="AR431" s="58">
        <f t="shared" ref="AR431:AR433" si="3291">AQ431</f>
        <v>0</v>
      </c>
      <c r="AS431" s="58">
        <f t="shared" ref="AS431:AS433" si="3292">AR431</f>
        <v>0</v>
      </c>
      <c r="AT431" s="19"/>
      <c r="AU431" s="21">
        <v>0</v>
      </c>
      <c r="AV431" s="21">
        <v>0</v>
      </c>
      <c r="AW431" s="21">
        <v>0</v>
      </c>
      <c r="AX431" s="21">
        <v>0</v>
      </c>
      <c r="AY431" s="21">
        <v>591</v>
      </c>
      <c r="AZ431" s="19">
        <f t="shared" si="3196"/>
        <v>593</v>
      </c>
      <c r="BA431" s="19">
        <f t="shared" si="3197"/>
        <v>595</v>
      </c>
      <c r="BB431" s="19">
        <f t="shared" si="3198"/>
        <v>614</v>
      </c>
      <c r="BC431" s="19">
        <f t="shared" si="3199"/>
        <v>616</v>
      </c>
      <c r="BD431" s="19">
        <f t="shared" si="3200"/>
        <v>0</v>
      </c>
      <c r="BE431" s="19">
        <f t="shared" si="3201"/>
        <v>0</v>
      </c>
      <c r="BF431" s="19">
        <f t="shared" si="3202"/>
        <v>0</v>
      </c>
      <c r="BG431" s="19">
        <f t="shared" si="3203"/>
        <v>0</v>
      </c>
      <c r="BH431" s="19">
        <f t="shared" si="3204"/>
        <v>0</v>
      </c>
      <c r="BI431" s="19">
        <f t="shared" si="3205"/>
        <v>0</v>
      </c>
      <c r="BJ431" s="19">
        <f t="shared" si="3206"/>
        <v>0</v>
      </c>
      <c r="BK431" s="19">
        <f t="shared" si="3207"/>
        <v>0</v>
      </c>
      <c r="BL431" s="19">
        <f t="shared" si="3208"/>
        <v>0</v>
      </c>
      <c r="BM431" s="19">
        <f t="shared" si="3209"/>
        <v>0</v>
      </c>
      <c r="BN431" s="19">
        <f t="shared" si="3210"/>
        <v>0</v>
      </c>
      <c r="BO431" s="20">
        <f t="shared" si="3211"/>
        <v>0</v>
      </c>
      <c r="BP431" s="19">
        <f t="shared" si="3212"/>
        <v>0</v>
      </c>
      <c r="BQ431" s="19">
        <f t="shared" si="3213"/>
        <v>0</v>
      </c>
      <c r="BR431" s="19">
        <f t="shared" si="3214"/>
        <v>0</v>
      </c>
      <c r="BS431" s="19">
        <f t="shared" si="3215"/>
        <v>0</v>
      </c>
      <c r="BT431" s="19">
        <f t="shared" si="3216"/>
        <v>0</v>
      </c>
    </row>
    <row r="432" spans="1:72" ht="12" customHeight="1" outlineLevel="1">
      <c r="B432" s="1" t="s">
        <v>452</v>
      </c>
      <c r="C432" s="19"/>
      <c r="D432" s="21">
        <v>1011</v>
      </c>
      <c r="E432" s="21">
        <v>916</v>
      </c>
      <c r="F432" s="21">
        <v>1483</v>
      </c>
      <c r="G432" s="21">
        <v>1832</v>
      </c>
      <c r="H432" s="21">
        <v>2877</v>
      </c>
      <c r="I432" s="21">
        <v>2579</v>
      </c>
      <c r="J432" s="21">
        <v>2378</v>
      </c>
      <c r="K432" s="21">
        <v>2604</v>
      </c>
      <c r="L432" s="21">
        <v>3438</v>
      </c>
      <c r="M432" s="21">
        <v>3507</v>
      </c>
      <c r="N432" s="62">
        <v>3604</v>
      </c>
      <c r="O432" s="62">
        <v>4384</v>
      </c>
      <c r="P432" s="62">
        <v>5782</v>
      </c>
      <c r="Q432" s="62">
        <v>5209</v>
      </c>
      <c r="R432" s="62">
        <v>4942</v>
      </c>
      <c r="S432" s="62">
        <v>5748</v>
      </c>
      <c r="T432" s="62">
        <v>5380</v>
      </c>
      <c r="U432" s="62">
        <v>5392</v>
      </c>
      <c r="V432" s="62">
        <v>5883</v>
      </c>
      <c r="W432" s="62">
        <v>6963</v>
      </c>
      <c r="X432" s="62">
        <v>7246</v>
      </c>
      <c r="Y432" s="62">
        <v>7414</v>
      </c>
      <c r="Z432" s="62">
        <v>8411</v>
      </c>
      <c r="AA432" s="62">
        <v>9423</v>
      </c>
      <c r="AB432" s="62">
        <v>9961</v>
      </c>
      <c r="AC432" s="62">
        <v>9513</v>
      </c>
      <c r="AD432" s="62">
        <v>11457</v>
      </c>
      <c r="AE432" s="62">
        <v>12891</v>
      </c>
      <c r="AF432" s="62">
        <v>12833</v>
      </c>
      <c r="AG432" s="62">
        <v>14201</v>
      </c>
      <c r="AH432" s="62">
        <v>16271</v>
      </c>
      <c r="AI432" s="62">
        <v>16401</v>
      </c>
      <c r="AJ432" s="57">
        <v>17046</v>
      </c>
      <c r="AK432" s="58">
        <f t="shared" si="3284"/>
        <v>17046</v>
      </c>
      <c r="AL432" s="58">
        <f t="shared" si="3285"/>
        <v>17046</v>
      </c>
      <c r="AM432" s="58">
        <f t="shared" si="3286"/>
        <v>17046</v>
      </c>
      <c r="AN432" s="58">
        <f t="shared" si="3287"/>
        <v>17046</v>
      </c>
      <c r="AO432" s="58">
        <f t="shared" si="3288"/>
        <v>17046</v>
      </c>
      <c r="AP432" s="58">
        <f t="shared" si="3289"/>
        <v>17046</v>
      </c>
      <c r="AQ432" s="58">
        <f t="shared" si="3290"/>
        <v>17046</v>
      </c>
      <c r="AR432" s="58">
        <f t="shared" si="3291"/>
        <v>17046</v>
      </c>
      <c r="AS432" s="58">
        <f t="shared" si="3292"/>
        <v>17046</v>
      </c>
      <c r="AT432" s="19"/>
      <c r="AU432" s="21">
        <v>1359</v>
      </c>
      <c r="AV432" s="21">
        <v>1115</v>
      </c>
      <c r="AW432" s="21">
        <v>1783</v>
      </c>
      <c r="AX432" s="21">
        <v>1704</v>
      </c>
      <c r="AY432" s="21">
        <v>1496</v>
      </c>
      <c r="AZ432" s="19">
        <f t="shared" si="3196"/>
        <v>916</v>
      </c>
      <c r="BA432" s="19">
        <f t="shared" si="3197"/>
        <v>1832</v>
      </c>
      <c r="BB432" s="19">
        <f t="shared" si="3198"/>
        <v>2579</v>
      </c>
      <c r="BC432" s="19">
        <f t="shared" si="3199"/>
        <v>2604</v>
      </c>
      <c r="BD432" s="19">
        <f t="shared" si="3200"/>
        <v>3507</v>
      </c>
      <c r="BE432" s="19">
        <f t="shared" si="3201"/>
        <v>4384</v>
      </c>
      <c r="BF432" s="19">
        <f t="shared" si="3202"/>
        <v>5209</v>
      </c>
      <c r="BG432" s="19">
        <f t="shared" si="3203"/>
        <v>5748</v>
      </c>
      <c r="BH432" s="19">
        <f t="shared" si="3204"/>
        <v>5392</v>
      </c>
      <c r="BI432" s="19">
        <f t="shared" si="3205"/>
        <v>6963</v>
      </c>
      <c r="BJ432" s="19">
        <f t="shared" si="3206"/>
        <v>7414</v>
      </c>
      <c r="BK432" s="19">
        <f t="shared" si="3207"/>
        <v>9423</v>
      </c>
      <c r="BL432" s="19">
        <f t="shared" si="3208"/>
        <v>9513</v>
      </c>
      <c r="BM432" s="19">
        <f t="shared" si="3209"/>
        <v>12891</v>
      </c>
      <c r="BN432" s="19">
        <f t="shared" si="3210"/>
        <v>14201</v>
      </c>
      <c r="BO432" s="20">
        <f t="shared" si="3211"/>
        <v>16401</v>
      </c>
      <c r="BP432" s="19">
        <f t="shared" si="3212"/>
        <v>17046</v>
      </c>
      <c r="BQ432" s="19">
        <f t="shared" si="3213"/>
        <v>17046</v>
      </c>
      <c r="BR432" s="19">
        <f t="shared" si="3214"/>
        <v>17046</v>
      </c>
      <c r="BS432" s="19">
        <f t="shared" si="3215"/>
        <v>17046</v>
      </c>
      <c r="BT432" s="19">
        <f t="shared" si="3216"/>
        <v>17046</v>
      </c>
    </row>
    <row r="433" spans="1:72" ht="12" customHeight="1" outlineLevel="1">
      <c r="B433" s="1" t="s">
        <v>453</v>
      </c>
      <c r="C433" s="19"/>
      <c r="D433" s="21">
        <v>522</v>
      </c>
      <c r="E433" s="21">
        <v>499</v>
      </c>
      <c r="F433" s="21">
        <v>487</v>
      </c>
      <c r="G433" s="21">
        <v>467</v>
      </c>
      <c r="H433" s="21">
        <v>149</v>
      </c>
      <c r="I433" s="21">
        <v>150</v>
      </c>
      <c r="J433" s="21">
        <v>0</v>
      </c>
      <c r="K433" s="21">
        <v>0</v>
      </c>
      <c r="L433" s="21">
        <v>0</v>
      </c>
      <c r="M433" s="21">
        <v>0</v>
      </c>
      <c r="N433" s="62">
        <v>0</v>
      </c>
      <c r="O433" s="62">
        <v>0</v>
      </c>
      <c r="P433" s="62">
        <v>0</v>
      </c>
      <c r="Q433" s="62">
        <v>0</v>
      </c>
      <c r="R433" s="62">
        <v>0</v>
      </c>
      <c r="S433" s="62">
        <v>0</v>
      </c>
      <c r="T433" s="62">
        <v>0</v>
      </c>
      <c r="U433" s="62">
        <v>0</v>
      </c>
      <c r="V433" s="62">
        <v>0</v>
      </c>
      <c r="W433" s="62">
        <v>0</v>
      </c>
      <c r="X433" s="62">
        <v>0</v>
      </c>
      <c r="Y433" s="62">
        <v>0</v>
      </c>
      <c r="Z433" s="62">
        <v>0</v>
      </c>
      <c r="AA433" s="62">
        <v>0</v>
      </c>
      <c r="AB433" s="62">
        <v>0</v>
      </c>
      <c r="AC433" s="62">
        <v>0</v>
      </c>
      <c r="AD433" s="62">
        <v>0</v>
      </c>
      <c r="AE433" s="62">
        <v>0</v>
      </c>
      <c r="AF433" s="62">
        <v>0</v>
      </c>
      <c r="AG433" s="62">
        <v>0</v>
      </c>
      <c r="AH433" s="62">
        <v>0</v>
      </c>
      <c r="AI433" s="62">
        <v>0</v>
      </c>
      <c r="AJ433" s="57">
        <v>0</v>
      </c>
      <c r="AK433" s="58">
        <f t="shared" si="3284"/>
        <v>0</v>
      </c>
      <c r="AL433" s="58">
        <f t="shared" si="3285"/>
        <v>0</v>
      </c>
      <c r="AM433" s="58">
        <f t="shared" si="3286"/>
        <v>0</v>
      </c>
      <c r="AN433" s="58">
        <f t="shared" si="3287"/>
        <v>0</v>
      </c>
      <c r="AO433" s="58">
        <f t="shared" si="3288"/>
        <v>0</v>
      </c>
      <c r="AP433" s="58">
        <f t="shared" si="3289"/>
        <v>0</v>
      </c>
      <c r="AQ433" s="58">
        <f t="shared" si="3290"/>
        <v>0</v>
      </c>
      <c r="AR433" s="58">
        <f t="shared" si="3291"/>
        <v>0</v>
      </c>
      <c r="AS433" s="58">
        <f t="shared" si="3292"/>
        <v>0</v>
      </c>
      <c r="AT433" s="19"/>
      <c r="AU433" s="21">
        <v>0</v>
      </c>
      <c r="AV433" s="21">
        <v>266</v>
      </c>
      <c r="AW433" s="21">
        <v>888</v>
      </c>
      <c r="AX433" s="21">
        <v>646</v>
      </c>
      <c r="AY433" s="21">
        <v>451</v>
      </c>
      <c r="AZ433" s="19">
        <f t="shared" si="3196"/>
        <v>499</v>
      </c>
      <c r="BA433" s="19">
        <f t="shared" si="3197"/>
        <v>467</v>
      </c>
      <c r="BB433" s="19">
        <f t="shared" si="3198"/>
        <v>150</v>
      </c>
      <c r="BC433" s="19">
        <f t="shared" si="3199"/>
        <v>0</v>
      </c>
      <c r="BD433" s="19">
        <f t="shared" si="3200"/>
        <v>0</v>
      </c>
      <c r="BE433" s="19">
        <f t="shared" si="3201"/>
        <v>0</v>
      </c>
      <c r="BF433" s="19">
        <f t="shared" si="3202"/>
        <v>0</v>
      </c>
      <c r="BG433" s="19">
        <f t="shared" si="3203"/>
        <v>0</v>
      </c>
      <c r="BH433" s="19">
        <f t="shared" si="3204"/>
        <v>0</v>
      </c>
      <c r="BI433" s="19">
        <f t="shared" si="3205"/>
        <v>0</v>
      </c>
      <c r="BJ433" s="19">
        <f t="shared" si="3206"/>
        <v>0</v>
      </c>
      <c r="BK433" s="19">
        <f t="shared" si="3207"/>
        <v>0</v>
      </c>
      <c r="BL433" s="19">
        <f t="shared" si="3208"/>
        <v>0</v>
      </c>
      <c r="BM433" s="19">
        <f t="shared" si="3209"/>
        <v>0</v>
      </c>
      <c r="BN433" s="19">
        <f t="shared" si="3210"/>
        <v>0</v>
      </c>
      <c r="BO433" s="20">
        <f t="shared" si="3211"/>
        <v>0</v>
      </c>
      <c r="BP433" s="19">
        <f t="shared" si="3212"/>
        <v>0</v>
      </c>
      <c r="BQ433" s="19">
        <f t="shared" si="3213"/>
        <v>0</v>
      </c>
      <c r="BR433" s="19">
        <f t="shared" si="3214"/>
        <v>0</v>
      </c>
      <c r="BS433" s="19">
        <f t="shared" si="3215"/>
        <v>0</v>
      </c>
      <c r="BT433" s="19">
        <f t="shared" si="3216"/>
        <v>0</v>
      </c>
    </row>
    <row r="434" spans="1:72" ht="12" hidden="1" customHeight="1" outlineLevel="2">
      <c r="B434" s="1" t="s">
        <v>173</v>
      </c>
      <c r="D434" s="21"/>
      <c r="E434" s="21"/>
      <c r="F434" s="21"/>
      <c r="G434" s="21"/>
      <c r="H434" s="21"/>
      <c r="I434" s="21"/>
      <c r="J434" s="21"/>
      <c r="K434" s="21"/>
      <c r="L434" s="21"/>
      <c r="M434" s="21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20"/>
      <c r="AK434" s="19"/>
      <c r="AL434" s="19"/>
      <c r="AM434" s="19"/>
      <c r="AN434" s="19"/>
      <c r="AO434" s="19"/>
      <c r="AP434" s="19"/>
      <c r="AQ434" s="19"/>
      <c r="AR434" s="19"/>
      <c r="AS434" s="19"/>
      <c r="AU434" s="21"/>
      <c r="AV434" s="21"/>
      <c r="AW434" s="21"/>
      <c r="AX434" s="21"/>
      <c r="AY434" s="21"/>
      <c r="AZ434" s="19">
        <f t="shared" si="3196"/>
        <v>0</v>
      </c>
      <c r="BA434" s="19">
        <f t="shared" si="3197"/>
        <v>0</v>
      </c>
      <c r="BB434" s="19">
        <f t="shared" si="3198"/>
        <v>0</v>
      </c>
      <c r="BC434" s="19">
        <f t="shared" si="3199"/>
        <v>0</v>
      </c>
      <c r="BD434" s="19">
        <f t="shared" si="3200"/>
        <v>0</v>
      </c>
      <c r="BE434" s="19">
        <f t="shared" si="3201"/>
        <v>0</v>
      </c>
      <c r="BF434" s="19">
        <f t="shared" si="3202"/>
        <v>0</v>
      </c>
      <c r="BG434" s="19">
        <f t="shared" si="3203"/>
        <v>0</v>
      </c>
      <c r="BH434" s="19">
        <f t="shared" si="3204"/>
        <v>0</v>
      </c>
      <c r="BI434" s="19">
        <f t="shared" si="3205"/>
        <v>0</v>
      </c>
      <c r="BJ434" s="19">
        <f t="shared" si="3206"/>
        <v>0</v>
      </c>
      <c r="BK434" s="19">
        <f t="shared" si="3207"/>
        <v>0</v>
      </c>
      <c r="BL434" s="19">
        <f t="shared" si="3208"/>
        <v>0</v>
      </c>
      <c r="BM434" s="19">
        <f t="shared" si="3209"/>
        <v>0</v>
      </c>
      <c r="BN434" s="19">
        <f t="shared" si="3210"/>
        <v>0</v>
      </c>
      <c r="BO434" s="20">
        <f t="shared" si="3211"/>
        <v>0</v>
      </c>
      <c r="BP434" s="19">
        <f t="shared" si="3212"/>
        <v>0</v>
      </c>
      <c r="BQ434" s="19">
        <f t="shared" si="3213"/>
        <v>0</v>
      </c>
      <c r="BR434" s="19">
        <f t="shared" si="3214"/>
        <v>0</v>
      </c>
      <c r="BS434" s="19">
        <f t="shared" si="3215"/>
        <v>0</v>
      </c>
      <c r="BT434" s="19">
        <f t="shared" si="3216"/>
        <v>0</v>
      </c>
    </row>
    <row r="435" spans="1:72" ht="12" hidden="1" customHeight="1" outlineLevel="2">
      <c r="B435" s="1" t="s">
        <v>173</v>
      </c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20"/>
      <c r="AK435" s="19"/>
      <c r="AL435" s="19"/>
      <c r="AM435" s="19"/>
      <c r="AN435" s="19"/>
      <c r="AO435" s="19"/>
      <c r="AP435" s="19"/>
      <c r="AQ435" s="19"/>
      <c r="AR435" s="19"/>
      <c r="AS435" s="19"/>
      <c r="AU435" s="21"/>
      <c r="AV435" s="21"/>
      <c r="AW435" s="21"/>
      <c r="AX435" s="21"/>
      <c r="AY435" s="21"/>
      <c r="AZ435" s="19">
        <f t="shared" si="3196"/>
        <v>0</v>
      </c>
      <c r="BA435" s="19">
        <f t="shared" si="3197"/>
        <v>0</v>
      </c>
      <c r="BB435" s="19">
        <f t="shared" si="3198"/>
        <v>0</v>
      </c>
      <c r="BC435" s="19">
        <f t="shared" si="3199"/>
        <v>0</v>
      </c>
      <c r="BD435" s="19">
        <f t="shared" si="3200"/>
        <v>0</v>
      </c>
      <c r="BE435" s="19">
        <f t="shared" si="3201"/>
        <v>0</v>
      </c>
      <c r="BF435" s="19">
        <f t="shared" si="3202"/>
        <v>0</v>
      </c>
      <c r="BG435" s="19">
        <f t="shared" si="3203"/>
        <v>0</v>
      </c>
      <c r="BH435" s="19">
        <f t="shared" si="3204"/>
        <v>0</v>
      </c>
      <c r="BI435" s="19">
        <f t="shared" si="3205"/>
        <v>0</v>
      </c>
      <c r="BJ435" s="19">
        <f t="shared" si="3206"/>
        <v>0</v>
      </c>
      <c r="BK435" s="19">
        <f t="shared" si="3207"/>
        <v>0</v>
      </c>
      <c r="BL435" s="19">
        <f t="shared" si="3208"/>
        <v>0</v>
      </c>
      <c r="BM435" s="19">
        <f t="shared" si="3209"/>
        <v>0</v>
      </c>
      <c r="BN435" s="19">
        <f t="shared" si="3210"/>
        <v>0</v>
      </c>
      <c r="BO435" s="20">
        <f t="shared" si="3211"/>
        <v>0</v>
      </c>
      <c r="BP435" s="19">
        <f t="shared" si="3212"/>
        <v>0</v>
      </c>
      <c r="BQ435" s="19">
        <f t="shared" si="3213"/>
        <v>0</v>
      </c>
      <c r="BR435" s="19">
        <f t="shared" si="3214"/>
        <v>0</v>
      </c>
      <c r="BS435" s="19">
        <f t="shared" si="3215"/>
        <v>0</v>
      </c>
      <c r="BT435" s="19">
        <f t="shared" si="3216"/>
        <v>0</v>
      </c>
    </row>
    <row r="436" spans="1:72" ht="12" hidden="1" customHeight="1" outlineLevel="2">
      <c r="B436" s="1" t="s">
        <v>173</v>
      </c>
      <c r="D436" s="21"/>
      <c r="E436" s="21"/>
      <c r="F436" s="21"/>
      <c r="G436" s="21"/>
      <c r="H436" s="21"/>
      <c r="I436" s="21"/>
      <c r="J436" s="21"/>
      <c r="K436" s="21"/>
      <c r="L436" s="21"/>
      <c r="M436" s="21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20"/>
      <c r="AK436" s="19"/>
      <c r="AL436" s="19"/>
      <c r="AM436" s="19"/>
      <c r="AN436" s="19"/>
      <c r="AO436" s="19"/>
      <c r="AP436" s="19"/>
      <c r="AQ436" s="19"/>
      <c r="AR436" s="19"/>
      <c r="AS436" s="19"/>
      <c r="AU436" s="21"/>
      <c r="AV436" s="21"/>
      <c r="AW436" s="21"/>
      <c r="AX436" s="21"/>
      <c r="AY436" s="21"/>
      <c r="AZ436" s="19">
        <f t="shared" si="3196"/>
        <v>0</v>
      </c>
      <c r="BA436" s="19">
        <f t="shared" si="3197"/>
        <v>0</v>
      </c>
      <c r="BB436" s="19">
        <f t="shared" si="3198"/>
        <v>0</v>
      </c>
      <c r="BC436" s="19">
        <f t="shared" si="3199"/>
        <v>0</v>
      </c>
      <c r="BD436" s="19">
        <f t="shared" si="3200"/>
        <v>0</v>
      </c>
      <c r="BE436" s="19">
        <f t="shared" si="3201"/>
        <v>0</v>
      </c>
      <c r="BF436" s="19">
        <f t="shared" si="3202"/>
        <v>0</v>
      </c>
      <c r="BG436" s="19">
        <f t="shared" si="3203"/>
        <v>0</v>
      </c>
      <c r="BH436" s="19">
        <f t="shared" si="3204"/>
        <v>0</v>
      </c>
      <c r="BI436" s="19">
        <f t="shared" si="3205"/>
        <v>0</v>
      </c>
      <c r="BJ436" s="19">
        <f t="shared" si="3206"/>
        <v>0</v>
      </c>
      <c r="BK436" s="19">
        <f t="shared" si="3207"/>
        <v>0</v>
      </c>
      <c r="BL436" s="19">
        <f t="shared" si="3208"/>
        <v>0</v>
      </c>
      <c r="BM436" s="19">
        <f t="shared" si="3209"/>
        <v>0</v>
      </c>
      <c r="BN436" s="19">
        <f t="shared" si="3210"/>
        <v>0</v>
      </c>
      <c r="BO436" s="20">
        <f t="shared" si="3211"/>
        <v>0</v>
      </c>
      <c r="BP436" s="19">
        <f t="shared" si="3212"/>
        <v>0</v>
      </c>
      <c r="BQ436" s="19">
        <f t="shared" si="3213"/>
        <v>0</v>
      </c>
      <c r="BR436" s="19">
        <f t="shared" si="3214"/>
        <v>0</v>
      </c>
      <c r="BS436" s="19">
        <f t="shared" si="3215"/>
        <v>0</v>
      </c>
      <c r="BT436" s="19">
        <f t="shared" si="3216"/>
        <v>0</v>
      </c>
    </row>
    <row r="437" spans="1:72" ht="12" hidden="1" customHeight="1" outlineLevel="2">
      <c r="B437" s="1" t="s">
        <v>173</v>
      </c>
      <c r="D437" s="21"/>
      <c r="E437" s="21"/>
      <c r="F437" s="21"/>
      <c r="G437" s="21"/>
      <c r="H437" s="21"/>
      <c r="I437" s="21"/>
      <c r="J437" s="21"/>
      <c r="K437" s="21"/>
      <c r="L437" s="21"/>
      <c r="M437" s="21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20"/>
      <c r="AK437" s="19"/>
      <c r="AL437" s="19"/>
      <c r="AM437" s="19"/>
      <c r="AN437" s="19"/>
      <c r="AO437" s="19"/>
      <c r="AP437" s="19"/>
      <c r="AQ437" s="19"/>
      <c r="AR437" s="19"/>
      <c r="AS437" s="19"/>
      <c r="AU437" s="21"/>
      <c r="AV437" s="21"/>
      <c r="AW437" s="21"/>
      <c r="AX437" s="21"/>
      <c r="AY437" s="21"/>
      <c r="AZ437" s="19">
        <f t="shared" si="3196"/>
        <v>0</v>
      </c>
      <c r="BA437" s="19">
        <f t="shared" si="3197"/>
        <v>0</v>
      </c>
      <c r="BB437" s="19">
        <f t="shared" si="3198"/>
        <v>0</v>
      </c>
      <c r="BC437" s="19">
        <f t="shared" si="3199"/>
        <v>0</v>
      </c>
      <c r="BD437" s="19">
        <f t="shared" si="3200"/>
        <v>0</v>
      </c>
      <c r="BE437" s="19">
        <f t="shared" si="3201"/>
        <v>0</v>
      </c>
      <c r="BF437" s="19">
        <f t="shared" si="3202"/>
        <v>0</v>
      </c>
      <c r="BG437" s="19">
        <f t="shared" si="3203"/>
        <v>0</v>
      </c>
      <c r="BH437" s="19">
        <f t="shared" si="3204"/>
        <v>0</v>
      </c>
      <c r="BI437" s="19">
        <f t="shared" si="3205"/>
        <v>0</v>
      </c>
      <c r="BJ437" s="19">
        <f t="shared" si="3206"/>
        <v>0</v>
      </c>
      <c r="BK437" s="19">
        <f t="shared" si="3207"/>
        <v>0</v>
      </c>
      <c r="BL437" s="19">
        <f t="shared" si="3208"/>
        <v>0</v>
      </c>
      <c r="BM437" s="19">
        <f t="shared" si="3209"/>
        <v>0</v>
      </c>
      <c r="BN437" s="19">
        <f t="shared" si="3210"/>
        <v>0</v>
      </c>
      <c r="BO437" s="20">
        <f t="shared" si="3211"/>
        <v>0</v>
      </c>
      <c r="BP437" s="19">
        <f t="shared" si="3212"/>
        <v>0</v>
      </c>
      <c r="BQ437" s="19">
        <f t="shared" si="3213"/>
        <v>0</v>
      </c>
      <c r="BR437" s="19">
        <f t="shared" si="3214"/>
        <v>0</v>
      </c>
      <c r="BS437" s="19">
        <f t="shared" si="3215"/>
        <v>0</v>
      </c>
      <c r="BT437" s="19">
        <f t="shared" si="3216"/>
        <v>0</v>
      </c>
    </row>
    <row r="438" spans="1:72" ht="12" hidden="1" customHeight="1" outlineLevel="2">
      <c r="B438" s="1" t="s">
        <v>173</v>
      </c>
      <c r="D438" s="21"/>
      <c r="E438" s="21"/>
      <c r="F438" s="21"/>
      <c r="G438" s="21"/>
      <c r="H438" s="21"/>
      <c r="I438" s="21"/>
      <c r="J438" s="21"/>
      <c r="K438" s="21"/>
      <c r="L438" s="21"/>
      <c r="M438" s="21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20"/>
      <c r="AK438" s="19"/>
      <c r="AL438" s="19"/>
      <c r="AM438" s="19"/>
      <c r="AN438" s="19"/>
      <c r="AO438" s="19"/>
      <c r="AP438" s="19"/>
      <c r="AQ438" s="19"/>
      <c r="AR438" s="19"/>
      <c r="AS438" s="19"/>
      <c r="AU438" s="21"/>
      <c r="AV438" s="21"/>
      <c r="AW438" s="21"/>
      <c r="AX438" s="21"/>
      <c r="AY438" s="21"/>
      <c r="AZ438" s="19">
        <f t="shared" si="3196"/>
        <v>0</v>
      </c>
      <c r="BA438" s="19">
        <f t="shared" si="3197"/>
        <v>0</v>
      </c>
      <c r="BB438" s="19">
        <f t="shared" si="3198"/>
        <v>0</v>
      </c>
      <c r="BC438" s="19">
        <f t="shared" si="3199"/>
        <v>0</v>
      </c>
      <c r="BD438" s="19">
        <f t="shared" si="3200"/>
        <v>0</v>
      </c>
      <c r="BE438" s="19">
        <f t="shared" si="3201"/>
        <v>0</v>
      </c>
      <c r="BF438" s="19">
        <f t="shared" si="3202"/>
        <v>0</v>
      </c>
      <c r="BG438" s="19">
        <f t="shared" si="3203"/>
        <v>0</v>
      </c>
      <c r="BH438" s="19">
        <f t="shared" si="3204"/>
        <v>0</v>
      </c>
      <c r="BI438" s="19">
        <f t="shared" si="3205"/>
        <v>0</v>
      </c>
      <c r="BJ438" s="19">
        <f t="shared" si="3206"/>
        <v>0</v>
      </c>
      <c r="BK438" s="19">
        <f t="shared" si="3207"/>
        <v>0</v>
      </c>
      <c r="BL438" s="19">
        <f t="shared" si="3208"/>
        <v>0</v>
      </c>
      <c r="BM438" s="19">
        <f t="shared" si="3209"/>
        <v>0</v>
      </c>
      <c r="BN438" s="19">
        <f t="shared" si="3210"/>
        <v>0</v>
      </c>
      <c r="BO438" s="20">
        <f t="shared" si="3211"/>
        <v>0</v>
      </c>
      <c r="BP438" s="19">
        <f t="shared" si="3212"/>
        <v>0</v>
      </c>
      <c r="BQ438" s="19">
        <f t="shared" si="3213"/>
        <v>0</v>
      </c>
      <c r="BR438" s="19">
        <f t="shared" si="3214"/>
        <v>0</v>
      </c>
      <c r="BS438" s="19">
        <f t="shared" si="3215"/>
        <v>0</v>
      </c>
      <c r="BT438" s="19">
        <f t="shared" si="3216"/>
        <v>0</v>
      </c>
    </row>
    <row r="439" spans="1:72" ht="12" hidden="1" customHeight="1" outlineLevel="2">
      <c r="B439" s="1" t="s">
        <v>173</v>
      </c>
      <c r="D439" s="21"/>
      <c r="E439" s="21"/>
      <c r="F439" s="21"/>
      <c r="G439" s="21"/>
      <c r="H439" s="21"/>
      <c r="I439" s="21"/>
      <c r="J439" s="21"/>
      <c r="K439" s="21"/>
      <c r="L439" s="21"/>
      <c r="M439" s="21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20"/>
      <c r="AK439" s="19"/>
      <c r="AL439" s="19"/>
      <c r="AM439" s="19"/>
      <c r="AN439" s="19"/>
      <c r="AO439" s="19"/>
      <c r="AP439" s="19"/>
      <c r="AQ439" s="19"/>
      <c r="AR439" s="19"/>
      <c r="AS439" s="19"/>
      <c r="AU439" s="21"/>
      <c r="AV439" s="21"/>
      <c r="AW439" s="21"/>
      <c r="AX439" s="21"/>
      <c r="AY439" s="21"/>
      <c r="AZ439" s="19">
        <f t="shared" si="3196"/>
        <v>0</v>
      </c>
      <c r="BA439" s="19">
        <f t="shared" si="3197"/>
        <v>0</v>
      </c>
      <c r="BB439" s="19">
        <f t="shared" si="3198"/>
        <v>0</v>
      </c>
      <c r="BC439" s="19">
        <f t="shared" si="3199"/>
        <v>0</v>
      </c>
      <c r="BD439" s="19">
        <f t="shared" si="3200"/>
        <v>0</v>
      </c>
      <c r="BE439" s="19">
        <f t="shared" si="3201"/>
        <v>0</v>
      </c>
      <c r="BF439" s="19">
        <f t="shared" si="3202"/>
        <v>0</v>
      </c>
      <c r="BG439" s="19">
        <f t="shared" si="3203"/>
        <v>0</v>
      </c>
      <c r="BH439" s="19">
        <f t="shared" si="3204"/>
        <v>0</v>
      </c>
      <c r="BI439" s="19">
        <f t="shared" si="3205"/>
        <v>0</v>
      </c>
      <c r="BJ439" s="19">
        <f t="shared" si="3206"/>
        <v>0</v>
      </c>
      <c r="BK439" s="19">
        <f t="shared" si="3207"/>
        <v>0</v>
      </c>
      <c r="BL439" s="19">
        <f t="shared" si="3208"/>
        <v>0</v>
      </c>
      <c r="BM439" s="19">
        <f t="shared" si="3209"/>
        <v>0</v>
      </c>
      <c r="BN439" s="19">
        <f t="shared" si="3210"/>
        <v>0</v>
      </c>
      <c r="BO439" s="20">
        <f t="shared" si="3211"/>
        <v>0</v>
      </c>
      <c r="BP439" s="19">
        <f t="shared" si="3212"/>
        <v>0</v>
      </c>
      <c r="BQ439" s="19">
        <f t="shared" si="3213"/>
        <v>0</v>
      </c>
      <c r="BR439" s="19">
        <f t="shared" si="3214"/>
        <v>0</v>
      </c>
      <c r="BS439" s="19">
        <f t="shared" si="3215"/>
        <v>0</v>
      </c>
      <c r="BT439" s="19">
        <f t="shared" si="3216"/>
        <v>0</v>
      </c>
    </row>
    <row r="440" spans="1:72" ht="12" hidden="1" customHeight="1" outlineLevel="2">
      <c r="B440" s="1" t="s">
        <v>173</v>
      </c>
      <c r="D440" s="21"/>
      <c r="E440" s="21"/>
      <c r="F440" s="21"/>
      <c r="G440" s="21"/>
      <c r="H440" s="21"/>
      <c r="I440" s="21"/>
      <c r="J440" s="21"/>
      <c r="K440" s="21"/>
      <c r="L440" s="21"/>
      <c r="M440" s="21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20"/>
      <c r="AK440" s="19"/>
      <c r="AL440" s="19"/>
      <c r="AM440" s="19"/>
      <c r="AN440" s="19"/>
      <c r="AO440" s="19"/>
      <c r="AP440" s="19"/>
      <c r="AQ440" s="19"/>
      <c r="AR440" s="19"/>
      <c r="AS440" s="19"/>
      <c r="AU440" s="21"/>
      <c r="AV440" s="21"/>
      <c r="AW440" s="21"/>
      <c r="AX440" s="21"/>
      <c r="AY440" s="21"/>
      <c r="AZ440" s="19">
        <f t="shared" si="3196"/>
        <v>0</v>
      </c>
      <c r="BA440" s="19">
        <f t="shared" si="3197"/>
        <v>0</v>
      </c>
      <c r="BB440" s="19">
        <f t="shared" si="3198"/>
        <v>0</v>
      </c>
      <c r="BC440" s="19">
        <f t="shared" si="3199"/>
        <v>0</v>
      </c>
      <c r="BD440" s="19">
        <f t="shared" si="3200"/>
        <v>0</v>
      </c>
      <c r="BE440" s="19">
        <f t="shared" si="3201"/>
        <v>0</v>
      </c>
      <c r="BF440" s="19">
        <f t="shared" si="3202"/>
        <v>0</v>
      </c>
      <c r="BG440" s="19">
        <f t="shared" si="3203"/>
        <v>0</v>
      </c>
      <c r="BH440" s="19">
        <f t="shared" si="3204"/>
        <v>0</v>
      </c>
      <c r="BI440" s="19">
        <f t="shared" si="3205"/>
        <v>0</v>
      </c>
      <c r="BJ440" s="19">
        <f t="shared" si="3206"/>
        <v>0</v>
      </c>
      <c r="BK440" s="19">
        <f t="shared" si="3207"/>
        <v>0</v>
      </c>
      <c r="BL440" s="19">
        <f t="shared" si="3208"/>
        <v>0</v>
      </c>
      <c r="BM440" s="19">
        <f t="shared" si="3209"/>
        <v>0</v>
      </c>
      <c r="BN440" s="19">
        <f t="shared" si="3210"/>
        <v>0</v>
      </c>
      <c r="BO440" s="20">
        <f t="shared" si="3211"/>
        <v>0</v>
      </c>
      <c r="BP440" s="19">
        <f t="shared" si="3212"/>
        <v>0</v>
      </c>
      <c r="BQ440" s="19">
        <f t="shared" si="3213"/>
        <v>0</v>
      </c>
      <c r="BR440" s="19">
        <f t="shared" si="3214"/>
        <v>0</v>
      </c>
      <c r="BS440" s="19">
        <f t="shared" si="3215"/>
        <v>0</v>
      </c>
      <c r="BT440" s="19">
        <f t="shared" si="3216"/>
        <v>0</v>
      </c>
    </row>
    <row r="441" spans="1:72" ht="12" hidden="1" customHeight="1" outlineLevel="2">
      <c r="B441" s="1" t="s">
        <v>173</v>
      </c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20"/>
      <c r="AK441" s="19"/>
      <c r="AL441" s="19"/>
      <c r="AM441" s="19"/>
      <c r="AN441" s="19"/>
      <c r="AO441" s="19"/>
      <c r="AP441" s="19"/>
      <c r="AQ441" s="19"/>
      <c r="AR441" s="19"/>
      <c r="AS441" s="19"/>
      <c r="AU441" s="21"/>
      <c r="AV441" s="21"/>
      <c r="AW441" s="21"/>
      <c r="AX441" s="21"/>
      <c r="AY441" s="21"/>
      <c r="AZ441" s="19">
        <f t="shared" si="3196"/>
        <v>0</v>
      </c>
      <c r="BA441" s="19">
        <f t="shared" si="3197"/>
        <v>0</v>
      </c>
      <c r="BB441" s="19">
        <f t="shared" si="3198"/>
        <v>0</v>
      </c>
      <c r="BC441" s="19">
        <f t="shared" si="3199"/>
        <v>0</v>
      </c>
      <c r="BD441" s="19">
        <f t="shared" si="3200"/>
        <v>0</v>
      </c>
      <c r="BE441" s="19">
        <f t="shared" si="3201"/>
        <v>0</v>
      </c>
      <c r="BF441" s="19">
        <f t="shared" si="3202"/>
        <v>0</v>
      </c>
      <c r="BG441" s="19">
        <f t="shared" si="3203"/>
        <v>0</v>
      </c>
      <c r="BH441" s="19">
        <f t="shared" si="3204"/>
        <v>0</v>
      </c>
      <c r="BI441" s="19">
        <f t="shared" si="3205"/>
        <v>0</v>
      </c>
      <c r="BJ441" s="19">
        <f t="shared" si="3206"/>
        <v>0</v>
      </c>
      <c r="BK441" s="19">
        <f t="shared" si="3207"/>
        <v>0</v>
      </c>
      <c r="BL441" s="19">
        <f t="shared" si="3208"/>
        <v>0</v>
      </c>
      <c r="BM441" s="19">
        <f t="shared" si="3209"/>
        <v>0</v>
      </c>
      <c r="BN441" s="19">
        <f t="shared" si="3210"/>
        <v>0</v>
      </c>
      <c r="BO441" s="20">
        <f t="shared" si="3211"/>
        <v>0</v>
      </c>
      <c r="BP441" s="19">
        <f t="shared" si="3212"/>
        <v>0</v>
      </c>
      <c r="BQ441" s="19">
        <f t="shared" si="3213"/>
        <v>0</v>
      </c>
      <c r="BR441" s="19">
        <f t="shared" si="3214"/>
        <v>0</v>
      </c>
      <c r="BS441" s="19">
        <f t="shared" si="3215"/>
        <v>0</v>
      </c>
      <c r="BT441" s="19">
        <f t="shared" si="3216"/>
        <v>0</v>
      </c>
    </row>
    <row r="442" spans="1:72" ht="12" hidden="1" customHeight="1" outlineLevel="2">
      <c r="B442" s="1" t="s">
        <v>173</v>
      </c>
      <c r="D442" s="21"/>
      <c r="E442" s="21"/>
      <c r="F442" s="21"/>
      <c r="G442" s="21"/>
      <c r="H442" s="21"/>
      <c r="I442" s="21"/>
      <c r="J442" s="21"/>
      <c r="K442" s="21"/>
      <c r="L442" s="21"/>
      <c r="M442" s="21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20"/>
      <c r="AK442" s="19"/>
      <c r="AL442" s="19"/>
      <c r="AM442" s="19"/>
      <c r="AN442" s="19"/>
      <c r="AO442" s="19"/>
      <c r="AP442" s="19"/>
      <c r="AQ442" s="19"/>
      <c r="AR442" s="19"/>
      <c r="AS442" s="19"/>
      <c r="AU442" s="21"/>
      <c r="AV442" s="21"/>
      <c r="AW442" s="21"/>
      <c r="AX442" s="21"/>
      <c r="AY442" s="21"/>
      <c r="AZ442" s="19">
        <f t="shared" si="3196"/>
        <v>0</v>
      </c>
      <c r="BA442" s="19">
        <f t="shared" si="3197"/>
        <v>0</v>
      </c>
      <c r="BB442" s="19">
        <f t="shared" si="3198"/>
        <v>0</v>
      </c>
      <c r="BC442" s="19">
        <f t="shared" si="3199"/>
        <v>0</v>
      </c>
      <c r="BD442" s="19">
        <f t="shared" si="3200"/>
        <v>0</v>
      </c>
      <c r="BE442" s="19">
        <f t="shared" si="3201"/>
        <v>0</v>
      </c>
      <c r="BF442" s="19">
        <f t="shared" si="3202"/>
        <v>0</v>
      </c>
      <c r="BG442" s="19">
        <f t="shared" si="3203"/>
        <v>0</v>
      </c>
      <c r="BH442" s="19">
        <f t="shared" si="3204"/>
        <v>0</v>
      </c>
      <c r="BI442" s="19">
        <f t="shared" si="3205"/>
        <v>0</v>
      </c>
      <c r="BJ442" s="19">
        <f t="shared" si="3206"/>
        <v>0</v>
      </c>
      <c r="BK442" s="19">
        <f t="shared" si="3207"/>
        <v>0</v>
      </c>
      <c r="BL442" s="19">
        <f t="shared" si="3208"/>
        <v>0</v>
      </c>
      <c r="BM442" s="19">
        <f t="shared" si="3209"/>
        <v>0</v>
      </c>
      <c r="BN442" s="19">
        <f t="shared" si="3210"/>
        <v>0</v>
      </c>
      <c r="BO442" s="20">
        <f t="shared" si="3211"/>
        <v>0</v>
      </c>
      <c r="BP442" s="19">
        <f t="shared" si="3212"/>
        <v>0</v>
      </c>
      <c r="BQ442" s="19">
        <f t="shared" si="3213"/>
        <v>0</v>
      </c>
      <c r="BR442" s="19">
        <f t="shared" si="3214"/>
        <v>0</v>
      </c>
      <c r="BS442" s="19">
        <f t="shared" si="3215"/>
        <v>0</v>
      </c>
      <c r="BT442" s="19">
        <f t="shared" si="3216"/>
        <v>0</v>
      </c>
    </row>
    <row r="443" spans="1:72" ht="12" hidden="1" customHeight="1" outlineLevel="2">
      <c r="B443" s="1" t="s">
        <v>173</v>
      </c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27"/>
      <c r="AK443" s="30"/>
      <c r="AL443" s="30"/>
      <c r="AM443" s="30"/>
      <c r="AN443" s="30"/>
      <c r="AO443" s="30"/>
      <c r="AP443" s="30"/>
      <c r="AQ443" s="30"/>
      <c r="AR443" s="30"/>
      <c r="AS443" s="30"/>
      <c r="AU443" s="22"/>
      <c r="AV443" s="22"/>
      <c r="AW443" s="22"/>
      <c r="AX443" s="22"/>
      <c r="AY443" s="22"/>
      <c r="AZ443" s="19">
        <f t="shared" si="3196"/>
        <v>0</v>
      </c>
      <c r="BA443" s="19">
        <f t="shared" si="3197"/>
        <v>0</v>
      </c>
      <c r="BB443" s="19">
        <f t="shared" si="3198"/>
        <v>0</v>
      </c>
      <c r="BC443" s="19">
        <f t="shared" si="3199"/>
        <v>0</v>
      </c>
      <c r="BD443" s="19">
        <f t="shared" si="3200"/>
        <v>0</v>
      </c>
      <c r="BE443" s="19">
        <f t="shared" si="3201"/>
        <v>0</v>
      </c>
      <c r="BF443" s="19">
        <f t="shared" si="3202"/>
        <v>0</v>
      </c>
      <c r="BG443" s="19">
        <f t="shared" si="3203"/>
        <v>0</v>
      </c>
      <c r="BH443" s="19">
        <f t="shared" si="3204"/>
        <v>0</v>
      </c>
      <c r="BI443" s="19">
        <f t="shared" si="3205"/>
        <v>0</v>
      </c>
      <c r="BJ443" s="19">
        <f t="shared" si="3206"/>
        <v>0</v>
      </c>
      <c r="BK443" s="19">
        <f t="shared" si="3207"/>
        <v>0</v>
      </c>
      <c r="BL443" s="19">
        <f t="shared" si="3208"/>
        <v>0</v>
      </c>
      <c r="BM443" s="19">
        <f t="shared" si="3209"/>
        <v>0</v>
      </c>
      <c r="BN443" s="19">
        <f t="shared" si="3210"/>
        <v>0</v>
      </c>
      <c r="BO443" s="20">
        <f t="shared" si="3211"/>
        <v>0</v>
      </c>
      <c r="BP443" s="19">
        <f t="shared" si="3212"/>
        <v>0</v>
      </c>
      <c r="BQ443" s="19">
        <f t="shared" si="3213"/>
        <v>0</v>
      </c>
      <c r="BR443" s="19">
        <f t="shared" si="3214"/>
        <v>0</v>
      </c>
      <c r="BS443" s="19">
        <f t="shared" si="3215"/>
        <v>0</v>
      </c>
      <c r="BT443" s="19">
        <f t="shared" si="3216"/>
        <v>0</v>
      </c>
    </row>
    <row r="444" spans="1:72" s="9" customFormat="1" ht="12" customHeight="1" outlineLevel="1" collapsed="1">
      <c r="A444" s="91" t="s">
        <v>1313</v>
      </c>
      <c r="B444" s="9" t="s">
        <v>184</v>
      </c>
      <c r="C444" s="17"/>
      <c r="D444" s="17">
        <f>D402-D454</f>
        <v>135711</v>
      </c>
      <c r="E444" s="17">
        <f t="shared" ref="E444:M444" si="3293">E402-E454</f>
        <v>134171</v>
      </c>
      <c r="F444" s="17">
        <f t="shared" si="3293"/>
        <v>146467</v>
      </c>
      <c r="G444" s="17">
        <f t="shared" si="3293"/>
        <v>145636</v>
      </c>
      <c r="H444" s="17">
        <f t="shared" si="3293"/>
        <v>162924</v>
      </c>
      <c r="I444" s="17">
        <f t="shared" si="3293"/>
        <v>141894</v>
      </c>
      <c r="J444" s="17">
        <f t="shared" si="3293"/>
        <v>140681</v>
      </c>
      <c r="K444" s="17">
        <f t="shared" si="3293"/>
        <v>132793</v>
      </c>
      <c r="L444" s="17">
        <f t="shared" ref="L444" si="3294">L402-L454</f>
        <v>141881</v>
      </c>
      <c r="M444" s="17">
        <f t="shared" si="3293"/>
        <v>141990</v>
      </c>
      <c r="N444" s="17">
        <f t="shared" ref="N444:S444" si="3295">N402-N454</f>
        <v>150116</v>
      </c>
      <c r="O444" s="17">
        <f t="shared" si="3295"/>
        <v>173580</v>
      </c>
      <c r="P444" s="17">
        <f t="shared" si="3295"/>
        <v>193873</v>
      </c>
      <c r="Q444" s="17">
        <f t="shared" si="3295"/>
        <v>181091</v>
      </c>
      <c r="R444" s="17">
        <f t="shared" si="3295"/>
        <v>177630</v>
      </c>
      <c r="S444" s="17">
        <f t="shared" si="3295"/>
        <v>165607</v>
      </c>
      <c r="T444" s="17">
        <f t="shared" ref="T444:U444" si="3296">T402-T454</f>
        <v>172661</v>
      </c>
      <c r="U444" s="17">
        <f t="shared" si="3296"/>
        <v>173145</v>
      </c>
      <c r="V444" s="17">
        <f t="shared" ref="V444:W444" si="3297">V402-V454</f>
        <v>188439</v>
      </c>
      <c r="W444" s="17">
        <f t="shared" si="3297"/>
        <v>179393</v>
      </c>
      <c r="X444" s="17">
        <f t="shared" ref="X444:Y444" si="3298">X402-X454</f>
        <v>199183</v>
      </c>
      <c r="Y444" s="17">
        <f t="shared" si="3298"/>
        <v>234018</v>
      </c>
      <c r="Z444" s="17">
        <f t="shared" ref="Z444:AA444" si="3299">Z402-Z454</f>
        <v>209946</v>
      </c>
      <c r="AA444" s="17">
        <f t="shared" si="3299"/>
        <v>223302</v>
      </c>
      <c r="AB444" s="17">
        <f t="shared" ref="AB444:AC444" si="3300">AB402-AB454</f>
        <v>324153</v>
      </c>
      <c r="AC444" s="17">
        <f t="shared" si="3300"/>
        <v>370370</v>
      </c>
      <c r="AD444" s="17">
        <f t="shared" ref="AD444:AE444" si="3301">AD402-AD454</f>
        <v>454887</v>
      </c>
      <c r="AE444" s="17">
        <f t="shared" si="3301"/>
        <v>353766</v>
      </c>
      <c r="AF444" s="17">
        <f t="shared" ref="AF444:AG444" si="3302">AF402-AF454</f>
        <v>361456</v>
      </c>
      <c r="AG444" s="17">
        <f t="shared" si="3302"/>
        <v>369408</v>
      </c>
      <c r="AH444" s="17">
        <f t="shared" ref="AH444:AI444" si="3303">AH402-AH454</f>
        <v>381481</v>
      </c>
      <c r="AI444" s="17">
        <f t="shared" si="3303"/>
        <v>409432</v>
      </c>
      <c r="AJ444" s="18">
        <f t="shared" ref="AJ444" si="3304">AJ402-AJ454</f>
        <v>449022</v>
      </c>
      <c r="AK444" s="17">
        <f t="shared" ref="AK444" si="3305">AK402-AK454</f>
        <v>477501.56939854735</v>
      </c>
      <c r="AL444" s="17">
        <f t="shared" ref="AL444:AM444" si="3306">AL402-AL454</f>
        <v>505982.63111194456</v>
      </c>
      <c r="AM444" s="17">
        <f t="shared" si="3306"/>
        <v>533066.93144119426</v>
      </c>
      <c r="AN444" s="17">
        <f t="shared" ref="AN444:AO444" si="3307">AN402-AN454</f>
        <v>555881.10574314906</v>
      </c>
      <c r="AO444" s="17">
        <f t="shared" si="3307"/>
        <v>577100.45790775726</v>
      </c>
      <c r="AP444" s="17">
        <f t="shared" ref="AP444:AQ444" si="3308">AP402-AP454</f>
        <v>597729.36914417276</v>
      </c>
      <c r="AQ444" s="17">
        <f t="shared" si="3308"/>
        <v>617798.52375005872</v>
      </c>
      <c r="AR444" s="17">
        <f t="shared" ref="AR444:AS444" si="3309">AR402-AR454</f>
        <v>638632.08715195511</v>
      </c>
      <c r="AS444" s="17">
        <f t="shared" si="3309"/>
        <v>659911.68252455653</v>
      </c>
      <c r="AT444" s="17"/>
      <c r="AU444" s="17">
        <f t="shared" ref="AU444:AX444" si="3310">AU402-AU454</f>
        <v>63555</v>
      </c>
      <c r="AV444" s="17">
        <f t="shared" si="3310"/>
        <v>100874</v>
      </c>
      <c r="AW444" s="17">
        <f t="shared" si="3310"/>
        <v>128870</v>
      </c>
      <c r="AX444" s="17">
        <f t="shared" si="3310"/>
        <v>157189</v>
      </c>
      <c r="AY444" s="17">
        <f t="shared" ref="AY444" si="3311">AY402-AY454</f>
        <v>139584</v>
      </c>
      <c r="AZ444" s="17">
        <f>SUM(AZ421:AZ443)</f>
        <v>134171</v>
      </c>
      <c r="BA444" s="17">
        <f t="shared" ref="BA444:BH444" si="3312">SUM(BA421:BA443)</f>
        <v>145636</v>
      </c>
      <c r="BB444" s="17">
        <f t="shared" si="3312"/>
        <v>141894</v>
      </c>
      <c r="BC444" s="17">
        <f t="shared" si="3312"/>
        <v>132793</v>
      </c>
      <c r="BD444" s="17">
        <f t="shared" si="3312"/>
        <v>141990</v>
      </c>
      <c r="BE444" s="17">
        <f t="shared" si="3312"/>
        <v>173580</v>
      </c>
      <c r="BF444" s="17">
        <f t="shared" si="3312"/>
        <v>181091</v>
      </c>
      <c r="BG444" s="17">
        <f t="shared" si="3312"/>
        <v>165607</v>
      </c>
      <c r="BH444" s="17">
        <f t="shared" si="3312"/>
        <v>173145</v>
      </c>
      <c r="BI444" s="17">
        <f t="shared" ref="BI444" si="3313">SUM(BI421:BI443)</f>
        <v>179393</v>
      </c>
      <c r="BJ444" s="17">
        <f t="shared" ref="BJ444:BO444" si="3314">SUM(BJ421:BJ443)</f>
        <v>234018</v>
      </c>
      <c r="BK444" s="17">
        <f t="shared" si="3314"/>
        <v>223302</v>
      </c>
      <c r="BL444" s="17">
        <f t="shared" si="3314"/>
        <v>370370</v>
      </c>
      <c r="BM444" s="17">
        <f t="shared" si="3314"/>
        <v>353766</v>
      </c>
      <c r="BN444" s="17">
        <f t="shared" si="3314"/>
        <v>369408</v>
      </c>
      <c r="BO444" s="18">
        <f t="shared" si="3314"/>
        <v>409432</v>
      </c>
      <c r="BP444" s="17">
        <f t="shared" ref="BP444:BQ444" si="3315">SUM(BP421:BP443)</f>
        <v>477501.56939854735</v>
      </c>
      <c r="BQ444" s="17">
        <f t="shared" si="3315"/>
        <v>533066.93144119426</v>
      </c>
      <c r="BR444" s="17">
        <f t="shared" ref="BR444:BS444" si="3316">SUM(BR421:BR443)</f>
        <v>577100.45790775726</v>
      </c>
      <c r="BS444" s="17">
        <f t="shared" si="3316"/>
        <v>617798.52375005872</v>
      </c>
      <c r="BT444" s="17">
        <f>SUM(BT421:BT443)</f>
        <v>659911.68252455653</v>
      </c>
    </row>
    <row r="445" spans="1:72" ht="12" customHeight="1" outlineLevel="1"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20"/>
      <c r="AK445" s="19"/>
      <c r="AL445" s="19"/>
      <c r="AM445" s="19"/>
      <c r="AN445" s="19"/>
      <c r="AO445" s="19"/>
      <c r="AP445" s="19"/>
      <c r="AQ445" s="19"/>
      <c r="AR445" s="19"/>
      <c r="AS445" s="19"/>
      <c r="AT445" s="19"/>
      <c r="AU445" s="19"/>
      <c r="AV445" s="19"/>
      <c r="AW445" s="19"/>
      <c r="AX445" s="19"/>
      <c r="AY445" s="19"/>
      <c r="AZ445" s="19"/>
      <c r="BA445" s="19"/>
      <c r="BB445" s="19"/>
      <c r="BC445" s="19"/>
      <c r="BD445" s="19"/>
      <c r="BE445" s="19"/>
      <c r="BF445" s="19"/>
      <c r="BG445" s="19"/>
      <c r="BH445" s="19"/>
      <c r="BI445" s="19"/>
      <c r="BJ445" s="19"/>
      <c r="BK445" s="19"/>
      <c r="BL445" s="19"/>
      <c r="BM445" s="19"/>
      <c r="BN445" s="19"/>
      <c r="BO445" s="20"/>
      <c r="BP445" s="19"/>
      <c r="BQ445" s="19"/>
      <c r="BR445" s="19"/>
      <c r="BS445" s="19"/>
      <c r="BT445" s="19"/>
    </row>
    <row r="446" spans="1:72" ht="12" customHeight="1" outlineLevel="1">
      <c r="A446" s="91" t="s">
        <v>1308</v>
      </c>
      <c r="B446" s="1" t="s">
        <v>185</v>
      </c>
      <c r="C446" s="19"/>
      <c r="D446" s="19">
        <f t="shared" ref="D446:V446" si="3317">D156</f>
        <v>6267</v>
      </c>
      <c r="E446" s="19">
        <f t="shared" si="3317"/>
        <v>6990</v>
      </c>
      <c r="F446" s="19">
        <f t="shared" si="3317"/>
        <v>7063</v>
      </c>
      <c r="G446" s="19">
        <f t="shared" si="3317"/>
        <v>7140</v>
      </c>
      <c r="H446" s="19">
        <f t="shared" si="3317"/>
        <v>7079</v>
      </c>
      <c r="I446" s="19">
        <f t="shared" si="3317"/>
        <v>7127</v>
      </c>
      <c r="J446" s="19">
        <f t="shared" si="3317"/>
        <v>6876</v>
      </c>
      <c r="K446" s="19">
        <f t="shared" si="3317"/>
        <v>6882</v>
      </c>
      <c r="L446" s="19">
        <f t="shared" si="3317"/>
        <v>6884</v>
      </c>
      <c r="M446" s="19">
        <f t="shared" si="3317"/>
        <v>6075</v>
      </c>
      <c r="N446" s="19">
        <f t="shared" si="3317"/>
        <v>6041</v>
      </c>
      <c r="O446" s="19">
        <f t="shared" si="3317"/>
        <v>6901</v>
      </c>
      <c r="P446" s="19">
        <f t="shared" si="3317"/>
        <v>6911</v>
      </c>
      <c r="Q446" s="19">
        <f t="shared" si="3317"/>
        <v>7446</v>
      </c>
      <c r="R446" s="19">
        <f t="shared" si="3317"/>
        <v>7444</v>
      </c>
      <c r="S446" s="19">
        <f t="shared" si="3317"/>
        <v>7467</v>
      </c>
      <c r="T446" s="19">
        <f t="shared" si="3317"/>
        <v>7485</v>
      </c>
      <c r="U446" s="19">
        <f t="shared" si="3317"/>
        <v>7498</v>
      </c>
      <c r="V446" s="19">
        <f t="shared" si="3317"/>
        <v>7550</v>
      </c>
      <c r="W446" s="19">
        <f t="shared" ref="W446:X446" si="3318">W156</f>
        <v>7546</v>
      </c>
      <c r="X446" s="19">
        <f t="shared" si="3318"/>
        <v>9282</v>
      </c>
      <c r="Y446" s="19">
        <f t="shared" ref="Y446:Z446" si="3319">Y156</f>
        <v>9290</v>
      </c>
      <c r="Z446" s="19">
        <f t="shared" si="3319"/>
        <v>10136</v>
      </c>
      <c r="AA446" s="19">
        <f t="shared" ref="AA446:AB446" si="3320">AA156</f>
        <v>10164</v>
      </c>
      <c r="AB446" s="19">
        <f t="shared" si="3320"/>
        <v>11290</v>
      </c>
      <c r="AC446" s="19">
        <f t="shared" ref="AC446:AD446" si="3321">AC156</f>
        <v>14156</v>
      </c>
      <c r="AD446" s="19">
        <f t="shared" si="3321"/>
        <v>14741</v>
      </c>
      <c r="AE446" s="19">
        <f t="shared" ref="AE446:AF446" si="3322">AE156</f>
        <v>14735</v>
      </c>
      <c r="AF446" s="19">
        <f t="shared" si="3322"/>
        <v>14812</v>
      </c>
      <c r="AG446" s="19">
        <f t="shared" ref="AG446:AH446" si="3323">AG156</f>
        <v>14156</v>
      </c>
      <c r="AH446" s="19">
        <f t="shared" si="3323"/>
        <v>13887</v>
      </c>
      <c r="AI446" s="19">
        <f t="shared" ref="AI446:AJ446" si="3324">AI156</f>
        <v>13834</v>
      </c>
      <c r="AJ446" s="20">
        <f t="shared" si="3324"/>
        <v>13925</v>
      </c>
      <c r="AK446" s="19">
        <f t="shared" ref="AK446" si="3325">AK156</f>
        <v>13598.841874510219</v>
      </c>
      <c r="AL446" s="19">
        <f t="shared" ref="AL446:AM446" si="3326">AL156</f>
        <v>13272.683749020438</v>
      </c>
      <c r="AM446" s="19">
        <f t="shared" si="3326"/>
        <v>12946.525623530657</v>
      </c>
      <c r="AN446" s="19">
        <f t="shared" ref="AN446:AO446" si="3327">AN156</f>
        <v>12946.525623530657</v>
      </c>
      <c r="AO446" s="19">
        <f t="shared" si="3327"/>
        <v>12946.525623530657</v>
      </c>
      <c r="AP446" s="19">
        <f t="shared" ref="AP446:AQ446" si="3328">AP156</f>
        <v>12946.525623530657</v>
      </c>
      <c r="AQ446" s="19">
        <f t="shared" si="3328"/>
        <v>12946.525623530657</v>
      </c>
      <c r="AR446" s="19">
        <f t="shared" ref="AR446:AS446" si="3329">AR156</f>
        <v>12946.525623530657</v>
      </c>
      <c r="AS446" s="19">
        <f t="shared" si="3329"/>
        <v>12946.525623530657</v>
      </c>
      <c r="AT446" s="19"/>
      <c r="AU446" s="21">
        <v>1600</v>
      </c>
      <c r="AV446" s="21">
        <v>1916</v>
      </c>
      <c r="AW446" s="21">
        <v>3103</v>
      </c>
      <c r="AX446" s="19">
        <f t="shared" ref="AX446:AY450" si="3330">AX156</f>
        <v>4534</v>
      </c>
      <c r="AY446" s="19">
        <f t="shared" si="3330"/>
        <v>4906</v>
      </c>
      <c r="AZ446" s="19">
        <f t="shared" ref="AZ446:AZ453" si="3331">E446</f>
        <v>6990</v>
      </c>
      <c r="BA446" s="19">
        <f t="shared" ref="BA446:BA453" si="3332">G446</f>
        <v>7140</v>
      </c>
      <c r="BB446" s="19">
        <f t="shared" ref="BB446:BB453" si="3333">I446</f>
        <v>7127</v>
      </c>
      <c r="BC446" s="19">
        <f t="shared" ref="BC446:BC453" si="3334">K446</f>
        <v>6882</v>
      </c>
      <c r="BD446" s="19">
        <f t="shared" ref="BD446:BD453" si="3335">M446</f>
        <v>6075</v>
      </c>
      <c r="BE446" s="19">
        <f t="shared" ref="BE446:BE453" si="3336">O446</f>
        <v>6901</v>
      </c>
      <c r="BF446" s="19">
        <f t="shared" ref="BF446:BF453" si="3337">Q446</f>
        <v>7446</v>
      </c>
      <c r="BG446" s="19">
        <f t="shared" ref="BG446:BG453" si="3338">S446</f>
        <v>7467</v>
      </c>
      <c r="BH446" s="19">
        <f t="shared" ref="BH446:BH453" si="3339">U446</f>
        <v>7498</v>
      </c>
      <c r="BI446" s="19">
        <f t="shared" ref="BI446:BI453" si="3340">W446</f>
        <v>7546</v>
      </c>
      <c r="BJ446" s="19">
        <f t="shared" ref="BJ446:BJ453" si="3341">Y446</f>
        <v>9290</v>
      </c>
      <c r="BK446" s="19">
        <f t="shared" ref="BK446:BK453" si="3342">AA446</f>
        <v>10164</v>
      </c>
      <c r="BL446" s="19">
        <f t="shared" ref="BL446:BL453" si="3343">AC446</f>
        <v>14156</v>
      </c>
      <c r="BM446" s="19">
        <f t="shared" ref="BM446:BM453" si="3344">AE446</f>
        <v>14735</v>
      </c>
      <c r="BN446" s="19">
        <f t="shared" ref="BN446:BN453" si="3345">AG446</f>
        <v>14156</v>
      </c>
      <c r="BO446" s="20">
        <f t="shared" ref="BO446:BO453" si="3346">AI446</f>
        <v>13834</v>
      </c>
      <c r="BP446" s="19">
        <f t="shared" ref="BP446:BP453" si="3347">AK446</f>
        <v>13598.841874510219</v>
      </c>
      <c r="BQ446" s="19">
        <f t="shared" ref="BQ446:BQ453" si="3348">AM446</f>
        <v>12946.525623530657</v>
      </c>
      <c r="BR446" s="19">
        <f t="shared" ref="BR446:BR453" si="3349">AO446</f>
        <v>12946.525623530657</v>
      </c>
      <c r="BS446" s="19">
        <f t="shared" ref="BS446:BS453" si="3350">AQ446</f>
        <v>12946.525623530657</v>
      </c>
      <c r="BT446" s="19">
        <f t="shared" ref="BT446:BT453" si="3351">AS446</f>
        <v>12946.525623530657</v>
      </c>
    </row>
    <row r="447" spans="1:72" ht="12" customHeight="1" outlineLevel="1">
      <c r="B447" s="1" t="s">
        <v>186</v>
      </c>
      <c r="C447" s="19"/>
      <c r="D447" s="19">
        <f t="shared" ref="D447:V447" si="3352">D157</f>
        <v>-2</v>
      </c>
      <c r="E447" s="19">
        <f t="shared" si="3352"/>
        <v>-443</v>
      </c>
      <c r="F447" s="19">
        <f t="shared" si="3352"/>
        <v>-719</v>
      </c>
      <c r="G447" s="19">
        <f t="shared" si="3352"/>
        <v>-731</v>
      </c>
      <c r="H447" s="19">
        <f t="shared" si="3352"/>
        <v>-993</v>
      </c>
      <c r="I447" s="19">
        <f t="shared" si="3352"/>
        <v>-974</v>
      </c>
      <c r="J447" s="19">
        <f t="shared" si="3352"/>
        <v>-1063</v>
      </c>
      <c r="K447" s="19">
        <f t="shared" si="3352"/>
        <v>-1011</v>
      </c>
      <c r="L447" s="19">
        <f t="shared" si="3352"/>
        <v>-1025</v>
      </c>
      <c r="M447" s="19">
        <f t="shared" si="3352"/>
        <v>-990</v>
      </c>
      <c r="N447" s="19">
        <f t="shared" si="3352"/>
        <v>-1003</v>
      </c>
      <c r="O447" s="19">
        <f t="shared" si="3352"/>
        <v>-971</v>
      </c>
      <c r="P447" s="19">
        <f t="shared" si="3352"/>
        <v>-1088</v>
      </c>
      <c r="Q447" s="19">
        <f t="shared" si="3352"/>
        <v>-1036</v>
      </c>
      <c r="R447" s="19">
        <f t="shared" si="3352"/>
        <v>-1221</v>
      </c>
      <c r="S447" s="19">
        <f t="shared" si="3352"/>
        <v>-1187</v>
      </c>
      <c r="T447" s="19">
        <f t="shared" si="3352"/>
        <v>-1307</v>
      </c>
      <c r="U447" s="19">
        <f t="shared" si="3352"/>
        <v>-1264</v>
      </c>
      <c r="V447" s="19">
        <f t="shared" si="3352"/>
        <v>-1413</v>
      </c>
      <c r="W447" s="19">
        <f t="shared" ref="W447:X447" si="3353">W157</f>
        <v>-1372</v>
      </c>
      <c r="X447" s="19">
        <f t="shared" si="3353"/>
        <v>-1568</v>
      </c>
      <c r="Y447" s="19">
        <f t="shared" ref="Y447:Z447" si="3354">Y157</f>
        <v>-1446</v>
      </c>
      <c r="Z447" s="19">
        <f t="shared" si="3354"/>
        <v>-1702</v>
      </c>
      <c r="AA447" s="19">
        <f t="shared" ref="AA447:AB447" si="3355">AA157</f>
        <v>-1633</v>
      </c>
      <c r="AB447" s="19">
        <f t="shared" si="3355"/>
        <v>-1896</v>
      </c>
      <c r="AC447" s="19">
        <f t="shared" ref="AC447:AD447" si="3356">AC157</f>
        <v>-1858</v>
      </c>
      <c r="AD447" s="19">
        <f t="shared" si="3356"/>
        <v>-2389</v>
      </c>
      <c r="AE447" s="19">
        <f t="shared" ref="AE447:AF447" si="3357">AE157</f>
        <v>-2328</v>
      </c>
      <c r="AF447" s="19">
        <f t="shared" si="3357"/>
        <v>-2871</v>
      </c>
      <c r="AG447" s="19">
        <f t="shared" ref="AG447:AH447" si="3358">AG157</f>
        <v>-2784</v>
      </c>
      <c r="AH447" s="19">
        <f t="shared" si="3358"/>
        <v>-2873</v>
      </c>
      <c r="AI447" s="19">
        <f t="shared" ref="AI447:AJ447" si="3359">AI157</f>
        <v>-2764</v>
      </c>
      <c r="AJ447" s="20">
        <f t="shared" si="3359"/>
        <v>-2772</v>
      </c>
      <c r="AK447" s="19">
        <f t="shared" ref="AK447" si="3360">AK157</f>
        <v>-2772</v>
      </c>
      <c r="AL447" s="19">
        <f t="shared" ref="AL447:AM447" si="3361">AL157</f>
        <v>-2772</v>
      </c>
      <c r="AM447" s="19">
        <f t="shared" si="3361"/>
        <v>-2772</v>
      </c>
      <c r="AN447" s="19">
        <f t="shared" ref="AN447:AO447" si="3362">AN157</f>
        <v>-2772</v>
      </c>
      <c r="AO447" s="19">
        <f t="shared" si="3362"/>
        <v>-2772</v>
      </c>
      <c r="AP447" s="19">
        <f t="shared" ref="AP447:AQ447" si="3363">AP157</f>
        <v>-2772</v>
      </c>
      <c r="AQ447" s="19">
        <f t="shared" si="3363"/>
        <v>-2772</v>
      </c>
      <c r="AR447" s="19">
        <f t="shared" ref="AR447:AS447" si="3364">AR157</f>
        <v>-2772</v>
      </c>
      <c r="AS447" s="19">
        <f t="shared" si="3364"/>
        <v>-2772</v>
      </c>
      <c r="AT447" s="19"/>
      <c r="AU447" s="21">
        <v>-7</v>
      </c>
      <c r="AV447" s="21">
        <v>-2</v>
      </c>
      <c r="AW447" s="21">
        <v>-7</v>
      </c>
      <c r="AX447" s="19">
        <f t="shared" si="3330"/>
        <v>-12</v>
      </c>
      <c r="AY447" s="19">
        <f t="shared" si="3330"/>
        <v>-2</v>
      </c>
      <c r="AZ447" s="19">
        <f t="shared" si="3331"/>
        <v>-443</v>
      </c>
      <c r="BA447" s="19">
        <f t="shared" si="3332"/>
        <v>-731</v>
      </c>
      <c r="BB447" s="19">
        <f t="shared" si="3333"/>
        <v>-974</v>
      </c>
      <c r="BC447" s="19">
        <f t="shared" si="3334"/>
        <v>-1011</v>
      </c>
      <c r="BD447" s="19">
        <f t="shared" si="3335"/>
        <v>-990</v>
      </c>
      <c r="BE447" s="19">
        <f t="shared" si="3336"/>
        <v>-971</v>
      </c>
      <c r="BF447" s="19">
        <f t="shared" si="3337"/>
        <v>-1036</v>
      </c>
      <c r="BG447" s="19">
        <f t="shared" si="3338"/>
        <v>-1187</v>
      </c>
      <c r="BH447" s="19">
        <f t="shared" si="3339"/>
        <v>-1264</v>
      </c>
      <c r="BI447" s="19">
        <f t="shared" si="3340"/>
        <v>-1372</v>
      </c>
      <c r="BJ447" s="19">
        <f t="shared" si="3341"/>
        <v>-1446</v>
      </c>
      <c r="BK447" s="19">
        <f t="shared" si="3342"/>
        <v>-1633</v>
      </c>
      <c r="BL447" s="19">
        <f t="shared" si="3343"/>
        <v>-1858</v>
      </c>
      <c r="BM447" s="19">
        <f t="shared" si="3344"/>
        <v>-2328</v>
      </c>
      <c r="BN447" s="19">
        <f t="shared" si="3345"/>
        <v>-2784</v>
      </c>
      <c r="BO447" s="20">
        <f t="shared" si="3346"/>
        <v>-2764</v>
      </c>
      <c r="BP447" s="19">
        <f t="shared" si="3347"/>
        <v>-2772</v>
      </c>
      <c r="BQ447" s="19">
        <f t="shared" si="3348"/>
        <v>-2772</v>
      </c>
      <c r="BR447" s="19">
        <f t="shared" si="3349"/>
        <v>-2772</v>
      </c>
      <c r="BS447" s="19">
        <f t="shared" si="3350"/>
        <v>-2772</v>
      </c>
      <c r="BT447" s="19">
        <f t="shared" si="3351"/>
        <v>-2772</v>
      </c>
    </row>
    <row r="448" spans="1:72" ht="12" customHeight="1" outlineLevel="1">
      <c r="B448" s="1" t="s">
        <v>195</v>
      </c>
      <c r="C448" s="19"/>
      <c r="D448" s="19">
        <f t="shared" ref="D448:V448" si="3365">D158</f>
        <v>159</v>
      </c>
      <c r="E448" s="19">
        <f t="shared" si="3365"/>
        <v>137</v>
      </c>
      <c r="F448" s="19">
        <f t="shared" si="3365"/>
        <v>129</v>
      </c>
      <c r="G448" s="19">
        <f t="shared" si="3365"/>
        <v>104</v>
      </c>
      <c r="H448" s="19">
        <f t="shared" si="3365"/>
        <v>98</v>
      </c>
      <c r="I448" s="19">
        <f t="shared" si="3365"/>
        <v>82</v>
      </c>
      <c r="J448" s="19">
        <f t="shared" si="3365"/>
        <v>69</v>
      </c>
      <c r="K448" s="19">
        <f t="shared" si="3365"/>
        <v>36</v>
      </c>
      <c r="L448" s="19">
        <f t="shared" si="3365"/>
        <v>34</v>
      </c>
      <c r="M448" s="19">
        <f t="shared" si="3365"/>
        <v>27</v>
      </c>
      <c r="N448" s="19">
        <f t="shared" si="3365"/>
        <v>25</v>
      </c>
      <c r="O448" s="19">
        <f t="shared" si="3365"/>
        <v>17</v>
      </c>
      <c r="P448" s="19">
        <f t="shared" si="3365"/>
        <v>13</v>
      </c>
      <c r="Q448" s="19">
        <f t="shared" si="3365"/>
        <v>12</v>
      </c>
      <c r="R448" s="19">
        <f t="shared" si="3365"/>
        <v>11</v>
      </c>
      <c r="S448" s="19">
        <f t="shared" si="3365"/>
        <v>10</v>
      </c>
      <c r="T448" s="19">
        <f t="shared" si="3365"/>
        <v>10</v>
      </c>
      <c r="U448" s="19">
        <f t="shared" si="3365"/>
        <v>9</v>
      </c>
      <c r="V448" s="19">
        <f t="shared" si="3365"/>
        <v>7</v>
      </c>
      <c r="W448" s="19">
        <f t="shared" ref="W448:X448" si="3366">W158</f>
        <v>7</v>
      </c>
      <c r="X448" s="19">
        <f t="shared" si="3366"/>
        <v>7</v>
      </c>
      <c r="Y448" s="19">
        <f t="shared" ref="Y448:Z448" si="3367">Y158</f>
        <v>7</v>
      </c>
      <c r="Z448" s="19">
        <f t="shared" si="3367"/>
        <v>0</v>
      </c>
      <c r="AA448" s="19">
        <f t="shared" ref="AA448:AB448" si="3368">AA158</f>
        <v>0</v>
      </c>
      <c r="AB448" s="19">
        <f t="shared" si="3368"/>
        <v>0</v>
      </c>
      <c r="AC448" s="19">
        <f t="shared" ref="AC448:AD448" si="3369">AC158</f>
        <v>0</v>
      </c>
      <c r="AD448" s="19">
        <f t="shared" si="3369"/>
        <v>0</v>
      </c>
      <c r="AE448" s="19">
        <f t="shared" ref="AE448:AF448" si="3370">AE158</f>
        <v>0</v>
      </c>
      <c r="AF448" s="19">
        <f t="shared" si="3370"/>
        <v>0</v>
      </c>
      <c r="AG448" s="19">
        <f t="shared" ref="AG448:AH448" si="3371">AG158</f>
        <v>0</v>
      </c>
      <c r="AH448" s="19">
        <f t="shared" si="3371"/>
        <v>0</v>
      </c>
      <c r="AI448" s="19">
        <f t="shared" ref="AI448:AJ448" si="3372">AI158</f>
        <v>0</v>
      </c>
      <c r="AJ448" s="20">
        <f t="shared" si="3372"/>
        <v>0</v>
      </c>
      <c r="AK448" s="19">
        <f t="shared" ref="AK448" si="3373">AK158</f>
        <v>0</v>
      </c>
      <c r="AL448" s="19">
        <f t="shared" ref="AL448:AM448" si="3374">AL158</f>
        <v>0</v>
      </c>
      <c r="AM448" s="19">
        <f t="shared" si="3374"/>
        <v>0</v>
      </c>
      <c r="AN448" s="19">
        <f t="shared" ref="AN448:AO448" si="3375">AN158</f>
        <v>0</v>
      </c>
      <c r="AO448" s="19">
        <f t="shared" si="3375"/>
        <v>0</v>
      </c>
      <c r="AP448" s="19">
        <f t="shared" ref="AP448:AQ448" si="3376">AP158</f>
        <v>0</v>
      </c>
      <c r="AQ448" s="19">
        <f t="shared" si="3376"/>
        <v>0</v>
      </c>
      <c r="AR448" s="19">
        <f t="shared" ref="AR448:AS448" si="3377">AR158</f>
        <v>0</v>
      </c>
      <c r="AS448" s="19">
        <f t="shared" si="3377"/>
        <v>0</v>
      </c>
      <c r="AT448" s="19"/>
      <c r="AU448" s="21">
        <v>0</v>
      </c>
      <c r="AV448" s="21">
        <v>0</v>
      </c>
      <c r="AW448" s="21">
        <v>0</v>
      </c>
      <c r="AX448" s="19">
        <f t="shared" si="3330"/>
        <v>133</v>
      </c>
      <c r="AY448" s="19">
        <f t="shared" si="3330"/>
        <v>116</v>
      </c>
      <c r="AZ448" s="19">
        <f t="shared" si="3331"/>
        <v>137</v>
      </c>
      <c r="BA448" s="19">
        <f t="shared" si="3332"/>
        <v>104</v>
      </c>
      <c r="BB448" s="19">
        <f t="shared" si="3333"/>
        <v>82</v>
      </c>
      <c r="BC448" s="19">
        <f t="shared" si="3334"/>
        <v>36</v>
      </c>
      <c r="BD448" s="19">
        <f t="shared" si="3335"/>
        <v>27</v>
      </c>
      <c r="BE448" s="19">
        <f t="shared" si="3336"/>
        <v>17</v>
      </c>
      <c r="BF448" s="19">
        <f t="shared" si="3337"/>
        <v>12</v>
      </c>
      <c r="BG448" s="19">
        <f t="shared" si="3338"/>
        <v>10</v>
      </c>
      <c r="BH448" s="19">
        <f t="shared" si="3339"/>
        <v>9</v>
      </c>
      <c r="BI448" s="19">
        <f t="shared" si="3340"/>
        <v>7</v>
      </c>
      <c r="BJ448" s="19">
        <f t="shared" si="3341"/>
        <v>7</v>
      </c>
      <c r="BK448" s="19">
        <f t="shared" si="3342"/>
        <v>0</v>
      </c>
      <c r="BL448" s="19">
        <f t="shared" si="3343"/>
        <v>0</v>
      </c>
      <c r="BM448" s="19">
        <f t="shared" si="3344"/>
        <v>0</v>
      </c>
      <c r="BN448" s="19">
        <f t="shared" si="3345"/>
        <v>0</v>
      </c>
      <c r="BO448" s="20">
        <f t="shared" si="3346"/>
        <v>0</v>
      </c>
      <c r="BP448" s="19">
        <f t="shared" si="3347"/>
        <v>0</v>
      </c>
      <c r="BQ448" s="19">
        <f t="shared" si="3348"/>
        <v>0</v>
      </c>
      <c r="BR448" s="19">
        <f t="shared" si="3349"/>
        <v>0</v>
      </c>
      <c r="BS448" s="19">
        <f t="shared" si="3350"/>
        <v>0</v>
      </c>
      <c r="BT448" s="19">
        <f t="shared" si="3351"/>
        <v>0</v>
      </c>
    </row>
    <row r="449" spans="1:72" ht="12" customHeight="1" outlineLevel="1">
      <c r="A449" s="91" t="s">
        <v>1310</v>
      </c>
      <c r="B449" s="1" t="s">
        <v>188</v>
      </c>
      <c r="C449" s="19"/>
      <c r="D449" s="19">
        <f t="shared" ref="D449:V449" si="3378">D159</f>
        <v>276</v>
      </c>
      <c r="E449" s="19">
        <f t="shared" si="3378"/>
        <v>280</v>
      </c>
      <c r="F449" s="19">
        <f t="shared" si="3378"/>
        <v>263</v>
      </c>
      <c r="G449" s="19">
        <f t="shared" si="3378"/>
        <v>310</v>
      </c>
      <c r="H449" s="19">
        <f t="shared" si="3378"/>
        <v>504</v>
      </c>
      <c r="I449" s="19">
        <f t="shared" si="3378"/>
        <v>44</v>
      </c>
      <c r="J449" s="19">
        <f t="shared" si="3378"/>
        <v>-50</v>
      </c>
      <c r="K449" s="19">
        <f t="shared" si="3378"/>
        <v>57</v>
      </c>
      <c r="L449" s="19">
        <f t="shared" si="3378"/>
        <v>726</v>
      </c>
      <c r="M449" s="19">
        <f t="shared" si="3378"/>
        <v>669</v>
      </c>
      <c r="N449" s="19">
        <f t="shared" si="3378"/>
        <v>826</v>
      </c>
      <c r="O449" s="19">
        <f t="shared" si="3378"/>
        <v>1656</v>
      </c>
      <c r="P449" s="19">
        <f t="shared" si="3378"/>
        <v>2090</v>
      </c>
      <c r="Q449" s="19">
        <f t="shared" si="3378"/>
        <v>1536</v>
      </c>
      <c r="R449" s="19">
        <f t="shared" si="3378"/>
        <v>1295</v>
      </c>
      <c r="S449" s="19">
        <f t="shared" si="3378"/>
        <v>1396</v>
      </c>
      <c r="T449" s="19">
        <f t="shared" si="3378"/>
        <v>999</v>
      </c>
      <c r="U449" s="19">
        <f t="shared" si="3378"/>
        <v>1297</v>
      </c>
      <c r="V449" s="19">
        <f t="shared" si="3378"/>
        <v>1567</v>
      </c>
      <c r="W449" s="19">
        <f t="shared" ref="W449:X449" si="3379">W159</f>
        <v>1773</v>
      </c>
      <c r="X449" s="19">
        <f t="shared" si="3379"/>
        <v>1927</v>
      </c>
      <c r="Y449" s="19">
        <f t="shared" ref="Y449:Z449" si="3380">Y159</f>
        <v>2773</v>
      </c>
      <c r="Z449" s="19">
        <f t="shared" si="3380"/>
        <v>1378</v>
      </c>
      <c r="AA449" s="19">
        <f t="shared" ref="AA449:AB449" si="3381">AA159</f>
        <v>1286</v>
      </c>
      <c r="AB449" s="19">
        <f t="shared" si="3381"/>
        <v>1613</v>
      </c>
      <c r="AC449" s="19">
        <f t="shared" ref="AC449:AD449" si="3382">AC159</f>
        <v>1523</v>
      </c>
      <c r="AD449" s="19">
        <f t="shared" si="3382"/>
        <v>3250</v>
      </c>
      <c r="AE449" s="19">
        <f t="shared" ref="AE449:AF449" si="3383">AE159</f>
        <v>3302</v>
      </c>
      <c r="AF449" s="19">
        <f t="shared" si="3383"/>
        <v>3590</v>
      </c>
      <c r="AG449" s="19">
        <f t="shared" ref="AG449:AH449" si="3384">AG159</f>
        <v>3891</v>
      </c>
      <c r="AH449" s="19">
        <f t="shared" si="3384"/>
        <v>2920</v>
      </c>
      <c r="AI449" s="19">
        <f t="shared" ref="AI449:AJ449" si="3385">AI159</f>
        <v>4829</v>
      </c>
      <c r="AJ449" s="20">
        <f t="shared" si="3385"/>
        <v>3779</v>
      </c>
      <c r="AK449" s="19">
        <f t="shared" ref="AK449" si="3386">AK159</f>
        <v>3779</v>
      </c>
      <c r="AL449" s="19">
        <f t="shared" ref="AL449:AM449" si="3387">AL159</f>
        <v>3778.9999999999964</v>
      </c>
      <c r="AM449" s="19">
        <f t="shared" si="3387"/>
        <v>3778.9999999999964</v>
      </c>
      <c r="AN449" s="19">
        <f t="shared" ref="AN449:AO449" si="3388">AN159</f>
        <v>3779</v>
      </c>
      <c r="AO449" s="19">
        <f t="shared" si="3388"/>
        <v>3779</v>
      </c>
      <c r="AP449" s="19">
        <f t="shared" ref="AP449:AQ449" si="3389">AP159</f>
        <v>3778.9999999999964</v>
      </c>
      <c r="AQ449" s="19">
        <f t="shared" si="3389"/>
        <v>3778.9999999999964</v>
      </c>
      <c r="AR449" s="19">
        <f t="shared" ref="AR449:AS449" si="3390">AR159</f>
        <v>3779</v>
      </c>
      <c r="AS449" s="19">
        <f t="shared" si="3390"/>
        <v>3779.0000000000036</v>
      </c>
      <c r="AT449" s="19"/>
      <c r="AU449" s="21">
        <v>49</v>
      </c>
      <c r="AV449" s="21">
        <v>250</v>
      </c>
      <c r="AW449" s="21">
        <v>380</v>
      </c>
      <c r="AX449" s="19">
        <f t="shared" si="3330"/>
        <v>456</v>
      </c>
      <c r="AY449" s="19">
        <f t="shared" si="3330"/>
        <v>17</v>
      </c>
      <c r="AZ449" s="19">
        <f t="shared" si="3331"/>
        <v>280</v>
      </c>
      <c r="BA449" s="19">
        <f t="shared" si="3332"/>
        <v>310</v>
      </c>
      <c r="BB449" s="19">
        <f t="shared" si="3333"/>
        <v>44</v>
      </c>
      <c r="BC449" s="19">
        <f t="shared" si="3334"/>
        <v>57</v>
      </c>
      <c r="BD449" s="19">
        <f t="shared" si="3335"/>
        <v>669</v>
      </c>
      <c r="BE449" s="19">
        <f t="shared" si="3336"/>
        <v>1656</v>
      </c>
      <c r="BF449" s="19">
        <f t="shared" si="3337"/>
        <v>1536</v>
      </c>
      <c r="BG449" s="19">
        <f t="shared" si="3338"/>
        <v>1396</v>
      </c>
      <c r="BH449" s="19">
        <f t="shared" si="3339"/>
        <v>1297</v>
      </c>
      <c r="BI449" s="19">
        <f t="shared" si="3340"/>
        <v>1773</v>
      </c>
      <c r="BJ449" s="19">
        <f t="shared" si="3341"/>
        <v>2773</v>
      </c>
      <c r="BK449" s="19">
        <f t="shared" si="3342"/>
        <v>1286</v>
      </c>
      <c r="BL449" s="19">
        <f t="shared" si="3343"/>
        <v>1523</v>
      </c>
      <c r="BM449" s="19">
        <f t="shared" si="3344"/>
        <v>3302</v>
      </c>
      <c r="BN449" s="19">
        <f t="shared" si="3345"/>
        <v>3891</v>
      </c>
      <c r="BO449" s="20">
        <f t="shared" si="3346"/>
        <v>4829</v>
      </c>
      <c r="BP449" s="19">
        <f t="shared" si="3347"/>
        <v>3779</v>
      </c>
      <c r="BQ449" s="19">
        <f t="shared" si="3348"/>
        <v>3778.9999999999964</v>
      </c>
      <c r="BR449" s="19">
        <f t="shared" si="3349"/>
        <v>3779</v>
      </c>
      <c r="BS449" s="19">
        <f t="shared" si="3350"/>
        <v>3778.9999999999964</v>
      </c>
      <c r="BT449" s="19">
        <f t="shared" si="3351"/>
        <v>3779.0000000000036</v>
      </c>
    </row>
    <row r="450" spans="1:72" ht="12" customHeight="1" outlineLevel="1">
      <c r="A450" s="91" t="s">
        <v>1311</v>
      </c>
      <c r="B450" s="1" t="s">
        <v>189</v>
      </c>
      <c r="C450" s="19"/>
      <c r="D450" s="19">
        <f t="shared" ref="D450:V450" si="3391">D160</f>
        <v>3984</v>
      </c>
      <c r="E450" s="19">
        <f t="shared" si="3391"/>
        <v>4268</v>
      </c>
      <c r="F450" s="19">
        <f t="shared" si="3391"/>
        <v>4325</v>
      </c>
      <c r="G450" s="19">
        <f t="shared" si="3391"/>
        <v>4581</v>
      </c>
      <c r="H450" s="19">
        <f t="shared" si="3391"/>
        <v>4563</v>
      </c>
      <c r="I450" s="19">
        <f t="shared" si="3391"/>
        <v>4924</v>
      </c>
      <c r="J450" s="19">
        <f t="shared" si="3391"/>
        <v>5155</v>
      </c>
      <c r="K450" s="19">
        <f t="shared" si="3391"/>
        <v>5439</v>
      </c>
      <c r="L450" s="19">
        <f t="shared" si="3391"/>
        <v>5610</v>
      </c>
      <c r="M450" s="19">
        <f t="shared" si="3391"/>
        <v>5637</v>
      </c>
      <c r="N450" s="19">
        <f t="shared" si="3391"/>
        <v>5801</v>
      </c>
      <c r="O450" s="19">
        <f t="shared" si="3391"/>
        <v>6306</v>
      </c>
      <c r="P450" s="19">
        <f t="shared" si="3391"/>
        <v>6705</v>
      </c>
      <c r="Q450" s="19">
        <f t="shared" si="3391"/>
        <v>7158</v>
      </c>
      <c r="R450" s="19">
        <f t="shared" si="3391"/>
        <v>7392</v>
      </c>
      <c r="S450" s="19">
        <f t="shared" si="3391"/>
        <v>7877</v>
      </c>
      <c r="T450" s="19">
        <f t="shared" si="3391"/>
        <v>8170</v>
      </c>
      <c r="U450" s="19">
        <f t="shared" si="3391"/>
        <v>8817</v>
      </c>
      <c r="V450" s="19">
        <f t="shared" si="3391"/>
        <v>8849</v>
      </c>
      <c r="W450" s="19">
        <f t="shared" ref="W450:X450" si="3392">W160</f>
        <v>9807</v>
      </c>
      <c r="X450" s="19">
        <f t="shared" si="3392"/>
        <v>9969</v>
      </c>
      <c r="Y450" s="19">
        <f t="shared" ref="Y450:Z450" si="3393">Y160</f>
        <v>10439</v>
      </c>
      <c r="Z450" s="19">
        <f t="shared" si="3393"/>
        <v>10696</v>
      </c>
      <c r="AA450" s="19">
        <f t="shared" ref="AA450:AB450" si="3394">AA160</f>
        <v>12231</v>
      </c>
      <c r="AB450" s="19">
        <f t="shared" si="3394"/>
        <v>13057</v>
      </c>
      <c r="AC450" s="19">
        <f t="shared" ref="AC450:AD450" si="3395">AC160</f>
        <v>14740</v>
      </c>
      <c r="AD450" s="19">
        <f t="shared" si="3395"/>
        <v>15735</v>
      </c>
      <c r="AE450" s="19">
        <f t="shared" ref="AE450:AF450" si="3396">AE160</f>
        <v>17446</v>
      </c>
      <c r="AF450" s="19">
        <f t="shared" si="3396"/>
        <v>17120</v>
      </c>
      <c r="AG450" s="19">
        <f t="shared" ref="AG450:AH450" si="3397">AG160</f>
        <v>18218</v>
      </c>
      <c r="AH450" s="19">
        <f t="shared" si="3397"/>
        <v>18365</v>
      </c>
      <c r="AI450" s="19">
        <f t="shared" ref="AI450:AJ450" si="3398">AI160</f>
        <v>19457</v>
      </c>
      <c r="AJ450" s="20">
        <f t="shared" si="3398"/>
        <v>19629</v>
      </c>
      <c r="AK450" s="19">
        <f t="shared" ref="AK450" si="3399">AK160</f>
        <v>21061.700494161472</v>
      </c>
      <c r="AL450" s="19">
        <f t="shared" ref="AL450:AM450" si="3400">AL160</f>
        <v>21672.054196425866</v>
      </c>
      <c r="AM450" s="19">
        <f t="shared" si="3400"/>
        <v>22847.104019444258</v>
      </c>
      <c r="AN450" s="19">
        <f t="shared" ref="AN450:AO450" si="3401">AN160</f>
        <v>23585.424133119945</v>
      </c>
      <c r="AO450" s="19">
        <f t="shared" si="3401"/>
        <v>24906.585538714178</v>
      </c>
      <c r="AP450" s="19">
        <f t="shared" ref="AP450:AQ450" si="3402">AP160</f>
        <v>25544.215665128588</v>
      </c>
      <c r="AQ450" s="19">
        <f t="shared" si="3402"/>
        <v>26976.869183701729</v>
      </c>
      <c r="AR450" s="19">
        <f t="shared" ref="AR450:AS450" si="3403">AR160</f>
        <v>27893.770068727506</v>
      </c>
      <c r="AS450" s="19">
        <f t="shared" si="3403"/>
        <v>29321.490227356477</v>
      </c>
      <c r="AT450" s="19"/>
      <c r="AU450" s="21">
        <v>1523</v>
      </c>
      <c r="AV450" s="21">
        <v>1934</v>
      </c>
      <c r="AW450" s="21">
        <v>2795</v>
      </c>
      <c r="AX450" s="19">
        <f t="shared" si="3330"/>
        <v>3718</v>
      </c>
      <c r="AY450" s="19">
        <f t="shared" si="3330"/>
        <v>3627</v>
      </c>
      <c r="AZ450" s="19">
        <f t="shared" si="3331"/>
        <v>4268</v>
      </c>
      <c r="BA450" s="19">
        <f t="shared" si="3332"/>
        <v>4581</v>
      </c>
      <c r="BB450" s="19">
        <f t="shared" si="3333"/>
        <v>4924</v>
      </c>
      <c r="BC450" s="19">
        <f t="shared" si="3334"/>
        <v>5439</v>
      </c>
      <c r="BD450" s="19">
        <f t="shared" si="3335"/>
        <v>5637</v>
      </c>
      <c r="BE450" s="19">
        <f t="shared" si="3336"/>
        <v>6306</v>
      </c>
      <c r="BF450" s="19">
        <f t="shared" si="3337"/>
        <v>7158</v>
      </c>
      <c r="BG450" s="19">
        <f t="shared" si="3338"/>
        <v>7877</v>
      </c>
      <c r="BH450" s="19">
        <f t="shared" si="3339"/>
        <v>8817</v>
      </c>
      <c r="BI450" s="19">
        <f t="shared" si="3340"/>
        <v>9807</v>
      </c>
      <c r="BJ450" s="19">
        <f t="shared" si="3341"/>
        <v>10439</v>
      </c>
      <c r="BK450" s="19">
        <f t="shared" si="3342"/>
        <v>12231</v>
      </c>
      <c r="BL450" s="19">
        <f t="shared" si="3343"/>
        <v>14740</v>
      </c>
      <c r="BM450" s="19">
        <f t="shared" si="3344"/>
        <v>17446</v>
      </c>
      <c r="BN450" s="19">
        <f t="shared" si="3345"/>
        <v>18218</v>
      </c>
      <c r="BO450" s="20">
        <f t="shared" si="3346"/>
        <v>19457</v>
      </c>
      <c r="BP450" s="19">
        <f t="shared" si="3347"/>
        <v>21061.700494161472</v>
      </c>
      <c r="BQ450" s="19">
        <f t="shared" si="3348"/>
        <v>22847.104019444258</v>
      </c>
      <c r="BR450" s="19">
        <f t="shared" si="3349"/>
        <v>24906.585538714178</v>
      </c>
      <c r="BS450" s="19">
        <f t="shared" si="3350"/>
        <v>26976.869183701729</v>
      </c>
      <c r="BT450" s="19">
        <f t="shared" si="3351"/>
        <v>29321.490227356477</v>
      </c>
    </row>
    <row r="451" spans="1:72" ht="12" customHeight="1" outlineLevel="1">
      <c r="B451" s="1" t="s">
        <v>455</v>
      </c>
      <c r="C451" s="19"/>
      <c r="D451" s="21">
        <v>391</v>
      </c>
      <c r="E451" s="21">
        <v>391</v>
      </c>
      <c r="F451" s="21">
        <v>391</v>
      </c>
      <c r="G451" s="21">
        <v>391</v>
      </c>
      <c r="H451" s="21">
        <v>391</v>
      </c>
      <c r="I451" s="21">
        <v>391</v>
      </c>
      <c r="J451" s="21">
        <v>391</v>
      </c>
      <c r="K451" s="21">
        <v>391</v>
      </c>
      <c r="L451" s="21">
        <v>391</v>
      </c>
      <c r="M451" s="21">
        <v>391</v>
      </c>
      <c r="N451" s="62">
        <v>391</v>
      </c>
      <c r="O451" s="62">
        <v>391</v>
      </c>
      <c r="P451" s="62">
        <v>391</v>
      </c>
      <c r="Q451" s="62">
        <v>391</v>
      </c>
      <c r="R451" s="62">
        <v>391</v>
      </c>
      <c r="S451" s="62">
        <v>391</v>
      </c>
      <c r="T451" s="62">
        <v>391</v>
      </c>
      <c r="U451" s="62">
        <v>391</v>
      </c>
      <c r="V451" s="62">
        <v>391</v>
      </c>
      <c r="W451" s="62">
        <v>391</v>
      </c>
      <c r="X451" s="62">
        <v>391</v>
      </c>
      <c r="Y451" s="62">
        <v>391</v>
      </c>
      <c r="Z451" s="62">
        <v>0</v>
      </c>
      <c r="AA451" s="62">
        <v>0</v>
      </c>
      <c r="AB451" s="62">
        <v>0</v>
      </c>
      <c r="AC451" s="62">
        <v>0</v>
      </c>
      <c r="AD451" s="62">
        <v>0</v>
      </c>
      <c r="AE451" s="62">
        <v>0</v>
      </c>
      <c r="AF451" s="62">
        <v>0</v>
      </c>
      <c r="AG451" s="62">
        <v>0</v>
      </c>
      <c r="AH451" s="62">
        <v>0</v>
      </c>
      <c r="AI451" s="62">
        <v>0</v>
      </c>
      <c r="AJ451" s="57">
        <v>0</v>
      </c>
      <c r="AK451" s="58">
        <f t="shared" ref="AK451:AK453" si="3404">AJ451</f>
        <v>0</v>
      </c>
      <c r="AL451" s="58">
        <f t="shared" ref="AL451:AL453" si="3405">AK451</f>
        <v>0</v>
      </c>
      <c r="AM451" s="58">
        <f t="shared" ref="AM451:AM453" si="3406">AL451</f>
        <v>0</v>
      </c>
      <c r="AN451" s="58">
        <f t="shared" ref="AN451:AN453" si="3407">AM451</f>
        <v>0</v>
      </c>
      <c r="AO451" s="58">
        <f t="shared" ref="AO451:AO453" si="3408">AN451</f>
        <v>0</v>
      </c>
      <c r="AP451" s="58">
        <f t="shared" ref="AP451:AP453" si="3409">AO451</f>
        <v>0</v>
      </c>
      <c r="AQ451" s="58">
        <f t="shared" ref="AQ451:AQ453" si="3410">AP451</f>
        <v>0</v>
      </c>
      <c r="AR451" s="58">
        <f t="shared" ref="AR451:AR453" si="3411">AQ451</f>
        <v>0</v>
      </c>
      <c r="AS451" s="58">
        <f t="shared" ref="AS451:AS453" si="3412">AR451</f>
        <v>0</v>
      </c>
      <c r="AT451" s="19"/>
      <c r="AU451" s="21">
        <v>391</v>
      </c>
      <c r="AV451" s="21">
        <v>391</v>
      </c>
      <c r="AW451" s="21">
        <v>391</v>
      </c>
      <c r="AX451" s="21">
        <v>391</v>
      </c>
      <c r="AY451" s="21">
        <v>391</v>
      </c>
      <c r="AZ451" s="19">
        <f t="shared" si="3331"/>
        <v>391</v>
      </c>
      <c r="BA451" s="19">
        <f t="shared" si="3332"/>
        <v>391</v>
      </c>
      <c r="BB451" s="19">
        <f t="shared" si="3333"/>
        <v>391</v>
      </c>
      <c r="BC451" s="19">
        <f t="shared" si="3334"/>
        <v>391</v>
      </c>
      <c r="BD451" s="19">
        <f t="shared" si="3335"/>
        <v>391</v>
      </c>
      <c r="BE451" s="19">
        <f t="shared" si="3336"/>
        <v>391</v>
      </c>
      <c r="BF451" s="19">
        <f t="shared" si="3337"/>
        <v>391</v>
      </c>
      <c r="BG451" s="19">
        <f t="shared" si="3338"/>
        <v>391</v>
      </c>
      <c r="BH451" s="19">
        <f t="shared" si="3339"/>
        <v>391</v>
      </c>
      <c r="BI451" s="19">
        <f t="shared" si="3340"/>
        <v>391</v>
      </c>
      <c r="BJ451" s="19">
        <f t="shared" si="3341"/>
        <v>391</v>
      </c>
      <c r="BK451" s="19">
        <f t="shared" si="3342"/>
        <v>0</v>
      </c>
      <c r="BL451" s="19">
        <f t="shared" si="3343"/>
        <v>0</v>
      </c>
      <c r="BM451" s="19">
        <f t="shared" si="3344"/>
        <v>0</v>
      </c>
      <c r="BN451" s="19">
        <f t="shared" si="3345"/>
        <v>0</v>
      </c>
      <c r="BO451" s="20">
        <f t="shared" si="3346"/>
        <v>0</v>
      </c>
      <c r="BP451" s="19">
        <f t="shared" si="3347"/>
        <v>0</v>
      </c>
      <c r="BQ451" s="19">
        <f t="shared" si="3348"/>
        <v>0</v>
      </c>
      <c r="BR451" s="19">
        <f t="shared" si="3349"/>
        <v>0</v>
      </c>
      <c r="BS451" s="19">
        <f t="shared" si="3350"/>
        <v>0</v>
      </c>
      <c r="BT451" s="19">
        <f t="shared" si="3351"/>
        <v>0</v>
      </c>
    </row>
    <row r="452" spans="1:72" ht="12" customHeight="1" outlineLevel="1">
      <c r="B452" s="1" t="s">
        <v>456</v>
      </c>
      <c r="C452" s="19"/>
      <c r="D452" s="21">
        <v>74</v>
      </c>
      <c r="E452" s="21">
        <v>67</v>
      </c>
      <c r="F452" s="21">
        <v>66</v>
      </c>
      <c r="G452" s="21">
        <v>63</v>
      </c>
      <c r="H452" s="21">
        <v>66</v>
      </c>
      <c r="I452" s="21">
        <v>63</v>
      </c>
      <c r="J452" s="21">
        <v>64</v>
      </c>
      <c r="K452" s="21">
        <v>60</v>
      </c>
      <c r="L452" s="21">
        <v>71</v>
      </c>
      <c r="M452" s="21">
        <v>76</v>
      </c>
      <c r="N452" s="62">
        <v>78</v>
      </c>
      <c r="O452" s="62">
        <v>82</v>
      </c>
      <c r="P452" s="62">
        <v>0</v>
      </c>
      <c r="Q452" s="62">
        <v>0</v>
      </c>
      <c r="R452" s="62">
        <v>0</v>
      </c>
      <c r="S452" s="62">
        <v>0</v>
      </c>
      <c r="T452" s="62">
        <v>0</v>
      </c>
      <c r="U452" s="62">
        <v>0</v>
      </c>
      <c r="V452" s="62">
        <v>0</v>
      </c>
      <c r="W452" s="62">
        <v>0</v>
      </c>
      <c r="X452" s="62">
        <v>0</v>
      </c>
      <c r="Y452" s="62">
        <v>0</v>
      </c>
      <c r="Z452" s="62">
        <v>0</v>
      </c>
      <c r="AA452" s="62">
        <v>0</v>
      </c>
      <c r="AB452" s="62">
        <v>0</v>
      </c>
      <c r="AC452" s="62">
        <v>0</v>
      </c>
      <c r="AD452" s="62">
        <v>0</v>
      </c>
      <c r="AE452" s="62">
        <v>0</v>
      </c>
      <c r="AF452" s="62">
        <v>0</v>
      </c>
      <c r="AG452" s="62">
        <v>0</v>
      </c>
      <c r="AH452" s="62">
        <v>0</v>
      </c>
      <c r="AI452" s="62">
        <v>0</v>
      </c>
      <c r="AJ452" s="57">
        <v>0</v>
      </c>
      <c r="AK452" s="58">
        <f t="shared" si="3404"/>
        <v>0</v>
      </c>
      <c r="AL452" s="58">
        <f t="shared" si="3405"/>
        <v>0</v>
      </c>
      <c r="AM452" s="58">
        <f t="shared" si="3406"/>
        <v>0</v>
      </c>
      <c r="AN452" s="58">
        <f t="shared" si="3407"/>
        <v>0</v>
      </c>
      <c r="AO452" s="58">
        <f t="shared" si="3408"/>
        <v>0</v>
      </c>
      <c r="AP452" s="58">
        <f t="shared" si="3409"/>
        <v>0</v>
      </c>
      <c r="AQ452" s="58">
        <f t="shared" si="3410"/>
        <v>0</v>
      </c>
      <c r="AR452" s="58">
        <f t="shared" si="3411"/>
        <v>0</v>
      </c>
      <c r="AS452" s="58">
        <f t="shared" si="3412"/>
        <v>0</v>
      </c>
      <c r="AT452" s="19"/>
      <c r="AU452" s="21">
        <v>841</v>
      </c>
      <c r="AV452" s="21">
        <v>841</v>
      </c>
      <c r="AW452" s="21">
        <v>841</v>
      </c>
      <c r="AX452" s="21">
        <v>752</v>
      </c>
      <c r="AY452" s="21">
        <v>398</v>
      </c>
      <c r="AZ452" s="19">
        <f t="shared" si="3331"/>
        <v>67</v>
      </c>
      <c r="BA452" s="19">
        <f t="shared" si="3332"/>
        <v>63</v>
      </c>
      <c r="BB452" s="19">
        <f t="shared" si="3333"/>
        <v>63</v>
      </c>
      <c r="BC452" s="19">
        <f t="shared" si="3334"/>
        <v>60</v>
      </c>
      <c r="BD452" s="19">
        <f t="shared" si="3335"/>
        <v>76</v>
      </c>
      <c r="BE452" s="19">
        <f t="shared" si="3336"/>
        <v>82</v>
      </c>
      <c r="BF452" s="19">
        <f t="shared" si="3337"/>
        <v>0</v>
      </c>
      <c r="BG452" s="19">
        <f t="shared" si="3338"/>
        <v>0</v>
      </c>
      <c r="BH452" s="19">
        <f t="shared" si="3339"/>
        <v>0</v>
      </c>
      <c r="BI452" s="19">
        <f t="shared" si="3340"/>
        <v>0</v>
      </c>
      <c r="BJ452" s="19">
        <f t="shared" si="3341"/>
        <v>0</v>
      </c>
      <c r="BK452" s="19">
        <f t="shared" si="3342"/>
        <v>0</v>
      </c>
      <c r="BL452" s="19">
        <f t="shared" si="3343"/>
        <v>0</v>
      </c>
      <c r="BM452" s="19">
        <f t="shared" si="3344"/>
        <v>0</v>
      </c>
      <c r="BN452" s="19">
        <f t="shared" si="3345"/>
        <v>0</v>
      </c>
      <c r="BO452" s="20">
        <f t="shared" si="3346"/>
        <v>0</v>
      </c>
      <c r="BP452" s="19">
        <f t="shared" si="3347"/>
        <v>0</v>
      </c>
      <c r="BQ452" s="19">
        <f t="shared" si="3348"/>
        <v>0</v>
      </c>
      <c r="BR452" s="19">
        <f t="shared" si="3349"/>
        <v>0</v>
      </c>
      <c r="BS452" s="19">
        <f t="shared" si="3350"/>
        <v>0</v>
      </c>
      <c r="BT452" s="19">
        <f t="shared" si="3351"/>
        <v>0</v>
      </c>
    </row>
    <row r="453" spans="1:72" ht="12" customHeight="1" outlineLevel="1">
      <c r="A453" s="91" t="s">
        <v>1312</v>
      </c>
      <c r="B453" s="1" t="s">
        <v>190</v>
      </c>
      <c r="C453" s="19"/>
      <c r="D453" s="19">
        <f t="shared" ref="D453:P453" si="3413">D161-D451-D452</f>
        <v>71</v>
      </c>
      <c r="E453" s="19">
        <f t="shared" si="3413"/>
        <v>79</v>
      </c>
      <c r="F453" s="19">
        <f t="shared" si="3413"/>
        <v>75</v>
      </c>
      <c r="G453" s="19">
        <f t="shared" si="3413"/>
        <v>74</v>
      </c>
      <c r="H453" s="19">
        <f t="shared" si="3413"/>
        <v>56</v>
      </c>
      <c r="I453" s="19">
        <f t="shared" si="3413"/>
        <v>75</v>
      </c>
      <c r="J453" s="19">
        <f t="shared" si="3413"/>
        <v>57</v>
      </c>
      <c r="K453" s="19">
        <f t="shared" si="3413"/>
        <v>101</v>
      </c>
      <c r="L453" s="19">
        <f t="shared" si="3413"/>
        <v>28</v>
      </c>
      <c r="M453" s="19">
        <f t="shared" si="3413"/>
        <v>29</v>
      </c>
      <c r="N453" s="59">
        <f t="shared" si="3413"/>
        <v>57</v>
      </c>
      <c r="O453" s="59">
        <f t="shared" si="3413"/>
        <v>14</v>
      </c>
      <c r="P453" s="59">
        <f t="shared" si="3413"/>
        <v>195</v>
      </c>
      <c r="Q453" s="59">
        <f t="shared" ref="Q453:V453" si="3414">Q100-Q451-Q452</f>
        <v>157</v>
      </c>
      <c r="R453" s="59">
        <f t="shared" si="3414"/>
        <v>151</v>
      </c>
      <c r="S453" s="59">
        <f t="shared" si="3414"/>
        <v>1316</v>
      </c>
      <c r="T453" s="59">
        <f t="shared" si="3414"/>
        <v>1351</v>
      </c>
      <c r="U453" s="59">
        <f t="shared" si="3414"/>
        <v>1432</v>
      </c>
      <c r="V453" s="59">
        <f t="shared" si="3414"/>
        <v>208</v>
      </c>
      <c r="W453" s="59">
        <f t="shared" ref="W453:X453" si="3415">W100-W451-W452</f>
        <v>212</v>
      </c>
      <c r="X453" s="59">
        <f t="shared" si="3415"/>
        <v>304</v>
      </c>
      <c r="Y453" s="59">
        <f t="shared" ref="Y453:Z453" si="3416">Y100-Y451-Y452</f>
        <v>330</v>
      </c>
      <c r="Z453" s="59">
        <f t="shared" si="3416"/>
        <v>281</v>
      </c>
      <c r="AA453" s="59">
        <f t="shared" ref="AA453" si="3417">AA100-AA451-AA452</f>
        <v>303</v>
      </c>
      <c r="AB453" s="59">
        <f t="shared" ref="AB453:AC453" si="3418">AB100-AB451-AB452</f>
        <v>350</v>
      </c>
      <c r="AC453" s="59">
        <f t="shared" si="3418"/>
        <v>245</v>
      </c>
      <c r="AD453" s="59">
        <f t="shared" ref="AD453:AE453" si="3419">AD100-AD451-AD452</f>
        <v>350</v>
      </c>
      <c r="AE453" s="59">
        <f t="shared" si="3419"/>
        <v>951</v>
      </c>
      <c r="AF453" s="59">
        <f t="shared" ref="AF453:AG453" si="3420">AF100-AF451-AF452</f>
        <v>487</v>
      </c>
      <c r="AG453" s="59">
        <f t="shared" si="3420"/>
        <v>515</v>
      </c>
      <c r="AH453" s="59">
        <f t="shared" ref="AH453:AI453" si="3421">AH100-AH451-AH452</f>
        <v>535</v>
      </c>
      <c r="AI453" s="59">
        <f t="shared" si="3421"/>
        <v>433</v>
      </c>
      <c r="AJ453" s="60">
        <f t="shared" ref="AJ453" si="3422">AJ100-AJ451-AJ452</f>
        <v>633</v>
      </c>
      <c r="AK453" s="58">
        <f t="shared" si="3404"/>
        <v>633</v>
      </c>
      <c r="AL453" s="58">
        <f t="shared" si="3405"/>
        <v>633</v>
      </c>
      <c r="AM453" s="58">
        <f t="shared" si="3406"/>
        <v>633</v>
      </c>
      <c r="AN453" s="58">
        <f t="shared" si="3407"/>
        <v>633</v>
      </c>
      <c r="AO453" s="58">
        <f t="shared" si="3408"/>
        <v>633</v>
      </c>
      <c r="AP453" s="58">
        <f t="shared" si="3409"/>
        <v>633</v>
      </c>
      <c r="AQ453" s="58">
        <f t="shared" si="3410"/>
        <v>633</v>
      </c>
      <c r="AR453" s="58">
        <f t="shared" si="3411"/>
        <v>633</v>
      </c>
      <c r="AS453" s="58">
        <f t="shared" si="3412"/>
        <v>633</v>
      </c>
      <c r="AT453" s="19"/>
      <c r="AU453" s="19">
        <f>AU100-AU452</f>
        <v>413</v>
      </c>
      <c r="AV453" s="19">
        <f>AV100-AV452</f>
        <v>398</v>
      </c>
      <c r="AW453" s="19">
        <f>AW100-AW451-AW452</f>
        <v>16</v>
      </c>
      <c r="AX453" s="19">
        <f>AX161-AX451-AX452</f>
        <v>89</v>
      </c>
      <c r="AY453" s="19">
        <f>AY161-AY451-AY452</f>
        <v>107</v>
      </c>
      <c r="AZ453" s="19">
        <f t="shared" si="3331"/>
        <v>79</v>
      </c>
      <c r="BA453" s="19">
        <f t="shared" si="3332"/>
        <v>74</v>
      </c>
      <c r="BB453" s="19">
        <f t="shared" si="3333"/>
        <v>75</v>
      </c>
      <c r="BC453" s="19">
        <f t="shared" si="3334"/>
        <v>101</v>
      </c>
      <c r="BD453" s="19">
        <f t="shared" si="3335"/>
        <v>29</v>
      </c>
      <c r="BE453" s="19">
        <f t="shared" si="3336"/>
        <v>14</v>
      </c>
      <c r="BF453" s="19">
        <f t="shared" si="3337"/>
        <v>157</v>
      </c>
      <c r="BG453" s="19">
        <f t="shared" si="3338"/>
        <v>1316</v>
      </c>
      <c r="BH453" s="19">
        <f t="shared" si="3339"/>
        <v>1432</v>
      </c>
      <c r="BI453" s="19">
        <f t="shared" si="3340"/>
        <v>212</v>
      </c>
      <c r="BJ453" s="19">
        <f t="shared" si="3341"/>
        <v>330</v>
      </c>
      <c r="BK453" s="19">
        <f t="shared" si="3342"/>
        <v>303</v>
      </c>
      <c r="BL453" s="19">
        <f t="shared" si="3343"/>
        <v>245</v>
      </c>
      <c r="BM453" s="19">
        <f t="shared" si="3344"/>
        <v>951</v>
      </c>
      <c r="BN453" s="19">
        <f t="shared" si="3345"/>
        <v>515</v>
      </c>
      <c r="BO453" s="20">
        <f t="shared" si="3346"/>
        <v>433</v>
      </c>
      <c r="BP453" s="19">
        <f t="shared" si="3347"/>
        <v>633</v>
      </c>
      <c r="BQ453" s="19">
        <f t="shared" si="3348"/>
        <v>633</v>
      </c>
      <c r="BR453" s="19">
        <f t="shared" si="3349"/>
        <v>633</v>
      </c>
      <c r="BS453" s="19">
        <f t="shared" si="3350"/>
        <v>633</v>
      </c>
      <c r="BT453" s="19">
        <f t="shared" si="3351"/>
        <v>633</v>
      </c>
    </row>
    <row r="454" spans="1:72" ht="12" customHeight="1" outlineLevel="1">
      <c r="A454" s="91" t="s">
        <v>580</v>
      </c>
      <c r="B454" s="9" t="s">
        <v>191</v>
      </c>
      <c r="C454" s="19"/>
      <c r="D454" s="17">
        <f t="shared" ref="D454:V454" si="3423">D101</f>
        <v>11220</v>
      </c>
      <c r="E454" s="17">
        <f t="shared" si="3423"/>
        <v>11769</v>
      </c>
      <c r="F454" s="17">
        <f t="shared" si="3423"/>
        <v>11593</v>
      </c>
      <c r="G454" s="17">
        <f t="shared" si="3423"/>
        <v>11932</v>
      </c>
      <c r="H454" s="17">
        <f t="shared" si="3423"/>
        <v>11764</v>
      </c>
      <c r="I454" s="17">
        <f t="shared" si="3423"/>
        <v>11732</v>
      </c>
      <c r="J454" s="17">
        <f t="shared" si="3423"/>
        <v>11499</v>
      </c>
      <c r="K454" s="17">
        <f t="shared" si="3423"/>
        <v>11955</v>
      </c>
      <c r="L454" s="17">
        <f t="shared" si="3423"/>
        <v>12719</v>
      </c>
      <c r="M454" s="17">
        <f t="shared" si="3423"/>
        <v>11914</v>
      </c>
      <c r="N454" s="17">
        <f t="shared" si="3423"/>
        <v>12216</v>
      </c>
      <c r="O454" s="17">
        <f t="shared" si="3423"/>
        <v>14396</v>
      </c>
      <c r="P454" s="17">
        <f t="shared" si="3423"/>
        <v>15217</v>
      </c>
      <c r="Q454" s="17">
        <f t="shared" si="3423"/>
        <v>15664</v>
      </c>
      <c r="R454" s="17">
        <f t="shared" si="3423"/>
        <v>15463</v>
      </c>
      <c r="S454" s="17">
        <f t="shared" si="3423"/>
        <v>17270</v>
      </c>
      <c r="T454" s="17">
        <f t="shared" si="3423"/>
        <v>17099</v>
      </c>
      <c r="U454" s="17">
        <f t="shared" si="3423"/>
        <v>18180</v>
      </c>
      <c r="V454" s="17">
        <f t="shared" si="3423"/>
        <v>17159</v>
      </c>
      <c r="W454" s="17">
        <f t="shared" ref="W454:X454" si="3424">W101</f>
        <v>18364</v>
      </c>
      <c r="X454" s="17">
        <f t="shared" si="3424"/>
        <v>20312</v>
      </c>
      <c r="Y454" s="17">
        <f t="shared" ref="Y454:Z454" si="3425">Y101</f>
        <v>21784</v>
      </c>
      <c r="Z454" s="17">
        <f t="shared" si="3425"/>
        <v>20789</v>
      </c>
      <c r="AA454" s="17">
        <f t="shared" ref="AA454:AB454" si="3426">AA101</f>
        <v>22351</v>
      </c>
      <c r="AB454" s="17">
        <f t="shared" si="3426"/>
        <v>24414</v>
      </c>
      <c r="AC454" s="17">
        <f t="shared" ref="AC454:AD454" si="3427">AC101</f>
        <v>28806</v>
      </c>
      <c r="AD454" s="17">
        <f t="shared" si="3427"/>
        <v>31687</v>
      </c>
      <c r="AE454" s="17">
        <f t="shared" ref="AE454:AF454" si="3428">AE101</f>
        <v>34106</v>
      </c>
      <c r="AF454" s="17">
        <f t="shared" si="3428"/>
        <v>33138</v>
      </c>
      <c r="AG454" s="17">
        <f t="shared" ref="AG454:AH454" si="3429">AG101</f>
        <v>33996</v>
      </c>
      <c r="AH454" s="17">
        <f t="shared" si="3429"/>
        <v>32834</v>
      </c>
      <c r="AI454" s="17">
        <f t="shared" ref="AI454:AJ454" si="3430">AI101</f>
        <v>35789</v>
      </c>
      <c r="AJ454" s="18">
        <f t="shared" si="3430"/>
        <v>35194</v>
      </c>
      <c r="AK454" s="17">
        <f t="shared" ref="AK454" si="3431">AK101</f>
        <v>36300.542368671689</v>
      </c>
      <c r="AL454" s="17">
        <f t="shared" ref="AL454:AM454" si="3432">AL101</f>
        <v>36584.737945446301</v>
      </c>
      <c r="AM454" s="17">
        <f t="shared" si="3432"/>
        <v>37433.629642974913</v>
      </c>
      <c r="AN454" s="17">
        <f t="shared" ref="AN454:AO454" si="3433">AN101</f>
        <v>38171.949756650603</v>
      </c>
      <c r="AO454" s="17">
        <f t="shared" si="3433"/>
        <v>39493.111162244837</v>
      </c>
      <c r="AP454" s="17">
        <f t="shared" ref="AP454:AQ454" si="3434">AP101</f>
        <v>40130.741288659243</v>
      </c>
      <c r="AQ454" s="17">
        <f t="shared" si="3434"/>
        <v>41563.394807232384</v>
      </c>
      <c r="AR454" s="17">
        <f t="shared" ref="AR454:AS454" si="3435">AR101</f>
        <v>42480.295692258165</v>
      </c>
      <c r="AS454" s="17">
        <f t="shared" si="3435"/>
        <v>43908.015850887139</v>
      </c>
      <c r="AT454" s="19"/>
      <c r="AU454" s="17">
        <f>AU101</f>
        <v>4425</v>
      </c>
      <c r="AV454" s="17">
        <f>AV101</f>
        <v>5337</v>
      </c>
      <c r="AW454" s="17">
        <f>AW101</f>
        <v>7519</v>
      </c>
      <c r="AX454" s="17">
        <f>AX101</f>
        <v>10061</v>
      </c>
      <c r="AY454" s="17">
        <f>AY101</f>
        <v>9560</v>
      </c>
      <c r="AZ454" s="17">
        <f>SUM(AZ446:AZ453)</f>
        <v>11769</v>
      </c>
      <c r="BA454" s="17">
        <f t="shared" ref="BA454:BH454" si="3436">SUM(BA446:BA453)</f>
        <v>11932</v>
      </c>
      <c r="BB454" s="17">
        <f t="shared" si="3436"/>
        <v>11732</v>
      </c>
      <c r="BC454" s="17">
        <f t="shared" si="3436"/>
        <v>11955</v>
      </c>
      <c r="BD454" s="17">
        <f t="shared" si="3436"/>
        <v>11914</v>
      </c>
      <c r="BE454" s="17">
        <f t="shared" si="3436"/>
        <v>14396</v>
      </c>
      <c r="BF454" s="17">
        <f t="shared" si="3436"/>
        <v>15664</v>
      </c>
      <c r="BG454" s="17">
        <f t="shared" si="3436"/>
        <v>17270</v>
      </c>
      <c r="BH454" s="17">
        <f t="shared" si="3436"/>
        <v>18180</v>
      </c>
      <c r="BI454" s="17">
        <f t="shared" ref="BI454" si="3437">SUM(BI446:BI453)</f>
        <v>18364</v>
      </c>
      <c r="BJ454" s="17">
        <f t="shared" ref="BJ454:BO454" si="3438">SUM(BJ446:BJ453)</f>
        <v>21784</v>
      </c>
      <c r="BK454" s="17">
        <f t="shared" si="3438"/>
        <v>22351</v>
      </c>
      <c r="BL454" s="17">
        <f t="shared" si="3438"/>
        <v>28806</v>
      </c>
      <c r="BM454" s="17">
        <f t="shared" si="3438"/>
        <v>34106</v>
      </c>
      <c r="BN454" s="17">
        <f t="shared" si="3438"/>
        <v>33996</v>
      </c>
      <c r="BO454" s="18">
        <f t="shared" si="3438"/>
        <v>35789</v>
      </c>
      <c r="BP454" s="17">
        <f t="shared" ref="BP454:BQ454" si="3439">SUM(BP446:BP453)</f>
        <v>36300.542368671689</v>
      </c>
      <c r="BQ454" s="17">
        <f t="shared" si="3439"/>
        <v>37433.629642974913</v>
      </c>
      <c r="BR454" s="17">
        <f t="shared" ref="BR454:BS454" si="3440">SUM(BR446:BR453)</f>
        <v>39493.111162244837</v>
      </c>
      <c r="BS454" s="17">
        <f t="shared" si="3440"/>
        <v>41563.394807232384</v>
      </c>
      <c r="BT454" s="17">
        <f>SUM(BT446:BT453)</f>
        <v>43908.015850887139</v>
      </c>
    </row>
    <row r="455" spans="1:72" ht="12" customHeight="1" outlineLevel="1"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20"/>
      <c r="AK455" s="19"/>
      <c r="AL455" s="19"/>
      <c r="AM455" s="19"/>
      <c r="AN455" s="19"/>
      <c r="AO455" s="19"/>
      <c r="AP455" s="19"/>
      <c r="AQ455" s="19"/>
      <c r="AR455" s="19"/>
      <c r="AS455" s="19"/>
      <c r="AT455" s="19"/>
      <c r="AU455" s="19"/>
      <c r="AV455" s="19"/>
      <c r="AW455" s="19"/>
      <c r="AX455" s="19"/>
      <c r="AY455" s="19"/>
      <c r="AZ455" s="19"/>
      <c r="BA455" s="19"/>
      <c r="BB455" s="19"/>
      <c r="BC455" s="19"/>
      <c r="BD455" s="19"/>
      <c r="BE455" s="19"/>
      <c r="BF455" s="19"/>
      <c r="BG455" s="19"/>
      <c r="BH455" s="19"/>
      <c r="BI455" s="19"/>
      <c r="BJ455" s="19"/>
      <c r="BK455" s="19"/>
      <c r="BL455" s="19"/>
      <c r="BM455" s="19"/>
      <c r="BN455" s="19"/>
      <c r="BO455" s="20"/>
      <c r="BP455" s="19"/>
      <c r="BQ455" s="19"/>
      <c r="BR455" s="19"/>
      <c r="BS455" s="19"/>
      <c r="BT455" s="19"/>
    </row>
    <row r="456" spans="1:72" ht="12" customHeight="1" outlineLevel="1">
      <c r="B456" s="3" t="s">
        <v>454</v>
      </c>
      <c r="C456" s="96" t="str">
        <f t="shared" ref="C456" si="3441">IF(ROUND(C402-C444,7)=ROUND(C454,7),"Ok","Error")</f>
        <v>Ok</v>
      </c>
      <c r="D456" s="96" t="str">
        <f>IF(ROUND(D402-D444,7)=ROUND(D454,7),"Ok","Error")</f>
        <v>Ok</v>
      </c>
      <c r="E456" s="96" t="str">
        <f t="shared" ref="E456:O456" si="3442">IF(ROUND(E402-E444,7)=ROUND(E454,7),"Ok","Error")</f>
        <v>Ok</v>
      </c>
      <c r="F456" s="96" t="str">
        <f t="shared" si="3442"/>
        <v>Ok</v>
      </c>
      <c r="G456" s="96" t="str">
        <f t="shared" si="3442"/>
        <v>Ok</v>
      </c>
      <c r="H456" s="96" t="str">
        <f t="shared" si="3442"/>
        <v>Ok</v>
      </c>
      <c r="I456" s="96" t="str">
        <f t="shared" si="3442"/>
        <v>Ok</v>
      </c>
      <c r="J456" s="96" t="str">
        <f t="shared" si="3442"/>
        <v>Ok</v>
      </c>
      <c r="K456" s="100" t="str">
        <f t="shared" si="3442"/>
        <v>Ok</v>
      </c>
      <c r="L456" s="100" t="str">
        <f t="shared" ref="L456" si="3443">IF(ROUND(L402-L444,7)=ROUND(L454,7),"Ok","Error")</f>
        <v>Ok</v>
      </c>
      <c r="M456" s="100" t="str">
        <f t="shared" si="3442"/>
        <v>Ok</v>
      </c>
      <c r="N456" s="100" t="str">
        <f t="shared" ref="N456" si="3444">IF(ROUND(N402-N444,7)=ROUND(N454,7),"Ok","Error")</f>
        <v>Ok</v>
      </c>
      <c r="O456" s="100" t="str">
        <f t="shared" si="3442"/>
        <v>Ok</v>
      </c>
      <c r="P456" s="100" t="str">
        <f t="shared" ref="P456:Q456" si="3445">IF(ROUND(P402-P444,7)=ROUND(P454,7),"Ok","Error")</f>
        <v>Ok</v>
      </c>
      <c r="Q456" s="100" t="str">
        <f t="shared" si="3445"/>
        <v>Ok</v>
      </c>
      <c r="R456" s="100" t="str">
        <f t="shared" ref="R456:S456" si="3446">IF(ROUND(R402-R444,7)=ROUND(R454,7),"Ok","Error")</f>
        <v>Ok</v>
      </c>
      <c r="S456" s="100" t="str">
        <f t="shared" si="3446"/>
        <v>Ok</v>
      </c>
      <c r="T456" s="100" t="str">
        <f t="shared" ref="T456:U456" si="3447">IF(ROUND(T402-T444,7)=ROUND(T454,7),"Ok","Error")</f>
        <v>Ok</v>
      </c>
      <c r="U456" s="100" t="str">
        <f t="shared" si="3447"/>
        <v>Ok</v>
      </c>
      <c r="V456" s="100" t="str">
        <f t="shared" ref="V456:W456" si="3448">IF(ROUND(V402-V444,7)=ROUND(V454,7),"Ok","Error")</f>
        <v>Ok</v>
      </c>
      <c r="W456" s="100" t="str">
        <f t="shared" si="3448"/>
        <v>Ok</v>
      </c>
      <c r="X456" s="100" t="str">
        <f t="shared" ref="X456:Y456" si="3449">IF(ROUND(X402-X444,7)=ROUND(X454,7),"Ok","Error")</f>
        <v>Ok</v>
      </c>
      <c r="Y456" s="100" t="str">
        <f t="shared" si="3449"/>
        <v>Ok</v>
      </c>
      <c r="Z456" s="100" t="str">
        <f t="shared" ref="Z456:AA456" si="3450">IF(ROUND(Z402-Z444,7)=ROUND(Z454,7),"Ok","Error")</f>
        <v>Ok</v>
      </c>
      <c r="AA456" s="100" t="str">
        <f t="shared" si="3450"/>
        <v>Ok</v>
      </c>
      <c r="AB456" s="100" t="str">
        <f t="shared" ref="AB456:AC456" si="3451">IF(ROUND(AB402-AB444,7)=ROUND(AB454,7),"Ok","Error")</f>
        <v>Ok</v>
      </c>
      <c r="AC456" s="100" t="str">
        <f t="shared" si="3451"/>
        <v>Ok</v>
      </c>
      <c r="AD456" s="100" t="str">
        <f t="shared" ref="AD456:AE456" si="3452">IF(ROUND(AD402-AD444,7)=ROUND(AD454,7),"Ok","Error")</f>
        <v>Ok</v>
      </c>
      <c r="AE456" s="100" t="str">
        <f t="shared" si="3452"/>
        <v>Ok</v>
      </c>
      <c r="AF456" s="100" t="str">
        <f t="shared" ref="AF456:AG456" si="3453">IF(ROUND(AF402-AF444,7)=ROUND(AF454,7),"Ok","Error")</f>
        <v>Ok</v>
      </c>
      <c r="AG456" s="100" t="str">
        <f t="shared" si="3453"/>
        <v>Ok</v>
      </c>
      <c r="AH456" s="100" t="str">
        <f t="shared" ref="AH456:AI456" si="3454">IF(ROUND(AH402-AH444,7)=ROUND(AH454,7),"Ok","Error")</f>
        <v>Ok</v>
      </c>
      <c r="AI456" s="100" t="str">
        <f t="shared" si="3454"/>
        <v>Ok</v>
      </c>
      <c r="AJ456" s="97" t="str">
        <f t="shared" ref="AJ456:AK456" si="3455">IF(ROUND(AJ402-AJ444,7)=ROUND(AJ454,7),"Ok","Error")</f>
        <v>Ok</v>
      </c>
      <c r="AK456" s="96" t="str">
        <f t="shared" si="3455"/>
        <v>Ok</v>
      </c>
      <c r="AL456" s="96" t="str">
        <f t="shared" ref="AL456:AM456" si="3456">IF(ROUND(AL402-AL444,7)=ROUND(AL454,7),"Ok","Error")</f>
        <v>Ok</v>
      </c>
      <c r="AM456" s="96" t="str">
        <f t="shared" si="3456"/>
        <v>Ok</v>
      </c>
      <c r="AN456" s="96" t="str">
        <f t="shared" ref="AN456:AO456" si="3457">IF(ROUND(AN402-AN444,7)=ROUND(AN454,7),"Ok","Error")</f>
        <v>Ok</v>
      </c>
      <c r="AO456" s="96" t="str">
        <f t="shared" si="3457"/>
        <v>Ok</v>
      </c>
      <c r="AP456" s="96" t="str">
        <f t="shared" ref="AP456:AQ456" si="3458">IF(ROUND(AP402-AP444,7)=ROUND(AP454,7),"Ok","Error")</f>
        <v>Ok</v>
      </c>
      <c r="AQ456" s="96" t="str">
        <f t="shared" si="3458"/>
        <v>Ok</v>
      </c>
      <c r="AR456" s="96" t="str">
        <f t="shared" ref="AR456:AS456" si="3459">IF(ROUND(AR402-AR444,7)=ROUND(AR454,7),"Ok","Error")</f>
        <v>Ok</v>
      </c>
      <c r="AS456" s="96" t="str">
        <f t="shared" si="3459"/>
        <v>Ok</v>
      </c>
      <c r="AU456" s="96" t="str">
        <f t="shared" ref="AU456:AY456" si="3460">IF(ROUND(AU402-AU444,7)=ROUND(AU454,7),"Ok","Error")</f>
        <v>Ok</v>
      </c>
      <c r="AV456" s="96" t="str">
        <f t="shared" si="3460"/>
        <v>Ok</v>
      </c>
      <c r="AW456" s="96" t="str">
        <f t="shared" si="3460"/>
        <v>Ok</v>
      </c>
      <c r="AX456" s="96" t="str">
        <f t="shared" si="3460"/>
        <v>Ok</v>
      </c>
      <c r="AY456" s="96" t="str">
        <f t="shared" si="3460"/>
        <v>Ok</v>
      </c>
      <c r="AZ456" s="96" t="str">
        <f t="shared" ref="AZ456:BH456" si="3461">IF(ROUND(AZ402-AZ444,7)=ROUND(AZ454,7),"Ok","Error")</f>
        <v>Ok</v>
      </c>
      <c r="BA456" s="96" t="str">
        <f t="shared" si="3461"/>
        <v>Ok</v>
      </c>
      <c r="BB456" s="96" t="str">
        <f t="shared" si="3461"/>
        <v>Ok</v>
      </c>
      <c r="BC456" s="96" t="str">
        <f t="shared" si="3461"/>
        <v>Ok</v>
      </c>
      <c r="BD456" s="100" t="str">
        <f t="shared" si="3461"/>
        <v>Ok</v>
      </c>
      <c r="BE456" s="100" t="str">
        <f t="shared" si="3461"/>
        <v>Ok</v>
      </c>
      <c r="BF456" s="100" t="str">
        <f t="shared" si="3461"/>
        <v>Ok</v>
      </c>
      <c r="BG456" s="100" t="str">
        <f t="shared" si="3461"/>
        <v>Ok</v>
      </c>
      <c r="BH456" s="100" t="str">
        <f t="shared" si="3461"/>
        <v>Ok</v>
      </c>
      <c r="BI456" s="100" t="str">
        <f t="shared" ref="BI456" si="3462">IF(ROUND(BI402-BI444,7)=ROUND(BI454,7),"Ok","Error")</f>
        <v>Ok</v>
      </c>
      <c r="BJ456" s="100" t="str">
        <f t="shared" ref="BJ456:BO456" si="3463">IF(ROUND(BJ402-BJ444,7)=ROUND(BJ454,7),"Ok","Error")</f>
        <v>Ok</v>
      </c>
      <c r="BK456" s="100" t="str">
        <f t="shared" si="3463"/>
        <v>Ok</v>
      </c>
      <c r="BL456" s="100" t="str">
        <f t="shared" si="3463"/>
        <v>Ok</v>
      </c>
      <c r="BM456" s="100" t="str">
        <f t="shared" si="3463"/>
        <v>Ok</v>
      </c>
      <c r="BN456" s="100" t="str">
        <f t="shared" si="3463"/>
        <v>Ok</v>
      </c>
      <c r="BO456" s="97" t="str">
        <f t="shared" si="3463"/>
        <v>Ok</v>
      </c>
      <c r="BP456" s="96" t="str">
        <f t="shared" ref="BP456:BQ456" si="3464">IF(ROUND(BP402-BP444,7)=ROUND(BP454,7),"Ok","Error")</f>
        <v>Ok</v>
      </c>
      <c r="BQ456" s="96" t="str">
        <f t="shared" si="3464"/>
        <v>Ok</v>
      </c>
      <c r="BR456" s="96" t="str">
        <f t="shared" ref="BR456:BS456" si="3465">IF(ROUND(BR402-BR444,7)=ROUND(BR454,7),"Ok","Error")</f>
        <v>Ok</v>
      </c>
      <c r="BS456" s="96" t="str">
        <f t="shared" si="3465"/>
        <v>Ok</v>
      </c>
      <c r="BT456" s="96" t="str">
        <f>IF(ROUND(BT402-BT444,7)=ROUND(BT454,7),"Ok","Error")</f>
        <v>Ok</v>
      </c>
    </row>
    <row r="457" spans="1:72" ht="12" customHeight="1" outlineLevel="1"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20"/>
      <c r="AK457" s="19"/>
      <c r="AL457" s="19"/>
      <c r="AM457" s="19"/>
      <c r="AN457" s="19"/>
      <c r="AO457" s="19"/>
      <c r="AP457" s="19"/>
      <c r="AQ457" s="19"/>
      <c r="AR457" s="19"/>
      <c r="AS457" s="19"/>
      <c r="AT457" s="19"/>
      <c r="AU457" s="19"/>
      <c r="AV457" s="19"/>
      <c r="AW457" s="19"/>
      <c r="AX457" s="19"/>
      <c r="AY457" s="19"/>
      <c r="AZ457" s="19"/>
      <c r="BA457" s="19"/>
      <c r="BB457" s="19"/>
      <c r="BC457" s="19"/>
      <c r="BD457" s="19"/>
      <c r="BE457" s="19"/>
      <c r="BF457" s="19"/>
      <c r="BG457" s="19"/>
      <c r="BH457" s="19"/>
      <c r="BI457" s="19"/>
      <c r="BJ457" s="19"/>
      <c r="BK457" s="19"/>
      <c r="BL457" s="19"/>
      <c r="BM457" s="19"/>
      <c r="BN457" s="19"/>
      <c r="BO457" s="20"/>
      <c r="BP457" s="19"/>
      <c r="BQ457" s="19"/>
      <c r="BR457" s="19"/>
      <c r="BS457" s="19"/>
      <c r="BT457" s="19"/>
    </row>
    <row r="458" spans="1:72" ht="12" customHeight="1" outlineLevel="1">
      <c r="B458" s="9" t="s">
        <v>408</v>
      </c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20"/>
      <c r="AK458" s="19"/>
      <c r="AL458" s="19"/>
      <c r="AM458" s="19"/>
      <c r="AN458" s="19"/>
      <c r="AO458" s="19"/>
      <c r="AP458" s="19"/>
      <c r="AQ458" s="19"/>
      <c r="AR458" s="19"/>
      <c r="AS458" s="19"/>
      <c r="AT458" s="19"/>
      <c r="AU458" s="19"/>
      <c r="AV458" s="19"/>
      <c r="AW458" s="19"/>
      <c r="AX458" s="19"/>
      <c r="AY458" s="19"/>
      <c r="AZ458" s="19"/>
      <c r="BA458" s="19"/>
      <c r="BB458" s="19"/>
      <c r="BC458" s="19"/>
      <c r="BD458" s="19"/>
      <c r="BE458" s="19"/>
      <c r="BF458" s="19"/>
      <c r="BG458" s="19"/>
      <c r="BH458" s="19"/>
      <c r="BI458" s="19"/>
      <c r="BJ458" s="19"/>
      <c r="BK458" s="19"/>
      <c r="BL458" s="19"/>
      <c r="BM458" s="19"/>
      <c r="BN458" s="19"/>
      <c r="BO458" s="20"/>
      <c r="BP458" s="19"/>
      <c r="BQ458" s="19"/>
      <c r="BR458" s="19"/>
      <c r="BS458" s="19"/>
      <c r="BT458" s="19"/>
    </row>
    <row r="459" spans="1:72" s="9" customFormat="1" ht="12" customHeight="1" outlineLevel="1">
      <c r="A459" s="91"/>
      <c r="B459" s="9" t="s">
        <v>191</v>
      </c>
      <c r="C459" s="17"/>
      <c r="D459" s="17">
        <f t="shared" ref="D459:V459" si="3466">D101</f>
        <v>11220</v>
      </c>
      <c r="E459" s="17">
        <f t="shared" si="3466"/>
        <v>11769</v>
      </c>
      <c r="F459" s="17">
        <f t="shared" si="3466"/>
        <v>11593</v>
      </c>
      <c r="G459" s="17">
        <f t="shared" si="3466"/>
        <v>11932</v>
      </c>
      <c r="H459" s="17">
        <f t="shared" si="3466"/>
        <v>11764</v>
      </c>
      <c r="I459" s="17">
        <f t="shared" si="3466"/>
        <v>11732</v>
      </c>
      <c r="J459" s="17">
        <f t="shared" si="3466"/>
        <v>11499</v>
      </c>
      <c r="K459" s="17">
        <f t="shared" si="3466"/>
        <v>11955</v>
      </c>
      <c r="L459" s="17">
        <f t="shared" si="3466"/>
        <v>12719</v>
      </c>
      <c r="M459" s="17">
        <f t="shared" si="3466"/>
        <v>11914</v>
      </c>
      <c r="N459" s="17">
        <f t="shared" si="3466"/>
        <v>12216</v>
      </c>
      <c r="O459" s="17">
        <f t="shared" si="3466"/>
        <v>14396</v>
      </c>
      <c r="P459" s="17">
        <f t="shared" si="3466"/>
        <v>15217</v>
      </c>
      <c r="Q459" s="17">
        <f t="shared" si="3466"/>
        <v>15664</v>
      </c>
      <c r="R459" s="17">
        <f t="shared" si="3466"/>
        <v>15463</v>
      </c>
      <c r="S459" s="17">
        <f t="shared" si="3466"/>
        <v>17270</v>
      </c>
      <c r="T459" s="17">
        <f t="shared" si="3466"/>
        <v>17099</v>
      </c>
      <c r="U459" s="17">
        <f t="shared" si="3466"/>
        <v>18180</v>
      </c>
      <c r="V459" s="17">
        <f t="shared" si="3466"/>
        <v>17159</v>
      </c>
      <c r="W459" s="17">
        <f t="shared" ref="W459:X459" si="3467">W101</f>
        <v>18364</v>
      </c>
      <c r="X459" s="17">
        <f t="shared" si="3467"/>
        <v>20312</v>
      </c>
      <c r="Y459" s="17">
        <f t="shared" ref="Y459:Z459" si="3468">Y101</f>
        <v>21784</v>
      </c>
      <c r="Z459" s="17">
        <f t="shared" si="3468"/>
        <v>20789</v>
      </c>
      <c r="AA459" s="17">
        <f t="shared" ref="AA459:AB459" si="3469">AA101</f>
        <v>22351</v>
      </c>
      <c r="AB459" s="17">
        <f t="shared" si="3469"/>
        <v>24414</v>
      </c>
      <c r="AC459" s="17">
        <f t="shared" ref="AC459:AD459" si="3470">AC101</f>
        <v>28806</v>
      </c>
      <c r="AD459" s="17">
        <f t="shared" si="3470"/>
        <v>31687</v>
      </c>
      <c r="AE459" s="17">
        <f t="shared" ref="AE459:AF459" si="3471">AE101</f>
        <v>34106</v>
      </c>
      <c r="AF459" s="17">
        <f t="shared" si="3471"/>
        <v>33138</v>
      </c>
      <c r="AG459" s="17">
        <f t="shared" ref="AG459:AH459" si="3472">AG101</f>
        <v>33996</v>
      </c>
      <c r="AH459" s="17">
        <f t="shared" si="3472"/>
        <v>32834</v>
      </c>
      <c r="AI459" s="17">
        <f t="shared" ref="AI459:AJ459" si="3473">AI101</f>
        <v>35789</v>
      </c>
      <c r="AJ459" s="18">
        <f t="shared" si="3473"/>
        <v>35194</v>
      </c>
      <c r="AK459" s="17">
        <f t="shared" ref="AK459" si="3474">AK101</f>
        <v>36300.542368671689</v>
      </c>
      <c r="AL459" s="17">
        <f t="shared" ref="AL459:AM459" si="3475">AL101</f>
        <v>36584.737945446301</v>
      </c>
      <c r="AM459" s="17">
        <f t="shared" si="3475"/>
        <v>37433.629642974913</v>
      </c>
      <c r="AN459" s="17">
        <f t="shared" ref="AN459:AO459" si="3476">AN101</f>
        <v>38171.949756650603</v>
      </c>
      <c r="AO459" s="17">
        <f t="shared" si="3476"/>
        <v>39493.111162244837</v>
      </c>
      <c r="AP459" s="17">
        <f t="shared" ref="AP459:AQ459" si="3477">AP101</f>
        <v>40130.741288659243</v>
      </c>
      <c r="AQ459" s="17">
        <f t="shared" si="3477"/>
        <v>41563.394807232384</v>
      </c>
      <c r="AR459" s="17">
        <f t="shared" ref="AR459:AS459" si="3478">AR101</f>
        <v>42480.295692258165</v>
      </c>
      <c r="AS459" s="17">
        <f t="shared" si="3478"/>
        <v>43908.015850887139</v>
      </c>
      <c r="AT459" s="17"/>
      <c r="AU459" s="17">
        <f>AU101</f>
        <v>4425</v>
      </c>
      <c r="AV459" s="17">
        <f>AV101</f>
        <v>5337</v>
      </c>
      <c r="AW459" s="17">
        <f>AW101</f>
        <v>7519</v>
      </c>
      <c r="AX459" s="17">
        <f>AX101</f>
        <v>10061</v>
      </c>
      <c r="AY459" s="17">
        <f>AY101</f>
        <v>9560</v>
      </c>
      <c r="AZ459" s="17">
        <f>E459</f>
        <v>11769</v>
      </c>
      <c r="BA459" s="17">
        <f>G459</f>
        <v>11932</v>
      </c>
      <c r="BB459" s="17">
        <f>I459</f>
        <v>11732</v>
      </c>
      <c r="BC459" s="17">
        <f>K459</f>
        <v>11955</v>
      </c>
      <c r="BD459" s="17">
        <f>M459</f>
        <v>11914</v>
      </c>
      <c r="BE459" s="17">
        <f>O459</f>
        <v>14396</v>
      </c>
      <c r="BF459" s="17">
        <f>Q459</f>
        <v>15664</v>
      </c>
      <c r="BG459" s="17">
        <f>S459</f>
        <v>17270</v>
      </c>
      <c r="BH459" s="17">
        <f>U459</f>
        <v>18180</v>
      </c>
      <c r="BI459" s="17">
        <f>W459</f>
        <v>18364</v>
      </c>
      <c r="BJ459" s="17">
        <f>Y459</f>
        <v>21784</v>
      </c>
      <c r="BK459" s="17">
        <f>AA459</f>
        <v>22351</v>
      </c>
      <c r="BL459" s="17">
        <f>AC459</f>
        <v>28806</v>
      </c>
      <c r="BM459" s="17">
        <f>AE459</f>
        <v>34106</v>
      </c>
      <c r="BN459" s="17">
        <f>AG459</f>
        <v>33996</v>
      </c>
      <c r="BO459" s="18">
        <f>AI459</f>
        <v>35789</v>
      </c>
      <c r="BP459" s="17">
        <f>AK459</f>
        <v>36300.542368671689</v>
      </c>
      <c r="BQ459" s="17">
        <f>AM459</f>
        <v>37433.629642974913</v>
      </c>
      <c r="BR459" s="17">
        <f>AO459</f>
        <v>39493.111162244837</v>
      </c>
      <c r="BS459" s="17">
        <f>AQ459</f>
        <v>41563.394807232384</v>
      </c>
      <c r="BT459" s="17">
        <f>AS459</f>
        <v>43908.015850887139</v>
      </c>
    </row>
    <row r="460" spans="1:72" ht="12" customHeight="1" outlineLevel="1">
      <c r="B460" s="1" t="s">
        <v>455</v>
      </c>
      <c r="C460" s="19"/>
      <c r="D460" s="19">
        <f t="shared" ref="D460:H460" si="3479">-D451</f>
        <v>-391</v>
      </c>
      <c r="E460" s="19">
        <f t="shared" si="3479"/>
        <v>-391</v>
      </c>
      <c r="F460" s="19">
        <f t="shared" si="3479"/>
        <v>-391</v>
      </c>
      <c r="G460" s="19">
        <f t="shared" si="3479"/>
        <v>-391</v>
      </c>
      <c r="H460" s="19">
        <f t="shared" si="3479"/>
        <v>-391</v>
      </c>
      <c r="I460" s="19">
        <f>-I451</f>
        <v>-391</v>
      </c>
      <c r="J460" s="19">
        <f t="shared" ref="J460:K460" si="3480">-J451</f>
        <v>-391</v>
      </c>
      <c r="K460" s="19">
        <f t="shared" si="3480"/>
        <v>-391</v>
      </c>
      <c r="L460" s="19">
        <f t="shared" ref="L460:M460" si="3481">-L451</f>
        <v>-391</v>
      </c>
      <c r="M460" s="19">
        <f t="shared" si="3481"/>
        <v>-391</v>
      </c>
      <c r="N460" s="19">
        <f t="shared" ref="N460:O460" si="3482">-N451</f>
        <v>-391</v>
      </c>
      <c r="O460" s="19">
        <f t="shared" si="3482"/>
        <v>-391</v>
      </c>
      <c r="P460" s="19">
        <f t="shared" ref="P460:Q460" si="3483">-P451</f>
        <v>-391</v>
      </c>
      <c r="Q460" s="19">
        <f t="shared" si="3483"/>
        <v>-391</v>
      </c>
      <c r="R460" s="19">
        <f t="shared" ref="R460:S460" si="3484">-R451</f>
        <v>-391</v>
      </c>
      <c r="S460" s="19">
        <f t="shared" si="3484"/>
        <v>-391</v>
      </c>
      <c r="T460" s="19">
        <f t="shared" ref="T460:U460" si="3485">-T451</f>
        <v>-391</v>
      </c>
      <c r="U460" s="19">
        <f t="shared" si="3485"/>
        <v>-391</v>
      </c>
      <c r="V460" s="19">
        <f t="shared" ref="V460:W460" si="3486">-V451</f>
        <v>-391</v>
      </c>
      <c r="W460" s="19">
        <f t="shared" si="3486"/>
        <v>-391</v>
      </c>
      <c r="X460" s="19">
        <f t="shared" ref="X460:Y460" si="3487">-X451</f>
        <v>-391</v>
      </c>
      <c r="Y460" s="19">
        <f t="shared" si="3487"/>
        <v>-391</v>
      </c>
      <c r="Z460" s="19">
        <f t="shared" ref="Z460:AA460" si="3488">-Z451</f>
        <v>0</v>
      </c>
      <c r="AA460" s="19">
        <f t="shared" si="3488"/>
        <v>0</v>
      </c>
      <c r="AB460" s="19">
        <f t="shared" ref="AB460:AC460" si="3489">-AB451</f>
        <v>0</v>
      </c>
      <c r="AC460" s="19">
        <f t="shared" si="3489"/>
        <v>0</v>
      </c>
      <c r="AD460" s="19">
        <f t="shared" ref="AD460:AE460" si="3490">-AD451</f>
        <v>0</v>
      </c>
      <c r="AE460" s="19">
        <f t="shared" si="3490"/>
        <v>0</v>
      </c>
      <c r="AF460" s="19">
        <f t="shared" ref="AF460:AG460" si="3491">-AF451</f>
        <v>0</v>
      </c>
      <c r="AG460" s="19">
        <f t="shared" si="3491"/>
        <v>0</v>
      </c>
      <c r="AH460" s="19">
        <f t="shared" ref="AH460:AI460" si="3492">-AH451</f>
        <v>0</v>
      </c>
      <c r="AI460" s="19">
        <f t="shared" si="3492"/>
        <v>0</v>
      </c>
      <c r="AJ460" s="20">
        <f t="shared" ref="AJ460" si="3493">-AJ451</f>
        <v>0</v>
      </c>
      <c r="AK460" s="19">
        <f t="shared" ref="AK460" si="3494">-AK451</f>
        <v>0</v>
      </c>
      <c r="AL460" s="19">
        <f t="shared" ref="AL460:AM460" si="3495">-AL451</f>
        <v>0</v>
      </c>
      <c r="AM460" s="19">
        <f t="shared" si="3495"/>
        <v>0</v>
      </c>
      <c r="AN460" s="19">
        <f t="shared" ref="AN460:AO460" si="3496">-AN451</f>
        <v>0</v>
      </c>
      <c r="AO460" s="19">
        <f t="shared" si="3496"/>
        <v>0</v>
      </c>
      <c r="AP460" s="19">
        <f t="shared" ref="AP460:AQ460" si="3497">-AP451</f>
        <v>0</v>
      </c>
      <c r="AQ460" s="19">
        <f t="shared" si="3497"/>
        <v>0</v>
      </c>
      <c r="AR460" s="19">
        <f t="shared" ref="AR460:AS460" si="3498">-AR451</f>
        <v>0</v>
      </c>
      <c r="AS460" s="19">
        <f t="shared" si="3498"/>
        <v>0</v>
      </c>
      <c r="AT460" s="19"/>
      <c r="AU460" s="19">
        <f t="shared" ref="AU460" si="3499">-AU451</f>
        <v>-391</v>
      </c>
      <c r="AV460" s="19">
        <f t="shared" ref="AV460:AY460" si="3500">-AV451</f>
        <v>-391</v>
      </c>
      <c r="AW460" s="19">
        <f t="shared" si="3500"/>
        <v>-391</v>
      </c>
      <c r="AX460" s="19">
        <f t="shared" si="3500"/>
        <v>-391</v>
      </c>
      <c r="AY460" s="19">
        <f t="shared" si="3500"/>
        <v>-391</v>
      </c>
      <c r="AZ460" s="19">
        <f>E460</f>
        <v>-391</v>
      </c>
      <c r="BA460" s="19">
        <f>G460</f>
        <v>-391</v>
      </c>
      <c r="BB460" s="19">
        <f>I460</f>
        <v>-391</v>
      </c>
      <c r="BC460" s="19">
        <f>K460</f>
        <v>-391</v>
      </c>
      <c r="BD460" s="19">
        <f>M460</f>
        <v>-391</v>
      </c>
      <c r="BE460" s="19">
        <f>O460</f>
        <v>-391</v>
      </c>
      <c r="BF460" s="19">
        <f>Q460</f>
        <v>-391</v>
      </c>
      <c r="BG460" s="19">
        <f>S460</f>
        <v>-391</v>
      </c>
      <c r="BH460" s="19">
        <f>U460</f>
        <v>-391</v>
      </c>
      <c r="BI460" s="19">
        <f>W460</f>
        <v>-391</v>
      </c>
      <c r="BJ460" s="19">
        <f>Y460</f>
        <v>-391</v>
      </c>
      <c r="BK460" s="19">
        <f>AA460</f>
        <v>0</v>
      </c>
      <c r="BL460" s="19">
        <f>AC460</f>
        <v>0</v>
      </c>
      <c r="BM460" s="19">
        <f>AE460</f>
        <v>0</v>
      </c>
      <c r="BN460" s="19">
        <f>AG460</f>
        <v>0</v>
      </c>
      <c r="BO460" s="20">
        <f>AI460</f>
        <v>0</v>
      </c>
      <c r="BP460" s="19">
        <f>AK460</f>
        <v>0</v>
      </c>
      <c r="BQ460" s="19">
        <f>AM460</f>
        <v>0</v>
      </c>
      <c r="BR460" s="19">
        <f>AO460</f>
        <v>0</v>
      </c>
      <c r="BS460" s="19">
        <f>AQ460</f>
        <v>0</v>
      </c>
      <c r="BT460" s="19">
        <f>AS460</f>
        <v>0</v>
      </c>
    </row>
    <row r="461" spans="1:72" ht="12" customHeight="1" outlineLevel="1">
      <c r="B461" s="1" t="s">
        <v>458</v>
      </c>
      <c r="C461" s="19"/>
      <c r="D461" s="19">
        <f t="shared" ref="D461:H461" si="3501">-D452-D453</f>
        <v>-145</v>
      </c>
      <c r="E461" s="19">
        <f t="shared" si="3501"/>
        <v>-146</v>
      </c>
      <c r="F461" s="19">
        <f t="shared" si="3501"/>
        <v>-141</v>
      </c>
      <c r="G461" s="19">
        <f t="shared" si="3501"/>
        <v>-137</v>
      </c>
      <c r="H461" s="19">
        <f t="shared" si="3501"/>
        <v>-122</v>
      </c>
      <c r="I461" s="19">
        <f>-I452-I453</f>
        <v>-138</v>
      </c>
      <c r="J461" s="19">
        <f t="shared" ref="J461:K461" si="3502">-J452-J453</f>
        <v>-121</v>
      </c>
      <c r="K461" s="19">
        <f t="shared" si="3502"/>
        <v>-161</v>
      </c>
      <c r="L461" s="19">
        <f t="shared" ref="L461:M461" si="3503">-L452-L453</f>
        <v>-99</v>
      </c>
      <c r="M461" s="19">
        <f t="shared" si="3503"/>
        <v>-105</v>
      </c>
      <c r="N461" s="19">
        <f t="shared" ref="N461:O461" si="3504">-N452-N453</f>
        <v>-135</v>
      </c>
      <c r="O461" s="19">
        <f t="shared" si="3504"/>
        <v>-96</v>
      </c>
      <c r="P461" s="19">
        <f t="shared" ref="P461:Q461" si="3505">-P452-P453</f>
        <v>-195</v>
      </c>
      <c r="Q461" s="19">
        <f t="shared" si="3505"/>
        <v>-157</v>
      </c>
      <c r="R461" s="19">
        <f t="shared" ref="R461:S461" si="3506">-R452-R453</f>
        <v>-151</v>
      </c>
      <c r="S461" s="19">
        <f t="shared" si="3506"/>
        <v>-1316</v>
      </c>
      <c r="T461" s="19">
        <f t="shared" ref="T461:U461" si="3507">-T452-T453</f>
        <v>-1351</v>
      </c>
      <c r="U461" s="19">
        <f t="shared" si="3507"/>
        <v>-1432</v>
      </c>
      <c r="V461" s="19">
        <f t="shared" ref="V461:W461" si="3508">-V452-V453</f>
        <v>-208</v>
      </c>
      <c r="W461" s="19">
        <f t="shared" si="3508"/>
        <v>-212</v>
      </c>
      <c r="X461" s="19">
        <f t="shared" ref="X461:Y461" si="3509">-X452-X453</f>
        <v>-304</v>
      </c>
      <c r="Y461" s="19">
        <f t="shared" si="3509"/>
        <v>-330</v>
      </c>
      <c r="Z461" s="19">
        <f t="shared" ref="Z461:AA461" si="3510">-Z452-Z453</f>
        <v>-281</v>
      </c>
      <c r="AA461" s="19">
        <f t="shared" si="3510"/>
        <v>-303</v>
      </c>
      <c r="AB461" s="19">
        <f t="shared" ref="AB461:AC461" si="3511">-AB452-AB453</f>
        <v>-350</v>
      </c>
      <c r="AC461" s="19">
        <f t="shared" si="3511"/>
        <v>-245</v>
      </c>
      <c r="AD461" s="19">
        <f t="shared" ref="AD461:AE461" si="3512">-AD452-AD453</f>
        <v>-350</v>
      </c>
      <c r="AE461" s="19">
        <f t="shared" si="3512"/>
        <v>-951</v>
      </c>
      <c r="AF461" s="19">
        <f t="shared" ref="AF461:AG461" si="3513">-AF452-AF453</f>
        <v>-487</v>
      </c>
      <c r="AG461" s="19">
        <f t="shared" si="3513"/>
        <v>-515</v>
      </c>
      <c r="AH461" s="19">
        <f t="shared" ref="AH461:AI461" si="3514">-AH452-AH453</f>
        <v>-535</v>
      </c>
      <c r="AI461" s="19">
        <f t="shared" si="3514"/>
        <v>-433</v>
      </c>
      <c r="AJ461" s="20">
        <f t="shared" ref="AJ461" si="3515">-AJ452-AJ453</f>
        <v>-633</v>
      </c>
      <c r="AK461" s="19">
        <f t="shared" ref="AK461" si="3516">-AK452-AK453</f>
        <v>-633</v>
      </c>
      <c r="AL461" s="19">
        <f t="shared" ref="AL461:AM461" si="3517">-AL452-AL453</f>
        <v>-633</v>
      </c>
      <c r="AM461" s="19">
        <f t="shared" si="3517"/>
        <v>-633</v>
      </c>
      <c r="AN461" s="19">
        <f t="shared" ref="AN461:AO461" si="3518">-AN452-AN453</f>
        <v>-633</v>
      </c>
      <c r="AO461" s="19">
        <f t="shared" si="3518"/>
        <v>-633</v>
      </c>
      <c r="AP461" s="19">
        <f t="shared" ref="AP461:AQ461" si="3519">-AP452-AP453</f>
        <v>-633</v>
      </c>
      <c r="AQ461" s="19">
        <f t="shared" si="3519"/>
        <v>-633</v>
      </c>
      <c r="AR461" s="19">
        <f t="shared" ref="AR461:AS461" si="3520">-AR452-AR453</f>
        <v>-633</v>
      </c>
      <c r="AS461" s="19">
        <f t="shared" si="3520"/>
        <v>-633</v>
      </c>
      <c r="AT461" s="19"/>
      <c r="AU461" s="19">
        <f t="shared" ref="AU461" si="3521">-AU452-AU453</f>
        <v>-1254</v>
      </c>
      <c r="AV461" s="19">
        <f t="shared" ref="AV461:AY461" si="3522">-AV452-AV453</f>
        <v>-1239</v>
      </c>
      <c r="AW461" s="19">
        <f t="shared" si="3522"/>
        <v>-857</v>
      </c>
      <c r="AX461" s="19">
        <f t="shared" si="3522"/>
        <v>-841</v>
      </c>
      <c r="AY461" s="19">
        <f t="shared" si="3522"/>
        <v>-505</v>
      </c>
      <c r="AZ461" s="19">
        <f>E461</f>
        <v>-146</v>
      </c>
      <c r="BA461" s="19">
        <f>G461</f>
        <v>-137</v>
      </c>
      <c r="BB461" s="19">
        <f>I461</f>
        <v>-138</v>
      </c>
      <c r="BC461" s="19">
        <f>K461</f>
        <v>-161</v>
      </c>
      <c r="BD461" s="19">
        <f>M461</f>
        <v>-105</v>
      </c>
      <c r="BE461" s="19">
        <f>O461</f>
        <v>-96</v>
      </c>
      <c r="BF461" s="19">
        <f>Q461</f>
        <v>-157</v>
      </c>
      <c r="BG461" s="19">
        <f>S461</f>
        <v>-1316</v>
      </c>
      <c r="BH461" s="19">
        <f>U461</f>
        <v>-1432</v>
      </c>
      <c r="BI461" s="19">
        <f>W461</f>
        <v>-212</v>
      </c>
      <c r="BJ461" s="19">
        <f>Y461</f>
        <v>-330</v>
      </c>
      <c r="BK461" s="19">
        <f>AA461</f>
        <v>-303</v>
      </c>
      <c r="BL461" s="19">
        <f>AC461</f>
        <v>-245</v>
      </c>
      <c r="BM461" s="19">
        <f>AE461</f>
        <v>-951</v>
      </c>
      <c r="BN461" s="19">
        <f>AG461</f>
        <v>-515</v>
      </c>
      <c r="BO461" s="20">
        <f>AI461</f>
        <v>-433</v>
      </c>
      <c r="BP461" s="19">
        <f>AK461</f>
        <v>-633</v>
      </c>
      <c r="BQ461" s="19">
        <f>AM461</f>
        <v>-633</v>
      </c>
      <c r="BR461" s="19">
        <f>AO461</f>
        <v>-633</v>
      </c>
      <c r="BS461" s="19">
        <f>AQ461</f>
        <v>-633</v>
      </c>
      <c r="BT461" s="19">
        <f>AS461</f>
        <v>-633</v>
      </c>
    </row>
    <row r="462" spans="1:72" ht="12" customHeight="1" outlineLevel="1">
      <c r="B462" s="1" t="s">
        <v>436</v>
      </c>
      <c r="C462" s="19"/>
      <c r="D462" s="19">
        <f t="shared" ref="D462:V462" si="3523">-D390-D391</f>
        <v>-1346</v>
      </c>
      <c r="E462" s="19">
        <f t="shared" si="3523"/>
        <v>-1456</v>
      </c>
      <c r="F462" s="19">
        <f t="shared" si="3523"/>
        <v>-1411</v>
      </c>
      <c r="G462" s="19">
        <f t="shared" si="3523"/>
        <v>-1317</v>
      </c>
      <c r="H462" s="19">
        <f t="shared" si="3523"/>
        <v>-1393</v>
      </c>
      <c r="I462" s="19">
        <f t="shared" si="3523"/>
        <v>-1351</v>
      </c>
      <c r="J462" s="19">
        <f t="shared" si="3523"/>
        <v>-1304</v>
      </c>
      <c r="K462" s="19">
        <f t="shared" si="3523"/>
        <v>-1221</v>
      </c>
      <c r="L462" s="19">
        <f t="shared" si="3523"/>
        <v>-1276</v>
      </c>
      <c r="M462" s="19">
        <f t="shared" si="3523"/>
        <v>-785</v>
      </c>
      <c r="N462" s="19">
        <f t="shared" si="3523"/>
        <v>-1237</v>
      </c>
      <c r="O462" s="19">
        <f t="shared" si="3523"/>
        <v>-1164</v>
      </c>
      <c r="P462" s="19">
        <f t="shared" si="3523"/>
        <v>-1182</v>
      </c>
      <c r="Q462" s="19">
        <f t="shared" si="3523"/>
        <v>-1078</v>
      </c>
      <c r="R462" s="19">
        <f t="shared" si="3523"/>
        <v>-993</v>
      </c>
      <c r="S462" s="19">
        <f t="shared" si="3523"/>
        <v>-1009</v>
      </c>
      <c r="T462" s="19">
        <f t="shared" si="3523"/>
        <v>-991</v>
      </c>
      <c r="U462" s="19">
        <f t="shared" si="3523"/>
        <v>-993</v>
      </c>
      <c r="V462" s="19">
        <f t="shared" si="3523"/>
        <v>-1894</v>
      </c>
      <c r="W462" s="19">
        <f t="shared" ref="W462:X462" si="3524">-W390-W391</f>
        <v>-2031</v>
      </c>
      <c r="X462" s="19">
        <f t="shared" si="3524"/>
        <v>-2666</v>
      </c>
      <c r="Y462" s="19">
        <f t="shared" ref="Y462:Z462" si="3525">-Y390-Y391</f>
        <v>-3268</v>
      </c>
      <c r="Z462" s="19">
        <f t="shared" si="3525"/>
        <v>-2816</v>
      </c>
      <c r="AA462" s="19">
        <f t="shared" ref="AA462:AB462" si="3526">-AA390-AA391</f>
        <v>-2543</v>
      </c>
      <c r="AB462" s="19">
        <f t="shared" si="3526"/>
        <v>-3497</v>
      </c>
      <c r="AC462" s="19">
        <f t="shared" ref="AC462:AD462" si="3527">-AC390-AC391</f>
        <v>-3780</v>
      </c>
      <c r="AD462" s="19">
        <f t="shared" si="3527"/>
        <v>-4170</v>
      </c>
      <c r="AE462" s="19">
        <f t="shared" ref="AE462:AF462" si="3528">-AE390-AE391</f>
        <v>-3827</v>
      </c>
      <c r="AF462" s="19">
        <f t="shared" si="3528"/>
        <v>-4249</v>
      </c>
      <c r="AG462" s="19">
        <f t="shared" ref="AG462:AH462" si="3529">-AG390-AG391</f>
        <v>-4254</v>
      </c>
      <c r="AH462" s="19">
        <f t="shared" si="3529"/>
        <v>-3482</v>
      </c>
      <c r="AI462" s="19">
        <f t="shared" ref="AI462:AJ462" si="3530">-AI390-AI391</f>
        <v>-1671</v>
      </c>
      <c r="AJ462" s="20">
        <f t="shared" si="3530"/>
        <v>-1786</v>
      </c>
      <c r="AK462" s="19">
        <f t="shared" ref="AK462" si="3531">-AK390-AK391</f>
        <v>-1803.9769681386501</v>
      </c>
      <c r="AL462" s="19">
        <f t="shared" ref="AL462:AM462" si="3532">-AL390-AL391</f>
        <v>-1838.1518454324985</v>
      </c>
      <c r="AM462" s="19">
        <f t="shared" si="3532"/>
        <v>-1861.8373748745989</v>
      </c>
      <c r="AN462" s="19">
        <f t="shared" ref="AN462:AO462" si="3533">-AN390-AN391</f>
        <v>-1867.8229635957537</v>
      </c>
      <c r="AO462" s="19">
        <f t="shared" si="3533"/>
        <v>-1874.2360605706276</v>
      </c>
      <c r="AP462" s="19">
        <f t="shared" ref="AP462:AQ462" si="3534">-AP390-AP391</f>
        <v>-1881.0697745463813</v>
      </c>
      <c r="AQ462" s="19">
        <f t="shared" si="3534"/>
        <v>-1881.5930585811934</v>
      </c>
      <c r="AR462" s="19">
        <f t="shared" ref="AR462:AS462" si="3535">-AR390-AR391</f>
        <v>-1876.1408598994681</v>
      </c>
      <c r="AS462" s="19">
        <f t="shared" si="3535"/>
        <v>-1871.4864752791532</v>
      </c>
      <c r="AT462" s="19"/>
      <c r="AU462" s="19">
        <f t="shared" ref="AU462:BM462" si="3536">-AU390-AU391</f>
        <v>-371</v>
      </c>
      <c r="AV462" s="19">
        <f t="shared" si="3536"/>
        <v>-150</v>
      </c>
      <c r="AW462" s="19">
        <f t="shared" si="3536"/>
        <v>-100</v>
      </c>
      <c r="AX462" s="19">
        <f t="shared" si="3536"/>
        <v>-494</v>
      </c>
      <c r="AY462" s="19">
        <f t="shared" si="3536"/>
        <v>-759</v>
      </c>
      <c r="AZ462" s="19">
        <f t="shared" si="3536"/>
        <v>-1456</v>
      </c>
      <c r="BA462" s="19">
        <f t="shared" si="3536"/>
        <v>-1317</v>
      </c>
      <c r="BB462" s="19">
        <f t="shared" si="3536"/>
        <v>-1351</v>
      </c>
      <c r="BC462" s="19">
        <f t="shared" si="3536"/>
        <v>-1221</v>
      </c>
      <c r="BD462" s="19">
        <f t="shared" si="3536"/>
        <v>-785</v>
      </c>
      <c r="BE462" s="19">
        <f t="shared" si="3536"/>
        <v>-1164</v>
      </c>
      <c r="BF462" s="19">
        <f t="shared" si="3536"/>
        <v>-1078</v>
      </c>
      <c r="BG462" s="19">
        <f t="shared" si="3536"/>
        <v>-1009</v>
      </c>
      <c r="BH462" s="19">
        <f t="shared" si="3536"/>
        <v>-993</v>
      </c>
      <c r="BI462" s="19">
        <f t="shared" si="3536"/>
        <v>-2031</v>
      </c>
      <c r="BJ462" s="19">
        <f t="shared" si="3536"/>
        <v>-3268</v>
      </c>
      <c r="BK462" s="19">
        <f t="shared" si="3536"/>
        <v>-2543</v>
      </c>
      <c r="BL462" s="19">
        <f t="shared" si="3536"/>
        <v>-3780</v>
      </c>
      <c r="BM462" s="19">
        <f t="shared" si="3536"/>
        <v>-3827</v>
      </c>
      <c r="BN462" s="19">
        <f t="shared" ref="BN462:BO462" si="3537">-BN390-BN391</f>
        <v>-4254</v>
      </c>
      <c r="BO462" s="20">
        <f t="shared" si="3537"/>
        <v>-1671</v>
      </c>
      <c r="BP462" s="19">
        <f t="shared" ref="BP462:BQ462" si="3538">-BP390-BP391</f>
        <v>-1803.9769681386501</v>
      </c>
      <c r="BQ462" s="19">
        <f t="shared" si="3538"/>
        <v>-1861.8373748745989</v>
      </c>
      <c r="BR462" s="19">
        <f t="shared" ref="BR462:BS462" si="3539">-BR390-BR391</f>
        <v>-1874.2360605706276</v>
      </c>
      <c r="BS462" s="19">
        <f t="shared" si="3539"/>
        <v>-1881.5930585811934</v>
      </c>
      <c r="BT462" s="19">
        <f>-BT390-BT391</f>
        <v>-1871.4864752791532</v>
      </c>
    </row>
    <row r="463" spans="1:72" s="9" customFormat="1" ht="12" customHeight="1" outlineLevel="1">
      <c r="A463" s="91" t="s">
        <v>1317</v>
      </c>
      <c r="B463" s="9" t="s">
        <v>459</v>
      </c>
      <c r="C463" s="17"/>
      <c r="D463" s="17">
        <f t="shared" ref="D463:H463" si="3540">D459+D460+D461+D462</f>
        <v>9338</v>
      </c>
      <c r="E463" s="17">
        <f t="shared" si="3540"/>
        <v>9776</v>
      </c>
      <c r="F463" s="17">
        <f t="shared" si="3540"/>
        <v>9650</v>
      </c>
      <c r="G463" s="17">
        <f t="shared" si="3540"/>
        <v>10087</v>
      </c>
      <c r="H463" s="17">
        <f t="shared" si="3540"/>
        <v>9858</v>
      </c>
      <c r="I463" s="17">
        <f>I459+I460+I461+I462</f>
        <v>9852</v>
      </c>
      <c r="J463" s="17">
        <f t="shared" ref="J463:K463" si="3541">J459+J460+J461+J462</f>
        <v>9683</v>
      </c>
      <c r="K463" s="17">
        <f t="shared" si="3541"/>
        <v>10182</v>
      </c>
      <c r="L463" s="17">
        <f t="shared" ref="L463:M463" si="3542">L459+L460+L461+L462</f>
        <v>10953</v>
      </c>
      <c r="M463" s="17">
        <f t="shared" si="3542"/>
        <v>10633</v>
      </c>
      <c r="N463" s="17">
        <f t="shared" ref="N463:O463" si="3543">N459+N460+N461+N462</f>
        <v>10453</v>
      </c>
      <c r="O463" s="17">
        <f t="shared" si="3543"/>
        <v>12745</v>
      </c>
      <c r="P463" s="17">
        <f t="shared" ref="P463:Q463" si="3544">P459+P460+P461+P462</f>
        <v>13449</v>
      </c>
      <c r="Q463" s="17">
        <f t="shared" si="3544"/>
        <v>14038</v>
      </c>
      <c r="R463" s="17">
        <f t="shared" ref="R463:S463" si="3545">R459+R460+R461+R462</f>
        <v>13928</v>
      </c>
      <c r="S463" s="17">
        <f t="shared" si="3545"/>
        <v>14554</v>
      </c>
      <c r="T463" s="17">
        <f t="shared" ref="T463:U463" si="3546">T459+T460+T461+T462</f>
        <v>14366</v>
      </c>
      <c r="U463" s="17">
        <f t="shared" si="3546"/>
        <v>15364</v>
      </c>
      <c r="V463" s="17">
        <f t="shared" ref="V463:W463" si="3547">V459+V460+V461+V462</f>
        <v>14666</v>
      </c>
      <c r="W463" s="17">
        <f t="shared" si="3547"/>
        <v>15730</v>
      </c>
      <c r="X463" s="17">
        <f t="shared" ref="X463:Y463" si="3548">X459+X460+X461+X462</f>
        <v>16951</v>
      </c>
      <c r="Y463" s="17">
        <f t="shared" si="3548"/>
        <v>17795</v>
      </c>
      <c r="Z463" s="17">
        <f t="shared" ref="Z463:AA463" si="3549">Z459+Z460+Z461+Z462</f>
        <v>17692</v>
      </c>
      <c r="AA463" s="17">
        <f t="shared" si="3549"/>
        <v>19505</v>
      </c>
      <c r="AB463" s="17">
        <f t="shared" ref="AB463:AC463" si="3550">AB459+AB460+AB461+AB462</f>
        <v>20567</v>
      </c>
      <c r="AC463" s="17">
        <f t="shared" si="3550"/>
        <v>24781</v>
      </c>
      <c r="AD463" s="17">
        <f t="shared" ref="AD463:AE463" si="3551">AD459+AD460+AD461+AD462</f>
        <v>27167</v>
      </c>
      <c r="AE463" s="17">
        <f t="shared" si="3551"/>
        <v>29328</v>
      </c>
      <c r="AF463" s="17">
        <f t="shared" ref="AF463:AG463" si="3552">AF459+AF460+AF461+AF462</f>
        <v>28402</v>
      </c>
      <c r="AG463" s="17">
        <f t="shared" si="3552"/>
        <v>29227</v>
      </c>
      <c r="AH463" s="17">
        <f t="shared" ref="AH463:AI463" si="3553">AH459+AH460+AH461+AH462</f>
        <v>28817</v>
      </c>
      <c r="AI463" s="17">
        <f t="shared" si="3553"/>
        <v>33685</v>
      </c>
      <c r="AJ463" s="18">
        <f t="shared" ref="AJ463" si="3554">AJ459+AJ460+AJ461+AJ462</f>
        <v>32775</v>
      </c>
      <c r="AK463" s="17">
        <f t="shared" ref="AK463" si="3555">AK459+AK460+AK461+AK462</f>
        <v>33863.565400533036</v>
      </c>
      <c r="AL463" s="17">
        <f t="shared" ref="AL463:AM463" si="3556">AL459+AL460+AL461+AL462</f>
        <v>34113.586100013803</v>
      </c>
      <c r="AM463" s="17">
        <f t="shared" si="3556"/>
        <v>34938.792268100311</v>
      </c>
      <c r="AN463" s="17">
        <f t="shared" ref="AN463:AO463" si="3557">AN459+AN460+AN461+AN462</f>
        <v>35671.126793054849</v>
      </c>
      <c r="AO463" s="17">
        <f t="shared" si="3557"/>
        <v>36985.87510167421</v>
      </c>
      <c r="AP463" s="17">
        <f t="shared" ref="AP463:AQ463" si="3558">AP459+AP460+AP461+AP462</f>
        <v>37616.671514112859</v>
      </c>
      <c r="AQ463" s="17">
        <f t="shared" si="3558"/>
        <v>39048.801748651189</v>
      </c>
      <c r="AR463" s="17">
        <f t="shared" ref="AR463:AS463" si="3559">AR459+AR460+AR461+AR462</f>
        <v>39971.154832358698</v>
      </c>
      <c r="AS463" s="17">
        <f t="shared" si="3559"/>
        <v>41403.529375607985</v>
      </c>
      <c r="AT463" s="17"/>
      <c r="AU463" s="17">
        <f t="shared" ref="AU463" si="3560">AU459+AU460+AU461+AU462</f>
        <v>2409</v>
      </c>
      <c r="AV463" s="17">
        <f t="shared" ref="AV463:AY463" si="3561">AV459+AV460+AV461+AV462</f>
        <v>3557</v>
      </c>
      <c r="AW463" s="17">
        <f t="shared" si="3561"/>
        <v>6171</v>
      </c>
      <c r="AX463" s="17">
        <f t="shared" si="3561"/>
        <v>8335</v>
      </c>
      <c r="AY463" s="17">
        <f t="shared" si="3561"/>
        <v>7905</v>
      </c>
      <c r="AZ463" s="17">
        <f t="shared" ref="AZ463" si="3562">AZ459+AZ460+AZ461+AZ462</f>
        <v>9776</v>
      </c>
      <c r="BA463" s="17">
        <f t="shared" ref="BA463" si="3563">BA459+BA460+BA461+BA462</f>
        <v>10087</v>
      </c>
      <c r="BB463" s="17">
        <f t="shared" ref="BB463" si="3564">BB459+BB460+BB461+BB462</f>
        <v>9852</v>
      </c>
      <c r="BC463" s="17">
        <f t="shared" ref="BC463" si="3565">BC459+BC460+BC461+BC462</f>
        <v>10182</v>
      </c>
      <c r="BD463" s="17">
        <f t="shared" ref="BD463" si="3566">BD459+BD460+BD461+BD462</f>
        <v>10633</v>
      </c>
      <c r="BE463" s="17">
        <f t="shared" ref="BE463" si="3567">BE459+BE460+BE461+BE462</f>
        <v>12745</v>
      </c>
      <c r="BF463" s="17">
        <f t="shared" ref="BF463" si="3568">BF459+BF460+BF461+BF462</f>
        <v>14038</v>
      </c>
      <c r="BG463" s="17">
        <f t="shared" ref="BG463" si="3569">BG459+BG460+BG461+BG462</f>
        <v>14554</v>
      </c>
      <c r="BH463" s="17">
        <f t="shared" ref="BH463" si="3570">BH459+BH460+BH461+BH462</f>
        <v>15364</v>
      </c>
      <c r="BI463" s="17">
        <f t="shared" ref="BI463:BN463" si="3571">BI459+BI460+BI461+BI462</f>
        <v>15730</v>
      </c>
      <c r="BJ463" s="17">
        <f t="shared" si="3571"/>
        <v>17795</v>
      </c>
      <c r="BK463" s="17">
        <f t="shared" si="3571"/>
        <v>19505</v>
      </c>
      <c r="BL463" s="17">
        <f t="shared" si="3571"/>
        <v>24781</v>
      </c>
      <c r="BM463" s="17">
        <f t="shared" si="3571"/>
        <v>29328</v>
      </c>
      <c r="BN463" s="17">
        <f t="shared" si="3571"/>
        <v>29227</v>
      </c>
      <c r="BO463" s="18">
        <f t="shared" ref="BO463:BP463" si="3572">BO459+BO460+BO461+BO462</f>
        <v>33685</v>
      </c>
      <c r="BP463" s="17">
        <f t="shared" si="3572"/>
        <v>33863.565400533036</v>
      </c>
      <c r="BQ463" s="17">
        <f t="shared" ref="BQ463:BR463" si="3573">BQ459+BQ460+BQ461+BQ462</f>
        <v>34938.792268100311</v>
      </c>
      <c r="BR463" s="17">
        <f t="shared" si="3573"/>
        <v>36985.87510167421</v>
      </c>
      <c r="BS463" s="17">
        <f t="shared" ref="BS463" si="3574">BS459+BS460+BS461+BS462</f>
        <v>39048.801748651189</v>
      </c>
      <c r="BT463" s="17">
        <f t="shared" ref="BT463" si="3575">BT459+BT460+BT461+BT462</f>
        <v>41403.529375607985</v>
      </c>
    </row>
    <row r="464" spans="1:72" ht="12" customHeight="1" outlineLevel="1">
      <c r="B464" s="1" t="s">
        <v>150</v>
      </c>
      <c r="C464" s="19"/>
      <c r="D464" s="19">
        <f t="shared" ref="D464:V464" si="3576">D103</f>
        <v>338.29878381126701</v>
      </c>
      <c r="E464" s="19">
        <f t="shared" si="3576"/>
        <v>350.05518710595891</v>
      </c>
      <c r="F464" s="19">
        <f t="shared" si="3576"/>
        <v>351.43512405938577</v>
      </c>
      <c r="G464" s="19">
        <f t="shared" si="3576"/>
        <v>352.66927089688829</v>
      </c>
      <c r="H464" s="19">
        <f t="shared" si="3576"/>
        <v>354.16415700630466</v>
      </c>
      <c r="I464" s="19">
        <f t="shared" si="3576"/>
        <v>354.46856111450069</v>
      </c>
      <c r="J464" s="19">
        <f t="shared" si="3576"/>
        <v>344.73165649786455</v>
      </c>
      <c r="K464" s="19">
        <f t="shared" si="3576"/>
        <v>345.23752084604433</v>
      </c>
      <c r="L464" s="19">
        <f t="shared" si="3576"/>
        <v>345.62541793776694</v>
      </c>
      <c r="M464" s="19">
        <f t="shared" si="3576"/>
        <v>321.07474999999999</v>
      </c>
      <c r="N464" s="19">
        <f t="shared" si="3576"/>
        <v>321.20299399999999</v>
      </c>
      <c r="O464" s="19">
        <f t="shared" si="3576"/>
        <v>333.45777700000002</v>
      </c>
      <c r="P464" s="19">
        <f t="shared" si="3576"/>
        <v>333.53196000000003</v>
      </c>
      <c r="Q464" s="19">
        <f t="shared" si="3576"/>
        <v>340.30238900000001</v>
      </c>
      <c r="R464" s="19">
        <f t="shared" si="3576"/>
        <v>340.33847400000002</v>
      </c>
      <c r="S464" s="19">
        <f t="shared" si="3576"/>
        <v>340.35173099999997</v>
      </c>
      <c r="T464" s="19">
        <f t="shared" si="3576"/>
        <v>340.35790300000002</v>
      </c>
      <c r="U464" s="19">
        <f t="shared" si="3576"/>
        <v>340.36482000000001</v>
      </c>
      <c r="V464" s="19">
        <f t="shared" si="3576"/>
        <v>340.38273800000002</v>
      </c>
      <c r="W464" s="19">
        <f t="shared" ref="W464:X464" si="3577">W103</f>
        <v>340.38273800000002</v>
      </c>
      <c r="X464" s="19">
        <f t="shared" si="3577"/>
        <v>354.37646699999999</v>
      </c>
      <c r="Y464" s="19">
        <f t="shared" ref="Y464:Z464" si="3578">Y103</f>
        <v>354.381396</v>
      </c>
      <c r="Z464" s="19">
        <f t="shared" si="3578"/>
        <v>361.50362699999999</v>
      </c>
      <c r="AA464" s="19">
        <f t="shared" ref="AA464:AB464" si="3579">AA103</f>
        <v>361.82137699999998</v>
      </c>
      <c r="AB464" s="19">
        <f t="shared" si="3579"/>
        <v>368.82316900000001</v>
      </c>
      <c r="AC464" s="19">
        <f t="shared" ref="AC464:AD464" si="3580">AC103</f>
        <v>383.64763699999997</v>
      </c>
      <c r="AD464" s="19">
        <f t="shared" si="3580"/>
        <v>386.47675400000003</v>
      </c>
      <c r="AE464" s="19">
        <f t="shared" ref="AE464:AF464" si="3581">AE103</f>
        <v>386.47675400000003</v>
      </c>
      <c r="AF464" s="19">
        <f t="shared" si="3581"/>
        <v>386.47675400000003</v>
      </c>
      <c r="AG464" s="19">
        <f t="shared" ref="AG464:AH464" si="3582">AG103</f>
        <v>382.96253300000001</v>
      </c>
      <c r="AH464" s="19">
        <f t="shared" si="3582"/>
        <v>381.13841500000001</v>
      </c>
      <c r="AI464" s="19">
        <f t="shared" ref="AI464:AJ464" si="3583">AI103</f>
        <v>381.13841500000001</v>
      </c>
      <c r="AJ464" s="20">
        <f t="shared" si="3583"/>
        <v>381.13841500000001</v>
      </c>
      <c r="AK464" s="19">
        <f t="shared" ref="AK464" si="3584">AK103</f>
        <v>379.68406348563246</v>
      </c>
      <c r="AL464" s="19">
        <f t="shared" ref="AL464:AM464" si="3585">AL103</f>
        <v>378.29232361762394</v>
      </c>
      <c r="AM464" s="19">
        <f t="shared" si="3585"/>
        <v>376.96049988651816</v>
      </c>
      <c r="AN464" s="19">
        <f t="shared" ref="AN464:AO464" si="3586">AN103</f>
        <v>376.96049988651816</v>
      </c>
      <c r="AO464" s="19">
        <f t="shared" si="3586"/>
        <v>376.96049988651816</v>
      </c>
      <c r="AP464" s="19">
        <f t="shared" ref="AP464:AQ464" si="3587">AP103</f>
        <v>376.96049988651816</v>
      </c>
      <c r="AQ464" s="19">
        <f t="shared" si="3587"/>
        <v>376.96049988651816</v>
      </c>
      <c r="AR464" s="19">
        <f t="shared" ref="AR464:AS464" si="3588">AR103</f>
        <v>376.96049988651816</v>
      </c>
      <c r="AS464" s="19">
        <f t="shared" si="3588"/>
        <v>376.96049988651816</v>
      </c>
      <c r="AT464" s="19"/>
      <c r="AU464" s="19">
        <f>AU103</f>
        <v>227.45941834451901</v>
      </c>
      <c r="AV464" s="19">
        <f>AV103</f>
        <v>236.36401159243439</v>
      </c>
      <c r="AW464" s="19">
        <f>AW103</f>
        <v>258.22778625177955</v>
      </c>
      <c r="AX464" s="19">
        <f>AX103</f>
        <v>279.20565385397595</v>
      </c>
      <c r="AY464" s="19">
        <f>AY103</f>
        <v>288.2224933902786</v>
      </c>
      <c r="AZ464" s="19">
        <f>E464</f>
        <v>350.05518710595891</v>
      </c>
      <c r="BA464" s="19">
        <f>G464</f>
        <v>352.66927089688829</v>
      </c>
      <c r="BB464" s="19">
        <f>I464</f>
        <v>354.46856111450069</v>
      </c>
      <c r="BC464" s="19">
        <f>K464</f>
        <v>345.23752084604433</v>
      </c>
      <c r="BD464" s="19">
        <f>M464</f>
        <v>321.07474999999999</v>
      </c>
      <c r="BE464" s="19">
        <f>O464</f>
        <v>333.45777700000002</v>
      </c>
      <c r="BF464" s="19">
        <f>Q464</f>
        <v>340.30238900000001</v>
      </c>
      <c r="BG464" s="19">
        <f>S464</f>
        <v>340.35173099999997</v>
      </c>
      <c r="BH464" s="19">
        <f>U464</f>
        <v>340.36482000000001</v>
      </c>
      <c r="BI464" s="19">
        <f>W464</f>
        <v>340.38273800000002</v>
      </c>
      <c r="BJ464" s="19">
        <f>Y464</f>
        <v>354.381396</v>
      </c>
      <c r="BK464" s="19">
        <f>AA464</f>
        <v>361.82137699999998</v>
      </c>
      <c r="BL464" s="19">
        <f>AC464</f>
        <v>383.64763699999997</v>
      </c>
      <c r="BM464" s="19">
        <f>AE464</f>
        <v>386.47675400000003</v>
      </c>
      <c r="BN464" s="19">
        <f>AG464</f>
        <v>382.96253300000001</v>
      </c>
      <c r="BO464" s="20">
        <f>AI464</f>
        <v>381.13841500000001</v>
      </c>
      <c r="BP464" s="19">
        <f>AK464</f>
        <v>379.68406348563246</v>
      </c>
      <c r="BQ464" s="19">
        <f>AM464</f>
        <v>376.96049988651816</v>
      </c>
      <c r="BR464" s="19">
        <f>AO464</f>
        <v>376.96049988651816</v>
      </c>
      <c r="BS464" s="19">
        <f>AQ464</f>
        <v>376.96049988651816</v>
      </c>
      <c r="BT464" s="19">
        <f>AS464</f>
        <v>376.96049988651816</v>
      </c>
    </row>
    <row r="465" spans="1:72" ht="12" customHeight="1" outlineLevel="1">
      <c r="A465" s="91" t="s">
        <v>1316</v>
      </c>
      <c r="B465" s="1" t="s">
        <v>195</v>
      </c>
      <c r="C465" s="19"/>
      <c r="D465" s="21">
        <v>3.4999289999999998</v>
      </c>
      <c r="E465" s="21">
        <v>2.935489</v>
      </c>
      <c r="F465" s="21">
        <v>2.6051639999999998</v>
      </c>
      <c r="G465" s="21">
        <v>2.150614</v>
      </c>
      <c r="H465" s="21">
        <v>1.98594</v>
      </c>
      <c r="I465" s="21">
        <v>1.759522</v>
      </c>
      <c r="J465" s="21">
        <v>1.0620719999999999</v>
      </c>
      <c r="K465" s="21">
        <v>0.60420600000000002</v>
      </c>
      <c r="L465" s="21">
        <v>0.58431999999999995</v>
      </c>
      <c r="M465" s="21">
        <v>0.44756200000000002</v>
      </c>
      <c r="N465" s="62">
        <v>0.40531400000000001</v>
      </c>
      <c r="O465" s="62">
        <v>0.24545500000000001</v>
      </c>
      <c r="P465" s="62">
        <v>0.18015300000000001</v>
      </c>
      <c r="Q465" s="62">
        <v>0.170846</v>
      </c>
      <c r="R465" s="62">
        <v>0.15287899999999999</v>
      </c>
      <c r="S465" s="62">
        <v>0.13883499999999999</v>
      </c>
      <c r="T465" s="62">
        <v>0.132296</v>
      </c>
      <c r="U465" s="62">
        <v>0.124968</v>
      </c>
      <c r="V465" s="62">
        <v>0.10598399999999999</v>
      </c>
      <c r="W465" s="62">
        <v>0</v>
      </c>
      <c r="X465" s="62">
        <v>0</v>
      </c>
      <c r="Y465" s="62">
        <v>0</v>
      </c>
      <c r="Z465" s="62">
        <v>0</v>
      </c>
      <c r="AA465" s="62">
        <v>0</v>
      </c>
      <c r="AB465" s="62">
        <v>0</v>
      </c>
      <c r="AC465" s="62">
        <v>0</v>
      </c>
      <c r="AD465" s="62">
        <v>0</v>
      </c>
      <c r="AE465" s="62">
        <v>0</v>
      </c>
      <c r="AF465" s="62">
        <v>0</v>
      </c>
      <c r="AG465" s="62">
        <v>0</v>
      </c>
      <c r="AH465" s="62">
        <v>0</v>
      </c>
      <c r="AI465" s="62">
        <v>0</v>
      </c>
      <c r="AJ465" s="57">
        <v>0</v>
      </c>
      <c r="AK465" s="58">
        <f t="shared" ref="AK465" si="3589">AJ465</f>
        <v>0</v>
      </c>
      <c r="AL465" s="58">
        <f t="shared" ref="AL465" si="3590">AK465</f>
        <v>0</v>
      </c>
      <c r="AM465" s="58">
        <f t="shared" ref="AM465" si="3591">AL465</f>
        <v>0</v>
      </c>
      <c r="AN465" s="58">
        <f t="shared" ref="AN465" si="3592">AM465</f>
        <v>0</v>
      </c>
      <c r="AO465" s="58">
        <f t="shared" ref="AO465" si="3593">AN465</f>
        <v>0</v>
      </c>
      <c r="AP465" s="58">
        <f t="shared" ref="AP465" si="3594">AO465</f>
        <v>0</v>
      </c>
      <c r="AQ465" s="58">
        <f t="shared" ref="AQ465" si="3595">AP465</f>
        <v>0</v>
      </c>
      <c r="AR465" s="58">
        <f t="shared" ref="AR465" si="3596">AQ465</f>
        <v>0</v>
      </c>
      <c r="AS465" s="58">
        <f t="shared" ref="AS465" si="3597">AR465</f>
        <v>0</v>
      </c>
      <c r="AT465" s="19"/>
      <c r="AU465" s="21">
        <v>0</v>
      </c>
      <c r="AV465" s="21">
        <v>0</v>
      </c>
      <c r="AW465" s="21">
        <v>0</v>
      </c>
      <c r="AX465" s="21">
        <v>1.6595040000000001</v>
      </c>
      <c r="AY465" s="21">
        <v>1.4505840000000001</v>
      </c>
      <c r="AZ465" s="19">
        <f>E465</f>
        <v>2.935489</v>
      </c>
      <c r="BA465" s="19">
        <f>G465</f>
        <v>2.150614</v>
      </c>
      <c r="BB465" s="19">
        <f>I465</f>
        <v>1.759522</v>
      </c>
      <c r="BC465" s="19">
        <f>K465</f>
        <v>0.60420600000000002</v>
      </c>
      <c r="BD465" s="19">
        <f>M465</f>
        <v>0.44756200000000002</v>
      </c>
      <c r="BE465" s="19">
        <f>O465</f>
        <v>0.24545500000000001</v>
      </c>
      <c r="BF465" s="19">
        <f>Q465</f>
        <v>0.170846</v>
      </c>
      <c r="BG465" s="19">
        <f>S465</f>
        <v>0.13883499999999999</v>
      </c>
      <c r="BH465" s="19">
        <f>U465</f>
        <v>0.124968</v>
      </c>
      <c r="BI465" s="19">
        <f>W465</f>
        <v>0</v>
      </c>
      <c r="BJ465" s="19">
        <f>Y465</f>
        <v>0</v>
      </c>
      <c r="BK465" s="19">
        <f>AA465</f>
        <v>0</v>
      </c>
      <c r="BL465" s="19">
        <f>AC465</f>
        <v>0</v>
      </c>
      <c r="BM465" s="19">
        <f>AE465</f>
        <v>0</v>
      </c>
      <c r="BN465" s="19">
        <f>AG465</f>
        <v>0</v>
      </c>
      <c r="BO465" s="20">
        <f>AI465</f>
        <v>0</v>
      </c>
      <c r="BP465" s="19">
        <f>AK465</f>
        <v>0</v>
      </c>
      <c r="BQ465" s="19">
        <f>AM465</f>
        <v>0</v>
      </c>
      <c r="BR465" s="19">
        <f>AO465</f>
        <v>0</v>
      </c>
      <c r="BS465" s="19">
        <f>AQ465</f>
        <v>0</v>
      </c>
      <c r="BT465" s="19">
        <f>AS465</f>
        <v>0</v>
      </c>
    </row>
    <row r="466" spans="1:72" s="9" customFormat="1" ht="12" customHeight="1" outlineLevel="1">
      <c r="A466" s="91" t="s">
        <v>305</v>
      </c>
      <c r="B466" s="9" t="s">
        <v>460</v>
      </c>
      <c r="C466" s="17"/>
      <c r="D466" s="171">
        <f t="shared" ref="D466:I466" si="3598">D459/(D464+D465)</f>
        <v>32.826337781428137</v>
      </c>
      <c r="E466" s="171">
        <f t="shared" si="3598"/>
        <v>33.340823983881215</v>
      </c>
      <c r="F466" s="171">
        <f t="shared" si="3598"/>
        <v>32.744860940954325</v>
      </c>
      <c r="G466" s="171">
        <f t="shared" si="3598"/>
        <v>33.628329493053847</v>
      </c>
      <c r="H466" s="171">
        <f t="shared" si="3598"/>
        <v>33.031017256164752</v>
      </c>
      <c r="I466" s="171">
        <f t="shared" si="3598"/>
        <v>32.933955957169829</v>
      </c>
      <c r="J466" s="171">
        <f>J459/(J464+J465)</f>
        <v>33.253928722050297</v>
      </c>
      <c r="K466" s="171">
        <f t="shared" ref="K466" si="3599">K459/(K464+K465)</f>
        <v>34.56783572365724</v>
      </c>
      <c r="L466" s="171">
        <f t="shared" ref="L466:Q466" si="3600">L459/(L464+L465)</f>
        <v>36.737845895849148</v>
      </c>
      <c r="M466" s="171">
        <f t="shared" si="3600"/>
        <v>37.054971164800534</v>
      </c>
      <c r="N466" s="171">
        <f t="shared" si="3600"/>
        <v>37.984093371120252</v>
      </c>
      <c r="O466" s="171">
        <f t="shared" si="3600"/>
        <v>43.14012757299276</v>
      </c>
      <c r="P466" s="171">
        <f t="shared" si="3600"/>
        <v>45.599183869001479</v>
      </c>
      <c r="Q466" s="171">
        <f t="shared" si="3600"/>
        <v>46.006553202339092</v>
      </c>
      <c r="R466" s="171">
        <f t="shared" ref="R466:S466" si="3601">R459/(R464+R465)</f>
        <v>45.413781770839861</v>
      </c>
      <c r="S466" s="171">
        <f t="shared" si="3601"/>
        <v>50.720935392964755</v>
      </c>
      <c r="T466" s="171">
        <f t="shared" ref="T466:U466" si="3602">T459/(T464+T465)</f>
        <v>50.218772963858498</v>
      </c>
      <c r="U466" s="171">
        <f t="shared" si="3602"/>
        <v>53.393671824307397</v>
      </c>
      <c r="V466" s="171">
        <f t="shared" ref="V466:W466" si="3603">V459/(V464+V465)</f>
        <v>50.395208097377157</v>
      </c>
      <c r="W466" s="171">
        <f t="shared" si="3603"/>
        <v>53.951032029127163</v>
      </c>
      <c r="X466" s="171">
        <f t="shared" ref="X466:Y466" si="3604">X459/(X464+X465)</f>
        <v>57.317575774578735</v>
      </c>
      <c r="Y466" s="171">
        <f t="shared" si="3604"/>
        <v>61.470495477138421</v>
      </c>
      <c r="Z466" s="171">
        <f t="shared" ref="Z466:AA466" si="3605">Z459/(Z464+Z465)</f>
        <v>57.507030213005308</v>
      </c>
      <c r="AA466" s="171">
        <f t="shared" si="3605"/>
        <v>61.773575086471467</v>
      </c>
      <c r="AB466" s="171">
        <f t="shared" ref="AB466:AC466" si="3606">AB459/(AB464+AB465)</f>
        <v>66.194323057833714</v>
      </c>
      <c r="AC466" s="171">
        <f t="shared" si="3606"/>
        <v>75.084523458175241</v>
      </c>
      <c r="AD466" s="171">
        <f t="shared" ref="AD466:AE466" si="3607">AD459/(AD464+AD465)</f>
        <v>81.98940731115745</v>
      </c>
      <c r="AE466" s="171">
        <f t="shared" si="3607"/>
        <v>88.248515976720284</v>
      </c>
      <c r="AF466" s="171">
        <f t="shared" ref="AF466:AG466" si="3608">AF459/(AF464+AF465)</f>
        <v>85.74383751939709</v>
      </c>
      <c r="AG466" s="171">
        <f t="shared" si="3608"/>
        <v>88.771086126067587</v>
      </c>
      <c r="AH466" s="171">
        <f t="shared" ref="AH466:AI466" si="3609">AH459/(AH464+AH465)</f>
        <v>86.147180939501993</v>
      </c>
      <c r="AI466" s="171">
        <f t="shared" si="3609"/>
        <v>93.900269800933074</v>
      </c>
      <c r="AJ466" s="170">
        <f t="shared" ref="AJ466" si="3610">AJ459/(AJ464+AJ465)</f>
        <v>92.339157153707532</v>
      </c>
      <c r="AK466" s="171">
        <f t="shared" ref="AK466" si="3611">AK459/(AK464+AK465)</f>
        <v>95.607232063995568</v>
      </c>
      <c r="AL466" s="171">
        <f t="shared" ref="AL466:AM466" si="3612">AL459/(AL464+AL465)</f>
        <v>96.710230848950502</v>
      </c>
      <c r="AM466" s="171">
        <f t="shared" si="3612"/>
        <v>99.303851873721769</v>
      </c>
      <c r="AN466" s="171">
        <f t="shared" ref="AN466:AO466" si="3613">AN459/(AN464+AN465)</f>
        <v>101.26246587677502</v>
      </c>
      <c r="AO466" s="171">
        <f t="shared" si="3613"/>
        <v>104.76724000030246</v>
      </c>
      <c r="AP466" s="171">
        <f t="shared" ref="AP466:AQ466" si="3614">AP459/(AP464+AP465)</f>
        <v>106.4587438226031</v>
      </c>
      <c r="AQ466" s="171">
        <f t="shared" si="3614"/>
        <v>110.25928398265816</v>
      </c>
      <c r="AR466" s="171">
        <f t="shared" ref="AR466:AS466" si="3615">AR459/(AR464+AR465)</f>
        <v>112.69163667027877</v>
      </c>
      <c r="AS466" s="171">
        <f t="shared" si="3615"/>
        <v>116.47908962372821</v>
      </c>
      <c r="AT466" s="17"/>
      <c r="AU466" s="171">
        <f t="shared" ref="AU466" si="3616">AU459/(AU464+AU465)</f>
        <v>19.454019676150409</v>
      </c>
      <c r="AV466" s="171">
        <f t="shared" ref="AV466:AY466" si="3617">AV459/(AV464+AV465)</f>
        <v>22.579579539387154</v>
      </c>
      <c r="AW466" s="171">
        <f t="shared" si="3617"/>
        <v>29.117703052562895</v>
      </c>
      <c r="AX466" s="171">
        <f t="shared" si="3617"/>
        <v>35.821459937835343</v>
      </c>
      <c r="AY466" s="171">
        <f t="shared" si="3617"/>
        <v>33.002721848118952</v>
      </c>
      <c r="AZ466" s="171">
        <f t="shared" ref="AZ466" si="3618">AZ459/(AZ464+AZ465)</f>
        <v>33.340823983881215</v>
      </c>
      <c r="BA466" s="171">
        <f t="shared" ref="BA466" si="3619">BA459/(BA464+BA465)</f>
        <v>33.628329493053847</v>
      </c>
      <c r="BB466" s="171">
        <f t="shared" ref="BB466" si="3620">BB459/(BB464+BB465)</f>
        <v>32.933955957169829</v>
      </c>
      <c r="BC466" s="171">
        <f t="shared" ref="BC466" si="3621">BC459/(BC464+BC465)</f>
        <v>34.56783572365724</v>
      </c>
      <c r="BD466" s="171">
        <f t="shared" ref="BD466" si="3622">BD459/(BD464+BD465)</f>
        <v>37.054971164800534</v>
      </c>
      <c r="BE466" s="171">
        <f t="shared" ref="BE466" si="3623">BE459/(BE464+BE465)</f>
        <v>43.14012757299276</v>
      </c>
      <c r="BF466" s="171">
        <f t="shared" ref="BF466" si="3624">BF459/(BF464+BF465)</f>
        <v>46.006553202339092</v>
      </c>
      <c r="BG466" s="171">
        <f t="shared" ref="BG466" si="3625">BG459/(BG464+BG465)</f>
        <v>50.720935392964755</v>
      </c>
      <c r="BH466" s="171">
        <f t="shared" ref="BH466" si="3626">BH459/(BH464+BH465)</f>
        <v>53.393671824307397</v>
      </c>
      <c r="BI466" s="171">
        <f t="shared" ref="BI466:BN466" si="3627">BI459/(BI464+BI465)</f>
        <v>53.951032029127163</v>
      </c>
      <c r="BJ466" s="171">
        <f t="shared" si="3627"/>
        <v>61.470495477138421</v>
      </c>
      <c r="BK466" s="171">
        <f t="shared" si="3627"/>
        <v>61.773575086471467</v>
      </c>
      <c r="BL466" s="171">
        <f t="shared" si="3627"/>
        <v>75.084523458175241</v>
      </c>
      <c r="BM466" s="171">
        <f t="shared" si="3627"/>
        <v>88.248515976720284</v>
      </c>
      <c r="BN466" s="171">
        <f t="shared" si="3627"/>
        <v>88.771086126067587</v>
      </c>
      <c r="BO466" s="170">
        <f t="shared" ref="BO466:BP466" si="3628">BO459/(BO464+BO465)</f>
        <v>93.900269800933074</v>
      </c>
      <c r="BP466" s="171">
        <f t="shared" si="3628"/>
        <v>95.607232063995568</v>
      </c>
      <c r="BQ466" s="171">
        <f t="shared" ref="BQ466:BR466" si="3629">BQ459/(BQ464+BQ465)</f>
        <v>99.303851873721769</v>
      </c>
      <c r="BR466" s="171">
        <f t="shared" si="3629"/>
        <v>104.76724000030246</v>
      </c>
      <c r="BS466" s="171">
        <f t="shared" ref="BS466" si="3630">BS459/(BS464+BS465)</f>
        <v>110.25928398265816</v>
      </c>
      <c r="BT466" s="171">
        <f t="shared" ref="BT466" si="3631">BT459/(BT464+BT465)</f>
        <v>116.47908962372821</v>
      </c>
    </row>
    <row r="467" spans="1:72" s="9" customFormat="1" ht="12" customHeight="1" outlineLevel="1">
      <c r="A467" s="91" t="s">
        <v>486</v>
      </c>
      <c r="B467" s="9" t="s">
        <v>461</v>
      </c>
      <c r="C467" s="17"/>
      <c r="D467" s="171">
        <f t="shared" ref="D467:I467" si="3632">D463/(D464+D465)</f>
        <v>27.320173101869514</v>
      </c>
      <c r="E467" s="171">
        <f t="shared" si="3632"/>
        <v>27.694782502032691</v>
      </c>
      <c r="F467" s="171">
        <f t="shared" si="3632"/>
        <v>27.256784963357997</v>
      </c>
      <c r="G467" s="171">
        <f t="shared" si="3632"/>
        <v>28.428508179386032</v>
      </c>
      <c r="H467" s="171">
        <f t="shared" si="3632"/>
        <v>27.679341049921124</v>
      </c>
      <c r="I467" s="171">
        <f t="shared" si="3632"/>
        <v>27.656438296116363</v>
      </c>
      <c r="J467" s="171">
        <f>J463/(J464+J465)</f>
        <v>28.002242961615185</v>
      </c>
      <c r="K467" s="171">
        <f t="shared" ref="K467" si="3633">K463/(K464+K465)</f>
        <v>29.441213160876455</v>
      </c>
      <c r="L467" s="171">
        <f t="shared" ref="L467:Q467" si="3634">L463/(L464+L465)</f>
        <v>31.636891744416676</v>
      </c>
      <c r="M467" s="171">
        <f t="shared" si="3634"/>
        <v>33.0707997645899</v>
      </c>
      <c r="N467" s="171">
        <f t="shared" si="3634"/>
        <v>32.502269810766208</v>
      </c>
      <c r="O467" s="171">
        <f t="shared" si="3634"/>
        <v>38.192617804792491</v>
      </c>
      <c r="P467" s="171">
        <f t="shared" si="3634"/>
        <v>40.301204169954715</v>
      </c>
      <c r="Q467" s="171">
        <f t="shared" si="3634"/>
        <v>41.230847411544701</v>
      </c>
      <c r="R467" s="171">
        <f t="shared" ref="R467:S467" si="3635">R463/(R464+R465)</f>
        <v>40.905590927003658</v>
      </c>
      <c r="S467" s="171">
        <f t="shared" si="3635"/>
        <v>42.744209247782806</v>
      </c>
      <c r="T467" s="171">
        <f t="shared" ref="T467:U467" si="3636">T463/(T464+T465)</f>
        <v>42.192110205204465</v>
      </c>
      <c r="U467" s="171">
        <f t="shared" si="3636"/>
        <v>45.123232888265065</v>
      </c>
      <c r="V467" s="171">
        <f t="shared" ref="V467:W467" si="3637">V463/(V464+V465)</f>
        <v>43.073379681574302</v>
      </c>
      <c r="W467" s="171">
        <f t="shared" si="3637"/>
        <v>46.212684263677318</v>
      </c>
      <c r="X467" s="171">
        <f t="shared" ref="X467:Y467" si="3638">X463/(X464+X465)</f>
        <v>47.833311685451172</v>
      </c>
      <c r="Y467" s="171">
        <f t="shared" si="3638"/>
        <v>50.214261247506343</v>
      </c>
      <c r="Z467" s="171">
        <f t="shared" ref="Z467:AA467" si="3639">Z463/(Z464+Z465)</f>
        <v>48.940034562917404</v>
      </c>
      <c r="AA467" s="171">
        <f t="shared" si="3639"/>
        <v>53.907815402515595</v>
      </c>
      <c r="AB467" s="171">
        <f t="shared" ref="AB467:AC467" si="3640">AB463/(AB464+AB465)</f>
        <v>55.763850345312768</v>
      </c>
      <c r="AC467" s="171">
        <f t="shared" si="3640"/>
        <v>64.593125592482153</v>
      </c>
      <c r="AD467" s="171">
        <f t="shared" ref="AD467:AE467" si="3641">AD463/(AD464+AD465)</f>
        <v>70.294007902995375</v>
      </c>
      <c r="AE467" s="171">
        <f t="shared" si="3641"/>
        <v>75.885547310304716</v>
      </c>
      <c r="AF467" s="171">
        <f t="shared" ref="AF467:AG467" si="3642">AF463/(AF464+AF465)</f>
        <v>73.489542918278588</v>
      </c>
      <c r="AG467" s="171">
        <f t="shared" si="3642"/>
        <v>76.318170790874731</v>
      </c>
      <c r="AH467" s="171">
        <f t="shared" ref="AH467:AI467" si="3643">AH463/(AH464+AH465)</f>
        <v>75.607702781678412</v>
      </c>
      <c r="AI467" s="171">
        <f t="shared" si="3643"/>
        <v>88.379965582844747</v>
      </c>
      <c r="AJ467" s="170">
        <f t="shared" ref="AJ467" si="3644">AJ463/(AJ464+AJ465)</f>
        <v>85.992381534146844</v>
      </c>
      <c r="AK467" s="171">
        <f t="shared" ref="AK467" si="3645">AK463/(AK464+AK465)</f>
        <v>89.188798417435976</v>
      </c>
      <c r="AL467" s="171">
        <f t="shared" ref="AL467:AM467" si="3646">AL463/(AL464+AL465)</f>
        <v>90.177843879527543</v>
      </c>
      <c r="AM467" s="171">
        <f t="shared" si="3646"/>
        <v>92.685552673604889</v>
      </c>
      <c r="AN467" s="171">
        <f t="shared" ref="AN467:AO467" si="3647">AN463/(AN464+AN465)</f>
        <v>94.628288119825399</v>
      </c>
      <c r="AO467" s="171">
        <f t="shared" si="3647"/>
        <v>98.116049593547856</v>
      </c>
      <c r="AP467" s="171">
        <f t="shared" ref="AP467:AQ467" si="3648">AP463/(AP464+AP465)</f>
        <v>99.789424954171977</v>
      </c>
      <c r="AQ467" s="171">
        <f t="shared" si="3648"/>
        <v>103.58857694746959</v>
      </c>
      <c r="AR467" s="171">
        <f t="shared" ref="AR467:AS467" si="3649">AR463/(AR464+AR465)</f>
        <v>106.0353932159783</v>
      </c>
      <c r="AS467" s="171">
        <f t="shared" si="3649"/>
        <v>109.83519331089673</v>
      </c>
      <c r="AT467" s="17"/>
      <c r="AU467" s="171">
        <f t="shared" ref="AU467" si="3650">AU463/(AU464+AU465)</f>
        <v>10.590900203355103</v>
      </c>
      <c r="AV467" s="171">
        <f t="shared" ref="AV467:AY467" si="3651">AV463/(AV464+AV465)</f>
        <v>15.048822263743697</v>
      </c>
      <c r="AW467" s="171">
        <f t="shared" si="3651"/>
        <v>23.897505723815083</v>
      </c>
      <c r="AX467" s="171">
        <f t="shared" si="3651"/>
        <v>29.676162268348829</v>
      </c>
      <c r="AY467" s="171">
        <f t="shared" si="3651"/>
        <v>27.289384540730161</v>
      </c>
      <c r="AZ467" s="171">
        <f t="shared" ref="AZ467:BH467" si="3652">AZ463/(AZ464+AZ465)</f>
        <v>27.694782502032691</v>
      </c>
      <c r="BA467" s="171">
        <f t="shared" si="3652"/>
        <v>28.428508179386032</v>
      </c>
      <c r="BB467" s="171">
        <f t="shared" si="3652"/>
        <v>27.656438296116363</v>
      </c>
      <c r="BC467" s="171">
        <f t="shared" si="3652"/>
        <v>29.441213160876455</v>
      </c>
      <c r="BD467" s="171">
        <f t="shared" si="3652"/>
        <v>33.0707997645899</v>
      </c>
      <c r="BE467" s="171">
        <f t="shared" si="3652"/>
        <v>38.192617804792491</v>
      </c>
      <c r="BF467" s="171">
        <f t="shared" si="3652"/>
        <v>41.230847411544701</v>
      </c>
      <c r="BG467" s="171">
        <f t="shared" si="3652"/>
        <v>42.744209247782806</v>
      </c>
      <c r="BH467" s="171">
        <f t="shared" si="3652"/>
        <v>45.123232888265065</v>
      </c>
      <c r="BI467" s="171">
        <f t="shared" ref="BI467" si="3653">BI463/(BI464+BI465)</f>
        <v>46.212684263677318</v>
      </c>
      <c r="BJ467" s="171">
        <f t="shared" ref="BJ467:BO467" si="3654">BJ463/(BJ464+BJ465)</f>
        <v>50.214261247506343</v>
      </c>
      <c r="BK467" s="171">
        <f t="shared" si="3654"/>
        <v>53.907815402515595</v>
      </c>
      <c r="BL467" s="171">
        <f t="shared" si="3654"/>
        <v>64.593125592482153</v>
      </c>
      <c r="BM467" s="171">
        <f t="shared" si="3654"/>
        <v>75.885547310304716</v>
      </c>
      <c r="BN467" s="171">
        <f t="shared" si="3654"/>
        <v>76.318170790874731</v>
      </c>
      <c r="BO467" s="170">
        <f t="shared" si="3654"/>
        <v>88.379965582844747</v>
      </c>
      <c r="BP467" s="171">
        <f t="shared" ref="BP467:BQ467" si="3655">BP463/(BP464+BP465)</f>
        <v>89.188798417435976</v>
      </c>
      <c r="BQ467" s="171">
        <f t="shared" si="3655"/>
        <v>92.685552673604889</v>
      </c>
      <c r="BR467" s="171">
        <f t="shared" ref="BR467:BS467" si="3656">BR463/(BR464+BR465)</f>
        <v>98.116049593547856</v>
      </c>
      <c r="BS467" s="171">
        <f t="shared" si="3656"/>
        <v>103.58857694746959</v>
      </c>
      <c r="BT467" s="171">
        <f>BT463/(BT464+BT465)</f>
        <v>109.83519331089673</v>
      </c>
    </row>
    <row r="468" spans="1:72" ht="12" customHeight="1" outlineLevel="1">
      <c r="C468" s="19"/>
      <c r="D468" s="19"/>
      <c r="E468" s="19"/>
      <c r="F468" s="19"/>
      <c r="G468" s="19"/>
      <c r="H468" s="19"/>
      <c r="I468" s="19"/>
      <c r="J468" s="19"/>
      <c r="K468" s="19"/>
      <c r="L468" s="323"/>
      <c r="M468" s="323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20"/>
      <c r="AK468" s="19"/>
      <c r="AL468" s="19"/>
      <c r="AM468" s="19"/>
      <c r="AN468" s="19"/>
      <c r="AO468" s="19"/>
      <c r="AP468" s="19"/>
      <c r="AQ468" s="19"/>
      <c r="AR468" s="19"/>
      <c r="AS468" s="19"/>
      <c r="AT468" s="19"/>
      <c r="AU468" s="19"/>
      <c r="AV468" s="19"/>
      <c r="AW468" s="19"/>
      <c r="AX468" s="36"/>
      <c r="AY468" s="19"/>
      <c r="AZ468" s="19"/>
      <c r="BA468" s="19"/>
      <c r="BB468" s="19"/>
      <c r="BC468" s="19"/>
      <c r="BD468" s="19"/>
      <c r="BE468" s="19"/>
      <c r="BF468" s="19"/>
      <c r="BG468" s="19"/>
      <c r="BH468" s="19"/>
      <c r="BI468" s="19"/>
      <c r="BJ468" s="19"/>
      <c r="BK468" s="19"/>
      <c r="BL468" s="19"/>
      <c r="BM468" s="19"/>
      <c r="BN468" s="19"/>
      <c r="BO468" s="20"/>
      <c r="BP468" s="19"/>
      <c r="BQ468" s="19"/>
      <c r="BR468" s="19"/>
      <c r="BS468" s="19"/>
      <c r="BT468" s="19"/>
    </row>
    <row r="469" spans="1:72" ht="12" customHeight="1" outlineLevel="1">
      <c r="B469" s="9" t="s">
        <v>409</v>
      </c>
      <c r="C469" s="19"/>
      <c r="D469" s="19"/>
      <c r="E469" s="19"/>
      <c r="F469" s="19"/>
      <c r="G469" s="27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20"/>
      <c r="AK469" s="19"/>
      <c r="AL469" s="19"/>
      <c r="AM469" s="19"/>
      <c r="AN469" s="19"/>
      <c r="AO469" s="19"/>
      <c r="AP469" s="19"/>
      <c r="AQ469" s="19"/>
      <c r="AR469" s="19"/>
      <c r="AS469" s="19"/>
      <c r="AT469" s="19"/>
      <c r="AU469" s="19"/>
      <c r="AV469" s="19"/>
      <c r="AW469" s="19"/>
      <c r="AX469" s="19"/>
      <c r="AY469" s="19"/>
      <c r="AZ469" s="19"/>
      <c r="BA469" s="19"/>
      <c r="BB469" s="19"/>
      <c r="BC469" s="19"/>
      <c r="BD469" s="19"/>
      <c r="BE469" s="19"/>
      <c r="BF469" s="19"/>
      <c r="BG469" s="19"/>
      <c r="BH469" s="19"/>
      <c r="BI469" s="19"/>
      <c r="BJ469" s="19"/>
      <c r="BK469" s="19"/>
      <c r="BL469" s="19"/>
      <c r="BM469" s="19"/>
      <c r="BN469" s="19"/>
      <c r="BO469" s="20"/>
      <c r="BP469" s="19"/>
      <c r="BQ469" s="19"/>
      <c r="BR469" s="19"/>
      <c r="BS469" s="19"/>
      <c r="BT469" s="19"/>
    </row>
    <row r="470" spans="1:72" ht="12" customHeight="1" outlineLevel="1">
      <c r="A470" s="91" t="s">
        <v>468</v>
      </c>
      <c r="B470" s="87" t="s">
        <v>469</v>
      </c>
      <c r="C470" s="19"/>
      <c r="D470" s="177">
        <f>D472</f>
        <v>1.4771970554616343</v>
      </c>
      <c r="E470" s="177">
        <f t="shared" ref="E470:L470" si="3657">E472</f>
        <v>1.6664829549285538</v>
      </c>
      <c r="F470" s="177">
        <f t="shared" si="3657"/>
        <v>1.1720471738557454</v>
      </c>
      <c r="G470" s="177">
        <f t="shared" si="3657"/>
        <v>1.6055265648962223</v>
      </c>
      <c r="H470" s="177">
        <f t="shared" si="3657"/>
        <v>0.85139045326444529</v>
      </c>
      <c r="I470" s="177">
        <f t="shared" si="3657"/>
        <v>1.2154461770136573</v>
      </c>
      <c r="J470" s="177">
        <f t="shared" si="3657"/>
        <v>1.0373109872912174</v>
      </c>
      <c r="K470" s="177">
        <f t="shared" si="3657"/>
        <v>1.4371571851658678</v>
      </c>
      <c r="L470" s="177">
        <f t="shared" si="3657"/>
        <v>1.4723967192892449</v>
      </c>
      <c r="M470" s="177">
        <f t="shared" ref="M470:N470" si="3658">M472</f>
        <v>2.350358570538003</v>
      </c>
      <c r="N470" s="177">
        <f t="shared" si="3658"/>
        <v>2.1329975864218165</v>
      </c>
      <c r="O470" s="177">
        <f t="shared" ref="O470:P470" si="3659">O472</f>
        <v>2.8814626392096669</v>
      </c>
      <c r="P470" s="177">
        <f t="shared" si="3659"/>
        <v>3.2452880357488825</v>
      </c>
      <c r="Q470" s="177">
        <f t="shared" ref="Q470:R470" si="3660">Q472</f>
        <v>2.9537865004182491</v>
      </c>
      <c r="R470" s="177">
        <f t="shared" si="3660"/>
        <v>3.1179944897468208</v>
      </c>
      <c r="S470" s="177">
        <f t="shared" ref="S470:T470" si="3661">S472</f>
        <v>3.4584073888291758</v>
      </c>
      <c r="T470" s="177">
        <f t="shared" si="3661"/>
        <v>3.7035398837780131</v>
      </c>
      <c r="U470" s="177">
        <f t="shared" ref="U470:V470" si="3662">U472</f>
        <v>3.875338171271224</v>
      </c>
      <c r="V470" s="177">
        <f t="shared" si="3662"/>
        <v>3.8830189778737485</v>
      </c>
      <c r="W470" s="177">
        <f t="shared" ref="W470:X470" si="3663">W472</f>
        <v>4.9449999196899812</v>
      </c>
      <c r="X470" s="177">
        <f t="shared" si="3663"/>
        <v>4.3009514828931721</v>
      </c>
      <c r="Y470" s="177">
        <f t="shared" ref="Y470:Z470" si="3664">Y472</f>
        <v>3.6210000000000004</v>
      </c>
      <c r="Z470" s="177">
        <f t="shared" si="3664"/>
        <v>2.7669315962538708</v>
      </c>
      <c r="AA470" s="177">
        <f t="shared" ref="AA470:AB470" si="3665">AA472</f>
        <v>5.6520000000000001</v>
      </c>
      <c r="AB470" s="177">
        <f t="shared" si="3665"/>
        <v>5.6246243437665751</v>
      </c>
      <c r="AC470" s="177">
        <f t="shared" ref="AC470:AD470" si="3666">AC472</f>
        <v>7.0639889205781277</v>
      </c>
      <c r="AD470" s="177">
        <f t="shared" si="3666"/>
        <v>6.0329089754180467</v>
      </c>
      <c r="AE470" s="177">
        <f t="shared" ref="AE470:AF470" si="3667">AE472</f>
        <v>7.4595021055671848</v>
      </c>
      <c r="AF470" s="177">
        <f t="shared" si="3667"/>
        <v>3.6917354352989253</v>
      </c>
      <c r="AG470" s="177">
        <f t="shared" ref="AG470:AH470" si="3668">AG472</f>
        <v>5.4641684365824874</v>
      </c>
      <c r="AH470" s="177">
        <f t="shared" si="3668"/>
        <v>4.2464779916351434</v>
      </c>
      <c r="AI470" s="177">
        <f t="shared" ref="AI470:AJ470" si="3669">AI472</f>
        <v>5.5432205080681394</v>
      </c>
      <c r="AJ470" s="178">
        <f t="shared" si="3669"/>
        <v>4.3669075029337998</v>
      </c>
      <c r="AK470" s="177">
        <f t="shared" ref="AK470" si="3670">AK472</f>
        <v>6.6841874605882712</v>
      </c>
      <c r="AL470" s="177">
        <f t="shared" ref="AL470:AM470" si="3671">AL472</f>
        <v>5.6921538815870782</v>
      </c>
      <c r="AM470" s="177">
        <f t="shared" si="3671"/>
        <v>6.627093314652611</v>
      </c>
      <c r="AN470" s="177">
        <f t="shared" ref="AN470:AO470" si="3672">AN472</f>
        <v>6.2535585321099676</v>
      </c>
      <c r="AO470" s="177">
        <f t="shared" si="3672"/>
        <v>7.4451041622353298</v>
      </c>
      <c r="AP470" s="177">
        <f t="shared" ref="AP470:AQ470" si="3673">AP472</f>
        <v>6.7035898699972147</v>
      </c>
      <c r="AQ470" s="177">
        <f t="shared" si="3673"/>
        <v>7.8565416943503337</v>
      </c>
      <c r="AR470" s="177">
        <f t="shared" ref="AR470:AS470" si="3674">AR472</f>
        <v>7.1618954152995551</v>
      </c>
      <c r="AS470" s="177">
        <f t="shared" si="3674"/>
        <v>8.1548156257925744</v>
      </c>
      <c r="AT470" s="19"/>
      <c r="AU470" s="177">
        <f t="shared" ref="AU470:BH470" si="3675">AU472</f>
        <v>3.634627535029773</v>
      </c>
      <c r="AV470" s="177">
        <f t="shared" si="3675"/>
        <v>3.9363417737756601</v>
      </c>
      <c r="AW470" s="177">
        <f t="shared" si="3675"/>
        <v>5.8173704019563122</v>
      </c>
      <c r="AX470" s="177">
        <f t="shared" si="3675"/>
        <v>6.594895128395442</v>
      </c>
      <c r="AY470" s="177">
        <f t="shared" si="3675"/>
        <v>3.0441458715469496</v>
      </c>
      <c r="AZ470" s="177">
        <f t="shared" si="3675"/>
        <v>3.1489615151444994</v>
      </c>
      <c r="BA470" s="177">
        <f t="shared" si="3675"/>
        <v>2.7784966879623085</v>
      </c>
      <c r="BB470" s="177">
        <f t="shared" si="3675"/>
        <v>2.0659490951320643</v>
      </c>
      <c r="BC470" s="177">
        <f t="shared" si="3675"/>
        <v>2.4700781866484931</v>
      </c>
      <c r="BD470" s="177">
        <f t="shared" si="3675"/>
        <v>3.8355777719799784</v>
      </c>
      <c r="BE470" s="177">
        <f t="shared" si="3675"/>
        <v>5.0225367632747977</v>
      </c>
      <c r="BF470" s="177">
        <f t="shared" si="3675"/>
        <v>6.1921289059685707</v>
      </c>
      <c r="BG470" s="177">
        <f t="shared" si="3675"/>
        <v>6.5764243407913057</v>
      </c>
      <c r="BH470" s="177">
        <f t="shared" si="3675"/>
        <v>7.5788665724414672</v>
      </c>
      <c r="BI470" s="177">
        <f t="shared" ref="BI470" si="3676">BI472</f>
        <v>8.8332055790082009</v>
      </c>
      <c r="BJ470" s="177">
        <f t="shared" ref="BJ470:BO470" si="3677">BJ472</f>
        <v>7.9103483372005163</v>
      </c>
      <c r="BK470" s="177">
        <f t="shared" si="3677"/>
        <v>8.4291888831752253</v>
      </c>
      <c r="BL470" s="177">
        <f t="shared" si="3677"/>
        <v>12.71701755025968</v>
      </c>
      <c r="BM470" s="177">
        <f t="shared" si="3677"/>
        <v>13.534028270684786</v>
      </c>
      <c r="BN470" s="177">
        <f t="shared" si="3677"/>
        <v>9.1656145479840045</v>
      </c>
      <c r="BO470" s="178">
        <f t="shared" si="3677"/>
        <v>9.7935695662762061</v>
      </c>
      <c r="BP470" s="177">
        <f t="shared" ref="BP470:BQ470" si="3678">BP472</f>
        <v>11.048911182768176</v>
      </c>
      <c r="BQ470" s="177">
        <f t="shared" si="3678"/>
        <v>12.317625197991395</v>
      </c>
      <c r="BR470" s="177">
        <f t="shared" ref="BR470:BS470" si="3679">BR472</f>
        <v>13.698662694345295</v>
      </c>
      <c r="BS470" s="177">
        <f t="shared" si="3679"/>
        <v>14.560131564347561</v>
      </c>
      <c r="BT470" s="177">
        <f>BT472</f>
        <v>15.316711041092127</v>
      </c>
    </row>
    <row r="471" spans="1:72" ht="12" customHeight="1" outlineLevel="1">
      <c r="A471" s="91" t="s">
        <v>470</v>
      </c>
      <c r="B471" s="87" t="s">
        <v>471</v>
      </c>
      <c r="C471" s="19"/>
      <c r="D471" s="177">
        <f>D474</f>
        <v>1.4710817446722513</v>
      </c>
      <c r="E471" s="177">
        <f t="shared" ref="E471:L471" si="3680">E474</f>
        <v>1.6486934656124099</v>
      </c>
      <c r="F471" s="177">
        <f t="shared" si="3680"/>
        <v>1.1512160667605535</v>
      </c>
      <c r="G471" s="177">
        <f t="shared" si="3680"/>
        <v>1.561334961124488</v>
      </c>
      <c r="H471" s="177">
        <f t="shared" si="3680"/>
        <v>0.83882639019733884</v>
      </c>
      <c r="I471" s="177">
        <f t="shared" si="3680"/>
        <v>1.1710518781216295</v>
      </c>
      <c r="J471" s="177">
        <f t="shared" si="3680"/>
        <v>0.98066138947421899</v>
      </c>
      <c r="K471" s="177">
        <f t="shared" si="3680"/>
        <v>1.3976536533932631</v>
      </c>
      <c r="L471" s="177">
        <f t="shared" si="3680"/>
        <v>1.4223199005370353</v>
      </c>
      <c r="M471" s="177">
        <f t="shared" ref="M471:N471" si="3681">M474</f>
        <v>2.2425099560790538</v>
      </c>
      <c r="N471" s="177">
        <f t="shared" si="3681"/>
        <v>2.0489980097520215</v>
      </c>
      <c r="O471" s="177">
        <f t="shared" ref="O471:P471" si="3682">O474</f>
        <v>2.7567328907340936</v>
      </c>
      <c r="P471" s="177">
        <f t="shared" si="3682"/>
        <v>3.0999386275533385</v>
      </c>
      <c r="Q471" s="177">
        <f t="shared" ref="Q471:R471" si="3683">Q474</f>
        <v>2.9171378673950219</v>
      </c>
      <c r="R471" s="177">
        <f t="shared" si="3683"/>
        <v>3.0478981992364718</v>
      </c>
      <c r="S471" s="177">
        <f t="shared" ref="S471:T471" si="3684">S474</f>
        <v>3.3719257517184751</v>
      </c>
      <c r="T471" s="177">
        <f t="shared" si="3684"/>
        <v>3.601863674269941</v>
      </c>
      <c r="U471" s="177">
        <f t="shared" ref="U471:V471" si="3685">U474</f>
        <v>3.7932563187525927</v>
      </c>
      <c r="V471" s="177">
        <f t="shared" si="3685"/>
        <v>3.8307567289255475</v>
      </c>
      <c r="W471" s="177">
        <f t="shared" ref="W471:X471" si="3686">W474</f>
        <v>4.7968484481775713</v>
      </c>
      <c r="X471" s="177">
        <f t="shared" si="3686"/>
        <v>4.1952754352798305</v>
      </c>
      <c r="Y471" s="177">
        <f t="shared" ref="Y471:Z471" si="3687">Y474</f>
        <v>3.5070000000000001</v>
      </c>
      <c r="Z471" s="177">
        <f t="shared" si="3687"/>
        <v>2.7289879557835617</v>
      </c>
      <c r="AA471" s="177">
        <f t="shared" ref="AA471:AB471" si="3688">AA474</f>
        <v>5.46</v>
      </c>
      <c r="AB471" s="177">
        <f t="shared" si="3688"/>
        <v>5.4535044644432613</v>
      </c>
      <c r="AC471" s="177">
        <f t="shared" ref="AC471:AD471" si="3689">AC474</f>
        <v>6.8072013767824862</v>
      </c>
      <c r="AD471" s="177">
        <f t="shared" si="3689"/>
        <v>5.8512666457347651</v>
      </c>
      <c r="AE471" s="177">
        <f t="shared" ref="AE471:AF471" si="3690">AE474</f>
        <v>7.2547534193825882</v>
      </c>
      <c r="AF471" s="177">
        <f t="shared" si="3690"/>
        <v>3.661463701374863</v>
      </c>
      <c r="AG471" s="177">
        <f t="shared" ref="AG471:AH471" si="3691">AG474</f>
        <v>5.4489900403365299</v>
      </c>
      <c r="AH471" s="177">
        <f t="shared" si="3691"/>
        <v>4.2298145835270891</v>
      </c>
      <c r="AI471" s="177">
        <f t="shared" ref="AI471:AJ471" si="3692">AI474</f>
        <v>5.5245265595002406</v>
      </c>
      <c r="AJ471" s="178">
        <f t="shared" si="3692"/>
        <v>4.3494447836695294</v>
      </c>
      <c r="AK471" s="177">
        <f t="shared" ref="AK471" si="3693">AK474</f>
        <v>6.6079396195176257</v>
      </c>
      <c r="AL471" s="177">
        <f t="shared" ref="AL471:AM471" si="3694">AL474</f>
        <v>5.6408712011864379</v>
      </c>
      <c r="AM471" s="177">
        <f t="shared" si="3694"/>
        <v>6.5517555127055376</v>
      </c>
      <c r="AN471" s="177">
        <f t="shared" ref="AN471:AO471" si="3695">AN474</f>
        <v>6.1876461703599412</v>
      </c>
      <c r="AO471" s="177">
        <f t="shared" si="3695"/>
        <v>7.348711736218295</v>
      </c>
      <c r="AP471" s="177">
        <f t="shared" ref="AP471:AQ471" si="3696">AP474</f>
        <v>6.6261655831020905</v>
      </c>
      <c r="AQ471" s="177">
        <f t="shared" si="3696"/>
        <v>7.7496245833328556</v>
      </c>
      <c r="AR471" s="177">
        <f t="shared" ref="AR471:AS471" si="3697">AR474</f>
        <v>7.0727475467626002</v>
      </c>
      <c r="AS471" s="177">
        <f t="shared" si="3697"/>
        <v>8.0402685857403373</v>
      </c>
      <c r="AT471" s="19"/>
      <c r="AU471" s="177">
        <f t="shared" ref="AU471:BH471" si="3698">AU474</f>
        <v>3.5510694094937079</v>
      </c>
      <c r="AV471" s="177">
        <f t="shared" si="3698"/>
        <v>3.7590839529517339</v>
      </c>
      <c r="AW471" s="177">
        <f t="shared" si="3698"/>
        <v>5.6034500335415007</v>
      </c>
      <c r="AX471" s="177">
        <f t="shared" si="3698"/>
        <v>6.4270085948285223</v>
      </c>
      <c r="AY471" s="177">
        <f t="shared" si="3698"/>
        <v>3.0338617543211925</v>
      </c>
      <c r="AZ471" s="177">
        <f t="shared" si="3698"/>
        <v>3.1217830157561091</v>
      </c>
      <c r="BA471" s="177">
        <f t="shared" si="3698"/>
        <v>2.7127427689849157</v>
      </c>
      <c r="BB471" s="177">
        <f t="shared" si="3698"/>
        <v>1.9897736367779773</v>
      </c>
      <c r="BC471" s="177">
        <f t="shared" si="3698"/>
        <v>2.4201821351908217</v>
      </c>
      <c r="BD471" s="177">
        <f t="shared" si="3698"/>
        <v>3.6918885360856213</v>
      </c>
      <c r="BE471" s="177">
        <f t="shared" si="3698"/>
        <v>4.8421198242046275</v>
      </c>
      <c r="BF471" s="177">
        <f t="shared" si="3698"/>
        <v>6.0008109933682645</v>
      </c>
      <c r="BG471" s="177">
        <f t="shared" si="3698"/>
        <v>6.4454246170512972</v>
      </c>
      <c r="BH471" s="177">
        <f t="shared" si="3698"/>
        <v>7.4318468664449453</v>
      </c>
      <c r="BI471" s="177">
        <f t="shared" ref="BI471" si="3699">BI474</f>
        <v>8.638314473402513</v>
      </c>
      <c r="BJ471" s="177">
        <f t="shared" ref="BJ471:BO471" si="3700">BJ474</f>
        <v>7.645186758405921</v>
      </c>
      <c r="BK471" s="177">
        <f t="shared" si="3700"/>
        <v>8.2461377292243512</v>
      </c>
      <c r="BL471" s="177">
        <f t="shared" si="3700"/>
        <v>12.316563287819463</v>
      </c>
      <c r="BM471" s="177">
        <f t="shared" si="3700"/>
        <v>13.17291983154305</v>
      </c>
      <c r="BN471" s="177">
        <f t="shared" si="3700"/>
        <v>9.1140532545455262</v>
      </c>
      <c r="BO471" s="178">
        <f t="shared" si="3700"/>
        <v>9.7549480519121605</v>
      </c>
      <c r="BP471" s="177">
        <f t="shared" ref="BP471:BQ471" si="3701">BP474</f>
        <v>10.955310409977953</v>
      </c>
      <c r="BQ471" s="177">
        <f t="shared" si="3701"/>
        <v>12.191087646398307</v>
      </c>
      <c r="BR471" s="177">
        <f t="shared" ref="BR471:BS471" si="3702">BR474</f>
        <v>13.536357906578234</v>
      </c>
      <c r="BS471" s="177">
        <f t="shared" si="3702"/>
        <v>14.37579016643496</v>
      </c>
      <c r="BT471" s="177">
        <f>BT474</f>
        <v>15.113016132502938</v>
      </c>
    </row>
    <row r="472" spans="1:72" ht="12" customHeight="1" outlineLevel="1">
      <c r="A472" s="91" t="s">
        <v>472</v>
      </c>
      <c r="B472" s="87" t="s">
        <v>473</v>
      </c>
      <c r="C472" s="65" t="str">
        <f>IF(ISERROR((C81+0)*C$5/C104),"n.a.",(C81+0)*C$5/C104)</f>
        <v>n.a.</v>
      </c>
      <c r="D472" s="65">
        <f t="shared" ref="D472:V472" si="3703">IF(ISERROR((D81+D107)/D104),"n.a.",(D81+D107)/D104)</f>
        <v>1.4771970554616343</v>
      </c>
      <c r="E472" s="65">
        <f t="shared" si="3703"/>
        <v>1.6664829549285538</v>
      </c>
      <c r="F472" s="65">
        <f t="shared" si="3703"/>
        <v>1.1720471738557454</v>
      </c>
      <c r="G472" s="65">
        <f t="shared" si="3703"/>
        <v>1.6055265648962223</v>
      </c>
      <c r="H472" s="65">
        <f t="shared" si="3703"/>
        <v>0.85139045326444529</v>
      </c>
      <c r="I472" s="65">
        <f t="shared" si="3703"/>
        <v>1.2154461770136573</v>
      </c>
      <c r="J472" s="65">
        <f t="shared" si="3703"/>
        <v>1.0373109872912174</v>
      </c>
      <c r="K472" s="65">
        <f t="shared" si="3703"/>
        <v>1.4371571851658678</v>
      </c>
      <c r="L472" s="65">
        <f t="shared" si="3703"/>
        <v>1.4723967192892449</v>
      </c>
      <c r="M472" s="65">
        <f t="shared" si="3703"/>
        <v>2.350358570538003</v>
      </c>
      <c r="N472" s="65">
        <f t="shared" si="3703"/>
        <v>2.1329975864218165</v>
      </c>
      <c r="O472" s="65">
        <f t="shared" si="3703"/>
        <v>2.8814626392096669</v>
      </c>
      <c r="P472" s="65">
        <f t="shared" si="3703"/>
        <v>3.2452880357488825</v>
      </c>
      <c r="Q472" s="65">
        <f t="shared" si="3703"/>
        <v>2.9537865004182491</v>
      </c>
      <c r="R472" s="65">
        <f t="shared" si="3703"/>
        <v>3.1179944897468208</v>
      </c>
      <c r="S472" s="65">
        <f t="shared" si="3703"/>
        <v>3.4584073888291758</v>
      </c>
      <c r="T472" s="65">
        <f t="shared" si="3703"/>
        <v>3.7035398837780131</v>
      </c>
      <c r="U472" s="65">
        <f t="shared" si="3703"/>
        <v>3.875338171271224</v>
      </c>
      <c r="V472" s="65">
        <f t="shared" si="3703"/>
        <v>3.8830189778737485</v>
      </c>
      <c r="W472" s="65">
        <f t="shared" ref="W472:X472" si="3704">IF(ISERROR((W81+W107)/W104),"n.a.",(W81+W107)/W104)</f>
        <v>4.9449999196899812</v>
      </c>
      <c r="X472" s="65">
        <f t="shared" si="3704"/>
        <v>4.3009514828931721</v>
      </c>
      <c r="Y472" s="65">
        <f t="shared" ref="Y472:Z472" si="3705">IF(ISERROR((Y81+Y107)/Y104),"n.a.",(Y81+Y107)/Y104)</f>
        <v>3.6210000000000004</v>
      </c>
      <c r="Z472" s="65">
        <f t="shared" si="3705"/>
        <v>2.7669315962538708</v>
      </c>
      <c r="AA472" s="65">
        <f t="shared" ref="AA472:AB472" si="3706">IF(ISERROR((AA81+AA107)/AA104),"n.a.",(AA81+AA107)/AA104)</f>
        <v>5.6520000000000001</v>
      </c>
      <c r="AB472" s="65">
        <f t="shared" si="3706"/>
        <v>5.6246243437665751</v>
      </c>
      <c r="AC472" s="65">
        <f t="shared" ref="AC472:AD472" si="3707">IF(ISERROR((AC81+AC107)/AC104),"n.a.",(AC81+AC107)/AC104)</f>
        <v>7.0639889205781277</v>
      </c>
      <c r="AD472" s="65">
        <f t="shared" si="3707"/>
        <v>6.0329089754180467</v>
      </c>
      <c r="AE472" s="65">
        <f t="shared" ref="AE472:AF472" si="3708">IF(ISERROR((AE81+AE107)/AE104),"n.a.",(AE81+AE107)/AE104)</f>
        <v>7.4595021055671848</v>
      </c>
      <c r="AF472" s="65">
        <f t="shared" si="3708"/>
        <v>3.6917354352989253</v>
      </c>
      <c r="AG472" s="65">
        <f t="shared" ref="AG472:AH472" si="3709">IF(ISERROR((AG81+AG107)/AG104),"n.a.",(AG81+AG107)/AG104)</f>
        <v>5.4641684365824874</v>
      </c>
      <c r="AH472" s="65">
        <f t="shared" si="3709"/>
        <v>4.2464779916351434</v>
      </c>
      <c r="AI472" s="65">
        <f t="shared" ref="AI472:AJ472" si="3710">IF(ISERROR((AI81+AI107)/AI104),"n.a.",(AI81+AI107)/AI104)</f>
        <v>5.5432205080681394</v>
      </c>
      <c r="AJ472" s="73">
        <f t="shared" si="3710"/>
        <v>4.3669075029337998</v>
      </c>
      <c r="AK472" s="65">
        <f t="shared" ref="AK472" si="3711">IF(ISERROR((AK81+AK107)/AK104),"n.a.",(AK81+AK107)/AK104)</f>
        <v>6.6841874605882712</v>
      </c>
      <c r="AL472" s="65">
        <f t="shared" ref="AL472:AM472" si="3712">IF(ISERROR((AL81+AL107)/AL104),"n.a.",(AL81+AL107)/AL104)</f>
        <v>5.6921538815870782</v>
      </c>
      <c r="AM472" s="65">
        <f t="shared" si="3712"/>
        <v>6.627093314652611</v>
      </c>
      <c r="AN472" s="65">
        <f t="shared" ref="AN472:AO472" si="3713">IF(ISERROR((AN81+AN107)/AN104),"n.a.",(AN81+AN107)/AN104)</f>
        <v>6.2535585321099676</v>
      </c>
      <c r="AO472" s="65">
        <f t="shared" si="3713"/>
        <v>7.4451041622353298</v>
      </c>
      <c r="AP472" s="65">
        <f t="shared" ref="AP472:AQ472" si="3714">IF(ISERROR((AP81+AP107)/AP104),"n.a.",(AP81+AP107)/AP104)</f>
        <v>6.7035898699972147</v>
      </c>
      <c r="AQ472" s="65">
        <f t="shared" si="3714"/>
        <v>7.8565416943503337</v>
      </c>
      <c r="AR472" s="65">
        <f t="shared" ref="AR472:AS472" si="3715">IF(ISERROR((AR81+AR107)/AR104),"n.a.",(AR81+AR107)/AR104)</f>
        <v>7.1618954152995551</v>
      </c>
      <c r="AS472" s="65">
        <f t="shared" si="3715"/>
        <v>8.1548156257925744</v>
      </c>
      <c r="AT472" s="177"/>
      <c r="AU472" s="65">
        <f t="shared" ref="AU472:BM472" si="3716">IF(ISERROR((AU81+AU107)/AU104),"n.a.",(AU81+AU107)/AU104)</f>
        <v>3.634627535029773</v>
      </c>
      <c r="AV472" s="65">
        <f t="shared" si="3716"/>
        <v>3.9363417737756601</v>
      </c>
      <c r="AW472" s="65">
        <f t="shared" si="3716"/>
        <v>5.8173704019563122</v>
      </c>
      <c r="AX472" s="65">
        <f t="shared" si="3716"/>
        <v>6.594895128395442</v>
      </c>
      <c r="AY472" s="65">
        <f t="shared" si="3716"/>
        <v>3.0441458715469496</v>
      </c>
      <c r="AZ472" s="65">
        <f t="shared" si="3716"/>
        <v>3.1489615151444994</v>
      </c>
      <c r="BA472" s="65">
        <f t="shared" si="3716"/>
        <v>2.7784966879623085</v>
      </c>
      <c r="BB472" s="65">
        <f t="shared" si="3716"/>
        <v>2.0659490951320643</v>
      </c>
      <c r="BC472" s="65">
        <f t="shared" si="3716"/>
        <v>2.4700781866484931</v>
      </c>
      <c r="BD472" s="65">
        <f t="shared" si="3716"/>
        <v>3.8355777719799784</v>
      </c>
      <c r="BE472" s="65">
        <f t="shared" si="3716"/>
        <v>5.0225367632747977</v>
      </c>
      <c r="BF472" s="65">
        <f t="shared" si="3716"/>
        <v>6.1921289059685707</v>
      </c>
      <c r="BG472" s="65">
        <f t="shared" si="3716"/>
        <v>6.5764243407913057</v>
      </c>
      <c r="BH472" s="65">
        <f t="shared" si="3716"/>
        <v>7.5788665724414672</v>
      </c>
      <c r="BI472" s="65">
        <f t="shared" si="3716"/>
        <v>8.8332055790082009</v>
      </c>
      <c r="BJ472" s="65">
        <f t="shared" si="3716"/>
        <v>7.9103483372005163</v>
      </c>
      <c r="BK472" s="65">
        <f t="shared" si="3716"/>
        <v>8.4291888831752253</v>
      </c>
      <c r="BL472" s="65">
        <f t="shared" si="3716"/>
        <v>12.71701755025968</v>
      </c>
      <c r="BM472" s="65">
        <f t="shared" si="3716"/>
        <v>13.534028270684786</v>
      </c>
      <c r="BN472" s="65">
        <f t="shared" ref="BN472:BO472" si="3717">IF(ISERROR((BN81+BN107)/BN104),"n.a.",(BN81+BN107)/BN104)</f>
        <v>9.1656145479840045</v>
      </c>
      <c r="BO472" s="73">
        <f t="shared" si="3717"/>
        <v>9.7935695662762061</v>
      </c>
      <c r="BP472" s="65">
        <f t="shared" ref="BP472:BQ472" si="3718">IF(ISERROR((BP81+BP107)/BP104),"n.a.",(BP81+BP107)/BP104)</f>
        <v>11.048911182768176</v>
      </c>
      <c r="BQ472" s="65">
        <f t="shared" si="3718"/>
        <v>12.317625197991395</v>
      </c>
      <c r="BR472" s="65">
        <f t="shared" ref="BR472:BS472" si="3719">IF(ISERROR((BR81+BR107)/BR104),"n.a.",(BR81+BR107)/BR104)</f>
        <v>13.698662694345295</v>
      </c>
      <c r="BS472" s="65">
        <f t="shared" si="3719"/>
        <v>14.560131564347561</v>
      </c>
      <c r="BT472" s="65">
        <f>IF(ISERROR((BT81+BT107)/BT104),"n.a.",(BT81+BT107)/BT104)</f>
        <v>15.316711041092127</v>
      </c>
    </row>
    <row r="473" spans="1:72" ht="12" customHeight="1" outlineLevel="1">
      <c r="A473" s="91" t="s">
        <v>474</v>
      </c>
      <c r="B473" s="117" t="s">
        <v>475</v>
      </c>
      <c r="C473" s="19"/>
      <c r="D473" s="47" t="str">
        <f>IF(ISERROR(D472/C472-1),"n.a.",D472/C472-1)</f>
        <v>n.a.</v>
      </c>
      <c r="E473" s="47">
        <f t="shared" ref="E473" si="3720">IF(ISERROR(E472/D472-1),"n.a.",E472/D472-1)</f>
        <v>0.12813855725414136</v>
      </c>
      <c r="F473" s="47">
        <f t="shared" ref="F473" si="3721">IF(ISERROR(F472/E472-1),"n.a.",F472/E472-1)</f>
        <v>-0.29669417236494089</v>
      </c>
      <c r="G473" s="47">
        <f t="shared" ref="G473" si="3722">IF(ISERROR(G472/F472-1),"n.a.",G472/F472-1)</f>
        <v>0.36984807498356642</v>
      </c>
      <c r="H473" s="47">
        <f t="shared" ref="H473" si="3723">IF(ISERROR(H472/G472-1),"n.a.",H472/G472-1)</f>
        <v>-0.46971263392363904</v>
      </c>
      <c r="I473" s="47">
        <f t="shared" ref="I473" si="3724">IF(ISERROR(I472/H472-1),"n.a.",I472/H472-1)</f>
        <v>0.42760136944609939</v>
      </c>
      <c r="J473" s="47">
        <f t="shared" ref="J473:N473" si="3725">IF(ISERROR(J472/I472-1),"n.a.",J472/I472-1)</f>
        <v>-0.14655950472452584</v>
      </c>
      <c r="K473" s="44">
        <f t="shared" ref="K473" si="3726">IF(ISERROR(K472/J472-1),"n.a.",K472/J472-1)</f>
        <v>0.38546414987735633</v>
      </c>
      <c r="L473" s="44">
        <f t="shared" si="3725"/>
        <v>2.4520306120384472E-2</v>
      </c>
      <c r="M473" s="44">
        <f t="shared" si="3725"/>
        <v>0.59628077117189426</v>
      </c>
      <c r="N473" s="44">
        <f t="shared" si="3725"/>
        <v>-9.2479924910534805E-2</v>
      </c>
      <c r="O473" s="44">
        <f t="shared" ref="O473" si="3727">IF(ISERROR(O472/N472-1),"n.a.",O472/N472-1)</f>
        <v>0.35089821833480306</v>
      </c>
      <c r="P473" s="44">
        <f t="shared" ref="P473:AJ473" si="3728">IF(ISERROR(P472/O472-1),"n.a.",P472/O472-1)</f>
        <v>0.12626413807642023</v>
      </c>
      <c r="Q473" s="44">
        <f t="shared" si="3728"/>
        <v>-8.9823008657339831E-2</v>
      </c>
      <c r="R473" s="44">
        <f t="shared" si="3728"/>
        <v>5.5592369084671578E-2</v>
      </c>
      <c r="S473" s="44">
        <f t="shared" si="3728"/>
        <v>0.10917687641904594</v>
      </c>
      <c r="T473" s="44">
        <f t="shared" si="3728"/>
        <v>7.0880167484208778E-2</v>
      </c>
      <c r="U473" s="44">
        <f t="shared" si="3728"/>
        <v>4.6387589410258556E-2</v>
      </c>
      <c r="V473" s="44">
        <f t="shared" si="3728"/>
        <v>1.9819706727697284E-3</v>
      </c>
      <c r="W473" s="44">
        <f t="shared" si="3728"/>
        <v>0.27349362644571706</v>
      </c>
      <c r="X473" s="44">
        <f t="shared" si="3728"/>
        <v>-0.13024235536027806</v>
      </c>
      <c r="Y473" s="44">
        <f t="shared" si="3728"/>
        <v>-0.15809326973290583</v>
      </c>
      <c r="Z473" s="44">
        <f t="shared" si="3728"/>
        <v>-0.23586534210056054</v>
      </c>
      <c r="AA473" s="44">
        <f t="shared" si="3728"/>
        <v>1.0426959624344176</v>
      </c>
      <c r="AB473" s="44">
        <f t="shared" si="3728"/>
        <v>-4.8435343654326113E-3</v>
      </c>
      <c r="AC473" s="44">
        <f t="shared" si="3728"/>
        <v>0.25590412600740375</v>
      </c>
      <c r="AD473" s="44">
        <f t="shared" si="3728"/>
        <v>-0.14596284857645214</v>
      </c>
      <c r="AE473" s="44">
        <f t="shared" si="3728"/>
        <v>0.23646853217278707</v>
      </c>
      <c r="AF473" s="44">
        <f t="shared" si="3728"/>
        <v>-0.50509626741123848</v>
      </c>
      <c r="AG473" s="44">
        <f t="shared" si="3728"/>
        <v>0.48010834805123181</v>
      </c>
      <c r="AH473" s="44">
        <f t="shared" si="3728"/>
        <v>-0.22285009312577797</v>
      </c>
      <c r="AI473" s="44">
        <f t="shared" si="3728"/>
        <v>0.30536894786393898</v>
      </c>
      <c r="AJ473" s="49">
        <f t="shared" si="3728"/>
        <v>-0.21220750706601332</v>
      </c>
      <c r="AK473" s="47">
        <f t="shared" ref="AK473" si="3729">IF(ISERROR(AK472/AJ472-1),"n.a.",AK472/AJ472-1)</f>
        <v>0.53064553258745772</v>
      </c>
      <c r="AL473" s="47">
        <f t="shared" ref="AL473" si="3730">IF(ISERROR(AL472/AK472-1),"n.a.",AL472/AK472-1)</f>
        <v>-0.14841498459618074</v>
      </c>
      <c r="AM473" s="47">
        <f t="shared" ref="AM473" si="3731">IF(ISERROR(AM472/AL472-1),"n.a.",AM472/AL472-1)</f>
        <v>0.16425055480138462</v>
      </c>
      <c r="AN473" s="47">
        <f t="shared" ref="AN473" si="3732">IF(ISERROR(AN472/AM472-1),"n.a.",AN472/AM472-1)</f>
        <v>-5.6364798986118347E-2</v>
      </c>
      <c r="AO473" s="47">
        <f t="shared" ref="AO473" si="3733">IF(ISERROR(AO472/AN472-1),"n.a.",AO472/AN472-1)</f>
        <v>0.19053881466163092</v>
      </c>
      <c r="AP473" s="47">
        <f t="shared" ref="AP473" si="3734">IF(ISERROR(AP472/AO472-1),"n.a.",AP472/AO472-1)</f>
        <v>-9.9597571246804684E-2</v>
      </c>
      <c r="AQ473" s="47">
        <f t="shared" ref="AQ473" si="3735">IF(ISERROR(AQ472/AP472-1),"n.a.",AQ472/AP472-1)</f>
        <v>0.17199020923301167</v>
      </c>
      <c r="AR473" s="47">
        <f t="shared" ref="AR473" si="3736">IF(ISERROR(AR472/AQ472-1),"n.a.",AR472/AQ472-1)</f>
        <v>-8.8416291299045935E-2</v>
      </c>
      <c r="AS473" s="47">
        <f t="shared" ref="AS473" si="3737">IF(ISERROR(AS472/AR472-1),"n.a.",AS472/AR472-1)</f>
        <v>0.13863930606580754</v>
      </c>
      <c r="AT473" s="19"/>
      <c r="AU473" s="47" t="str">
        <f t="shared" ref="AU473:AV473" si="3738">IF(ISERROR(AU472/AT472-1),"n.a.",AU472/AT472-1)</f>
        <v>n.a.</v>
      </c>
      <c r="AV473" s="47">
        <f t="shared" si="3738"/>
        <v>8.3011047442421271E-2</v>
      </c>
      <c r="AW473" s="47">
        <f t="shared" ref="AW473" si="3739">IF(ISERROR(AW472/AV472-1),"n.a.",AW472/AV472-1)</f>
        <v>0.47786212079252643</v>
      </c>
      <c r="AX473" s="47">
        <f t="shared" ref="AX473" si="3740">IF(ISERROR(AX472/AW472-1),"n.a.",AX472/AW472-1)</f>
        <v>0.13365570227016277</v>
      </c>
      <c r="AY473" s="47">
        <f t="shared" ref="AY473" si="3741">IF(ISERROR(AY472/AX472-1),"n.a.",AY472/AX472-1)</f>
        <v>-0.53840875218168938</v>
      </c>
      <c r="AZ473" s="47">
        <f t="shared" ref="AZ473" si="3742">IF(ISERROR(AZ472/AY472-1),"n.a.",AZ472/AY472-1)</f>
        <v>3.4431872853808221E-2</v>
      </c>
      <c r="BA473" s="47">
        <f t="shared" ref="BA473" si="3743">IF(ISERROR(BA472/AZ472-1),"n.a.",BA472/AZ472-1)</f>
        <v>-0.11764666713152605</v>
      </c>
      <c r="BB473" s="47">
        <f t="shared" ref="BB473" si="3744">IF(ISERROR(BB472/BA472-1),"n.a.",BB472/BA472-1)</f>
        <v>-0.25645076199562133</v>
      </c>
      <c r="BC473" s="47">
        <f t="shared" ref="BC473" si="3745">IF(ISERROR(BC472/BB472-1),"n.a.",BC472/BB472-1)</f>
        <v>0.19561425422759271</v>
      </c>
      <c r="BD473" s="44">
        <f t="shared" ref="BD473" si="3746">IF(ISERROR(BD472/BC472-1),"n.a.",BD472/BC472-1)</f>
        <v>0.5528163410828113</v>
      </c>
      <c r="BE473" s="44">
        <f t="shared" ref="BE473" si="3747">IF(ISERROR(BE472/BD472-1),"n.a.",BE472/BD472-1)</f>
        <v>0.30946028521854085</v>
      </c>
      <c r="BF473" s="44">
        <f t="shared" ref="BF473" si="3748">IF(ISERROR(BF472/BE472-1),"n.a.",BF472/BE472-1)</f>
        <v>0.23286880670459742</v>
      </c>
      <c r="BG473" s="44">
        <f t="shared" ref="BG473" si="3749">IF(ISERROR(BG472/BF472-1),"n.a.",BG472/BF472-1)</f>
        <v>6.2061924203857366E-2</v>
      </c>
      <c r="BH473" s="44">
        <f t="shared" ref="BH473:BJ473" si="3750">IF(ISERROR(BH472/BG472-1),"n.a.",BH472/BG472-1)</f>
        <v>0.15242967602202251</v>
      </c>
      <c r="BI473" s="44">
        <f t="shared" si="3750"/>
        <v>0.16550482774400654</v>
      </c>
      <c r="BJ473" s="44">
        <f t="shared" si="3750"/>
        <v>-0.10447591574239168</v>
      </c>
      <c r="BK473" s="44">
        <f t="shared" ref="BK473" si="3751">IF(ISERROR(BK472/BJ472-1),"n.a.",BK472/BJ472-1)</f>
        <v>6.5590100948490937E-2</v>
      </c>
      <c r="BL473" s="44">
        <f t="shared" ref="BL473:BN473" si="3752">IF(ISERROR(BL472/BK472-1),"n.a.",BL472/BK472-1)</f>
        <v>0.50868816994278276</v>
      </c>
      <c r="BM473" s="44">
        <f t="shared" si="3752"/>
        <v>6.4245466139851493E-2</v>
      </c>
      <c r="BN473" s="44">
        <f t="shared" si="3752"/>
        <v>-0.32277261694235782</v>
      </c>
      <c r="BO473" s="49">
        <f t="shared" ref="BO473" si="3753">IF(ISERROR(BO472/BN472-1),"n.a.",BO472/BN472-1)</f>
        <v>6.8512047392427444E-2</v>
      </c>
      <c r="BP473" s="47">
        <f t="shared" ref="BP473" si="3754">IF(ISERROR(BP472/BO472-1),"n.a.",BP472/BO472-1)</f>
        <v>0.12818019088920263</v>
      </c>
      <c r="BQ473" s="47">
        <f t="shared" ref="BQ473" si="3755">IF(ISERROR(BQ472/BP472-1),"n.a.",BQ472/BP472-1)</f>
        <v>0.11482706252557251</v>
      </c>
      <c r="BR473" s="47">
        <f t="shared" ref="BR473" si="3756">IF(ISERROR(BR472/BQ472-1),"n.a.",BR472/BQ472-1)</f>
        <v>0.11211881139061619</v>
      </c>
      <c r="BS473" s="47" t="str">
        <f>IF(ISERROR(BS472/#REF!-1),"n.a.",BS472/#REF!-1)</f>
        <v>n.a.</v>
      </c>
      <c r="BT473" s="47" t="str">
        <f>IF(ISERROR(BT472/#REF!-1),"n.a.",BT472/#REF!-1)</f>
        <v>n.a.</v>
      </c>
    </row>
    <row r="474" spans="1:72" ht="12" customHeight="1" outlineLevel="1">
      <c r="A474" s="91" t="s">
        <v>294</v>
      </c>
      <c r="B474" s="87" t="s">
        <v>476</v>
      </c>
      <c r="C474" s="65" t="str">
        <f>IF(ISERROR((C81+C106)*C$5/C105),"n.a.",(C81+C106)*C$5/C105)</f>
        <v>n.a.</v>
      </c>
      <c r="D474" s="65">
        <f t="shared" ref="D474:V474" si="3757">IF(ISERROR((D81+D106+D107)/D105),"n.a.",(D81+D106+D107)/D105)</f>
        <v>1.4710817446722513</v>
      </c>
      <c r="E474" s="65">
        <f t="shared" si="3757"/>
        <v>1.6486934656124099</v>
      </c>
      <c r="F474" s="65">
        <f t="shared" si="3757"/>
        <v>1.1512160667605535</v>
      </c>
      <c r="G474" s="65">
        <f t="shared" si="3757"/>
        <v>1.561334961124488</v>
      </c>
      <c r="H474" s="65">
        <f t="shared" si="3757"/>
        <v>0.83882639019733884</v>
      </c>
      <c r="I474" s="65">
        <f t="shared" si="3757"/>
        <v>1.1710518781216295</v>
      </c>
      <c r="J474" s="65">
        <f t="shared" si="3757"/>
        <v>0.98066138947421899</v>
      </c>
      <c r="K474" s="65">
        <f t="shared" si="3757"/>
        <v>1.3976536533932631</v>
      </c>
      <c r="L474" s="65">
        <f t="shared" si="3757"/>
        <v>1.4223199005370353</v>
      </c>
      <c r="M474" s="65">
        <f t="shared" si="3757"/>
        <v>2.2425099560790538</v>
      </c>
      <c r="N474" s="65">
        <f t="shared" si="3757"/>
        <v>2.0489980097520215</v>
      </c>
      <c r="O474" s="65">
        <f t="shared" si="3757"/>
        <v>2.7567328907340936</v>
      </c>
      <c r="P474" s="65">
        <f t="shared" si="3757"/>
        <v>3.0999386275533385</v>
      </c>
      <c r="Q474" s="65">
        <f t="shared" si="3757"/>
        <v>2.9171378673950219</v>
      </c>
      <c r="R474" s="65">
        <f t="shared" si="3757"/>
        <v>3.0478981992364718</v>
      </c>
      <c r="S474" s="65">
        <f t="shared" si="3757"/>
        <v>3.3719257517184751</v>
      </c>
      <c r="T474" s="65">
        <f t="shared" si="3757"/>
        <v>3.601863674269941</v>
      </c>
      <c r="U474" s="65">
        <f t="shared" si="3757"/>
        <v>3.7932563187525927</v>
      </c>
      <c r="V474" s="65">
        <f t="shared" si="3757"/>
        <v>3.8307567289255475</v>
      </c>
      <c r="W474" s="65">
        <f t="shared" ref="W474:X474" si="3758">IF(ISERROR((W81+W106+W107)/W105),"n.a.",(W81+W106+W107)/W105)</f>
        <v>4.7968484481775713</v>
      </c>
      <c r="X474" s="65">
        <f t="shared" si="3758"/>
        <v>4.1952754352798305</v>
      </c>
      <c r="Y474" s="65">
        <f t="shared" ref="Y474:Z474" si="3759">IF(ISERROR((Y81+Y106+Y107)/Y105),"n.a.",(Y81+Y106+Y107)/Y105)</f>
        <v>3.5070000000000001</v>
      </c>
      <c r="Z474" s="65">
        <f t="shared" si="3759"/>
        <v>2.7289879557835617</v>
      </c>
      <c r="AA474" s="65">
        <f t="shared" ref="AA474:AB474" si="3760">IF(ISERROR((AA81+AA106+AA107)/AA105),"n.a.",(AA81+AA106+AA107)/AA105)</f>
        <v>5.46</v>
      </c>
      <c r="AB474" s="65">
        <f t="shared" si="3760"/>
        <v>5.4535044644432613</v>
      </c>
      <c r="AC474" s="65">
        <f t="shared" ref="AC474:AD474" si="3761">IF(ISERROR((AC81+AC106+AC107)/AC105),"n.a.",(AC81+AC106+AC107)/AC105)</f>
        <v>6.8072013767824862</v>
      </c>
      <c r="AD474" s="65">
        <f t="shared" si="3761"/>
        <v>5.8512666457347651</v>
      </c>
      <c r="AE474" s="65">
        <f t="shared" ref="AE474:AF474" si="3762">IF(ISERROR((AE81+AE106+AE107)/AE105),"n.a.",(AE81+AE106+AE107)/AE105)</f>
        <v>7.2547534193825882</v>
      </c>
      <c r="AF474" s="65">
        <f t="shared" si="3762"/>
        <v>3.661463701374863</v>
      </c>
      <c r="AG474" s="65">
        <f t="shared" ref="AG474:AH474" si="3763">IF(ISERROR((AG81+AG106+AG107)/AG105),"n.a.",(AG81+AG106+AG107)/AG105)</f>
        <v>5.4489900403365299</v>
      </c>
      <c r="AH474" s="65">
        <f t="shared" si="3763"/>
        <v>4.2298145835270891</v>
      </c>
      <c r="AI474" s="65">
        <f t="shared" ref="AI474:AJ474" si="3764">IF(ISERROR((AI81+AI106+AI107)/AI105),"n.a.",(AI81+AI106+AI107)/AI105)</f>
        <v>5.5245265595002406</v>
      </c>
      <c r="AJ474" s="73">
        <f t="shared" si="3764"/>
        <v>4.3494447836695294</v>
      </c>
      <c r="AK474" s="65">
        <f t="shared" ref="AK474" si="3765">IF(ISERROR((AK81+AK106+AK107)/AK105),"n.a.",(AK81+AK106+AK107)/AK105)</f>
        <v>6.6079396195176257</v>
      </c>
      <c r="AL474" s="65">
        <f t="shared" ref="AL474:AM474" si="3766">IF(ISERROR((AL81+AL106+AL107)/AL105),"n.a.",(AL81+AL106+AL107)/AL105)</f>
        <v>5.6408712011864379</v>
      </c>
      <c r="AM474" s="65">
        <f t="shared" si="3766"/>
        <v>6.5517555127055376</v>
      </c>
      <c r="AN474" s="65">
        <f t="shared" ref="AN474:AO474" si="3767">IF(ISERROR((AN81+AN106+AN107)/AN105),"n.a.",(AN81+AN106+AN107)/AN105)</f>
        <v>6.1876461703599412</v>
      </c>
      <c r="AO474" s="65">
        <f t="shared" si="3767"/>
        <v>7.348711736218295</v>
      </c>
      <c r="AP474" s="65">
        <f t="shared" ref="AP474:AQ474" si="3768">IF(ISERROR((AP81+AP106+AP107)/AP105),"n.a.",(AP81+AP106+AP107)/AP105)</f>
        <v>6.6261655831020905</v>
      </c>
      <c r="AQ474" s="65">
        <f t="shared" si="3768"/>
        <v>7.7496245833328556</v>
      </c>
      <c r="AR474" s="65">
        <f t="shared" ref="AR474:AS474" si="3769">IF(ISERROR((AR81+AR106+AR107)/AR105),"n.a.",(AR81+AR106+AR107)/AR105)</f>
        <v>7.0727475467626002</v>
      </c>
      <c r="AS474" s="65">
        <f t="shared" si="3769"/>
        <v>8.0402685857403373</v>
      </c>
      <c r="AT474" s="19"/>
      <c r="AU474" s="65">
        <f t="shared" ref="AU474:BM474" si="3770">IF(ISERROR((AU81+AU106+AU107)/AU105),"n.a.",(AU81+AU106+AU107)/AU105)</f>
        <v>3.5510694094937079</v>
      </c>
      <c r="AV474" s="65">
        <f t="shared" si="3770"/>
        <v>3.7590839529517339</v>
      </c>
      <c r="AW474" s="65">
        <f t="shared" si="3770"/>
        <v>5.6034500335415007</v>
      </c>
      <c r="AX474" s="65">
        <f t="shared" si="3770"/>
        <v>6.4270085948285223</v>
      </c>
      <c r="AY474" s="65">
        <f t="shared" si="3770"/>
        <v>3.0338617543211925</v>
      </c>
      <c r="AZ474" s="65">
        <f t="shared" si="3770"/>
        <v>3.1217830157561091</v>
      </c>
      <c r="BA474" s="65">
        <f t="shared" si="3770"/>
        <v>2.7127427689849157</v>
      </c>
      <c r="BB474" s="65">
        <f t="shared" si="3770"/>
        <v>1.9897736367779773</v>
      </c>
      <c r="BC474" s="65">
        <f t="shared" si="3770"/>
        <v>2.4201821351908217</v>
      </c>
      <c r="BD474" s="65">
        <f t="shared" si="3770"/>
        <v>3.6918885360856213</v>
      </c>
      <c r="BE474" s="65">
        <f t="shared" si="3770"/>
        <v>4.8421198242046275</v>
      </c>
      <c r="BF474" s="65">
        <f t="shared" si="3770"/>
        <v>6.0008109933682645</v>
      </c>
      <c r="BG474" s="65">
        <f t="shared" si="3770"/>
        <v>6.4454246170512972</v>
      </c>
      <c r="BH474" s="65">
        <f t="shared" si="3770"/>
        <v>7.4318468664449453</v>
      </c>
      <c r="BI474" s="65">
        <f t="shared" si="3770"/>
        <v>8.638314473402513</v>
      </c>
      <c r="BJ474" s="65">
        <f t="shared" si="3770"/>
        <v>7.645186758405921</v>
      </c>
      <c r="BK474" s="65">
        <f t="shared" si="3770"/>
        <v>8.2461377292243512</v>
      </c>
      <c r="BL474" s="65">
        <f t="shared" si="3770"/>
        <v>12.316563287819463</v>
      </c>
      <c r="BM474" s="65">
        <f t="shared" si="3770"/>
        <v>13.17291983154305</v>
      </c>
      <c r="BN474" s="65">
        <f t="shared" ref="BN474:BO474" si="3771">IF(ISERROR((BN81+BN106+BN107)/BN105),"n.a.",(BN81+BN106+BN107)/BN105)</f>
        <v>9.1140532545455262</v>
      </c>
      <c r="BO474" s="73">
        <f t="shared" si="3771"/>
        <v>9.7549480519121605</v>
      </c>
      <c r="BP474" s="65">
        <f t="shared" ref="BP474:BQ474" si="3772">IF(ISERROR((BP81+BP106+BP107)/BP105),"n.a.",(BP81+BP106+BP107)/BP105)</f>
        <v>10.955310409977953</v>
      </c>
      <c r="BQ474" s="65">
        <f t="shared" si="3772"/>
        <v>12.191087646398307</v>
      </c>
      <c r="BR474" s="65">
        <f t="shared" ref="BR474:BS474" si="3773">IF(ISERROR((BR81+BR106+BR107)/BR105),"n.a.",(BR81+BR106+BR107)/BR105)</f>
        <v>13.536357906578234</v>
      </c>
      <c r="BS474" s="65">
        <f t="shared" si="3773"/>
        <v>14.37579016643496</v>
      </c>
      <c r="BT474" s="65">
        <f>IF(ISERROR((BT81+BT106+BT107)/BT105),"n.a.",(BT81+BT106+BT107)/BT105)</f>
        <v>15.113016132502938</v>
      </c>
    </row>
    <row r="475" spans="1:72" ht="12" customHeight="1" outlineLevel="1">
      <c r="A475" s="91" t="s">
        <v>297</v>
      </c>
      <c r="B475" s="117" t="s">
        <v>477</v>
      </c>
      <c r="C475" s="19"/>
      <c r="D475" s="47" t="str">
        <f>IF(ISERROR(D474/C474-1),"n.a.",D474/C474-1)</f>
        <v>n.a.</v>
      </c>
      <c r="E475" s="47">
        <f t="shared" ref="E475:N475" si="3774">IF(ISERROR(E474/D474-1),"n.a.",E474/D474-1)</f>
        <v>0.12073545306602229</v>
      </c>
      <c r="F475" s="47">
        <f t="shared" si="3774"/>
        <v>-0.30174038366014122</v>
      </c>
      <c r="G475" s="47">
        <f t="shared" si="3774"/>
        <v>0.35624841088083681</v>
      </c>
      <c r="H475" s="47">
        <f t="shared" si="3774"/>
        <v>-0.4627505236972288</v>
      </c>
      <c r="I475" s="47">
        <f t="shared" si="3774"/>
        <v>0.39605989011162679</v>
      </c>
      <c r="J475" s="47">
        <f t="shared" si="3774"/>
        <v>-0.16258074659578481</v>
      </c>
      <c r="K475" s="44">
        <f t="shared" si="3774"/>
        <v>0.42521533772489417</v>
      </c>
      <c r="L475" s="44">
        <f t="shared" si="3774"/>
        <v>1.7648325880941007E-2</v>
      </c>
      <c r="M475" s="44">
        <f t="shared" si="3774"/>
        <v>0.57665652799509703</v>
      </c>
      <c r="N475" s="44">
        <f t="shared" si="3774"/>
        <v>-8.6292569539080599E-2</v>
      </c>
      <c r="O475" s="44">
        <f t="shared" ref="O475" si="3775">IF(ISERROR(O474/N474-1),"n.a.",O474/N474-1)</f>
        <v>0.34540535306216591</v>
      </c>
      <c r="P475" s="44">
        <f t="shared" ref="P475:AJ475" si="3776">IF(ISERROR(P474/O474-1),"n.a.",P474/O474-1)</f>
        <v>0.12449727645823971</v>
      </c>
      <c r="Q475" s="44">
        <f t="shared" si="3776"/>
        <v>-5.8969154593423112E-2</v>
      </c>
      <c r="R475" s="44">
        <f t="shared" si="3776"/>
        <v>4.4824872112821268E-2</v>
      </c>
      <c r="S475" s="44">
        <f t="shared" si="3776"/>
        <v>0.10631180285587472</v>
      </c>
      <c r="T475" s="44">
        <f t="shared" si="3776"/>
        <v>6.8191870012048739E-2</v>
      </c>
      <c r="U475" s="44">
        <f t="shared" si="3776"/>
        <v>5.313711505792762E-2</v>
      </c>
      <c r="V475" s="44">
        <f t="shared" si="3776"/>
        <v>9.8860733422008185E-3</v>
      </c>
      <c r="W475" s="44">
        <f t="shared" si="3776"/>
        <v>0.2521934405171673</v>
      </c>
      <c r="X475" s="44">
        <f t="shared" si="3776"/>
        <v>-0.12541005191154031</v>
      </c>
      <c r="Y475" s="44">
        <f t="shared" si="3776"/>
        <v>-0.16405965374569531</v>
      </c>
      <c r="Z475" s="44">
        <f t="shared" si="3776"/>
        <v>-0.2218454645612884</v>
      </c>
      <c r="AA475" s="44">
        <f t="shared" si="3776"/>
        <v>1.0007416992913387</v>
      </c>
      <c r="AB475" s="44">
        <f t="shared" si="3776"/>
        <v>-1.189658526875248E-3</v>
      </c>
      <c r="AC475" s="44">
        <f t="shared" si="3776"/>
        <v>0.24822514057984213</v>
      </c>
      <c r="AD475" s="44">
        <f t="shared" si="3776"/>
        <v>-0.14042991798482041</v>
      </c>
      <c r="AE475" s="44">
        <f t="shared" si="3776"/>
        <v>0.23986033428691611</v>
      </c>
      <c r="AF475" s="44">
        <f t="shared" si="3776"/>
        <v>-0.49530142656640841</v>
      </c>
      <c r="AG475" s="44">
        <f t="shared" si="3776"/>
        <v>0.48819993443891274</v>
      </c>
      <c r="AH475" s="44">
        <f t="shared" si="3776"/>
        <v>-0.22374338139442529</v>
      </c>
      <c r="AI475" s="44">
        <f t="shared" si="3776"/>
        <v>0.30609189845232843</v>
      </c>
      <c r="AJ475" s="49">
        <f t="shared" si="3776"/>
        <v>-0.21270271093366078</v>
      </c>
      <c r="AK475" s="47">
        <f t="shared" ref="AK475" si="3777">IF(ISERROR(AK474/AJ474-1),"n.a.",AK474/AJ474-1)</f>
        <v>0.51926049143740483</v>
      </c>
      <c r="AL475" s="47">
        <f t="shared" ref="AL475" si="3778">IF(ISERROR(AL474/AK474-1),"n.a.",AL474/AK474-1)</f>
        <v>-0.14634946352639089</v>
      </c>
      <c r="AM475" s="47">
        <f t="shared" ref="AM475" si="3779">IF(ISERROR(AM474/AL474-1),"n.a.",AM474/AL474-1)</f>
        <v>0.16147936711044109</v>
      </c>
      <c r="AN475" s="47">
        <f t="shared" ref="AN475" si="3780">IF(ISERROR(AN474/AM474-1),"n.a.",AN474/AM474-1)</f>
        <v>-5.5574317698438902E-2</v>
      </c>
      <c r="AO475" s="47">
        <f t="shared" ref="AO475" si="3781">IF(ISERROR(AO474/AN474-1),"n.a.",AO474/AN474-1)</f>
        <v>0.18764252736688292</v>
      </c>
      <c r="AP475" s="47">
        <f t="shared" ref="AP475" si="3782">IF(ISERROR(AP474/AO474-1),"n.a.",AP474/AO474-1)</f>
        <v>-9.8322832497990009E-2</v>
      </c>
      <c r="AQ475" s="47">
        <f t="shared" ref="AQ475" si="3783">IF(ISERROR(AQ474/AP474-1),"n.a.",AQ474/AP474-1)</f>
        <v>0.1695488870812083</v>
      </c>
      <c r="AR475" s="47">
        <f t="shared" ref="AR475" si="3784">IF(ISERROR(AR474/AQ474-1),"n.a.",AR474/AQ474-1)</f>
        <v>-8.7343203440592099E-2</v>
      </c>
      <c r="AS475" s="47">
        <f t="shared" ref="AS475" si="3785">IF(ISERROR(AS474/AR474-1),"n.a.",AS474/AR474-1)</f>
        <v>0.13679564166270852</v>
      </c>
      <c r="AT475" s="19"/>
      <c r="AU475" s="47" t="str">
        <f t="shared" ref="AU475:AV475" si="3786">IF(ISERROR(AU474/AT474-1),"n.a.",AU474/AT474-1)</f>
        <v>n.a.</v>
      </c>
      <c r="AV475" s="47">
        <f t="shared" si="3786"/>
        <v>5.8577999884176668E-2</v>
      </c>
      <c r="AW475" s="47">
        <f t="shared" ref="AW475" si="3787">IF(ISERROR(AW474/AV474-1),"n.a.",AW474/AV474-1)</f>
        <v>0.49064242876020914</v>
      </c>
      <c r="AX475" s="47">
        <f t="shared" ref="AX475" si="3788">IF(ISERROR(AX474/AW474-1),"n.a.",AX474/AW474-1)</f>
        <v>0.14697348175807945</v>
      </c>
      <c r="AY475" s="47">
        <f t="shared" ref="AY475" si="3789">IF(ISERROR(AY474/AX474-1),"n.a.",AY474/AX474-1)</f>
        <v>-0.52795119073554964</v>
      </c>
      <c r="AZ475" s="47">
        <f t="shared" ref="AZ475" si="3790">IF(ISERROR(AZ474/AY474-1),"n.a.",AZ474/AY474-1)</f>
        <v>2.8979982792455283E-2</v>
      </c>
      <c r="BA475" s="47">
        <f t="shared" ref="BA475" si="3791">IF(ISERROR(BA474/AZ474-1),"n.a.",BA474/AZ474-1)</f>
        <v>-0.13102776352703105</v>
      </c>
      <c r="BB475" s="47">
        <f t="shared" ref="BB475" si="3792">IF(ISERROR(BB474/BA474-1),"n.a.",BB474/BA474-1)</f>
        <v>-0.26650854643231325</v>
      </c>
      <c r="BC475" s="47">
        <f t="shared" ref="BC475" si="3793">IF(ISERROR(BC474/BB474-1),"n.a.",BC474/BB474-1)</f>
        <v>0.21631028296756472</v>
      </c>
      <c r="BD475" s="44">
        <f t="shared" ref="BD475" si="3794">IF(ISERROR(BD474/BC474-1),"n.a.",BD474/BC474-1)</f>
        <v>0.52545896542391035</v>
      </c>
      <c r="BE475" s="44">
        <f t="shared" ref="BE475" si="3795">IF(ISERROR(BE474/BD474-1),"n.a.",BE474/BD474-1)</f>
        <v>0.31155634220164075</v>
      </c>
      <c r="BF475" s="44">
        <f t="shared" ref="BF475" si="3796">IF(ISERROR(BF474/BE474-1),"n.a.",BF474/BE474-1)</f>
        <v>0.23929419577177957</v>
      </c>
      <c r="BG475" s="44">
        <f t="shared" ref="BG475" si="3797">IF(ISERROR(BG474/BF474-1),"n.a.",BG474/BF474-1)</f>
        <v>7.4092255892477255E-2</v>
      </c>
      <c r="BH475" s="44">
        <f t="shared" ref="BH475:BJ475" si="3798">IF(ISERROR(BH474/BG474-1),"n.a.",BH474/BG474-1)</f>
        <v>0.15304224438279501</v>
      </c>
      <c r="BI475" s="44">
        <f t="shared" si="3798"/>
        <v>0.16233752237345089</v>
      </c>
      <c r="BJ475" s="44">
        <f t="shared" si="3798"/>
        <v>-0.1149677657666256</v>
      </c>
      <c r="BK475" s="44">
        <f t="shared" ref="BK475" si="3799">IF(ISERROR(BK474/BJ474-1),"n.a.",BK474/BJ474-1)</f>
        <v>7.8605139391484613E-2</v>
      </c>
      <c r="BL475" s="44">
        <f t="shared" ref="BL475:BN475" si="3800">IF(ISERROR(BL474/BK474-1),"n.a.",BL474/BK474-1)</f>
        <v>0.49361600451681809</v>
      </c>
      <c r="BM475" s="44">
        <f t="shared" si="3800"/>
        <v>6.95288550638542E-2</v>
      </c>
      <c r="BN475" s="44">
        <f t="shared" si="3800"/>
        <v>-0.30812201310740661</v>
      </c>
      <c r="BO475" s="49">
        <f t="shared" ref="BO475" si="3801">IF(ISERROR(BO474/BN474-1),"n.a.",BO474/BN474-1)</f>
        <v>7.0319404491848481E-2</v>
      </c>
      <c r="BP475" s="47">
        <f t="shared" ref="BP475" si="3802">IF(ISERROR(BP474/BO474-1),"n.a.",BP474/BO474-1)</f>
        <v>0.12305164022175363</v>
      </c>
      <c r="BQ475" s="47">
        <f t="shared" ref="BQ475" si="3803">IF(ISERROR(BQ474/BP474-1),"n.a.",BQ474/BP474-1)</f>
        <v>0.11280166331889818</v>
      </c>
      <c r="BR475" s="47">
        <f t="shared" ref="BR475" si="3804">IF(ISERROR(BR474/BQ474-1),"n.a.",BR474/BQ474-1)</f>
        <v>0.11034866610752059</v>
      </c>
      <c r="BS475" s="47" t="str">
        <f>IF(ISERROR(BS474/#REF!-1),"n.a.",BS474/#REF!-1)</f>
        <v>n.a.</v>
      </c>
      <c r="BT475" s="47" t="str">
        <f>IF(ISERROR(BT474/#REF!-1),"n.a.",BT474/#REF!-1)</f>
        <v>n.a.</v>
      </c>
    </row>
    <row r="476" spans="1:72" ht="12" customHeight="1" outlineLevel="1">
      <c r="A476" s="91" t="s">
        <v>379</v>
      </c>
      <c r="B476" s="87" t="s">
        <v>478</v>
      </c>
      <c r="C476" s="65"/>
      <c r="D476" s="65">
        <f t="shared" ref="D476:AS476" si="3805">(D77-D71)/D104</f>
        <v>2.0446380955554559</v>
      </c>
      <c r="E476" s="65">
        <f t="shared" si="3805"/>
        <v>2.471998358711883</v>
      </c>
      <c r="F476" s="65">
        <f t="shared" si="3805"/>
        <v>1.6873945492948297</v>
      </c>
      <c r="G476" s="65">
        <f t="shared" si="3805"/>
        <v>2.4422927119784155</v>
      </c>
      <c r="H476" s="65">
        <f t="shared" si="3805"/>
        <v>1.4419676338739373</v>
      </c>
      <c r="I476" s="65">
        <f t="shared" si="3805"/>
        <v>2.252948620916134</v>
      </c>
      <c r="J476" s="65">
        <f t="shared" si="3805"/>
        <v>1.8733526785408552</v>
      </c>
      <c r="K476" s="65">
        <f t="shared" si="3805"/>
        <v>3.1238427607231718</v>
      </c>
      <c r="L476" s="65">
        <f t="shared" si="3805"/>
        <v>2.8718082563723422</v>
      </c>
      <c r="M476" s="65">
        <f t="shared" si="3805"/>
        <v>4.7569933322015636</v>
      </c>
      <c r="N476" s="65">
        <f t="shared" si="3805"/>
        <v>4.1474953069313099</v>
      </c>
      <c r="O476" s="65">
        <f t="shared" si="3805"/>
        <v>5.8626298680113642</v>
      </c>
      <c r="P476" s="65">
        <f t="shared" si="3805"/>
        <v>6.294184632826453</v>
      </c>
      <c r="Q476" s="65">
        <f t="shared" si="3805"/>
        <v>5.1182260251149723</v>
      </c>
      <c r="R476" s="65">
        <f t="shared" si="3805"/>
        <v>5.503992271111521</v>
      </c>
      <c r="S476" s="65">
        <f t="shared" si="3805"/>
        <v>5.5440356071149974</v>
      </c>
      <c r="T476" s="65">
        <f t="shared" si="3805"/>
        <v>5.7307079844544946</v>
      </c>
      <c r="U476" s="65">
        <f t="shared" si="3805"/>
        <v>6.1460199294980882</v>
      </c>
      <c r="V476" s="65">
        <f t="shared" si="3805"/>
        <v>5.5017158310208005</v>
      </c>
      <c r="W476" s="65">
        <f t="shared" si="3805"/>
        <v>8.127669649932816</v>
      </c>
      <c r="X476" s="65">
        <f t="shared" si="3805"/>
        <v>6.062381043194863</v>
      </c>
      <c r="Y476" s="65">
        <f t="shared" si="3805"/>
        <v>7.391895292207793</v>
      </c>
      <c r="Z476" s="65">
        <f t="shared" si="3805"/>
        <v>4.9357646522891718</v>
      </c>
      <c r="AA476" s="65">
        <f t="shared" si="3805"/>
        <v>7.8632766174223132</v>
      </c>
      <c r="AB476" s="65">
        <f t="shared" si="3805"/>
        <v>8.4312493322891289</v>
      </c>
      <c r="AC476" s="65">
        <f t="shared" si="3805"/>
        <v>11.174841829802594</v>
      </c>
      <c r="AD476" s="65">
        <f t="shared" si="3805"/>
        <v>8.9534529084350236</v>
      </c>
      <c r="AE476" s="65">
        <f t="shared" si="3805"/>
        <v>11.083301941820787</v>
      </c>
      <c r="AF476" s="65">
        <f t="shared" si="3805"/>
        <v>5.0609452858450519</v>
      </c>
      <c r="AG476" s="65">
        <f t="shared" si="3805"/>
        <v>6.9940272902341754</v>
      </c>
      <c r="AH476" s="65">
        <f t="shared" si="3805"/>
        <v>6.4775857210022885</v>
      </c>
      <c r="AI476" s="65">
        <f t="shared" si="3805"/>
        <v>8.355830913789104</v>
      </c>
      <c r="AJ476" s="73">
        <f t="shared" ref="AJ476" si="3806">(AJ77-AJ71)/AJ104</f>
        <v>6.7672064427100294</v>
      </c>
      <c r="AK476" s="65">
        <f t="shared" si="3805"/>
        <v>10.311726595547261</v>
      </c>
      <c r="AL476" s="65">
        <f t="shared" si="3805"/>
        <v>8.7859933056124166</v>
      </c>
      <c r="AM476" s="65">
        <f t="shared" si="3805"/>
        <v>9.3349296003912663</v>
      </c>
      <c r="AN476" s="65">
        <f t="shared" si="3805"/>
        <v>9.7642822281058823</v>
      </c>
      <c r="AO476" s="65">
        <f t="shared" si="3805"/>
        <v>10.458347812381982</v>
      </c>
      <c r="AP476" s="65">
        <f t="shared" si="3805"/>
        <v>10.492737109244958</v>
      </c>
      <c r="AQ476" s="65">
        <f t="shared" si="3805"/>
        <v>11.092161273103269</v>
      </c>
      <c r="AR476" s="65">
        <f t="shared" si="3805"/>
        <v>11.153029328166602</v>
      </c>
      <c r="AS476" s="65">
        <f t="shared" si="3805"/>
        <v>11.486709368032029</v>
      </c>
      <c r="AT476" s="19"/>
      <c r="AU476" s="65">
        <f t="shared" ref="AU476:BT476" si="3807">(AU77-AU71)/AU104*AU$5</f>
        <v>5.3221331762935966</v>
      </c>
      <c r="AV476" s="65">
        <f t="shared" si="3807"/>
        <v>5.6853495269707404</v>
      </c>
      <c r="AW476" s="65">
        <f t="shared" si="3807"/>
        <v>7.8254169180109523</v>
      </c>
      <c r="AX476" s="65">
        <f t="shared" si="3807"/>
        <v>8.4603396738650343</v>
      </c>
      <c r="AY476" s="65">
        <f t="shared" si="3807"/>
        <v>5.2075514909356544</v>
      </c>
      <c r="AZ476" s="65">
        <f t="shared" si="3807"/>
        <v>4.5285065598744705</v>
      </c>
      <c r="BA476" s="65">
        <f t="shared" si="3807"/>
        <v>4.0660218268402399</v>
      </c>
      <c r="BB476" s="65">
        <f t="shared" si="3807"/>
        <v>3.6928464174995268</v>
      </c>
      <c r="BC476" s="65">
        <f t="shared" si="3807"/>
        <v>4.983929910781896</v>
      </c>
      <c r="BD476" s="65">
        <f t="shared" si="3807"/>
        <v>7.6515529318374016</v>
      </c>
      <c r="BE476" s="65">
        <f t="shared" si="3807"/>
        <v>10.028298186658898</v>
      </c>
      <c r="BF476" s="65">
        <f t="shared" si="3807"/>
        <v>11.390851175561867</v>
      </c>
      <c r="BG476" s="65">
        <f t="shared" si="3807"/>
        <v>11.047894678564182</v>
      </c>
      <c r="BH476" s="65">
        <f t="shared" si="3807"/>
        <v>11.876865373343216</v>
      </c>
      <c r="BI476" s="65">
        <f t="shared" si="3807"/>
        <v>13.638691632996938</v>
      </c>
      <c r="BJ476" s="65">
        <f t="shared" si="3807"/>
        <v>13.486003576395721</v>
      </c>
      <c r="BK476" s="65">
        <f t="shared" si="3807"/>
        <v>12.808551420215853</v>
      </c>
      <c r="BL476" s="65">
        <f t="shared" si="3807"/>
        <v>19.659912194391364</v>
      </c>
      <c r="BM476" s="65">
        <f t="shared" si="3807"/>
        <v>20.098598823996593</v>
      </c>
      <c r="BN476" s="65">
        <f t="shared" si="3807"/>
        <v>12.068284797744374</v>
      </c>
      <c r="BO476" s="73">
        <f t="shared" si="3807"/>
        <v>14.839321567210025</v>
      </c>
      <c r="BP476" s="65">
        <f t="shared" si="3807"/>
        <v>17.075593177158996</v>
      </c>
      <c r="BQ476" s="65">
        <f t="shared" si="3807"/>
        <v>18.120024261848179</v>
      </c>
      <c r="BR476" s="65">
        <f t="shared" si="3807"/>
        <v>20.222630040487861</v>
      </c>
      <c r="BS476" s="65">
        <f t="shared" si="3807"/>
        <v>21.584898382348236</v>
      </c>
      <c r="BT476" s="65">
        <f t="shared" si="3807"/>
        <v>22.639738696198631</v>
      </c>
    </row>
    <row r="477" spans="1:72" ht="12" customHeight="1" outlineLevel="1">
      <c r="A477" s="91" t="s">
        <v>301</v>
      </c>
      <c r="B477" s="87" t="s">
        <v>479</v>
      </c>
      <c r="C477" s="19"/>
      <c r="D477" s="177">
        <f t="shared" ref="D477:AS477" si="3808">D36</f>
        <v>0.84572400000000003</v>
      </c>
      <c r="E477" s="177">
        <f t="shared" si="3808"/>
        <v>0.98340000000000005</v>
      </c>
      <c r="F477" s="177">
        <f t="shared" si="3808"/>
        <v>0.84572400000000003</v>
      </c>
      <c r="G477" s="177">
        <f t="shared" si="3808"/>
        <v>0.98340000000000005</v>
      </c>
      <c r="H477" s="177">
        <f t="shared" si="3808"/>
        <v>0.63921000000000006</v>
      </c>
      <c r="I477" s="177">
        <f t="shared" si="3808"/>
        <v>0.73755000000000004</v>
      </c>
      <c r="J477" s="177">
        <f t="shared" si="3808"/>
        <v>0.73755000000000004</v>
      </c>
      <c r="K477" s="177">
        <f t="shared" si="3808"/>
        <v>1.22925</v>
      </c>
      <c r="L477" s="177">
        <f t="shared" si="3808"/>
        <v>0.98340000000000005</v>
      </c>
      <c r="M477" s="177">
        <f t="shared" si="3808"/>
        <v>2.7563000000000004</v>
      </c>
      <c r="N477" s="177">
        <f t="shared" si="3808"/>
        <v>1.3</v>
      </c>
      <c r="O477" s="177">
        <f t="shared" si="3808"/>
        <v>2</v>
      </c>
      <c r="P477" s="177">
        <f t="shared" si="3808"/>
        <v>1.6</v>
      </c>
      <c r="Q477" s="177">
        <f t="shared" si="3808"/>
        <v>2.4</v>
      </c>
      <c r="R477" s="177">
        <f t="shared" si="3808"/>
        <v>1.9</v>
      </c>
      <c r="S477" s="177">
        <f t="shared" si="3808"/>
        <v>2.8</v>
      </c>
      <c r="T477" s="177">
        <f t="shared" si="3808"/>
        <v>2.0499999999999998</v>
      </c>
      <c r="U477" s="177">
        <f t="shared" si="3808"/>
        <v>3.2</v>
      </c>
      <c r="V477" s="177">
        <f t="shared" si="3808"/>
        <v>2.15</v>
      </c>
      <c r="W477" s="177">
        <f t="shared" si="3808"/>
        <v>3.6</v>
      </c>
      <c r="X477" s="177">
        <f t="shared" si="3808"/>
        <v>2.5</v>
      </c>
      <c r="Y477" s="177">
        <f t="shared" si="3808"/>
        <v>1.8</v>
      </c>
      <c r="Z477" s="177">
        <f t="shared" si="3808"/>
        <v>1.35</v>
      </c>
      <c r="AA477" s="177">
        <f t="shared" si="3808"/>
        <v>3.35</v>
      </c>
      <c r="AB477" s="177">
        <f t="shared" si="3808"/>
        <v>2.72</v>
      </c>
      <c r="AC477" s="177">
        <f t="shared" si="3808"/>
        <v>3.5</v>
      </c>
      <c r="AD477" s="177">
        <f t="shared" si="3808"/>
        <v>3</v>
      </c>
      <c r="AE477" s="177">
        <f t="shared" si="3808"/>
        <v>4.5</v>
      </c>
      <c r="AF477" s="177">
        <f t="shared" si="3808"/>
        <v>2.5499999999999998</v>
      </c>
      <c r="AG477" s="177">
        <f t="shared" si="3808"/>
        <v>3.85</v>
      </c>
      <c r="AH477" s="177">
        <f t="shared" si="3808"/>
        <v>2.6</v>
      </c>
      <c r="AI477" s="177">
        <f t="shared" si="3808"/>
        <v>3.9</v>
      </c>
      <c r="AJ477" s="178">
        <f t="shared" ref="AJ477" si="3809">AJ36</f>
        <v>2.8</v>
      </c>
      <c r="AK477" s="177">
        <f t="shared" si="3808"/>
        <v>4</v>
      </c>
      <c r="AL477" s="177">
        <f t="shared" si="3808"/>
        <v>3.4</v>
      </c>
      <c r="AM477" s="177">
        <f t="shared" si="3808"/>
        <v>4.2</v>
      </c>
      <c r="AN477" s="177">
        <f t="shared" si="3808"/>
        <v>3.8</v>
      </c>
      <c r="AO477" s="177">
        <f t="shared" si="3808"/>
        <v>4.9000000000000004</v>
      </c>
      <c r="AP477" s="177">
        <f t="shared" si="3808"/>
        <v>3.9</v>
      </c>
      <c r="AQ477" s="177">
        <f t="shared" si="3808"/>
        <v>4.5999999999999996</v>
      </c>
      <c r="AR477" s="177">
        <f t="shared" si="3808"/>
        <v>4.2</v>
      </c>
      <c r="AS477" s="177">
        <f t="shared" si="3808"/>
        <v>5</v>
      </c>
      <c r="AT477" s="177"/>
      <c r="AU477" s="177">
        <f t="shared" ref="AU477:BT477" si="3810">AU36</f>
        <v>1.976634</v>
      </c>
      <c r="AV477" s="177">
        <f t="shared" si="3810"/>
        <v>2.1143100000000001</v>
      </c>
      <c r="AW477" s="177">
        <f t="shared" si="3810"/>
        <v>3.0977100000000002</v>
      </c>
      <c r="AX477" s="177">
        <f t="shared" si="3810"/>
        <v>3.3927300000000002</v>
      </c>
      <c r="AY477" s="177">
        <f t="shared" si="3810"/>
        <v>1.8192900000000001</v>
      </c>
      <c r="AZ477" s="177">
        <f t="shared" si="3810"/>
        <v>1.8291240000000002</v>
      </c>
      <c r="BA477" s="177">
        <f t="shared" si="3810"/>
        <v>1.8291240000000002</v>
      </c>
      <c r="BB477" s="177">
        <f t="shared" si="3810"/>
        <v>1.37676</v>
      </c>
      <c r="BC477" s="177">
        <f t="shared" si="3810"/>
        <v>1.9668000000000001</v>
      </c>
      <c r="BD477" s="177">
        <f t="shared" si="3810"/>
        <v>3.7397000000000005</v>
      </c>
      <c r="BE477" s="177">
        <f t="shared" si="3810"/>
        <v>3.3</v>
      </c>
      <c r="BF477" s="177">
        <f t="shared" si="3810"/>
        <v>4</v>
      </c>
      <c r="BG477" s="177">
        <f t="shared" si="3810"/>
        <v>4.6999999999999993</v>
      </c>
      <c r="BH477" s="177">
        <f t="shared" si="3810"/>
        <v>5.25</v>
      </c>
      <c r="BI477" s="177">
        <f t="shared" si="3810"/>
        <v>5.75</v>
      </c>
      <c r="BJ477" s="177">
        <f t="shared" si="3810"/>
        <v>4.3</v>
      </c>
      <c r="BK477" s="177">
        <f t="shared" si="3810"/>
        <v>4.7</v>
      </c>
      <c r="BL477" s="177">
        <f t="shared" si="3810"/>
        <v>6.2200000000000006</v>
      </c>
      <c r="BM477" s="177">
        <f t="shared" si="3810"/>
        <v>7.5</v>
      </c>
      <c r="BN477" s="177">
        <f t="shared" si="3810"/>
        <v>6.4</v>
      </c>
      <c r="BO477" s="178">
        <f t="shared" si="3810"/>
        <v>6.5</v>
      </c>
      <c r="BP477" s="177">
        <f t="shared" si="3810"/>
        <v>6.8</v>
      </c>
      <c r="BQ477" s="177">
        <f t="shared" si="3810"/>
        <v>7.6</v>
      </c>
      <c r="BR477" s="177">
        <f t="shared" si="3810"/>
        <v>8.6999999999999993</v>
      </c>
      <c r="BS477" s="177">
        <f t="shared" si="3810"/>
        <v>8.5</v>
      </c>
      <c r="BT477" s="177">
        <f t="shared" si="3810"/>
        <v>9.1999999999999993</v>
      </c>
    </row>
    <row r="478" spans="1:72" ht="12" customHeight="1" outlineLevel="1">
      <c r="A478" s="91" t="s">
        <v>1367</v>
      </c>
      <c r="B478" s="87" t="s">
        <v>1368</v>
      </c>
      <c r="C478" s="19"/>
      <c r="D478" s="363">
        <v>0</v>
      </c>
      <c r="E478" s="363">
        <v>0</v>
      </c>
      <c r="F478" s="363">
        <v>0</v>
      </c>
      <c r="G478" s="363">
        <v>0</v>
      </c>
      <c r="H478" s="363">
        <v>0</v>
      </c>
      <c r="I478" s="363">
        <v>0</v>
      </c>
      <c r="J478" s="363">
        <v>0</v>
      </c>
      <c r="K478" s="363">
        <v>0</v>
      </c>
      <c r="L478" s="363">
        <v>0</v>
      </c>
      <c r="M478" s="363">
        <f>3.73*(1-69%)</f>
        <v>1.1563000000000001</v>
      </c>
      <c r="N478" s="161">
        <v>0</v>
      </c>
      <c r="O478" s="161">
        <v>0</v>
      </c>
      <c r="P478" s="161">
        <v>0</v>
      </c>
      <c r="Q478" s="161">
        <v>0</v>
      </c>
      <c r="R478" s="161">
        <v>0</v>
      </c>
      <c r="S478" s="161">
        <v>0</v>
      </c>
      <c r="T478" s="161">
        <v>0</v>
      </c>
      <c r="U478" s="161">
        <v>0</v>
      </c>
      <c r="V478" s="161">
        <v>0</v>
      </c>
      <c r="W478" s="161">
        <v>0</v>
      </c>
      <c r="X478" s="161">
        <v>0</v>
      </c>
      <c r="Y478" s="161">
        <v>0</v>
      </c>
      <c r="Z478" s="161">
        <v>0</v>
      </c>
      <c r="AA478" s="161">
        <v>0</v>
      </c>
      <c r="AB478" s="161">
        <v>0</v>
      </c>
      <c r="AC478" s="161">
        <v>0</v>
      </c>
      <c r="AD478" s="161">
        <v>0</v>
      </c>
      <c r="AE478" s="161">
        <v>0</v>
      </c>
      <c r="AF478" s="161">
        <v>0</v>
      </c>
      <c r="AG478" s="161">
        <v>0</v>
      </c>
      <c r="AH478" s="161">
        <v>0</v>
      </c>
      <c r="AI478" s="161">
        <v>0</v>
      </c>
      <c r="AJ478" s="354">
        <v>0</v>
      </c>
      <c r="AK478" s="98">
        <v>0</v>
      </c>
      <c r="AL478" s="98">
        <v>0</v>
      </c>
      <c r="AM478" s="98">
        <v>0</v>
      </c>
      <c r="AN478" s="98">
        <v>0</v>
      </c>
      <c r="AO478" s="98">
        <v>0</v>
      </c>
      <c r="AP478" s="98">
        <v>0</v>
      </c>
      <c r="AQ478" s="98">
        <v>0</v>
      </c>
      <c r="AR478" s="98">
        <v>0</v>
      </c>
      <c r="AS478" s="98">
        <v>0</v>
      </c>
      <c r="AT478" s="177"/>
      <c r="AU478" s="177">
        <v>0</v>
      </c>
      <c r="AV478" s="177">
        <v>0</v>
      </c>
      <c r="AW478" s="177">
        <v>0</v>
      </c>
      <c r="AX478" s="177">
        <v>0</v>
      </c>
      <c r="AY478" s="177">
        <v>0</v>
      </c>
      <c r="AZ478" s="177">
        <f>D478+E478</f>
        <v>0</v>
      </c>
      <c r="BA478" s="177">
        <f>F478+G478</f>
        <v>0</v>
      </c>
      <c r="BB478" s="177">
        <f>H478+I478</f>
        <v>0</v>
      </c>
      <c r="BC478" s="177">
        <f>J478+K478</f>
        <v>0</v>
      </c>
      <c r="BD478" s="177">
        <f>SUM(L478:M478)</f>
        <v>1.1563000000000001</v>
      </c>
      <c r="BE478" s="177">
        <f>SUM(N478:O478)</f>
        <v>0</v>
      </c>
      <c r="BF478" s="177">
        <f>SUM(P478:Q478)</f>
        <v>0</v>
      </c>
      <c r="BG478" s="177">
        <f>SUM(R478:S478)</f>
        <v>0</v>
      </c>
      <c r="BH478" s="177">
        <f>SUM(T478:U478)</f>
        <v>0</v>
      </c>
      <c r="BI478" s="177">
        <f>SUM(V478:W478)</f>
        <v>0</v>
      </c>
      <c r="BJ478" s="177">
        <f>SUM(X478:Y478)</f>
        <v>0</v>
      </c>
      <c r="BK478" s="177">
        <f>SUM(Z478:AA478)</f>
        <v>0</v>
      </c>
      <c r="BL478" s="177">
        <f>SUM(AB478:AC478)</f>
        <v>0</v>
      </c>
      <c r="BM478" s="177">
        <f>SUM(AD478:AE478)</f>
        <v>0</v>
      </c>
      <c r="BN478" s="177">
        <f>SUM(AF478:AG478)</f>
        <v>0</v>
      </c>
      <c r="BO478" s="178">
        <f>SUM(AH478:AI478)</f>
        <v>0</v>
      </c>
      <c r="BP478" s="177">
        <f>SUM(AJ478:AK478)</f>
        <v>0</v>
      </c>
      <c r="BQ478" s="177">
        <f>SUM(AL478:AM478)</f>
        <v>0</v>
      </c>
      <c r="BR478" s="177">
        <f>SUM(AN478:AO478)</f>
        <v>0</v>
      </c>
      <c r="BS478" s="177">
        <f>SUM(AP478:AQ478)</f>
        <v>0</v>
      </c>
      <c r="BT478" s="177">
        <f>SUM(AR478:AS478)</f>
        <v>0</v>
      </c>
    </row>
    <row r="479" spans="1:72" ht="12" customHeight="1" outlineLevel="1">
      <c r="A479" s="91" t="s">
        <v>480</v>
      </c>
      <c r="B479" s="87" t="s">
        <v>481</v>
      </c>
      <c r="C479" s="19"/>
      <c r="D479" s="177">
        <f t="shared" ref="D479:AS479" si="3811">D477*(1+1/(1-D29)*D29*D39)</f>
        <v>0.84572400000000003</v>
      </c>
      <c r="E479" s="177">
        <f t="shared" si="3811"/>
        <v>0.98340000000000005</v>
      </c>
      <c r="F479" s="177">
        <f t="shared" si="3811"/>
        <v>0.84572400000000003</v>
      </c>
      <c r="G479" s="177">
        <f t="shared" si="3811"/>
        <v>0.98340000000000005</v>
      </c>
      <c r="H479" s="177">
        <f t="shared" si="3811"/>
        <v>0.63921000000000006</v>
      </c>
      <c r="I479" s="177">
        <f t="shared" si="3811"/>
        <v>0.73755000000000004</v>
      </c>
      <c r="J479" s="177">
        <f t="shared" si="3811"/>
        <v>0.73755000000000004</v>
      </c>
      <c r="K479" s="177">
        <f t="shared" si="3811"/>
        <v>1.4399785714285716</v>
      </c>
      <c r="L479" s="177">
        <f t="shared" si="3811"/>
        <v>1.1519828571428572</v>
      </c>
      <c r="M479" s="177">
        <f t="shared" si="3811"/>
        <v>3.2288085714285719</v>
      </c>
      <c r="N479" s="177">
        <f t="shared" si="3811"/>
        <v>1.5228571428571429</v>
      </c>
      <c r="O479" s="177">
        <f t="shared" si="3811"/>
        <v>2.342857142857143</v>
      </c>
      <c r="P479" s="177">
        <f t="shared" si="3811"/>
        <v>1.8742857142857146</v>
      </c>
      <c r="Q479" s="177">
        <f t="shared" si="3811"/>
        <v>2.8114285714285714</v>
      </c>
      <c r="R479" s="177">
        <f t="shared" si="3811"/>
        <v>2.2664285714285715</v>
      </c>
      <c r="S479" s="177">
        <f t="shared" si="3811"/>
        <v>3.34</v>
      </c>
      <c r="T479" s="177">
        <f t="shared" si="3811"/>
        <v>2.4453571428571426</v>
      </c>
      <c r="U479" s="177">
        <f t="shared" si="3811"/>
        <v>3.8171428571428572</v>
      </c>
      <c r="V479" s="177">
        <f t="shared" si="3811"/>
        <v>2.5646428571428568</v>
      </c>
      <c r="W479" s="177">
        <f t="shared" si="3811"/>
        <v>4.2942857142857145</v>
      </c>
      <c r="X479" s="177">
        <f t="shared" si="3811"/>
        <v>2.9285714285714288</v>
      </c>
      <c r="Y479" s="177">
        <f t="shared" si="3811"/>
        <v>2.1085714285714285</v>
      </c>
      <c r="Z479" s="177">
        <f t="shared" si="3811"/>
        <v>1.5814285714285716</v>
      </c>
      <c r="AA479" s="177">
        <f t="shared" si="3811"/>
        <v>3.9242857142857144</v>
      </c>
      <c r="AB479" s="177">
        <f t="shared" si="3811"/>
        <v>3.1862857142857148</v>
      </c>
      <c r="AC479" s="177">
        <f t="shared" si="3811"/>
        <v>4.1000000000000005</v>
      </c>
      <c r="AD479" s="177">
        <f t="shared" si="3811"/>
        <v>3.5142857142857142</v>
      </c>
      <c r="AE479" s="177">
        <f t="shared" si="3811"/>
        <v>5.2714285714285714</v>
      </c>
      <c r="AF479" s="177">
        <f t="shared" si="3811"/>
        <v>2.9871428571428571</v>
      </c>
      <c r="AG479" s="177">
        <f t="shared" si="3811"/>
        <v>4.5100000000000007</v>
      </c>
      <c r="AH479" s="177">
        <f t="shared" si="3811"/>
        <v>2.9899999999999998</v>
      </c>
      <c r="AI479" s="177">
        <f t="shared" si="3811"/>
        <v>4.4849999999999994</v>
      </c>
      <c r="AJ479" s="178">
        <f t="shared" ref="AJ479" si="3812">AJ477*(1+1/(1-AJ29)*AJ29*AJ39)</f>
        <v>3.2199999999999998</v>
      </c>
      <c r="AK479" s="177">
        <f t="shared" si="3811"/>
        <v>4.5999999999999996</v>
      </c>
      <c r="AL479" s="177">
        <f t="shared" si="3811"/>
        <v>3.9099999999999997</v>
      </c>
      <c r="AM479" s="177">
        <f t="shared" si="3811"/>
        <v>4.83</v>
      </c>
      <c r="AN479" s="177">
        <f t="shared" si="3811"/>
        <v>4.3699999999999992</v>
      </c>
      <c r="AO479" s="177">
        <f t="shared" si="3811"/>
        <v>5.6349999999999998</v>
      </c>
      <c r="AP479" s="177">
        <f t="shared" si="3811"/>
        <v>4.4849999999999994</v>
      </c>
      <c r="AQ479" s="177">
        <f t="shared" si="3811"/>
        <v>5.2899999999999991</v>
      </c>
      <c r="AR479" s="177">
        <f t="shared" si="3811"/>
        <v>4.83</v>
      </c>
      <c r="AS479" s="177">
        <f t="shared" si="3811"/>
        <v>5.75</v>
      </c>
      <c r="AT479" s="177"/>
      <c r="AU479" s="177">
        <f t="shared" ref="AU479:BT479" si="3813">AU477*(1+1/(1-AU29)*AU29*AU39)</f>
        <v>2.7390499714285714</v>
      </c>
      <c r="AV479" s="177">
        <f t="shared" si="3813"/>
        <v>2.9825117142857147</v>
      </c>
      <c r="AW479" s="177">
        <f t="shared" si="3813"/>
        <v>4.4253</v>
      </c>
      <c r="AX479" s="177">
        <f t="shared" si="3813"/>
        <v>4.8467571428571432</v>
      </c>
      <c r="AY479" s="177">
        <f t="shared" si="3813"/>
        <v>2.4093300000000002</v>
      </c>
      <c r="AZ479" s="177">
        <f t="shared" si="3813"/>
        <v>1.8291240000000002</v>
      </c>
      <c r="BA479" s="177">
        <f t="shared" si="3813"/>
        <v>1.8291240000000002</v>
      </c>
      <c r="BB479" s="177">
        <f t="shared" si="3813"/>
        <v>1.37676</v>
      </c>
      <c r="BC479" s="177">
        <f t="shared" si="3813"/>
        <v>2.1775285714285717</v>
      </c>
      <c r="BD479" s="177">
        <f t="shared" si="3813"/>
        <v>4.3807914285714293</v>
      </c>
      <c r="BE479" s="177">
        <f t="shared" si="3813"/>
        <v>3.8657142857142857</v>
      </c>
      <c r="BF479" s="177">
        <f t="shared" si="3813"/>
        <v>4.6857142857142859</v>
      </c>
      <c r="BG479" s="177">
        <f t="shared" si="3813"/>
        <v>5.6064285714285704</v>
      </c>
      <c r="BH479" s="177">
        <f t="shared" si="3813"/>
        <v>6.2625000000000002</v>
      </c>
      <c r="BI479" s="177">
        <f t="shared" si="3813"/>
        <v>6.8589285714285717</v>
      </c>
      <c r="BJ479" s="177">
        <f t="shared" si="3813"/>
        <v>5.0371428571428574</v>
      </c>
      <c r="BK479" s="177">
        <f t="shared" si="3813"/>
        <v>5.5057142857142862</v>
      </c>
      <c r="BL479" s="177">
        <f t="shared" si="3813"/>
        <v>7.2862857142857154</v>
      </c>
      <c r="BM479" s="177">
        <f t="shared" si="3813"/>
        <v>8.7857142857142865</v>
      </c>
      <c r="BN479" s="177">
        <f t="shared" si="3813"/>
        <v>7.4971428571428582</v>
      </c>
      <c r="BO479" s="178">
        <f t="shared" si="3813"/>
        <v>7.4749999999999996</v>
      </c>
      <c r="BP479" s="177">
        <f t="shared" si="3813"/>
        <v>7.8199999999999994</v>
      </c>
      <c r="BQ479" s="177">
        <f t="shared" si="3813"/>
        <v>8.7399999999999984</v>
      </c>
      <c r="BR479" s="177">
        <f t="shared" si="3813"/>
        <v>10.004999999999999</v>
      </c>
      <c r="BS479" s="177">
        <f t="shared" si="3813"/>
        <v>9.7749999999999986</v>
      </c>
      <c r="BT479" s="177">
        <f t="shared" si="3813"/>
        <v>10.579999999999998</v>
      </c>
    </row>
    <row r="480" spans="1:72" ht="12" customHeight="1" outlineLevel="1">
      <c r="A480" s="91" t="s">
        <v>482</v>
      </c>
      <c r="B480" s="87" t="s">
        <v>483</v>
      </c>
      <c r="C480" s="65" t="str">
        <f>IF(ISERROR(C355*C$5/C104),"n.a.",C355*C$5/C104)</f>
        <v>n.a.</v>
      </c>
      <c r="D480" s="65">
        <f t="shared" ref="D480:V480" si="3814">IF(ISERROR(D355/D104),"n.a.",D355/D104)</f>
        <v>-3.2597020618433139</v>
      </c>
      <c r="E480" s="65">
        <f t="shared" si="3814"/>
        <v>0.18970471465911734</v>
      </c>
      <c r="F480" s="65">
        <f t="shared" si="3814"/>
        <v>1.498924651991393</v>
      </c>
      <c r="G480" s="65">
        <f t="shared" si="3814"/>
        <v>0.90477187635035727</v>
      </c>
      <c r="H480" s="65">
        <f t="shared" si="3814"/>
        <v>1.7297615899069891</v>
      </c>
      <c r="I480" s="65">
        <f t="shared" si="3814"/>
        <v>0.77209484197393619</v>
      </c>
      <c r="J480" s="65">
        <f t="shared" si="3814"/>
        <v>2.3068557777073342</v>
      </c>
      <c r="K480" s="65">
        <f t="shared" si="3814"/>
        <v>1.3139722835802219</v>
      </c>
      <c r="L480" s="65">
        <f t="shared" si="3814"/>
        <v>2.9987390080352081</v>
      </c>
      <c r="M480" s="65">
        <f t="shared" si="3814"/>
        <v>4.5848543946410336</v>
      </c>
      <c r="N480" s="65">
        <f t="shared" si="3814"/>
        <v>3.0674536719018506</v>
      </c>
      <c r="O480" s="65">
        <f t="shared" si="3814"/>
        <v>2.0173561960787403</v>
      </c>
      <c r="P480" s="65">
        <f t="shared" si="3814"/>
        <v>2.9523106436326638</v>
      </c>
      <c r="Q480" s="65">
        <f t="shared" si="3814"/>
        <v>0.91150781720223806</v>
      </c>
      <c r="R480" s="65">
        <f t="shared" si="3814"/>
        <v>3.3578402197273456</v>
      </c>
      <c r="S480" s="65">
        <f t="shared" si="3814"/>
        <v>2.9634597967285106</v>
      </c>
      <c r="T480" s="65">
        <f t="shared" si="3814"/>
        <v>3.3216996442937754</v>
      </c>
      <c r="U480" s="65">
        <f t="shared" si="3814"/>
        <v>3.373495818156965</v>
      </c>
      <c r="V480" s="65">
        <f t="shared" si="3814"/>
        <v>3.6575135002406669</v>
      </c>
      <c r="W480" s="65">
        <f t="shared" ref="W480:X480" si="3815">IF(ISERROR(W355/W104),"n.a.",W355/W104)</f>
        <v>3.7711401256701165</v>
      </c>
      <c r="X480" s="65">
        <f t="shared" si="3815"/>
        <v>-0.54834068051130902</v>
      </c>
      <c r="Y480" s="65">
        <f t="shared" ref="Y480:Z480" si="3816">IF(ISERROR(Y355/Y104),"n.a.",Y355/Y104)</f>
        <v>1.8722215909090911</v>
      </c>
      <c r="Z480" s="65">
        <f t="shared" si="3816"/>
        <v>-0.89714781032785529</v>
      </c>
      <c r="AA480" s="65">
        <f t="shared" ref="AA480:AB480" si="3817">IF(ISERROR(AA355/AA104),"n.a.",AA355/AA104)</f>
        <v>3.351466123280693</v>
      </c>
      <c r="AB480" s="65">
        <f t="shared" si="3817"/>
        <v>-9.6682117132489157E-2</v>
      </c>
      <c r="AC480" s="65">
        <f t="shared" ref="AC480:AD480" si="3818">IF(ISERROR(AC355/AC104),"n.a.",AC355/AC104)</f>
        <v>-4.1710651355912693</v>
      </c>
      <c r="AD480" s="65">
        <f t="shared" si="3818"/>
        <v>1.8128445689679844</v>
      </c>
      <c r="AE480" s="65">
        <f t="shared" ref="AE480:AF480" si="3819">IF(ISERROR(AE355/AE104),"n.a.",AE355/AE104)</f>
        <v>4.6511242902026249</v>
      </c>
      <c r="AF480" s="65">
        <f t="shared" si="3819"/>
        <v>2.6520001444502888</v>
      </c>
      <c r="AG480" s="65">
        <f t="shared" ref="AG480:AH480" si="3820">IF(ISERROR(AG355/AG104),"n.a.",AG355/AG104)</f>
        <v>5.710570482037892</v>
      </c>
      <c r="AH480" s="65">
        <f t="shared" si="3820"/>
        <v>3.7030380428664014</v>
      </c>
      <c r="AI480" s="65">
        <f t="shared" ref="AI480:AJ480" si="3821">IF(ISERROR(AI355/AI104),"n.a.",AI355/AI104)</f>
        <v>4.0453482997735932</v>
      </c>
      <c r="AJ480" s="73">
        <f t="shared" si="3821"/>
        <v>2.9108740609215675</v>
      </c>
      <c r="AK480" s="65">
        <f t="shared" ref="AK480" si="3822">IF(ISERROR(AK355/AK104),"n.a.",AK355/AK104)</f>
        <v>5.041776072313076</v>
      </c>
      <c r="AL480" s="65">
        <f t="shared" ref="AL480:AM480" si="3823">IF(ISERROR(AL355/AL104),"n.a.",AL355/AL104)</f>
        <v>4.4228231237067641</v>
      </c>
      <c r="AM480" s="65">
        <f t="shared" si="3823"/>
        <v>5.2565182024824653</v>
      </c>
      <c r="AN480" s="65">
        <f t="shared" ref="AN480:AO480" si="3824">IF(ISERROR(AN355/AN104),"n.a.",AN355/AN104)</f>
        <v>3.950471939822128</v>
      </c>
      <c r="AO480" s="65">
        <f t="shared" si="3824"/>
        <v>5.094029606612744</v>
      </c>
      <c r="AP480" s="65">
        <f t="shared" ref="AP480:AQ480" si="3825">IF(ISERROR(AP355/AP104),"n.a.",AP355/AP104)</f>
        <v>4.054431727712184</v>
      </c>
      <c r="AQ480" s="65">
        <f t="shared" si="3825"/>
        <v>4.7821502429425751</v>
      </c>
      <c r="AR480" s="65">
        <f t="shared" ref="AR480:AS480" si="3826">IF(ISERROR(AR355/AR104),"n.a.",AR355/AR104)</f>
        <v>4.366311091382352</v>
      </c>
      <c r="AS480" s="65">
        <f t="shared" si="3826"/>
        <v>5.1979893945028</v>
      </c>
      <c r="AT480" s="65"/>
      <c r="AU480" s="65">
        <f t="shared" ref="AU480:BM480" si="3827">IF(ISERROR(AU355*AU$5/AU104),"n.a.",AU355*AU$5/AU104)</f>
        <v>0</v>
      </c>
      <c r="AV480" s="65">
        <f t="shared" si="3827"/>
        <v>1.3149788021564979</v>
      </c>
      <c r="AW480" s="65">
        <f t="shared" si="3827"/>
        <v>-1.1491592933461205</v>
      </c>
      <c r="AX480" s="65">
        <f t="shared" si="3827"/>
        <v>-1.8252094670378955</v>
      </c>
      <c r="AY480" s="65">
        <f t="shared" si="3827"/>
        <v>0.15378004402763007</v>
      </c>
      <c r="AZ480" s="65">
        <f t="shared" si="3827"/>
        <v>-2.9450287694018078</v>
      </c>
      <c r="BA480" s="65">
        <f t="shared" si="3827"/>
        <v>2.3686974902607547</v>
      </c>
      <c r="BB480" s="65">
        <f t="shared" si="3827"/>
        <v>2.505000867896666</v>
      </c>
      <c r="BC480" s="65">
        <f t="shared" si="3827"/>
        <v>3.6300769299986082</v>
      </c>
      <c r="BD480" s="65">
        <f t="shared" si="3827"/>
        <v>7.6123477075922912</v>
      </c>
      <c r="BE480" s="65">
        <f t="shared" si="3827"/>
        <v>5.0762178509250298</v>
      </c>
      <c r="BF480" s="65">
        <f t="shared" si="3827"/>
        <v>3.8339783282470701</v>
      </c>
      <c r="BG480" s="65">
        <f t="shared" si="3827"/>
        <v>6.3210896836204311</v>
      </c>
      <c r="BH480" s="65">
        <f t="shared" si="3827"/>
        <v>6.6950789402214106</v>
      </c>
      <c r="BI480" s="65">
        <f t="shared" si="3827"/>
        <v>7.4319912768175209</v>
      </c>
      <c r="BJ480" s="65">
        <f t="shared" si="3827"/>
        <v>1.3744080191342323</v>
      </c>
      <c r="BK480" s="65">
        <f t="shared" si="3827"/>
        <v>2.471521431795205</v>
      </c>
      <c r="BL480" s="65">
        <f t="shared" si="3827"/>
        <v>-4.3459340520518932</v>
      </c>
      <c r="BM480" s="65">
        <f t="shared" si="3827"/>
        <v>6.4916908637807964</v>
      </c>
      <c r="BN480" s="65">
        <f t="shared" ref="BN480:BO480" si="3828">IF(ISERROR(BN355*BN$5/BN104),"n.a.",BN355*BN$5/BN104)</f>
        <v>8.3695464011280816</v>
      </c>
      <c r="BO480" s="73">
        <f t="shared" si="3828"/>
        <v>7.7517620122688582</v>
      </c>
      <c r="BP480" s="65">
        <f t="shared" ref="BP480:BQ480" si="3829">IF(ISERROR(BP355*BP$5/BP104),"n.a.",BP355*BP$5/BP104)</f>
        <v>7.9506362126427295</v>
      </c>
      <c r="BQ480" s="65">
        <f t="shared" si="3829"/>
        <v>9.6778885344308758</v>
      </c>
      <c r="BR480" s="65">
        <f t="shared" ref="BR480:BT480" si="3830">IF(ISERROR(BR355*BR$5/BR104),"n.a.",BR355*BR$5/BR104)</f>
        <v>9.044501546434871</v>
      </c>
      <c r="BS480" s="65">
        <f t="shared" si="3830"/>
        <v>8.8365819706547573</v>
      </c>
      <c r="BT480" s="65">
        <f t="shared" si="3830"/>
        <v>9.5643004858851484</v>
      </c>
    </row>
    <row r="481" spans="1:72" ht="12" customHeight="1" outlineLevel="1">
      <c r="A481" s="91" t="s">
        <v>484</v>
      </c>
      <c r="B481" s="87" t="s">
        <v>485</v>
      </c>
      <c r="C481" s="65" t="str">
        <f>IF(ISERROR(C357*C$5/C104),"n.a.",C357*C$5/C104)</f>
        <v>n.a.</v>
      </c>
      <c r="D481" s="65">
        <f t="shared" ref="D481:V481" si="3831">IF(ISERROR(D357/D104),"n.a.",D357/D104)</f>
        <v>-3.2597020618433139</v>
      </c>
      <c r="E481" s="65">
        <f t="shared" si="3831"/>
        <v>0.18970471465911734</v>
      </c>
      <c r="F481" s="65">
        <f t="shared" si="3831"/>
        <v>1.498924651991393</v>
      </c>
      <c r="G481" s="65">
        <f t="shared" si="3831"/>
        <v>0.90477187635035727</v>
      </c>
      <c r="H481" s="65">
        <f t="shared" si="3831"/>
        <v>1.7297615899069891</v>
      </c>
      <c r="I481" s="65">
        <f t="shared" si="3831"/>
        <v>0.77209484197393619</v>
      </c>
      <c r="J481" s="65">
        <f t="shared" si="3831"/>
        <v>2.3068557777073342</v>
      </c>
      <c r="K481" s="65">
        <f t="shared" si="3831"/>
        <v>1.4500983682335467</v>
      </c>
      <c r="L481" s="65">
        <f t="shared" si="3831"/>
        <v>3.2402700954851182</v>
      </c>
      <c r="M481" s="65">
        <f t="shared" si="3831"/>
        <v>4.7598686199498275</v>
      </c>
      <c r="N481" s="65">
        <f t="shared" si="3831"/>
        <v>3.2920713769209642</v>
      </c>
      <c r="O481" s="65">
        <f t="shared" si="3831"/>
        <v>2.2453663489629139</v>
      </c>
      <c r="P481" s="65">
        <f t="shared" si="3831"/>
        <v>3.1314637892796173</v>
      </c>
      <c r="Q481" s="65">
        <f t="shared" si="3831"/>
        <v>1.1744086874833666</v>
      </c>
      <c r="R481" s="65">
        <f t="shared" si="3831"/>
        <v>3.5906819204130769</v>
      </c>
      <c r="S481" s="65">
        <f t="shared" si="3831"/>
        <v>3.3063744303499525</v>
      </c>
      <c r="T481" s="65">
        <f t="shared" si="3831"/>
        <v>3.572077744184154</v>
      </c>
      <c r="U481" s="65">
        <f t="shared" si="3831"/>
        <v>3.7638574771151281</v>
      </c>
      <c r="V481" s="65">
        <f t="shared" si="3831"/>
        <v>3.9184555529303755</v>
      </c>
      <c r="W481" s="65">
        <f t="shared" ref="W481:X481" si="3832">IF(ISERROR(W357/W104),"n.a.",W357/W104)</f>
        <v>4.2075149116405157</v>
      </c>
      <c r="X481" s="65">
        <f t="shared" si="3832"/>
        <v>-0.26980287019060833</v>
      </c>
      <c r="Y481" s="65">
        <f t="shared" ref="Y481:Z481" si="3833">IF(ISERROR(Y357/Y104),"n.a.",Y357/Y104)</f>
        <v>2.0647929545454544</v>
      </c>
      <c r="Z481" s="65">
        <f t="shared" si="3833"/>
        <v>-0.7520114433422227</v>
      </c>
      <c r="AA481" s="65">
        <f t="shared" ref="AA481:AB481" si="3834">IF(ISERROR(AA357/AA104),"n.a.",AA357/AA104)</f>
        <v>3.7092190903136601</v>
      </c>
      <c r="AB481" s="65">
        <f t="shared" si="3834"/>
        <v>0.20194375659202946</v>
      </c>
      <c r="AC481" s="65">
        <f t="shared" ref="AC481:AD481" si="3835">IF(ISERROR(AC357/AC104),"n.a.",AC357/AC104)</f>
        <v>-3.7941209589957658</v>
      </c>
      <c r="AD481" s="65">
        <f t="shared" si="3835"/>
        <v>2.1340851037015232</v>
      </c>
      <c r="AE481" s="65">
        <f t="shared" ref="AE481:AF481" si="3836">IF(ISERROR(AE357/AE104),"n.a.",AE357/AE104)</f>
        <v>5.1295256457663232</v>
      </c>
      <c r="AF481" s="65">
        <f t="shared" si="3836"/>
        <v>2.9247773021651757</v>
      </c>
      <c r="AG481" s="65">
        <f t="shared" ref="AG481:AH481" si="3837">IF(ISERROR(AG357/AG104),"n.a.",AG357/AG104)</f>
        <v>6.1185844185313938</v>
      </c>
      <c r="AH481" s="65">
        <f t="shared" si="3837"/>
        <v>3.9456198049223175</v>
      </c>
      <c r="AI481" s="65">
        <f t="shared" ref="AI481:AJ481" si="3838">IF(ISERROR(AI357/AI104),"n.a.",AI357/AI104)</f>
        <v>4.4094296467532166</v>
      </c>
      <c r="AJ481" s="73">
        <f t="shared" si="3838"/>
        <v>3.1728527264045092</v>
      </c>
      <c r="AK481" s="65">
        <f t="shared" ref="AK481" si="3839">IF(ISERROR(AK357/AK104),"n.a.",AK357/AK104)</f>
        <v>5.4153159004778839</v>
      </c>
      <c r="AL481" s="65">
        <f t="shared" ref="AL481:AM481" si="3840">IF(ISERROR(AL357/AL104),"n.a.",AL357/AL104)</f>
        <v>4.7403559719647497</v>
      </c>
      <c r="AM481" s="65">
        <f t="shared" si="3840"/>
        <v>5.6487932352662815</v>
      </c>
      <c r="AN481" s="65">
        <f t="shared" ref="AN481:AO481" si="3841">IF(ISERROR(AN357/AN104),"n.a.",AN357/AN104)</f>
        <v>4.3060144144061194</v>
      </c>
      <c r="AO481" s="65">
        <f t="shared" si="3841"/>
        <v>5.5524922712078908</v>
      </c>
      <c r="AP481" s="65">
        <f t="shared" ref="AP481:AQ481" si="3842">IF(ISERROR(AP357/AP104),"n.a.",AP357/AP104)</f>
        <v>4.4193305832062801</v>
      </c>
      <c r="AQ481" s="65">
        <f t="shared" si="3842"/>
        <v>5.2125437648074069</v>
      </c>
      <c r="AR481" s="65">
        <f t="shared" ref="AR481:AS481" si="3843">IF(ISERROR(AR357/AR104),"n.a.",AR357/AR104)</f>
        <v>4.7592790896067632</v>
      </c>
      <c r="AS481" s="65">
        <f t="shared" si="3843"/>
        <v>5.6658084400080515</v>
      </c>
      <c r="AT481" s="65"/>
      <c r="AU481" s="65">
        <f t="shared" ref="AU481:BM481" si="3844">IF(ISERROR(AU357*AU$5/AU104),"n.a.",AU357*AU$5/AU104)</f>
        <v>0</v>
      </c>
      <c r="AV481" s="65">
        <f t="shared" si="3844"/>
        <v>1.9523567627311766</v>
      </c>
      <c r="AW481" s="65">
        <f t="shared" si="3844"/>
        <v>-0.24937267908005298</v>
      </c>
      <c r="AX481" s="65">
        <f t="shared" si="3844"/>
        <v>-0.9203904824622241</v>
      </c>
      <c r="AY481" s="65">
        <f t="shared" si="3844"/>
        <v>0.43194433988301412</v>
      </c>
      <c r="AZ481" s="65">
        <f t="shared" si="3844"/>
        <v>-2.9450287694018078</v>
      </c>
      <c r="BA481" s="65">
        <f t="shared" si="3844"/>
        <v>2.3686974902607547</v>
      </c>
      <c r="BB481" s="65">
        <f t="shared" si="3844"/>
        <v>2.505000867896666</v>
      </c>
      <c r="BC481" s="65">
        <f t="shared" si="3844"/>
        <v>3.7648279584521558</v>
      </c>
      <c r="BD481" s="65">
        <f t="shared" si="3844"/>
        <v>8.0337478607640218</v>
      </c>
      <c r="BE481" s="65">
        <f t="shared" si="3844"/>
        <v>5.5289794816206976</v>
      </c>
      <c r="BF481" s="65">
        <f t="shared" si="3844"/>
        <v>4.2769714911882382</v>
      </c>
      <c r="BG481" s="65">
        <f t="shared" si="3844"/>
        <v>6.8968737838797285</v>
      </c>
      <c r="BH481" s="65">
        <f t="shared" si="3844"/>
        <v>7.3359512289569837</v>
      </c>
      <c r="BI481" s="65">
        <f t="shared" si="3844"/>
        <v>8.1298383267386285</v>
      </c>
      <c r="BJ481" s="65">
        <f t="shared" si="3844"/>
        <v>1.8438845350151682</v>
      </c>
      <c r="BK481" s="65">
        <f t="shared" si="3844"/>
        <v>2.9751914835799962</v>
      </c>
      <c r="BL481" s="65">
        <f t="shared" si="3844"/>
        <v>-3.6688195149854548</v>
      </c>
      <c r="BM481" s="65">
        <f t="shared" si="3844"/>
        <v>7.2940615409031651</v>
      </c>
      <c r="BN481" s="65">
        <f t="shared" ref="BN481:BO481" si="3845">IF(ISERROR(BN357*BN$5/BN104),"n.a.",BN357*BN$5/BN104)</f>
        <v>9.0510550035851463</v>
      </c>
      <c r="BO481" s="73">
        <f t="shared" si="3845"/>
        <v>8.3586462575382701</v>
      </c>
      <c r="BP481" s="65">
        <f t="shared" ref="BP481:BQ481" si="3846">IF(ISERROR(BP357*BP$5/BP104),"n.a.",BP357*BP$5/BP104)</f>
        <v>8.5860498429216232</v>
      </c>
      <c r="BQ481" s="65">
        <f t="shared" si="3846"/>
        <v>10.387565391294647</v>
      </c>
      <c r="BR481" s="65">
        <f t="shared" ref="BR481:BT481" si="3847">IF(ISERROR(BR357*BR$5/BR104),"n.a.",BR357*BR$5/BR104)</f>
        <v>9.8585066856140084</v>
      </c>
      <c r="BS481" s="65">
        <f t="shared" si="3847"/>
        <v>9.6318743480136852</v>
      </c>
      <c r="BT481" s="65">
        <f t="shared" si="3847"/>
        <v>10.425087529614812</v>
      </c>
    </row>
    <row r="482" spans="1:72" ht="12" customHeight="1" outlineLevel="1">
      <c r="A482" s="91" t="s">
        <v>305</v>
      </c>
      <c r="B482" s="87" t="s">
        <v>460</v>
      </c>
      <c r="C482" s="19"/>
      <c r="D482" s="65">
        <f t="shared" ref="D482:L482" si="3848">D466</f>
        <v>32.826337781428137</v>
      </c>
      <c r="E482" s="65">
        <f t="shared" si="3848"/>
        <v>33.340823983881215</v>
      </c>
      <c r="F482" s="65">
        <f t="shared" si="3848"/>
        <v>32.744860940954325</v>
      </c>
      <c r="G482" s="65">
        <f t="shared" si="3848"/>
        <v>33.628329493053847</v>
      </c>
      <c r="H482" s="65">
        <f t="shared" si="3848"/>
        <v>33.031017256164752</v>
      </c>
      <c r="I482" s="65">
        <f t="shared" si="3848"/>
        <v>32.933955957169829</v>
      </c>
      <c r="J482" s="65">
        <f t="shared" si="3848"/>
        <v>33.253928722050297</v>
      </c>
      <c r="K482" s="65">
        <f t="shared" si="3848"/>
        <v>34.56783572365724</v>
      </c>
      <c r="L482" s="65">
        <f t="shared" si="3848"/>
        <v>36.737845895849148</v>
      </c>
      <c r="M482" s="65">
        <f t="shared" ref="M482:N482" si="3849">M466</f>
        <v>37.054971164800534</v>
      </c>
      <c r="N482" s="65">
        <f t="shared" si="3849"/>
        <v>37.984093371120252</v>
      </c>
      <c r="O482" s="65">
        <f t="shared" ref="O482:P482" si="3850">O466</f>
        <v>43.14012757299276</v>
      </c>
      <c r="P482" s="65">
        <f t="shared" si="3850"/>
        <v>45.599183869001479</v>
      </c>
      <c r="Q482" s="65">
        <f t="shared" ref="Q482:R482" si="3851">Q466</f>
        <v>46.006553202339092</v>
      </c>
      <c r="R482" s="65">
        <f t="shared" si="3851"/>
        <v>45.413781770839861</v>
      </c>
      <c r="S482" s="65">
        <f t="shared" ref="S482:T482" si="3852">S466</f>
        <v>50.720935392964755</v>
      </c>
      <c r="T482" s="65">
        <f t="shared" si="3852"/>
        <v>50.218772963858498</v>
      </c>
      <c r="U482" s="65">
        <f t="shared" ref="U482:V482" si="3853">U466</f>
        <v>53.393671824307397</v>
      </c>
      <c r="V482" s="65">
        <f t="shared" si="3853"/>
        <v>50.395208097377157</v>
      </c>
      <c r="W482" s="65">
        <f t="shared" ref="W482:X482" si="3854">W466</f>
        <v>53.951032029127163</v>
      </c>
      <c r="X482" s="65">
        <f t="shared" si="3854"/>
        <v>57.317575774578735</v>
      </c>
      <c r="Y482" s="65">
        <f t="shared" ref="Y482:Z482" si="3855">Y466</f>
        <v>61.470495477138421</v>
      </c>
      <c r="Z482" s="65">
        <f t="shared" si="3855"/>
        <v>57.507030213005308</v>
      </c>
      <c r="AA482" s="65">
        <f t="shared" ref="AA482:AB482" si="3856">AA466</f>
        <v>61.773575086471467</v>
      </c>
      <c r="AB482" s="65">
        <f t="shared" si="3856"/>
        <v>66.194323057833714</v>
      </c>
      <c r="AC482" s="65">
        <f t="shared" ref="AC482:AD482" si="3857">AC466</f>
        <v>75.084523458175241</v>
      </c>
      <c r="AD482" s="65">
        <f t="shared" si="3857"/>
        <v>81.98940731115745</v>
      </c>
      <c r="AE482" s="65">
        <f t="shared" ref="AE482:AF482" si="3858">AE466</f>
        <v>88.248515976720284</v>
      </c>
      <c r="AF482" s="65">
        <f t="shared" si="3858"/>
        <v>85.74383751939709</v>
      </c>
      <c r="AG482" s="65">
        <f t="shared" ref="AG482:AH482" si="3859">AG466</f>
        <v>88.771086126067587</v>
      </c>
      <c r="AH482" s="65">
        <f t="shared" si="3859"/>
        <v>86.147180939501993</v>
      </c>
      <c r="AI482" s="65">
        <f t="shared" ref="AI482:AJ482" si="3860">AI466</f>
        <v>93.900269800933074</v>
      </c>
      <c r="AJ482" s="73">
        <f t="shared" si="3860"/>
        <v>92.339157153707532</v>
      </c>
      <c r="AK482" s="65">
        <f t="shared" ref="AK482" si="3861">AK466</f>
        <v>95.607232063995568</v>
      </c>
      <c r="AL482" s="65">
        <f t="shared" ref="AL482:AM482" si="3862">AL466</f>
        <v>96.710230848950502</v>
      </c>
      <c r="AM482" s="65">
        <f t="shared" si="3862"/>
        <v>99.303851873721769</v>
      </c>
      <c r="AN482" s="65">
        <f t="shared" ref="AN482:AO482" si="3863">AN466</f>
        <v>101.26246587677502</v>
      </c>
      <c r="AO482" s="65">
        <f t="shared" si="3863"/>
        <v>104.76724000030246</v>
      </c>
      <c r="AP482" s="65">
        <f t="shared" ref="AP482:AQ482" si="3864">AP466</f>
        <v>106.4587438226031</v>
      </c>
      <c r="AQ482" s="65">
        <f t="shared" si="3864"/>
        <v>110.25928398265816</v>
      </c>
      <c r="AR482" s="65">
        <f t="shared" ref="AR482:AS482" si="3865">AR466</f>
        <v>112.69163667027877</v>
      </c>
      <c r="AS482" s="65">
        <f t="shared" si="3865"/>
        <v>116.47908962372821</v>
      </c>
      <c r="AT482" s="65"/>
      <c r="AU482" s="65">
        <f t="shared" ref="AU482:BH482" si="3866">AU466</f>
        <v>19.454019676150409</v>
      </c>
      <c r="AV482" s="65">
        <f t="shared" si="3866"/>
        <v>22.579579539387154</v>
      </c>
      <c r="AW482" s="65">
        <f t="shared" si="3866"/>
        <v>29.117703052562895</v>
      </c>
      <c r="AX482" s="65">
        <f t="shared" si="3866"/>
        <v>35.821459937835343</v>
      </c>
      <c r="AY482" s="65">
        <f t="shared" si="3866"/>
        <v>33.002721848118952</v>
      </c>
      <c r="AZ482" s="65">
        <f t="shared" si="3866"/>
        <v>33.340823983881215</v>
      </c>
      <c r="BA482" s="65">
        <f t="shared" si="3866"/>
        <v>33.628329493053847</v>
      </c>
      <c r="BB482" s="65">
        <f t="shared" si="3866"/>
        <v>32.933955957169829</v>
      </c>
      <c r="BC482" s="65">
        <f t="shared" si="3866"/>
        <v>34.56783572365724</v>
      </c>
      <c r="BD482" s="65">
        <f t="shared" si="3866"/>
        <v>37.054971164800534</v>
      </c>
      <c r="BE482" s="65">
        <f t="shared" si="3866"/>
        <v>43.14012757299276</v>
      </c>
      <c r="BF482" s="65">
        <f t="shared" si="3866"/>
        <v>46.006553202339092</v>
      </c>
      <c r="BG482" s="65">
        <f t="shared" si="3866"/>
        <v>50.720935392964755</v>
      </c>
      <c r="BH482" s="65">
        <f t="shared" si="3866"/>
        <v>53.393671824307397</v>
      </c>
      <c r="BI482" s="65">
        <f t="shared" ref="BI482" si="3867">BI466</f>
        <v>53.951032029127163</v>
      </c>
      <c r="BJ482" s="65">
        <f t="shared" ref="BJ482:BL483" si="3868">BJ466</f>
        <v>61.470495477138421</v>
      </c>
      <c r="BK482" s="65">
        <f t="shared" si="3868"/>
        <v>61.773575086471467</v>
      </c>
      <c r="BL482" s="65">
        <f t="shared" si="3868"/>
        <v>75.084523458175241</v>
      </c>
      <c r="BM482" s="65">
        <f t="shared" ref="BM482:BN482" si="3869">BM466</f>
        <v>88.248515976720284</v>
      </c>
      <c r="BN482" s="65">
        <f t="shared" si="3869"/>
        <v>88.771086126067587</v>
      </c>
      <c r="BO482" s="73">
        <f t="shared" ref="BO482:BP482" si="3870">BO466</f>
        <v>93.900269800933074</v>
      </c>
      <c r="BP482" s="65">
        <f t="shared" si="3870"/>
        <v>95.607232063995568</v>
      </c>
      <c r="BQ482" s="65">
        <f t="shared" ref="BQ482:BR482" si="3871">BQ466</f>
        <v>99.303851873721769</v>
      </c>
      <c r="BR482" s="65">
        <f t="shared" si="3871"/>
        <v>104.76724000030246</v>
      </c>
      <c r="BS482" s="65">
        <f t="shared" ref="BS482" si="3872">BS466</f>
        <v>110.25928398265816</v>
      </c>
      <c r="BT482" s="65">
        <f t="shared" ref="BT482" si="3873">BT466</f>
        <v>116.47908962372821</v>
      </c>
    </row>
    <row r="483" spans="1:72" ht="12" customHeight="1" outlineLevel="1">
      <c r="A483" s="91" t="s">
        <v>486</v>
      </c>
      <c r="B483" s="87" t="s">
        <v>461</v>
      </c>
      <c r="C483" s="19"/>
      <c r="D483" s="65">
        <f t="shared" ref="D483:L483" si="3874">D467</f>
        <v>27.320173101869514</v>
      </c>
      <c r="E483" s="65">
        <f t="shared" si="3874"/>
        <v>27.694782502032691</v>
      </c>
      <c r="F483" s="65">
        <f t="shared" si="3874"/>
        <v>27.256784963357997</v>
      </c>
      <c r="G483" s="65">
        <f t="shared" si="3874"/>
        <v>28.428508179386032</v>
      </c>
      <c r="H483" s="65">
        <f t="shared" si="3874"/>
        <v>27.679341049921124</v>
      </c>
      <c r="I483" s="65">
        <f t="shared" si="3874"/>
        <v>27.656438296116363</v>
      </c>
      <c r="J483" s="65">
        <f t="shared" si="3874"/>
        <v>28.002242961615185</v>
      </c>
      <c r="K483" s="65">
        <f t="shared" si="3874"/>
        <v>29.441213160876455</v>
      </c>
      <c r="L483" s="65">
        <f t="shared" si="3874"/>
        <v>31.636891744416676</v>
      </c>
      <c r="M483" s="65">
        <f t="shared" ref="M483:N483" si="3875">M467</f>
        <v>33.0707997645899</v>
      </c>
      <c r="N483" s="65">
        <f t="shared" si="3875"/>
        <v>32.502269810766208</v>
      </c>
      <c r="O483" s="65">
        <f t="shared" ref="O483:P483" si="3876">O467</f>
        <v>38.192617804792491</v>
      </c>
      <c r="P483" s="65">
        <f t="shared" si="3876"/>
        <v>40.301204169954715</v>
      </c>
      <c r="Q483" s="65">
        <f t="shared" ref="Q483:R483" si="3877">Q467</f>
        <v>41.230847411544701</v>
      </c>
      <c r="R483" s="65">
        <f t="shared" si="3877"/>
        <v>40.905590927003658</v>
      </c>
      <c r="S483" s="65">
        <f t="shared" ref="S483:T483" si="3878">S467</f>
        <v>42.744209247782806</v>
      </c>
      <c r="T483" s="65">
        <f t="shared" si="3878"/>
        <v>42.192110205204465</v>
      </c>
      <c r="U483" s="65">
        <f t="shared" ref="U483:V483" si="3879">U467</f>
        <v>45.123232888265065</v>
      </c>
      <c r="V483" s="65">
        <f t="shared" si="3879"/>
        <v>43.073379681574302</v>
      </c>
      <c r="W483" s="65">
        <f t="shared" ref="W483:X483" si="3880">W467</f>
        <v>46.212684263677318</v>
      </c>
      <c r="X483" s="65">
        <f t="shared" si="3880"/>
        <v>47.833311685451172</v>
      </c>
      <c r="Y483" s="65">
        <f t="shared" ref="Y483:Z483" si="3881">Y467</f>
        <v>50.214261247506343</v>
      </c>
      <c r="Z483" s="65">
        <f t="shared" si="3881"/>
        <v>48.940034562917404</v>
      </c>
      <c r="AA483" s="65">
        <f t="shared" ref="AA483:AB483" si="3882">AA467</f>
        <v>53.907815402515595</v>
      </c>
      <c r="AB483" s="65">
        <f t="shared" si="3882"/>
        <v>55.763850345312768</v>
      </c>
      <c r="AC483" s="65">
        <f t="shared" ref="AC483:AD483" si="3883">AC467</f>
        <v>64.593125592482153</v>
      </c>
      <c r="AD483" s="65">
        <f t="shared" si="3883"/>
        <v>70.294007902995375</v>
      </c>
      <c r="AE483" s="65">
        <f t="shared" ref="AE483:AF483" si="3884">AE467</f>
        <v>75.885547310304716</v>
      </c>
      <c r="AF483" s="65">
        <f t="shared" si="3884"/>
        <v>73.489542918278588</v>
      </c>
      <c r="AG483" s="65">
        <f t="shared" ref="AG483:AH483" si="3885">AG467</f>
        <v>76.318170790874731</v>
      </c>
      <c r="AH483" s="65">
        <f t="shared" si="3885"/>
        <v>75.607702781678412</v>
      </c>
      <c r="AI483" s="65">
        <f t="shared" ref="AI483:AJ483" si="3886">AI467</f>
        <v>88.379965582844747</v>
      </c>
      <c r="AJ483" s="73">
        <f t="shared" si="3886"/>
        <v>85.992381534146844</v>
      </c>
      <c r="AK483" s="65">
        <f t="shared" ref="AK483" si="3887">AK467</f>
        <v>89.188798417435976</v>
      </c>
      <c r="AL483" s="65">
        <f t="shared" ref="AL483:AM483" si="3888">AL467</f>
        <v>90.177843879527543</v>
      </c>
      <c r="AM483" s="65">
        <f t="shared" si="3888"/>
        <v>92.685552673604889</v>
      </c>
      <c r="AN483" s="65">
        <f t="shared" ref="AN483:AO483" si="3889">AN467</f>
        <v>94.628288119825399</v>
      </c>
      <c r="AO483" s="65">
        <f t="shared" si="3889"/>
        <v>98.116049593547856</v>
      </c>
      <c r="AP483" s="65">
        <f t="shared" ref="AP483:AQ483" si="3890">AP467</f>
        <v>99.789424954171977</v>
      </c>
      <c r="AQ483" s="65">
        <f t="shared" si="3890"/>
        <v>103.58857694746959</v>
      </c>
      <c r="AR483" s="65">
        <f t="shared" ref="AR483:AS483" si="3891">AR467</f>
        <v>106.0353932159783</v>
      </c>
      <c r="AS483" s="65">
        <f t="shared" si="3891"/>
        <v>109.83519331089673</v>
      </c>
      <c r="AT483" s="65"/>
      <c r="AU483" s="65">
        <f t="shared" ref="AU483:BH483" si="3892">AU467</f>
        <v>10.590900203355103</v>
      </c>
      <c r="AV483" s="65">
        <f t="shared" si="3892"/>
        <v>15.048822263743697</v>
      </c>
      <c r="AW483" s="65">
        <f t="shared" si="3892"/>
        <v>23.897505723815083</v>
      </c>
      <c r="AX483" s="65">
        <f t="shared" si="3892"/>
        <v>29.676162268348829</v>
      </c>
      <c r="AY483" s="65">
        <f t="shared" si="3892"/>
        <v>27.289384540730161</v>
      </c>
      <c r="AZ483" s="65">
        <f t="shared" si="3892"/>
        <v>27.694782502032691</v>
      </c>
      <c r="BA483" s="65">
        <f t="shared" si="3892"/>
        <v>28.428508179386032</v>
      </c>
      <c r="BB483" s="65">
        <f t="shared" si="3892"/>
        <v>27.656438296116363</v>
      </c>
      <c r="BC483" s="65">
        <f t="shared" si="3892"/>
        <v>29.441213160876455</v>
      </c>
      <c r="BD483" s="65">
        <f t="shared" si="3892"/>
        <v>33.0707997645899</v>
      </c>
      <c r="BE483" s="65">
        <f t="shared" si="3892"/>
        <v>38.192617804792491</v>
      </c>
      <c r="BF483" s="65">
        <f t="shared" si="3892"/>
        <v>41.230847411544701</v>
      </c>
      <c r="BG483" s="65">
        <f t="shared" si="3892"/>
        <v>42.744209247782806</v>
      </c>
      <c r="BH483" s="65">
        <f t="shared" si="3892"/>
        <v>45.123232888265065</v>
      </c>
      <c r="BI483" s="65">
        <f t="shared" ref="BI483" si="3893">BI467</f>
        <v>46.212684263677318</v>
      </c>
      <c r="BJ483" s="65">
        <f t="shared" si="3868"/>
        <v>50.214261247506343</v>
      </c>
      <c r="BK483" s="65">
        <f t="shared" si="3868"/>
        <v>53.907815402515595</v>
      </c>
      <c r="BL483" s="65">
        <f t="shared" si="3868"/>
        <v>64.593125592482153</v>
      </c>
      <c r="BM483" s="65">
        <f t="shared" ref="BM483:BN483" si="3894">BM467</f>
        <v>75.885547310304716</v>
      </c>
      <c r="BN483" s="65">
        <f t="shared" si="3894"/>
        <v>76.318170790874731</v>
      </c>
      <c r="BO483" s="73">
        <f t="shared" ref="BO483:BP483" si="3895">BO467</f>
        <v>88.379965582844747</v>
      </c>
      <c r="BP483" s="65">
        <f t="shared" si="3895"/>
        <v>89.188798417435976</v>
      </c>
      <c r="BQ483" s="65">
        <f t="shared" ref="BQ483:BR483" si="3896">BQ467</f>
        <v>92.685552673604889</v>
      </c>
      <c r="BR483" s="65">
        <f t="shared" si="3896"/>
        <v>98.116049593547856</v>
      </c>
      <c r="BS483" s="65">
        <f t="shared" ref="BS483" si="3897">BS467</f>
        <v>103.58857694746959</v>
      </c>
      <c r="BT483" s="65">
        <f t="shared" ref="BT483" si="3898">BT467</f>
        <v>109.83519331089673</v>
      </c>
    </row>
    <row r="484" spans="1:72" ht="12" customHeight="1" outlineLevel="1">
      <c r="A484" s="91" t="s">
        <v>380</v>
      </c>
      <c r="B484" s="87" t="s">
        <v>487</v>
      </c>
      <c r="C484" s="19"/>
      <c r="D484" s="175">
        <f t="shared" ref="D484:AS484" si="3899" xml:space="preserve"> (D463-D55)/(D464+D465-D55/AVERAGE(C42:D42))</f>
        <v>22.632622784446657</v>
      </c>
      <c r="E484" s="175">
        <f t="shared" si="3899"/>
        <v>23.148626856180968</v>
      </c>
      <c r="F484" s="175">
        <f t="shared" si="3899"/>
        <v>25.409465890678071</v>
      </c>
      <c r="G484" s="175">
        <f t="shared" si="3899"/>
        <v>27.214276172584633</v>
      </c>
      <c r="H484" s="175">
        <f t="shared" si="3899"/>
        <v>27.222684369188936</v>
      </c>
      <c r="I484" s="175">
        <f t="shared" si="3899"/>
        <v>28.126559752560429</v>
      </c>
      <c r="J484" s="175">
        <f t="shared" si="3899"/>
        <v>27.943802806497061</v>
      </c>
      <c r="K484" s="65">
        <f t="shared" si="3899"/>
        <v>28.928905888594304</v>
      </c>
      <c r="L484" s="65">
        <f t="shared" si="3899"/>
        <v>30.386056875059452</v>
      </c>
      <c r="M484" s="65">
        <f t="shared" si="3899"/>
        <v>31.486365092457238</v>
      </c>
      <c r="N484" s="175">
        <f t="shared" si="3899"/>
        <v>31.426531336564494</v>
      </c>
      <c r="O484" s="175">
        <f t="shared" si="3899"/>
        <v>35.926947094200671</v>
      </c>
      <c r="P484" s="175">
        <f t="shared" si="3899"/>
        <v>37.371588728347049</v>
      </c>
      <c r="Q484" s="175">
        <f t="shared" si="3899"/>
        <v>37.197303594686232</v>
      </c>
      <c r="R484" s="175">
        <f t="shared" si="3899"/>
        <v>37.009736222220774</v>
      </c>
      <c r="S484" s="175">
        <f t="shared" si="3899"/>
        <v>36.893510376437867</v>
      </c>
      <c r="T484" s="175">
        <f t="shared" si="3899"/>
        <v>39.458225590099424</v>
      </c>
      <c r="U484" s="175">
        <f t="shared" si="3899"/>
        <v>42.317839210835153</v>
      </c>
      <c r="V484" s="175">
        <f t="shared" si="3899"/>
        <v>41.577212475409084</v>
      </c>
      <c r="W484" s="175">
        <f t="shared" si="3899"/>
        <v>38.675110479517294</v>
      </c>
      <c r="X484" s="175">
        <f t="shared" si="3899"/>
        <v>40.006455856045882</v>
      </c>
      <c r="Y484" s="175">
        <f t="shared" si="3899"/>
        <v>42.048410089933853</v>
      </c>
      <c r="Z484" s="175">
        <f t="shared" si="3899"/>
        <v>36.748429502232163</v>
      </c>
      <c r="AA484" s="175">
        <f t="shared" si="3899"/>
        <v>41.938059663202758</v>
      </c>
      <c r="AB484" s="175">
        <f t="shared" si="3899"/>
        <v>46.250446405420647</v>
      </c>
      <c r="AC484" s="175">
        <f t="shared" si="3899"/>
        <v>51.20867399971106</v>
      </c>
      <c r="AD484" s="175">
        <f t="shared" si="3899"/>
        <v>55.385351604654346</v>
      </c>
      <c r="AE484" s="175">
        <f t="shared" si="3899"/>
        <v>58.913819229717639</v>
      </c>
      <c r="AF484" s="175">
        <f t="shared" si="3899"/>
        <v>59.977981469905522</v>
      </c>
      <c r="AG484" s="175">
        <f t="shared" si="3899"/>
        <v>62.111545101931235</v>
      </c>
      <c r="AH484" s="175">
        <f t="shared" si="3899"/>
        <v>61.698735047318941</v>
      </c>
      <c r="AI484" s="175">
        <f t="shared" si="3899"/>
        <v>76.475740992328781</v>
      </c>
      <c r="AJ484" s="174">
        <f t="shared" si="3899"/>
        <v>77.505581415702579</v>
      </c>
      <c r="AK484" s="175">
        <f t="shared" si="3899"/>
        <v>83.073898285073213</v>
      </c>
      <c r="AL484" s="175">
        <f t="shared" si="3899"/>
        <v>85.121863684972993</v>
      </c>
      <c r="AM484" s="175">
        <f t="shared" si="3899"/>
        <v>87.709483274700645</v>
      </c>
      <c r="AN484" s="175">
        <f t="shared" si="3899"/>
        <v>90.004656377850608</v>
      </c>
      <c r="AO484" s="175">
        <f t="shared" si="3899"/>
        <v>92.723327788656178</v>
      </c>
      <c r="AP484" s="175">
        <f t="shared" si="3899"/>
        <v>95.523852956188705</v>
      </c>
      <c r="AQ484" s="175">
        <f t="shared" si="3899"/>
        <v>99.051945470230038</v>
      </c>
      <c r="AR484" s="175">
        <f t="shared" si="3899"/>
        <v>102.0964726681425</v>
      </c>
      <c r="AS484" s="175">
        <f t="shared" si="3899"/>
        <v>105.7441035463462</v>
      </c>
      <c r="AT484" s="175"/>
      <c r="AU484" s="175">
        <f xml:space="preserve"> (AU463-AU55)/(AU464+AU465-AU55/AVERAGE(AT42:AU42))</f>
        <v>8.4850145561469628</v>
      </c>
      <c r="AV484" s="175">
        <f xml:space="preserve"> (AV463-AV55)/(AV464+AV465-AV55/AVERAGE(AU42:AV42))</f>
        <v>14.37819414363765</v>
      </c>
      <c r="AW484" s="175">
        <f xml:space="preserve"> (AW463-AW55)/(AW464+AW465-AW55/AVERAGE(AV42:AW42))</f>
        <v>19.924905483874038</v>
      </c>
      <c r="AX484" s="175">
        <f xml:space="preserve"> (AX463-AX55)/(AX464+AX465-AX55/AVERAGE(AW42:AX42))</f>
        <v>28.729224937344</v>
      </c>
      <c r="AY484" s="175">
        <f xml:space="preserve"> (AY463-AY55)/(AY464+AY465-AY55/AVERAGE(AX42:AY42))</f>
        <v>25.093306917833591</v>
      </c>
      <c r="AZ484" s="175">
        <f>E484</f>
        <v>23.148626856180968</v>
      </c>
      <c r="BA484" s="175">
        <f>G484</f>
        <v>27.214276172584633</v>
      </c>
      <c r="BB484" s="175">
        <f>I484</f>
        <v>28.126559752560429</v>
      </c>
      <c r="BC484" s="175">
        <f>K484</f>
        <v>28.928905888594304</v>
      </c>
      <c r="BD484" s="175">
        <f>M484</f>
        <v>31.486365092457238</v>
      </c>
      <c r="BE484" s="175">
        <f>O484</f>
        <v>35.926947094200671</v>
      </c>
      <c r="BF484" s="175">
        <f>Q484</f>
        <v>37.197303594686232</v>
      </c>
      <c r="BG484" s="175">
        <f>S484</f>
        <v>36.893510376437867</v>
      </c>
      <c r="BH484" s="175">
        <f>U484</f>
        <v>42.317839210835153</v>
      </c>
      <c r="BI484" s="175">
        <f>W484</f>
        <v>38.675110479517294</v>
      </c>
      <c r="BJ484" s="175">
        <f>Y484</f>
        <v>42.048410089933853</v>
      </c>
      <c r="BK484" s="175">
        <f>AA484</f>
        <v>41.938059663202758</v>
      </c>
      <c r="BL484" s="175">
        <f>AC484</f>
        <v>51.20867399971106</v>
      </c>
      <c r="BM484" s="175">
        <f>AE484</f>
        <v>58.913819229717639</v>
      </c>
      <c r="BN484" s="175">
        <f>AG484</f>
        <v>62.111545101931235</v>
      </c>
      <c r="BO484" s="174">
        <f>AI484</f>
        <v>76.475740992328781</v>
      </c>
      <c r="BP484" s="175">
        <f>AK484</f>
        <v>83.073898285073213</v>
      </c>
      <c r="BQ484" s="175">
        <f>AM484</f>
        <v>87.709483274700645</v>
      </c>
      <c r="BR484" s="175">
        <f>AO484</f>
        <v>92.723327788656178</v>
      </c>
      <c r="BS484" s="175">
        <f>AQ484</f>
        <v>99.051945470230038</v>
      </c>
      <c r="BT484" s="175">
        <f>AS484</f>
        <v>105.7441035463462</v>
      </c>
    </row>
    <row r="485" spans="1:72" ht="12" hidden="1" customHeight="1" outlineLevel="2">
      <c r="A485" s="91" t="s">
        <v>488</v>
      </c>
      <c r="B485" s="87" t="s">
        <v>173</v>
      </c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20"/>
      <c r="AK485" s="19"/>
      <c r="AL485" s="19"/>
      <c r="AM485" s="19"/>
      <c r="AN485" s="19"/>
      <c r="AO485" s="19"/>
      <c r="AP485" s="19"/>
      <c r="AQ485" s="19"/>
      <c r="AR485" s="19"/>
      <c r="AS485" s="19"/>
      <c r="AT485" s="19"/>
      <c r="AU485" s="19"/>
      <c r="AV485" s="19"/>
      <c r="AW485" s="19"/>
      <c r="AX485" s="19"/>
      <c r="AY485" s="19"/>
      <c r="AZ485" s="19"/>
      <c r="BA485" s="19"/>
      <c r="BB485" s="19"/>
      <c r="BC485" s="19"/>
      <c r="BD485" s="19"/>
      <c r="BE485" s="19"/>
      <c r="BF485" s="19"/>
      <c r="BG485" s="19"/>
      <c r="BH485" s="19"/>
      <c r="BI485" s="19"/>
      <c r="BJ485" s="19"/>
      <c r="BK485" s="19"/>
      <c r="BL485" s="19"/>
      <c r="BM485" s="19"/>
      <c r="BN485" s="19"/>
      <c r="BO485" s="20"/>
      <c r="BP485" s="19"/>
      <c r="BQ485" s="19"/>
      <c r="BR485" s="19"/>
      <c r="BS485" s="19"/>
      <c r="BT485" s="19"/>
    </row>
    <row r="486" spans="1:72" ht="12" hidden="1" customHeight="1" outlineLevel="2">
      <c r="A486" s="91" t="s">
        <v>489</v>
      </c>
      <c r="B486" s="87" t="s">
        <v>173</v>
      </c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20"/>
      <c r="AK486" s="19"/>
      <c r="AL486" s="19"/>
      <c r="AM486" s="19"/>
      <c r="AN486" s="19"/>
      <c r="AO486" s="19"/>
      <c r="AP486" s="19"/>
      <c r="AQ486" s="19"/>
      <c r="AR486" s="19"/>
      <c r="AS486" s="19"/>
      <c r="AT486" s="19"/>
      <c r="AU486" s="19"/>
      <c r="AV486" s="19"/>
      <c r="AW486" s="19"/>
      <c r="AX486" s="19"/>
      <c r="AY486" s="19"/>
      <c r="AZ486" s="19"/>
      <c r="BA486" s="19"/>
      <c r="BB486" s="19"/>
      <c r="BC486" s="19"/>
      <c r="BD486" s="19"/>
      <c r="BE486" s="19"/>
      <c r="BF486" s="19"/>
      <c r="BG486" s="19"/>
      <c r="BH486" s="19"/>
      <c r="BI486" s="19"/>
      <c r="BJ486" s="19"/>
      <c r="BK486" s="19"/>
      <c r="BL486" s="19"/>
      <c r="BM486" s="19"/>
      <c r="BN486" s="19"/>
      <c r="BO486" s="20"/>
      <c r="BP486" s="19"/>
      <c r="BQ486" s="19"/>
      <c r="BR486" s="19"/>
      <c r="BS486" s="19"/>
      <c r="BT486" s="19"/>
    </row>
    <row r="487" spans="1:72" ht="12" hidden="1" customHeight="1" outlineLevel="2">
      <c r="A487" s="91" t="s">
        <v>490</v>
      </c>
      <c r="B487" s="87" t="s">
        <v>173</v>
      </c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20"/>
      <c r="AK487" s="19"/>
      <c r="AL487" s="19"/>
      <c r="AM487" s="19"/>
      <c r="AN487" s="19"/>
      <c r="AO487" s="19"/>
      <c r="AP487" s="19"/>
      <c r="AQ487" s="19"/>
      <c r="AR487" s="19"/>
      <c r="AS487" s="19"/>
      <c r="AT487" s="19"/>
      <c r="AU487" s="19"/>
      <c r="AV487" s="19"/>
      <c r="AW487" s="19"/>
      <c r="AX487" s="19"/>
      <c r="AY487" s="19"/>
      <c r="AZ487" s="19"/>
      <c r="BA487" s="19"/>
      <c r="BB487" s="19"/>
      <c r="BC487" s="19"/>
      <c r="BD487" s="19"/>
      <c r="BE487" s="19"/>
      <c r="BF487" s="19"/>
      <c r="BG487" s="19"/>
      <c r="BH487" s="19"/>
      <c r="BI487" s="19"/>
      <c r="BJ487" s="19"/>
      <c r="BK487" s="19"/>
      <c r="BL487" s="19"/>
      <c r="BM487" s="19"/>
      <c r="BN487" s="19"/>
      <c r="BO487" s="20"/>
      <c r="BP487" s="19"/>
      <c r="BQ487" s="19"/>
      <c r="BR487" s="19"/>
      <c r="BS487" s="19"/>
      <c r="BT487" s="19"/>
    </row>
    <row r="488" spans="1:72" ht="12" hidden="1" customHeight="1" outlineLevel="2">
      <c r="A488" s="91" t="s">
        <v>491</v>
      </c>
      <c r="B488" s="87" t="s">
        <v>173</v>
      </c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20"/>
      <c r="AK488" s="19"/>
      <c r="AL488" s="19"/>
      <c r="AM488" s="19"/>
      <c r="AN488" s="19"/>
      <c r="AO488" s="19"/>
      <c r="AP488" s="19"/>
      <c r="AQ488" s="19"/>
      <c r="AR488" s="19"/>
      <c r="AS488" s="19"/>
      <c r="AT488" s="19"/>
      <c r="AU488" s="19"/>
      <c r="AV488" s="19"/>
      <c r="AW488" s="19"/>
      <c r="AX488" s="19"/>
      <c r="AY488" s="19"/>
      <c r="AZ488" s="19"/>
      <c r="BA488" s="19"/>
      <c r="BB488" s="19"/>
      <c r="BC488" s="19"/>
      <c r="BD488" s="19"/>
      <c r="BE488" s="19"/>
      <c r="BF488" s="19"/>
      <c r="BG488" s="19"/>
      <c r="BH488" s="19"/>
      <c r="BI488" s="19"/>
      <c r="BJ488" s="19"/>
      <c r="BK488" s="19"/>
      <c r="BL488" s="19"/>
      <c r="BM488" s="19"/>
      <c r="BN488" s="19"/>
      <c r="BO488" s="20"/>
      <c r="BP488" s="19"/>
      <c r="BQ488" s="19"/>
      <c r="BR488" s="19"/>
      <c r="BS488" s="19"/>
      <c r="BT488" s="19"/>
    </row>
    <row r="489" spans="1:72" ht="12" hidden="1" customHeight="1" outlineLevel="2">
      <c r="A489" s="91" t="s">
        <v>492</v>
      </c>
      <c r="B489" s="87" t="s">
        <v>173</v>
      </c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20"/>
      <c r="AK489" s="19"/>
      <c r="AL489" s="19"/>
      <c r="AM489" s="19"/>
      <c r="AN489" s="19"/>
      <c r="AO489" s="19"/>
      <c r="AP489" s="19"/>
      <c r="AQ489" s="19"/>
      <c r="AR489" s="19"/>
      <c r="AS489" s="19"/>
      <c r="AT489" s="19"/>
      <c r="AU489" s="19"/>
      <c r="AV489" s="19"/>
      <c r="AW489" s="19"/>
      <c r="AX489" s="19"/>
      <c r="AY489" s="19"/>
      <c r="AZ489" s="19"/>
      <c r="BA489" s="19"/>
      <c r="BB489" s="19"/>
      <c r="BC489" s="19"/>
      <c r="BD489" s="19"/>
      <c r="BE489" s="19"/>
      <c r="BF489" s="19"/>
      <c r="BG489" s="19"/>
      <c r="BH489" s="19"/>
      <c r="BI489" s="19"/>
      <c r="BJ489" s="19"/>
      <c r="BK489" s="19"/>
      <c r="BL489" s="19"/>
      <c r="BM489" s="19"/>
      <c r="BN489" s="19"/>
      <c r="BO489" s="20"/>
      <c r="BP489" s="19"/>
      <c r="BQ489" s="19"/>
      <c r="BR489" s="19"/>
      <c r="BS489" s="19"/>
      <c r="BT489" s="19"/>
    </row>
    <row r="490" spans="1:72" ht="12" hidden="1" customHeight="1" outlineLevel="2">
      <c r="A490" s="91" t="s">
        <v>493</v>
      </c>
      <c r="B490" s="87" t="s">
        <v>173</v>
      </c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20"/>
      <c r="AK490" s="19"/>
      <c r="AL490" s="19"/>
      <c r="AM490" s="19"/>
      <c r="AN490" s="19"/>
      <c r="AO490" s="19"/>
      <c r="AP490" s="19"/>
      <c r="AQ490" s="19"/>
      <c r="AR490" s="19"/>
      <c r="AS490" s="19"/>
      <c r="AT490" s="19"/>
      <c r="AU490" s="19"/>
      <c r="AV490" s="19"/>
      <c r="AW490" s="19"/>
      <c r="AX490" s="19"/>
      <c r="AY490" s="19"/>
      <c r="AZ490" s="19"/>
      <c r="BA490" s="19"/>
      <c r="BB490" s="19"/>
      <c r="BC490" s="19"/>
      <c r="BD490" s="19"/>
      <c r="BE490" s="19"/>
      <c r="BF490" s="19"/>
      <c r="BG490" s="19"/>
      <c r="BH490" s="19"/>
      <c r="BI490" s="19"/>
      <c r="BJ490" s="19"/>
      <c r="BK490" s="19"/>
      <c r="BL490" s="19"/>
      <c r="BM490" s="19"/>
      <c r="BN490" s="19"/>
      <c r="BO490" s="20"/>
      <c r="BP490" s="19"/>
      <c r="BQ490" s="19"/>
      <c r="BR490" s="19"/>
      <c r="BS490" s="19"/>
      <c r="BT490" s="19"/>
    </row>
    <row r="491" spans="1:72" ht="12" hidden="1" customHeight="1" outlineLevel="2">
      <c r="A491" s="91" t="s">
        <v>494</v>
      </c>
      <c r="B491" s="87" t="s">
        <v>173</v>
      </c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20"/>
      <c r="AK491" s="19"/>
      <c r="AL491" s="19"/>
      <c r="AM491" s="19"/>
      <c r="AN491" s="19"/>
      <c r="AO491" s="19"/>
      <c r="AP491" s="19"/>
      <c r="AQ491" s="19"/>
      <c r="AR491" s="19"/>
      <c r="AS491" s="19"/>
      <c r="AT491" s="19"/>
      <c r="AU491" s="19"/>
      <c r="AV491" s="19"/>
      <c r="AW491" s="19"/>
      <c r="AX491" s="19"/>
      <c r="AY491" s="19"/>
      <c r="AZ491" s="19"/>
      <c r="BA491" s="19"/>
      <c r="BB491" s="19"/>
      <c r="BC491" s="19"/>
      <c r="BD491" s="19"/>
      <c r="BE491" s="19"/>
      <c r="BF491" s="19"/>
      <c r="BG491" s="19"/>
      <c r="BH491" s="19"/>
      <c r="BI491" s="19"/>
      <c r="BJ491" s="19"/>
      <c r="BK491" s="19"/>
      <c r="BL491" s="19"/>
      <c r="BM491" s="19"/>
      <c r="BN491" s="19"/>
      <c r="BO491" s="20"/>
      <c r="BP491" s="19"/>
      <c r="BQ491" s="19"/>
      <c r="BR491" s="19"/>
      <c r="BS491" s="19"/>
      <c r="BT491" s="19"/>
    </row>
    <row r="492" spans="1:72" ht="12" hidden="1" customHeight="1" outlineLevel="2">
      <c r="A492" s="91" t="s">
        <v>495</v>
      </c>
      <c r="B492" s="87" t="s">
        <v>173</v>
      </c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20"/>
      <c r="AK492" s="19"/>
      <c r="AL492" s="19"/>
      <c r="AM492" s="19"/>
      <c r="AN492" s="19"/>
      <c r="AO492" s="19"/>
      <c r="AP492" s="19"/>
      <c r="AQ492" s="19"/>
      <c r="AR492" s="19"/>
      <c r="AS492" s="19"/>
      <c r="AT492" s="19"/>
      <c r="AU492" s="19"/>
      <c r="AV492" s="19"/>
      <c r="AW492" s="19"/>
      <c r="AX492" s="19"/>
      <c r="AY492" s="19"/>
      <c r="AZ492" s="19"/>
      <c r="BA492" s="19"/>
      <c r="BB492" s="19"/>
      <c r="BC492" s="19"/>
      <c r="BD492" s="19"/>
      <c r="BE492" s="19"/>
      <c r="BF492" s="19"/>
      <c r="BG492" s="19"/>
      <c r="BH492" s="19"/>
      <c r="BI492" s="19"/>
      <c r="BJ492" s="19"/>
      <c r="BK492" s="19"/>
      <c r="BL492" s="19"/>
      <c r="BM492" s="19"/>
      <c r="BN492" s="19"/>
      <c r="BO492" s="20"/>
      <c r="BP492" s="19"/>
      <c r="BQ492" s="19"/>
      <c r="BR492" s="19"/>
      <c r="BS492" s="19"/>
      <c r="BT492" s="19"/>
    </row>
    <row r="493" spans="1:72" ht="12" hidden="1" customHeight="1" outlineLevel="2">
      <c r="A493" s="91" t="s">
        <v>496</v>
      </c>
      <c r="B493" s="87" t="s">
        <v>173</v>
      </c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20"/>
      <c r="AK493" s="19"/>
      <c r="AL493" s="19"/>
      <c r="AM493" s="19"/>
      <c r="AN493" s="19"/>
      <c r="AO493" s="19"/>
      <c r="AP493" s="19"/>
      <c r="AQ493" s="19"/>
      <c r="AR493" s="19"/>
      <c r="AS493" s="19"/>
      <c r="AT493" s="19"/>
      <c r="AU493" s="19"/>
      <c r="AV493" s="19"/>
      <c r="AW493" s="19"/>
      <c r="AX493" s="19"/>
      <c r="AY493" s="19"/>
      <c r="AZ493" s="19"/>
      <c r="BA493" s="19"/>
      <c r="BB493" s="19"/>
      <c r="BC493" s="19"/>
      <c r="BD493" s="19"/>
      <c r="BE493" s="19"/>
      <c r="BF493" s="19"/>
      <c r="BG493" s="19"/>
      <c r="BH493" s="19"/>
      <c r="BI493" s="19"/>
      <c r="BJ493" s="19"/>
      <c r="BK493" s="19"/>
      <c r="BL493" s="19"/>
      <c r="BM493" s="19"/>
      <c r="BN493" s="19"/>
      <c r="BO493" s="20"/>
      <c r="BP493" s="19"/>
      <c r="BQ493" s="19"/>
      <c r="BR493" s="19"/>
      <c r="BS493" s="19"/>
      <c r="BT493" s="19"/>
    </row>
    <row r="494" spans="1:72" ht="12" hidden="1" customHeight="1" outlineLevel="2">
      <c r="A494" s="91" t="s">
        <v>497</v>
      </c>
      <c r="B494" s="87" t="s">
        <v>173</v>
      </c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20"/>
      <c r="AK494" s="19"/>
      <c r="AL494" s="19"/>
      <c r="AM494" s="19"/>
      <c r="AN494" s="19"/>
      <c r="AO494" s="19"/>
      <c r="AP494" s="19"/>
      <c r="AQ494" s="19"/>
      <c r="AR494" s="19"/>
      <c r="AS494" s="19"/>
      <c r="AT494" s="19"/>
      <c r="AU494" s="19"/>
      <c r="AV494" s="19"/>
      <c r="AW494" s="19"/>
      <c r="AX494" s="19"/>
      <c r="AY494" s="19"/>
      <c r="AZ494" s="19"/>
      <c r="BA494" s="19"/>
      <c r="BB494" s="19"/>
      <c r="BC494" s="19"/>
      <c r="BD494" s="19"/>
      <c r="BE494" s="19"/>
      <c r="BF494" s="19"/>
      <c r="BG494" s="19"/>
      <c r="BH494" s="19"/>
      <c r="BI494" s="19"/>
      <c r="BJ494" s="19"/>
      <c r="BK494" s="19"/>
      <c r="BL494" s="19"/>
      <c r="BM494" s="19"/>
      <c r="BN494" s="19"/>
      <c r="BO494" s="20"/>
      <c r="BP494" s="19"/>
      <c r="BQ494" s="19"/>
      <c r="BR494" s="19"/>
      <c r="BS494" s="19"/>
      <c r="BT494" s="19"/>
    </row>
    <row r="495" spans="1:72" ht="12" customHeight="1" outlineLevel="1" collapsed="1">
      <c r="B495" s="87"/>
      <c r="C495" s="19"/>
      <c r="D495" s="19"/>
      <c r="E495" s="19"/>
      <c r="F495" s="19"/>
      <c r="G495" s="19"/>
      <c r="H495" s="19"/>
      <c r="I495" s="19"/>
      <c r="J495" s="19"/>
      <c r="K495" s="19"/>
      <c r="L495" s="65"/>
      <c r="M495" s="65"/>
      <c r="N495" s="69"/>
      <c r="O495" s="69"/>
      <c r="P495" s="69"/>
      <c r="Q495" s="69"/>
      <c r="R495" s="69"/>
      <c r="S495" s="69"/>
      <c r="T495" s="69"/>
      <c r="U495" s="69"/>
      <c r="V495" s="69"/>
      <c r="W495" s="69"/>
      <c r="X495" s="69"/>
      <c r="Y495" s="69"/>
      <c r="Z495" s="69"/>
      <c r="AA495" s="69"/>
      <c r="AB495" s="69"/>
      <c r="AC495" s="69"/>
      <c r="AD495" s="69"/>
      <c r="AE495" s="69"/>
      <c r="AF495" s="69"/>
      <c r="AG495" s="69"/>
      <c r="AH495" s="69"/>
      <c r="AI495" s="69"/>
      <c r="AJ495" s="89"/>
      <c r="AK495" s="69"/>
      <c r="AL495" s="69"/>
      <c r="AM495" s="69"/>
      <c r="AN495" s="69"/>
      <c r="AO495" s="69"/>
      <c r="AP495" s="69"/>
      <c r="AQ495" s="69"/>
      <c r="AR495" s="69"/>
      <c r="AS495" s="69"/>
      <c r="AT495" s="19"/>
      <c r="AU495" s="19"/>
      <c r="AV495" s="19"/>
      <c r="AW495" s="19"/>
      <c r="AX495" s="19"/>
      <c r="AY495" s="19"/>
      <c r="AZ495" s="19"/>
      <c r="BA495" s="19"/>
      <c r="BB495" s="19"/>
      <c r="BC495" s="19"/>
      <c r="BD495" s="19"/>
      <c r="BE495" s="19"/>
      <c r="BF495" s="19"/>
      <c r="BG495" s="19"/>
      <c r="BH495" s="19"/>
      <c r="BI495" s="19"/>
      <c r="BJ495" s="19"/>
      <c r="BK495" s="19"/>
      <c r="BL495" s="19"/>
      <c r="BM495" s="19"/>
      <c r="BN495" s="19"/>
      <c r="BO495" s="20"/>
      <c r="BP495" s="19"/>
      <c r="BQ495" s="19"/>
      <c r="BR495" s="19"/>
      <c r="BS495" s="19"/>
      <c r="BT495" s="19"/>
    </row>
    <row r="496" spans="1:72" ht="12" customHeight="1" outlineLevel="1">
      <c r="B496" s="9" t="s">
        <v>410</v>
      </c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20"/>
      <c r="AK496" s="19"/>
      <c r="AL496" s="19"/>
      <c r="AM496" s="19"/>
      <c r="AN496" s="19"/>
      <c r="AO496" s="19"/>
      <c r="AP496" s="19"/>
      <c r="AQ496" s="19"/>
      <c r="AR496" s="19"/>
      <c r="AS496" s="19"/>
      <c r="AT496" s="19"/>
      <c r="AU496" s="19"/>
      <c r="AV496" s="19"/>
      <c r="AW496" s="19"/>
      <c r="AX496" s="19"/>
      <c r="AY496" s="19"/>
      <c r="AZ496" s="19"/>
      <c r="BA496" s="19"/>
      <c r="BB496" s="19"/>
      <c r="BC496" s="19"/>
      <c r="BD496" s="19"/>
      <c r="BE496" s="19"/>
      <c r="BF496" s="19"/>
      <c r="BG496" s="19"/>
      <c r="BH496" s="19"/>
      <c r="BI496" s="19"/>
      <c r="BJ496" s="19"/>
      <c r="BK496" s="19"/>
      <c r="BL496" s="19"/>
      <c r="BM496" s="19"/>
      <c r="BN496" s="19"/>
      <c r="BO496" s="20"/>
      <c r="BP496" s="19"/>
      <c r="BQ496" s="19"/>
      <c r="BR496" s="19"/>
      <c r="BS496" s="19"/>
      <c r="BT496" s="19"/>
    </row>
    <row r="497" spans="1:101" s="87" customFormat="1" ht="12" customHeight="1" outlineLevel="1">
      <c r="A497" s="91" t="s">
        <v>1076</v>
      </c>
      <c r="B497" s="87" t="s">
        <v>1077</v>
      </c>
      <c r="C497" s="328"/>
      <c r="D497" s="328">
        <f>D$42/D470</f>
        <v>39.138854079242776</v>
      </c>
      <c r="E497" s="328">
        <f t="shared" ref="E497:BH497" si="3900">E$42/E470</f>
        <v>27.883273490782361</v>
      </c>
      <c r="F497" s="328">
        <f t="shared" si="3900"/>
        <v>30.433075387791607</v>
      </c>
      <c r="G497" s="328">
        <f t="shared" si="3900"/>
        <v>22.418501684727055</v>
      </c>
      <c r="H497" s="328">
        <f t="shared" si="3900"/>
        <v>26.416786697294814</v>
      </c>
      <c r="I497" s="328">
        <f t="shared" si="3900"/>
        <v>23.528890493748829</v>
      </c>
      <c r="J497" s="328">
        <f t="shared" si="3900"/>
        <v>26.981686632942665</v>
      </c>
      <c r="K497" s="328">
        <f t="shared" si="3900"/>
        <v>25.421297250643757</v>
      </c>
      <c r="L497" s="328">
        <f t="shared" si="3900"/>
        <v>31.999595885233891</v>
      </c>
      <c r="M497" s="328">
        <f t="shared" ref="M497:N497" si="3901">M$42/M470</f>
        <v>24.647303065225351</v>
      </c>
      <c r="N497" s="328">
        <f t="shared" si="3901"/>
        <v>26.999561727873022</v>
      </c>
      <c r="O497" s="328">
        <f t="shared" ref="O497:P497" si="3902">O$42/O470</f>
        <v>26.608014609215683</v>
      </c>
      <c r="P497" s="328">
        <f t="shared" si="3902"/>
        <v>23.621940227043648</v>
      </c>
      <c r="Q497" s="328">
        <f t="shared" ref="Q497:R497" si="3903">Q$42/Q470</f>
        <v>22.374670610296924</v>
      </c>
      <c r="R497" s="328">
        <f t="shared" si="3903"/>
        <v>26.279712895404597</v>
      </c>
      <c r="S497" s="328">
        <f t="shared" ref="S497:T497" si="3904">S$42/S470</f>
        <v>26.081369213861386</v>
      </c>
      <c r="T497" s="328">
        <f t="shared" si="3904"/>
        <v>24.549485857636213</v>
      </c>
      <c r="U497" s="328">
        <f t="shared" ref="U497:V497" si="3905">U$42/U470</f>
        <v>26.552521470983216</v>
      </c>
      <c r="V497" s="328">
        <f t="shared" si="3905"/>
        <v>32.459279936101829</v>
      </c>
      <c r="W497" s="328">
        <f t="shared" ref="W497:X497" si="3906">W$42/W470</f>
        <v>26.1718912238352</v>
      </c>
      <c r="X497" s="328">
        <f t="shared" si="3906"/>
        <v>30.47697713433049</v>
      </c>
      <c r="Y497" s="328">
        <f t="shared" ref="Y497:Z497" si="3907">Y$42/Y470</f>
        <v>23.681303507318418</v>
      </c>
      <c r="Z497" s="328">
        <f t="shared" si="3907"/>
        <v>46.07992484260231</v>
      </c>
      <c r="AA497" s="328">
        <f t="shared" ref="AA497:AB497" si="3908">AA$42/AA470</f>
        <v>27.039985845718331</v>
      </c>
      <c r="AB497" s="328">
        <f t="shared" si="3908"/>
        <v>32.357716511627906</v>
      </c>
      <c r="AC497" s="328">
        <f t="shared" ref="AC497:AD497" si="3909">AC$42/AC470</f>
        <v>28.775526446234018</v>
      </c>
      <c r="AD497" s="328">
        <f t="shared" si="3909"/>
        <v>25.317802841442006</v>
      </c>
      <c r="AE497" s="328">
        <f t="shared" ref="AE497:AF497" si="3910">AE$42/AE470</f>
        <v>23.548488560503415</v>
      </c>
      <c r="AF497" s="328">
        <f t="shared" si="3910"/>
        <v>45.433916633416239</v>
      </c>
      <c r="AG497" s="328">
        <f t="shared" ref="AG497:AH497" si="3911">AG$42/AG470</f>
        <v>36.547189625966304</v>
      </c>
      <c r="AH497" s="328">
        <f t="shared" si="3911"/>
        <v>54.720641542881026</v>
      </c>
      <c r="AI497" s="328">
        <f t="shared" ref="AI497:AJ497" si="3912">AI$42/AI470</f>
        <v>35.473963143589742</v>
      </c>
      <c r="AJ497" s="329">
        <f t="shared" si="3912"/>
        <v>50.225474171973765</v>
      </c>
      <c r="AK497" s="328">
        <f t="shared" ref="AK497" si="3913">AK$42/AK470</f>
        <v>34.289467159890151</v>
      </c>
      <c r="AL497" s="328">
        <f t="shared" ref="AL497:AM497" si="3914">AL$42/AL470</f>
        <v>42.076929925376632</v>
      </c>
      <c r="AM497" s="328">
        <f t="shared" si="3914"/>
        <v>37.766688858550779</v>
      </c>
      <c r="AN497" s="328">
        <f t="shared" ref="AN497:AO497" si="3915">AN$42/AN470</f>
        <v>41.823088050917271</v>
      </c>
      <c r="AO497" s="328">
        <f t="shared" si="3915"/>
        <v>36.709955354621457</v>
      </c>
      <c r="AP497" s="328">
        <f t="shared" ref="AP497:AQ497" si="3916">AP$42/AP470</f>
        <v>42.604798703050548</v>
      </c>
      <c r="AQ497" s="328">
        <f t="shared" si="3916"/>
        <v>37.987949612760517</v>
      </c>
      <c r="AR497" s="328">
        <f t="shared" ref="AR497:AS497" si="3917">AR$42/AR470</f>
        <v>43.547238243202848</v>
      </c>
      <c r="AS497" s="328">
        <f t="shared" si="3917"/>
        <v>39.965547314907681</v>
      </c>
      <c r="AT497" s="328"/>
      <c r="AU497" s="328">
        <f t="shared" si="3900"/>
        <v>12.995581952969792</v>
      </c>
      <c r="AV497" s="328">
        <f t="shared" si="3900"/>
        <v>16.159216769175071</v>
      </c>
      <c r="AW497" s="328">
        <f t="shared" si="3900"/>
        <v>13.988932176750046</v>
      </c>
      <c r="AX497" s="328">
        <f t="shared" si="3900"/>
        <v>7.8765012920892801</v>
      </c>
      <c r="AY497" s="328">
        <f t="shared" si="3900"/>
        <v>8.7386745322035804</v>
      </c>
      <c r="AZ497" s="328">
        <f t="shared" si="3900"/>
        <v>14.756293392765622</v>
      </c>
      <c r="BA497" s="328">
        <f t="shared" si="3900"/>
        <v>12.954307325950738</v>
      </c>
      <c r="BB497" s="328">
        <f t="shared" si="3900"/>
        <v>13.842596638699796</v>
      </c>
      <c r="BC497" s="328">
        <f t="shared" si="3900"/>
        <v>14.790786865565346</v>
      </c>
      <c r="BD497" s="328">
        <f t="shared" si="3900"/>
        <v>15.103330826243612</v>
      </c>
      <c r="BE497" s="328">
        <f t="shared" si="3900"/>
        <v>15.265194385557782</v>
      </c>
      <c r="BF497" s="328">
        <f t="shared" si="3900"/>
        <v>10.673227415581755</v>
      </c>
      <c r="BG497" s="328">
        <f t="shared" si="3900"/>
        <v>13.715659958333333</v>
      </c>
      <c r="BH497" s="328">
        <f t="shared" si="3900"/>
        <v>13.577228074468087</v>
      </c>
      <c r="BI497" s="328">
        <f t="shared" ref="BI497:BJ499" si="3918">BI$42/BI470</f>
        <v>14.651532656226411</v>
      </c>
      <c r="BJ497" s="328">
        <f t="shared" si="3918"/>
        <v>10.840230587158574</v>
      </c>
      <c r="BK497" s="328">
        <f t="shared" ref="BK497:BL499" si="3919">BK$42/BK470</f>
        <v>18.131044649509604</v>
      </c>
      <c r="BL497" s="328">
        <f t="shared" si="3919"/>
        <v>15.984093691515685</v>
      </c>
      <c r="BM497" s="328">
        <f t="shared" ref="BM497:BN497" si="3920">BM$42/BM470</f>
        <v>12.97913647635022</v>
      </c>
      <c r="BN497" s="328">
        <f t="shared" si="3920"/>
        <v>21.787955292525847</v>
      </c>
      <c r="BO497" s="329">
        <f t="shared" ref="BO497:BP497" si="3921">BO$42/BO470</f>
        <v>20.078480953167734</v>
      </c>
      <c r="BP497" s="328">
        <f t="shared" si="3921"/>
        <v>20.743874453244395</v>
      </c>
      <c r="BQ497" s="328">
        <f t="shared" ref="BQ497:BR497" si="3922">BQ$42/BQ470</f>
        <v>20.319125418094405</v>
      </c>
      <c r="BR497" s="328">
        <f t="shared" si="3922"/>
        <v>19.951541804075912</v>
      </c>
      <c r="BS497" s="328">
        <f t="shared" ref="BS497" si="3923">BS$42/BS470</f>
        <v>20.498022885063559</v>
      </c>
      <c r="BT497" s="328">
        <f>BT$42/BT470</f>
        <v>21.278175769105793</v>
      </c>
      <c r="BV497" s="328"/>
      <c r="BW497" s="328"/>
      <c r="BX497" s="328"/>
      <c r="BY497" s="328"/>
      <c r="BZ497" s="328"/>
      <c r="CA497" s="328"/>
      <c r="CB497" s="328"/>
      <c r="CC497" s="328"/>
      <c r="CD497" s="328"/>
      <c r="CE497" s="328"/>
      <c r="CF497" s="328"/>
      <c r="CG497" s="328"/>
      <c r="CH497" s="328"/>
      <c r="CI497" s="329"/>
      <c r="CJ497" s="328"/>
      <c r="CK497" s="328"/>
      <c r="CL497" s="328"/>
      <c r="CM497" s="328"/>
      <c r="CN497" s="328"/>
      <c r="CO497" s="330"/>
      <c r="CP497" s="330"/>
      <c r="CQ497" s="330"/>
      <c r="CR497" s="330"/>
      <c r="CS497" s="330"/>
      <c r="CT497" s="330"/>
      <c r="CU497" s="330"/>
      <c r="CV497" s="330"/>
      <c r="CW497" s="330"/>
    </row>
    <row r="498" spans="1:101" s="87" customFormat="1" ht="12" customHeight="1" outlineLevel="1">
      <c r="A498" s="91" t="s">
        <v>1078</v>
      </c>
      <c r="B498" s="87" t="s">
        <v>1079</v>
      </c>
      <c r="C498" s="328"/>
      <c r="D498" s="328">
        <f>D$42/D471</f>
        <v>39.30155493356424</v>
      </c>
      <c r="E498" s="328">
        <f t="shared" ref="E498:BH498" si="3924">E$42/E471</f>
        <v>28.184135480114708</v>
      </c>
      <c r="F498" s="328">
        <f t="shared" si="3924"/>
        <v>30.983757984172531</v>
      </c>
      <c r="G498" s="328">
        <f t="shared" si="3924"/>
        <v>23.053028911923644</v>
      </c>
      <c r="H498" s="328">
        <f t="shared" si="3924"/>
        <v>26.812461151477198</v>
      </c>
      <c r="I498" s="328">
        <f t="shared" si="3924"/>
        <v>24.420865150629734</v>
      </c>
      <c r="J498" s="328">
        <f t="shared" si="3924"/>
        <v>28.540330332578876</v>
      </c>
      <c r="K498" s="328">
        <f t="shared" si="3924"/>
        <v>26.139809323504966</v>
      </c>
      <c r="L498" s="328">
        <f t="shared" si="3924"/>
        <v>33.126232700681506</v>
      </c>
      <c r="M498" s="328">
        <f t="shared" ref="M498:N498" si="3925">M$42/M471</f>
        <v>25.832661229869622</v>
      </c>
      <c r="N498" s="328">
        <f t="shared" si="3925"/>
        <v>28.106420663126848</v>
      </c>
      <c r="O498" s="328">
        <f t="shared" ref="O498:P498" si="3926">O$42/O471</f>
        <v>27.811907442212675</v>
      </c>
      <c r="P498" s="328">
        <f t="shared" si="3926"/>
        <v>24.72952184234201</v>
      </c>
      <c r="Q498" s="328">
        <f t="shared" ref="Q498:R498" si="3927">Q$42/Q471</f>
        <v>22.655768429285033</v>
      </c>
      <c r="R498" s="328">
        <f t="shared" si="3927"/>
        <v>26.884100007187499</v>
      </c>
      <c r="S498" s="328">
        <f t="shared" ref="S498:T498" si="3928">S$42/S471</f>
        <v>26.750292456478405</v>
      </c>
      <c r="T498" s="328">
        <f t="shared" si="3928"/>
        <v>25.242487840250785</v>
      </c>
      <c r="U498" s="328">
        <f t="shared" ref="U498:V498" si="3929">U$42/U471</f>
        <v>27.1270885363841</v>
      </c>
      <c r="V498" s="328">
        <f t="shared" si="3929"/>
        <v>32.9021154092841</v>
      </c>
      <c r="W498" s="328">
        <f t="shared" ref="W498:X498" si="3930">W$42/W471</f>
        <v>26.980214488362563</v>
      </c>
      <c r="X498" s="328">
        <f t="shared" si="3930"/>
        <v>31.244670826066226</v>
      </c>
      <c r="Y498" s="328">
        <f t="shared" ref="Y498:Z498" si="3931">Y$42/Y471</f>
        <v>24.451097804391217</v>
      </c>
      <c r="Z498" s="328">
        <f t="shared" si="3931"/>
        <v>46.720616604330715</v>
      </c>
      <c r="AA498" s="328">
        <f t="shared" ref="AA498:AB498" si="3932">AA$42/AA471</f>
        <v>27.990842490842493</v>
      </c>
      <c r="AB498" s="328">
        <f t="shared" si="3932"/>
        <v>33.373035850000001</v>
      </c>
      <c r="AC498" s="328">
        <f t="shared" ref="AC498:AD498" si="3933">AC$42/AC471</f>
        <v>29.861023458671099</v>
      </c>
      <c r="AD498" s="328">
        <f t="shared" si="3933"/>
        <v>26.103749708849559</v>
      </c>
      <c r="AE498" s="328">
        <f t="shared" ref="AE498:AF498" si="3934">AE$42/AE471</f>
        <v>24.213090348555149</v>
      </c>
      <c r="AF498" s="328">
        <f t="shared" si="3934"/>
        <v>45.809548770623657</v>
      </c>
      <c r="AG498" s="328">
        <f t="shared" ref="AG498:AH498" si="3935">AG$42/AG471</f>
        <v>36.648993395419474</v>
      </c>
      <c r="AH498" s="328">
        <f t="shared" si="3935"/>
        <v>54.936214203090451</v>
      </c>
      <c r="AI498" s="328">
        <f t="shared" ref="AI498:AJ498" si="3936">AI$42/AI471</f>
        <v>35.594000297065897</v>
      </c>
      <c r="AJ498" s="329">
        <f t="shared" si="3936"/>
        <v>50.427125968698057</v>
      </c>
      <c r="AK498" s="328">
        <f t="shared" ref="AK498" si="3937">AK$42/AK471</f>
        <v>34.685127228375357</v>
      </c>
      <c r="AL498" s="328">
        <f t="shared" ref="AL498:AM498" si="3938">AL$42/AL471</f>
        <v>42.459462635775935</v>
      </c>
      <c r="AM498" s="328">
        <f t="shared" si="3938"/>
        <v>38.200963202259814</v>
      </c>
      <c r="AN498" s="328">
        <f t="shared" ref="AN498:AO498" si="3939">AN$42/AN471</f>
        <v>42.268598093543851</v>
      </c>
      <c r="AO498" s="328">
        <f t="shared" si="3939"/>
        <v>37.191476712735032</v>
      </c>
      <c r="AP498" s="328">
        <f t="shared" ref="AP498:AQ498" si="3940">AP$42/AP471</f>
        <v>43.102619971855866</v>
      </c>
      <c r="AQ498" s="328">
        <f t="shared" si="3940"/>
        <v>38.512047494199713</v>
      </c>
      <c r="AR498" s="328">
        <f t="shared" ref="AR498:AS498" si="3941">AR$42/AR471</f>
        <v>44.096125849382069</v>
      </c>
      <c r="AS498" s="328">
        <f t="shared" si="3941"/>
        <v>40.534923213258814</v>
      </c>
      <c r="AT498" s="328"/>
      <c r="AU498" s="328">
        <f t="shared" si="3924"/>
        <v>13.301373347904899</v>
      </c>
      <c r="AV498" s="328">
        <f t="shared" si="3924"/>
        <v>16.921196971419892</v>
      </c>
      <c r="AW498" s="328">
        <f t="shared" si="3924"/>
        <v>14.522981290611572</v>
      </c>
      <c r="AX498" s="328">
        <f t="shared" si="3924"/>
        <v>8.0822515223952216</v>
      </c>
      <c r="AY498" s="328">
        <f t="shared" si="3924"/>
        <v>8.7682966971420182</v>
      </c>
      <c r="AZ498" s="328">
        <f t="shared" si="3924"/>
        <v>14.884762895266599</v>
      </c>
      <c r="BA498" s="328">
        <f t="shared" si="3924"/>
        <v>13.268305573059713</v>
      </c>
      <c r="BB498" s="328">
        <f t="shared" si="3924"/>
        <v>14.372539404185014</v>
      </c>
      <c r="BC498" s="328">
        <f t="shared" si="3924"/>
        <v>15.095723362621799</v>
      </c>
      <c r="BD498" s="328">
        <f t="shared" si="3924"/>
        <v>15.691156283234143</v>
      </c>
      <c r="BE498" s="328">
        <f t="shared" si="3924"/>
        <v>15.8339741236358</v>
      </c>
      <c r="BF498" s="328">
        <f t="shared" si="3924"/>
        <v>11.013511352555296</v>
      </c>
      <c r="BG498" s="328">
        <f t="shared" si="3924"/>
        <v>13.994423231849913</v>
      </c>
      <c r="BH498" s="328">
        <f t="shared" si="3924"/>
        <v>13.845818118857803</v>
      </c>
      <c r="BI498" s="328">
        <f t="shared" si="3918"/>
        <v>14.982089434054053</v>
      </c>
      <c r="BJ498" s="328">
        <f t="shared" si="3918"/>
        <v>11.216207361542535</v>
      </c>
      <c r="BK498" s="328">
        <f t="shared" si="3919"/>
        <v>18.533525029344315</v>
      </c>
      <c r="BL498" s="328">
        <f t="shared" si="3919"/>
        <v>16.503792109039463</v>
      </c>
      <c r="BM498" s="328">
        <f t="shared" ref="BM498:BN498" si="3942">BM$42/BM471</f>
        <v>13.334932744324121</v>
      </c>
      <c r="BN498" s="328">
        <f t="shared" si="3942"/>
        <v>21.91121715252234</v>
      </c>
      <c r="BO498" s="329">
        <f t="shared" ref="BO498:BP498" si="3943">BO$42/BO471</f>
        <v>20.157975106946335</v>
      </c>
      <c r="BP498" s="328">
        <f t="shared" si="3943"/>
        <v>20.921107466899453</v>
      </c>
      <c r="BQ498" s="328">
        <f t="shared" ref="BQ498:BR498" si="3944">BQ$42/BQ471</f>
        <v>20.530028042658685</v>
      </c>
      <c r="BR498" s="328">
        <f t="shared" si="3944"/>
        <v>20.190766474440348</v>
      </c>
      <c r="BS498" s="328">
        <f t="shared" ref="BS498" si="3945">BS$42/BS471</f>
        <v>20.760869945943703</v>
      </c>
      <c r="BT498" s="328">
        <f>BT$42/BT471</f>
        <v>21.56496538345095</v>
      </c>
      <c r="BV498" s="328"/>
      <c r="BW498" s="328"/>
      <c r="BX498" s="328"/>
      <c r="BY498" s="328"/>
      <c r="BZ498" s="328"/>
      <c r="CA498" s="328"/>
      <c r="CB498" s="328"/>
      <c r="CC498" s="328"/>
      <c r="CD498" s="328"/>
      <c r="CE498" s="328"/>
      <c r="CF498" s="328"/>
      <c r="CG498" s="328"/>
      <c r="CH498" s="328"/>
      <c r="CI498" s="329"/>
      <c r="CJ498" s="328"/>
      <c r="CK498" s="328"/>
      <c r="CL498" s="328"/>
      <c r="CM498" s="328"/>
      <c r="CN498" s="328"/>
      <c r="CO498" s="330"/>
      <c r="CP498" s="330"/>
      <c r="CQ498" s="330"/>
      <c r="CR498" s="330"/>
      <c r="CS498" s="330"/>
      <c r="CT498" s="330"/>
      <c r="CU498" s="330"/>
      <c r="CV498" s="330"/>
      <c r="CW498" s="330"/>
    </row>
    <row r="499" spans="1:101" s="87" customFormat="1" ht="12" customHeight="1" outlineLevel="1">
      <c r="A499" s="91" t="s">
        <v>1080</v>
      </c>
      <c r="B499" s="87" t="s">
        <v>1081</v>
      </c>
      <c r="C499" s="328"/>
      <c r="D499" s="328">
        <f>D$42/D472</f>
        <v>39.138854079242776</v>
      </c>
      <c r="E499" s="328">
        <f t="shared" ref="E499:BH499" si="3946">E$42/E472</f>
        <v>27.883273490782361</v>
      </c>
      <c r="F499" s="328">
        <f t="shared" si="3946"/>
        <v>30.433075387791607</v>
      </c>
      <c r="G499" s="328">
        <f t="shared" si="3946"/>
        <v>22.418501684727055</v>
      </c>
      <c r="H499" s="328">
        <f t="shared" si="3946"/>
        <v>26.416786697294814</v>
      </c>
      <c r="I499" s="328">
        <f t="shared" si="3946"/>
        <v>23.528890493748829</v>
      </c>
      <c r="J499" s="328">
        <f t="shared" si="3946"/>
        <v>26.981686632942665</v>
      </c>
      <c r="K499" s="328">
        <f t="shared" si="3946"/>
        <v>25.421297250643757</v>
      </c>
      <c r="L499" s="328">
        <f t="shared" si="3946"/>
        <v>31.999595885233891</v>
      </c>
      <c r="M499" s="328">
        <f t="shared" ref="M499:N499" si="3947">M$42/M472</f>
        <v>24.647303065225351</v>
      </c>
      <c r="N499" s="328">
        <f t="shared" si="3947"/>
        <v>26.999561727873022</v>
      </c>
      <c r="O499" s="328">
        <f t="shared" ref="O499:P499" si="3948">O$42/O472</f>
        <v>26.608014609215683</v>
      </c>
      <c r="P499" s="328">
        <f t="shared" si="3948"/>
        <v>23.621940227043648</v>
      </c>
      <c r="Q499" s="328">
        <f t="shared" ref="Q499:R499" si="3949">Q$42/Q472</f>
        <v>22.374670610296924</v>
      </c>
      <c r="R499" s="328">
        <f t="shared" si="3949"/>
        <v>26.279712895404597</v>
      </c>
      <c r="S499" s="328">
        <f t="shared" ref="S499:T499" si="3950">S$42/S472</f>
        <v>26.081369213861386</v>
      </c>
      <c r="T499" s="328">
        <f t="shared" si="3950"/>
        <v>24.549485857636213</v>
      </c>
      <c r="U499" s="328">
        <f t="shared" ref="U499:V499" si="3951">U$42/U472</f>
        <v>26.552521470983216</v>
      </c>
      <c r="V499" s="328">
        <f t="shared" si="3951"/>
        <v>32.459279936101829</v>
      </c>
      <c r="W499" s="328">
        <f t="shared" ref="W499:X499" si="3952">W$42/W472</f>
        <v>26.1718912238352</v>
      </c>
      <c r="X499" s="328">
        <f t="shared" si="3952"/>
        <v>30.47697713433049</v>
      </c>
      <c r="Y499" s="328">
        <f t="shared" ref="Y499:Z499" si="3953">Y$42/Y472</f>
        <v>23.681303507318418</v>
      </c>
      <c r="Z499" s="328">
        <f t="shared" si="3953"/>
        <v>46.07992484260231</v>
      </c>
      <c r="AA499" s="328">
        <f t="shared" ref="AA499:AB499" si="3954">AA$42/AA472</f>
        <v>27.039985845718331</v>
      </c>
      <c r="AB499" s="328">
        <f t="shared" si="3954"/>
        <v>32.357716511627906</v>
      </c>
      <c r="AC499" s="328">
        <f t="shared" ref="AC499:AD499" si="3955">AC$42/AC472</f>
        <v>28.775526446234018</v>
      </c>
      <c r="AD499" s="328">
        <f t="shared" si="3955"/>
        <v>25.317802841442006</v>
      </c>
      <c r="AE499" s="328">
        <f t="shared" ref="AE499:AF499" si="3956">AE$42/AE472</f>
        <v>23.548488560503415</v>
      </c>
      <c r="AF499" s="328">
        <f t="shared" si="3956"/>
        <v>45.433916633416239</v>
      </c>
      <c r="AG499" s="328">
        <f t="shared" ref="AG499:AH499" si="3957">AG$42/AG472</f>
        <v>36.547189625966304</v>
      </c>
      <c r="AH499" s="328">
        <f t="shared" si="3957"/>
        <v>54.720641542881026</v>
      </c>
      <c r="AI499" s="328">
        <f t="shared" ref="AI499:AJ499" si="3958">AI$42/AI472</f>
        <v>35.473963143589742</v>
      </c>
      <c r="AJ499" s="329">
        <f t="shared" si="3958"/>
        <v>50.225474171973765</v>
      </c>
      <c r="AK499" s="328">
        <f t="shared" ref="AK499" si="3959">AK$42/AK472</f>
        <v>34.289467159890151</v>
      </c>
      <c r="AL499" s="328">
        <f t="shared" ref="AL499:AM499" si="3960">AL$42/AL472</f>
        <v>42.076929925376632</v>
      </c>
      <c r="AM499" s="328">
        <f t="shared" si="3960"/>
        <v>37.766688858550779</v>
      </c>
      <c r="AN499" s="328">
        <f t="shared" ref="AN499:AO499" si="3961">AN$42/AN472</f>
        <v>41.823088050917271</v>
      </c>
      <c r="AO499" s="328">
        <f t="shared" si="3961"/>
        <v>36.709955354621457</v>
      </c>
      <c r="AP499" s="328">
        <f t="shared" ref="AP499:AQ499" si="3962">AP$42/AP472</f>
        <v>42.604798703050548</v>
      </c>
      <c r="AQ499" s="328">
        <f t="shared" si="3962"/>
        <v>37.987949612760517</v>
      </c>
      <c r="AR499" s="328">
        <f t="shared" ref="AR499:AS499" si="3963">AR$42/AR472</f>
        <v>43.547238243202848</v>
      </c>
      <c r="AS499" s="328">
        <f t="shared" si="3963"/>
        <v>39.965547314907681</v>
      </c>
      <c r="AT499" s="328"/>
      <c r="AU499" s="328">
        <f t="shared" si="3946"/>
        <v>12.995581952969792</v>
      </c>
      <c r="AV499" s="328">
        <f t="shared" si="3946"/>
        <v>16.159216769175071</v>
      </c>
      <c r="AW499" s="328">
        <f t="shared" si="3946"/>
        <v>13.988932176750046</v>
      </c>
      <c r="AX499" s="328">
        <f t="shared" si="3946"/>
        <v>7.8765012920892801</v>
      </c>
      <c r="AY499" s="328">
        <f t="shared" si="3946"/>
        <v>8.7386745322035804</v>
      </c>
      <c r="AZ499" s="328">
        <f t="shared" si="3946"/>
        <v>14.756293392765622</v>
      </c>
      <c r="BA499" s="328">
        <f t="shared" si="3946"/>
        <v>12.954307325950738</v>
      </c>
      <c r="BB499" s="328">
        <f t="shared" si="3946"/>
        <v>13.842596638699796</v>
      </c>
      <c r="BC499" s="328">
        <f t="shared" si="3946"/>
        <v>14.790786865565346</v>
      </c>
      <c r="BD499" s="328">
        <f t="shared" si="3946"/>
        <v>15.103330826243612</v>
      </c>
      <c r="BE499" s="328">
        <f t="shared" si="3946"/>
        <v>15.265194385557782</v>
      </c>
      <c r="BF499" s="328">
        <f t="shared" si="3946"/>
        <v>10.673227415581755</v>
      </c>
      <c r="BG499" s="328">
        <f t="shared" si="3946"/>
        <v>13.715659958333333</v>
      </c>
      <c r="BH499" s="328">
        <f t="shared" si="3946"/>
        <v>13.577228074468087</v>
      </c>
      <c r="BI499" s="328">
        <f t="shared" si="3918"/>
        <v>14.651532656226411</v>
      </c>
      <c r="BJ499" s="328">
        <f t="shared" si="3918"/>
        <v>10.840230587158574</v>
      </c>
      <c r="BK499" s="328">
        <f t="shared" si="3919"/>
        <v>18.131044649509604</v>
      </c>
      <c r="BL499" s="328">
        <f t="shared" si="3919"/>
        <v>15.984093691515685</v>
      </c>
      <c r="BM499" s="328">
        <f t="shared" ref="BM499:BN499" si="3964">BM$42/BM472</f>
        <v>12.97913647635022</v>
      </c>
      <c r="BN499" s="328">
        <f t="shared" si="3964"/>
        <v>21.787955292525847</v>
      </c>
      <c r="BO499" s="329">
        <f t="shared" ref="BO499:BP499" si="3965">BO$42/BO472</f>
        <v>20.078480953167734</v>
      </c>
      <c r="BP499" s="328">
        <f t="shared" si="3965"/>
        <v>20.743874453244395</v>
      </c>
      <c r="BQ499" s="328">
        <f t="shared" ref="BQ499:BR499" si="3966">BQ$42/BQ472</f>
        <v>20.319125418094405</v>
      </c>
      <c r="BR499" s="328">
        <f t="shared" si="3966"/>
        <v>19.951541804075912</v>
      </c>
      <c r="BS499" s="328">
        <f t="shared" ref="BS499" si="3967">BS$42/BS472</f>
        <v>20.498022885063559</v>
      </c>
      <c r="BT499" s="328">
        <f>BT$42/BT472</f>
        <v>21.278175769105793</v>
      </c>
      <c r="BV499" s="328"/>
      <c r="BW499" s="328"/>
      <c r="BX499" s="328"/>
      <c r="BY499" s="328"/>
      <c r="BZ499" s="328"/>
      <c r="CA499" s="328"/>
      <c r="CB499" s="328"/>
      <c r="CC499" s="328"/>
      <c r="CD499" s="328"/>
      <c r="CE499" s="328"/>
      <c r="CF499" s="328"/>
      <c r="CG499" s="328"/>
      <c r="CH499" s="328"/>
      <c r="CI499" s="329"/>
      <c r="CJ499" s="328"/>
      <c r="CK499" s="328"/>
      <c r="CL499" s="328"/>
      <c r="CM499" s="328"/>
      <c r="CN499" s="328"/>
      <c r="CO499" s="330"/>
      <c r="CP499" s="330"/>
      <c r="CQ499" s="330"/>
      <c r="CR499" s="330"/>
      <c r="CS499" s="330"/>
      <c r="CT499" s="330"/>
      <c r="CU499" s="330"/>
      <c r="CV499" s="330"/>
      <c r="CW499" s="330"/>
    </row>
    <row r="500" spans="1:101" s="87" customFormat="1" ht="12" customHeight="1" outlineLevel="1">
      <c r="A500" s="91" t="s">
        <v>1082</v>
      </c>
      <c r="B500" s="87" t="s">
        <v>1083</v>
      </c>
      <c r="C500" s="328"/>
      <c r="D500" s="328">
        <f>D$42/D474</f>
        <v>39.30155493356424</v>
      </c>
      <c r="E500" s="328">
        <f t="shared" ref="E500:BH500" si="3968">E$42/E474</f>
        <v>28.184135480114708</v>
      </c>
      <c r="F500" s="328">
        <f t="shared" si="3968"/>
        <v>30.983757984172531</v>
      </c>
      <c r="G500" s="328">
        <f t="shared" si="3968"/>
        <v>23.053028911923644</v>
      </c>
      <c r="H500" s="328">
        <f t="shared" si="3968"/>
        <v>26.812461151477198</v>
      </c>
      <c r="I500" s="328">
        <f t="shared" si="3968"/>
        <v>24.420865150629734</v>
      </c>
      <c r="J500" s="328">
        <f t="shared" si="3968"/>
        <v>28.540330332578876</v>
      </c>
      <c r="K500" s="328">
        <f t="shared" si="3968"/>
        <v>26.139809323504966</v>
      </c>
      <c r="L500" s="328">
        <f t="shared" si="3968"/>
        <v>33.126232700681506</v>
      </c>
      <c r="M500" s="328">
        <f t="shared" ref="M500:N500" si="3969">M$42/M474</f>
        <v>25.832661229869622</v>
      </c>
      <c r="N500" s="328">
        <f t="shared" si="3969"/>
        <v>28.106420663126848</v>
      </c>
      <c r="O500" s="328">
        <f t="shared" ref="O500:P500" si="3970">O$42/O474</f>
        <v>27.811907442212675</v>
      </c>
      <c r="P500" s="328">
        <f t="shared" si="3970"/>
        <v>24.72952184234201</v>
      </c>
      <c r="Q500" s="328">
        <f t="shared" ref="Q500:R500" si="3971">Q$42/Q474</f>
        <v>22.655768429285033</v>
      </c>
      <c r="R500" s="328">
        <f t="shared" si="3971"/>
        <v>26.884100007187499</v>
      </c>
      <c r="S500" s="328">
        <f t="shared" ref="S500:T500" si="3972">S$42/S474</f>
        <v>26.750292456478405</v>
      </c>
      <c r="T500" s="328">
        <f t="shared" si="3972"/>
        <v>25.242487840250785</v>
      </c>
      <c r="U500" s="328">
        <f t="shared" ref="U500:V500" si="3973">U$42/U474</f>
        <v>27.1270885363841</v>
      </c>
      <c r="V500" s="328">
        <f t="shared" si="3973"/>
        <v>32.9021154092841</v>
      </c>
      <c r="W500" s="328">
        <f t="shared" ref="W500:X500" si="3974">W$42/W474</f>
        <v>26.980214488362563</v>
      </c>
      <c r="X500" s="328">
        <f t="shared" si="3974"/>
        <v>31.244670826066226</v>
      </c>
      <c r="Y500" s="328">
        <f t="shared" ref="Y500:Z500" si="3975">Y$42/Y474</f>
        <v>24.451097804391217</v>
      </c>
      <c r="Z500" s="328">
        <f t="shared" si="3975"/>
        <v>46.720616604330715</v>
      </c>
      <c r="AA500" s="328">
        <f t="shared" ref="AA500:AB500" si="3976">AA$42/AA474</f>
        <v>27.990842490842493</v>
      </c>
      <c r="AB500" s="328">
        <f t="shared" si="3976"/>
        <v>33.373035850000001</v>
      </c>
      <c r="AC500" s="328">
        <f t="shared" ref="AC500:AD500" si="3977">AC$42/AC474</f>
        <v>29.861023458671099</v>
      </c>
      <c r="AD500" s="328">
        <f t="shared" si="3977"/>
        <v>26.103749708849559</v>
      </c>
      <c r="AE500" s="328">
        <f t="shared" ref="AE500:AF500" si="3978">AE$42/AE474</f>
        <v>24.213090348555149</v>
      </c>
      <c r="AF500" s="328">
        <f t="shared" si="3978"/>
        <v>45.809548770623657</v>
      </c>
      <c r="AG500" s="328">
        <f t="shared" ref="AG500:AH500" si="3979">AG$42/AG474</f>
        <v>36.648993395419474</v>
      </c>
      <c r="AH500" s="328">
        <f t="shared" si="3979"/>
        <v>54.936214203090451</v>
      </c>
      <c r="AI500" s="328">
        <f t="shared" ref="AI500:AJ500" si="3980">AI$42/AI474</f>
        <v>35.594000297065897</v>
      </c>
      <c r="AJ500" s="329">
        <f t="shared" si="3980"/>
        <v>50.427125968698057</v>
      </c>
      <c r="AK500" s="328">
        <f t="shared" ref="AK500" si="3981">AK$42/AK474</f>
        <v>34.685127228375357</v>
      </c>
      <c r="AL500" s="328">
        <f t="shared" ref="AL500:AM500" si="3982">AL$42/AL474</f>
        <v>42.459462635775935</v>
      </c>
      <c r="AM500" s="328">
        <f t="shared" si="3982"/>
        <v>38.200963202259814</v>
      </c>
      <c r="AN500" s="328">
        <f t="shared" ref="AN500:AO500" si="3983">AN$42/AN474</f>
        <v>42.268598093543851</v>
      </c>
      <c r="AO500" s="328">
        <f t="shared" si="3983"/>
        <v>37.191476712735032</v>
      </c>
      <c r="AP500" s="328">
        <f t="shared" ref="AP500:AQ500" si="3984">AP$42/AP474</f>
        <v>43.102619971855866</v>
      </c>
      <c r="AQ500" s="328">
        <f t="shared" si="3984"/>
        <v>38.512047494199713</v>
      </c>
      <c r="AR500" s="328">
        <f t="shared" ref="AR500:AS500" si="3985">AR$42/AR474</f>
        <v>44.096125849382069</v>
      </c>
      <c r="AS500" s="328">
        <f t="shared" si="3985"/>
        <v>40.534923213258814</v>
      </c>
      <c r="AT500" s="328"/>
      <c r="AU500" s="328">
        <f t="shared" si="3968"/>
        <v>13.301373347904899</v>
      </c>
      <c r="AV500" s="328">
        <f t="shared" si="3968"/>
        <v>16.921196971419892</v>
      </c>
      <c r="AW500" s="328">
        <f t="shared" si="3968"/>
        <v>14.522981290611572</v>
      </c>
      <c r="AX500" s="328">
        <f t="shared" si="3968"/>
        <v>8.0822515223952216</v>
      </c>
      <c r="AY500" s="328">
        <f t="shared" si="3968"/>
        <v>8.7682966971420182</v>
      </c>
      <c r="AZ500" s="328">
        <f t="shared" si="3968"/>
        <v>14.884762895266599</v>
      </c>
      <c r="BA500" s="328">
        <f t="shared" si="3968"/>
        <v>13.268305573059713</v>
      </c>
      <c r="BB500" s="328">
        <f t="shared" si="3968"/>
        <v>14.372539404185014</v>
      </c>
      <c r="BC500" s="328">
        <f t="shared" si="3968"/>
        <v>15.095723362621799</v>
      </c>
      <c r="BD500" s="328">
        <f t="shared" si="3968"/>
        <v>15.691156283234143</v>
      </c>
      <c r="BE500" s="328">
        <f t="shared" si="3968"/>
        <v>15.8339741236358</v>
      </c>
      <c r="BF500" s="328">
        <f t="shared" si="3968"/>
        <v>11.013511352555296</v>
      </c>
      <c r="BG500" s="328">
        <f t="shared" si="3968"/>
        <v>13.994423231849913</v>
      </c>
      <c r="BH500" s="328">
        <f t="shared" si="3968"/>
        <v>13.845818118857803</v>
      </c>
      <c r="BI500" s="328">
        <f t="shared" ref="BI500:BN500" si="3986">BI$42/BI474</f>
        <v>14.982089434054053</v>
      </c>
      <c r="BJ500" s="328">
        <f t="shared" si="3986"/>
        <v>11.216207361542535</v>
      </c>
      <c r="BK500" s="328">
        <f t="shared" si="3986"/>
        <v>18.533525029344315</v>
      </c>
      <c r="BL500" s="328">
        <f t="shared" si="3986"/>
        <v>16.503792109039463</v>
      </c>
      <c r="BM500" s="328">
        <f t="shared" si="3986"/>
        <v>13.334932744324121</v>
      </c>
      <c r="BN500" s="328">
        <f t="shared" si="3986"/>
        <v>21.91121715252234</v>
      </c>
      <c r="BO500" s="329">
        <f t="shared" ref="BO500:BP500" si="3987">BO$42/BO474</f>
        <v>20.157975106946335</v>
      </c>
      <c r="BP500" s="328">
        <f t="shared" si="3987"/>
        <v>20.921107466899453</v>
      </c>
      <c r="BQ500" s="328">
        <f t="shared" ref="BQ500:BR500" si="3988">BQ$42/BQ474</f>
        <v>20.530028042658685</v>
      </c>
      <c r="BR500" s="328">
        <f t="shared" si="3988"/>
        <v>20.190766474440348</v>
      </c>
      <c r="BS500" s="328">
        <f t="shared" ref="BS500" si="3989">BS$42/BS474</f>
        <v>20.760869945943703</v>
      </c>
      <c r="BT500" s="328">
        <f>BT$42/BT474</f>
        <v>21.56496538345095</v>
      </c>
      <c r="BV500" s="328"/>
      <c r="BW500" s="328"/>
      <c r="BX500" s="328"/>
      <c r="BY500" s="328"/>
      <c r="BZ500" s="328"/>
      <c r="CA500" s="328"/>
      <c r="CB500" s="328"/>
      <c r="CC500" s="328"/>
      <c r="CD500" s="328"/>
      <c r="CE500" s="328"/>
      <c r="CF500" s="328"/>
      <c r="CG500" s="328"/>
      <c r="CH500" s="328"/>
      <c r="CI500" s="329"/>
      <c r="CJ500" s="328"/>
      <c r="CK500" s="328"/>
      <c r="CL500" s="328"/>
      <c r="CM500" s="328"/>
      <c r="CN500" s="328"/>
      <c r="CO500" s="330"/>
      <c r="CP500" s="330"/>
      <c r="CQ500" s="330"/>
      <c r="CR500" s="330"/>
      <c r="CS500" s="330"/>
      <c r="CT500" s="330"/>
      <c r="CU500" s="330"/>
      <c r="CV500" s="330"/>
      <c r="CW500" s="330"/>
    </row>
    <row r="501" spans="1:101" s="87" customFormat="1" ht="12" customHeight="1" outlineLevel="1">
      <c r="A501" s="91" t="s">
        <v>1084</v>
      </c>
      <c r="B501" s="87" t="s">
        <v>1085</v>
      </c>
      <c r="C501" s="328"/>
      <c r="D501" s="328">
        <f>D$42/D476</f>
        <v>28.276788995410698</v>
      </c>
      <c r="E501" s="328">
        <f t="shared" ref="E501:BH501" si="3990">E$42/E476</f>
        <v>18.797342577611246</v>
      </c>
      <c r="F501" s="328">
        <f t="shared" si="3990"/>
        <v>21.138506115778462</v>
      </c>
      <c r="G501" s="328">
        <f t="shared" si="3990"/>
        <v>14.737586458603861</v>
      </c>
      <c r="H501" s="328">
        <f t="shared" si="3990"/>
        <v>15.597437467841427</v>
      </c>
      <c r="I501" s="328">
        <f t="shared" si="3990"/>
        <v>12.693631685382568</v>
      </c>
      <c r="J501" s="328">
        <f t="shared" si="3990"/>
        <v>14.940272763695527</v>
      </c>
      <c r="K501" s="328">
        <f t="shared" si="3990"/>
        <v>11.695338977798697</v>
      </c>
      <c r="L501" s="328">
        <f t="shared" si="3990"/>
        <v>16.406422641711078</v>
      </c>
      <c r="M501" s="328">
        <f t="shared" ref="M501:N501" si="3991">M$42/M476</f>
        <v>12.177860247954072</v>
      </c>
      <c r="N501" s="328">
        <f t="shared" si="3991"/>
        <v>13.885488888620412</v>
      </c>
      <c r="O501" s="328">
        <f t="shared" ref="O501:P501" si="3992">O$42/O476</f>
        <v>13.077748676978457</v>
      </c>
      <c r="P501" s="328">
        <f t="shared" si="3992"/>
        <v>12.179496546731459</v>
      </c>
      <c r="Q501" s="328">
        <f t="shared" ref="Q501:R501" si="3993">Q$42/Q476</f>
        <v>12.9126771025153</v>
      </c>
      <c r="R501" s="328">
        <f t="shared" si="3993"/>
        <v>14.88737555647991</v>
      </c>
      <c r="S501" s="328">
        <f t="shared" ref="S501:T501" si="3994">S$42/S476</f>
        <v>16.26973677518248</v>
      </c>
      <c r="T501" s="328">
        <f t="shared" si="3994"/>
        <v>15.865404457291444</v>
      </c>
      <c r="U501" s="328">
        <f t="shared" ref="U501:V501" si="3995">U$42/U476</f>
        <v>16.742542520262099</v>
      </c>
      <c r="V501" s="328">
        <f t="shared" si="3995"/>
        <v>22.909216664615386</v>
      </c>
      <c r="W501" s="328">
        <f t="shared" ref="W501:X501" si="3996">W$42/W476</f>
        <v>15.923383401916412</v>
      </c>
      <c r="X501" s="328">
        <f t="shared" si="3996"/>
        <v>21.621867557655385</v>
      </c>
      <c r="Y501" s="328">
        <f t="shared" ref="Y501:Z501" si="3997">Y$42/Y476</f>
        <v>11.600543109748028</v>
      </c>
      <c r="Z501" s="328">
        <f t="shared" si="3997"/>
        <v>25.831863749999997</v>
      </c>
      <c r="AA501" s="328">
        <f t="shared" ref="AA501:AB501" si="3998">AA$42/AA476</f>
        <v>19.435918057541222</v>
      </c>
      <c r="AB501" s="328">
        <f t="shared" si="3998"/>
        <v>21.586361976391231</v>
      </c>
      <c r="AC501" s="328">
        <f t="shared" ref="AC501:AD501" si="3999">AC$42/AC476</f>
        <v>18.189966631822191</v>
      </c>
      <c r="AD501" s="328">
        <f t="shared" si="3999"/>
        <v>17.059340297205793</v>
      </c>
      <c r="AE501" s="328">
        <f t="shared" ref="AE501:AF501" si="4000">AE$42/AE476</f>
        <v>15.849067445972894</v>
      </c>
      <c r="AF501" s="328">
        <f t="shared" si="4000"/>
        <v>33.142029902817505</v>
      </c>
      <c r="AG501" s="328">
        <f t="shared" ref="AG501:AH501" si="4001">AG$42/AG476</f>
        <v>28.552934055439408</v>
      </c>
      <c r="AH501" s="328">
        <f t="shared" si="4001"/>
        <v>35.872933220564924</v>
      </c>
      <c r="AI501" s="328">
        <f t="shared" ref="AI501:AJ501" si="4002">AI$42/AI476</f>
        <v>23.533267011841673</v>
      </c>
      <c r="AJ501" s="329">
        <f t="shared" si="4002"/>
        <v>32.41071509444982</v>
      </c>
      <c r="AK501" s="328">
        <f t="shared" ref="AK501" si="4003">AK$42/AK476</f>
        <v>22.22685253499268</v>
      </c>
      <c r="AL501" s="328">
        <f t="shared" ref="AL501:AM501" si="4004">AL$42/AL476</f>
        <v>27.260248405493797</v>
      </c>
      <c r="AM501" s="328">
        <f t="shared" si="4004"/>
        <v>26.811489959236187</v>
      </c>
      <c r="AN501" s="328">
        <f t="shared" ref="AN501:AO501" si="4005">AN$42/AN476</f>
        <v>26.785699451329293</v>
      </c>
      <c r="AO501" s="328">
        <f t="shared" si="4005"/>
        <v>26.133137500225924</v>
      </c>
      <c r="AP501" s="328">
        <f t="shared" ref="AP501:AQ501" si="4006">AP$42/AP476</f>
        <v>27.219313133024055</v>
      </c>
      <c r="AQ501" s="328">
        <f t="shared" si="4006"/>
        <v>26.906740955816787</v>
      </c>
      <c r="AR501" s="328">
        <f t="shared" ref="AR501:AS501" si="4007">AR$42/AR476</f>
        <v>27.963771702393672</v>
      </c>
      <c r="AS501" s="328">
        <f t="shared" si="4007"/>
        <v>28.37293599888466</v>
      </c>
      <c r="AT501" s="328"/>
      <c r="AU501" s="328">
        <f t="shared" si="3990"/>
        <v>8.8750315776379054</v>
      </c>
      <c r="AV501" s="328">
        <f t="shared" si="3990"/>
        <v>11.188089614939052</v>
      </c>
      <c r="AW501" s="328">
        <f t="shared" si="3990"/>
        <v>10.399292568386846</v>
      </c>
      <c r="AX501" s="328">
        <f t="shared" si="3990"/>
        <v>6.1397889449360017</v>
      </c>
      <c r="AY501" s="328">
        <f t="shared" si="3990"/>
        <v>5.1083124278854486</v>
      </c>
      <c r="AZ501" s="328">
        <f t="shared" si="3990"/>
        <v>10.260998716823778</v>
      </c>
      <c r="BA501" s="328">
        <f t="shared" si="3990"/>
        <v>8.8522643342451079</v>
      </c>
      <c r="BB501" s="328">
        <f t="shared" si="3990"/>
        <v>7.74418883614557</v>
      </c>
      <c r="BC501" s="328">
        <f t="shared" si="3990"/>
        <v>7.3304401654934903</v>
      </c>
      <c r="BD501" s="328">
        <f t="shared" si="3990"/>
        <v>7.5710121221221183</v>
      </c>
      <c r="BE501" s="328">
        <f t="shared" si="3990"/>
        <v>7.6453650034058223</v>
      </c>
      <c r="BF501" s="328">
        <f t="shared" si="3990"/>
        <v>5.8020247110058518</v>
      </c>
      <c r="BG501" s="328">
        <f t="shared" si="3990"/>
        <v>8.1644514746335961</v>
      </c>
      <c r="BH501" s="328">
        <f t="shared" si="3990"/>
        <v>8.6639021968668413</v>
      </c>
      <c r="BI501" s="328">
        <f t="shared" ref="BI501:BN501" si="4008">BI$42/BI476</f>
        <v>9.4891800095315677</v>
      </c>
      <c r="BJ501" s="328">
        <f t="shared" si="4008"/>
        <v>6.3584441094236759</v>
      </c>
      <c r="BK501" s="328">
        <f t="shared" si="4008"/>
        <v>11.931872308275786</v>
      </c>
      <c r="BL501" s="328">
        <f t="shared" si="4008"/>
        <v>10.339313725825768</v>
      </c>
      <c r="BM501" s="328">
        <f t="shared" si="4008"/>
        <v>8.7399127440800441</v>
      </c>
      <c r="BN501" s="328">
        <f t="shared" si="4008"/>
        <v>16.547504748754768</v>
      </c>
      <c r="BO501" s="329">
        <f t="shared" ref="BO501:BP501" si="4009">BO$42/BO476</f>
        <v>13.251279656511327</v>
      </c>
      <c r="BP501" s="328">
        <f t="shared" si="4009"/>
        <v>13.422504509358689</v>
      </c>
      <c r="BQ501" s="328">
        <f t="shared" ref="BQ501:BR501" si="4010">BQ$42/BQ476</f>
        <v>13.812529587945434</v>
      </c>
      <c r="BR501" s="328">
        <f t="shared" si="4010"/>
        <v>13.515029492156593</v>
      </c>
      <c r="BS501" s="328">
        <f t="shared" ref="BS501" si="4011">BS$42/BS476</f>
        <v>13.826977766066443</v>
      </c>
      <c r="BT501" s="328">
        <f>BT$42/BT476</f>
        <v>14.395557921862608</v>
      </c>
      <c r="BV501" s="328"/>
      <c r="BW501" s="328"/>
      <c r="BX501" s="328"/>
      <c r="BY501" s="328"/>
      <c r="BZ501" s="328"/>
      <c r="CA501" s="328"/>
      <c r="CB501" s="328"/>
      <c r="CC501" s="328"/>
      <c r="CD501" s="328"/>
      <c r="CE501" s="328"/>
      <c r="CF501" s="328"/>
      <c r="CG501" s="328"/>
      <c r="CH501" s="328"/>
      <c r="CI501" s="329"/>
      <c r="CJ501" s="328"/>
      <c r="CK501" s="328"/>
      <c r="CL501" s="328"/>
      <c r="CM501" s="328"/>
      <c r="CN501" s="328"/>
      <c r="CO501" s="330"/>
      <c r="CP501" s="330"/>
      <c r="CQ501" s="330"/>
      <c r="CR501" s="330"/>
      <c r="CS501" s="330"/>
      <c r="CT501" s="330"/>
      <c r="CU501" s="330"/>
      <c r="CV501" s="330"/>
      <c r="CW501" s="330"/>
    </row>
    <row r="502" spans="1:101" s="87" customFormat="1" ht="12" customHeight="1" outlineLevel="1">
      <c r="A502" s="91" t="s">
        <v>1086</v>
      </c>
      <c r="B502" s="87" t="s">
        <v>1087</v>
      </c>
      <c r="C502" s="145"/>
      <c r="D502" s="145">
        <f t="shared" ref="D502" si="4012">D477/D$42*2</f>
        <v>2.9255808965715255E-2</v>
      </c>
      <c r="E502" s="145">
        <f>E477/E$42*2</f>
        <v>4.2326812576667316E-2</v>
      </c>
      <c r="F502" s="145">
        <f t="shared" ref="F502:BH502" si="4013">F477/F$42*2</f>
        <v>4.7420673413888816E-2</v>
      </c>
      <c r="G502" s="145">
        <f t="shared" si="4013"/>
        <v>5.4643199466570362E-2</v>
      </c>
      <c r="H502" s="145">
        <f t="shared" si="4013"/>
        <v>5.6841403227957853E-2</v>
      </c>
      <c r="I502" s="145">
        <f t="shared" si="4013"/>
        <v>5.1580349743514435E-2</v>
      </c>
      <c r="J502" s="145">
        <f t="shared" si="4013"/>
        <v>5.270397736205E-2</v>
      </c>
      <c r="K502" s="145">
        <f t="shared" si="4013"/>
        <v>6.729274327756854E-2</v>
      </c>
      <c r="L502" s="331">
        <f t="shared" si="4013"/>
        <v>4.1743692708012758E-2</v>
      </c>
      <c r="M502" s="331">
        <f t="shared" ref="M502:N502" si="4014">M477/M$42*2</f>
        <v>9.5159675470395319E-2</v>
      </c>
      <c r="N502" s="331">
        <f t="shared" si="4014"/>
        <v>4.5146726862302484E-2</v>
      </c>
      <c r="O502" s="331">
        <f t="shared" ref="O502:P502" si="4015">O477/O$42*2</f>
        <v>5.2171644711099516E-2</v>
      </c>
      <c r="P502" s="331">
        <f t="shared" si="4015"/>
        <v>4.1742760240020875E-2</v>
      </c>
      <c r="Q502" s="331">
        <f t="shared" ref="Q502:R502" si="4016">Q477/Q$42*2</f>
        <v>7.2628234226055369E-2</v>
      </c>
      <c r="R502" s="331">
        <f t="shared" si="4016"/>
        <v>4.637539663168172E-2</v>
      </c>
      <c r="S502" s="331">
        <f t="shared" ref="S502:T502" si="4017">S477/S$42*2</f>
        <v>6.2084257206208422E-2</v>
      </c>
      <c r="T502" s="331">
        <f t="shared" si="4017"/>
        <v>4.5094588649362069E-2</v>
      </c>
      <c r="U502" s="331">
        <f t="shared" ref="U502:V502" si="4018">U477/U$42*2</f>
        <v>6.2196307094266275E-2</v>
      </c>
      <c r="V502" s="331">
        <f t="shared" si="4018"/>
        <v>3.4116153602031095E-2</v>
      </c>
      <c r="W502" s="331">
        <f t="shared" ref="W502:X502" si="4019">W477/W$42*2</f>
        <v>5.5632823365785823E-2</v>
      </c>
      <c r="X502" s="331">
        <f t="shared" si="4019"/>
        <v>3.8144644491913335E-2</v>
      </c>
      <c r="Y502" s="331">
        <f t="shared" ref="Y502:Z502" si="4020">Y477/Y$42*2</f>
        <v>4.198250728862974E-2</v>
      </c>
      <c r="Z502" s="331">
        <f t="shared" si="4020"/>
        <v>2.1176470588235297E-2</v>
      </c>
      <c r="AA502" s="331">
        <f t="shared" ref="AA502:AB502" si="4021">AA477/AA$42*2</f>
        <v>4.3839560295753449E-2</v>
      </c>
      <c r="AB502" s="331">
        <f t="shared" si="4021"/>
        <v>2.9890109890109894E-2</v>
      </c>
      <c r="AC502" s="331">
        <f t="shared" ref="AC502:AD502" si="4022">AC477/AC$42*2</f>
        <v>3.4436955773109658E-2</v>
      </c>
      <c r="AD502" s="331">
        <f t="shared" si="4022"/>
        <v>3.9282440748985202E-2</v>
      </c>
      <c r="AE502" s="331">
        <f t="shared" ref="AE502:AF502" si="4023">AE477/AE$42*2</f>
        <v>5.123534099965843E-2</v>
      </c>
      <c r="AF502" s="331">
        <f t="shared" si="4023"/>
        <v>3.040600965837954E-2</v>
      </c>
      <c r="AG502" s="331">
        <f t="shared" ref="AG502:AH502" si="4024">AG477/AG$42*2</f>
        <v>3.8557836755132704E-2</v>
      </c>
      <c r="AH502" s="331">
        <f t="shared" si="4024"/>
        <v>2.2378103886043811E-2</v>
      </c>
      <c r="AI502" s="331">
        <f t="shared" ref="AI502:AJ502" si="4025">AI477/AI$42*2</f>
        <v>3.9666395443449964E-2</v>
      </c>
      <c r="AJ502" s="332">
        <f t="shared" si="4025"/>
        <v>2.5532302922536814E-2</v>
      </c>
      <c r="AK502" s="145">
        <f t="shared" ref="AK502" si="4026">AK477/AK$42*2</f>
        <v>3.4904436344820711E-2</v>
      </c>
      <c r="AL502" s="145">
        <f t="shared" ref="AL502:AM502" si="4027">AL477/AL$42*2</f>
        <v>2.8391493307373478E-2</v>
      </c>
      <c r="AM502" s="145">
        <f t="shared" si="4027"/>
        <v>3.3561958023866065E-2</v>
      </c>
      <c r="AN502" s="145">
        <f t="shared" ref="AN502:AO502" si="4028">AN477/AN$42*2</f>
        <v>2.9058304936441286E-2</v>
      </c>
      <c r="AO502" s="145">
        <f t="shared" si="4028"/>
        <v>3.5856792760540664E-2</v>
      </c>
      <c r="AP502" s="145">
        <f t="shared" ref="AP502:AQ502" si="4029">AP477/AP$42*2</f>
        <v>2.7310436970339552E-2</v>
      </c>
      <c r="AQ502" s="145">
        <f t="shared" si="4029"/>
        <v>3.0825530144742277E-2</v>
      </c>
      <c r="AR502" s="145">
        <f t="shared" ref="AR502:AS502" si="4030">AR477/AR$42*2</f>
        <v>2.6933369793234265E-2</v>
      </c>
      <c r="AS502" s="145">
        <f t="shared" si="4030"/>
        <v>3.068316028103826E-2</v>
      </c>
      <c r="AT502" s="145"/>
      <c r="AU502" s="145">
        <f t="shared" si="4013"/>
        <v>8.3695211722039795E-2</v>
      </c>
      <c r="AV502" s="145">
        <f t="shared" si="4013"/>
        <v>6.6479164636006061E-2</v>
      </c>
      <c r="AW502" s="145">
        <f t="shared" si="4013"/>
        <v>7.61306384463767E-2</v>
      </c>
      <c r="AX502" s="145">
        <f t="shared" si="4013"/>
        <v>0.13062853380614387</v>
      </c>
      <c r="AY502" s="145">
        <f t="shared" si="4013"/>
        <v>0.13677946605116947</v>
      </c>
      <c r="AZ502" s="145">
        <f t="shared" si="4013"/>
        <v>7.8727871392601206E-2</v>
      </c>
      <c r="BA502" s="145">
        <f t="shared" si="4013"/>
        <v>0.10163635100782087</v>
      </c>
      <c r="BB502" s="145">
        <f t="shared" si="4013"/>
        <v>9.6283319521226943E-2</v>
      </c>
      <c r="BC502" s="145">
        <f t="shared" si="4013"/>
        <v>0.10766838924410967</v>
      </c>
      <c r="BD502" s="331">
        <f t="shared" si="4013"/>
        <v>0.12911099602969103</v>
      </c>
      <c r="BE502" s="331">
        <f t="shared" si="4013"/>
        <v>8.6083213773314196E-2</v>
      </c>
      <c r="BF502" s="331">
        <f t="shared" si="4013"/>
        <v>0.12104705704342562</v>
      </c>
      <c r="BG502" s="331">
        <f t="shared" si="4013"/>
        <v>0.10421286031042126</v>
      </c>
      <c r="BH502" s="331">
        <f t="shared" si="4013"/>
        <v>0.1020408163265306</v>
      </c>
      <c r="BI502" s="331">
        <f t="shared" ref="BI502:BN502" si="4031">BI477/BI$42*2</f>
        <v>8.8857981764796798E-2</v>
      </c>
      <c r="BJ502" s="331">
        <f t="shared" si="4031"/>
        <v>0.10029154518950437</v>
      </c>
      <c r="BK502" s="331">
        <f t="shared" si="4031"/>
        <v>6.150624877314663E-2</v>
      </c>
      <c r="BL502" s="331">
        <f t="shared" si="4031"/>
        <v>6.1199389973926308E-2</v>
      </c>
      <c r="BM502" s="331">
        <f t="shared" si="4031"/>
        <v>8.5392234999430716E-2</v>
      </c>
      <c r="BN502" s="331">
        <f t="shared" si="4031"/>
        <v>6.4096144216324494E-2</v>
      </c>
      <c r="BO502" s="332">
        <f t="shared" ref="BO502:BP502" si="4032">BO477/BO$42*2</f>
        <v>6.6110659072416603E-2</v>
      </c>
      <c r="BP502" s="145">
        <f t="shared" si="4032"/>
        <v>5.9337541786195207E-2</v>
      </c>
      <c r="BQ502" s="145">
        <f t="shared" ref="BQ502:BR502" si="4033">BQ477/BQ$42*2</f>
        <v>6.0731162138424298E-2</v>
      </c>
      <c r="BR502" s="145">
        <f t="shared" si="4033"/>
        <v>6.3664101431980355E-2</v>
      </c>
      <c r="BS502" s="145">
        <f t="shared" ref="BS502" si="4034">BS477/BS$42*2</f>
        <v>5.6960218745719431E-2</v>
      </c>
      <c r="BT502" s="145">
        <f>BT477/BT$42*2</f>
        <v>5.6457014917110394E-2</v>
      </c>
      <c r="BV502" s="145"/>
      <c r="BW502" s="145"/>
      <c r="BX502" s="145"/>
      <c r="BY502" s="145"/>
      <c r="BZ502" s="145"/>
      <c r="CA502" s="145"/>
      <c r="CB502" s="145"/>
      <c r="CC502" s="145"/>
      <c r="CD502" s="145"/>
      <c r="CE502" s="145"/>
      <c r="CF502" s="145"/>
      <c r="CG502" s="145"/>
      <c r="CH502" s="331"/>
      <c r="CI502" s="332"/>
      <c r="CJ502" s="145"/>
      <c r="CK502" s="145"/>
      <c r="CL502" s="145"/>
      <c r="CM502" s="145"/>
      <c r="CN502" s="145"/>
      <c r="CO502" s="330"/>
      <c r="CP502" s="330"/>
      <c r="CQ502" s="330"/>
      <c r="CR502" s="330"/>
      <c r="CS502" s="330"/>
      <c r="CT502" s="330"/>
      <c r="CU502" s="330"/>
      <c r="CV502" s="330"/>
      <c r="CW502" s="330"/>
    </row>
    <row r="503" spans="1:101" s="87" customFormat="1" ht="12" customHeight="1" outlineLevel="1">
      <c r="A503" s="91" t="s">
        <v>1088</v>
      </c>
      <c r="B503" s="87" t="s">
        <v>1089</v>
      </c>
      <c r="C503" s="145"/>
      <c r="D503" s="145">
        <f t="shared" ref="D503" si="4035">D479/D$42*2</f>
        <v>2.9255808965715255E-2</v>
      </c>
      <c r="E503" s="145">
        <f>E479/E$42*2</f>
        <v>4.2326812576667316E-2</v>
      </c>
      <c r="F503" s="145">
        <f t="shared" ref="F503:BH503" si="4036">F479/F$42*2</f>
        <v>4.7420673413888816E-2</v>
      </c>
      <c r="G503" s="145">
        <f t="shared" si="4036"/>
        <v>5.4643199466570362E-2</v>
      </c>
      <c r="H503" s="145">
        <f t="shared" si="4036"/>
        <v>5.6841403227957853E-2</v>
      </c>
      <c r="I503" s="145">
        <f t="shared" si="4036"/>
        <v>5.1580349743514435E-2</v>
      </c>
      <c r="J503" s="145">
        <f t="shared" si="4036"/>
        <v>5.270397736205E-2</v>
      </c>
      <c r="K503" s="145">
        <f t="shared" si="4036"/>
        <v>7.8828642125151727E-2</v>
      </c>
      <c r="L503" s="331">
        <f t="shared" si="4036"/>
        <v>4.8899754315100658E-2</v>
      </c>
      <c r="M503" s="331">
        <f t="shared" ref="M503:N503" si="4037">M479/M$42*2</f>
        <v>0.11147276269389166</v>
      </c>
      <c r="N503" s="331">
        <f t="shared" si="4037"/>
        <v>5.2886165752982904E-2</v>
      </c>
      <c r="O503" s="331">
        <f t="shared" ref="O503:P503" si="4038">O479/O$42*2</f>
        <v>6.1115355233002294E-2</v>
      </c>
      <c r="P503" s="331">
        <f t="shared" si="4038"/>
        <v>4.8898661995453029E-2</v>
      </c>
      <c r="Q503" s="331">
        <f t="shared" ref="Q503:R503" si="4039">Q479/Q$42*2</f>
        <v>8.5078788664807725E-2</v>
      </c>
      <c r="R503" s="331">
        <f t="shared" si="4039"/>
        <v>5.5319223124934626E-2</v>
      </c>
      <c r="S503" s="331">
        <f t="shared" ref="S503:T503" si="4040">S479/S$42*2</f>
        <v>7.4057649667405759E-2</v>
      </c>
      <c r="T503" s="331">
        <f t="shared" si="4040"/>
        <v>5.3791402174596187E-2</v>
      </c>
      <c r="U503" s="331">
        <f t="shared" ref="U503:V503" si="4041">U479/U$42*2</f>
        <v>7.4191309176731918E-2</v>
      </c>
      <c r="V503" s="331">
        <f t="shared" si="4041"/>
        <v>4.0695697510994236E-2</v>
      </c>
      <c r="W503" s="331">
        <f t="shared" ref="W503:X503" si="4042">W479/W$42*2</f>
        <v>6.6362010729187376E-2</v>
      </c>
      <c r="X503" s="331">
        <f t="shared" si="4042"/>
        <v>4.4683726404812767E-2</v>
      </c>
      <c r="Y503" s="331">
        <f t="shared" ref="Y503:Z503" si="4043">Y479/Y$42*2</f>
        <v>4.9179508538109123E-2</v>
      </c>
      <c r="Z503" s="331">
        <f t="shared" si="4043"/>
        <v>2.4806722689075633E-2</v>
      </c>
      <c r="AA503" s="331">
        <f t="shared" ref="AA503:AB503" si="4044">AA479/AA$42*2</f>
        <v>5.1354913489311184E-2</v>
      </c>
      <c r="AB503" s="331">
        <f t="shared" si="4044"/>
        <v>3.5014128728414445E-2</v>
      </c>
      <c r="AC503" s="331">
        <f t="shared" ref="AC503:AD503" si="4045">AC479/AC$42*2</f>
        <v>4.0340433905642743E-2</v>
      </c>
      <c r="AD503" s="331">
        <f t="shared" si="4045"/>
        <v>4.6016573448811236E-2</v>
      </c>
      <c r="AE503" s="331">
        <f t="shared" ref="AE503:AF503" si="4046">AE479/AE$42*2</f>
        <v>6.0018542313885592E-2</v>
      </c>
      <c r="AF503" s="331">
        <f t="shared" si="4046"/>
        <v>3.5618468456958888E-2</v>
      </c>
      <c r="AG503" s="331">
        <f t="shared" ref="AG503:AH503" si="4047">AG479/AG$42*2</f>
        <v>4.5167751627441174E-2</v>
      </c>
      <c r="AH503" s="331">
        <f t="shared" si="4047"/>
        <v>2.5734819468950378E-2</v>
      </c>
      <c r="AI503" s="331">
        <f t="shared" ref="AI503:AJ503" si="4048">AI479/AI$42*2</f>
        <v>4.5616354759967448E-2</v>
      </c>
      <c r="AJ503" s="332">
        <f t="shared" si="4048"/>
        <v>2.9362148360917335E-2</v>
      </c>
      <c r="AK503" s="145">
        <f t="shared" ref="AK503" si="4049">AK479/AK$42*2</f>
        <v>4.0140101796543814E-2</v>
      </c>
      <c r="AL503" s="145">
        <f t="shared" ref="AL503:AM503" si="4050">AL479/AL$42*2</f>
        <v>3.2650217303479501E-2</v>
      </c>
      <c r="AM503" s="145">
        <f t="shared" si="4050"/>
        <v>3.859625172744597E-2</v>
      </c>
      <c r="AN503" s="145">
        <f t="shared" ref="AN503:AO503" si="4051">AN479/AN$42*2</f>
        <v>3.3417050676907471E-2</v>
      </c>
      <c r="AO503" s="145">
        <f t="shared" si="4051"/>
        <v>4.1235311674621758E-2</v>
      </c>
      <c r="AP503" s="145">
        <f t="shared" ref="AP503:AQ503" si="4052">AP479/AP$42*2</f>
        <v>3.1407002515890479E-2</v>
      </c>
      <c r="AQ503" s="145">
        <f t="shared" si="4052"/>
        <v>3.5449359666453621E-2</v>
      </c>
      <c r="AR503" s="145">
        <f t="shared" ref="AR503:AS503" si="4053">AR479/AR$42*2</f>
        <v>3.0973375262219407E-2</v>
      </c>
      <c r="AS503" s="145">
        <f t="shared" si="4053"/>
        <v>3.5285634323193996E-2</v>
      </c>
      <c r="AT503" s="145"/>
      <c r="AU503" s="145">
        <f t="shared" si="4036"/>
        <v>0.1159776505291123</v>
      </c>
      <c r="AV503" s="145">
        <f t="shared" si="4036"/>
        <v>9.3777585729063695E-2</v>
      </c>
      <c r="AW503" s="145">
        <f t="shared" si="4036"/>
        <v>0.10875805492339528</v>
      </c>
      <c r="AX503" s="145">
        <f t="shared" si="4036"/>
        <v>0.18661219115163408</v>
      </c>
      <c r="AY503" s="145">
        <f t="shared" si="4036"/>
        <v>0.18114037395965688</v>
      </c>
      <c r="AZ503" s="145">
        <f t="shared" si="4036"/>
        <v>7.8727871392601206E-2</v>
      </c>
      <c r="BA503" s="145">
        <f t="shared" si="4036"/>
        <v>0.10163635100782087</v>
      </c>
      <c r="BB503" s="145">
        <f t="shared" si="4036"/>
        <v>9.6283319521226943E-2</v>
      </c>
      <c r="BC503" s="145">
        <f t="shared" si="4036"/>
        <v>0.11920428809169287</v>
      </c>
      <c r="BD503" s="331">
        <f t="shared" si="4036"/>
        <v>0.15124430963478092</v>
      </c>
      <c r="BE503" s="331">
        <f t="shared" si="4036"/>
        <v>0.10084033613445378</v>
      </c>
      <c r="BF503" s="331">
        <f t="shared" si="4036"/>
        <v>0.14179798110801289</v>
      </c>
      <c r="BG503" s="331">
        <f t="shared" si="4036"/>
        <v>0.12431105479885965</v>
      </c>
      <c r="BH503" s="331">
        <f t="shared" si="4036"/>
        <v>0.1217201166180758</v>
      </c>
      <c r="BI503" s="331">
        <f t="shared" ref="BI503:BJ505" si="4054">BI479/BI$42*2</f>
        <v>0.10599487824800762</v>
      </c>
      <c r="BJ503" s="331">
        <f t="shared" si="4054"/>
        <v>0.11748438150770513</v>
      </c>
      <c r="BK503" s="331">
        <f t="shared" ref="BK503:BL505" si="4055">BK479/BK$42*2</f>
        <v>7.2050177134257487E-2</v>
      </c>
      <c r="BL503" s="331">
        <f t="shared" si="4055"/>
        <v>7.1690713969456532E-2</v>
      </c>
      <c r="BM503" s="331">
        <f t="shared" ref="BM503:BN503" si="4056">BM479/BM$42*2</f>
        <v>0.10003090385647599</v>
      </c>
      <c r="BN503" s="331">
        <f t="shared" si="4056"/>
        <v>7.5084054653408699E-2</v>
      </c>
      <c r="BO503" s="332">
        <f t="shared" ref="BO503:BP503" si="4057">BO479/BO$42*2</f>
        <v>7.6027257933279094E-2</v>
      </c>
      <c r="BP503" s="145">
        <f t="shared" si="4057"/>
        <v>6.8238173054124482E-2</v>
      </c>
      <c r="BQ503" s="145">
        <f t="shared" ref="BQ503:BR503" si="4058">BQ479/BQ$42*2</f>
        <v>6.9840836459187927E-2</v>
      </c>
      <c r="BR503" s="145">
        <f t="shared" si="4058"/>
        <v>7.3213716646777394E-2</v>
      </c>
      <c r="BS503" s="145">
        <f t="shared" ref="BS503" si="4059">BS479/BS$42*2</f>
        <v>6.5504251557577345E-2</v>
      </c>
      <c r="BT503" s="145">
        <f>BT479/BT$42*2</f>
        <v>6.4925567154676941E-2</v>
      </c>
      <c r="BV503" s="145"/>
      <c r="BW503" s="145"/>
      <c r="BX503" s="145"/>
      <c r="BY503" s="145"/>
      <c r="BZ503" s="145"/>
      <c r="CA503" s="145"/>
      <c r="CB503" s="145"/>
      <c r="CC503" s="145"/>
      <c r="CD503" s="145"/>
      <c r="CE503" s="145"/>
      <c r="CF503" s="145"/>
      <c r="CG503" s="145"/>
      <c r="CH503" s="331"/>
      <c r="CI503" s="332"/>
      <c r="CJ503" s="145"/>
      <c r="CK503" s="145"/>
      <c r="CL503" s="145"/>
      <c r="CM503" s="145"/>
      <c r="CN503" s="145"/>
      <c r="CO503" s="330"/>
      <c r="CP503" s="330"/>
      <c r="CQ503" s="330"/>
      <c r="CR503" s="330"/>
      <c r="CS503" s="330"/>
      <c r="CT503" s="330"/>
      <c r="CU503" s="330"/>
      <c r="CV503" s="330"/>
      <c r="CW503" s="330"/>
    </row>
    <row r="504" spans="1:101" s="87" customFormat="1" ht="12" customHeight="1" outlineLevel="1">
      <c r="A504" s="91" t="s">
        <v>1090</v>
      </c>
      <c r="B504" s="87" t="s">
        <v>1091</v>
      </c>
      <c r="C504" s="145"/>
      <c r="D504" s="145">
        <f>D480/D$42*2</f>
        <v>-0.11276163477261626</v>
      </c>
      <c r="E504" s="145">
        <f t="shared" ref="E504:BH504" si="4060">E480/E$42*2</f>
        <v>8.1651371794657437E-3</v>
      </c>
      <c r="F504" s="145">
        <f t="shared" si="4060"/>
        <v>8.4046351284947335E-2</v>
      </c>
      <c r="G504" s="145">
        <f t="shared" si="4060"/>
        <v>5.0274181524461767E-2</v>
      </c>
      <c r="H504" s="145">
        <f t="shared" si="4060"/>
        <v>0.15381811301471604</v>
      </c>
      <c r="I504" s="145">
        <f t="shared" si="4060"/>
        <v>5.3996233454246E-2</v>
      </c>
      <c r="J504" s="145">
        <f t="shared" si="4060"/>
        <v>0.16484370508548787</v>
      </c>
      <c r="K504" s="145">
        <f t="shared" si="4060"/>
        <v>7.1930689080987889E-2</v>
      </c>
      <c r="L504" s="331">
        <f t="shared" si="4060"/>
        <v>0.12729147820109082</v>
      </c>
      <c r="M504" s="331">
        <f t="shared" ref="M504:N504" si="4061">M480/M$42*2</f>
        <v>0.15828946641260258</v>
      </c>
      <c r="N504" s="331">
        <f t="shared" si="4061"/>
        <v>0.10652730237547665</v>
      </c>
      <c r="O504" s="331">
        <f t="shared" ref="O504:P504" si="4062">O480/O$42*2</f>
        <v>5.2624395358777623E-2</v>
      </c>
      <c r="P504" s="331">
        <f t="shared" si="4062"/>
        <v>7.7023497094512491E-2</v>
      </c>
      <c r="Q504" s="331">
        <f t="shared" ref="Q504:R504" si="4063">Q480/Q$42*2</f>
        <v>2.7583834686101923E-2</v>
      </c>
      <c r="R504" s="331">
        <f t="shared" si="4063"/>
        <v>8.195851158719418E-2</v>
      </c>
      <c r="S504" s="331">
        <f t="shared" ref="S504:T504" si="4064">S480/S$42*2</f>
        <v>6.5708642942982495E-2</v>
      </c>
      <c r="T504" s="331">
        <f t="shared" si="4064"/>
        <v>7.3068623939590308E-2</v>
      </c>
      <c r="U504" s="331">
        <f t="shared" ref="U504:V504" si="4065">U480/U$42*2</f>
        <v>6.5568431839785515E-2</v>
      </c>
      <c r="V504" s="331">
        <f t="shared" si="4065"/>
        <v>5.8037345291029302E-2</v>
      </c>
      <c r="W504" s="331">
        <f t="shared" ref="W504:X504" si="4066">W480/W$42*2</f>
        <v>5.8277547916398033E-2</v>
      </c>
      <c r="X504" s="331">
        <f t="shared" si="4066"/>
        <v>-8.3665041274230845E-3</v>
      </c>
      <c r="Y504" s="331">
        <f t="shared" ref="Y504:Z504" si="4067">Y480/Y$42*2</f>
        <v>4.3666975881261602E-2</v>
      </c>
      <c r="Z504" s="331">
        <f t="shared" si="4067"/>
        <v>-1.407290682867224E-2</v>
      </c>
      <c r="AA504" s="331">
        <f t="shared" ref="AA504:AB504" si="4068">AA480/AA$42*2</f>
        <v>4.3858746624101191E-2</v>
      </c>
      <c r="AB504" s="331">
        <f t="shared" si="4068"/>
        <v>-1.062440847609771E-3</v>
      </c>
      <c r="AC504" s="331">
        <f t="shared" ref="AC504:AD504" si="4069">AC480/AC$42*2</f>
        <v>-4.1039653028890337E-2</v>
      </c>
      <c r="AD504" s="331">
        <f t="shared" si="4069"/>
        <v>2.373765312253482E-2</v>
      </c>
      <c r="AE504" s="331">
        <f t="shared" ref="AE504:AF504" si="4070">AE480/AE$42*2</f>
        <v>5.2955986453405726E-2</v>
      </c>
      <c r="AF504" s="331">
        <f t="shared" si="4070"/>
        <v>3.1622251767129184E-2</v>
      </c>
      <c r="AG504" s="331">
        <f t="shared" ref="AG504:AH504" si="4071">AG480/AG$42*2</f>
        <v>5.7191492058466624E-2</v>
      </c>
      <c r="AH504" s="331">
        <f t="shared" si="4071"/>
        <v>3.1871911545091031E-2</v>
      </c>
      <c r="AI504" s="331">
        <f t="shared" ref="AI504:AJ504" si="4072">AI480/AI$42*2</f>
        <v>4.114471419623264E-2</v>
      </c>
      <c r="AJ504" s="332">
        <f t="shared" si="4072"/>
        <v>2.6543327961715837E-2</v>
      </c>
      <c r="AK504" s="145">
        <f t="shared" ref="AK504" si="4073">AK480/AK$42*2</f>
        <v>4.399508799522299E-2</v>
      </c>
      <c r="AL504" s="145">
        <f t="shared" ref="AL504:AM504" si="4074">AL480/AL$42*2</f>
        <v>3.6932515622475667E-2</v>
      </c>
      <c r="AM504" s="145">
        <f t="shared" si="4074"/>
        <v>4.2004534110334377E-2</v>
      </c>
      <c r="AN504" s="145">
        <f t="shared" ref="AN504:AO504" si="4075">AN480/AN$42*2</f>
        <v>3.0208952176370034E-2</v>
      </c>
      <c r="AO504" s="145">
        <f t="shared" si="4075"/>
        <v>3.7276645698035023E-2</v>
      </c>
      <c r="AP504" s="145">
        <f t="shared" ref="AP504:AQ504" si="4076">AP480/AP$42*2</f>
        <v>2.8391872346212436E-2</v>
      </c>
      <c r="AQ504" s="145">
        <f t="shared" si="4076"/>
        <v>3.2046155754459342E-2</v>
      </c>
      <c r="AR504" s="145">
        <f t="shared" ref="AR504:AS504" si="4077">AR480/AR$42*2</f>
        <v>2.7999874108690755E-2</v>
      </c>
      <c r="AS504" s="145">
        <f t="shared" si="4077"/>
        <v>3.1898148346133283E-2</v>
      </c>
      <c r="AT504" s="145"/>
      <c r="AU504" s="145">
        <f t="shared" si="4060"/>
        <v>0</v>
      </c>
      <c r="AV504" s="145">
        <f t="shared" si="4060"/>
        <v>4.1346203859140736E-2</v>
      </c>
      <c r="AW504" s="145">
        <f t="shared" si="4060"/>
        <v>-2.8242227541967209E-2</v>
      </c>
      <c r="AX504" s="145">
        <f t="shared" si="4060"/>
        <v>-7.0275098981720782E-2</v>
      </c>
      <c r="AY504" s="145">
        <f t="shared" si="4060"/>
        <v>1.1561626959651607E-2</v>
      </c>
      <c r="AZ504" s="145">
        <f t="shared" si="4060"/>
        <v>-0.12675786125214916</v>
      </c>
      <c r="BA504" s="145">
        <f t="shared" si="4060"/>
        <v>0.1316180693881259</v>
      </c>
      <c r="BB504" s="145">
        <f t="shared" si="4060"/>
        <v>0.17518652413248895</v>
      </c>
      <c r="BC504" s="145">
        <f t="shared" si="4060"/>
        <v>0.19872103715942283</v>
      </c>
      <c r="BD504" s="331">
        <f t="shared" si="4060"/>
        <v>0.26281193535619857</v>
      </c>
      <c r="BE504" s="331">
        <f t="shared" si="4060"/>
        <v>0.1324173170973009</v>
      </c>
      <c r="BF504" s="331">
        <f t="shared" si="4060"/>
        <v>0.11602294835064518</v>
      </c>
      <c r="BG504" s="331">
        <f t="shared" si="4060"/>
        <v>0.14015719919335767</v>
      </c>
      <c r="BH504" s="331">
        <f t="shared" si="4060"/>
        <v>0.13012787055823927</v>
      </c>
      <c r="BI504" s="331">
        <f t="shared" si="4054"/>
        <v>0.11485073832201394</v>
      </c>
      <c r="BJ504" s="331">
        <f t="shared" si="4054"/>
        <v>3.2056163711585595E-2</v>
      </c>
      <c r="BK504" s="331">
        <f t="shared" si="4055"/>
        <v>3.2343406815353068E-2</v>
      </c>
      <c r="BL504" s="331">
        <f t="shared" si="4055"/>
        <v>-4.2760211069532081E-2</v>
      </c>
      <c r="BM504" s="331">
        <f t="shared" ref="BM504:BN504" si="4078">BM480/BM$42*2</f>
        <v>7.391199890448362E-2</v>
      </c>
      <c r="BN504" s="331">
        <f t="shared" si="4078"/>
        <v>8.3821195804988299E-2</v>
      </c>
      <c r="BO504" s="332">
        <f t="shared" ref="BO504:BP504" si="4079">BO480/BO$42*2</f>
        <v>7.8842168554402556E-2</v>
      </c>
      <c r="BP504" s="145">
        <f t="shared" si="4079"/>
        <v>6.9378118896253643E-2</v>
      </c>
      <c r="BQ504" s="145">
        <f t="shared" ref="BQ504:BR504" si="4080">BQ480/BQ$42*2</f>
        <v>7.7335449702910397E-2</v>
      </c>
      <c r="BR504" s="145">
        <f t="shared" si="4080"/>
        <v>6.6185064810796876E-2</v>
      </c>
      <c r="BS504" s="145">
        <f t="shared" ref="BS504" si="4081">BS480/BS$42*2</f>
        <v>5.9215722589761821E-2</v>
      </c>
      <c r="BT504" s="145">
        <f>BT480/BT$42*2</f>
        <v>5.8692592956885219E-2</v>
      </c>
      <c r="BV504" s="145"/>
      <c r="BW504" s="145"/>
      <c r="BX504" s="145"/>
      <c r="BY504" s="145"/>
      <c r="BZ504" s="145"/>
      <c r="CA504" s="145"/>
      <c r="CB504" s="145"/>
      <c r="CC504" s="145"/>
      <c r="CD504" s="145"/>
      <c r="CE504" s="145"/>
      <c r="CF504" s="145"/>
      <c r="CG504" s="145"/>
      <c r="CH504" s="331"/>
      <c r="CI504" s="332"/>
      <c r="CJ504" s="145"/>
      <c r="CK504" s="145"/>
      <c r="CL504" s="145"/>
      <c r="CM504" s="145"/>
      <c r="CN504" s="145"/>
      <c r="CO504" s="330"/>
      <c r="CP504" s="330"/>
      <c r="CQ504" s="330"/>
      <c r="CR504" s="330"/>
      <c r="CS504" s="330"/>
      <c r="CT504" s="330"/>
      <c r="CU504" s="330"/>
      <c r="CV504" s="330"/>
      <c r="CW504" s="330"/>
    </row>
    <row r="505" spans="1:101" s="87" customFormat="1" ht="12" customHeight="1" outlineLevel="1">
      <c r="A505" s="91" t="s">
        <v>1092</v>
      </c>
      <c r="B505" s="87" t="s">
        <v>1093</v>
      </c>
      <c r="C505" s="145"/>
      <c r="D505" s="145">
        <f>D481/D$42*2</f>
        <v>-0.11276163477261626</v>
      </c>
      <c r="E505" s="145">
        <f t="shared" ref="E505:BH505" si="4082">E481/E$42*2</f>
        <v>8.1651371794657437E-3</v>
      </c>
      <c r="F505" s="145">
        <f t="shared" si="4082"/>
        <v>8.4046351284947335E-2</v>
      </c>
      <c r="G505" s="145">
        <f t="shared" si="4082"/>
        <v>5.0274181524461767E-2</v>
      </c>
      <c r="H505" s="145">
        <f t="shared" si="4082"/>
        <v>0.15381811301471604</v>
      </c>
      <c r="I505" s="145">
        <f t="shared" si="4082"/>
        <v>5.3996233454246E-2</v>
      </c>
      <c r="J505" s="145">
        <f t="shared" si="4082"/>
        <v>0.16484370508548787</v>
      </c>
      <c r="K505" s="145">
        <f t="shared" si="4082"/>
        <v>7.9382629425064966E-2</v>
      </c>
      <c r="L505" s="331">
        <f t="shared" si="4082"/>
        <v>0.13754407073102901</v>
      </c>
      <c r="M505" s="331">
        <f t="shared" ref="M505:N505" si="4083">M481/M$42*2</f>
        <v>0.16433173208872182</v>
      </c>
      <c r="N505" s="331">
        <f t="shared" si="4083"/>
        <v>0.11432788251158062</v>
      </c>
      <c r="O505" s="331">
        <f t="shared" ref="O505:P505" si="4084">O481/O$42*2</f>
        <v>5.8572227702175919E-2</v>
      </c>
      <c r="P505" s="331">
        <f t="shared" si="4084"/>
        <v>8.1697463847628951E-2</v>
      </c>
      <c r="Q505" s="331">
        <f t="shared" ref="Q505:R505" si="4085">Q481/Q$42*2</f>
        <v>3.5539678846523426E-2</v>
      </c>
      <c r="R505" s="331">
        <f t="shared" si="4085"/>
        <v>8.7641735914402663E-2</v>
      </c>
      <c r="S505" s="331">
        <f t="shared" ref="S505:T505" si="4086">S481/S$42*2</f>
        <v>7.3312071626384756E-2</v>
      </c>
      <c r="T505" s="331">
        <f t="shared" si="4086"/>
        <v>7.8576281218305191E-2</v>
      </c>
      <c r="U505" s="331">
        <f t="shared" ref="U505:V505" si="4087">U481/U$42*2</f>
        <v>7.315563609553212E-2</v>
      </c>
      <c r="V505" s="331">
        <f t="shared" si="4087"/>
        <v>6.2177968151862509E-2</v>
      </c>
      <c r="W505" s="331">
        <f t="shared" ref="W505:X505" si="4088">W481/W$42*2</f>
        <v>6.5021092746724088E-2</v>
      </c>
      <c r="X505" s="331">
        <f t="shared" si="4088"/>
        <v>-4.1166138265274384E-3</v>
      </c>
      <c r="Y505" s="331">
        <f t="shared" ref="Y505:Z505" si="4089">Y481/Y$42*2</f>
        <v>4.8158436257619931E-2</v>
      </c>
      <c r="Z505" s="331">
        <f t="shared" si="4089"/>
        <v>-1.1796257934779964E-2</v>
      </c>
      <c r="AA505" s="331">
        <f t="shared" ref="AA505:AB505" si="4090">AA481/AA$42*2</f>
        <v>4.8540457898497154E-2</v>
      </c>
      <c r="AB505" s="331">
        <f t="shared" si="4090"/>
        <v>2.2191621603519719E-3</v>
      </c>
      <c r="AC505" s="331">
        <f t="shared" ref="AC505:AD505" si="4091">AC481/AC$42*2</f>
        <v>-3.7330850189361595E-2</v>
      </c>
      <c r="AD505" s="331">
        <f t="shared" si="4091"/>
        <v>2.7944023879815674E-2</v>
      </c>
      <c r="AE505" s="331">
        <f t="shared" ref="AE505:AF505" si="4092">AE481/AE$42*2</f>
        <v>5.84028879171846E-2</v>
      </c>
      <c r="AF505" s="331">
        <f t="shared" si="4092"/>
        <v>3.4874826234605326E-2</v>
      </c>
      <c r="AG505" s="331">
        <f t="shared" ref="AG505:AH505" si="4093">AG481/AG$42*2</f>
        <v>6.127776082655377E-2</v>
      </c>
      <c r="AH505" s="331">
        <f t="shared" si="4093"/>
        <v>3.3959803803609051E-2</v>
      </c>
      <c r="AI505" s="331">
        <f t="shared" ref="AI505:AJ505" si="4094">AI481/AI$42*2</f>
        <v>4.4847738473893582E-2</v>
      </c>
      <c r="AJ505" s="332">
        <f t="shared" si="4094"/>
        <v>2.8932227478270268E-2</v>
      </c>
      <c r="AK505" s="145">
        <f t="shared" ref="AK505" si="4095">AK481/AK$42*2</f>
        <v>4.725463728383144E-2</v>
      </c>
      <c r="AL505" s="145">
        <f t="shared" ref="AL505:AM505" si="4096">AL481/AL$42*2</f>
        <v>3.9584054368413266E-2</v>
      </c>
      <c r="AM505" s="145">
        <f t="shared" si="4096"/>
        <v>4.513918129702512E-2</v>
      </c>
      <c r="AN505" s="145">
        <f t="shared" ref="AN505:AO505" si="4097">AN481/AN$42*2</f>
        <v>3.2927757872243335E-2</v>
      </c>
      <c r="AO505" s="145">
        <f t="shared" si="4097"/>
        <v>4.0631543810858178E-2</v>
      </c>
      <c r="AP505" s="145">
        <f t="shared" ref="AP505:AQ505" si="4098">AP481/AP$42*2</f>
        <v>3.094714085737155E-2</v>
      </c>
      <c r="AQ505" s="145">
        <f t="shared" si="4098"/>
        <v>3.4930309772360682E-2</v>
      </c>
      <c r="AR505" s="145">
        <f t="shared" ref="AR505:AS505" si="4099">AR481/AR$42*2</f>
        <v>3.051986277847292E-2</v>
      </c>
      <c r="AS505" s="145">
        <f t="shared" si="4099"/>
        <v>3.4768981697285276E-2</v>
      </c>
      <c r="AT505" s="145"/>
      <c r="AU505" s="145">
        <f t="shared" si="4082"/>
        <v>0</v>
      </c>
      <c r="AV505" s="145">
        <f t="shared" si="4082"/>
        <v>6.1386952082630127E-2</v>
      </c>
      <c r="AW505" s="145">
        <f t="shared" si="4082"/>
        <v>-6.1286890217121161E-3</v>
      </c>
      <c r="AX505" s="145">
        <f t="shared" si="4082"/>
        <v>-3.5437320167879462E-2</v>
      </c>
      <c r="AY505" s="145">
        <f t="shared" si="4082"/>
        <v>3.2474820492073023E-2</v>
      </c>
      <c r="AZ505" s="145">
        <f t="shared" si="4082"/>
        <v>-0.12675786125214916</v>
      </c>
      <c r="BA505" s="145">
        <f t="shared" si="4082"/>
        <v>0.1316180693881259</v>
      </c>
      <c r="BB505" s="145">
        <f t="shared" si="4082"/>
        <v>0.17518652413248895</v>
      </c>
      <c r="BC505" s="145">
        <f t="shared" si="4082"/>
        <v>0.2060977029020406</v>
      </c>
      <c r="BD505" s="331">
        <f t="shared" si="4082"/>
        <v>0.27736053377400388</v>
      </c>
      <c r="BE505" s="331">
        <f t="shared" si="4082"/>
        <v>0.14422797656503711</v>
      </c>
      <c r="BF505" s="331">
        <f t="shared" si="4082"/>
        <v>0.12942870301674195</v>
      </c>
      <c r="BG505" s="331">
        <f t="shared" si="4082"/>
        <v>0.15292403068469465</v>
      </c>
      <c r="BH505" s="331">
        <f t="shared" si="4082"/>
        <v>0.1425840860827402</v>
      </c>
      <c r="BI505" s="331">
        <f t="shared" si="4054"/>
        <v>0.12563496100662386</v>
      </c>
      <c r="BJ505" s="331">
        <f t="shared" si="4054"/>
        <v>4.3006053294814418E-2</v>
      </c>
      <c r="BK505" s="331">
        <f t="shared" si="4055"/>
        <v>3.8934652667408177E-2</v>
      </c>
      <c r="BL505" s="331">
        <f t="shared" si="4055"/>
        <v>-3.6097992964878776E-2</v>
      </c>
      <c r="BM505" s="331">
        <f t="shared" ref="BM505:BN505" si="4100">BM481/BM$42*2</f>
        <v>8.3047495626815043E-2</v>
      </c>
      <c r="BN505" s="331">
        <f t="shared" si="4100"/>
        <v>9.0646519815574825E-2</v>
      </c>
      <c r="BO505" s="332">
        <f t="shared" ref="BO505:BP505" si="4101">BO481/BO$42*2</f>
        <v>8.5014709698314386E-2</v>
      </c>
      <c r="BP505" s="145">
        <f t="shared" si="4101"/>
        <v>7.492280754892891E-2</v>
      </c>
      <c r="BQ505" s="145">
        <f t="shared" ref="BQ505:BR505" si="4102">BQ481/BQ$42*2</f>
        <v>8.3006436579236856E-2</v>
      </c>
      <c r="BR505" s="145">
        <f t="shared" si="4102"/>
        <v>7.2141720643768587E-2</v>
      </c>
      <c r="BS505" s="145">
        <f t="shared" ref="BS505" si="4103">BS481/BS$42*2</f>
        <v>6.4545137622840379E-2</v>
      </c>
      <c r="BT505" s="145">
        <f>BT481/BT$42*2</f>
        <v>6.3974926323004888E-2</v>
      </c>
      <c r="BV505" s="145"/>
      <c r="BW505" s="145"/>
      <c r="BX505" s="145"/>
      <c r="BY505" s="145"/>
      <c r="BZ505" s="145"/>
      <c r="CA505" s="145"/>
      <c r="CB505" s="145"/>
      <c r="CC505" s="145"/>
      <c r="CD505" s="145"/>
      <c r="CE505" s="145"/>
      <c r="CF505" s="145"/>
      <c r="CG505" s="145"/>
      <c r="CH505" s="331"/>
      <c r="CI505" s="332"/>
      <c r="CJ505" s="145"/>
      <c r="CK505" s="145"/>
      <c r="CL505" s="145"/>
      <c r="CM505" s="145"/>
      <c r="CN505" s="145"/>
      <c r="CO505" s="330"/>
      <c r="CP505" s="330"/>
      <c r="CQ505" s="330"/>
      <c r="CR505" s="330"/>
      <c r="CS505" s="330"/>
      <c r="CT505" s="330"/>
      <c r="CU505" s="330"/>
      <c r="CV505" s="330"/>
      <c r="CW505" s="330"/>
    </row>
    <row r="506" spans="1:101" s="333" customFormat="1" ht="12" customHeight="1" outlineLevel="1">
      <c r="A506" s="91" t="s">
        <v>1094</v>
      </c>
      <c r="B506" s="333" t="s">
        <v>650</v>
      </c>
      <c r="C506" s="328"/>
      <c r="D506" s="328">
        <f t="shared" ref="D506:L506" si="4104">D$42/D482</f>
        <v>1.7612625686411456</v>
      </c>
      <c r="E506" s="328">
        <f t="shared" si="4104"/>
        <v>1.3936968091269939</v>
      </c>
      <c r="F506" s="328">
        <f t="shared" si="4104"/>
        <v>1.0893007016984586</v>
      </c>
      <c r="G506" s="328">
        <f t="shared" si="4104"/>
        <v>1.0703326791012528</v>
      </c>
      <c r="H506" s="328">
        <f t="shared" si="4104"/>
        <v>0.68090546002794949</v>
      </c>
      <c r="I506" s="328">
        <f t="shared" si="4104"/>
        <v>0.8683469437194683</v>
      </c>
      <c r="J506" s="328">
        <f t="shared" si="4104"/>
        <v>0.84165694327242646</v>
      </c>
      <c r="K506" s="328">
        <f t="shared" si="4104"/>
        <v>1.0568900029514112</v>
      </c>
      <c r="L506" s="328">
        <f t="shared" si="4104"/>
        <v>1.2824949000432126</v>
      </c>
      <c r="M506" s="328">
        <f t="shared" ref="M506:N506" si="4105">M$42/M482</f>
        <v>1.5633529909484638</v>
      </c>
      <c r="N506" s="328">
        <f t="shared" si="4105"/>
        <v>1.5161609739456452</v>
      </c>
      <c r="O506" s="328">
        <f t="shared" ref="O506:P506" si="4106">O$42/O482</f>
        <v>1.777231647502084</v>
      </c>
      <c r="P506" s="328">
        <f t="shared" si="4106"/>
        <v>1.6811704398094238</v>
      </c>
      <c r="Q506" s="328">
        <f t="shared" ref="Q506:R506" si="4107">Q$42/Q482</f>
        <v>1.4365344804104954</v>
      </c>
      <c r="R506" s="328">
        <f t="shared" si="4107"/>
        <v>1.8042980964120803</v>
      </c>
      <c r="S506" s="328">
        <f t="shared" ref="S506:T506" si="4108">S$42/S482</f>
        <v>1.7783583701910828</v>
      </c>
      <c r="T506" s="328">
        <f t="shared" si="4108"/>
        <v>1.8104783258132056</v>
      </c>
      <c r="U506" s="328">
        <f t="shared" ref="U506:V506" si="4109">U$42/U482</f>
        <v>1.9271946746534656</v>
      </c>
      <c r="V506" s="328">
        <f t="shared" si="4109"/>
        <v>2.5010314424430331</v>
      </c>
      <c r="W506" s="328">
        <f t="shared" ref="W506:X506" si="4110">W$42/W482</f>
        <v>2.3988419708102811</v>
      </c>
      <c r="X506" s="328">
        <f t="shared" si="4110"/>
        <v>2.2869076060634108</v>
      </c>
      <c r="Y506" s="328">
        <f t="shared" ref="Y506:Z506" si="4111">Y$42/Y482</f>
        <v>1.39497818155527</v>
      </c>
      <c r="Z506" s="328">
        <f t="shared" si="4111"/>
        <v>2.2171202290874978</v>
      </c>
      <c r="AA506" s="328">
        <f t="shared" ref="AA506:AB506" si="4112">AA$42/AA482</f>
        <v>2.4740352130513177</v>
      </c>
      <c r="AB506" s="328">
        <f t="shared" si="4112"/>
        <v>2.7494804930777423</v>
      </c>
      <c r="AC506" s="328">
        <f t="shared" ref="AC506:AD506" si="4113">AC$42/AC482</f>
        <v>2.7072156902377977</v>
      </c>
      <c r="AD506" s="328">
        <f t="shared" si="4113"/>
        <v>1.8629235776804369</v>
      </c>
      <c r="AE506" s="328">
        <f t="shared" ref="AE506:AF506" si="4114">AE$42/AE482</f>
        <v>1.9905150591579197</v>
      </c>
      <c r="AF506" s="328">
        <f t="shared" si="4114"/>
        <v>1.9561755672768422</v>
      </c>
      <c r="AG506" s="328">
        <f t="shared" ref="AG506:AH506" si="4115">AG$42/AG482</f>
        <v>2.2496063607512649</v>
      </c>
      <c r="AH506" s="328">
        <f t="shared" si="4115"/>
        <v>2.6973604645656941</v>
      </c>
      <c r="AI506" s="328">
        <f t="shared" ref="AI506:AJ506" si="4116">AI$42/AI482</f>
        <v>2.0941366879655758</v>
      </c>
      <c r="AJ506" s="329">
        <f t="shared" si="4116"/>
        <v>2.3752653452847077</v>
      </c>
      <c r="AK506" s="328">
        <f t="shared" ref="AK506" si="4117">AK$42/AK482</f>
        <v>2.3972791751462466</v>
      </c>
      <c r="AL506" s="328">
        <f t="shared" ref="AL506:AM506" si="4118">AL$42/AL482</f>
        <v>2.4765565948661905</v>
      </c>
      <c r="AM506" s="328">
        <f t="shared" si="4118"/>
        <v>2.5203792856830582</v>
      </c>
      <c r="AN506" s="328">
        <f t="shared" ref="AN506:AO506" si="4119">AN$42/AN482</f>
        <v>2.5828240192991996</v>
      </c>
      <c r="AO506" s="328">
        <f t="shared" si="4119"/>
        <v>2.6087299942747015</v>
      </c>
      <c r="AP506" s="328">
        <f t="shared" ref="AP506:AQ506" si="4120">AP$42/AP482</f>
        <v>2.6827772594701713</v>
      </c>
      <c r="AQ506" s="328">
        <f t="shared" si="4120"/>
        <v>2.7068370048772863</v>
      </c>
      <c r="AR506" s="328">
        <f t="shared" ref="AR506:AS506" si="4121">AR$42/AR482</f>
        <v>2.767559112088104</v>
      </c>
      <c r="AS506" s="328">
        <f t="shared" si="4121"/>
        <v>2.798027275022327</v>
      </c>
      <c r="AT506" s="328"/>
      <c r="AU506" s="328">
        <f t="shared" ref="AU506:BH506" si="4122">AU$42/AU482</f>
        <v>2.4279866467857274</v>
      </c>
      <c r="AV506" s="328">
        <f t="shared" si="4122"/>
        <v>2.8170675139917343</v>
      </c>
      <c r="AW506" s="328">
        <f t="shared" si="4122"/>
        <v>2.794822100256193</v>
      </c>
      <c r="AX506" s="328">
        <f t="shared" si="4122"/>
        <v>1.450100026356965</v>
      </c>
      <c r="AY506" s="328">
        <f t="shared" si="4122"/>
        <v>0.80604866842266876</v>
      </c>
      <c r="AZ506" s="328">
        <f t="shared" si="4122"/>
        <v>1.3936968091269939</v>
      </c>
      <c r="BA506" s="328">
        <f t="shared" si="4122"/>
        <v>1.0703326791012528</v>
      </c>
      <c r="BB506" s="328">
        <f t="shared" si="4122"/>
        <v>0.8683469437194683</v>
      </c>
      <c r="BC506" s="328">
        <f t="shared" si="4122"/>
        <v>1.0568900029514112</v>
      </c>
      <c r="BD506" s="328">
        <f t="shared" si="4122"/>
        <v>1.5633529909484638</v>
      </c>
      <c r="BE506" s="328">
        <f t="shared" si="4122"/>
        <v>1.777231647502084</v>
      </c>
      <c r="BF506" s="328">
        <f t="shared" si="4122"/>
        <v>1.4365344804104954</v>
      </c>
      <c r="BG506" s="328">
        <f t="shared" si="4122"/>
        <v>1.7783583701910828</v>
      </c>
      <c r="BH506" s="328">
        <f t="shared" si="4122"/>
        <v>1.9271946746534656</v>
      </c>
      <c r="BI506" s="328">
        <f t="shared" ref="BI506:BK507" si="4123">BI$42/BI482</f>
        <v>2.3988419708102811</v>
      </c>
      <c r="BJ506" s="328">
        <f t="shared" si="4123"/>
        <v>1.39497818155527</v>
      </c>
      <c r="BK506" s="328">
        <f t="shared" si="4123"/>
        <v>2.4740352130513177</v>
      </c>
      <c r="BL506" s="328">
        <f t="shared" ref="BL506:BM506" si="4124">BL$42/BL482</f>
        <v>2.7072156902377977</v>
      </c>
      <c r="BM506" s="328">
        <f t="shared" si="4124"/>
        <v>1.9905150591579197</v>
      </c>
      <c r="BN506" s="328">
        <f t="shared" ref="BN506:BO506" si="4125">BN$42/BN482</f>
        <v>2.2496063607512649</v>
      </c>
      <c r="BO506" s="329">
        <f t="shared" si="4125"/>
        <v>2.0941366879655758</v>
      </c>
      <c r="BP506" s="328">
        <f t="shared" ref="BP506:BQ506" si="4126">BP$42/BP482</f>
        <v>2.3972791751462466</v>
      </c>
      <c r="BQ506" s="328">
        <f t="shared" si="4126"/>
        <v>2.5203792856830582</v>
      </c>
      <c r="BR506" s="328">
        <f t="shared" ref="BR506:BS506" si="4127">BR$42/BR482</f>
        <v>2.6087299942747015</v>
      </c>
      <c r="BS506" s="328">
        <f t="shared" si="4127"/>
        <v>2.7068370048772863</v>
      </c>
      <c r="BT506" s="328">
        <f>BT$42/BT482</f>
        <v>2.798027275022327</v>
      </c>
      <c r="BV506" s="328"/>
      <c r="BW506" s="328"/>
      <c r="BX506" s="328"/>
      <c r="BY506" s="328"/>
      <c r="BZ506" s="328"/>
      <c r="CA506" s="328"/>
      <c r="CB506" s="328"/>
      <c r="CC506" s="328"/>
      <c r="CD506" s="328"/>
      <c r="CE506" s="328"/>
      <c r="CF506" s="328"/>
      <c r="CG506" s="328"/>
      <c r="CH506" s="328"/>
      <c r="CI506" s="329"/>
      <c r="CJ506" s="328"/>
      <c r="CK506" s="328"/>
      <c r="CL506" s="328"/>
      <c r="CM506" s="328"/>
      <c r="CN506" s="328"/>
      <c r="CO506" s="328"/>
      <c r="CP506" s="328"/>
      <c r="CQ506" s="328"/>
      <c r="CR506" s="328"/>
      <c r="CS506" s="328"/>
      <c r="CT506" s="328"/>
      <c r="CU506" s="328"/>
      <c r="CV506" s="328"/>
      <c r="CW506" s="328"/>
    </row>
    <row r="507" spans="1:101" s="333" customFormat="1" ht="12" customHeight="1" outlineLevel="1">
      <c r="A507" s="91" t="s">
        <v>1095</v>
      </c>
      <c r="B507" s="333" t="s">
        <v>648</v>
      </c>
      <c r="C507" s="328"/>
      <c r="D507" s="328">
        <f t="shared" ref="D507:L507" si="4128">D$42/D483</f>
        <v>2.1162311008945869</v>
      </c>
      <c r="E507" s="328">
        <f t="shared" si="4128"/>
        <v>1.6778250559140335</v>
      </c>
      <c r="F507" s="328">
        <f t="shared" si="4128"/>
        <v>1.3086282937606455</v>
      </c>
      <c r="G507" s="328">
        <f t="shared" si="4128"/>
        <v>1.266105831965515</v>
      </c>
      <c r="H507" s="328">
        <f t="shared" si="4128"/>
        <v>0.8125554708631364</v>
      </c>
      <c r="I507" s="328">
        <f t="shared" si="4128"/>
        <v>1.0340485529554204</v>
      </c>
      <c r="J507" s="328">
        <f t="shared" si="4128"/>
        <v>0.99950564811418274</v>
      </c>
      <c r="K507" s="328">
        <f t="shared" si="4128"/>
        <v>1.2409271248560323</v>
      </c>
      <c r="L507" s="328">
        <f t="shared" si="4128"/>
        <v>1.4892771508855676</v>
      </c>
      <c r="M507" s="328">
        <f t="shared" ref="M507:N507" si="4129">M$42/M483</f>
        <v>1.7516963730047963</v>
      </c>
      <c r="N507" s="328">
        <f t="shared" si="4129"/>
        <v>1.7718762515756243</v>
      </c>
      <c r="O507" s="328">
        <f t="shared" ref="O507:P507" si="4130">O$42/O483</f>
        <v>2.0074560060761084</v>
      </c>
      <c r="P507" s="328">
        <f t="shared" si="4130"/>
        <v>1.9021764133080528</v>
      </c>
      <c r="Q507" s="328">
        <f t="shared" ref="Q507:R507" si="4131">Q$42/Q483</f>
        <v>1.60292606504844</v>
      </c>
      <c r="R507" s="328">
        <f t="shared" si="4131"/>
        <v>2.0031491574396898</v>
      </c>
      <c r="S507" s="328">
        <f t="shared" ref="S507:T507" si="4132">S$42/S483</f>
        <v>2.1102273638312488</v>
      </c>
      <c r="T507" s="328">
        <f t="shared" si="4132"/>
        <v>2.154905254982598</v>
      </c>
      <c r="U507" s="328">
        <f t="shared" ref="U507:V507" si="4133">U$42/U483</f>
        <v>2.2804217121322572</v>
      </c>
      <c r="V507" s="328">
        <f t="shared" si="4133"/>
        <v>2.9261692704813855</v>
      </c>
      <c r="W507" s="328">
        <f t="shared" ref="W507:X507" si="4134">W$42/W483</f>
        <v>2.8005298125848697</v>
      </c>
      <c r="X507" s="328">
        <f t="shared" si="4134"/>
        <v>2.7403496722529646</v>
      </c>
      <c r="Y507" s="328">
        <f t="shared" ref="Y507:Z507" si="4135">Y$42/Y483</f>
        <v>1.7076821976397865</v>
      </c>
      <c r="Z507" s="328">
        <f t="shared" si="4135"/>
        <v>2.6052290550813924</v>
      </c>
      <c r="AA507" s="328">
        <f t="shared" ref="AA507:AB507" si="4136">AA$42/AA483</f>
        <v>2.835024919093053</v>
      </c>
      <c r="AB507" s="328">
        <f t="shared" si="4136"/>
        <v>3.263763152525891</v>
      </c>
      <c r="AC507" s="328">
        <f t="shared" ref="AC507:AD507" si="4137">AC$42/AC483</f>
        <v>3.1469293076546547</v>
      </c>
      <c r="AD507" s="328">
        <f t="shared" si="4137"/>
        <v>2.1728736852048445</v>
      </c>
      <c r="AE507" s="328">
        <f t="shared" ref="AE507:AF507" si="4138">AE$42/AE483</f>
        <v>2.3148017801295691</v>
      </c>
      <c r="AF507" s="328">
        <f t="shared" si="4138"/>
        <v>2.2823655358221253</v>
      </c>
      <c r="AG507" s="328">
        <f t="shared" ref="AG507:AH507" si="4139">AG$42/AG483</f>
        <v>2.6166769712970881</v>
      </c>
      <c r="AH507" s="328">
        <f t="shared" si="4139"/>
        <v>3.0733641077679841</v>
      </c>
      <c r="AI507" s="328">
        <f t="shared" ref="AI507:AJ507" si="4140">AI$42/AI483</f>
        <v>2.2249386351669882</v>
      </c>
      <c r="AJ507" s="329">
        <f t="shared" si="4140"/>
        <v>2.5505747844988562</v>
      </c>
      <c r="AK507" s="328">
        <f t="shared" ref="AK507" si="4141">AK$42/AK483</f>
        <v>2.5697983433711573</v>
      </c>
      <c r="AL507" s="328">
        <f t="shared" ref="AL507:AM507" si="4142">AL$42/AL483</f>
        <v>2.6559557170159178</v>
      </c>
      <c r="AM507" s="328">
        <f t="shared" si="4142"/>
        <v>2.7003493428198886</v>
      </c>
      <c r="AN507" s="328">
        <f t="shared" ref="AN507:AO507" si="4143">AN$42/AN483</f>
        <v>2.763900037891573</v>
      </c>
      <c r="AO507" s="328">
        <f t="shared" si="4143"/>
        <v>2.7855732322934683</v>
      </c>
      <c r="AP507" s="328">
        <f t="shared" ref="AP507:AQ507" si="4144">AP$42/AP483</f>
        <v>2.8620777916117213</v>
      </c>
      <c r="AQ507" s="328">
        <f t="shared" si="4144"/>
        <v>2.8811469257549547</v>
      </c>
      <c r="AR507" s="328">
        <f t="shared" ref="AR507:AS507" si="4145">AR$42/AR483</f>
        <v>2.9412892852455146</v>
      </c>
      <c r="AS507" s="328">
        <f t="shared" si="4145"/>
        <v>2.9672790652304339</v>
      </c>
      <c r="AT507" s="328"/>
      <c r="AU507" s="328">
        <f t="shared" ref="AU507:BH507" si="4146">AU$42/AU483</f>
        <v>4.4598758455902221</v>
      </c>
      <c r="AV507" s="328">
        <f t="shared" si="4146"/>
        <v>4.2267892387331703</v>
      </c>
      <c r="AW507" s="328">
        <f t="shared" si="4146"/>
        <v>3.4053261014140848</v>
      </c>
      <c r="AX507" s="328">
        <f t="shared" si="4146"/>
        <v>1.7503846868839144</v>
      </c>
      <c r="AY507" s="328">
        <f t="shared" si="4146"/>
        <v>0.97480395573949563</v>
      </c>
      <c r="AZ507" s="328">
        <f t="shared" si="4146"/>
        <v>1.6778250559140335</v>
      </c>
      <c r="BA507" s="328">
        <f t="shared" si="4146"/>
        <v>1.266105831965515</v>
      </c>
      <c r="BB507" s="328">
        <f t="shared" si="4146"/>
        <v>1.0340485529554204</v>
      </c>
      <c r="BC507" s="328">
        <f t="shared" si="4146"/>
        <v>1.2409271248560323</v>
      </c>
      <c r="BD507" s="328">
        <f t="shared" si="4146"/>
        <v>1.7516963730047963</v>
      </c>
      <c r="BE507" s="328">
        <f t="shared" si="4146"/>
        <v>2.0074560060761084</v>
      </c>
      <c r="BF507" s="328">
        <f t="shared" si="4146"/>
        <v>1.60292606504844</v>
      </c>
      <c r="BG507" s="328">
        <f t="shared" si="4146"/>
        <v>2.1102273638312488</v>
      </c>
      <c r="BH507" s="328">
        <f t="shared" si="4146"/>
        <v>2.2804217121322572</v>
      </c>
      <c r="BI507" s="328">
        <f t="shared" si="4123"/>
        <v>2.8005298125848697</v>
      </c>
      <c r="BJ507" s="328">
        <f t="shared" si="4123"/>
        <v>1.7076821976397865</v>
      </c>
      <c r="BK507" s="328">
        <f t="shared" si="4123"/>
        <v>2.835024919093053</v>
      </c>
      <c r="BL507" s="328">
        <f t="shared" ref="BL507:BM507" si="4147">BL$42/BL483</f>
        <v>3.1469293076546547</v>
      </c>
      <c r="BM507" s="328">
        <f t="shared" si="4147"/>
        <v>2.3148017801295691</v>
      </c>
      <c r="BN507" s="328">
        <f t="shared" ref="BN507:BO507" si="4148">BN$42/BN483</f>
        <v>2.6166769712970881</v>
      </c>
      <c r="BO507" s="329">
        <f t="shared" si="4148"/>
        <v>2.2249386351669882</v>
      </c>
      <c r="BP507" s="328">
        <f t="shared" ref="BP507:BQ507" si="4149">BP$42/BP483</f>
        <v>2.5697983433711573</v>
      </c>
      <c r="BQ507" s="328">
        <f t="shared" si="4149"/>
        <v>2.7003493428198886</v>
      </c>
      <c r="BR507" s="328">
        <f t="shared" ref="BR507:BS507" si="4150">BR$42/BR483</f>
        <v>2.7855732322934683</v>
      </c>
      <c r="BS507" s="328">
        <f t="shared" si="4150"/>
        <v>2.8811469257549547</v>
      </c>
      <c r="BT507" s="328">
        <f>BT$42/BT483</f>
        <v>2.9672790652304339</v>
      </c>
      <c r="BV507" s="328"/>
      <c r="BW507" s="328"/>
      <c r="BX507" s="328"/>
      <c r="BY507" s="328"/>
      <c r="BZ507" s="328"/>
      <c r="CA507" s="328"/>
      <c r="CB507" s="328"/>
      <c r="CC507" s="328"/>
      <c r="CD507" s="328"/>
      <c r="CE507" s="328"/>
      <c r="CF507" s="328"/>
      <c r="CG507" s="328"/>
      <c r="CH507" s="328"/>
      <c r="CI507" s="329"/>
      <c r="CJ507" s="328"/>
      <c r="CK507" s="328"/>
      <c r="CL507" s="328"/>
      <c r="CM507" s="328"/>
      <c r="CN507" s="328"/>
      <c r="CO507" s="328"/>
      <c r="CP507" s="328"/>
      <c r="CQ507" s="328"/>
      <c r="CR507" s="328"/>
      <c r="CS507" s="328"/>
      <c r="CT507" s="328"/>
      <c r="CU507" s="328"/>
      <c r="CV507" s="328"/>
      <c r="CW507" s="328"/>
    </row>
    <row r="508" spans="1:101" s="87" customFormat="1" ht="12" hidden="1" customHeight="1" outlineLevel="2">
      <c r="A508" s="91" t="s">
        <v>1096</v>
      </c>
      <c r="B508" s="87" t="s">
        <v>173</v>
      </c>
      <c r="C508" s="330"/>
      <c r="D508" s="330"/>
      <c r="E508" s="330"/>
      <c r="F508" s="330"/>
      <c r="G508" s="330"/>
      <c r="H508" s="330"/>
      <c r="I508" s="330"/>
      <c r="J508" s="330"/>
      <c r="K508" s="330"/>
      <c r="L508" s="330"/>
      <c r="M508" s="330"/>
      <c r="N508" s="330"/>
      <c r="O508" s="330"/>
      <c r="P508" s="330"/>
      <c r="Q508" s="330"/>
      <c r="R508" s="330"/>
      <c r="S508" s="330"/>
      <c r="T508" s="330"/>
      <c r="U508" s="330"/>
      <c r="V508" s="330"/>
      <c r="W508" s="330"/>
      <c r="X508" s="330"/>
      <c r="Y508" s="330"/>
      <c r="Z508" s="330"/>
      <c r="AA508" s="330"/>
      <c r="AB508" s="330"/>
      <c r="AC508" s="330"/>
      <c r="AD508" s="330"/>
      <c r="AE508" s="330"/>
      <c r="AF508" s="330"/>
      <c r="AG508" s="330"/>
      <c r="AH508" s="330"/>
      <c r="AI508" s="330"/>
      <c r="AJ508" s="334"/>
      <c r="AK508" s="330"/>
      <c r="AL508" s="330"/>
      <c r="AM508" s="330"/>
      <c r="AN508" s="330"/>
      <c r="AO508" s="330"/>
      <c r="AP508" s="330"/>
      <c r="AQ508" s="330"/>
      <c r="AR508" s="330"/>
      <c r="AS508" s="330"/>
      <c r="AT508" s="330"/>
      <c r="AU508" s="330"/>
      <c r="AV508" s="330"/>
      <c r="AW508" s="330"/>
      <c r="AX508" s="330"/>
      <c r="AY508" s="330"/>
      <c r="AZ508" s="330"/>
      <c r="BA508" s="330"/>
      <c r="BB508" s="330"/>
      <c r="BC508" s="330"/>
      <c r="BD508" s="330"/>
      <c r="BE508" s="330"/>
      <c r="BF508" s="330"/>
      <c r="BG508" s="330"/>
      <c r="BH508" s="330"/>
      <c r="BI508" s="330"/>
      <c r="BJ508" s="330"/>
      <c r="BK508" s="330"/>
      <c r="BL508" s="330"/>
      <c r="BM508" s="330"/>
      <c r="BN508" s="330"/>
      <c r="BO508" s="334"/>
      <c r="BP508" s="330"/>
      <c r="BQ508" s="330"/>
      <c r="BR508" s="330"/>
      <c r="BS508" s="330"/>
      <c r="BT508" s="330"/>
      <c r="BV508" s="330"/>
      <c r="BW508" s="330"/>
      <c r="BX508" s="330"/>
      <c r="BY508" s="330"/>
      <c r="BZ508" s="330"/>
      <c r="CA508" s="330"/>
      <c r="CB508" s="330"/>
      <c r="CC508" s="330"/>
      <c r="CD508" s="330"/>
      <c r="CE508" s="330"/>
      <c r="CF508" s="330"/>
      <c r="CG508" s="330"/>
      <c r="CH508" s="330"/>
      <c r="CI508" s="334"/>
      <c r="CJ508" s="330"/>
      <c r="CK508" s="330"/>
      <c r="CL508" s="330"/>
      <c r="CM508" s="330"/>
      <c r="CN508" s="330"/>
      <c r="CO508" s="330"/>
      <c r="CP508" s="330"/>
      <c r="CQ508" s="330"/>
      <c r="CR508" s="330"/>
      <c r="CS508" s="330"/>
      <c r="CT508" s="330"/>
      <c r="CU508" s="330"/>
      <c r="CV508" s="330"/>
      <c r="CW508" s="330"/>
    </row>
    <row r="509" spans="1:101" s="87" customFormat="1" ht="12" hidden="1" customHeight="1" outlineLevel="2">
      <c r="A509" s="91" t="s">
        <v>1097</v>
      </c>
      <c r="B509" s="87" t="s">
        <v>173</v>
      </c>
      <c r="C509" s="330"/>
      <c r="D509" s="330"/>
      <c r="E509" s="330"/>
      <c r="F509" s="330"/>
      <c r="G509" s="330"/>
      <c r="H509" s="330"/>
      <c r="I509" s="330"/>
      <c r="J509" s="330"/>
      <c r="K509" s="330"/>
      <c r="L509" s="330"/>
      <c r="M509" s="330"/>
      <c r="N509" s="330"/>
      <c r="O509" s="330"/>
      <c r="P509" s="330"/>
      <c r="Q509" s="330"/>
      <c r="R509" s="330"/>
      <c r="S509" s="330"/>
      <c r="T509" s="330"/>
      <c r="U509" s="330"/>
      <c r="V509" s="330"/>
      <c r="W509" s="330"/>
      <c r="X509" s="330"/>
      <c r="Y509" s="330"/>
      <c r="Z509" s="330"/>
      <c r="AA509" s="330"/>
      <c r="AB509" s="330"/>
      <c r="AC509" s="330"/>
      <c r="AD509" s="330"/>
      <c r="AE509" s="330"/>
      <c r="AF509" s="330"/>
      <c r="AG509" s="330"/>
      <c r="AH509" s="330"/>
      <c r="AI509" s="330"/>
      <c r="AJ509" s="334"/>
      <c r="AK509" s="330"/>
      <c r="AL509" s="330"/>
      <c r="AM509" s="330"/>
      <c r="AN509" s="330"/>
      <c r="AO509" s="330"/>
      <c r="AP509" s="330"/>
      <c r="AQ509" s="330"/>
      <c r="AR509" s="330"/>
      <c r="AS509" s="330"/>
      <c r="AT509" s="330"/>
      <c r="AU509" s="330"/>
      <c r="AV509" s="330"/>
      <c r="AW509" s="330"/>
      <c r="AX509" s="330"/>
      <c r="AY509" s="330"/>
      <c r="AZ509" s="330"/>
      <c r="BA509" s="330"/>
      <c r="BB509" s="330"/>
      <c r="BC509" s="330"/>
      <c r="BD509" s="330"/>
      <c r="BE509" s="330"/>
      <c r="BF509" s="330"/>
      <c r="BG509" s="330"/>
      <c r="BH509" s="330"/>
      <c r="BI509" s="330"/>
      <c r="BJ509" s="330"/>
      <c r="BK509" s="330"/>
      <c r="BL509" s="330"/>
      <c r="BM509" s="330"/>
      <c r="BN509" s="330"/>
      <c r="BO509" s="334"/>
      <c r="BP509" s="330"/>
      <c r="BQ509" s="330"/>
      <c r="BR509" s="330"/>
      <c r="BS509" s="330"/>
      <c r="BT509" s="330"/>
      <c r="BV509" s="330"/>
      <c r="BW509" s="330"/>
      <c r="BX509" s="330"/>
      <c r="BY509" s="330"/>
      <c r="BZ509" s="330"/>
      <c r="CA509" s="330"/>
      <c r="CB509" s="330"/>
      <c r="CC509" s="330"/>
      <c r="CD509" s="330"/>
      <c r="CE509" s="330"/>
      <c r="CF509" s="330"/>
      <c r="CG509" s="330"/>
      <c r="CH509" s="330"/>
      <c r="CI509" s="334"/>
      <c r="CJ509" s="330"/>
      <c r="CK509" s="330"/>
      <c r="CL509" s="330"/>
      <c r="CM509" s="330"/>
      <c r="CN509" s="330"/>
      <c r="CO509" s="330"/>
      <c r="CP509" s="330"/>
      <c r="CQ509" s="330"/>
      <c r="CR509" s="330"/>
      <c r="CS509" s="330"/>
      <c r="CT509" s="330"/>
      <c r="CU509" s="330"/>
      <c r="CV509" s="330"/>
      <c r="CW509" s="330"/>
    </row>
    <row r="510" spans="1:101" s="87" customFormat="1" ht="12" hidden="1" customHeight="1" outlineLevel="2">
      <c r="A510" s="91" t="s">
        <v>1098</v>
      </c>
      <c r="B510" s="87" t="s">
        <v>173</v>
      </c>
      <c r="C510" s="330"/>
      <c r="D510" s="330"/>
      <c r="E510" s="330"/>
      <c r="F510" s="330"/>
      <c r="G510" s="330"/>
      <c r="H510" s="330"/>
      <c r="I510" s="330"/>
      <c r="J510" s="330"/>
      <c r="K510" s="330"/>
      <c r="L510" s="330"/>
      <c r="M510" s="330"/>
      <c r="N510" s="330"/>
      <c r="O510" s="330"/>
      <c r="P510" s="330"/>
      <c r="Q510" s="330"/>
      <c r="R510" s="330"/>
      <c r="S510" s="330"/>
      <c r="T510" s="330"/>
      <c r="U510" s="330"/>
      <c r="V510" s="330"/>
      <c r="W510" s="330"/>
      <c r="X510" s="330"/>
      <c r="Y510" s="330"/>
      <c r="Z510" s="330"/>
      <c r="AA510" s="330"/>
      <c r="AB510" s="330"/>
      <c r="AC510" s="330"/>
      <c r="AD510" s="330"/>
      <c r="AE510" s="330"/>
      <c r="AF510" s="330"/>
      <c r="AG510" s="330"/>
      <c r="AH510" s="330"/>
      <c r="AI510" s="330"/>
      <c r="AJ510" s="334"/>
      <c r="AK510" s="330"/>
      <c r="AL510" s="330"/>
      <c r="AM510" s="330"/>
      <c r="AN510" s="330"/>
      <c r="AO510" s="330"/>
      <c r="AP510" s="330"/>
      <c r="AQ510" s="330"/>
      <c r="AR510" s="330"/>
      <c r="AS510" s="330"/>
      <c r="AT510" s="330"/>
      <c r="AU510" s="330"/>
      <c r="AV510" s="330"/>
      <c r="AW510" s="330"/>
      <c r="AX510" s="330"/>
      <c r="AY510" s="330"/>
      <c r="AZ510" s="330"/>
      <c r="BA510" s="330"/>
      <c r="BB510" s="330"/>
      <c r="BC510" s="330"/>
      <c r="BD510" s="330"/>
      <c r="BE510" s="330"/>
      <c r="BF510" s="330"/>
      <c r="BG510" s="330"/>
      <c r="BH510" s="330"/>
      <c r="BI510" s="330"/>
      <c r="BJ510" s="330"/>
      <c r="BK510" s="330"/>
      <c r="BL510" s="330"/>
      <c r="BM510" s="330"/>
      <c r="BN510" s="330"/>
      <c r="BO510" s="334"/>
      <c r="BP510" s="330"/>
      <c r="BQ510" s="330"/>
      <c r="BR510" s="330"/>
      <c r="BS510" s="330"/>
      <c r="BT510" s="330"/>
      <c r="BV510" s="330"/>
      <c r="BW510" s="330"/>
      <c r="BX510" s="330"/>
      <c r="BY510" s="330"/>
      <c r="BZ510" s="330"/>
      <c r="CA510" s="330"/>
      <c r="CB510" s="330"/>
      <c r="CC510" s="330"/>
      <c r="CD510" s="330"/>
      <c r="CE510" s="330"/>
      <c r="CF510" s="330"/>
      <c r="CG510" s="330"/>
      <c r="CH510" s="330"/>
      <c r="CI510" s="334"/>
      <c r="CJ510" s="330"/>
      <c r="CK510" s="330"/>
      <c r="CL510" s="330"/>
      <c r="CM510" s="330"/>
      <c r="CN510" s="330"/>
      <c r="CO510" s="330"/>
      <c r="CP510" s="330"/>
      <c r="CQ510" s="330"/>
      <c r="CR510" s="330"/>
      <c r="CS510" s="330"/>
      <c r="CT510" s="330"/>
      <c r="CU510" s="330"/>
      <c r="CV510" s="330"/>
      <c r="CW510" s="330"/>
    </row>
    <row r="511" spans="1:101" s="87" customFormat="1" ht="12" hidden="1" customHeight="1" outlineLevel="2">
      <c r="A511" s="91" t="s">
        <v>1099</v>
      </c>
      <c r="B511" s="87" t="s">
        <v>173</v>
      </c>
      <c r="C511" s="330"/>
      <c r="D511" s="330"/>
      <c r="E511" s="330"/>
      <c r="F511" s="330"/>
      <c r="G511" s="330"/>
      <c r="H511" s="330"/>
      <c r="I511" s="330"/>
      <c r="J511" s="330"/>
      <c r="K511" s="330"/>
      <c r="L511" s="330"/>
      <c r="M511" s="330"/>
      <c r="N511" s="330"/>
      <c r="O511" s="330"/>
      <c r="P511" s="330"/>
      <c r="Q511" s="330"/>
      <c r="R511" s="330"/>
      <c r="S511" s="330"/>
      <c r="T511" s="330"/>
      <c r="U511" s="330"/>
      <c r="V511" s="330"/>
      <c r="W511" s="330"/>
      <c r="X511" s="330"/>
      <c r="Y511" s="330"/>
      <c r="Z511" s="330"/>
      <c r="AA511" s="330"/>
      <c r="AB511" s="330"/>
      <c r="AC511" s="330"/>
      <c r="AD511" s="330"/>
      <c r="AE511" s="330"/>
      <c r="AF511" s="330"/>
      <c r="AG511" s="330"/>
      <c r="AH511" s="330"/>
      <c r="AI511" s="330"/>
      <c r="AJ511" s="334"/>
      <c r="AK511" s="330"/>
      <c r="AL511" s="330"/>
      <c r="AM511" s="330"/>
      <c r="AN511" s="330"/>
      <c r="AO511" s="330"/>
      <c r="AP511" s="330"/>
      <c r="AQ511" s="330"/>
      <c r="AR511" s="330"/>
      <c r="AS511" s="330"/>
      <c r="AT511" s="330"/>
      <c r="AU511" s="330"/>
      <c r="AV511" s="330"/>
      <c r="AW511" s="330"/>
      <c r="AX511" s="330"/>
      <c r="AY511" s="330"/>
      <c r="AZ511" s="330"/>
      <c r="BA511" s="330"/>
      <c r="BB511" s="330"/>
      <c r="BC511" s="330"/>
      <c r="BD511" s="330"/>
      <c r="BE511" s="330"/>
      <c r="BF511" s="330"/>
      <c r="BG511" s="330"/>
      <c r="BH511" s="330"/>
      <c r="BI511" s="330"/>
      <c r="BJ511" s="330"/>
      <c r="BK511" s="330"/>
      <c r="BL511" s="330"/>
      <c r="BM511" s="330"/>
      <c r="BN511" s="330"/>
      <c r="BO511" s="334"/>
      <c r="BP511" s="330"/>
      <c r="BQ511" s="330"/>
      <c r="BR511" s="330"/>
      <c r="BS511" s="330"/>
      <c r="BT511" s="330"/>
      <c r="BV511" s="330"/>
      <c r="BW511" s="330"/>
      <c r="BX511" s="330"/>
      <c r="BY511" s="330"/>
      <c r="BZ511" s="330"/>
      <c r="CA511" s="330"/>
      <c r="CB511" s="330"/>
      <c r="CC511" s="330"/>
      <c r="CD511" s="330"/>
      <c r="CE511" s="330"/>
      <c r="CF511" s="330"/>
      <c r="CG511" s="330"/>
      <c r="CH511" s="330"/>
      <c r="CI511" s="334"/>
      <c r="CJ511" s="330"/>
      <c r="CK511" s="330"/>
      <c r="CL511" s="330"/>
      <c r="CM511" s="330"/>
      <c r="CN511" s="330"/>
      <c r="CO511" s="330"/>
      <c r="CP511" s="330"/>
      <c r="CQ511" s="330"/>
      <c r="CR511" s="330"/>
      <c r="CS511" s="330"/>
      <c r="CT511" s="330"/>
      <c r="CU511" s="330"/>
      <c r="CV511" s="330"/>
      <c r="CW511" s="330"/>
    </row>
    <row r="512" spans="1:101" s="87" customFormat="1" ht="12" hidden="1" customHeight="1" outlineLevel="2">
      <c r="A512" s="91" t="s">
        <v>1100</v>
      </c>
      <c r="B512" s="87" t="s">
        <v>173</v>
      </c>
      <c r="C512" s="330"/>
      <c r="D512" s="330"/>
      <c r="E512" s="330"/>
      <c r="F512" s="330"/>
      <c r="G512" s="330"/>
      <c r="H512" s="330"/>
      <c r="I512" s="330"/>
      <c r="J512" s="330"/>
      <c r="K512" s="330"/>
      <c r="L512" s="330"/>
      <c r="M512" s="330"/>
      <c r="N512" s="330"/>
      <c r="O512" s="330"/>
      <c r="P512" s="330"/>
      <c r="Q512" s="330"/>
      <c r="R512" s="330"/>
      <c r="S512" s="330"/>
      <c r="T512" s="330"/>
      <c r="U512" s="330"/>
      <c r="V512" s="330"/>
      <c r="W512" s="330"/>
      <c r="X512" s="330"/>
      <c r="Y512" s="330"/>
      <c r="Z512" s="330"/>
      <c r="AA512" s="330"/>
      <c r="AB512" s="330"/>
      <c r="AC512" s="330"/>
      <c r="AD512" s="330"/>
      <c r="AE512" s="330"/>
      <c r="AF512" s="330"/>
      <c r="AG512" s="330"/>
      <c r="AH512" s="330"/>
      <c r="AI512" s="330"/>
      <c r="AJ512" s="334"/>
      <c r="AK512" s="330"/>
      <c r="AL512" s="330"/>
      <c r="AM512" s="330"/>
      <c r="AN512" s="330"/>
      <c r="AO512" s="330"/>
      <c r="AP512" s="330"/>
      <c r="AQ512" s="330"/>
      <c r="AR512" s="330"/>
      <c r="AS512" s="330"/>
      <c r="AT512" s="330"/>
      <c r="AU512" s="330"/>
      <c r="AV512" s="330"/>
      <c r="AW512" s="330"/>
      <c r="AX512" s="330"/>
      <c r="AY512" s="330"/>
      <c r="AZ512" s="330"/>
      <c r="BA512" s="330"/>
      <c r="BB512" s="330"/>
      <c r="BC512" s="330"/>
      <c r="BD512" s="330"/>
      <c r="BE512" s="330"/>
      <c r="BF512" s="330"/>
      <c r="BG512" s="330"/>
      <c r="BH512" s="330"/>
      <c r="BI512" s="330"/>
      <c r="BJ512" s="330"/>
      <c r="BK512" s="330"/>
      <c r="BL512" s="330"/>
      <c r="BM512" s="330"/>
      <c r="BN512" s="330"/>
      <c r="BO512" s="334"/>
      <c r="BP512" s="330"/>
      <c r="BQ512" s="330"/>
      <c r="BR512" s="330"/>
      <c r="BS512" s="330"/>
      <c r="BT512" s="330"/>
      <c r="BV512" s="330"/>
      <c r="BW512" s="330"/>
      <c r="BX512" s="330"/>
      <c r="BY512" s="330"/>
      <c r="BZ512" s="330"/>
      <c r="CA512" s="330"/>
      <c r="CB512" s="330"/>
      <c r="CC512" s="330"/>
      <c r="CD512" s="330"/>
      <c r="CE512" s="330"/>
      <c r="CF512" s="330"/>
      <c r="CG512" s="330"/>
      <c r="CH512" s="330"/>
      <c r="CI512" s="334"/>
      <c r="CJ512" s="330"/>
      <c r="CK512" s="330"/>
      <c r="CL512" s="330"/>
      <c r="CM512" s="330"/>
      <c r="CN512" s="330"/>
      <c r="CO512" s="330"/>
      <c r="CP512" s="330"/>
      <c r="CQ512" s="330"/>
      <c r="CR512" s="330"/>
      <c r="CS512" s="330"/>
      <c r="CT512" s="330"/>
      <c r="CU512" s="330"/>
      <c r="CV512" s="330"/>
      <c r="CW512" s="330"/>
    </row>
    <row r="513" spans="1:101" s="87" customFormat="1" ht="12" hidden="1" customHeight="1" outlineLevel="2">
      <c r="A513" s="91" t="s">
        <v>1101</v>
      </c>
      <c r="B513" s="87" t="s">
        <v>173</v>
      </c>
      <c r="C513" s="330"/>
      <c r="D513" s="330"/>
      <c r="E513" s="330"/>
      <c r="F513" s="330"/>
      <c r="G513" s="330"/>
      <c r="H513" s="330"/>
      <c r="I513" s="330"/>
      <c r="J513" s="330"/>
      <c r="K513" s="330"/>
      <c r="L513" s="330"/>
      <c r="M513" s="330"/>
      <c r="N513" s="330"/>
      <c r="O513" s="330"/>
      <c r="P513" s="330"/>
      <c r="Q513" s="330"/>
      <c r="R513" s="330"/>
      <c r="S513" s="330"/>
      <c r="T513" s="330"/>
      <c r="U513" s="330"/>
      <c r="V513" s="330"/>
      <c r="W513" s="330"/>
      <c r="X513" s="330"/>
      <c r="Y513" s="330"/>
      <c r="Z513" s="330"/>
      <c r="AA513" s="330"/>
      <c r="AB513" s="330"/>
      <c r="AC513" s="330"/>
      <c r="AD513" s="330"/>
      <c r="AE513" s="330"/>
      <c r="AF513" s="330"/>
      <c r="AG513" s="330"/>
      <c r="AH513" s="330"/>
      <c r="AI513" s="330"/>
      <c r="AJ513" s="334"/>
      <c r="AK513" s="330"/>
      <c r="AL513" s="330"/>
      <c r="AM513" s="330"/>
      <c r="AN513" s="330"/>
      <c r="AO513" s="330"/>
      <c r="AP513" s="330"/>
      <c r="AQ513" s="330"/>
      <c r="AR513" s="330"/>
      <c r="AS513" s="330"/>
      <c r="AT513" s="330"/>
      <c r="AU513" s="330"/>
      <c r="AV513" s="330"/>
      <c r="AW513" s="330"/>
      <c r="AX513" s="330"/>
      <c r="AY513" s="330"/>
      <c r="AZ513" s="330"/>
      <c r="BA513" s="330"/>
      <c r="BB513" s="330"/>
      <c r="BC513" s="330"/>
      <c r="BD513" s="330"/>
      <c r="BE513" s="330"/>
      <c r="BF513" s="330"/>
      <c r="BG513" s="330"/>
      <c r="BH513" s="330"/>
      <c r="BI513" s="330"/>
      <c r="BJ513" s="330"/>
      <c r="BK513" s="330"/>
      <c r="BL513" s="330"/>
      <c r="BM513" s="330"/>
      <c r="BN513" s="330"/>
      <c r="BO513" s="334"/>
      <c r="BP513" s="330"/>
      <c r="BQ513" s="330"/>
      <c r="BR513" s="330"/>
      <c r="BS513" s="330"/>
      <c r="BT513" s="330"/>
      <c r="BV513" s="330"/>
      <c r="BW513" s="330"/>
      <c r="BX513" s="330"/>
      <c r="BY513" s="330"/>
      <c r="BZ513" s="330"/>
      <c r="CA513" s="330"/>
      <c r="CB513" s="330"/>
      <c r="CC513" s="330"/>
      <c r="CD513" s="330"/>
      <c r="CE513" s="330"/>
      <c r="CF513" s="330"/>
      <c r="CG513" s="330"/>
      <c r="CH513" s="330"/>
      <c r="CI513" s="334"/>
      <c r="CJ513" s="330"/>
      <c r="CK513" s="330"/>
      <c r="CL513" s="330"/>
      <c r="CM513" s="330"/>
      <c r="CN513" s="330"/>
      <c r="CO513" s="330"/>
      <c r="CP513" s="330"/>
      <c r="CQ513" s="330"/>
      <c r="CR513" s="330"/>
      <c r="CS513" s="330"/>
      <c r="CT513" s="330"/>
      <c r="CU513" s="330"/>
      <c r="CV513" s="330"/>
      <c r="CW513" s="330"/>
    </row>
    <row r="514" spans="1:101" s="87" customFormat="1" ht="12" hidden="1" customHeight="1" outlineLevel="2">
      <c r="A514" s="91" t="s">
        <v>1102</v>
      </c>
      <c r="B514" s="87" t="s">
        <v>173</v>
      </c>
      <c r="C514" s="330"/>
      <c r="D514" s="330"/>
      <c r="E514" s="330"/>
      <c r="F514" s="330"/>
      <c r="G514" s="330"/>
      <c r="H514" s="330"/>
      <c r="I514" s="330"/>
      <c r="J514" s="330"/>
      <c r="K514" s="330"/>
      <c r="L514" s="330"/>
      <c r="M514" s="330"/>
      <c r="N514" s="330"/>
      <c r="O514" s="330"/>
      <c r="P514" s="330"/>
      <c r="Q514" s="330"/>
      <c r="R514" s="330"/>
      <c r="S514" s="330"/>
      <c r="T514" s="330"/>
      <c r="U514" s="330"/>
      <c r="V514" s="330"/>
      <c r="W514" s="330"/>
      <c r="X514" s="330"/>
      <c r="Y514" s="330"/>
      <c r="Z514" s="330"/>
      <c r="AA514" s="330"/>
      <c r="AB514" s="330"/>
      <c r="AC514" s="330"/>
      <c r="AD514" s="330"/>
      <c r="AE514" s="330"/>
      <c r="AF514" s="330"/>
      <c r="AG514" s="330"/>
      <c r="AH514" s="330"/>
      <c r="AI514" s="330"/>
      <c r="AJ514" s="334"/>
      <c r="AK514" s="330"/>
      <c r="AL514" s="330"/>
      <c r="AM514" s="330"/>
      <c r="AN514" s="330"/>
      <c r="AO514" s="330"/>
      <c r="AP514" s="330"/>
      <c r="AQ514" s="330"/>
      <c r="AR514" s="330"/>
      <c r="AS514" s="330"/>
      <c r="AT514" s="330"/>
      <c r="AU514" s="330"/>
      <c r="AV514" s="330"/>
      <c r="AW514" s="330"/>
      <c r="AX514" s="330"/>
      <c r="AY514" s="330"/>
      <c r="AZ514" s="330"/>
      <c r="BA514" s="330"/>
      <c r="BB514" s="330"/>
      <c r="BC514" s="330"/>
      <c r="BD514" s="330"/>
      <c r="BE514" s="330"/>
      <c r="BF514" s="330"/>
      <c r="BG514" s="330"/>
      <c r="BH514" s="330"/>
      <c r="BI514" s="330"/>
      <c r="BJ514" s="330"/>
      <c r="BK514" s="330"/>
      <c r="BL514" s="330"/>
      <c r="BM514" s="330"/>
      <c r="BN514" s="330"/>
      <c r="BO514" s="334"/>
      <c r="BP514" s="330"/>
      <c r="BQ514" s="330"/>
      <c r="BR514" s="330"/>
      <c r="BS514" s="330"/>
      <c r="BT514" s="330"/>
      <c r="BV514" s="330"/>
      <c r="BW514" s="330"/>
      <c r="BX514" s="330"/>
      <c r="BY514" s="330"/>
      <c r="BZ514" s="330"/>
      <c r="CA514" s="330"/>
      <c r="CB514" s="330"/>
      <c r="CC514" s="330"/>
      <c r="CD514" s="330"/>
      <c r="CE514" s="330"/>
      <c r="CF514" s="330"/>
      <c r="CG514" s="330"/>
      <c r="CH514" s="330"/>
      <c r="CI514" s="334"/>
      <c r="CJ514" s="330"/>
      <c r="CK514" s="330"/>
      <c r="CL514" s="330"/>
      <c r="CM514" s="330"/>
      <c r="CN514" s="330"/>
      <c r="CO514" s="330"/>
      <c r="CP514" s="330"/>
      <c r="CQ514" s="330"/>
      <c r="CR514" s="330"/>
      <c r="CS514" s="330"/>
      <c r="CT514" s="330"/>
      <c r="CU514" s="330"/>
      <c r="CV514" s="330"/>
      <c r="CW514" s="330"/>
    </row>
    <row r="515" spans="1:101" s="87" customFormat="1" ht="12" hidden="1" customHeight="1" outlineLevel="2">
      <c r="A515" s="91" t="s">
        <v>1103</v>
      </c>
      <c r="B515" s="87" t="s">
        <v>173</v>
      </c>
      <c r="C515" s="330"/>
      <c r="D515" s="330"/>
      <c r="E515" s="330"/>
      <c r="F515" s="330"/>
      <c r="G515" s="330"/>
      <c r="H515" s="330"/>
      <c r="I515" s="330"/>
      <c r="J515" s="330"/>
      <c r="K515" s="330"/>
      <c r="L515" s="330"/>
      <c r="M515" s="330"/>
      <c r="N515" s="330"/>
      <c r="O515" s="330"/>
      <c r="P515" s="330"/>
      <c r="Q515" s="330"/>
      <c r="R515" s="330"/>
      <c r="S515" s="330"/>
      <c r="T515" s="330"/>
      <c r="U515" s="330"/>
      <c r="V515" s="330"/>
      <c r="W515" s="330"/>
      <c r="X515" s="330"/>
      <c r="Y515" s="330"/>
      <c r="Z515" s="330"/>
      <c r="AA515" s="330"/>
      <c r="AB515" s="330"/>
      <c r="AC515" s="330"/>
      <c r="AD515" s="330"/>
      <c r="AE515" s="330"/>
      <c r="AF515" s="330"/>
      <c r="AG515" s="330"/>
      <c r="AH515" s="330"/>
      <c r="AI515" s="330"/>
      <c r="AJ515" s="334"/>
      <c r="AK515" s="330"/>
      <c r="AL515" s="330"/>
      <c r="AM515" s="330"/>
      <c r="AN515" s="330"/>
      <c r="AO515" s="330"/>
      <c r="AP515" s="330"/>
      <c r="AQ515" s="330"/>
      <c r="AR515" s="330"/>
      <c r="AS515" s="330"/>
      <c r="AT515" s="330"/>
      <c r="AU515" s="330"/>
      <c r="AV515" s="330"/>
      <c r="AW515" s="330"/>
      <c r="AX515" s="330"/>
      <c r="AY515" s="330"/>
      <c r="AZ515" s="330"/>
      <c r="BA515" s="330"/>
      <c r="BB515" s="330"/>
      <c r="BC515" s="330"/>
      <c r="BD515" s="330"/>
      <c r="BE515" s="330"/>
      <c r="BF515" s="330"/>
      <c r="BG515" s="330"/>
      <c r="BH515" s="330"/>
      <c r="BI515" s="330"/>
      <c r="BJ515" s="330"/>
      <c r="BK515" s="330"/>
      <c r="BL515" s="330"/>
      <c r="BM515" s="330"/>
      <c r="BN515" s="330"/>
      <c r="BO515" s="334"/>
      <c r="BP515" s="330"/>
      <c r="BQ515" s="330"/>
      <c r="BR515" s="330"/>
      <c r="BS515" s="330"/>
      <c r="BT515" s="330"/>
      <c r="BV515" s="330"/>
      <c r="BW515" s="330"/>
      <c r="BX515" s="330"/>
      <c r="BY515" s="330"/>
      <c r="BZ515" s="330"/>
      <c r="CA515" s="330"/>
      <c r="CB515" s="330"/>
      <c r="CC515" s="330"/>
      <c r="CD515" s="330"/>
      <c r="CE515" s="330"/>
      <c r="CF515" s="330"/>
      <c r="CG515" s="330"/>
      <c r="CH515" s="330"/>
      <c r="CI515" s="334"/>
      <c r="CJ515" s="330"/>
      <c r="CK515" s="330"/>
      <c r="CL515" s="330"/>
      <c r="CM515" s="330"/>
      <c r="CN515" s="330"/>
      <c r="CO515" s="330"/>
      <c r="CP515" s="330"/>
      <c r="CQ515" s="330"/>
      <c r="CR515" s="330"/>
      <c r="CS515" s="330"/>
      <c r="CT515" s="330"/>
      <c r="CU515" s="330"/>
      <c r="CV515" s="330"/>
      <c r="CW515" s="330"/>
    </row>
    <row r="516" spans="1:101" s="87" customFormat="1" ht="12" hidden="1" customHeight="1" outlineLevel="2">
      <c r="A516" s="91" t="s">
        <v>1104</v>
      </c>
      <c r="B516" s="87" t="s">
        <v>173</v>
      </c>
      <c r="C516" s="330"/>
      <c r="D516" s="330"/>
      <c r="E516" s="330"/>
      <c r="F516" s="330"/>
      <c r="G516" s="330"/>
      <c r="H516" s="330"/>
      <c r="I516" s="330"/>
      <c r="J516" s="330"/>
      <c r="K516" s="330"/>
      <c r="L516" s="330"/>
      <c r="M516" s="330"/>
      <c r="N516" s="330"/>
      <c r="O516" s="330"/>
      <c r="P516" s="330"/>
      <c r="Q516" s="330"/>
      <c r="R516" s="330"/>
      <c r="S516" s="330"/>
      <c r="T516" s="330"/>
      <c r="U516" s="330"/>
      <c r="V516" s="330"/>
      <c r="W516" s="330"/>
      <c r="X516" s="330"/>
      <c r="Y516" s="330"/>
      <c r="Z516" s="330"/>
      <c r="AA516" s="330"/>
      <c r="AB516" s="330"/>
      <c r="AC516" s="330"/>
      <c r="AD516" s="330"/>
      <c r="AE516" s="330"/>
      <c r="AF516" s="330"/>
      <c r="AG516" s="330"/>
      <c r="AH516" s="330"/>
      <c r="AI516" s="330"/>
      <c r="AJ516" s="334"/>
      <c r="AK516" s="330"/>
      <c r="AL516" s="330"/>
      <c r="AM516" s="330"/>
      <c r="AN516" s="330"/>
      <c r="AO516" s="330"/>
      <c r="AP516" s="330"/>
      <c r="AQ516" s="330"/>
      <c r="AR516" s="330"/>
      <c r="AS516" s="330"/>
      <c r="AT516" s="330"/>
      <c r="AU516" s="330"/>
      <c r="AV516" s="330"/>
      <c r="AW516" s="330"/>
      <c r="AX516" s="330"/>
      <c r="AY516" s="330"/>
      <c r="AZ516" s="330"/>
      <c r="BA516" s="330"/>
      <c r="BB516" s="330"/>
      <c r="BC516" s="330"/>
      <c r="BD516" s="330"/>
      <c r="BE516" s="330"/>
      <c r="BF516" s="330"/>
      <c r="BG516" s="330"/>
      <c r="BH516" s="330"/>
      <c r="BI516" s="330"/>
      <c r="BJ516" s="330"/>
      <c r="BK516" s="330"/>
      <c r="BL516" s="330"/>
      <c r="BM516" s="330"/>
      <c r="BN516" s="330"/>
      <c r="BO516" s="334"/>
      <c r="BP516" s="330"/>
      <c r="BQ516" s="330"/>
      <c r="BR516" s="330"/>
      <c r="BS516" s="330"/>
      <c r="BT516" s="330"/>
      <c r="BV516" s="330"/>
      <c r="BW516" s="330"/>
      <c r="BX516" s="330"/>
      <c r="BY516" s="330"/>
      <c r="BZ516" s="330"/>
      <c r="CA516" s="330"/>
      <c r="CB516" s="330"/>
      <c r="CC516" s="330"/>
      <c r="CD516" s="330"/>
      <c r="CE516" s="330"/>
      <c r="CF516" s="330"/>
      <c r="CG516" s="330"/>
      <c r="CH516" s="330"/>
      <c r="CI516" s="334"/>
      <c r="CJ516" s="330"/>
      <c r="CK516" s="330"/>
      <c r="CL516" s="330"/>
      <c r="CM516" s="330"/>
      <c r="CN516" s="330"/>
      <c r="CO516" s="330"/>
      <c r="CP516" s="330"/>
      <c r="CQ516" s="330"/>
      <c r="CR516" s="330"/>
      <c r="CS516" s="330"/>
      <c r="CT516" s="330"/>
      <c r="CU516" s="330"/>
      <c r="CV516" s="330"/>
      <c r="CW516" s="330"/>
    </row>
    <row r="517" spans="1:101" s="87" customFormat="1" ht="12" hidden="1" customHeight="1" outlineLevel="2">
      <c r="A517" s="91" t="s">
        <v>1105</v>
      </c>
      <c r="B517" s="87" t="s">
        <v>173</v>
      </c>
      <c r="C517" s="330"/>
      <c r="D517" s="330"/>
      <c r="E517" s="330"/>
      <c r="F517" s="330"/>
      <c r="G517" s="330"/>
      <c r="H517" s="330"/>
      <c r="I517" s="330"/>
      <c r="J517" s="330"/>
      <c r="K517" s="330"/>
      <c r="L517" s="330"/>
      <c r="M517" s="330"/>
      <c r="N517" s="330"/>
      <c r="O517" s="330"/>
      <c r="P517" s="330"/>
      <c r="Q517" s="330"/>
      <c r="R517" s="330"/>
      <c r="S517" s="330"/>
      <c r="T517" s="330"/>
      <c r="U517" s="330"/>
      <c r="V517" s="330"/>
      <c r="W517" s="330"/>
      <c r="X517" s="330"/>
      <c r="Y517" s="330"/>
      <c r="Z517" s="330"/>
      <c r="AA517" s="330"/>
      <c r="AB517" s="330"/>
      <c r="AC517" s="330"/>
      <c r="AD517" s="330"/>
      <c r="AE517" s="330"/>
      <c r="AF517" s="330"/>
      <c r="AG517" s="330"/>
      <c r="AH517" s="330"/>
      <c r="AI517" s="330"/>
      <c r="AJ517" s="334"/>
      <c r="AK517" s="330"/>
      <c r="AL517" s="330"/>
      <c r="AM517" s="330"/>
      <c r="AN517" s="330"/>
      <c r="AO517" s="330"/>
      <c r="AP517" s="330"/>
      <c r="AQ517" s="330"/>
      <c r="AR517" s="330"/>
      <c r="AS517" s="330"/>
      <c r="AT517" s="330"/>
      <c r="AU517" s="330"/>
      <c r="AV517" s="330"/>
      <c r="AW517" s="330"/>
      <c r="AX517" s="330"/>
      <c r="AY517" s="330"/>
      <c r="AZ517" s="330"/>
      <c r="BA517" s="330"/>
      <c r="BB517" s="330"/>
      <c r="BC517" s="330"/>
      <c r="BD517" s="330"/>
      <c r="BE517" s="330"/>
      <c r="BF517" s="330"/>
      <c r="BG517" s="330"/>
      <c r="BH517" s="330"/>
      <c r="BI517" s="330"/>
      <c r="BJ517" s="330"/>
      <c r="BK517" s="330"/>
      <c r="BL517" s="330"/>
      <c r="BM517" s="330"/>
      <c r="BN517" s="330"/>
      <c r="BO517" s="334"/>
      <c r="BP517" s="330"/>
      <c r="BQ517" s="330"/>
      <c r="BR517" s="330"/>
      <c r="BS517" s="330"/>
      <c r="BT517" s="330"/>
      <c r="BV517" s="330"/>
      <c r="BW517" s="330"/>
      <c r="BX517" s="330"/>
      <c r="BY517" s="330"/>
      <c r="BZ517" s="330"/>
      <c r="CA517" s="330"/>
      <c r="CB517" s="330"/>
      <c r="CC517" s="330"/>
      <c r="CD517" s="330"/>
      <c r="CE517" s="330"/>
      <c r="CF517" s="330"/>
      <c r="CG517" s="330"/>
      <c r="CH517" s="330"/>
      <c r="CI517" s="334"/>
      <c r="CJ517" s="330"/>
      <c r="CK517" s="330"/>
      <c r="CL517" s="330"/>
      <c r="CM517" s="330"/>
      <c r="CN517" s="330"/>
      <c r="CO517" s="330"/>
      <c r="CP517" s="330"/>
      <c r="CQ517" s="330"/>
      <c r="CR517" s="330"/>
      <c r="CS517" s="330"/>
      <c r="CT517" s="330"/>
      <c r="CU517" s="330"/>
      <c r="CV517" s="330"/>
      <c r="CW517" s="330"/>
    </row>
    <row r="518" spans="1:101" ht="12" customHeight="1" outlineLevel="1" collapsed="1"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20"/>
      <c r="AK518" s="19"/>
      <c r="AL518" s="19"/>
      <c r="AM518" s="19"/>
      <c r="AN518" s="19"/>
      <c r="AO518" s="19"/>
      <c r="AP518" s="19"/>
      <c r="AQ518" s="19"/>
      <c r="AR518" s="19"/>
      <c r="AS518" s="19"/>
      <c r="AT518" s="19"/>
      <c r="AU518" s="19"/>
      <c r="AV518" s="19"/>
      <c r="AW518" s="19"/>
      <c r="AX518" s="19"/>
      <c r="AY518" s="19"/>
      <c r="AZ518" s="19"/>
      <c r="BA518" s="19"/>
      <c r="BB518" s="19"/>
      <c r="BC518" s="19"/>
      <c r="BD518" s="19"/>
      <c r="BE518" s="19"/>
      <c r="BF518" s="19"/>
      <c r="BG518" s="19"/>
      <c r="BH518" s="19"/>
      <c r="BI518" s="19"/>
      <c r="BJ518" s="19"/>
      <c r="BK518" s="19"/>
      <c r="BL518" s="19"/>
      <c r="BM518" s="19"/>
      <c r="BN518" s="19"/>
      <c r="BO518" s="20"/>
      <c r="BP518" s="19"/>
      <c r="BQ518" s="19"/>
      <c r="BR518" s="19"/>
      <c r="BS518" s="19"/>
      <c r="BT518" s="19"/>
    </row>
    <row r="519" spans="1:101" ht="12" customHeight="1" outlineLevel="1">
      <c r="B519" s="9" t="s">
        <v>411</v>
      </c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20"/>
      <c r="AK519" s="19"/>
      <c r="AL519" s="19"/>
      <c r="AM519" s="19"/>
      <c r="AN519" s="19"/>
      <c r="AO519" s="19"/>
      <c r="AP519" s="19"/>
      <c r="AQ519" s="19"/>
      <c r="AR519" s="19"/>
      <c r="AS519" s="19"/>
      <c r="AT519" s="19"/>
      <c r="AU519" s="19"/>
      <c r="AV519" s="19"/>
      <c r="AW519" s="19"/>
      <c r="AX519" s="19"/>
      <c r="AY519" s="19"/>
      <c r="AZ519" s="19"/>
      <c r="BA519" s="19"/>
      <c r="BB519" s="19"/>
      <c r="BC519" s="19"/>
      <c r="BD519" s="19"/>
      <c r="BE519" s="34"/>
      <c r="BF519" s="19"/>
      <c r="BG519" s="19"/>
      <c r="BH519" s="19"/>
      <c r="BI519" s="19"/>
      <c r="BJ519" s="19"/>
      <c r="BK519" s="19"/>
      <c r="BL519" s="19"/>
      <c r="BM519" s="19"/>
      <c r="BN519" s="19"/>
      <c r="BO519" s="20"/>
      <c r="BP519" s="19"/>
      <c r="BQ519" s="19"/>
      <c r="BR519" s="19"/>
      <c r="BS519" s="19"/>
      <c r="BT519" s="19"/>
    </row>
    <row r="520" spans="1:101" ht="12" customHeight="1" outlineLevel="1">
      <c r="A520" s="91" t="s">
        <v>329</v>
      </c>
      <c r="B520" s="1" t="s">
        <v>330</v>
      </c>
      <c r="C520" s="19"/>
      <c r="D520" s="182">
        <f t="shared" ref="D520:AJ520" si="4151">IF(ISERROR((D81)/(AVERAGE(C98:D98))*D$5),"n.a.",(D81)/(AVERAGE(C98:D98))*D$5)</f>
        <v>9.8757754151457738E-2</v>
      </c>
      <c r="E520" s="182">
        <f t="shared" si="4151"/>
        <v>0.10450240578913694</v>
      </c>
      <c r="F520" s="182">
        <f t="shared" si="4151"/>
        <v>7.211212615687887E-2</v>
      </c>
      <c r="G520" s="182">
        <f t="shared" si="4151"/>
        <v>9.8734784023010141E-2</v>
      </c>
      <c r="H520" s="182">
        <f t="shared" si="4151"/>
        <v>5.3851246965349812E-2</v>
      </c>
      <c r="I520" s="182">
        <f t="shared" si="4151"/>
        <v>7.5710341141890083E-2</v>
      </c>
      <c r="J520" s="182">
        <f t="shared" si="4151"/>
        <v>6.4896559026982575E-2</v>
      </c>
      <c r="K520" s="50">
        <f t="shared" si="4151"/>
        <v>8.7779571924279376E-2</v>
      </c>
      <c r="L520" s="50">
        <f t="shared" si="4151"/>
        <v>8.4568576090213884E-2</v>
      </c>
      <c r="M520" s="50">
        <f t="shared" si="4151"/>
        <v>0.12958919120377235</v>
      </c>
      <c r="N520" s="50">
        <f t="shared" si="4151"/>
        <v>0.11704129149794125</v>
      </c>
      <c r="O520" s="50">
        <f t="shared" si="4151"/>
        <v>0.14509066073580312</v>
      </c>
      <c r="P520" s="50">
        <f t="shared" si="4151"/>
        <v>0.14996496145760335</v>
      </c>
      <c r="Q520" s="50">
        <f t="shared" si="4151"/>
        <v>0.13352606985578377</v>
      </c>
      <c r="R520" s="50">
        <f t="shared" si="4151"/>
        <v>0.13944550355108482</v>
      </c>
      <c r="S520" s="50">
        <f t="shared" si="4151"/>
        <v>0.15355019603149772</v>
      </c>
      <c r="T520" s="50">
        <f t="shared" si="4151"/>
        <v>0.16100778317392317</v>
      </c>
      <c r="U520" s="50">
        <f t="shared" si="4151"/>
        <v>0.16555415953158276</v>
      </c>
      <c r="V520" s="50">
        <f t="shared" si="4151"/>
        <v>0.1587533207798186</v>
      </c>
      <c r="W520" s="50">
        <f t="shared" si="4151"/>
        <v>0.19540146342978429</v>
      </c>
      <c r="X520" s="50">
        <f t="shared" si="4151"/>
        <v>0.15592059500240785</v>
      </c>
      <c r="Y520" s="50">
        <f t="shared" si="4151"/>
        <v>0.12527040314650933</v>
      </c>
      <c r="Z520" s="50">
        <f t="shared" si="4151"/>
        <v>9.4518654174246361E-2</v>
      </c>
      <c r="AA520" s="50">
        <f t="shared" si="4151"/>
        <v>0.19133160288344045</v>
      </c>
      <c r="AB520" s="50">
        <f t="shared" si="4151"/>
        <v>0.17673647057485126</v>
      </c>
      <c r="AC520" s="50">
        <f t="shared" si="4151"/>
        <v>0.20296938216178123</v>
      </c>
      <c r="AD520" s="50">
        <f t="shared" si="4151"/>
        <v>0.15350777560468462</v>
      </c>
      <c r="AE520" s="50">
        <f t="shared" si="4151"/>
        <v>0.17893095864006986</v>
      </c>
      <c r="AF520" s="50">
        <f t="shared" si="4151"/>
        <v>8.6010394188979725E-2</v>
      </c>
      <c r="AG520" s="50">
        <f t="shared" si="4151"/>
        <v>0.12744208552591785</v>
      </c>
      <c r="AH520" s="50">
        <f>IF(ISERROR((AH81)/(AVERAGE(AG98:AH98))*AH$5),"n.a.",(AH81)/(AVERAGE(AG98:AH98))*AH$5)</f>
        <v>9.775589105596233E-2</v>
      </c>
      <c r="AI520" s="50">
        <f t="shared" si="4151"/>
        <v>0.12467829266292056</v>
      </c>
      <c r="AJ520" s="51">
        <f t="shared" si="4151"/>
        <v>9.4424997758857085E-2</v>
      </c>
      <c r="AK520" s="182">
        <f t="shared" ref="AK520" si="4152">IF(ISERROR((AK81)/(AVERAGE(AJ98:AK98))*AK$5),"n.a.",(AK81)/(AVERAGE(AJ98:AK98))*AK$5)</f>
        <v>0.1427770416952196</v>
      </c>
      <c r="AL520" s="182">
        <f t="shared" ref="AL520" si="4153">IF(ISERROR((AL81)/(AVERAGE(AK98:AL98))*AL$5),"n.a.",(AL81)/(AVERAGE(AK98:AL98))*AL$5)</f>
        <v>0.11858665773918296</v>
      </c>
      <c r="AM520" s="182">
        <f t="shared" ref="AM520" si="4154">IF(ISERROR((AM81)/(AVERAGE(AL98:AM98))*AM$5),"n.a.",(AM81)/(AVERAGE(AL98:AM98))*AM$5)</f>
        <v>0.13569347438208454</v>
      </c>
      <c r="AN520" s="182">
        <f t="shared" ref="AN520" si="4155">IF(ISERROR((AN81)/(AVERAGE(AM98:AN98))*AN$5),"n.a.",(AN81)/(AVERAGE(AM98:AN98))*AN$5)</f>
        <v>0.12491618768619281</v>
      </c>
      <c r="AO520" s="182">
        <f t="shared" ref="AO520" si="4156">IF(ISERROR((AO81)/(AVERAGE(AN98:AO98))*AO$5),"n.a.",(AO81)/(AVERAGE(AN98:AO98))*AO$5)</f>
        <v>0.14416990324455475</v>
      </c>
      <c r="AP520" s="182">
        <f t="shared" ref="AP520" si="4157">IF(ISERROR((AP81)/(AVERAGE(AO98:AP98))*AP$5),"n.a.",(AP81)/(AVERAGE(AO98:AP98))*AP$5)</f>
        <v>0.12649390459814785</v>
      </c>
      <c r="AQ520" s="182">
        <f t="shared" ref="AQ520" si="4158">IF(ISERROR((AQ81)/(AVERAGE(AP98:AQ98))*AQ$5),"n.a.",(AQ81)/(AVERAGE(AP98:AQ98))*AQ$5)</f>
        <v>0.14476397605304162</v>
      </c>
      <c r="AR520" s="182">
        <f t="shared" ref="AR520" si="4159">IF(ISERROR((AR81)/(AVERAGE(AQ98:AR98))*AR$5),"n.a.",(AR81)/(AVERAGE(AQ98:AR98))*AR$5)</f>
        <v>0.12774824810694579</v>
      </c>
      <c r="AS520" s="182">
        <f t="shared" ref="AS520" si="4160">IF(ISERROR((AS81)/(AVERAGE(AR98:AS98))*AS$5),"n.a.",(AS81)/(AVERAGE(AR98:AS98))*AS$5)</f>
        <v>0.1418770733912495</v>
      </c>
      <c r="AT520" s="182"/>
      <c r="AU520" s="182">
        <f t="shared" ref="AU520:BI520" si="4161">IF(ISERROR((AU81)/(AVERAGE(AT98:AU98))*AU$5),"n.a.",(AU81)/(AVERAGE(AT98:AU98))*AU$5)</f>
        <v>0.25607064017660042</v>
      </c>
      <c r="AV520" s="182">
        <f t="shared" si="4161"/>
        <v>0.25202916494703537</v>
      </c>
      <c r="AW520" s="182">
        <f t="shared" si="4161"/>
        <v>0.28218728903462242</v>
      </c>
      <c r="AX520" s="182">
        <f t="shared" si="4161"/>
        <v>0.23880794701986754</v>
      </c>
      <c r="AY520" s="182">
        <f t="shared" si="4161"/>
        <v>9.9582690218944725E-2</v>
      </c>
      <c r="AZ520" s="182">
        <f t="shared" si="4161"/>
        <v>0.10554885404101327</v>
      </c>
      <c r="BA520" s="182">
        <f t="shared" si="4161"/>
        <v>8.4467220356953532E-2</v>
      </c>
      <c r="BB520" s="182">
        <f t="shared" si="4161"/>
        <v>6.458176670942628E-2</v>
      </c>
      <c r="BC520" s="182">
        <f t="shared" si="4161"/>
        <v>7.5289746085110146E-2</v>
      </c>
      <c r="BD520" s="50">
        <f t="shared" si="4161"/>
        <v>0.11086280180535471</v>
      </c>
      <c r="BE520" s="50">
        <f t="shared" si="4161"/>
        <v>0.12666324475855806</v>
      </c>
      <c r="BF520" s="50">
        <f t="shared" si="4161"/>
        <v>0.14215331610680448</v>
      </c>
      <c r="BG520" s="50">
        <f t="shared" si="4161"/>
        <v>0.14452883079631018</v>
      </c>
      <c r="BH520" s="50">
        <f t="shared" si="4161"/>
        <v>0.16021303258145364</v>
      </c>
      <c r="BI520" s="50">
        <f t="shared" si="4161"/>
        <v>0.17480508822322527</v>
      </c>
      <c r="BJ520" s="50">
        <f t="shared" ref="BJ520:BN520" si="4162">IF(ISERROR((BJ81)/(AVERAGE(BJ98:BJ98))*BJ$5),"n.a.",(BJ81)/(AVERAGE(BJ98:BJ98))*BJ$5)</f>
        <v>0.12965864311826425</v>
      </c>
      <c r="BK520" s="50">
        <f t="shared" si="4162"/>
        <v>0.13674709724238027</v>
      </c>
      <c r="BL520" s="50">
        <f t="shared" si="4162"/>
        <v>0.16477014110150204</v>
      </c>
      <c r="BM520" s="50">
        <f t="shared" si="4162"/>
        <v>0.15629618458754335</v>
      </c>
      <c r="BN520" s="50">
        <f t="shared" si="4162"/>
        <v>0.10519399062154655</v>
      </c>
      <c r="BO520" s="51">
        <f>IF(ISERROR((BO81)/(AVERAGE(BO98:BO98))*BO$5),"n.a.",(BO81)/(AVERAGE(BO98:BO98))*BO$5)</f>
        <v>0.10507410340536259</v>
      </c>
      <c r="BP520" s="182">
        <f t="shared" ref="BP520:BQ520" si="4163">IF(ISERROR((BP81)/(AVERAGE(BP98:BP98))*BP$5),"n.a.",(BP81)/(AVERAGE(BP98:BP98))*BP$5)</f>
        <v>0.11648932839877649</v>
      </c>
      <c r="BQ520" s="182">
        <f t="shared" si="4163"/>
        <v>0.12473519404583105</v>
      </c>
      <c r="BR520" s="182">
        <f t="shared" ref="BR520:BT520" si="4164">IF(ISERROR((BR81)/(AVERAGE(BR98:BR98))*BR$5),"n.a.",(BR81)/(AVERAGE(BR98:BR98))*BR$5)</f>
        <v>0.13060090068123431</v>
      </c>
      <c r="BS520" s="182">
        <f t="shared" si="4164"/>
        <v>0.13162677930086664</v>
      </c>
      <c r="BT520" s="182">
        <f t="shared" si="4164"/>
        <v>0.13083469367556663</v>
      </c>
    </row>
    <row r="521" spans="1:101" ht="12" customHeight="1" outlineLevel="1">
      <c r="A521" s="91" t="s">
        <v>500</v>
      </c>
      <c r="B521" s="1" t="s">
        <v>498</v>
      </c>
      <c r="C521" s="19"/>
      <c r="D521" s="182">
        <f t="shared" ref="D521:AS521" si="4165">IF(ISERROR((D81-(D55*D56*(1-D30))/D$5)/(AVERAGE(C98:D98)-D55)*D$5),"n.a.",(D81-(D55*D56*(1-D30))/D$5)/(AVERAGE(C98:D98)-D55)*D$5)</f>
        <v>0.13695766989800201</v>
      </c>
      <c r="E521" s="182">
        <f t="shared" si="4165"/>
        <v>0.13037415490221591</v>
      </c>
      <c r="F521" s="182">
        <f t="shared" si="4165"/>
        <v>7.8031665872281233E-2</v>
      </c>
      <c r="G521" s="182">
        <f t="shared" si="4165"/>
        <v>0.1104803298142861</v>
      </c>
      <c r="H521" s="182">
        <f t="shared" si="4165"/>
        <v>5.8407888667402492E-2</v>
      </c>
      <c r="I521" s="182">
        <f t="shared" si="4165"/>
        <v>8.322536421145306E-2</v>
      </c>
      <c r="J521" s="182">
        <f t="shared" si="4165"/>
        <v>7.1693968538660585E-2</v>
      </c>
      <c r="K521" s="50">
        <f t="shared" si="4165"/>
        <v>0.10044445934117424</v>
      </c>
      <c r="L521" s="50">
        <f t="shared" si="4165"/>
        <v>9.5002189507848653E-2</v>
      </c>
      <c r="M521" s="50">
        <f t="shared" si="4165"/>
        <v>0.14332500297165635</v>
      </c>
      <c r="N521" s="50">
        <f t="shared" si="4165"/>
        <v>0.1241133207196889</v>
      </c>
      <c r="O521" s="50">
        <f t="shared" si="4165"/>
        <v>0.16369033892330664</v>
      </c>
      <c r="P521" s="50">
        <f t="shared" si="4165"/>
        <v>0.17085696288102645</v>
      </c>
      <c r="Q521" s="50">
        <f t="shared" si="4165"/>
        <v>0.16154539232043588</v>
      </c>
      <c r="R521" s="50">
        <f t="shared" si="4165"/>
        <v>0.16642206943184548</v>
      </c>
      <c r="S521" s="50">
        <f t="shared" si="4165"/>
        <v>0.19523351606667494</v>
      </c>
      <c r="T521" s="50">
        <f t="shared" si="4165"/>
        <v>0.17872311821717754</v>
      </c>
      <c r="U521" s="50">
        <f t="shared" si="4165"/>
        <v>0.18377021142120034</v>
      </c>
      <c r="V521" s="50">
        <f t="shared" si="4165"/>
        <v>0.16606670696728298</v>
      </c>
      <c r="W521" s="50">
        <f t="shared" si="4165"/>
        <v>0.2446362762042712</v>
      </c>
      <c r="X521" s="50">
        <f t="shared" si="4165"/>
        <v>0.19567820391743784</v>
      </c>
      <c r="Y521" s="50">
        <f t="shared" si="4165"/>
        <v>0.16123389703339869</v>
      </c>
      <c r="Z521" s="50">
        <f t="shared" si="4165"/>
        <v>0.13931297893929817</v>
      </c>
      <c r="AA521" s="50">
        <f t="shared" si="4165"/>
        <v>0.26954056672251758</v>
      </c>
      <c r="AB521" s="50">
        <f t="shared" si="4165"/>
        <v>0.22371552010179818</v>
      </c>
      <c r="AC521" s="50">
        <f t="shared" si="4165"/>
        <v>0.27622179278135012</v>
      </c>
      <c r="AD521" s="50">
        <f t="shared" si="4165"/>
        <v>0.20796675479363264</v>
      </c>
      <c r="AE521" s="50">
        <f t="shared" si="4165"/>
        <v>0.25099621532250599</v>
      </c>
      <c r="AF521" s="50">
        <f t="shared" si="4165"/>
        <v>0.10447701958081133</v>
      </c>
      <c r="AG521" s="50">
        <f t="shared" si="4165"/>
        <v>0.15880977861611317</v>
      </c>
      <c r="AH521" s="50">
        <f t="shared" si="4165"/>
        <v>0.11721281395891552</v>
      </c>
      <c r="AI521" s="50">
        <f t="shared" si="4165"/>
        <v>0.14915522737465378</v>
      </c>
      <c r="AJ521" s="51">
        <f t="shared" si="4165"/>
        <v>0.10640559956086226</v>
      </c>
      <c r="AK521" s="182">
        <f t="shared" si="4165"/>
        <v>0.15641006578976635</v>
      </c>
      <c r="AL521" s="182">
        <f t="shared" si="4165"/>
        <v>0.12670423458868363</v>
      </c>
      <c r="AM521" s="182">
        <f t="shared" si="4165"/>
        <v>0.14470544561629042</v>
      </c>
      <c r="AN521" s="182">
        <f t="shared" si="4165"/>
        <v>0.13255445981411609</v>
      </c>
      <c r="AO521" s="182">
        <f t="shared" si="4165"/>
        <v>0.15432658860021722</v>
      </c>
      <c r="AP521" s="182">
        <f t="shared" si="4165"/>
        <v>0.13311381127846697</v>
      </c>
      <c r="AQ521" s="182">
        <f t="shared" si="4165"/>
        <v>0.15268180872754702</v>
      </c>
      <c r="AR521" s="182">
        <f t="shared" si="4165"/>
        <v>0.13349207491128778</v>
      </c>
      <c r="AS521" s="182">
        <f t="shared" si="4165"/>
        <v>0.14830992499657891</v>
      </c>
      <c r="AT521" s="182"/>
      <c r="AU521" s="182">
        <f t="shared" ref="AU521:BI521" si="4166">IF(ISERROR((AU81-(AU55*AU56*(1-AU30))/AU$5)/(AVERAGE(AT98:AU98)-AU55)*AU$5),"n.a.",(AU81-(AU55*AU56*(1-AU30))/AU$5)/(AVERAGE(AT98:AU98)-AU55)*AU$5)</f>
        <v>0.30381747338995863</v>
      </c>
      <c r="AV521" s="182">
        <f t="shared" si="4166"/>
        <v>0.26508089414377151</v>
      </c>
      <c r="AW521" s="182">
        <f t="shared" si="4166"/>
        <v>0.36937179372588669</v>
      </c>
      <c r="AX521" s="182">
        <f t="shared" si="4166"/>
        <v>0.25063773040626808</v>
      </c>
      <c r="AY521" s="182">
        <f t="shared" si="4166"/>
        <v>0.10995243176194255</v>
      </c>
      <c r="AZ521" s="182">
        <f t="shared" si="4166"/>
        <v>0.13604807997779642</v>
      </c>
      <c r="BA521" s="182">
        <f t="shared" si="4166"/>
        <v>9.3244030515236109E-2</v>
      </c>
      <c r="BB521" s="182">
        <f t="shared" si="4166"/>
        <v>6.9792813439746929E-2</v>
      </c>
      <c r="BC521" s="182">
        <f t="shared" si="4166"/>
        <v>8.500882327308508E-2</v>
      </c>
      <c r="BD521" s="50">
        <f t="shared" si="4166"/>
        <v>0.12272452025645759</v>
      </c>
      <c r="BE521" s="50">
        <f t="shared" si="4166"/>
        <v>0.14282968546563829</v>
      </c>
      <c r="BF521" s="50">
        <f t="shared" si="4166"/>
        <v>0.17338346726900361</v>
      </c>
      <c r="BG521" s="50">
        <f t="shared" si="4166"/>
        <v>0.18310501784829503</v>
      </c>
      <c r="BH521" s="50">
        <f t="shared" si="4166"/>
        <v>0.17770556929750969</v>
      </c>
      <c r="BI521" s="50">
        <f t="shared" si="4166"/>
        <v>0.21867522606751263</v>
      </c>
      <c r="BJ521" s="50">
        <f t="shared" ref="BJ521:BT521" si="4167">IF(ISERROR((BJ81-(BJ55*BJ56*(1-BJ30))/BJ$5)/(AVERAGE(BJ98:BJ98)-BJ55)*BJ$5),"n.a.",(BJ81-(BJ55*BJ56*(1-BJ30))/BJ$5)/(AVERAGE(BJ98:BJ98)-BJ55)*BJ$5)</f>
        <v>0.16478566651229265</v>
      </c>
      <c r="BK521" s="50">
        <f t="shared" si="4167"/>
        <v>0.1897872419574255</v>
      </c>
      <c r="BL521" s="50">
        <f t="shared" si="4167"/>
        <v>0.21805201249167358</v>
      </c>
      <c r="BM521" s="50">
        <f t="shared" si="4167"/>
        <v>0.21778618778826717</v>
      </c>
      <c r="BN521" s="50">
        <f t="shared" si="4167"/>
        <v>0.12938869289273741</v>
      </c>
      <c r="BO521" s="51">
        <f t="shared" si="4167"/>
        <v>0.12339418294949123</v>
      </c>
      <c r="BP521" s="182">
        <f t="shared" si="4167"/>
        <v>0.12693164425377484</v>
      </c>
      <c r="BQ521" s="182">
        <f t="shared" si="4167"/>
        <v>0.13279762843916951</v>
      </c>
      <c r="BR521" s="182">
        <f t="shared" si="4167"/>
        <v>0.13950174794493694</v>
      </c>
      <c r="BS521" s="182">
        <f t="shared" si="4167"/>
        <v>0.13859827872303776</v>
      </c>
      <c r="BT521" s="182">
        <f t="shared" si="4167"/>
        <v>0.13660827916643684</v>
      </c>
    </row>
    <row r="522" spans="1:101" ht="12" customHeight="1" outlineLevel="1">
      <c r="A522" s="91" t="s">
        <v>331</v>
      </c>
      <c r="B522" s="1" t="s">
        <v>332</v>
      </c>
      <c r="C522" s="19"/>
      <c r="D522" s="182">
        <f t="shared" ref="D522:AJ522" si="4168">IF(ISERROR((D81)/(AVERAGE(C463:D463))*D$5),"n.a.",(D81)/(AVERAGE(C463:D463))*D$5)</f>
        <v>0.10231125654971109</v>
      </c>
      <c r="E522" s="182">
        <f t="shared" si="4168"/>
        <v>0.11982184395075471</v>
      </c>
      <c r="F522" s="182">
        <f t="shared" si="4168"/>
        <v>8.275484548621953E-2</v>
      </c>
      <c r="G522" s="182">
        <f t="shared" si="4168"/>
        <v>0.11238166504924371</v>
      </c>
      <c r="H522" s="182">
        <f t="shared" si="4168"/>
        <v>6.1168212584607674E-2</v>
      </c>
      <c r="I522" s="182">
        <f t="shared" si="4168"/>
        <v>8.6250634195839671E-2</v>
      </c>
      <c r="J522" s="182">
        <f t="shared" si="4168"/>
        <v>7.3716644218517702E-2</v>
      </c>
      <c r="K522" s="50">
        <f t="shared" si="4168"/>
        <v>9.8937055896532372E-2</v>
      </c>
      <c r="L522" s="50">
        <f t="shared" si="4168"/>
        <v>9.4559952219727197E-2</v>
      </c>
      <c r="M522" s="50">
        <f t="shared" si="4168"/>
        <v>0.14196217939384806</v>
      </c>
      <c r="N522" s="50">
        <f t="shared" si="4168"/>
        <v>0.12826473318478737</v>
      </c>
      <c r="O522" s="50">
        <f t="shared" si="4168"/>
        <v>0.16010758790308749</v>
      </c>
      <c r="P522" s="50">
        <f t="shared" si="4168"/>
        <v>0.1633961976025044</v>
      </c>
      <c r="Q522" s="50">
        <f t="shared" si="4168"/>
        <v>0.14450467493724306</v>
      </c>
      <c r="R522" s="50">
        <f t="shared" si="4168"/>
        <v>0.14977202997081937</v>
      </c>
      <c r="S522" s="50">
        <f t="shared" si="4168"/>
        <v>0.16434324049660051</v>
      </c>
      <c r="T522" s="50">
        <f t="shared" si="4168"/>
        <v>0.17214248463823323</v>
      </c>
      <c r="U522" s="50">
        <f t="shared" si="4168"/>
        <v>0.17660224067893088</v>
      </c>
      <c r="V522" s="50">
        <f t="shared" si="4168"/>
        <v>0.17401541991705927</v>
      </c>
      <c r="W522" s="50">
        <f t="shared" si="4168"/>
        <v>0.22063342631838487</v>
      </c>
      <c r="X522" s="50">
        <f t="shared" si="4168"/>
        <v>0.17832991646522445</v>
      </c>
      <c r="Y522" s="50">
        <f t="shared" si="4168"/>
        <v>0.14666436424336615</v>
      </c>
      <c r="Z522" s="50">
        <f t="shared" si="4168"/>
        <v>0.11072322181862641</v>
      </c>
      <c r="AA522" s="50">
        <f t="shared" si="4168"/>
        <v>0.21889689201569193</v>
      </c>
      <c r="AB522" s="50">
        <f t="shared" si="4168"/>
        <v>0.20337572697014225</v>
      </c>
      <c r="AC522" s="50">
        <f t="shared" si="4168"/>
        <v>0.2355399077415484</v>
      </c>
      <c r="AD522" s="50">
        <f t="shared" si="4168"/>
        <v>0.17700024530625622</v>
      </c>
      <c r="AE522" s="50">
        <f t="shared" si="4168"/>
        <v>0.20425905628135912</v>
      </c>
      <c r="AF522" s="50">
        <f t="shared" si="4168"/>
        <v>9.8042612160055428E-2</v>
      </c>
      <c r="AG522" s="50">
        <f t="shared" si="4168"/>
        <v>0.14624581373961026</v>
      </c>
      <c r="AH522" s="50">
        <f t="shared" si="4168"/>
        <v>0.11078462052341675</v>
      </c>
      <c r="AI522" s="50">
        <f t="shared" si="4168"/>
        <v>0.13495743960369092</v>
      </c>
      <c r="AJ522" s="51">
        <f t="shared" si="4168"/>
        <v>9.9336632084050719E-2</v>
      </c>
      <c r="AK522" s="182">
        <f t="shared" ref="AK522" si="4169">IF(ISERROR((AK81)/(AVERAGE(AJ463:AK463))*AK$5),"n.a.",(AK81)/(AVERAGE(AJ463:AK463))*AK$5)</f>
        <v>0.15046877827724259</v>
      </c>
      <c r="AL522" s="182">
        <f t="shared" ref="AL522" si="4170">IF(ISERROR((AL81)/(AVERAGE(AK463:AL463))*AL$5),"n.a.",(AL81)/(AVERAGE(AK463:AL463))*AL$5)</f>
        <v>0.12494037915178886</v>
      </c>
      <c r="AM522" s="182">
        <f t="shared" ref="AM522" si="4171">IF(ISERROR((AM81)/(AVERAGE(AL463:AM463))*AM$5),"n.a.",(AM81)/(AVERAGE(AL463:AM463))*AM$5)</f>
        <v>0.14296425062969259</v>
      </c>
      <c r="AN522" s="182">
        <f t="shared" ref="AN522" si="4172">IF(ISERROR((AN81)/(AVERAGE(AM463:AN463))*AN$5),"n.a.",(AN81)/(AVERAGE(AM463:AN463))*AN$5)</f>
        <v>0.1315143392920968</v>
      </c>
      <c r="AO522" s="182">
        <f t="shared" ref="AO522" si="4173">IF(ISERROR((AO81)/(AVERAGE(AN463:AO463))*AO$5),"n.a.",(AO81)/(AVERAGE(AN463:AO463))*AO$5)</f>
        <v>0.15159509659661649</v>
      </c>
      <c r="AP522" s="182">
        <f t="shared" ref="AP522" si="4174">IF(ISERROR((AP81)/(AVERAGE(AO463:AP463))*AP$5),"n.a.",(AP81)/(AVERAGE(AO463:AP463))*AP$5)</f>
        <v>0.13286129176645181</v>
      </c>
      <c r="AQ522" s="182">
        <f t="shared" ref="AQ522" si="4175">IF(ISERROR((AQ81)/(AVERAGE(AP463:AQ463))*AQ$5),"n.a.",(AQ81)/(AVERAGE(AP463:AQ463))*AQ$5)</f>
        <v>0.15186884359104852</v>
      </c>
      <c r="AR522" s="182">
        <f t="shared" ref="AR522" si="4176">IF(ISERROR((AR81)/(AVERAGE(AQ463:AR463))*AR$5),"n.a.",(AR81)/(AVERAGE(AQ463:AR463))*AR$5)</f>
        <v>0.13382321885747792</v>
      </c>
      <c r="AS522" s="182">
        <f t="shared" ref="AS522" si="4177">IF(ISERROR((AS81)/(AVERAGE(AR463:AS463))*AS$5),"n.a.",(AS81)/(AVERAGE(AR463:AS463))*AS$5)</f>
        <v>0.14841107599477835</v>
      </c>
      <c r="AT522" s="182"/>
      <c r="AU522" s="182">
        <f t="shared" ref="AU522:BI522" si="4178">IF(ISERROR((AU81)/(AVERAGE(AT463:AU463))*AU$5),"n.a.",(AU81)/(AVERAGE(AT463:AU463))*AU$5)</f>
        <v>0.33706932337069323</v>
      </c>
      <c r="AV522" s="182">
        <f t="shared" si="4178"/>
        <v>0.30707341602413679</v>
      </c>
      <c r="AW522" s="182">
        <f t="shared" si="4178"/>
        <v>0.30078125</v>
      </c>
      <c r="AX522" s="182">
        <f t="shared" si="4178"/>
        <v>0.24858679167241141</v>
      </c>
      <c r="AY522" s="182">
        <f t="shared" si="4178"/>
        <v>0.10726600985221675</v>
      </c>
      <c r="AZ522" s="182">
        <f t="shared" si="4178"/>
        <v>0.11877156269441774</v>
      </c>
      <c r="BA522" s="182">
        <f t="shared" si="4178"/>
        <v>9.625937673060464E-2</v>
      </c>
      <c r="BB522" s="182">
        <f t="shared" si="4178"/>
        <v>7.322333116003811E-2</v>
      </c>
      <c r="BC522" s="182">
        <f t="shared" si="4178"/>
        <v>8.4955575521613258E-2</v>
      </c>
      <c r="BD522" s="50">
        <f t="shared" si="4178"/>
        <v>0.12154696132596685</v>
      </c>
      <c r="BE522" s="50">
        <f t="shared" si="4178"/>
        <v>0.13722303019933271</v>
      </c>
      <c r="BF522" s="50">
        <f t="shared" si="4178"/>
        <v>0.15405294403166186</v>
      </c>
      <c r="BG522" s="50">
        <f t="shared" si="4178"/>
        <v>0.15507834359261333</v>
      </c>
      <c r="BH522" s="50">
        <f t="shared" si="4178"/>
        <v>0.17093388595494352</v>
      </c>
      <c r="BI522" s="50">
        <f t="shared" si="4178"/>
        <v>0.19180549302116165</v>
      </c>
      <c r="BJ522" s="50">
        <f t="shared" ref="BJ522:BO522" si="4179">IF(ISERROR((BJ81)/(AVERAGE(BJ463:BJ463))*BJ$5),"n.a.",(BJ81)/(AVERAGE(BJ463:BJ463))*BJ$5)</f>
        <v>0.15347007586400674</v>
      </c>
      <c r="BK522" s="50">
        <f t="shared" si="4179"/>
        <v>0.15457574980774161</v>
      </c>
      <c r="BL522" s="50">
        <f t="shared" si="4179"/>
        <v>0.18990355514305315</v>
      </c>
      <c r="BM522" s="50">
        <f t="shared" si="4179"/>
        <v>0.17669121658483361</v>
      </c>
      <c r="BN522" s="50">
        <f t="shared" si="4179"/>
        <v>0.12050501248845245</v>
      </c>
      <c r="BO522" s="51">
        <f t="shared" si="4179"/>
        <v>0.11028647766067982</v>
      </c>
      <c r="BP522" s="182">
        <f t="shared" ref="BP522:BQ522" si="4180">IF(ISERROR((BP81)/(AVERAGE(BP463:BP463))*BP$5),"n.a.",(BP81)/(AVERAGE(BP463:BP463))*BP$5)</f>
        <v>0.1226949379670479</v>
      </c>
      <c r="BQ522" s="182">
        <f t="shared" si="4180"/>
        <v>0.13138215094275849</v>
      </c>
      <c r="BR522" s="182">
        <f t="shared" ref="BR522:BT522" si="4181">IF(ISERROR((BR81)/(AVERAGE(BR463:BR463))*BR$5),"n.a.",(BR81)/(AVERAGE(BR463:BR463))*BR$5)</f>
        <v>0.13721901954220164</v>
      </c>
      <c r="BS522" s="182">
        <f t="shared" si="4181"/>
        <v>0.13796930514455566</v>
      </c>
      <c r="BT522" s="182">
        <f t="shared" si="4181"/>
        <v>0.13674857018328687</v>
      </c>
    </row>
    <row r="523" spans="1:101" ht="12" customHeight="1" outlineLevel="1">
      <c r="A523" s="91" t="s">
        <v>501</v>
      </c>
      <c r="B523" s="1" t="s">
        <v>499</v>
      </c>
      <c r="C523" s="19"/>
      <c r="D523" s="50">
        <f t="shared" ref="D523:AS523" si="4182">IF(ISERROR((D81-(D55*D56*(1-D30))/D$5)/(AVERAGE(C463:D463)-D55)*D$5),"n.a.",(D81-(D55*D56*(1-D30))/D$5)/(AVERAGE(C463:D463)-D55)*D$5)</f>
        <v>0.14477923328100498</v>
      </c>
      <c r="E523" s="50">
        <f t="shared" si="4182"/>
        <v>0.15775459921044899</v>
      </c>
      <c r="F523" s="50">
        <f t="shared" si="4182"/>
        <v>9.2018034159794287E-2</v>
      </c>
      <c r="G523" s="50">
        <f t="shared" si="4182"/>
        <v>0.12913764934711836</v>
      </c>
      <c r="H523" s="50">
        <f t="shared" si="4182"/>
        <v>6.8797364481327755E-2</v>
      </c>
      <c r="I523" s="50">
        <f t="shared" si="4182"/>
        <v>9.7153501163779729E-2</v>
      </c>
      <c r="J523" s="50">
        <f t="shared" si="4182"/>
        <v>8.3398548448462728E-2</v>
      </c>
      <c r="K523" s="50">
        <f t="shared" si="4182"/>
        <v>0.11587672472098641</v>
      </c>
      <c r="L523" s="50">
        <f t="shared" si="4182"/>
        <v>0.10820438422236738</v>
      </c>
      <c r="M523" s="50">
        <f t="shared" si="4182"/>
        <v>0.15883756436169666</v>
      </c>
      <c r="N523" s="50">
        <f t="shared" si="4182"/>
        <v>0.13693799155203012</v>
      </c>
      <c r="O523" s="50">
        <f t="shared" si="4182"/>
        <v>0.18339572140863539</v>
      </c>
      <c r="P523" s="50">
        <f t="shared" si="4182"/>
        <v>0.18876793828117264</v>
      </c>
      <c r="Q523" s="50">
        <f t="shared" si="4182"/>
        <v>0.17833042490935491</v>
      </c>
      <c r="R523" s="50">
        <f t="shared" si="4182"/>
        <v>0.18163236410499378</v>
      </c>
      <c r="S523" s="50">
        <f t="shared" si="4182"/>
        <v>0.21340556438779695</v>
      </c>
      <c r="T523" s="50">
        <f t="shared" si="4182"/>
        <v>0.1926745535355954</v>
      </c>
      <c r="U523" s="50">
        <f t="shared" si="4182"/>
        <v>0.19761296370053311</v>
      </c>
      <c r="V523" s="50">
        <f t="shared" si="4182"/>
        <v>0.18293039261675698</v>
      </c>
      <c r="W523" s="50">
        <f t="shared" si="4182"/>
        <v>0.28631833026006787</v>
      </c>
      <c r="X523" s="50">
        <f t="shared" si="4182"/>
        <v>0.23292723708045507</v>
      </c>
      <c r="Y523" s="50">
        <f t="shared" si="4182"/>
        <v>0.19906340383832258</v>
      </c>
      <c r="Z523" s="50">
        <f t="shared" si="4182"/>
        <v>0.17777513570514727</v>
      </c>
      <c r="AA523" s="50">
        <f t="shared" si="4182"/>
        <v>0.32769847214853409</v>
      </c>
      <c r="AB523" s="50">
        <f t="shared" si="4182"/>
        <v>0.26819971725679581</v>
      </c>
      <c r="AC523" s="50">
        <f t="shared" si="4182"/>
        <v>0.34031910225181167</v>
      </c>
      <c r="AD523" s="50">
        <f t="shared" si="4182"/>
        <v>0.25491087312357286</v>
      </c>
      <c r="AE523" s="50">
        <f t="shared" si="4182"/>
        <v>0.30669630353764776</v>
      </c>
      <c r="AF523" s="50">
        <f t="shared" si="4182"/>
        <v>0.12472109372369591</v>
      </c>
      <c r="AG523" s="50">
        <f t="shared" si="4182"/>
        <v>0.19159346891100554</v>
      </c>
      <c r="AH523" s="50">
        <f t="shared" si="4182"/>
        <v>0.13820114228224345</v>
      </c>
      <c r="AI523" s="50">
        <f t="shared" si="4182"/>
        <v>0.16503532177671373</v>
      </c>
      <c r="AJ523" s="51">
        <f t="shared" si="4182"/>
        <v>0.11295694150185172</v>
      </c>
      <c r="AK523" s="50">
        <f t="shared" si="4182"/>
        <v>0.1658849300843446</v>
      </c>
      <c r="AL523" s="50">
        <f t="shared" si="4182"/>
        <v>0.13415096235586427</v>
      </c>
      <c r="AM523" s="50">
        <f t="shared" si="4182"/>
        <v>0.15317610128258585</v>
      </c>
      <c r="AN523" s="50">
        <f t="shared" si="4182"/>
        <v>0.14013318624915763</v>
      </c>
      <c r="AO523" s="50">
        <f t="shared" si="4182"/>
        <v>0.16301948541483072</v>
      </c>
      <c r="AP523" s="50">
        <f t="shared" si="4182"/>
        <v>0.140284037770006</v>
      </c>
      <c r="AQ523" s="50">
        <f t="shared" si="4182"/>
        <v>0.16071779925874555</v>
      </c>
      <c r="AR523" s="50">
        <f t="shared" si="4182"/>
        <v>0.14022015786718442</v>
      </c>
      <c r="AS523" s="50">
        <f t="shared" si="4182"/>
        <v>0.15555079249519707</v>
      </c>
      <c r="AT523" s="50"/>
      <c r="AU523" s="50">
        <f t="shared" ref="AU523:BI523" si="4183">IF(ISERROR((AU81-(AU55*AU56*(1-AU30))/AU$5)/(AVERAGE(AT463:AU463)-AU55)*AU$5),"n.a.",(AU81-(AU55*AU56*(1-AU30))/AU$5)/(AVERAGE(AT463:AU463)-AU55)*AU$5)</f>
        <v>0.43066420144468881</v>
      </c>
      <c r="AV523" s="50">
        <f t="shared" si="4183"/>
        <v>0.32745101088794942</v>
      </c>
      <c r="AW523" s="50">
        <f t="shared" si="4183"/>
        <v>0.40369241398542771</v>
      </c>
      <c r="AX523" s="50">
        <f t="shared" si="4183"/>
        <v>0.2616079248002332</v>
      </c>
      <c r="AY523" s="50">
        <f t="shared" si="4183"/>
        <v>0.1207866531600158</v>
      </c>
      <c r="AZ523" s="50">
        <f t="shared" si="4183"/>
        <v>0.16135229434362136</v>
      </c>
      <c r="BA523" s="50">
        <f t="shared" si="4183"/>
        <v>0.10912644431245662</v>
      </c>
      <c r="BB523" s="50">
        <f t="shared" si="4183"/>
        <v>8.0993022413415411E-2</v>
      </c>
      <c r="BC523" s="50">
        <f t="shared" si="4183"/>
        <v>9.8177257692263334E-2</v>
      </c>
      <c r="BD523" s="50">
        <f t="shared" si="4183"/>
        <v>0.1361985007204593</v>
      </c>
      <c r="BE523" s="50">
        <f t="shared" si="4183"/>
        <v>0.15666210327848587</v>
      </c>
      <c r="BF523" s="50">
        <f t="shared" si="4183"/>
        <v>0.19185280998148943</v>
      </c>
      <c r="BG523" s="50">
        <f t="shared" si="4183"/>
        <v>0.2007813729816883</v>
      </c>
      <c r="BH523" s="50">
        <f t="shared" si="4183"/>
        <v>0.1911172092577616</v>
      </c>
      <c r="BI523" s="50">
        <f t="shared" si="4183"/>
        <v>0.24653683706682283</v>
      </c>
      <c r="BJ523" s="50">
        <f t="shared" ref="BJ523:BT523" si="4184">IF(ISERROR((BJ81-(BJ55*BJ56*(1-BJ30))/BJ$5)/(AVERAGE(BJ463:BJ463)-BJ55)*BJ$5),"n.a.",(BJ81-(BJ55*BJ56*(1-BJ30))/BJ$5)/(AVERAGE(BJ463:BJ463)-BJ55)*BJ$5)</f>
        <v>0.20599560751665932</v>
      </c>
      <c r="BK523" s="50">
        <f t="shared" si="4184"/>
        <v>0.22600705106044486</v>
      </c>
      <c r="BL523" s="50">
        <f t="shared" si="4184"/>
        <v>0.26439180420342195</v>
      </c>
      <c r="BM523" s="50">
        <f t="shared" si="4184"/>
        <v>0.26142649816041269</v>
      </c>
      <c r="BN523" s="50">
        <f t="shared" si="4184"/>
        <v>0.15558980019140589</v>
      </c>
      <c r="BO523" s="51">
        <f t="shared" si="4184"/>
        <v>0.13113585157950974</v>
      </c>
      <c r="BP523" s="50">
        <f t="shared" si="4184"/>
        <v>0.13451991146653189</v>
      </c>
      <c r="BQ523" s="50">
        <f t="shared" si="4184"/>
        <v>0.14052017447979948</v>
      </c>
      <c r="BR523" s="50">
        <f t="shared" si="4184"/>
        <v>0.14722030514836298</v>
      </c>
      <c r="BS523" s="50">
        <f t="shared" si="4184"/>
        <v>0.14575075226353867</v>
      </c>
      <c r="BT523" s="50">
        <f t="shared" si="4184"/>
        <v>0.14314753426323124</v>
      </c>
    </row>
    <row r="524" spans="1:101" ht="12" customHeight="1" outlineLevel="1">
      <c r="A524" s="91" t="s">
        <v>333</v>
      </c>
      <c r="B524" s="1" t="s">
        <v>334</v>
      </c>
      <c r="C524" s="19"/>
      <c r="D524" s="37">
        <f t="shared" ref="D524:AJ524" si="4185">IF(ISERROR((D81)/(AVERAGE(C314:D314))*D$5),"n.a.",(D81)/(AVERAGE(C314:D314))*D$5)</f>
        <v>2.2187239053906228E-2</v>
      </c>
      <c r="E524" s="37">
        <f t="shared" si="4185"/>
        <v>2.5336859328429471E-2</v>
      </c>
      <c r="F524" s="37">
        <f t="shared" si="4185"/>
        <v>1.5912692063580668E-2</v>
      </c>
      <c r="G524" s="37">
        <f t="shared" si="4185"/>
        <v>2.0331982098548241E-2</v>
      </c>
      <c r="H524" s="37">
        <f t="shared" si="4185"/>
        <v>1.0796364633941293E-2</v>
      </c>
      <c r="I524" s="37">
        <f t="shared" si="4185"/>
        <v>1.4951627088830254E-2</v>
      </c>
      <c r="J524" s="37">
        <f t="shared" si="4185"/>
        <v>1.2845129693501354E-2</v>
      </c>
      <c r="K524" s="37">
        <f t="shared" si="4185"/>
        <v>1.718248879103202E-2</v>
      </c>
      <c r="L524" s="37">
        <f t="shared" si="4185"/>
        <v>1.6487164260490975E-2</v>
      </c>
      <c r="M524" s="37">
        <f t="shared" si="4185"/>
        <v>2.3839644663966677E-2</v>
      </c>
      <c r="N524" s="37">
        <f t="shared" si="4185"/>
        <v>1.9939326338897723E-2</v>
      </c>
      <c r="O524" s="37">
        <f t="shared" si="4185"/>
        <v>2.3741551656050321E-2</v>
      </c>
      <c r="P524" s="37">
        <f t="shared" si="4185"/>
        <v>2.3989552213708795E-2</v>
      </c>
      <c r="Q524" s="37">
        <f t="shared" si="4185"/>
        <v>2.1385191885256494E-2</v>
      </c>
      <c r="R524" s="37">
        <f t="shared" si="4185"/>
        <v>2.2348094621570221E-2</v>
      </c>
      <c r="S524" s="37">
        <f t="shared" si="4185"/>
        <v>2.5492741162570259E-2</v>
      </c>
      <c r="T524" s="37">
        <f t="shared" si="4185"/>
        <v>2.771283090017148E-2</v>
      </c>
      <c r="U524" s="37">
        <f t="shared" si="4185"/>
        <v>2.8950867720132424E-2</v>
      </c>
      <c r="V524" s="37">
        <f t="shared" si="4185"/>
        <v>2.7836163959459273E-2</v>
      </c>
      <c r="W524" s="37">
        <f t="shared" si="4185"/>
        <v>3.8649663297392341E-2</v>
      </c>
      <c r="X524" s="37">
        <f t="shared" si="4185"/>
        <v>3.519132414301155E-2</v>
      </c>
      <c r="Y524" s="37">
        <f t="shared" si="4185"/>
        <v>2.7739371836045943E-2</v>
      </c>
      <c r="Z524" s="37">
        <f t="shared" si="4185"/>
        <v>2.1309949142704641E-2</v>
      </c>
      <c r="AA524" s="37">
        <f t="shared" si="4185"/>
        <v>4.4550207052190455E-2</v>
      </c>
      <c r="AB524" s="37">
        <f t="shared" si="4185"/>
        <v>3.8829596161421086E-2</v>
      </c>
      <c r="AC524" s="37">
        <f t="shared" si="4185"/>
        <v>4.3327655984487193E-2</v>
      </c>
      <c r="AD524" s="37">
        <f t="shared" si="4185"/>
        <v>3.455954454560263E-2</v>
      </c>
      <c r="AE524" s="37">
        <f t="shared" si="4185"/>
        <v>4.4443476661064386E-2</v>
      </c>
      <c r="AF524" s="37">
        <f t="shared" si="4185"/>
        <v>2.2677372309566166E-2</v>
      </c>
      <c r="AG524" s="37">
        <f t="shared" si="4185"/>
        <v>3.3142479630037434E-2</v>
      </c>
      <c r="AH524" s="37">
        <f t="shared" si="4185"/>
        <v>2.4185644863249041E-2</v>
      </c>
      <c r="AI524" s="37">
        <f t="shared" si="4185"/>
        <v>2.9462486518022669E-2</v>
      </c>
      <c r="AJ524" s="38">
        <f t="shared" si="4185"/>
        <v>2.1851014514488686E-2</v>
      </c>
      <c r="AK524" s="37">
        <f t="shared" ref="AK524" si="4186">IF(ISERROR((AK81)/(AVERAGE(AJ314:AK314))*AK$5),"n.a.",(AK81)/(AVERAGE(AJ314:AK314))*AK$5)</f>
        <v>3.1196070401421031E-2</v>
      </c>
      <c r="AL524" s="37">
        <f t="shared" ref="AL524" si="4187">IF(ISERROR((AL81)/(AVERAGE(AK314:AL314))*AL$5),"n.a.",(AL81)/(AVERAGE(AK314:AL314))*AL$5)</f>
        <v>2.5030929140092022E-2</v>
      </c>
      <c r="AM524" s="37">
        <f t="shared" ref="AM524" si="4188">IF(ISERROR((AM81)/(AVERAGE(AL314:AM314))*AM$5),"n.a.",(AM81)/(AVERAGE(AL314:AM314))*AM$5)</f>
        <v>2.8700531984066323E-2</v>
      </c>
      <c r="AN524" s="37">
        <f t="shared" ref="AN524" si="4189">IF(ISERROR((AN81)/(AVERAGE(AM314:AN314))*AN$5),"n.a.",(AN81)/(AVERAGE(AM314:AN314))*AN$5)</f>
        <v>2.6395817337999096E-2</v>
      </c>
      <c r="AO524" s="37">
        <f t="shared" ref="AO524" si="4190">IF(ISERROR((AO81)/(AVERAGE(AN314:AO314))*AO$5),"n.a.",(AO81)/(AVERAGE(AN314:AO314))*AO$5)</f>
        <v>3.0463450531511841E-2</v>
      </c>
      <c r="AP524" s="37">
        <f t="shared" ref="AP524" si="4191">IF(ISERROR((AP81)/(AVERAGE(AO314:AP314))*AP$5),"n.a.",(AP81)/(AVERAGE(AO314:AP314))*AP$5)</f>
        <v>2.6450285124074983E-2</v>
      </c>
      <c r="AQ524" s="37">
        <f t="shared" ref="AQ524" si="4192">IF(ISERROR((AQ81)/(AVERAGE(AP314:AQ314))*AQ$5),"n.a.",(AQ81)/(AVERAGE(AP314:AQ314))*AQ$5)</f>
        <v>2.9682540137479421E-2</v>
      </c>
      <c r="AR524" s="37">
        <f t="shared" ref="AR524" si="4193">IF(ISERROR((AR81)/(AVERAGE(AQ314:AR314))*AR$5),"n.a.",(AR81)/(AVERAGE(AQ314:AR314))*AR$5)</f>
        <v>2.576462042052587E-2</v>
      </c>
      <c r="AS524" s="37">
        <f t="shared" ref="AS524" si="4194">IF(ISERROR((AS81)/(AVERAGE(AR314:AS314))*AS$5),"n.a.",(AS81)/(AVERAGE(AR314:AS314))*AS$5)</f>
        <v>2.8119348041068335E-2</v>
      </c>
      <c r="AT524" s="37"/>
      <c r="AU524" s="37">
        <f t="shared" ref="AU524:BI524" si="4195">IF(ISERROR((AU81)/(AVERAGE(AT314:AU314))*AU$5),"n.a.",(AU81)/(AVERAGE(AT314:AU314))*AU$5)</f>
        <v>4.1070254413029181E-2</v>
      </c>
      <c r="AV524" s="37">
        <f t="shared" si="4195"/>
        <v>3.7756069411813198E-2</v>
      </c>
      <c r="AW524" s="37">
        <f t="shared" si="4195"/>
        <v>4.2942894462626766E-2</v>
      </c>
      <c r="AX524" s="37">
        <f t="shared" si="4195"/>
        <v>4.6673569764431787E-2</v>
      </c>
      <c r="AY524" s="37">
        <f t="shared" si="4195"/>
        <v>2.3339005077774352E-2</v>
      </c>
      <c r="AZ524" s="37">
        <f t="shared" si="4195"/>
        <v>2.4970867321458298E-2</v>
      </c>
      <c r="BA524" s="37">
        <f t="shared" si="4195"/>
        <v>1.8611351756494993E-2</v>
      </c>
      <c r="BB524" s="37">
        <f t="shared" si="4195"/>
        <v>1.3094287841146557E-2</v>
      </c>
      <c r="BC524" s="37">
        <f t="shared" si="4195"/>
        <v>1.4868264728492557E-2</v>
      </c>
      <c r="BD524" s="37">
        <f t="shared" si="4195"/>
        <v>2.0391549999597004E-2</v>
      </c>
      <c r="BE524" s="37">
        <f t="shared" si="4195"/>
        <v>2.1077945031768037E-2</v>
      </c>
      <c r="BF524" s="37">
        <f t="shared" si="4195"/>
        <v>2.2881163245953094E-2</v>
      </c>
      <c r="BG524" s="37">
        <f t="shared" si="4195"/>
        <v>2.4118798955613578E-2</v>
      </c>
      <c r="BH524" s="37">
        <f t="shared" si="4195"/>
        <v>2.813817085382897E-2</v>
      </c>
      <c r="BI524" s="37">
        <f t="shared" si="4195"/>
        <v>3.5238438495217052E-2</v>
      </c>
      <c r="BJ524" s="37">
        <f t="shared" ref="BJ524:BO524" si="4196">IF(ISERROR((BJ81)/(AVERAGE(BJ314:BJ314))*BJ$5),"n.a.",(BJ81)/(AVERAGE(BJ314:BJ314))*BJ$5)</f>
        <v>2.8561567905624464E-2</v>
      </c>
      <c r="BK524" s="37">
        <f t="shared" si="4196"/>
        <v>3.2074468085106382E-2</v>
      </c>
      <c r="BL524" s="37">
        <f t="shared" si="4196"/>
        <v>3.6022657685241884E-2</v>
      </c>
      <c r="BM524" s="37">
        <f t="shared" si="4196"/>
        <v>4.1712951782983176E-2</v>
      </c>
      <c r="BN524" s="37">
        <f t="shared" si="4196"/>
        <v>2.7315453939102514E-2</v>
      </c>
      <c r="BO524" s="38">
        <f t="shared" si="4196"/>
        <v>2.4872457519315487E-2</v>
      </c>
      <c r="BP524" s="37">
        <f t="shared" ref="BP524:BQ524" si="4197">IF(ISERROR((BP81)/(AVERAGE(BP314:BP314))*BP$5),"n.a.",(BP81)/(AVERAGE(BP314:BP314))*BP$5)</f>
        <v>2.4636385737892955E-2</v>
      </c>
      <c r="BQ524" s="37">
        <f t="shared" si="4197"/>
        <v>2.6486095792298471E-2</v>
      </c>
      <c r="BR524" s="37">
        <f t="shared" ref="BR524:BT524" si="4198">IF(ISERROR((BR81)/(AVERAGE(BR314:BR314))*BR$5),"n.a.",(BR81)/(AVERAGE(BR314:BR314))*BR$5)</f>
        <v>2.7722945888578699E-2</v>
      </c>
      <c r="BS524" s="37">
        <f t="shared" si="4198"/>
        <v>2.6858644516585862E-2</v>
      </c>
      <c r="BT524" s="37">
        <f t="shared" si="4198"/>
        <v>2.5777879917775484E-2</v>
      </c>
    </row>
    <row r="525" spans="1:101" ht="12" customHeight="1" outlineLevel="1">
      <c r="A525" s="91" t="s">
        <v>335</v>
      </c>
      <c r="B525" s="1" t="s">
        <v>336</v>
      </c>
      <c r="C525" s="19"/>
      <c r="D525" s="48">
        <f t="shared" ref="D525:AJ525" si="4199">IF(ISERROR((D81)/(AVERAGE(C402:D402))*D$5),"n.a.",(D81)/(AVERAGE(C402:D402))*D$5)</f>
        <v>6.5022528510743291E-3</v>
      </c>
      <c r="E525" s="48">
        <f t="shared" si="4199"/>
        <v>7.8200802581161171E-3</v>
      </c>
      <c r="F525" s="48">
        <f t="shared" si="4199"/>
        <v>5.2881435145240149E-3</v>
      </c>
      <c r="G525" s="48">
        <f t="shared" si="4199"/>
        <v>7.0275036532782996E-3</v>
      </c>
      <c r="H525" s="48">
        <f t="shared" si="4199"/>
        <v>3.6718674756814024E-3</v>
      </c>
      <c r="I525" s="48">
        <f t="shared" si="4199"/>
        <v>5.1779698703070844E-3</v>
      </c>
      <c r="J525" s="48">
        <f t="shared" si="4199"/>
        <v>4.709046404611888E-3</v>
      </c>
      <c r="K525" s="37">
        <f t="shared" si="4199"/>
        <v>6.6190612383628875E-3</v>
      </c>
      <c r="L525" s="37">
        <f t="shared" si="4199"/>
        <v>6.6762583687344978E-3</v>
      </c>
      <c r="M525" s="37">
        <f t="shared" si="4199"/>
        <v>9.9330822433278156E-3</v>
      </c>
      <c r="N525" s="37">
        <f t="shared" si="4199"/>
        <v>8.5524423656206956E-3</v>
      </c>
      <c r="O525" s="37">
        <f t="shared" si="4199"/>
        <v>1.0602600637655503E-2</v>
      </c>
      <c r="P525" s="37">
        <f t="shared" si="4199"/>
        <v>1.0779064437650164E-2</v>
      </c>
      <c r="Q525" s="37">
        <f t="shared" si="4199"/>
        <v>9.7869876430657018E-3</v>
      </c>
      <c r="R525" s="37">
        <f t="shared" si="4199"/>
        <v>1.0743994044252978E-2</v>
      </c>
      <c r="S525" s="37">
        <f t="shared" si="4199"/>
        <v>1.244999381818809E-2</v>
      </c>
      <c r="T525" s="37">
        <f t="shared" si="4199"/>
        <v>1.3359813050603415E-2</v>
      </c>
      <c r="U525" s="37">
        <f t="shared" si="4199"/>
        <v>1.3777463335960784E-2</v>
      </c>
      <c r="V525" s="37">
        <f t="shared" si="4199"/>
        <v>1.3165483129244942E-2</v>
      </c>
      <c r="W525" s="37">
        <f t="shared" si="4199"/>
        <v>1.66264794693846E-2</v>
      </c>
      <c r="X525" s="37">
        <f t="shared" si="4199"/>
        <v>1.3967578345939624E-2</v>
      </c>
      <c r="Y525" s="37">
        <f t="shared" si="4199"/>
        <v>1.0721717157903375E-2</v>
      </c>
      <c r="Z525" s="37">
        <f t="shared" si="4199"/>
        <v>8.0759222272460181E-3</v>
      </c>
      <c r="AA525" s="37">
        <f t="shared" si="4199"/>
        <v>1.7091756493252751E-2</v>
      </c>
      <c r="AB525" s="37">
        <f t="shared" si="4199"/>
        <v>1.3714907157530109E-2</v>
      </c>
      <c r="AC525" s="37">
        <f t="shared" si="4199"/>
        <v>1.4284672322260102E-2</v>
      </c>
      <c r="AD525" s="37">
        <f t="shared" si="4199"/>
        <v>1.0380817096437367E-2</v>
      </c>
      <c r="AE525" s="37">
        <f t="shared" si="4199"/>
        <v>1.3196487129697414E-2</v>
      </c>
      <c r="AF525" s="37">
        <f t="shared" si="4199"/>
        <v>7.2335411378896975E-3</v>
      </c>
      <c r="AG525" s="37">
        <f t="shared" si="4199"/>
        <v>1.0561429978521249E-2</v>
      </c>
      <c r="AH525" s="37">
        <f t="shared" si="4199"/>
        <v>7.8638046977766232E-3</v>
      </c>
      <c r="AI525" s="37">
        <f t="shared" si="4199"/>
        <v>9.8135620731532956E-3</v>
      </c>
      <c r="AJ525" s="38">
        <f t="shared" si="4199"/>
        <v>7.1031307859553807E-3</v>
      </c>
      <c r="AK525" s="48">
        <f t="shared" ref="AK525" si="4200">IF(ISERROR((AK81)/(AVERAGE(AJ402:AK402))*AK$5),"n.a.",(AK81)/(AVERAGE(AJ402:AK402))*AK$5)</f>
        <v>1.0046935425060771E-2</v>
      </c>
      <c r="AL525" s="48">
        <f t="shared" ref="AL525" si="4201">IF(ISERROR((AL81)/(AVERAGE(AK402:AL402))*AL$5),"n.a.",(AL81)/(AVERAGE(AK402:AL402))*AL$5)</f>
        <v>8.0398868353401751E-3</v>
      </c>
      <c r="AM525" s="48">
        <f t="shared" ref="AM525" si="4202">IF(ISERROR((AM81)/(AVERAGE(AL402:AM402))*AM$5),"n.a.",(AM81)/(AVERAGE(AL402:AM402))*AM$5)</f>
        <v>8.8691994983090619E-3</v>
      </c>
      <c r="AN525" s="48">
        <f t="shared" ref="AN525" si="4203">IF(ISERROR((AN81)/(AVERAGE(AM402:AN402))*AN$5),"n.a.",(AN81)/(AVERAGE(AM402:AN402))*AN$5)</f>
        <v>7.9740569438407471E-3</v>
      </c>
      <c r="AO525" s="48">
        <f t="shared" ref="AO525" si="4204">IF(ISERROR((AO81)/(AVERAGE(AN402:AO402))*AO$5),"n.a.",(AO81)/(AVERAGE(AN402:AO402))*AO$5)</f>
        <v>9.0979853221545455E-3</v>
      </c>
      <c r="AP525" s="48">
        <f t="shared" ref="AP525" si="4205">IF(ISERROR((AP81)/(AVERAGE(AO402:AP402))*AP$5),"n.a.",(AP81)/(AVERAGE(AO402:AP402))*AP$5)</f>
        <v>7.901280752246392E-3</v>
      </c>
      <c r="AQ525" s="48">
        <f t="shared" ref="AQ525" si="4206">IF(ISERROR((AQ81)/(AVERAGE(AP402:AQ402))*AQ$5),"n.a.",(AQ81)/(AVERAGE(AP402:AQ402))*AQ$5)</f>
        <v>8.9754078388882136E-3</v>
      </c>
      <c r="AR525" s="48">
        <f t="shared" ref="AR525" si="4207">IF(ISERROR((AR81)/(AVERAGE(AQ402:AR402))*AR$5),"n.a.",(AR81)/(AVERAGE(AQ402:AR402))*AR$5)</f>
        <v>7.8887785708332703E-3</v>
      </c>
      <c r="AS525" s="48">
        <f t="shared" ref="AS525" si="4208">IF(ISERROR((AS81)/(AVERAGE(AR402:AS402))*AS$5),"n.a.",(AS81)/(AVERAGE(AR402:AS402))*AS$5)</f>
        <v>8.720214229858813E-3</v>
      </c>
      <c r="AT525" s="48"/>
      <c r="AU525" s="48">
        <f t="shared" ref="AU525:BI525" si="4209">IF(ISERROR((AU81)/(AVERAGE(AT402:AU402))*AU$5),"n.a.",(AU81)/(AVERAGE(AT402:AU402))*AU$5)</f>
        <v>1.1944689614592528E-2</v>
      </c>
      <c r="AV525" s="48">
        <f t="shared" si="4209"/>
        <v>1.0517190899644643E-2</v>
      </c>
      <c r="AW525" s="48">
        <f t="shared" si="4209"/>
        <v>1.2061005770816159E-2</v>
      </c>
      <c r="AX525" s="48">
        <f t="shared" si="4209"/>
        <v>1.1875944789700927E-2</v>
      </c>
      <c r="AY525" s="48">
        <f t="shared" si="4209"/>
        <v>5.5057934094831125E-3</v>
      </c>
      <c r="AZ525" s="48">
        <f t="shared" si="4209"/>
        <v>7.1166176410784729E-3</v>
      </c>
      <c r="BA525" s="48">
        <f t="shared" si="4209"/>
        <v>6.2996692014708018E-3</v>
      </c>
      <c r="BB525" s="48">
        <f t="shared" si="4209"/>
        <v>4.6916071646625574E-3</v>
      </c>
      <c r="BC525" s="48">
        <f t="shared" si="4209"/>
        <v>5.7042503703405795E-3</v>
      </c>
      <c r="BD525" s="37">
        <f t="shared" si="4209"/>
        <v>8.471398149016247E-3</v>
      </c>
      <c r="BE525" s="37">
        <f t="shared" si="4209"/>
        <v>9.3834093834093829E-3</v>
      </c>
      <c r="BF525" s="37">
        <f t="shared" si="4209"/>
        <v>1.0724376252498499E-2</v>
      </c>
      <c r="BG525" s="37">
        <f t="shared" si="4209"/>
        <v>1.1679731950941965E-2</v>
      </c>
      <c r="BH525" s="37">
        <f t="shared" si="4209"/>
        <v>1.3666415465443798E-2</v>
      </c>
      <c r="BI525" s="37">
        <f t="shared" si="4209"/>
        <v>1.532838836029423E-2</v>
      </c>
      <c r="BJ525" s="37">
        <f t="shared" ref="BJ525:BO525" si="4210">IF(ISERROR((BJ81)/(AVERAGE(BJ402:BJ402))*BJ$5),"n.a.",(BJ81)/(AVERAGE(BJ402:BJ402))*BJ$5)</f>
        <v>1.0676226143657985E-2</v>
      </c>
      <c r="BK525" s="37">
        <f t="shared" si="4210"/>
        <v>1.2273410054019288E-2</v>
      </c>
      <c r="BL525" s="37">
        <f t="shared" si="4210"/>
        <v>1.1789285929013769E-2</v>
      </c>
      <c r="BM525" s="37">
        <f t="shared" si="4210"/>
        <v>1.3360077551357149E-2</v>
      </c>
      <c r="BN525" s="37">
        <f t="shared" si="4210"/>
        <v>8.7307017282922325E-3</v>
      </c>
      <c r="BO525" s="38">
        <f t="shared" si="4210"/>
        <v>8.3441706478355696E-3</v>
      </c>
      <c r="BP525" s="48">
        <f t="shared" ref="BP525:BQ525" si="4211">IF(ISERROR((BP81)/(AVERAGE(BP402:BP402))*BP$5),"n.a.",(BP81)/(AVERAGE(BP402:BP402))*BP$5)</f>
        <v>8.0865530931174268E-3</v>
      </c>
      <c r="BQ525" s="48">
        <f t="shared" si="4211"/>
        <v>8.0461510341056433E-3</v>
      </c>
      <c r="BR525" s="48">
        <f t="shared" ref="BR525:BT525" si="4212">IF(ISERROR((BR81)/(AVERAGE(BR402:BR402))*BR$5),"n.a.",(BR81)/(AVERAGE(BR402:BR402))*BR$5)</f>
        <v>8.2309738098904472E-3</v>
      </c>
      <c r="BS525" s="48">
        <f t="shared" si="4212"/>
        <v>8.1708328800320276E-3</v>
      </c>
      <c r="BT525" s="48">
        <f t="shared" si="4212"/>
        <v>8.0444941449135943E-3</v>
      </c>
    </row>
    <row r="526" spans="1:101" ht="12" customHeight="1" outlineLevel="1">
      <c r="A526" s="91" t="s">
        <v>337</v>
      </c>
      <c r="B526" s="1" t="s">
        <v>338</v>
      </c>
      <c r="C526" s="19"/>
      <c r="D526" s="48">
        <f t="shared" ref="D526:AJ526" si="4213">IF(ISERROR((D81)/(AVERAGE(C402:D402)+AVERAGE(C462:D462))*D$5),"n.a.",(D81)/(AVERAGE(C402:D402)+AVERAGE(C462:D462))*D$5)</f>
        <v>6.5623691565834539E-3</v>
      </c>
      <c r="E526" s="48">
        <f t="shared" si="4213"/>
        <v>7.8956204395324043E-3</v>
      </c>
      <c r="F526" s="48">
        <f t="shared" si="4213"/>
        <v>5.3384903959888177E-3</v>
      </c>
      <c r="G526" s="48">
        <f t="shared" si="4213"/>
        <v>7.0887725250141356E-3</v>
      </c>
      <c r="H526" s="48">
        <f t="shared" si="4213"/>
        <v>3.7020628379649577E-3</v>
      </c>
      <c r="I526" s="48">
        <f t="shared" si="4213"/>
        <v>5.221611327825045E-3</v>
      </c>
      <c r="J526" s="48">
        <f t="shared" si="4213"/>
        <v>4.7502882880437244E-3</v>
      </c>
      <c r="K526" s="37">
        <f t="shared" si="4213"/>
        <v>6.6758308012643056E-3</v>
      </c>
      <c r="L526" s="37">
        <f t="shared" si="4213"/>
        <v>6.732416566438834E-3</v>
      </c>
      <c r="M526" s="37">
        <f t="shared" si="4213"/>
        <v>9.9998877585573964E-3</v>
      </c>
      <c r="N526" s="37">
        <f t="shared" si="4213"/>
        <v>8.6074782280052015E-3</v>
      </c>
      <c r="O526" s="37">
        <f t="shared" si="4213"/>
        <v>1.0675772043033984E-2</v>
      </c>
      <c r="P526" s="37">
        <f t="shared" si="4213"/>
        <v>1.0843129306850425E-2</v>
      </c>
      <c r="Q526" s="37">
        <f t="shared" si="4213"/>
        <v>9.8417929308571919E-3</v>
      </c>
      <c r="R526" s="37">
        <f t="shared" si="4213"/>
        <v>1.0801374475958952E-2</v>
      </c>
      <c r="S526" s="37">
        <f t="shared" si="4213"/>
        <v>1.2516643605399863E-2</v>
      </c>
      <c r="T526" s="37">
        <f t="shared" si="4213"/>
        <v>1.3431904142699473E-2</v>
      </c>
      <c r="U526" s="37">
        <f t="shared" si="4213"/>
        <v>1.3849566778733413E-2</v>
      </c>
      <c r="V526" s="37">
        <f t="shared" si="4213"/>
        <v>1.3261943223739175E-2</v>
      </c>
      <c r="W526" s="37">
        <f t="shared" si="4213"/>
        <v>1.6789859615886703E-2</v>
      </c>
      <c r="X526" s="37">
        <f t="shared" si="4213"/>
        <v>1.4126601301644628E-2</v>
      </c>
      <c r="Y526" s="37">
        <f t="shared" si="4213"/>
        <v>1.0857268255060582E-2</v>
      </c>
      <c r="Z526" s="37">
        <f t="shared" si="4213"/>
        <v>8.1781880281267798E-3</v>
      </c>
      <c r="AA526" s="37">
        <f t="shared" si="4213"/>
        <v>1.7286213146765258E-2</v>
      </c>
      <c r="AB526" s="37">
        <f t="shared" si="4213"/>
        <v>1.385574506298674E-2</v>
      </c>
      <c r="AC526" s="37">
        <f t="shared" si="4213"/>
        <v>1.4425056297336725E-2</v>
      </c>
      <c r="AD526" s="37">
        <f t="shared" si="4213"/>
        <v>1.0474833382512415E-2</v>
      </c>
      <c r="AE526" s="37">
        <f t="shared" si="4213"/>
        <v>1.3318285767096949E-2</v>
      </c>
      <c r="AF526" s="37">
        <f t="shared" si="4213"/>
        <v>7.3089786799932855E-3</v>
      </c>
      <c r="AG526" s="37">
        <f t="shared" si="4213"/>
        <v>1.0675178436848872E-2</v>
      </c>
      <c r="AH526" s="37">
        <f t="shared" si="4213"/>
        <v>7.9389104631346612E-3</v>
      </c>
      <c r="AI526" s="37">
        <f t="shared" si="4213"/>
        <v>9.8727501484812893E-3</v>
      </c>
      <c r="AJ526" s="38">
        <f t="shared" si="4213"/>
        <v>7.1296492022570801E-3</v>
      </c>
      <c r="AK526" s="48">
        <f t="shared" ref="AK526" si="4214">IF(ISERROR((AK81)/(AVERAGE(AJ402:AK402)+AVERAGE(AJ462:AK462))*AK$5),"n.a.",(AK81)/(AVERAGE(AJ402:AK402)+AVERAGE(AJ462:AK462))*AK$5)</f>
        <v>1.0083205785395693E-2</v>
      </c>
      <c r="AL526" s="48">
        <f t="shared" ref="AL526" si="4215">IF(ISERROR((AL81)/(AVERAGE(AK402:AL402)+AVERAGE(AK462:AL462))*AL$5),"n.a.",(AL81)/(AVERAGE(AK402:AL402)+AVERAGE(AK462:AL462))*AL$5)</f>
        <v>8.0677024928747735E-3</v>
      </c>
      <c r="AM526" s="48">
        <f t="shared" ref="AM526" si="4216">IF(ISERROR((AM81)/(AVERAGE(AL402:AM402)+AVERAGE(AL462:AM462))*AM$5),"n.a.",(AM81)/(AVERAGE(AL402:AM402)+AVERAGE(AL462:AM462))*AM$5)</f>
        <v>8.8987802544549868E-3</v>
      </c>
      <c r="AN526" s="48">
        <f t="shared" ref="AN526" si="4217">IF(ISERROR((AN81)/(AVERAGE(AM402:AN402)+AVERAGE(AM462:AN462))*AN$5),"n.a.",(AN81)/(AVERAGE(AM402:AN402)+AVERAGE(AM462:AN462))*AN$5)</f>
        <v>7.9996771283313717E-3</v>
      </c>
      <c r="AO526" s="48">
        <f t="shared" ref="AO526" si="4218">IF(ISERROR((AO81)/(AVERAGE(AN402:AO402)+AVERAGE(AN462:AO462))*AO$5),"n.a.",(AO81)/(AVERAGE(AN402:AO402)+AVERAGE(AN462:AO462))*AO$5)</f>
        <v>9.1261940132544173E-3</v>
      </c>
      <c r="AP526" s="48">
        <f t="shared" ref="AP526" si="4219">IF(ISERROR((AP81)/(AVERAGE(AO402:AP402)+AVERAGE(AO462:AP462))*AP$5),"n.a.",(AP81)/(AVERAGE(AO402:AP402)+AVERAGE(AO462:AP462))*AP$5)</f>
        <v>7.9250048781735697E-3</v>
      </c>
      <c r="AQ526" s="48">
        <f t="shared" ref="AQ526" si="4220">IF(ISERROR((AQ81)/(AVERAGE(AP402:AQ402)+AVERAGE(AP462:AQ462))*AQ$5),"n.a.",(AQ81)/(AVERAGE(AP402:AQ402)+AVERAGE(AP462:AQ462))*AQ$5)</f>
        <v>9.0015172276878674E-3</v>
      </c>
      <c r="AR526" s="48">
        <f t="shared" ref="AR526" si="4221">IF(ISERROR((AR81)/(AVERAGE(AQ402:AR402)+AVERAGE(AQ462:AR462))*AR$5),"n.a.",(AR81)/(AVERAGE(AQ402:AR402)+AVERAGE(AQ462:AR462))*AR$5)</f>
        <v>7.9109552472747275E-3</v>
      </c>
      <c r="AS526" s="48">
        <f t="shared" ref="AS526" si="4222">IF(ISERROR((AS81)/(AVERAGE(AR402:AS402)+AVERAGE(AR462:AS462))*AS$5),"n.a.",(AS81)/(AVERAGE(AR402:AS402)+AVERAGE(AR462:AS462))*AS$5)</f>
        <v>8.7438751631429366E-3</v>
      </c>
      <c r="AT526" s="48"/>
      <c r="AU526" s="48">
        <f t="shared" ref="AU526:BI526" si="4223">IF(ISERROR((AU81)/(AVERAGE(AT402:AU402)+AVERAGE(AT462:AU462))*AU$5),"n.a.",(AU81)/(AVERAGE(AT402:AU402)+AVERAGE(AT462:AU462))*AU$5)</f>
        <v>1.2010235323699507E-2</v>
      </c>
      <c r="AV526" s="48">
        <f t="shared" si="4223"/>
        <v>1.0548741866758795E-2</v>
      </c>
      <c r="AW526" s="48">
        <f t="shared" si="4223"/>
        <v>1.2073447493294821E-2</v>
      </c>
      <c r="AX526" s="48">
        <f t="shared" si="4223"/>
        <v>1.1899222887689947E-2</v>
      </c>
      <c r="AY526" s="48">
        <f t="shared" si="4223"/>
        <v>5.5276844333171501E-3</v>
      </c>
      <c r="AZ526" s="48">
        <f t="shared" si="4223"/>
        <v>7.1704413918851091E-3</v>
      </c>
      <c r="BA526" s="48">
        <f t="shared" si="4223"/>
        <v>6.3577568291020336E-3</v>
      </c>
      <c r="BB526" s="48">
        <f t="shared" si="4223"/>
        <v>4.7321781632666295E-3</v>
      </c>
      <c r="BC526" s="48">
        <f t="shared" si="4223"/>
        <v>5.7538488583579557E-3</v>
      </c>
      <c r="BD526" s="37">
        <f t="shared" si="4223"/>
        <v>8.5286840206845876E-3</v>
      </c>
      <c r="BE526" s="37">
        <f t="shared" si="4223"/>
        <v>9.4372093160082493E-3</v>
      </c>
      <c r="BF526" s="37">
        <f t="shared" si="4223"/>
        <v>1.0787238325808062E-2</v>
      </c>
      <c r="BG526" s="37">
        <f t="shared" si="4223"/>
        <v>1.1744295382007443E-2</v>
      </c>
      <c r="BH526" s="37">
        <f t="shared" si="4223"/>
        <v>1.3739924771628156E-2</v>
      </c>
      <c r="BI526" s="37">
        <f t="shared" si="4223"/>
        <v>1.5448455931492159E-2</v>
      </c>
      <c r="BJ526" s="37">
        <f t="shared" ref="BJ526:BO526" si="4224">IF(ISERROR((BJ81)/(AVERAGE(BJ402:BJ402)+AVERAGE(BJ462:BJ462))*BJ$5),"n.a.",(BJ81)/(AVERAGE(BJ402:BJ402)+AVERAGE(BJ462:BJ462))*BJ$5)</f>
        <v>1.0814385389690101E-2</v>
      </c>
      <c r="BK526" s="37">
        <f t="shared" si="4224"/>
        <v>1.2401793426843815E-2</v>
      </c>
      <c r="BL526" s="37">
        <f t="shared" si="4224"/>
        <v>1.1901991927080699E-2</v>
      </c>
      <c r="BM526" s="37">
        <f t="shared" si="4224"/>
        <v>1.3493210431069276E-2</v>
      </c>
      <c r="BN526" s="37">
        <f t="shared" si="4224"/>
        <v>8.8237504697482143E-3</v>
      </c>
      <c r="BO526" s="38">
        <f t="shared" si="4224"/>
        <v>8.3756059068876114E-3</v>
      </c>
      <c r="BP526" s="48">
        <f t="shared" ref="BP526:BQ526" si="4225">IF(ISERROR((BP81)/(AVERAGE(BP402:BP402)+AVERAGE(BP462:BP462))*BP$5),"n.a.",(BP81)/(AVERAGE(BP402:BP402)+AVERAGE(BP462:BP462))*BP$5)</f>
        <v>8.1150452975613709E-3</v>
      </c>
      <c r="BQ526" s="48">
        <f t="shared" si="4225"/>
        <v>8.0724957484111758E-3</v>
      </c>
      <c r="BR526" s="48">
        <f t="shared" ref="BR526:BT526" si="4226">IF(ISERROR((BR81)/(AVERAGE(BR402:BR402)+AVERAGE(BR462:BR462))*BR$5),"n.a.",(BR81)/(AVERAGE(BR402:BR402)+AVERAGE(BR462:BR462))*BR$5)</f>
        <v>8.2560694707875665E-3</v>
      </c>
      <c r="BS526" s="48">
        <f t="shared" si="4226"/>
        <v>8.1942163667062997E-3</v>
      </c>
      <c r="BT526" s="48">
        <f t="shared" si="4226"/>
        <v>8.0659418268614041E-3</v>
      </c>
    </row>
    <row r="527" spans="1:101" ht="12" customHeight="1" outlineLevel="1">
      <c r="A527" s="91" t="s">
        <v>339</v>
      </c>
      <c r="B527" s="1" t="s">
        <v>340</v>
      </c>
      <c r="C527" s="19"/>
      <c r="D527" s="182">
        <f t="shared" ref="D527:AS527" si="4227">IF(ISERROR((D73-D62)/D73),"n.a.",(D73-D62)/D73)</f>
        <v>0.86312399355877611</v>
      </c>
      <c r="E527" s="182">
        <f t="shared" si="4227"/>
        <v>0.81460515142938017</v>
      </c>
      <c r="F527" s="182">
        <f t="shared" si="4227"/>
        <v>0.83474460529909855</v>
      </c>
      <c r="G527" s="182">
        <f t="shared" si="4227"/>
        <v>0.83266733266733262</v>
      </c>
      <c r="H527" s="182">
        <f t="shared" si="4227"/>
        <v>0.78476719087264879</v>
      </c>
      <c r="I527" s="182">
        <f t="shared" si="4227"/>
        <v>0.82930107526881724</v>
      </c>
      <c r="J527" s="182">
        <f t="shared" si="4227"/>
        <v>0.78912901113294043</v>
      </c>
      <c r="K527" s="50">
        <f t="shared" si="4227"/>
        <v>0.79933388842631137</v>
      </c>
      <c r="L527" s="50">
        <f t="shared" si="4227"/>
        <v>0.7662408263114977</v>
      </c>
      <c r="M527" s="50">
        <f t="shared" si="4227"/>
        <v>0.81024028744666521</v>
      </c>
      <c r="N527" s="50">
        <f t="shared" si="4227"/>
        <v>0.77684407096171804</v>
      </c>
      <c r="O527" s="50">
        <f t="shared" si="4227"/>
        <v>0.7717959019686621</v>
      </c>
      <c r="P527" s="50">
        <f t="shared" si="4227"/>
        <v>0.78093268145919514</v>
      </c>
      <c r="Q527" s="50">
        <f t="shared" si="4227"/>
        <v>0.76873572763130582</v>
      </c>
      <c r="R527" s="50">
        <f t="shared" si="4227"/>
        <v>0.78995783825220389</v>
      </c>
      <c r="S527" s="50">
        <f t="shared" si="4227"/>
        <v>0.78837932374659925</v>
      </c>
      <c r="T527" s="50">
        <f t="shared" si="4227"/>
        <v>0.81267370761534186</v>
      </c>
      <c r="U527" s="50">
        <f t="shared" si="4227"/>
        <v>0.82346550787615425</v>
      </c>
      <c r="V527" s="50">
        <f t="shared" si="4227"/>
        <v>0.82881646655231556</v>
      </c>
      <c r="W527" s="50">
        <f t="shared" si="4227"/>
        <v>0.88994800693240905</v>
      </c>
      <c r="X527" s="50">
        <f t="shared" si="4227"/>
        <v>0.875</v>
      </c>
      <c r="Y527" s="50">
        <f t="shared" si="4227"/>
        <v>0.82198168193172361</v>
      </c>
      <c r="Z527" s="50">
        <f t="shared" si="4227"/>
        <v>0.81282841094401159</v>
      </c>
      <c r="AA527" s="50">
        <f t="shared" si="4227"/>
        <v>0.83983459682977257</v>
      </c>
      <c r="AB527" s="50">
        <f t="shared" si="4227"/>
        <v>0.82406458226550483</v>
      </c>
      <c r="AC527" s="50">
        <f t="shared" si="4227"/>
        <v>0.84380252100840336</v>
      </c>
      <c r="AD527" s="50">
        <f t="shared" si="4227"/>
        <v>0.83406771799628943</v>
      </c>
      <c r="AE527" s="50">
        <f t="shared" si="4227"/>
        <v>0.84787578586397405</v>
      </c>
      <c r="AF527" s="50">
        <f t="shared" si="4227"/>
        <v>0.79355246523388112</v>
      </c>
      <c r="AG527" s="50">
        <f t="shared" si="4227"/>
        <v>0.79659128884928154</v>
      </c>
      <c r="AH527" s="50">
        <f t="shared" si="4227"/>
        <v>0.79685978578383643</v>
      </c>
      <c r="AI527" s="50">
        <f t="shared" si="4227"/>
        <v>0.79559608540925264</v>
      </c>
      <c r="AJ527" s="51">
        <f t="shared" ref="AJ527" si="4228">IF(ISERROR((AJ73-AJ62)/AJ73),"n.a.",(AJ73-AJ62)/AJ73)</f>
        <v>0.7622828213094005</v>
      </c>
      <c r="AK527" s="182">
        <f t="shared" si="4227"/>
        <v>0.79524973810215449</v>
      </c>
      <c r="AL527" s="182">
        <f t="shared" si="4227"/>
        <v>0.76189735744270171</v>
      </c>
      <c r="AM527" s="182">
        <f t="shared" si="4227"/>
        <v>0.76742667720653979</v>
      </c>
      <c r="AN527" s="182">
        <f t="shared" si="4227"/>
        <v>0.76104151711973789</v>
      </c>
      <c r="AO527" s="182">
        <f t="shared" si="4227"/>
        <v>0.76992696065330923</v>
      </c>
      <c r="AP527" s="182">
        <f t="shared" si="4227"/>
        <v>0.76236553070759872</v>
      </c>
      <c r="AQ527" s="182">
        <f t="shared" si="4227"/>
        <v>0.77210938219186087</v>
      </c>
      <c r="AR527" s="182">
        <f t="shared" si="4227"/>
        <v>0.7655280980379513</v>
      </c>
      <c r="AS527" s="182">
        <f t="shared" si="4227"/>
        <v>0.7729060058695093</v>
      </c>
      <c r="AT527" s="182"/>
      <c r="AU527" s="182">
        <f t="shared" ref="AU527:BT527" si="4229">IF(ISERROR((AU73-AU62)/AU73),"n.a.",(AU73-AU62)/AU73)</f>
        <v>0.8571428571428571</v>
      </c>
      <c r="AV527" s="182">
        <f t="shared" si="4229"/>
        <v>0.87748344370860931</v>
      </c>
      <c r="AW527" s="182">
        <f t="shared" si="4229"/>
        <v>0.89862136192730813</v>
      </c>
      <c r="AX527" s="182">
        <f t="shared" si="4229"/>
        <v>0.9009456838021338</v>
      </c>
      <c r="AY527" s="182">
        <f t="shared" si="4229"/>
        <v>0.83025696706478469</v>
      </c>
      <c r="AZ527" s="182">
        <f t="shared" si="4229"/>
        <v>0.8373003916842422</v>
      </c>
      <c r="BA527" s="182">
        <f t="shared" si="4229"/>
        <v>0.83365949119373772</v>
      </c>
      <c r="BB527" s="182">
        <f t="shared" si="4229"/>
        <v>0.80855952893867589</v>
      </c>
      <c r="BC527" s="182">
        <f t="shared" si="4229"/>
        <v>0.79465224575634674</v>
      </c>
      <c r="BD527" s="50">
        <f t="shared" si="4229"/>
        <v>0.79033448106246929</v>
      </c>
      <c r="BE527" s="50">
        <f t="shared" si="4229"/>
        <v>0.77413085726624919</v>
      </c>
      <c r="BF527" s="50">
        <f t="shared" si="4229"/>
        <v>0.77513566847557969</v>
      </c>
      <c r="BG527" s="50">
        <f t="shared" si="4229"/>
        <v>0.78917406406792745</v>
      </c>
      <c r="BH527" s="50">
        <f t="shared" si="4229"/>
        <v>0.81813186813186811</v>
      </c>
      <c r="BI527" s="50">
        <f t="shared" si="4229"/>
        <v>0.8620040771522659</v>
      </c>
      <c r="BJ527" s="50">
        <f t="shared" si="4229"/>
        <v>0.84916835699797155</v>
      </c>
      <c r="BK527" s="50">
        <f t="shared" si="4229"/>
        <v>0.82816658838265222</v>
      </c>
      <c r="BL527" s="50">
        <f t="shared" si="4229"/>
        <v>0.83491110598014318</v>
      </c>
      <c r="BM527" s="50">
        <f t="shared" si="4229"/>
        <v>0.84164836314193081</v>
      </c>
      <c r="BN527" s="50">
        <f t="shared" si="4229"/>
        <v>0.79516788061822707</v>
      </c>
      <c r="BO527" s="51">
        <f t="shared" si="4229"/>
        <v>0.7961994421199442</v>
      </c>
      <c r="BP527" s="182">
        <f t="shared" si="4229"/>
        <v>0.77989783680967206</v>
      </c>
      <c r="BQ527" s="182">
        <f t="shared" si="4229"/>
        <v>0.76472972365916037</v>
      </c>
      <c r="BR527" s="182">
        <f t="shared" si="4229"/>
        <v>0.76561292664088232</v>
      </c>
      <c r="BS527" s="182">
        <f t="shared" si="4229"/>
        <v>0.76736597649731719</v>
      </c>
      <c r="BT527" s="182">
        <f t="shared" si="4229"/>
        <v>0.76929589774195273</v>
      </c>
    </row>
    <row r="528" spans="1:101" ht="12" customHeight="1" outlineLevel="1">
      <c r="A528" s="91" t="s">
        <v>596</v>
      </c>
      <c r="B528" s="106" t="s">
        <v>595</v>
      </c>
      <c r="C528" s="185" t="str">
        <f>IF(ISERROR(C73*C$5/AVERAGE('Divisional Model'!A46:B46)*1000000),"n.a.",C73*C$5/AVERAGE('Divisional Model'!A46:B46)*1000000)</f>
        <v>n.a.</v>
      </c>
      <c r="D528" s="185">
        <f>IF(ISERROR(D73*D$5/AVERAGE('Divisional Model'!B46:C46)*1000000),"n.a.",D73*D$5/AVERAGE('Divisional Model'!B46:C46)*1000000)</f>
        <v>485423.48227663001</v>
      </c>
      <c r="E528" s="185">
        <f>IF(ISERROR(E73*E$5/AVERAGE('Divisional Model'!C46:D46)*1000000),"n.a.",E73*E$5/AVERAGE('Divisional Model'!C46:D46)*1000000)</f>
        <v>516900.3894154359</v>
      </c>
      <c r="F528" s="185">
        <f>IF(ISERROR(F73*F$5/AVERAGE('Divisional Model'!D46:E46)*1000000),"n.a.",F73*F$5/AVERAGE('Divisional Model'!D46:E46)*1000000)</f>
        <v>483735.9745292564</v>
      </c>
      <c r="G528" s="185">
        <f>IF(ISERROR(G73*G$5/AVERAGE('Divisional Model'!E46:F46)*1000000),"n.a.",G73*G$5/AVERAGE('Divisional Model'!E46:F46)*1000000)</f>
        <v>516581.42751455493</v>
      </c>
      <c r="H528" s="185">
        <f>IF(ISERROR(H73*H$5/AVERAGE('Divisional Model'!F46:G46)*1000000),"n.a.",H73*H$5/AVERAGE('Divisional Model'!F46:G46)*1000000)</f>
        <v>423312.8834355828</v>
      </c>
      <c r="I528" s="185">
        <f>IF(ISERROR(I73*I$5/AVERAGE('Divisional Model'!G46:H46)*1000000),"n.a.",I73*I$5/AVERAGE('Divisional Model'!G46:H46)*1000000)</f>
        <v>508023.21611471492</v>
      </c>
      <c r="J528" s="185">
        <f>IF(ISERROR(J73*J$5/AVERAGE('Divisional Model'!H46:I46)*1000000),"n.a.",J73*J$5/AVERAGE('Divisional Model'!H46:I46)*1000000)</f>
        <v>440362.29715596145</v>
      </c>
      <c r="K528" s="322">
        <f>IF(ISERROR(K73*K$5/AVERAGE('Divisional Model'!I46:J46)*1000000),"n.a.",K73*K$5/AVERAGE('Divisional Model'!I46:J46)*1000000)</f>
        <v>532757.99626164592</v>
      </c>
      <c r="L528" s="322">
        <f>IF(ISERROR(L73*L$5/AVERAGE('Divisional Model'!J46:K46)*1000000),"n.a.",L73*L$5/AVERAGE('Divisional Model'!J46:K46)*1000000)</f>
        <v>532426.07566850877</v>
      </c>
      <c r="M528" s="322">
        <f>IF(ISERROR(M73*M$5/AVERAGE('Divisional Model'!K46:L46)*1000000),"n.a.",M73*M$5/AVERAGE('Divisional Model'!K46:L46)*1000000)</f>
        <v>642156.25461760501</v>
      </c>
      <c r="N528" s="322">
        <f>IF(ISERROR(N73*N$5/AVERAGE('Divisional Model'!L46:M46)*1000000),"n.a.",N73*N$5/AVERAGE('Divisional Model'!L46:M46)*1000000)</f>
        <v>609218.22137780662</v>
      </c>
      <c r="O528" s="322">
        <f>IF(ISERROR(O73*O$5/AVERAGE('Divisional Model'!M46:N46)*1000000),"n.a.",O73*O$5/AVERAGE('Divisional Model'!M46:N46)*1000000)</f>
        <v>707462.11588786799</v>
      </c>
      <c r="P528" s="322">
        <f>IF(ISERROR(P73*P$5/AVERAGE('Divisional Model'!N46:O46)*1000000),"n.a.",P73*P$5/AVERAGE('Divisional Model'!N46:O46)*1000000)</f>
        <v>768858.2065276322</v>
      </c>
      <c r="Q528" s="322">
        <f>IF(ISERROR(Q73*Q$5/AVERAGE('Divisional Model'!O46:P46)*1000000),"n.a.",Q73*Q$5/AVERAGE('Divisional Model'!O46:P46)*1000000)</f>
        <v>689275.23789082072</v>
      </c>
      <c r="R528" s="322">
        <f>IF(ISERROR(R73*R$5/AVERAGE('Divisional Model'!P46:Q46)*1000000),"n.a.",R73*R$5/AVERAGE('Divisional Model'!P46:Q46)*1000000)</f>
        <v>738433.82565615256</v>
      </c>
      <c r="S528" s="322">
        <f>IF(ISERROR(S73*S$5/AVERAGE('Divisional Model'!Q46:R46)*1000000),"n.a.",S73*S$5/AVERAGE('Divisional Model'!Q46:R46)*1000000)</f>
        <v>752947.48661399516</v>
      </c>
      <c r="T528" s="322">
        <f>IF(ISERROR(T73*T$5/AVERAGE('Divisional Model'!R46:S46)*1000000),"n.a.",T73*T$5/AVERAGE('Divisional Model'!R46:S46)*1000000)</f>
        <v>781083.93111934932</v>
      </c>
      <c r="U528" s="322">
        <f>IF(ISERROR(U73*U$5/AVERAGE('Divisional Model'!S46:T46)*1000000),"n.a.",U73*U$5/AVERAGE('Divisional Model'!S46:T46)*1000000)</f>
        <v>769832.23198819533</v>
      </c>
      <c r="V528" s="322">
        <f>IF(ISERROR(V73*V$5/AVERAGE('Divisional Model'!T46:U46)*1000000),"n.a.",V73*V$5/AVERAGE('Divisional Model'!T46:U46)*1000000)</f>
        <v>774409.24887634336</v>
      </c>
      <c r="W528" s="322">
        <f>IF(ISERROR(W73*W$5/AVERAGE('Divisional Model'!U46:V46)*1000000),"n.a.",W73*W$5/AVERAGE('Divisional Model'!U46:V46)*1000000)</f>
        <v>901018.32761534932</v>
      </c>
      <c r="X528" s="322">
        <f>IF(ISERROR(X73*X$5/AVERAGE('Divisional Model'!V46:W46)*1000000),"n.a.",X73*X$5/AVERAGE('Divisional Model'!V46:W46)*1000000)</f>
        <v>807512.93681722356</v>
      </c>
      <c r="Y528" s="322">
        <f>IF(ISERROR(Y73*Y$5/AVERAGE('Divisional Model'!W46:X46)*1000000),"n.a.",Y73*Y$5/AVERAGE('Divisional Model'!W46:X46)*1000000)</f>
        <v>761258.83434221789</v>
      </c>
      <c r="Z528" s="322">
        <f>IF(ISERROR(Z73*Z$5/AVERAGE('Divisional Model'!X46:Y46)*1000000),"n.a.",Z73*Z$5/AVERAGE('Divisional Model'!X46:Y46)*1000000)</f>
        <v>683610.71448872192</v>
      </c>
      <c r="AA528" s="322">
        <f>IF(ISERROR(AA73*AA$5/AVERAGE('Divisional Model'!Y46:Z46)*1000000),"n.a.",AA73*AA$5/AVERAGE('Divisional Model'!Y46:Z46)*1000000)</f>
        <v>886781.20599498018</v>
      </c>
      <c r="AB528" s="322">
        <f>IF(ISERROR(AB73*AB$5/AVERAGE('Divisional Model'!Z46:AA46)*1000000),"n.a.",AB73*AB$5/AVERAGE('Divisional Model'!Z46:AA46)*1000000)</f>
        <v>924637.94649262389</v>
      </c>
      <c r="AC528" s="322">
        <f>IF(ISERROR(AC73*AC$5/AVERAGE('Divisional Model'!AA46:AB46)*1000000),"n.a.",AC73*AC$5/AVERAGE('Divisional Model'!AA46:AB46)*1000000)</f>
        <v>1080431.6502918731</v>
      </c>
      <c r="AD528" s="322">
        <f>IF(ISERROR(AD73*AD$5/AVERAGE('Divisional Model'!AB46:AC46)*1000000),"n.a.",AD73*AD$5/AVERAGE('Divisional Model'!AB46:AC46)*1000000)</f>
        <v>919857.4462921411</v>
      </c>
      <c r="AE528" s="322">
        <f>IF(ISERROR(AE73*AE$5/AVERAGE('Divisional Model'!AC46:AD46)*1000000),"n.a.",AE73*AE$5/AVERAGE('Divisional Model'!AC46:AD46)*1000000)</f>
        <v>1058638.9098017006</v>
      </c>
      <c r="AF528" s="322">
        <f>IF(ISERROR(AF73*AF$5/AVERAGE('Divisional Model'!AD46:AE46)*1000000),"n.a.",AF73*AF$5/AVERAGE('Divisional Model'!AD46:AE46)*1000000)</f>
        <v>757318.26994423033</v>
      </c>
      <c r="AG528" s="322">
        <f>IF(ISERROR(AG73*AG$5/AVERAGE('Divisional Model'!AE46:AF46)*1000000),"n.a.",AG73*AG$5/AVERAGE('Divisional Model'!AE46:AF46)*1000000)</f>
        <v>856257.15375810757</v>
      </c>
      <c r="AH528" s="322">
        <f>IF(ISERROR(AH73*AH$5/AVERAGE('Divisional Model'!AF46:AG46)*1000000),"n.a.",AH73*AH$5/AVERAGE('Divisional Model'!AF46:AG46)*1000000)</f>
        <v>804887.34129701671</v>
      </c>
      <c r="AI528" s="322">
        <f>IF(ISERROR(AI73*AI$5/AVERAGE('Divisional Model'!AG46:AH46)*1000000),"n.a.",AI73*AI$5/AVERAGE('Divisional Model'!AG46:AH46)*1000000)</f>
        <v>906474.6452903687</v>
      </c>
      <c r="AJ528" s="186">
        <f>IF(ISERROR(AJ73*AJ$5/AVERAGE('Divisional Model'!AH46:AI46)*1000000),"n.a.",AJ73*AJ$5/AVERAGE('Divisional Model'!AH46:AI46)*1000000)</f>
        <v>876454.04978872044</v>
      </c>
      <c r="AK528" s="185">
        <f>IF(ISERROR(AK73*AK$5/AVERAGE('Divisional Model'!AI46:AJ46)*1000000),"n.a.",AK73*AK$5/AVERAGE('Divisional Model'!AI46:AJ46)*1000000)</f>
        <v>1027210.8809803367</v>
      </c>
      <c r="AL528" s="185">
        <f>IF(ISERROR(AL73*AL$5/AVERAGE('Divisional Model'!AJ46:AK46)*1000000),"n.a.",AL73*AL$5/AVERAGE('Divisional Model'!AJ46:AK46)*1000000)</f>
        <v>954029.36019024823</v>
      </c>
      <c r="AM528" s="185">
        <f>IF(ISERROR(AM73*AM$5/AVERAGE('Divisional Model'!AK46:AL46)*1000000),"n.a.",AM73*AM$5/AVERAGE('Divisional Model'!AK46:AL46)*1000000)</f>
        <v>1003760.4591282958</v>
      </c>
      <c r="AN528" s="185">
        <f>IF(ISERROR(AN73*AN$5/AVERAGE('Divisional Model'!AL46:AM46)*1000000),"n.a.",AN73*AN$5/AVERAGE('Divisional Model'!AL46:AM46)*1000000)</f>
        <v>998654.27783246851</v>
      </c>
      <c r="AO528" s="185">
        <f>IF(ISERROR(AO73*AO$5/AVERAGE('Divisional Model'!AM46:AN46)*1000000),"n.a.",AO73*AO$5/AVERAGE('Divisional Model'!AM46:AN46)*1000000)</f>
        <v>1054340.0468712021</v>
      </c>
      <c r="AP528" s="185">
        <f>IF(ISERROR(AP73*AP$5/AVERAGE('Divisional Model'!AN46:AO46)*1000000),"n.a.",AP73*AP$5/AVERAGE('Divisional Model'!AN46:AO46)*1000000)</f>
        <v>1033460.6752608095</v>
      </c>
      <c r="AQ528" s="185">
        <f>IF(ISERROR(AQ73*AQ$5/AVERAGE('Divisional Model'!AO46:AP46)*1000000),"n.a.",AQ73*AQ$5/AVERAGE('Divisional Model'!AO46:AP46)*1000000)</f>
        <v>1091383.2848240908</v>
      </c>
      <c r="AR528" s="185">
        <f>IF(ISERROR(AR73*AR$5/AVERAGE('Divisional Model'!AP46:AQ46)*1000000),"n.a.",AR73*AR$5/AVERAGE('Divisional Model'!AP46:AQ46)*1000000)</f>
        <v>1071433.2216391498</v>
      </c>
      <c r="AS528" s="185">
        <f>IF(ISERROR(AS73*AS$5/AVERAGE('Divisional Model'!AQ46:AR46)*1000000),"n.a.",AS73*AS$5/AVERAGE('Divisional Model'!AQ46:AR46)*1000000)</f>
        <v>1120169.5369308586</v>
      </c>
      <c r="AT528" s="185"/>
      <c r="AU528" s="185">
        <f>IF(ISERROR(AU73*AU$5/AVERAGE('Divisional Model'!P46:Q46)*1000000),"n.a.",AU73*AU$5/AVERAGE('Divisional Model'!P46:Q46)*1000000)</f>
        <v>266212.5727259827</v>
      </c>
      <c r="AV528" s="185">
        <f>IF(ISERROR(AV73*AV$5/AVERAGE('Divisional Model'!AT46:AU46)*1000000),"n.a.",AV73*AV$5/AVERAGE('Divisional Model'!AT46:AU46)*1000000)</f>
        <v>319862.31092576042</v>
      </c>
      <c r="AW528" s="185">
        <f>IF(ISERROR(AW73*AW$5/AVERAGE('Divisional Model'!AU46:AV46)*1000000),"n.a.",AW73*AW$5/AVERAGE('Divisional Model'!AU46:AV46)*1000000)</f>
        <v>482626.52059950266</v>
      </c>
      <c r="AX528" s="185">
        <f>IF(ISERROR(AX73*AX$5/AVERAGE('Divisional Model'!AV46:AW46)*1000000),"n.a.",AX73*AX$5/AVERAGE('Divisional Model'!AV46:AW46)*1000000)</f>
        <v>591997.1290148932</v>
      </c>
      <c r="AY528" s="185">
        <f>IF(ISERROR(AY73*AY$5/AVERAGE('Divisional Model'!AW46:AX46)*1000000),"n.a.",AY73*AY$5/AVERAGE('Divisional Model'!AW46:AX46)*1000000)</f>
        <v>400783.28981723241</v>
      </c>
      <c r="AZ528" s="185">
        <f>IF(ISERROR(AZ73*AZ$5/AVERAGE('Divisional Model'!AS46:AT46)*1000000),"n.a.",AZ73*AZ$5/AVERAGE('Divisional Model'!AS46:AT46)*1000000)</f>
        <v>452889.40438015969</v>
      </c>
      <c r="BA528" s="185">
        <f>IF(ISERROR(BA73*BA$5/AVERAGE('Divisional Model'!AT46:AU46)*1000000),"n.a.",BA73*BA$5/AVERAGE('Divisional Model'!AT46:AU46)*1000000)</f>
        <v>507397.47790686128</v>
      </c>
      <c r="BB528" s="185">
        <f>IF(ISERROR(BB73*BB$5/AVERAGE('Divisional Model'!AU46:AV46)*1000000),"n.a.",BB73*BB$5/AVERAGE('Divisional Model'!AU46:AV46)*1000000)</f>
        <v>467974.99831977958</v>
      </c>
      <c r="BC528" s="185">
        <f>IF(ISERROR(BC73*BC$5/AVERAGE('Divisional Model'!AV46:AW46)*1000000),"n.a.",BC73*BC$5/AVERAGE('Divisional Model'!AV46:AW46)*1000000)</f>
        <v>477803.69639332499</v>
      </c>
      <c r="BD528" s="322">
        <f>IF(ISERROR(BD73*BD$5/AVERAGE('Divisional Model'!AW46:AX46)*1000000),"n.a.",BD73*BD$5/AVERAGE('Divisional Model'!AW46:AX46)*1000000)</f>
        <v>589788.22164200747</v>
      </c>
      <c r="BE528" s="322">
        <f>IF(ISERROR(BE73*BE$5/AVERAGE('Divisional Model'!AX46:AY46)*1000000),"n.a.",BE73*BE$5/AVERAGE('Divisional Model'!AX46:AY46)*1000000)</f>
        <v>661618.68704907491</v>
      </c>
      <c r="BF528" s="322">
        <f>IF(ISERROR(BF73*BF$5/AVERAGE('Divisional Model'!AY46:AZ46)*1000000),"n.a.",BF73*BF$5/AVERAGE('Divisional Model'!AY46:AZ46)*1000000)</f>
        <v>712302.77260428015</v>
      </c>
      <c r="BG528" s="322">
        <f>IF(ISERROR(BG73*BG$5/AVERAGE('Divisional Model'!AZ46:BA46)*1000000),"n.a.",BG73*BG$5/AVERAGE('Divisional Model'!AZ46:BA46)*1000000)</f>
        <v>741106.22474882903</v>
      </c>
      <c r="BH528" s="322">
        <f>IF(ISERROR(BH73*BH$5/AVERAGE('Divisional Model'!BA46:BB46)*1000000),"n.a.",BH73*BH$5/AVERAGE('Divisional Model'!BA46:BB46)*1000000)</f>
        <v>768824.58548949205</v>
      </c>
      <c r="BI528" s="322">
        <f>IF(ISERROR(BI73*BI$5/AVERAGE('Divisional Model'!BB46:BC46)*1000000),"n.a.",BI73*BI$5/AVERAGE('Divisional Model'!BB46:BC46)*1000000)</f>
        <v>838747.8626857819</v>
      </c>
      <c r="BJ528" s="322">
        <f>IF(ISERROR(BJ73*BJ$5/AVERAGE('Divisional Model'!BC46:BD46)*1000000),"n.a.",BJ73*BJ$5/AVERAGE('Divisional Model'!BC46:BD46)*1000000)</f>
        <v>783758.86299322767</v>
      </c>
      <c r="BK528" s="322">
        <f>IF(ISERROR(BK73*BK$5/AVERAGE('Divisional Model'!BD46:BE46)*1000000),"n.a.",BK73*BK$5/AVERAGE('Divisional Model'!BD46:BE46)*1000000)</f>
        <v>790763.89748669066</v>
      </c>
      <c r="BL528" s="322">
        <f>IF(ISERROR(BL73*BL$5/AVERAGE('Divisional Model'!BE46:BF46)*1000000),"n.a.",BL73*BL$5/AVERAGE('Divisional Model'!BE46:BF46)*1000000)</f>
        <v>1001618.8714153562</v>
      </c>
      <c r="BM528" s="322">
        <f>IF(ISERROR(BM73*BM$5/AVERAGE('Divisional Model'!BF46:BG46)*1000000),"n.a.",BM73*BM$5/AVERAGE('Divisional Model'!BF46:BG46)*1000000)</f>
        <v>989700.32607007923</v>
      </c>
      <c r="BN528" s="322">
        <f>IF(ISERROR(BN73*BN$5/AVERAGE('Divisional Model'!BG46:BH46)*1000000),"n.a.",BN73*BN$5/AVERAGE('Divisional Model'!BG46:BH46)*1000000)</f>
        <v>820255.00910746807</v>
      </c>
      <c r="BO528" s="186">
        <f>IF(ISERROR(BO73*BO$5/AVERAGE('Divisional Model'!BH46:BI46)*1000000),"n.a.",BO73*BO$5/AVERAGE('Divisional Model'!BH46:BI46)*1000000)</f>
        <v>851860.10247271101</v>
      </c>
      <c r="BP528" s="322">
        <f>IF(ISERROR(BP73*BP$5/AVERAGE('Divisional Model'!BI46:BJ46)*1000000),"n.a.",BP73*BP$5/AVERAGE('Divisional Model'!BI46:BJ46)*1000000)</f>
        <v>960713.02358390903</v>
      </c>
      <c r="BQ528" s="322">
        <f>IF(ISERROR(BQ73*BQ$5/AVERAGE('Divisional Model'!BK46:BK46)*1000000),"n.a.",BQ73*BQ$5/AVERAGE('Divisional Model'!BK46:BK46)*1000000)</f>
        <v>975295.62811741151</v>
      </c>
      <c r="BR528" s="322">
        <f>IF(ISERROR(BR73*BR$5/AVERAGE('Divisional Model'!BL46:BL46)*1000000),"n.a.",BR73*BR$5/AVERAGE('Divisional Model'!BL46:BL46)*1000000)</f>
        <v>1022770.5169970493</v>
      </c>
      <c r="BS528" s="322">
        <f>IF(ISERROR(BS73*BS$5/AVERAGE('Divisional Model'!BM46:BM46)*1000000),"n.a.",BS73*BS$5/AVERAGE('Divisional Model'!BM46:BM46)*1000000)</f>
        <v>1058447.6387210651</v>
      </c>
      <c r="BT528" s="322">
        <f>IF(ISERROR(BT73*BT$5/AVERAGE('Divisional Model'!BN46:BN46)*1000000),"n.a.",BT73*BT$5/AVERAGE('Divisional Model'!BN46:BN46)*1000000)</f>
        <v>1091672.6026406817</v>
      </c>
    </row>
    <row r="529" spans="1:72" ht="12" customHeight="1" outlineLevel="1">
      <c r="A529" s="91" t="s">
        <v>1106</v>
      </c>
      <c r="B529" s="106" t="s">
        <v>1828</v>
      </c>
      <c r="C529" s="185"/>
      <c r="D529" s="21">
        <v>-107</v>
      </c>
      <c r="E529" s="21">
        <v>-146</v>
      </c>
      <c r="F529" s="21">
        <v>-142</v>
      </c>
      <c r="G529" s="21">
        <v>-136</v>
      </c>
      <c r="H529" s="21">
        <v>-121</v>
      </c>
      <c r="I529" s="21">
        <v>-104</v>
      </c>
      <c r="J529" s="21">
        <v>-96</v>
      </c>
      <c r="K529" s="21">
        <v>-105</v>
      </c>
      <c r="L529" s="21">
        <v>-108</v>
      </c>
      <c r="M529" s="21">
        <f>-231-L529</f>
        <v>-123</v>
      </c>
      <c r="N529" s="62">
        <v>-123</v>
      </c>
      <c r="O529" s="62">
        <f>-252-N529</f>
        <v>-129</v>
      </c>
      <c r="P529" s="21">
        <v>-145</v>
      </c>
      <c r="Q529" s="21">
        <f>-287-P529</f>
        <v>-142</v>
      </c>
      <c r="R529" s="21">
        <v>-149</v>
      </c>
      <c r="S529" s="21">
        <v>-109</v>
      </c>
      <c r="T529" s="21">
        <v>-131</v>
      </c>
      <c r="U529" s="21">
        <v>-141</v>
      </c>
      <c r="V529" s="21">
        <v>-157</v>
      </c>
      <c r="W529" s="21">
        <v>-169</v>
      </c>
      <c r="X529" s="21">
        <v>-174</v>
      </c>
      <c r="Y529" s="21">
        <v>-148</v>
      </c>
      <c r="Z529" s="21">
        <v>-184</v>
      </c>
      <c r="AA529" s="21">
        <v>-143</v>
      </c>
      <c r="AB529" s="21">
        <v>-163</v>
      </c>
      <c r="AC529" s="21">
        <v>-198</v>
      </c>
      <c r="AD529" s="21">
        <v>-179</v>
      </c>
      <c r="AE529" s="21">
        <f>-425-AD529</f>
        <v>-246</v>
      </c>
      <c r="AF529" s="21">
        <v>-228</v>
      </c>
      <c r="AG529" s="21">
        <f>-450-AF529</f>
        <v>-222</v>
      </c>
      <c r="AH529" s="21">
        <v>-215</v>
      </c>
      <c r="AI529" s="21">
        <v>-215</v>
      </c>
      <c r="AJ529" s="24">
        <v>-222</v>
      </c>
      <c r="AK529" s="58">
        <f t="shared" ref="AK529" si="4230">AJ529*AK74/AJ74</f>
        <v>-220.54295951526498</v>
      </c>
      <c r="AL529" s="58">
        <f t="shared" ref="AL529" si="4231">AK529*AL74/AK74</f>
        <v>-215.66182971643582</v>
      </c>
      <c r="AM529" s="58">
        <f t="shared" ref="AM529" si="4232">AL529*AM74/AL74</f>
        <v>-223.11415752666676</v>
      </c>
      <c r="AN529" s="58">
        <f t="shared" ref="AN529" si="4233">AM529*AN74/AM74</f>
        <v>-224.67752528623427</v>
      </c>
      <c r="AO529" s="58">
        <f t="shared" ref="AO529" si="4234">AN529*AO74/AN74</f>
        <v>-231.72123782002313</v>
      </c>
      <c r="AP529" s="58">
        <f t="shared" ref="AP529" si="4235">AO529*AP74/AO74</f>
        <v>-231.98591245359657</v>
      </c>
      <c r="AQ529" s="58">
        <f t="shared" ref="AQ529" si="4236">AP529*AQ74/AP74</f>
        <v>-238.19031123535854</v>
      </c>
      <c r="AR529" s="58">
        <f t="shared" ref="AR529" si="4237">AQ529*AR74/AQ74</f>
        <v>-239.29885914937859</v>
      </c>
      <c r="AS529" s="58">
        <f t="shared" ref="AS529" si="4238">AR529*AS74/AR74</f>
        <v>-244.69206613145221</v>
      </c>
      <c r="AT529" s="185"/>
      <c r="AU529" s="21"/>
      <c r="AV529" s="21"/>
      <c r="AW529" s="21">
        <v>-261</v>
      </c>
      <c r="AX529" s="21">
        <v>-299</v>
      </c>
      <c r="AY529" s="21">
        <f>-(75+37)</f>
        <v>-112</v>
      </c>
      <c r="AZ529" s="19">
        <f>E529+D529</f>
        <v>-253</v>
      </c>
      <c r="BA529" s="19">
        <f>G529+F529</f>
        <v>-278</v>
      </c>
      <c r="BB529" s="19">
        <f>I529+H529</f>
        <v>-225</v>
      </c>
      <c r="BC529" s="19">
        <f>K529+J529</f>
        <v>-201</v>
      </c>
      <c r="BD529" s="19">
        <f>M529+L529</f>
        <v>-231</v>
      </c>
      <c r="BE529" s="19">
        <f>O529+N529</f>
        <v>-252</v>
      </c>
      <c r="BF529" s="19">
        <f>Q529+P529</f>
        <v>-287</v>
      </c>
      <c r="BG529" s="19">
        <f>S529+R529</f>
        <v>-258</v>
      </c>
      <c r="BH529" s="19">
        <f>U529+T529</f>
        <v>-272</v>
      </c>
      <c r="BI529" s="19">
        <f>W529+V529</f>
        <v>-326</v>
      </c>
      <c r="BJ529" s="19">
        <f>Y529+X529</f>
        <v>-322</v>
      </c>
      <c r="BK529" s="19">
        <f>AA529+Z529</f>
        <v>-327</v>
      </c>
      <c r="BL529" s="19">
        <f>AC529+AB529</f>
        <v>-361</v>
      </c>
      <c r="BM529" s="19">
        <f>AE529+AD529</f>
        <v>-425</v>
      </c>
      <c r="BN529" s="19">
        <f>AG529+AF529</f>
        <v>-450</v>
      </c>
      <c r="BO529" s="20">
        <f>AI529+AH529</f>
        <v>-430</v>
      </c>
      <c r="BP529" s="19">
        <f>AK529+AJ529</f>
        <v>-442.54295951526501</v>
      </c>
      <c r="BQ529" s="19">
        <f>AM529+AL529</f>
        <v>-438.77598724310258</v>
      </c>
      <c r="BR529" s="19">
        <f>AO529+AN529</f>
        <v>-456.39876310625743</v>
      </c>
      <c r="BS529" s="19">
        <f>AQ529+AP529</f>
        <v>-470.17622368895513</v>
      </c>
      <c r="BT529" s="19">
        <f>AS529+AR529</f>
        <v>-483.99092528083077</v>
      </c>
    </row>
    <row r="530" spans="1:72" ht="12" customHeight="1" outlineLevel="1">
      <c r="A530" s="91" t="s">
        <v>591</v>
      </c>
      <c r="B530" s="106" t="s">
        <v>1107</v>
      </c>
      <c r="C530" s="182" t="str">
        <f>IF(ISERROR(C74/-C73),"n.a.",C74/-C73)</f>
        <v>n.a.</v>
      </c>
      <c r="D530" s="182">
        <f t="shared" ref="D530:V530" si="4239">IF(ISERROR((D74-D529)/-D73),"n.a.",(D74-D529)/-D73)</f>
        <v>0.45152979066022542</v>
      </c>
      <c r="E530" s="182">
        <f t="shared" si="4239"/>
        <v>0.40928389470704785</v>
      </c>
      <c r="F530" s="182">
        <f t="shared" si="4239"/>
        <v>0.47910406992624965</v>
      </c>
      <c r="G530" s="182">
        <f t="shared" si="4239"/>
        <v>0.46403596403596403</v>
      </c>
      <c r="H530" s="182">
        <f t="shared" si="4239"/>
        <v>0.47209374036386065</v>
      </c>
      <c r="I530" s="182">
        <f t="shared" si="4239"/>
        <v>0.48494623655913977</v>
      </c>
      <c r="J530" s="182">
        <f t="shared" si="4239"/>
        <v>0.47216764898493779</v>
      </c>
      <c r="K530" s="182">
        <f t="shared" si="4239"/>
        <v>0.4524007771301693</v>
      </c>
      <c r="L530" s="50">
        <f t="shared" si="4239"/>
        <v>0.44088067409622178</v>
      </c>
      <c r="M530" s="50">
        <f t="shared" si="4239"/>
        <v>0.42286099258926568</v>
      </c>
      <c r="N530" s="50">
        <f t="shared" si="4239"/>
        <v>0.42507002801120447</v>
      </c>
      <c r="O530" s="50">
        <f t="shared" si="4239"/>
        <v>0.41582965046203296</v>
      </c>
      <c r="P530" s="50">
        <f t="shared" si="4239"/>
        <v>0.39827002632568637</v>
      </c>
      <c r="Q530" s="50">
        <f t="shared" si="4239"/>
        <v>0.38177288768943324</v>
      </c>
      <c r="R530" s="50">
        <f t="shared" si="4239"/>
        <v>0.41031046377922575</v>
      </c>
      <c r="S530" s="50">
        <f t="shared" si="4239"/>
        <v>0.38476486591527398</v>
      </c>
      <c r="T530" s="50">
        <f t="shared" si="4239"/>
        <v>0.39466370205669815</v>
      </c>
      <c r="U530" s="50">
        <f t="shared" si="4239"/>
        <v>0.37859858772406302</v>
      </c>
      <c r="V530" s="50">
        <f t="shared" si="4239"/>
        <v>0.39399656946826755</v>
      </c>
      <c r="W530" s="50">
        <f t="shared" ref="W530:X530" si="4240">IF(ISERROR((W74-W529)/-W73),"n.a.",(W74-W529)/-W73)</f>
        <v>0.37463893703061812</v>
      </c>
      <c r="X530" s="50">
        <f t="shared" si="4240"/>
        <v>0.41170886075949364</v>
      </c>
      <c r="Y530" s="50">
        <f t="shared" ref="Y530:Z530" si="4241">IF(ISERROR((Y74-Y529)/-Y73),"n.a.",(Y74-Y529)/-Y73)</f>
        <v>0.39950041631973354</v>
      </c>
      <c r="Z530" s="50">
        <f t="shared" si="4241"/>
        <v>0.44047834752672588</v>
      </c>
      <c r="AA530" s="50">
        <f t="shared" ref="AA530:AB530" si="4242">IF(ISERROR((AA74-AA529)/-AA73),"n.a.",(AA74-AA529)/-AA73)</f>
        <v>0.380289455547898</v>
      </c>
      <c r="AB530" s="50">
        <f t="shared" si="4242"/>
        <v>0.38454638646847772</v>
      </c>
      <c r="AC530" s="50">
        <f t="shared" ref="AC530:AD530" si="4243">IF(ISERROR((AC74-AC529)/-AC73),"n.a.",(AC74-AC529)/-AC73)</f>
        <v>0.35325630252100843</v>
      </c>
      <c r="AD530" s="50">
        <f t="shared" si="4243"/>
        <v>0.39819109461966606</v>
      </c>
      <c r="AE530" s="50">
        <f t="shared" ref="AE530:AF530" si="4244">IF(ISERROR((AE74-AE529)/-AE73),"n.a.",(AE74-AE529)/-AE73)</f>
        <v>0.3661649838064393</v>
      </c>
      <c r="AF530" s="50">
        <f t="shared" si="4244"/>
        <v>0.44323640960809102</v>
      </c>
      <c r="AG530" s="50">
        <f t="shared" ref="AG530:AH530" si="4245">IF(ISERROR((AG74-AG529)/-AG73),"n.a.",(AG74-AG529)/-AG73)</f>
        <v>0.41962793806394116</v>
      </c>
      <c r="AH530" s="50">
        <f t="shared" si="4245"/>
        <v>0.43098831548198635</v>
      </c>
      <c r="AI530" s="50">
        <f t="shared" ref="AI530:AJ530" si="4246">IF(ISERROR((AI74-AI529)/-AI73),"n.a.",(AI74-AI529)/-AI73)</f>
        <v>0.41025355871886121</v>
      </c>
      <c r="AJ530" s="51">
        <f t="shared" si="4246"/>
        <v>0.42963985732366816</v>
      </c>
      <c r="AK530" s="182">
        <f t="shared" ref="AK530" si="4247">IF(ISERROR((AK74-AK529)/-AK73),"n.a.",(AK74-AK529)/-AK73)</f>
        <v>0.37198371474337782</v>
      </c>
      <c r="AL530" s="182">
        <f t="shared" ref="AL530:AM530" si="4248">IF(ISERROR((AL74-AL529)/-AL73),"n.a.",(AL74-AL529)/-AL73)</f>
        <v>0.39595358366173466</v>
      </c>
      <c r="AM530" s="182">
        <f t="shared" si="4248"/>
        <v>0.39005170621217122</v>
      </c>
      <c r="AN530" s="182">
        <f t="shared" ref="AN530:AO530" si="4249">IF(ISERROR((AN74-AN529)/-AN73),"n.a.",(AN74-AN529)/-AN73)</f>
        <v>0.39226897886979878</v>
      </c>
      <c r="AO530" s="182">
        <f t="shared" si="4249"/>
        <v>0.38178917394962125</v>
      </c>
      <c r="AP530" s="182">
        <f t="shared" ref="AP530:AQ530" si="4250">IF(ISERROR((AP74-AP529)/-AP73),"n.a.",(AP74-AP529)/-AP73)</f>
        <v>0.38744494143819641</v>
      </c>
      <c r="AQ530" s="182">
        <f t="shared" si="4250"/>
        <v>0.37735839958734507</v>
      </c>
      <c r="AR530" s="182">
        <f t="shared" ref="AR530:AS530" si="4251">IF(ISERROR((AR74-AR529)/-AR73),"n.a.",(AR74-AR529)/-AR73)</f>
        <v>0.38263202926729595</v>
      </c>
      <c r="AS530" s="182">
        <f t="shared" si="4251"/>
        <v>0.3748806144561585</v>
      </c>
      <c r="AT530" s="19"/>
      <c r="AU530" s="182">
        <f t="shared" ref="AU530:BM530" si="4252">IF(ISERROR((AU74-AU529)/-AU73),"n.a.",(AU74-AU529)/-AU73)</f>
        <v>0.54504264392324098</v>
      </c>
      <c r="AV530" s="182">
        <f t="shared" si="4252"/>
        <v>0.49813741721854304</v>
      </c>
      <c r="AW530" s="182">
        <f t="shared" si="4252"/>
        <v>0.48349812003899179</v>
      </c>
      <c r="AX530" s="182">
        <f t="shared" si="4252"/>
        <v>0.47017458777885546</v>
      </c>
      <c r="AY530" s="182">
        <f t="shared" si="4252"/>
        <v>0.40662323561346364</v>
      </c>
      <c r="AZ530" s="182">
        <f t="shared" si="4252"/>
        <v>0.42904489304007232</v>
      </c>
      <c r="BA530" s="182">
        <f t="shared" si="4252"/>
        <v>0.47123287671232877</v>
      </c>
      <c r="BB530" s="182">
        <f t="shared" si="4252"/>
        <v>0.4789602182967112</v>
      </c>
      <c r="BC530" s="182">
        <f t="shared" si="4252"/>
        <v>0.46146913023884634</v>
      </c>
      <c r="BD530" s="50">
        <f t="shared" si="4252"/>
        <v>0.43101328086571566</v>
      </c>
      <c r="BE530" s="50">
        <f t="shared" si="4252"/>
        <v>0.42010364931980132</v>
      </c>
      <c r="BF530" s="50">
        <f t="shared" si="4252"/>
        <v>0.39042920572274298</v>
      </c>
      <c r="BG530" s="50">
        <f t="shared" si="4252"/>
        <v>0.39762639907371672</v>
      </c>
      <c r="BH530" s="50">
        <f t="shared" si="4252"/>
        <v>0.38653846153846155</v>
      </c>
      <c r="BI530" s="50">
        <f t="shared" si="4252"/>
        <v>0.3834875333228791</v>
      </c>
      <c r="BJ530" s="50">
        <f t="shared" si="4252"/>
        <v>0.40576064908722109</v>
      </c>
      <c r="BK530" s="50">
        <f t="shared" si="4252"/>
        <v>0.40629403475810238</v>
      </c>
      <c r="BL530" s="50">
        <f t="shared" si="4252"/>
        <v>0.36735165088894017</v>
      </c>
      <c r="BM530" s="50">
        <f t="shared" si="4252"/>
        <v>0.38060872293693127</v>
      </c>
      <c r="BN530" s="50">
        <f t="shared" ref="BN530:BO530" si="4253">IF(ISERROR((BN74-BN529)/-BN73),"n.a.",(BN74-BN529)/-BN73)</f>
        <v>0.43068632676022978</v>
      </c>
      <c r="BO530" s="51">
        <f t="shared" si="4253"/>
        <v>0.4201534170153417</v>
      </c>
      <c r="BP530" s="182">
        <f t="shared" ref="BP530:BQ530" si="4254">IF(ISERROR((BP74-BP529)/-BP73),"n.a.",(BP74-BP529)/-BP73)</f>
        <v>0.39883279545548295</v>
      </c>
      <c r="BQ530" s="182">
        <f t="shared" si="4254"/>
        <v>0.39293037664608182</v>
      </c>
      <c r="BR530" s="182">
        <f t="shared" ref="BR530:BS530" si="4255">IF(ISERROR((BR74-BR529)/-BR73),"n.a.",(BR74-BR529)/-BR73)</f>
        <v>0.38687729754169964</v>
      </c>
      <c r="BS530" s="182">
        <f t="shared" si="4255"/>
        <v>0.38226863042685005</v>
      </c>
      <c r="BT530" s="182">
        <f>IF(ISERROR((BT74-BT529)/-BT73),"n.a.",(BT74-BT529)/-BT73)</f>
        <v>0.37867348450124821</v>
      </c>
    </row>
    <row r="531" spans="1:72" ht="12" customHeight="1" outlineLevel="1">
      <c r="A531" s="91" t="s">
        <v>1109</v>
      </c>
      <c r="B531" s="106" t="s">
        <v>1108</v>
      </c>
      <c r="C531" s="182"/>
      <c r="D531" s="182">
        <f t="shared" ref="D531:V531" si="4256">IF(ISERROR((D74)/-D73),"n.a.",(D74)/-D73)</f>
        <v>0.48599033816425119</v>
      </c>
      <c r="E531" s="182">
        <f t="shared" si="4256"/>
        <v>0.45060854797622418</v>
      </c>
      <c r="F531" s="182">
        <f t="shared" si="4256"/>
        <v>0.51789128653373395</v>
      </c>
      <c r="G531" s="182">
        <f t="shared" si="4256"/>
        <v>0.49800199800199801</v>
      </c>
      <c r="H531" s="182">
        <f t="shared" si="4256"/>
        <v>0.50940487203206908</v>
      </c>
      <c r="I531" s="182">
        <f t="shared" si="4256"/>
        <v>0.51290322580645165</v>
      </c>
      <c r="J531" s="182">
        <f t="shared" si="4256"/>
        <v>0.50360183366077271</v>
      </c>
      <c r="K531" s="182">
        <f t="shared" si="4256"/>
        <v>0.48154315847904522</v>
      </c>
      <c r="L531" s="50">
        <f t="shared" si="4256"/>
        <v>0.47023647730361512</v>
      </c>
      <c r="M531" s="50">
        <f t="shared" si="4256"/>
        <v>0.45048282057040195</v>
      </c>
      <c r="N531" s="50">
        <f t="shared" si="4256"/>
        <v>0.45378151260504201</v>
      </c>
      <c r="O531" s="50">
        <f t="shared" si="4256"/>
        <v>0.44174367215749299</v>
      </c>
      <c r="P531" s="50">
        <f t="shared" si="4256"/>
        <v>0.4255359157578037</v>
      </c>
      <c r="Q531" s="50">
        <f t="shared" si="4256"/>
        <v>0.41125181648328835</v>
      </c>
      <c r="R531" s="50">
        <f t="shared" si="4256"/>
        <v>0.43886546569566887</v>
      </c>
      <c r="S531" s="50">
        <f t="shared" si="4256"/>
        <v>0.40594636610959967</v>
      </c>
      <c r="T531" s="50">
        <f t="shared" si="4256"/>
        <v>0.41893644617380027</v>
      </c>
      <c r="U531" s="50">
        <f t="shared" si="4256"/>
        <v>0.40412819120043453</v>
      </c>
      <c r="V531" s="50">
        <f t="shared" si="4256"/>
        <v>0.42092624356775299</v>
      </c>
      <c r="W531" s="50">
        <f t="shared" ref="W531:X531" si="4257">IF(ISERROR((W74)/-W73),"n.a.",(W74)/-W73)</f>
        <v>0.39904679376083191</v>
      </c>
      <c r="X531" s="50">
        <f t="shared" si="4257"/>
        <v>0.43924050632911393</v>
      </c>
      <c r="Y531" s="50">
        <f t="shared" ref="Y531:Z531" si="4258">IF(ISERROR((Y74)/-Y73),"n.a.",(Y74)/-Y73)</f>
        <v>0.42414654454621148</v>
      </c>
      <c r="Z531" s="50">
        <f t="shared" si="4258"/>
        <v>0.47381772060155825</v>
      </c>
      <c r="AA531" s="50">
        <f t="shared" ref="AA531:AB531" si="4259">IF(ISERROR((AA74)/-AA73),"n.a.",(AA74)/-AA73)</f>
        <v>0.4</v>
      </c>
      <c r="AB531" s="50">
        <f t="shared" si="4259"/>
        <v>0.4054331112250128</v>
      </c>
      <c r="AC531" s="50">
        <f t="shared" ref="AC531:AD531" si="4260">IF(ISERROR((AC74)/-AC73),"n.a.",(AC74)/-AC73)</f>
        <v>0.3740546218487395</v>
      </c>
      <c r="AD531" s="50">
        <f t="shared" si="4260"/>
        <v>0.41894712430426717</v>
      </c>
      <c r="AE531" s="50">
        <f t="shared" ref="AE531:AF531" si="4261">IF(ISERROR((AE74)/-AE73),"n.a.",(AE74)/-AE73)</f>
        <v>0.38959801867022292</v>
      </c>
      <c r="AF531" s="50">
        <f t="shared" si="4261"/>
        <v>0.47206068268015172</v>
      </c>
      <c r="AG531" s="50">
        <f t="shared" ref="AG531:AH531" si="4262">IF(ISERROR((AG74)/-AG73),"n.a.",(AG74)/-AG73)</f>
        <v>0.44435780327503621</v>
      </c>
      <c r="AH531" s="50">
        <f t="shared" si="4262"/>
        <v>0.45715676728334959</v>
      </c>
      <c r="AI531" s="50">
        <f t="shared" ref="AI531:AJ531" si="4263">IF(ISERROR((AI74)/-AI73),"n.a.",(AI74)/-AI73)</f>
        <v>0.43416370106761565</v>
      </c>
      <c r="AJ531" s="51">
        <f t="shared" si="4263"/>
        <v>0.4551835231849039</v>
      </c>
      <c r="AK531" s="182">
        <f t="shared" ref="AK531" si="4264">IF(ISERROR((AK74)/-AK73),"n.a.",(AK74)/-AK73)</f>
        <v>0.39409951138853849</v>
      </c>
      <c r="AL531" s="182">
        <f t="shared" ref="AL531:AM531" si="4265">IF(ISERROR((AL74)/-AL73),"n.a.",(AL74)/-AL73)</f>
        <v>0.41949447695924541</v>
      </c>
      <c r="AM531" s="182">
        <f t="shared" si="4265"/>
        <v>0.41324171124138975</v>
      </c>
      <c r="AN531" s="182">
        <f t="shared" ref="AN531:AO531" si="4266">IF(ISERROR((AN74)/-AN73),"n.a.",(AN74)/-AN73)</f>
        <v>0.4155908088936594</v>
      </c>
      <c r="AO531" s="182">
        <f t="shared" si="4266"/>
        <v>0.40448794112070208</v>
      </c>
      <c r="AP531" s="182">
        <f t="shared" ref="AP531:AQ531" si="4267">IF(ISERROR((AP74)/-AP73),"n.a.",(AP74)/-AP73)</f>
        <v>0.41047996473741427</v>
      </c>
      <c r="AQ531" s="182">
        <f t="shared" si="4267"/>
        <v>0.39979374096613202</v>
      </c>
      <c r="AR531" s="182">
        <f t="shared" ref="AR531:AS531" si="4268">IF(ISERROR((AR74)/-AR73),"n.a.",(AR74)/-AR73)</f>
        <v>0.40538090727943837</v>
      </c>
      <c r="AS531" s="182">
        <f t="shared" si="4268"/>
        <v>0.39716864241793337</v>
      </c>
      <c r="AT531" s="182"/>
      <c r="AU531" s="182">
        <f t="shared" ref="AU531:BM531" si="4269">IF(ISERROR((AU74)/-AU73),"n.a.",(AU74)/-AU73)</f>
        <v>0.54504264392324098</v>
      </c>
      <c r="AV531" s="182">
        <f t="shared" si="4269"/>
        <v>0.49813741721854304</v>
      </c>
      <c r="AW531" s="182">
        <f t="shared" si="4269"/>
        <v>0.51984403286450354</v>
      </c>
      <c r="AX531" s="182">
        <f t="shared" si="4269"/>
        <v>0.50642580019398642</v>
      </c>
      <c r="AY531" s="182">
        <f t="shared" si="4269"/>
        <v>0.42689106044154906</v>
      </c>
      <c r="AZ531" s="182">
        <f t="shared" si="4269"/>
        <v>0.46715878276589334</v>
      </c>
      <c r="BA531" s="182">
        <f t="shared" si="4269"/>
        <v>0.50750163078930199</v>
      </c>
      <c r="BB531" s="182">
        <f t="shared" si="4269"/>
        <v>0.51127387620278619</v>
      </c>
      <c r="BC531" s="182">
        <f t="shared" si="4269"/>
        <v>0.49166291122127082</v>
      </c>
      <c r="BD531" s="50">
        <f t="shared" si="4269"/>
        <v>0.45941957697983277</v>
      </c>
      <c r="BE531" s="50">
        <f t="shared" si="4269"/>
        <v>0.44731159576765278</v>
      </c>
      <c r="BF531" s="50">
        <f t="shared" si="4269"/>
        <v>0.41874691662555502</v>
      </c>
      <c r="BG531" s="50">
        <f t="shared" si="4269"/>
        <v>0.42252026244693169</v>
      </c>
      <c r="BH531" s="50">
        <f t="shared" si="4269"/>
        <v>0.41144688644688643</v>
      </c>
      <c r="BI531" s="50">
        <f t="shared" si="4269"/>
        <v>0.40904814175944804</v>
      </c>
      <c r="BJ531" s="50">
        <f t="shared" si="4269"/>
        <v>0.43188640973630832</v>
      </c>
      <c r="BK531" s="50">
        <f t="shared" si="4269"/>
        <v>0.43189290746829495</v>
      </c>
      <c r="BL531" s="50">
        <f t="shared" si="4269"/>
        <v>0.38818979450473334</v>
      </c>
      <c r="BM531" s="50">
        <f t="shared" si="4269"/>
        <v>0.40283443154481746</v>
      </c>
      <c r="BN531" s="50">
        <f t="shared" ref="BN531:BO531" si="4270">IF(ISERROR((BN74)/-BN73),"n.a.",(BN74)/-BN73)</f>
        <v>0.45733404393912475</v>
      </c>
      <c r="BO531" s="51">
        <f t="shared" si="4270"/>
        <v>0.44514179451417946</v>
      </c>
      <c r="BP531" s="182">
        <f t="shared" ref="BP531:BQ531" si="4271">IF(ISERROR((BP74)/-BP73),"n.a.",(BP74)/-BP73)</f>
        <v>0.42254486845792466</v>
      </c>
      <c r="BQ531" s="182">
        <f t="shared" si="4271"/>
        <v>0.41629152919440271</v>
      </c>
      <c r="BR531" s="182">
        <f t="shared" ref="BR531:BS531" si="4272">IF(ISERROR((BR74)/-BR73),"n.a.",(BR74)/-BR73)</f>
        <v>0.40987857232859237</v>
      </c>
      <c r="BS531" s="182">
        <f t="shared" si="4272"/>
        <v>0.40499590304462207</v>
      </c>
      <c r="BT531" s="182">
        <f>IF(ISERROR((BT74)/-BT73),"n.a.",(BT74)/-BT73)</f>
        <v>0.4011870125031971</v>
      </c>
    </row>
    <row r="532" spans="1:72" ht="12" customHeight="1" outlineLevel="1">
      <c r="A532" s="91" t="s">
        <v>598</v>
      </c>
      <c r="B532" s="106" t="s">
        <v>597</v>
      </c>
      <c r="C532" s="185" t="str">
        <f>IF(ISERROR(-C74*C$5/AVERAGE('Divisional Model'!A46:B46)*1000000),"n.a.",-C74*C$5/AVERAGE('Divisional Model'!A46:B46)*1000000)</f>
        <v>n.a.</v>
      </c>
      <c r="D532" s="185">
        <f>IF(ISERROR(-D74*D$5/AVERAGE('Divisional Model'!B46:C46)*1000000),"n.a.",-D74*D$5/AVERAGE('Divisional Model'!B46:C46)*1000000)</f>
        <v>235911.12230448786</v>
      </c>
      <c r="E532" s="185">
        <f>IF(ISERROR(-E74*E$5/AVERAGE('Divisional Model'!C46:D46)*1000000),"n.a.",-E74*E$5/AVERAGE('Divisional Model'!C46:D46)*1000000)</f>
        <v>232919.73392283442</v>
      </c>
      <c r="F532" s="185">
        <f>IF(ISERROR(-F74*F$5/AVERAGE('Divisional Model'!D46:E46)*1000000),"n.a.",-F74*F$5/AVERAGE('Divisional Model'!D46:E46)*1000000)</f>
        <v>250522.64619160618</v>
      </c>
      <c r="G532" s="185">
        <f>IF(ISERROR(-G74*G$5/AVERAGE('Divisional Model'!E46:F46)*1000000),"n.a.",-G74*G$5/AVERAGE('Divisional Model'!E46:F46)*1000000)</f>
        <v>257258.58303297273</v>
      </c>
      <c r="H532" s="185">
        <f>IF(ISERROR(-H74*H$5/AVERAGE('Divisional Model'!F46:G46)*1000000),"n.a.",-H74*H$5/AVERAGE('Divisional Model'!F46:G46)*1000000)</f>
        <v>215637.64521602922</v>
      </c>
      <c r="I532" s="185">
        <f>IF(ISERROR(-I74*I$5/AVERAGE('Divisional Model'!G46:H46)*1000000),"n.a.",-I74*I$5/AVERAGE('Divisional Model'!G46:H46)*1000000)</f>
        <v>260566.74632980544</v>
      </c>
      <c r="J532" s="185">
        <f>IF(ISERROR(-J74*J$5/AVERAGE('Divisional Model'!H46:I46)*1000000),"n.a.",-J74*J$5/AVERAGE('Divisional Model'!H46:I46)*1000000)</f>
        <v>221767.26032281225</v>
      </c>
      <c r="K532" s="322">
        <f>IF(ISERROR(-K74*K$5/AVERAGE('Divisional Model'!I46:J46)*1000000),"n.a.",-K74*K$5/AVERAGE('Divisional Model'!I46:J46)*1000000)</f>
        <v>256545.96822480037</v>
      </c>
      <c r="L532" s="322">
        <f>IF(ISERROR(-L74*L$5/AVERAGE('Divisional Model'!J46:K46)*1000000),"n.a.",-L74*L$5/AVERAGE('Divisional Model'!J46:K46)*1000000)</f>
        <v>250366.16224694758</v>
      </c>
      <c r="M532" s="322">
        <f>IF(ISERROR(-M74*M$5/AVERAGE('Divisional Model'!K46:L46)*1000000),"n.a.",-M74*M$5/AVERAGE('Divisional Model'!K46:L46)*1000000)</f>
        <v>289280.36082706391</v>
      </c>
      <c r="N532" s="322">
        <f>IF(ISERROR(-N74*N$5/AVERAGE('Divisional Model'!L46:M46)*1000000),"n.a.",-N74*N$5/AVERAGE('Divisional Model'!L46:M46)*1000000)</f>
        <v>276451.96600337443</v>
      </c>
      <c r="O532" s="322">
        <f>IF(ISERROR(-O74*O$5/AVERAGE('Divisional Model'!M46:N46)*1000000),"n.a.",-O74*O$5/AVERAGE('Divisional Model'!M46:N46)*1000000)</f>
        <v>312516.91298461659</v>
      </c>
      <c r="P532" s="322">
        <f>IF(ISERROR(-P74*P$5/AVERAGE('Divisional Model'!N46:O46)*1000000),"n.a.",-P74*P$5/AVERAGE('Divisional Model'!N46:O46)*1000000)</f>
        <v>327176.78100263851</v>
      </c>
      <c r="Q532" s="322">
        <f>IF(ISERROR(-Q74*Q$5/AVERAGE('Divisional Model'!O46:P46)*1000000),"n.a.",-Q74*Q$5/AVERAGE('Divisional Model'!O46:P46)*1000000)</f>
        <v>283465.69363955071</v>
      </c>
      <c r="R532" s="322">
        <f>IF(ISERROR(-R74*R$5/AVERAGE('Divisional Model'!P46:Q46)*1000000),"n.a.",-R74*R$5/AVERAGE('Divisional Model'!P46:Q46)*1000000)</f>
        <v>324073.10478202172</v>
      </c>
      <c r="S532" s="322">
        <f>IF(ISERROR(-S74*S$5/AVERAGE('Divisional Model'!Q46:R46)*1000000),"n.a.",-S74*S$5/AVERAGE('Divisional Model'!Q46:R46)*1000000)</f>
        <v>305656.29606230784</v>
      </c>
      <c r="T532" s="322">
        <f>IF(ISERROR(-T74*T$5/AVERAGE('Divisional Model'!R46:S46)*1000000),"n.a.",-T74*T$5/AVERAGE('Divisional Model'!R46:S46)*1000000)</f>
        <v>327224.52626660152</v>
      </c>
      <c r="U532" s="322">
        <f>IF(ISERROR(-U74*U$5/AVERAGE('Divisional Model'!S46:T46)*1000000),"n.a.",-U74*U$5/AVERAGE('Divisional Model'!S46:T46)*1000000)</f>
        <v>311110.90744118264</v>
      </c>
      <c r="V532" s="322">
        <f>IF(ISERROR(-V74*V$5/AVERAGE('Divisional Model'!T46:U46)*1000000),"n.a.",-V74*V$5/AVERAGE('Divisional Model'!T46:U46)*1000000)</f>
        <v>325969.17611364432</v>
      </c>
      <c r="W532" s="322">
        <f>IF(ISERROR(-W74*W$5/AVERAGE('Divisional Model'!U46:V46)*1000000),"n.a.",-W74*W$5/AVERAGE('Divisional Model'!U46:V46)*1000000)</f>
        <v>359548.47475465195</v>
      </c>
      <c r="X532" s="322">
        <f>IF(ISERROR(-X74*X$5/AVERAGE('Divisional Model'!V46:W46)*1000000),"n.a.",-X74*X$5/AVERAGE('Divisional Model'!V46:W46)*1000000)</f>
        <v>354692.39123490703</v>
      </c>
      <c r="Y532" s="322">
        <f>IF(ISERROR(-Y74*Y$5/AVERAGE('Divisional Model'!W46:X46)*1000000),"n.a.",-Y74*Y$5/AVERAGE('Divisional Model'!W46:X46)*1000000)</f>
        <v>322885.30409152852</v>
      </c>
      <c r="Z532" s="322">
        <f>IF(ISERROR(-Z74*Z$5/AVERAGE('Divisional Model'!X46:Y46)*1000000),"n.a.",-Z74*Z$5/AVERAGE('Divisional Model'!X46:Y46)*1000000)</f>
        <v>323906.87051784882</v>
      </c>
      <c r="AA532" s="322">
        <f>IF(ISERROR(-AA74*AA$5/AVERAGE('Divisional Model'!Y46:Z46)*1000000),"n.a.",-AA74*AA$5/AVERAGE('Divisional Model'!Y46:Z46)*1000000)</f>
        <v>354712.48239799211</v>
      </c>
      <c r="AB532" s="322">
        <f>IF(ISERROR(-AB74*AB$5/AVERAGE('Divisional Model'!Z46:AA46)*1000000),"n.a.",-AB74*AB$5/AVERAGE('Divisional Model'!Z46:AA46)*1000000)</f>
        <v>374878.83940321143</v>
      </c>
      <c r="AC532" s="322">
        <f>IF(ISERROR(-AC74*AC$5/AVERAGE('Divisional Model'!AA46:AB46)*1000000),"n.a.",-AC74*AC$5/AVERAGE('Divisional Model'!AA46:AB46)*1000000)</f>
        <v>404140.4523833362</v>
      </c>
      <c r="AD532" s="322">
        <f>IF(ISERROR(-AD74*AD$5/AVERAGE('Divisional Model'!AB46:AC46)*1000000),"n.a.",-AD74*AD$5/AVERAGE('Divisional Model'!AB46:AC46)*1000000)</f>
        <v>385371.63189395936</v>
      </c>
      <c r="AE532" s="322">
        <f>IF(ISERROR(-AE74*AE$5/AVERAGE('Divisional Model'!AC46:AD46)*1000000),"n.a.",-AE74*AE$5/AVERAGE('Divisional Model'!AC46:AD46)*1000000)</f>
        <v>412443.62174594734</v>
      </c>
      <c r="AF532" s="322">
        <f>IF(ISERROR(-AF74*AF$5/AVERAGE('Divisional Model'!AD46:AE46)*1000000),"n.a.",-AF74*AF$5/AVERAGE('Divisional Model'!AD46:AE46)*1000000)</f>
        <v>357500.17951602483</v>
      </c>
      <c r="AG532" s="322">
        <f>IF(ISERROR(-AG74*AG$5/AVERAGE('Divisional Model'!AE46:AF46)*1000000),"n.a.",-AG74*AG$5/AVERAGE('Divisional Model'!AE46:AF46)*1000000)</f>
        <v>380484.54788248759</v>
      </c>
      <c r="AH532" s="322">
        <f>IF(ISERROR(-AH74*AH$5/AVERAGE('Divisional Model'!AF46:AG46)*1000000),"n.a.",-AH74*AH$5/AVERAGE('Divisional Model'!AF46:AG46)*1000000)</f>
        <v>367959.69497463421</v>
      </c>
      <c r="AI532" s="322">
        <f>IF(ISERROR(-AI74*AI$5/AVERAGE('Divisional Model'!AG46:AH46)*1000000),"n.a.",-AI74*AI$5/AVERAGE('Divisional Model'!AG46:AH46)*1000000)</f>
        <v>393558.38692322053</v>
      </c>
      <c r="AJ532" s="186">
        <f>IF(ISERROR(-AJ74*AJ$5/AVERAGE('Divisional Model'!AH46:AI46)*1000000),"n.a.",-AJ74*AJ$5/AVERAGE('Divisional Model'!AH46:AI46)*1000000)</f>
        <v>398947.44229250692</v>
      </c>
      <c r="AK532" s="185">
        <f>IF(ISERROR(-AK74*AK$5/AVERAGE('Divisional Model'!AI46:AJ46)*1000000),"n.a.",-AK74*AK$5/AVERAGE('Divisional Model'!AI46:AJ46)*1000000)</f>
        <v>404823.30628734076</v>
      </c>
      <c r="AL532" s="185">
        <f>IF(ISERROR(-AL74*AL$5/AVERAGE('Divisional Model'!AJ46:AK46)*1000000),"n.a.",-AL74*AL$5/AVERAGE('Divisional Model'!AJ46:AK46)*1000000)</f>
        <v>400210.04745677166</v>
      </c>
      <c r="AM532" s="185">
        <f>IF(ISERROR(-AM74*AM$5/AVERAGE('Divisional Model'!AK46:AL46)*1000000),"n.a.",-AM74*AM$5/AVERAGE('Divisional Model'!AK46:AL46)*1000000)</f>
        <v>414795.68980662007</v>
      </c>
      <c r="AN532" s="185">
        <f>IF(ISERROR(-AN74*AN$5/AVERAGE('Divisional Model'!AL46:AM46)*1000000),"n.a.",-AN74*AN$5/AVERAGE('Divisional Model'!AL46:AM46)*1000000)</f>
        <v>415031.53912950883</v>
      </c>
      <c r="AO532" s="185">
        <f>IF(ISERROR(-AO74*AO$5/AVERAGE('Divisional Model'!AM46:AN46)*1000000),"n.a.",-AO74*AO$5/AVERAGE('Divisional Model'!AM46:AN46)*1000000)</f>
        <v>426467.83480003703</v>
      </c>
      <c r="AP532" s="185">
        <f>IF(ISERROR(-AP74*AP$5/AVERAGE('Divisional Model'!AN46:AO46)*1000000),"n.a.",-AP74*AP$5/AVERAGE('Divisional Model'!AN46:AO46)*1000000)</f>
        <v>424214.90153856151</v>
      </c>
      <c r="AQ532" s="185">
        <f>IF(ISERROR(-AQ74*AQ$5/AVERAGE('Divisional Model'!AO46:AP46)*1000000),"n.a.",-AQ74*AQ$5/AVERAGE('Divisional Model'!AO46:AP46)*1000000)</f>
        <v>436328.20626772882</v>
      </c>
      <c r="AR532" s="185">
        <f>IF(ISERROR(-AR74*AR$5/AVERAGE('Divisional Model'!AP46:AQ46)*1000000),"n.a.",-AR74*AR$5/AVERAGE('Divisional Model'!AP46:AQ46)*1000000)</f>
        <v>434338.57147741003</v>
      </c>
      <c r="AS532" s="185">
        <f>IF(ISERROR(-AS74*AS$5/AVERAGE('Divisional Model'!AQ46:AR46)*1000000),"n.a.",-AS74*AS$5/AVERAGE('Divisional Model'!AQ46:AR46)*1000000)</f>
        <v>444896.21426075423</v>
      </c>
      <c r="AT532" s="41"/>
      <c r="AU532" s="185">
        <f>IF(ISERROR(-AU74*AU$5/AVERAGE('Divisional Model'!P46:Q46)*1000000),"n.a.",-AU74*AU$5/AVERAGE('Divisional Model'!P46:Q46)*1000000)</f>
        <v>145097.20448417767</v>
      </c>
      <c r="AV532" s="185">
        <f>IF(ISERROR(-AV74*AV$5/AVERAGE('Divisional Model'!AT46:AU46)*1000000),"n.a.",-AV74*AV$5/AVERAGE('Divisional Model'!AT46:AU46)*1000000)</f>
        <v>159335.38543011286</v>
      </c>
      <c r="AW532" s="185">
        <f>IF(ISERROR(-AW74*AW$5/AVERAGE('Divisional Model'!AU46:AV46)*1000000),"n.a.",-AW74*AW$5/AVERAGE('Divisional Model'!AU46:AV46)*1000000)</f>
        <v>250890.51683580887</v>
      </c>
      <c r="AX532" s="185">
        <f>IF(ISERROR(-AX74*AX$5/AVERAGE('Divisional Model'!AV46:AW46)*1000000),"n.a.",-AX74*AX$5/AVERAGE('Divisional Model'!AV46:AW46)*1000000)</f>
        <v>299802.61977390992</v>
      </c>
      <c r="AY532" s="185">
        <f>IF(ISERROR(-AY74*AY$5/AVERAGE('Divisional Model'!AW46:AX46)*1000000),"n.a.",-AY74*AY$5/AVERAGE('Divisional Model'!AW46:AX46)*1000000)</f>
        <v>171090.80359733102</v>
      </c>
      <c r="AZ532" s="41">
        <f>IF(ISERROR(-AZ74*AZ$5/AVERAGE('Divisional Model'!AS46:AT46)*1000000),"n.a.",-AZ74*AZ$5/AVERAGE('Divisional Model'!AS46:AT46)*1000000)</f>
        <v>211571.26287780583</v>
      </c>
      <c r="BA532" s="41">
        <f>IF(ISERROR(-BA74*BA$5/AVERAGE('Divisional Model'!AT46:AU46)*1000000),"n.a.",-BA74*BA$5/AVERAGE('Divisional Model'!AT46:AU46)*1000000)</f>
        <v>257505.04749611099</v>
      </c>
      <c r="BB532" s="41">
        <f>IF(ISERROR(-BB74*BB$5/AVERAGE('Divisional Model'!AU46:AV46)*1000000),"n.a.",-BB74*BB$5/AVERAGE('Divisional Model'!AU46:AV46)*1000000)</f>
        <v>239263.39135694603</v>
      </c>
      <c r="BC532" s="41">
        <f>IF(ISERROR(-BC74*BC$5/AVERAGE('Divisional Model'!AV46:AW46)*1000000),"n.a.",-BC74*BC$5/AVERAGE('Divisional Model'!AV46:AW46)*1000000)</f>
        <v>234918.35636102638</v>
      </c>
      <c r="BD532" s="41">
        <f>IF(ISERROR(-BD74*BD$5/AVERAGE('Divisional Model'!AW46:AX46)*1000000),"n.a.",-BD74*BD$5/AVERAGE('Divisional Model'!AW46:AX46)*1000000)</f>
        <v>270960.25529445894</v>
      </c>
      <c r="BE532" s="41">
        <f>IF(ISERROR(-BE74*BE$5/AVERAGE('Divisional Model'!AX46:AY46)*1000000),"n.a.",-BE74*BE$5/AVERAGE('Divisional Model'!AX46:AY46)*1000000)</f>
        <v>295949.71069362096</v>
      </c>
      <c r="BF532" s="41">
        <f>IF(ISERROR(-BF74*BF$5/AVERAGE('Divisional Model'!AY46:AZ46)*1000000),"n.a.",-BF74*BF$5/AVERAGE('Divisional Model'!AY46:AZ46)*1000000)</f>
        <v>298274.58973187616</v>
      </c>
      <c r="BG532" s="41">
        <f>IF(ISERROR(-BG74*BG$5/AVERAGE('Divisional Model'!AZ46:BA46)*1000000),"n.a.",-BG74*BG$5/AVERAGE('Divisional Model'!AZ46:BA46)*1000000)</f>
        <v>313132.39658192999</v>
      </c>
      <c r="BH532" s="41">
        <f>IF(ISERROR(-BH74*BH$5/AVERAGE('Divisional Model'!BA46:BB46)*1000000),"n.a.",-BH74*BH$5/AVERAGE('Divisional Model'!BA46:BB46)*1000000)</f>
        <v>316330.48192346958</v>
      </c>
      <c r="BI532" s="41">
        <f>IF(ISERROR(-BI74*BI$5/AVERAGE('Divisional Model'!BB46:BC46)*1000000),"n.a.",-BI74*BI$5/AVERAGE('Divisional Model'!BB46:BC46)*1000000)</f>
        <v>343088.25463632774</v>
      </c>
      <c r="BJ532" s="41">
        <f>IF(ISERROR(-BJ74*BJ$5/AVERAGE('Divisional Model'!BC46:BD46)*1000000),"n.a.",-BJ74*BJ$5/AVERAGE('Divisional Model'!BC46:BD46)*1000000)</f>
        <v>338494.80143715622</v>
      </c>
      <c r="BK532" s="41">
        <f>IF(ISERROR(-BK74*BK$5/AVERAGE('Divisional Model'!BD46:BE46)*1000000),"n.a.",-BK74*BK$5/AVERAGE('Divisional Model'!BD46:BE46)*1000000)</f>
        <v>341525.31880648754</v>
      </c>
      <c r="BL532" s="41">
        <f>IF(ISERROR(-BL74*BL$5/AVERAGE('Divisional Model'!BE46:BF46)*1000000),"n.a.",-BL74*BL$5/AVERAGE('Divisional Model'!BE46:BF46)*1000000)</f>
        <v>388818.22386679001</v>
      </c>
      <c r="BM532" s="41">
        <f>IF(ISERROR(-BM74*BM$5/AVERAGE('Divisional Model'!BF46:BG46)*1000000),"n.a.",-BM74*BM$5/AVERAGE('Divisional Model'!BF46:BG46)*1000000)</f>
        <v>398685.3682521609</v>
      </c>
      <c r="BN532" s="41">
        <f>IF(ISERROR(-BN74*BN$5/AVERAGE('Divisional Model'!BG46:BH46)*1000000),"n.a.",-BN74*BN$5/AVERAGE('Divisional Model'!BG46:BH46)*1000000)</f>
        <v>375130.54037644202</v>
      </c>
      <c r="BO532" s="42">
        <f>IF(ISERROR(-BO74*BO$5/AVERAGE('Divisional Model'!BI46:BI46)*1000000),"n.a.",-BO74*BO$5/AVERAGE('Divisional Model'!BI46:BI46)*1000000)</f>
        <v>388142.89333671145</v>
      </c>
      <c r="BP532" s="41">
        <f>IF(ISERROR(-BP74*BP$5/AVERAGE('Divisional Model'!BJ46:BJ46)*1000000),"n.a.",-BP74*BP$5/AVERAGE('Divisional Model'!BJ46:BJ46)*1000000)</f>
        <v>412497.21267320449</v>
      </c>
      <c r="BQ532" s="41" t="str">
        <f>IF(ISERROR(-BQ74*BQ$5/AVERAGE('Divisional Model'!#REF!)*1000000),"n.a.",-BQ74*BQ$5/AVERAGE('Divisional Model'!#REF!)*1000000)</f>
        <v>n.a.</v>
      </c>
      <c r="BR532" s="41" t="str">
        <f>IF(ISERROR(-BR74*BR$5/AVERAGE('Divisional Model'!#REF!)*1000000),"n.a.",-BR74*BR$5/AVERAGE('Divisional Model'!#REF!)*1000000)</f>
        <v>n.a.</v>
      </c>
      <c r="BS532" s="41" t="str">
        <f>IF(ISERROR(-BS74*BS$5/AVERAGE('Divisional Model'!#REF!)*1000000),"n.a.",-BS74*BS$5/AVERAGE('Divisional Model'!#REF!)*1000000)</f>
        <v>n.a.</v>
      </c>
      <c r="BT532" s="41" t="str">
        <f>IF(ISERROR(-BT74*BU$5/AVERAGE('Divisional Model'!#REF!)*1000000),"n.a.",-BT74*BU$5/AVERAGE('Divisional Model'!#REF!)*1000000)</f>
        <v>n.a.</v>
      </c>
    </row>
    <row r="533" spans="1:72" ht="12" customHeight="1" outlineLevel="1">
      <c r="A533" s="91" t="s">
        <v>592</v>
      </c>
      <c r="B533" s="106" t="s">
        <v>590</v>
      </c>
      <c r="C533" s="48" t="str">
        <f t="shared" ref="C533:AJ533" si="4273">IF(ISERROR(SUM(C75:C76)*C$5/-AVERAGE(B402:C402)),"n.a.",SUM(C75:C76)*C$5/-AVERAGE(B402:C402))</f>
        <v>n.a.</v>
      </c>
      <c r="D533" s="48">
        <f t="shared" si="4273"/>
        <v>1.4443417606561766E-2</v>
      </c>
      <c r="E533" s="48">
        <f t="shared" si="4273"/>
        <v>1.614689076062855E-2</v>
      </c>
      <c r="F533" s="48">
        <f t="shared" si="4273"/>
        <v>1.6651747195858501E-2</v>
      </c>
      <c r="G533" s="48">
        <f t="shared" si="4273"/>
        <v>1.5694334560214646E-2</v>
      </c>
      <c r="H533" s="48">
        <f t="shared" si="4273"/>
        <v>1.4157757873446981E-2</v>
      </c>
      <c r="I533" s="48">
        <f t="shared" si="4273"/>
        <v>1.4352114134639399E-2</v>
      </c>
      <c r="J533" s="48">
        <f t="shared" si="4273"/>
        <v>1.3031405424396889E-2</v>
      </c>
      <c r="K533" s="37">
        <f t="shared" si="4273"/>
        <v>1.3238122476725775E-2</v>
      </c>
      <c r="L533" s="37">
        <f t="shared" si="4273"/>
        <v>1.5178160243490205E-2</v>
      </c>
      <c r="M533" s="37">
        <f t="shared" si="4273"/>
        <v>1.4964630447736015E-2</v>
      </c>
      <c r="N533" s="37">
        <f t="shared" si="4273"/>
        <v>1.5376736347627771E-2</v>
      </c>
      <c r="O533" s="37">
        <f t="shared" si="4273"/>
        <v>1.5777952136813482E-2</v>
      </c>
      <c r="P533" s="37">
        <f t="shared" si="4273"/>
        <v>1.4466108908846389E-2</v>
      </c>
      <c r="Q533" s="37">
        <f t="shared" si="4273"/>
        <v>1.4192610479370203E-2</v>
      </c>
      <c r="R533" s="37">
        <f t="shared" si="4273"/>
        <v>1.4765317529387662E-2</v>
      </c>
      <c r="S533" s="37">
        <f t="shared" si="4273"/>
        <v>1.5341123488050105E-2</v>
      </c>
      <c r="T533" s="37">
        <f t="shared" si="4273"/>
        <v>1.5329529077294946E-2</v>
      </c>
      <c r="U533" s="37">
        <f t="shared" si="4273"/>
        <v>1.6114053756574452E-2</v>
      </c>
      <c r="V533" s="37">
        <f t="shared" si="4273"/>
        <v>1.679352848012847E-2</v>
      </c>
      <c r="W533" s="37">
        <f t="shared" si="4273"/>
        <v>1.987818926991616E-2</v>
      </c>
      <c r="X533" s="37">
        <f t="shared" si="4273"/>
        <v>1.6335451957090678E-2</v>
      </c>
      <c r="Y533" s="37">
        <f t="shared" si="4273"/>
        <v>1.5518717770152136E-2</v>
      </c>
      <c r="Z533" s="37">
        <f t="shared" si="4273"/>
        <v>1.353639349967835E-2</v>
      </c>
      <c r="AA533" s="37">
        <f t="shared" si="4273"/>
        <v>1.4304874030559817E-2</v>
      </c>
      <c r="AB533" s="37">
        <f t="shared" si="4273"/>
        <v>1.2788496395053771E-2</v>
      </c>
      <c r="AC533" s="37">
        <f t="shared" si="4273"/>
        <v>1.155969540160365E-2</v>
      </c>
      <c r="AD533" s="37">
        <f t="shared" si="4273"/>
        <v>8.930655228735488E-3</v>
      </c>
      <c r="AE533" s="37">
        <f t="shared" si="4273"/>
        <v>1.1210363067424567E-2</v>
      </c>
      <c r="AF533" s="37">
        <f t="shared" si="4273"/>
        <v>1.116981440727137E-2</v>
      </c>
      <c r="AG533" s="37">
        <f t="shared" si="4273"/>
        <v>1.0792006997511271E-2</v>
      </c>
      <c r="AH533" s="37">
        <f t="shared" si="4273"/>
        <v>1.0551742904026572E-2</v>
      </c>
      <c r="AI533" s="37">
        <f t="shared" si="4273"/>
        <v>1.0812184176650587E-2</v>
      </c>
      <c r="AJ533" s="38">
        <f t="shared" si="4273"/>
        <v>9.7984577548858812E-3</v>
      </c>
      <c r="AK533" s="48">
        <f t="shared" ref="AK533" si="4274">IF(ISERROR(SUM(AK75:AK76)*AK$5/-AVERAGE(AJ402:AK402)),"n.a.",SUM(AK75:AK76)*AK$5/-AVERAGE(AJ402:AK402))</f>
        <v>9.7811062968521933E-3</v>
      </c>
      <c r="AL533" s="48">
        <f t="shared" ref="AL533" si="4275">IF(ISERROR(SUM(AL75:AL76)*AL$5/-AVERAGE(AK402:AL402)),"n.a.",SUM(AL75:AL76)*AL$5/-AVERAGE(AK402:AL402))</f>
        <v>8.4564501597993117E-3</v>
      </c>
      <c r="AM533" s="48">
        <f t="shared" ref="AM533" si="4276">IF(ISERROR(SUM(AM75:AM76)*AM$5/-AVERAGE(AL402:AM402)),"n.a.",SUM(AM75:AM76)*AM$5/-AVERAGE(AL402:AM402))</f>
        <v>8.7028960983284963E-3</v>
      </c>
      <c r="AN533" s="48">
        <f t="shared" ref="AN533" si="4277">IF(ISERROR(SUM(AN75:AN76)*AN$5/-AVERAGE(AM402:AN402)),"n.a.",SUM(AN75:AN76)*AN$5/-AVERAGE(AM402:AN402))</f>
        <v>7.8190452313009681E-3</v>
      </c>
      <c r="AO533" s="48">
        <f t="shared" ref="AO533" si="4278">IF(ISERROR(SUM(AO75:AO76)*AO$5/-AVERAGE(AN402:AO402)),"n.a.",SUM(AO75:AO76)*AO$5/-AVERAGE(AN402:AO402))</f>
        <v>8.1590214638365445E-3</v>
      </c>
      <c r="AP533" s="48">
        <f t="shared" ref="AP533" si="4279">IF(ISERROR(SUM(AP75:AP76)*AP$5/-AVERAGE(AO402:AP402)),"n.a.",SUM(AP75:AP76)*AP$5/-AVERAGE(AO402:AP402))</f>
        <v>7.4737653234356717E-3</v>
      </c>
      <c r="AQ533" s="48">
        <f t="shared" ref="AQ533" si="4280">IF(ISERROR(SUM(AQ75:AQ76)*AQ$5/-AVERAGE(AP402:AQ402)),"n.a.",SUM(AQ75:AQ76)*AQ$5/-AVERAGE(AP402:AQ402))</f>
        <v>7.9420731679233358E-3</v>
      </c>
      <c r="AR533" s="48">
        <f t="shared" ref="AR533" si="4281">IF(ISERROR(SUM(AR75:AR76)*AR$5/-AVERAGE(AQ402:AR402)),"n.a.",SUM(AR75:AR76)*AR$5/-AVERAGE(AQ402:AR402))</f>
        <v>7.2334869336602567E-3</v>
      </c>
      <c r="AS533" s="48">
        <f t="shared" ref="AS533" si="4282">IF(ISERROR(SUM(AS75:AS76)*AS$5/-AVERAGE(AR402:AS402)),"n.a.",SUM(AS75:AS76)*AS$5/-AVERAGE(AR402:AS402))</f>
        <v>7.7448247204046552E-3</v>
      </c>
      <c r="AT533" s="19"/>
      <c r="AU533" s="48">
        <f t="shared" ref="AU533:BM533" si="4283">IF(ISERROR(SUM(AU75:AU76)*AU$5/-AVERAGE(AT402:AU402)),"n.a.",SUM(AU75:AU76)*AU$5/-AVERAGE(AT402:AU402))</f>
        <v>8.0759046778464249E-3</v>
      </c>
      <c r="AV533" s="48">
        <f t="shared" si="4283"/>
        <v>1.306611707837948E-2</v>
      </c>
      <c r="AW533" s="48">
        <f t="shared" si="4283"/>
        <v>1.2530915086562242E-2</v>
      </c>
      <c r="AX533" s="48">
        <f t="shared" si="4283"/>
        <v>1.2290911246578997E-2</v>
      </c>
      <c r="AY533" s="48">
        <f t="shared" si="4283"/>
        <v>1.3767644139901515E-2</v>
      </c>
      <c r="AZ533" s="48">
        <f t="shared" si="4283"/>
        <v>1.5202450827560965E-2</v>
      </c>
      <c r="BA533" s="48">
        <f t="shared" si="4283"/>
        <v>1.6500388787115992E-2</v>
      </c>
      <c r="BB533" s="48">
        <f t="shared" si="4283"/>
        <v>1.5128826391254331E-2</v>
      </c>
      <c r="BC533" s="48">
        <f t="shared" si="4283"/>
        <v>1.3265230884728562E-2</v>
      </c>
      <c r="BD533" s="37">
        <f t="shared" si="4283"/>
        <v>1.5335574514819924E-2</v>
      </c>
      <c r="BE533" s="37">
        <f t="shared" si="4283"/>
        <v>1.5192465192465192E-2</v>
      </c>
      <c r="BF533" s="37">
        <f t="shared" si="4283"/>
        <v>1.495070581783116E-2</v>
      </c>
      <c r="BG533" s="37">
        <f t="shared" si="4283"/>
        <v>1.5177856450457284E-2</v>
      </c>
      <c r="BH533" s="37">
        <f t="shared" si="4283"/>
        <v>1.5836366454481804E-2</v>
      </c>
      <c r="BI533" s="37">
        <f t="shared" si="4283"/>
        <v>1.8864917935036831E-2</v>
      </c>
      <c r="BJ533" s="37">
        <f t="shared" si="4283"/>
        <v>1.5645153111282104E-2</v>
      </c>
      <c r="BK533" s="37">
        <f t="shared" si="4283"/>
        <v>1.3361119143293018E-2</v>
      </c>
      <c r="BL533" s="37">
        <f t="shared" si="4283"/>
        <v>1.259248575979058E-2</v>
      </c>
      <c r="BM533" s="37">
        <f t="shared" si="4283"/>
        <v>1.1249631534544271E-2</v>
      </c>
      <c r="BN533" s="37">
        <f t="shared" ref="BN533:BS533" si="4284">IF(ISERROR(SUM(BN75:BN76)*BN$5/-AVERAGE(BN402:BN402)),"n.a.",SUM(BN75:BN76)*BN$5/-AVERAGE(BN402:BN402))</f>
        <v>1.0753487818663176E-2</v>
      </c>
      <c r="BO533" s="38">
        <f t="shared" si="4284"/>
        <v>1.006241843938179E-2</v>
      </c>
      <c r="BP533" s="48">
        <f t="shared" si="4284"/>
        <v>9.1800794330816372E-3</v>
      </c>
      <c r="BQ533" s="48">
        <f t="shared" si="4284"/>
        <v>8.1586182969198631E-3</v>
      </c>
      <c r="BR533" s="48">
        <f t="shared" si="4284"/>
        <v>7.6968809559446877E-3</v>
      </c>
      <c r="BS533" s="48">
        <f t="shared" si="4284"/>
        <v>7.4600852794368027E-3</v>
      </c>
      <c r="BT533" s="48">
        <f>IF(ISERROR(SUM(BT75:BT76)*BU$5/-AVERAGE(BT402:BT402)),"n.a.",SUM(BT75:BT76)*BU$5/-AVERAGE(BT402:BT402))</f>
        <v>0</v>
      </c>
    </row>
    <row r="534" spans="1:72" ht="12" customHeight="1" outlineLevel="1">
      <c r="A534" s="91" t="s">
        <v>341</v>
      </c>
      <c r="B534" s="1" t="s">
        <v>342</v>
      </c>
      <c r="C534" s="182" t="str">
        <f t="shared" ref="C534:V534" si="4285">IF(ISERROR(SUM(C74:C76)/-C73),"n.a.",SUM(C74:C76)/-C73)</f>
        <v>n.a.</v>
      </c>
      <c r="D534" s="182">
        <f t="shared" si="4285"/>
        <v>0.8286634460547504</v>
      </c>
      <c r="E534" s="182">
        <f t="shared" si="4285"/>
        <v>0.7843192754033399</v>
      </c>
      <c r="F534" s="182">
        <f t="shared" si="4285"/>
        <v>0.86451789128653378</v>
      </c>
      <c r="G534" s="182">
        <f t="shared" si="4285"/>
        <v>0.80644355644355648</v>
      </c>
      <c r="H534" s="182">
        <f t="shared" si="4285"/>
        <v>0.87203206907184705</v>
      </c>
      <c r="I534" s="182">
        <f t="shared" si="4285"/>
        <v>0.8295698924731183</v>
      </c>
      <c r="J534" s="182">
        <f t="shared" si="4285"/>
        <v>0.83071381794368038</v>
      </c>
      <c r="K534" s="50">
        <f t="shared" si="4285"/>
        <v>0.75353871773522063</v>
      </c>
      <c r="L534" s="50">
        <f t="shared" si="4285"/>
        <v>0.77983147594455016</v>
      </c>
      <c r="M534" s="50">
        <f t="shared" si="4285"/>
        <v>0.70896025151583197</v>
      </c>
      <c r="N534" s="50">
        <f t="shared" si="4285"/>
        <v>0.73832866479925308</v>
      </c>
      <c r="O534" s="50">
        <f t="shared" si="4285"/>
        <v>0.71856167135395743</v>
      </c>
      <c r="P534" s="50">
        <f t="shared" si="4285"/>
        <v>0.69556224144415191</v>
      </c>
      <c r="Q534" s="50">
        <f t="shared" si="4285"/>
        <v>0.71019306622379075</v>
      </c>
      <c r="R534" s="50">
        <f t="shared" si="4285"/>
        <v>0.71540820237638947</v>
      </c>
      <c r="S534" s="50">
        <f t="shared" si="4285"/>
        <v>0.68538670812281388</v>
      </c>
      <c r="T534" s="50">
        <f t="shared" si="4285"/>
        <v>0.68426903835464148</v>
      </c>
      <c r="U534" s="50">
        <f t="shared" si="4285"/>
        <v>0.68133260908926307</v>
      </c>
      <c r="V534" s="50">
        <f t="shared" si="4285"/>
        <v>0.70754716981132071</v>
      </c>
      <c r="W534" s="50">
        <f t="shared" ref="W534:X534" si="4286">IF(ISERROR(SUM(W74:W76)/-W73),"n.a.",SUM(W74:W76)/-W73)</f>
        <v>0.68775274407856735</v>
      </c>
      <c r="X534" s="50">
        <f t="shared" si="4286"/>
        <v>0.70886075949367089</v>
      </c>
      <c r="Y534" s="50">
        <f t="shared" ref="Y534:Z534" si="4287">IF(ISERROR(SUM(Y74:Y76)/-Y73),"n.a.",SUM(Y74:Y76)/-Y73)</f>
        <v>0.73122398001665279</v>
      </c>
      <c r="Z534" s="50">
        <f t="shared" si="4287"/>
        <v>0.77296611705019025</v>
      </c>
      <c r="AA534" s="50">
        <f t="shared" ref="AA534:AB534" si="4288">IF(ISERROR(SUM(AA74:AA76)/-AA73),"n.a.",SUM(AA74:AA76)/-AA73)</f>
        <v>0.6341833218470021</v>
      </c>
      <c r="AB534" s="50">
        <f t="shared" si="4288"/>
        <v>0.64953869810353659</v>
      </c>
      <c r="AC534" s="50">
        <f t="shared" ref="AC534:AD534" si="4289">IF(ISERROR(SUM(AC74:AC76)/-AC73),"n.a.",SUM(AC74:AC76)/-AC73)</f>
        <v>0.60042016806722687</v>
      </c>
      <c r="AD534" s="50">
        <f t="shared" si="4289"/>
        <v>0.64888682745825599</v>
      </c>
      <c r="AE534" s="50">
        <f t="shared" ref="AE534:AF534" si="4290">IF(ISERROR(SUM(AE74:AE76)/-AE73),"n.a.",SUM(AE74:AE76)/-AE73)</f>
        <v>0.62240426747951993</v>
      </c>
      <c r="AF534" s="50">
        <f t="shared" si="4290"/>
        <v>0.74829329962073321</v>
      </c>
      <c r="AG534" s="50">
        <f t="shared" ref="AG534:AH534" si="4291">IF(ISERROR(SUM(AG74:AG76)/-AG73),"n.a.",SUM(AG74:AG76)/-AG73)</f>
        <v>0.6841929375069622</v>
      </c>
      <c r="AH534" s="50">
        <f t="shared" si="4291"/>
        <v>0.7204235637779941</v>
      </c>
      <c r="AI534" s="50">
        <f t="shared" ref="AI534:AJ534" si="4292">IF(ISERROR(SUM(AI74:AI76)/-AI73),"n.a.",SUM(AI74:AI76)/-AI73)</f>
        <v>0.69183718861209964</v>
      </c>
      <c r="AJ534" s="51">
        <f t="shared" si="4292"/>
        <v>0.71786905994707173</v>
      </c>
      <c r="AK534" s="182">
        <f t="shared" ref="AK534" si="4293">IF(ISERROR(SUM(AK74:AK76)/-AK73),"n.a.",SUM(AK74:AK76)/-AK73)</f>
        <v>0.63815260611300106</v>
      </c>
      <c r="AL534" s="182">
        <f t="shared" ref="AL534:AM534" si="4294">IF(ISERROR(SUM(AL74:AL76)/-AL73),"n.a.",SUM(AL74:AL76)/-AL73)</f>
        <v>0.66393985056332638</v>
      </c>
      <c r="AM534" s="182">
        <f t="shared" si="4294"/>
        <v>0.66426135582749679</v>
      </c>
      <c r="AN534" s="182">
        <f t="shared" ref="AN534:AO534" si="4295">IF(ISERROR(SUM(AN74:AN76)/-AN73),"n.a.",SUM(AN74:AN76)/-AN73)</f>
        <v>0.65188672544746129</v>
      </c>
      <c r="AO534" s="182">
        <f t="shared" si="4295"/>
        <v>0.6463857364538097</v>
      </c>
      <c r="AP534" s="182">
        <f t="shared" ref="AP534:AQ534" si="4296">IF(ISERROR(SUM(AP74:AP76)/-AP73),"n.a.",SUM(AP74:AP76)/-AP73)</f>
        <v>0.64385229312660985</v>
      </c>
      <c r="AQ534" s="182">
        <f t="shared" si="4296"/>
        <v>0.64173242664916264</v>
      </c>
      <c r="AR534" s="182">
        <f t="shared" ref="AR534:AS534" si="4297">IF(ISERROR(SUM(AR74:AR76)/-AR73),"n.a.",SUM(AR74:AR76)/-AR73)</f>
        <v>0.63645634110831473</v>
      </c>
      <c r="AS534" s="182">
        <f t="shared" si="4297"/>
        <v>0.64074792816255266</v>
      </c>
      <c r="AT534" s="19"/>
      <c r="AU534" s="182">
        <f t="shared" ref="AU534:BM534" si="4298">IF(ISERROR(SUM(AU74:AU76)/-AU73),"n.a.",SUM(AU74:AU76)/-AU73)</f>
        <v>0.69136460554371004</v>
      </c>
      <c r="AV534" s="182">
        <f t="shared" si="4298"/>
        <v>0.73365066225165565</v>
      </c>
      <c r="AW534" s="182">
        <f t="shared" si="4298"/>
        <v>0.7315137167525414</v>
      </c>
      <c r="AX534" s="182">
        <f t="shared" si="4298"/>
        <v>0.73266246362754606</v>
      </c>
      <c r="AY534" s="182">
        <f t="shared" si="4298"/>
        <v>0.82102786825913865</v>
      </c>
      <c r="AZ534" s="182">
        <f t="shared" si="4298"/>
        <v>0.80506176559204579</v>
      </c>
      <c r="BA534" s="182">
        <f t="shared" si="4298"/>
        <v>0.83418134377038489</v>
      </c>
      <c r="BB534" s="182">
        <f t="shared" si="4298"/>
        <v>0.8493465460290105</v>
      </c>
      <c r="BC534" s="182">
        <f t="shared" si="4298"/>
        <v>0.7889439687546943</v>
      </c>
      <c r="BD534" s="50">
        <f t="shared" si="4298"/>
        <v>0.74102311854402358</v>
      </c>
      <c r="BE534" s="50">
        <f t="shared" si="4298"/>
        <v>0.72770459943856614</v>
      </c>
      <c r="BF534" s="50">
        <f t="shared" si="4298"/>
        <v>0.702516033547114</v>
      </c>
      <c r="BG534" s="50">
        <f t="shared" si="4298"/>
        <v>0.70050173678116556</v>
      </c>
      <c r="BH534" s="50">
        <f t="shared" si="4298"/>
        <v>0.6827838827838828</v>
      </c>
      <c r="BI534" s="50">
        <f t="shared" si="4298"/>
        <v>0.6968010036067116</v>
      </c>
      <c r="BJ534" s="50">
        <f t="shared" si="4298"/>
        <v>0.71975659229208921</v>
      </c>
      <c r="BK534" s="50">
        <f t="shared" si="4298"/>
        <v>0.6941443557225615</v>
      </c>
      <c r="BL534" s="50">
        <f t="shared" si="4298"/>
        <v>0.62254675594550912</v>
      </c>
      <c r="BM534" s="50">
        <f t="shared" si="4298"/>
        <v>0.63434787156155215</v>
      </c>
      <c r="BN534" s="50">
        <f t="shared" ref="BN534:BO534" si="4299">IF(ISERROR(SUM(BN74:BN76)/-BN73),"n.a.",SUM(BN74:BN76)/-BN73)</f>
        <v>0.71421803754367263</v>
      </c>
      <c r="BO534" s="51">
        <f t="shared" si="4299"/>
        <v>0.70548582054858211</v>
      </c>
      <c r="BP534" s="182">
        <f t="shared" ref="BP534:BQ534" si="4300">IF(ISERROR(SUM(BP74:BP76)/-BP73),"n.a.",SUM(BP74:BP76)/-BP73)</f>
        <v>0.67527464389229275</v>
      </c>
      <c r="BQ534" s="182">
        <f t="shared" si="4300"/>
        <v>0.66410454001655805</v>
      </c>
      <c r="BR534" s="182">
        <f t="shared" ref="BR534:BS534" si="4301">IF(ISERROR(SUM(BR74:BR76)/-BR73),"n.a.",SUM(BR74:BR76)/-BR73)</f>
        <v>0.64905656020401825</v>
      </c>
      <c r="BS534" s="182">
        <f t="shared" si="4301"/>
        <v>0.64276439914351313</v>
      </c>
      <c r="BT534" s="182">
        <f>IF(ISERROR(SUM(BT74:BT76)/-BT73),"n.a.",SUM(BT74:BT76)/-BT73)</f>
        <v>0.63864799771365888</v>
      </c>
    </row>
    <row r="535" spans="1:72" ht="12" customHeight="1" outlineLevel="1">
      <c r="A535" s="91" t="s">
        <v>343</v>
      </c>
      <c r="B535" s="1" t="s">
        <v>344</v>
      </c>
      <c r="C535" s="50" t="str">
        <f t="shared" ref="C535:AJ535" si="4302">IF(ISERROR((C73/B73-1)-(SUM(C74:C76)/SUM(B74:B76)-1)),"n.a.",(C73/B73-1)-(SUM(C74:C76)/SUM(B74:B76)-1))</f>
        <v>n.a.</v>
      </c>
      <c r="D535" s="50" t="str">
        <f t="shared" si="4302"/>
        <v>n.a.</v>
      </c>
      <c r="E535" s="50">
        <f t="shared" si="4302"/>
        <v>6.0889216833048376E-2</v>
      </c>
      <c r="F535" s="50">
        <f t="shared" si="4302"/>
        <v>-0.10595710312102957</v>
      </c>
      <c r="G535" s="50">
        <f t="shared" si="4302"/>
        <v>7.3469079529630665E-2</v>
      </c>
      <c r="H535" s="50">
        <f t="shared" si="4302"/>
        <v>-6.5872885244207646E-2</v>
      </c>
      <c r="I535" s="50">
        <f t="shared" si="4302"/>
        <v>5.5855479825767773E-2</v>
      </c>
      <c r="J535" s="50">
        <f t="shared" si="4302"/>
        <v>-1.1320636380741655E-3</v>
      </c>
      <c r="K535" s="50">
        <f t="shared" si="4302"/>
        <v>0.10960263541627135</v>
      </c>
      <c r="L535" s="50">
        <f t="shared" si="4302"/>
        <v>-3.5628382118645829E-2</v>
      </c>
      <c r="M535" s="50">
        <f t="shared" si="4302"/>
        <v>0.10999984746639324</v>
      </c>
      <c r="N535" s="50">
        <f t="shared" si="4302"/>
        <v>-3.9852480996571238E-2</v>
      </c>
      <c r="O535" s="50">
        <f t="shared" si="4302"/>
        <v>3.1109735494998958E-2</v>
      </c>
      <c r="P535" s="50">
        <f t="shared" si="4302"/>
        <v>3.4193728895819175E-2</v>
      </c>
      <c r="Q535" s="50">
        <f t="shared" si="4302"/>
        <v>-1.9052901585163595E-2</v>
      </c>
      <c r="R535" s="50">
        <f t="shared" si="4302"/>
        <v>-7.95456896938318E-3</v>
      </c>
      <c r="S535" s="50">
        <f t="shared" si="4302"/>
        <v>4.1385108338842791E-2</v>
      </c>
      <c r="T535" s="50">
        <f t="shared" si="4302"/>
        <v>1.7102533991568691E-3</v>
      </c>
      <c r="U535" s="50">
        <f t="shared" si="4302"/>
        <v>4.3915241897332091E-3</v>
      </c>
      <c r="V535" s="50">
        <f t="shared" si="4302"/>
        <v>-4.0614108160934359E-2</v>
      </c>
      <c r="W535" s="50">
        <f t="shared" si="4302"/>
        <v>3.3225843339050876E-2</v>
      </c>
      <c r="X535" s="50">
        <f t="shared" si="4302"/>
        <v>-2.8013997778969957E-2</v>
      </c>
      <c r="Y535" s="50">
        <f t="shared" si="4302"/>
        <v>-2.9975700723327336E-2</v>
      </c>
      <c r="Z535" s="50">
        <f t="shared" si="4302"/>
        <v>-5.2465236685969696E-2</v>
      </c>
      <c r="AA535" s="50">
        <f t="shared" si="4302"/>
        <v>0.23602184228765344</v>
      </c>
      <c r="AB535" s="50">
        <f t="shared" si="4302"/>
        <v>-2.6045067660507737E-2</v>
      </c>
      <c r="AC535" s="50">
        <f t="shared" si="4302"/>
        <v>9.2248649821595752E-2</v>
      </c>
      <c r="AD535" s="50">
        <f t="shared" si="4302"/>
        <v>-7.3123945169390359E-2</v>
      </c>
      <c r="AE535" s="50">
        <f t="shared" si="4302"/>
        <v>4.9680828208858552E-2</v>
      </c>
      <c r="AF535" s="50">
        <f t="shared" si="4302"/>
        <v>-0.1524000985976427</v>
      </c>
      <c r="AG535" s="50">
        <f t="shared" si="4302"/>
        <v>9.7217258100240178E-2</v>
      </c>
      <c r="AH535" s="50">
        <f t="shared" si="4302"/>
        <v>-4.8464803881927421E-2</v>
      </c>
      <c r="AI535" s="50">
        <f t="shared" si="4302"/>
        <v>4.3427721826613253E-2</v>
      </c>
      <c r="AJ535" s="51">
        <f t="shared" si="4302"/>
        <v>-3.6367624782549846E-2</v>
      </c>
      <c r="AK535" s="50">
        <f t="shared" ref="AK535" si="4303">IF(ISERROR((AK73/AJ73-1)-(SUM(AK74:AK76)/SUM(AJ74:AJ76)-1)),"n.a.",(AK73/AJ73-1)-(SUM(AK74:AK76)/SUM(AJ74:AJ76)-1))</f>
        <v>0.1274158910139338</v>
      </c>
      <c r="AL535" s="50">
        <f t="shared" ref="AL535" si="4304">IF(ISERROR((AL73/AK73-1)-(SUM(AL74:AL76)/SUM(AK74:AK76)-1)),"n.a.",(AL73/AK73-1)-(SUM(AL74:AL76)/SUM(AK74:AK76)-1))</f>
        <v>-3.7122748788792403E-2</v>
      </c>
      <c r="AM535" s="50">
        <f t="shared" ref="AM535" si="4305">IF(ISERROR((AM73/AL73-1)-(SUM(AM74:AM76)/SUM(AL74:AL76)-1)),"n.a.",(AM73/AL73-1)-(SUM(AM74:AM76)/SUM(AL74:AL76)-1))</f>
        <v>-5.0855191182486159E-4</v>
      </c>
      <c r="AN535" s="50">
        <f t="shared" ref="AN535" si="4306">IF(ISERROR((AN73/AM73-1)-(SUM(AN74:AN76)/SUM(AM74:AM76)-1)),"n.a.",(AN73/AM73-1)-(SUM(AN74:AN76)/SUM(AM74:AM76)-1))</f>
        <v>1.8653656192646806E-2</v>
      </c>
      <c r="AO535" s="50">
        <f t="shared" ref="AO535" si="4307">IF(ISERROR((AO73/AN73-1)-(SUM(AO74:AO76)/SUM(AN74:AN76)-1)),"n.a.",(AO73/AN73-1)-(SUM(AO74:AO76)/SUM(AN74:AN76)-1))</f>
        <v>8.9420110502376193E-3</v>
      </c>
      <c r="AP535" s="50">
        <f t="shared" ref="AP535" si="4308">IF(ISERROR((AP73/AO73-1)-(SUM(AP74:AP76)/SUM(AO74:AO76)-1)),"n.a.",(AP73/AO73-1)-(SUM(AP74:AP76)/SUM(AO74:AO76)-1))</f>
        <v>3.866596170534975E-3</v>
      </c>
      <c r="AQ535" s="50">
        <f t="shared" ref="AQ535" si="4309">IF(ISERROR((AQ73/AP73-1)-(SUM(AQ74:AQ76)/SUM(AP74:AP76)-1)),"n.a.",(AQ73/AP73-1)-(SUM(AQ74:AQ76)/SUM(AP74:AP76)-1))</f>
        <v>3.4708889051486835E-3</v>
      </c>
      <c r="AR535" s="50">
        <f t="shared" ref="AR535" si="4310">IF(ISERROR((AR73/AQ73-1)-(SUM(AR74:AR76)/SUM(AQ74:AQ76)-1)),"n.a.",(AR73/AQ73-1)-(SUM(AR74:AR76)/SUM(AQ74:AQ76)-1))</f>
        <v>8.1460501606985813E-3</v>
      </c>
      <c r="AS535" s="50">
        <f t="shared" ref="AS535" si="4311">IF(ISERROR((AS73/AR73-1)-(SUM(AS74:AS76)/SUM(AR74:AR76)-1)),"n.a.",(AS73/AR73-1)-(SUM(AS74:AS76)/SUM(AR74:AR76)-1))</f>
        <v>-7.0374756735498423E-3</v>
      </c>
      <c r="AT535" s="19"/>
      <c r="AU535" s="50" t="str">
        <f t="shared" ref="AU535:BM535" si="4312">IF(ISERROR((AU73/AT73-1)-(SUM(AU74:AU76)/SUM(AT74:AT76)-1)),"n.a.",(AU73/AT73-1)-(SUM(AU74:AU76)/SUM(AT74:AT76)-1))</f>
        <v>n.a.</v>
      </c>
      <c r="AV535" s="50">
        <f t="shared" si="4312"/>
        <v>-7.8768784122125401E-2</v>
      </c>
      <c r="AW535" s="50">
        <f t="shared" si="4312"/>
        <v>4.3287462987697811E-3</v>
      </c>
      <c r="AX535" s="50">
        <f t="shared" si="4312"/>
        <v>-1.80370535409069E-3</v>
      </c>
      <c r="AY535" s="50">
        <f t="shared" si="4312"/>
        <v>-8.0805432069200767E-2</v>
      </c>
      <c r="AZ535" s="50">
        <f t="shared" si="4312"/>
        <v>2.3359706745462283E-2</v>
      </c>
      <c r="BA535" s="50">
        <f t="shared" si="4312"/>
        <v>-4.1766760242696099E-2</v>
      </c>
      <c r="BB535" s="50">
        <f t="shared" si="4312"/>
        <v>-1.6514748721740746E-2</v>
      </c>
      <c r="BC535" s="50">
        <f t="shared" si="4312"/>
        <v>6.7991200019466125E-2</v>
      </c>
      <c r="BD535" s="50">
        <f t="shared" si="4312"/>
        <v>7.4198848802965456E-2</v>
      </c>
      <c r="BE535" s="50">
        <f t="shared" si="4312"/>
        <v>2.0470647851766666E-2</v>
      </c>
      <c r="BF535" s="50">
        <f t="shared" si="4312"/>
        <v>3.7876278235885463E-2</v>
      </c>
      <c r="BG535" s="50">
        <f t="shared" si="4312"/>
        <v>2.9320465845912302E-3</v>
      </c>
      <c r="BH535" s="50">
        <f t="shared" si="4312"/>
        <v>2.6649995268640092E-2</v>
      </c>
      <c r="BI535" s="50">
        <f t="shared" si="4312"/>
        <v>-2.3977247716518102E-2</v>
      </c>
      <c r="BJ535" s="50">
        <f t="shared" si="4312"/>
        <v>-3.1836123612836609E-2</v>
      </c>
      <c r="BK535" s="50">
        <f t="shared" si="4312"/>
        <v>3.6880927735221225E-2</v>
      </c>
      <c r="BL535" s="50">
        <f t="shared" si="4312"/>
        <v>0.13988460793251978</v>
      </c>
      <c r="BM535" s="50">
        <f t="shared" si="4312"/>
        <v>-2.0923591359292892E-2</v>
      </c>
      <c r="BN535" s="50">
        <f t="shared" ref="BN535" si="4313">IF(ISERROR((BN73/BM73-1)-(SUM(BN74:BN76)/SUM(BM74:BM76)-1)),"n.a.",(BN73/BM73-1)-(SUM(BN74:BN76)/SUM(BM74:BM76)-1))</f>
        <v>-0.11119270345754895</v>
      </c>
      <c r="BO535" s="51">
        <f t="shared" ref="BO535" si="4314">IF(ISERROR((BO73/BN73-1)-(SUM(BO74:BO76)/SUM(BN74:BN76)-1)),"n.a.",(BO73/BN73-1)-(SUM(BO74:BO76)/SUM(BN74:BN76)-1))</f>
        <v>1.2458667610605989E-2</v>
      </c>
      <c r="BP535" s="50">
        <f t="shared" ref="BP535:BT535" si="4315">IF(ISERROR((BP73/BO73-1)-(SUM(BP74:BP76)/SUM(BO74:BO76)-1)),"n.a.",(BP73/BO73-1)-(SUM(BP74:BP76)/SUM(BO74:BO76)-1))</f>
        <v>4.6444561420311059E-2</v>
      </c>
      <c r="BQ535" s="50">
        <f t="shared" si="4315"/>
        <v>1.6647132775978624E-2</v>
      </c>
      <c r="BR535" s="50">
        <f t="shared" si="4315"/>
        <v>2.3937881702580155E-2</v>
      </c>
      <c r="BS535" s="50">
        <f t="shared" si="4315"/>
        <v>1.0107367961928793E-2</v>
      </c>
      <c r="BT535" s="50">
        <f t="shared" si="4315"/>
        <v>6.654971896161932E-3</v>
      </c>
    </row>
    <row r="536" spans="1:72" ht="12" customHeight="1" outlineLevel="1">
      <c r="A536" s="91" t="s">
        <v>600</v>
      </c>
      <c r="B536" s="106" t="s">
        <v>599</v>
      </c>
      <c r="C536" s="185" t="str">
        <f>IF(ISERROR(C81*C$5/AVERAGE('Divisional Model'!A46:B46)*1000000),"n.a.",C81*C$5/AVERAGE('Divisional Model'!A46:B46)*1000000)</f>
        <v>n.a.</v>
      </c>
      <c r="D536" s="185">
        <f>IF(ISERROR(D81*D$5/AVERAGE('Divisional Model'!B46:C46)*1000000),"n.a.",D81*D$5/AVERAGE('Divisional Model'!B46:C46)*1000000)</f>
        <v>74884.975204671762</v>
      </c>
      <c r="E536" s="185">
        <f>IF(ISERROR(E81*E$5/AVERAGE('Divisional Model'!C46:D46)*1000000),"n.a.",E81*E$5/AVERAGE('Divisional Model'!C46:D46)*1000000)</f>
        <v>83540.93471729802</v>
      </c>
      <c r="F536" s="185">
        <f>IF(ISERROR(F81*F$5/AVERAGE('Divisional Model'!D46:E46)*1000000),"n.a.",F81*F$5/AVERAGE('Divisional Model'!D46:E46)*1000000)</f>
        <v>53249.275535452151</v>
      </c>
      <c r="G536" s="185">
        <f>IF(ISERROR(G81*G$5/AVERAGE('Divisional Model'!E46:F46)*1000000),"n.a.",G81*G$5/AVERAGE('Divisional Model'!E46:F46)*1000000)</f>
        <v>71346.036317569655</v>
      </c>
      <c r="H536" s="185">
        <f>IF(ISERROR(H81*H$5/AVERAGE('Divisional Model'!F46:G46)*1000000),"n.a.",H81*H$5/AVERAGE('Divisional Model'!F46:G46)*1000000)</f>
        <v>39812.034982378282</v>
      </c>
      <c r="I536" s="185">
        <f>IF(ISERROR(I81*I$5/AVERAGE('Divisional Model'!G46:H46)*1000000),"n.a.",I81*I$5/AVERAGE('Divisional Model'!G46:H46)*1000000)</f>
        <v>58040.286787299417</v>
      </c>
      <c r="J536" s="185">
        <f>IF(ISERROR(J81*J$5/AVERAGE('Divisional Model'!H46:I46)*1000000),"n.a.",J81*J$5/AVERAGE('Divisional Model'!H46:I46)*1000000)</f>
        <v>52053.303625835651</v>
      </c>
      <c r="K536" s="322">
        <f>IF(ISERROR(K81*K$5/AVERAGE('Divisional Model'!I46:J46)*1000000),"n.a.",K81*K$5/AVERAGE('Divisional Model'!I46:J46)*1000000)</f>
        <v>72453.904570692888</v>
      </c>
      <c r="L536" s="322">
        <f>IF(ISERROR(L81*L$5/AVERAGE('Divisional Model'!J46:K46)*1000000),"n.a.",L81*L$5/AVERAGE('Divisional Model'!J46:K46)*1000000)</f>
        <v>72504.882824116037</v>
      </c>
      <c r="M536" s="322">
        <f>IF(ISERROR(M81*M$5/AVERAGE('Divisional Model'!K46:L46)*1000000),"n.a.",M81*M$5/AVERAGE('Divisional Model'!K46:L46)*1000000)</f>
        <v>110174.57411359763</v>
      </c>
      <c r="N536" s="322">
        <f>IF(ISERROR(N81*N$5/AVERAGE('Divisional Model'!L46:M46)*1000000),"n.a.",N81*N$5/AVERAGE('Divisional Model'!L46:M46)*1000000)</f>
        <v>96416.889377720086</v>
      </c>
      <c r="O536" s="322">
        <f>IF(ISERROR(O81*O$5/AVERAGE('Divisional Model'!M46:N46)*1000000),"n.a.",O81*O$5/AVERAGE('Divisional Model'!M46:N46)*1000000)</f>
        <v>131601.02838733743</v>
      </c>
      <c r="P536" s="322">
        <f>IF(ISERROR(P81*P$5/AVERAGE('Divisional Model'!N46:O46)*1000000),"n.a.",P81*P$5/AVERAGE('Divisional Model'!N46:O46)*1000000)</f>
        <v>154696.93136227273</v>
      </c>
      <c r="Q536" s="322">
        <f>IF(ISERROR(Q81*Q$5/AVERAGE('Divisional Model'!O46:P46)*1000000),"n.a.",Q81*Q$5/AVERAGE('Divisional Model'!O46:P46)*1000000)</f>
        <v>142090.57737711957</v>
      </c>
      <c r="R536" s="322">
        <f>IF(ISERROR(R81*R$5/AVERAGE('Divisional Model'!P46:Q46)*1000000),"n.a.",R81*R$5/AVERAGE('Divisional Model'!P46:Q46)*1000000)</f>
        <v>148592.47162494448</v>
      </c>
      <c r="S536" s="322">
        <f>IF(ISERROR(S81*S$5/AVERAGE('Divisional Model'!Q46:R46)*1000000),"n.a.",S81*S$5/AVERAGE('Divisional Model'!Q46:R46)*1000000)</f>
        <v>170751.98540196897</v>
      </c>
      <c r="T536" s="322">
        <f>IF(ISERROR(T81*T$5/AVERAGE('Divisional Model'!R46:S46)*1000000),"n.a.",T81*T$5/AVERAGE('Divisional Model'!R46:S46)*1000000)</f>
        <v>180617.51825772613</v>
      </c>
      <c r="U536" s="322">
        <f>IF(ISERROR(U81*U$5/AVERAGE('Divisional Model'!S46:T46)*1000000),"n.a.",U81*U$5/AVERAGE('Divisional Model'!S46:T46)*1000000)</f>
        <v>182457.06892495882</v>
      </c>
      <c r="V536" s="322">
        <f>IF(ISERROR(V81*V$5/AVERAGE('Divisional Model'!T46:U46)*1000000),"n.a.",V81*V$5/AVERAGE('Divisional Model'!T46:U46)*1000000)</f>
        <v>174009.62539073921</v>
      </c>
      <c r="W536" s="322">
        <f>IF(ISERROR(W81*W$5/AVERAGE('Divisional Model'!U46:V46)*1000000),"n.a.",W81*W$5/AVERAGE('Divisional Model'!U46:V46)*1000000)</f>
        <v>217576.92717690123</v>
      </c>
      <c r="X536" s="322">
        <f>IF(ISERROR(X81*X$5/AVERAGE('Divisional Model'!V46:W46)*1000000),"n.a.",X81*X$5/AVERAGE('Divisional Model'!V46:W46)*1000000)</f>
        <v>186162.39698460361</v>
      </c>
      <c r="Y536" s="322">
        <f>IF(ISERROR(Y81*Y$5/AVERAGE('Divisional Model'!W46:X46)*1000000),"n.a.",Y81*Y$5/AVERAGE('Divisional Model'!W46:X46)*1000000)</f>
        <v>161506.03746078027</v>
      </c>
      <c r="Z536" s="322">
        <f>IF(ISERROR(Z81*Z$5/AVERAGE('Divisional Model'!X46:Y46)*1000000),"n.a.",Z81*Z$5/AVERAGE('Divisional Model'!X46:Y46)*1000000)</f>
        <v>122006.98564439049</v>
      </c>
      <c r="AA536" s="322">
        <f>IF(ISERROR(AA81*AA$5/AVERAGE('Divisional Model'!Y46:Z46)*1000000),"n.a.",AA81*AA$5/AVERAGE('Divisional Model'!Y46:Z46)*1000000)</f>
        <v>248127.61518536316</v>
      </c>
      <c r="AB536" s="322">
        <f>IF(ISERROR(AB81*AB$5/AVERAGE('Divisional Model'!Z46:AA46)*1000000),"n.a.",AB81*AB$5/AVERAGE('Divisional Model'!Z46:AA46)*1000000)</f>
        <v>242059.88271199778</v>
      </c>
      <c r="AC536" s="322">
        <f>IF(ISERROR(AC81*AC$5/AVERAGE('Divisional Model'!AA46:AB46)*1000000),"n.a.",AC81*AC$5/AVERAGE('Divisional Model'!AA46:AB46)*1000000)</f>
        <v>302225.78621084645</v>
      </c>
      <c r="AD536" s="322">
        <f>IF(ISERROR(AD81*AD$5/AVERAGE('Divisional Model'!AB46:AC46)*1000000),"n.a.",AD81*AD$5/AVERAGE('Divisional Model'!AB46:AC46)*1000000)</f>
        <v>245857.07487284148</v>
      </c>
      <c r="AE536" s="322">
        <f>IF(ISERROR(AE81*AE$5/AVERAGE('Divisional Model'!AC46:AD46)*1000000),"n.a.",AE81*AE$5/AVERAGE('Divisional Model'!AC46:AD46)*1000000)</f>
        <v>290122.32268046221</v>
      </c>
      <c r="AF536" s="322">
        <f>IF(ISERROR(AF81*AF$5/AVERAGE('Divisional Model'!AD46:AE46)*1000000),"n.a.",AF81*AF$5/AVERAGE('Divisional Model'!AD46:AE46)*1000000)</f>
        <v>135474.76004691352</v>
      </c>
      <c r="AG536" s="322">
        <f>IF(ISERROR(AG81*AG$5/AVERAGE('Divisional Model'!AE46:AF46)*1000000),"n.a.",AG81*AG$5/AVERAGE('Divisional Model'!AE46:AF46)*1000000)</f>
        <v>200972.91110263258</v>
      </c>
      <c r="AH536" s="322">
        <f>IF(ISERROR(AH81*AH$5/AVERAGE('Divisional Model'!AF46:AG46)*1000000),"n.a.",AH81*AH$5/AVERAGE('Divisional Model'!AF46:AG46)*1000000)</f>
        <v>157920.93405194633</v>
      </c>
      <c r="AI536" s="322">
        <f>IF(ISERROR(AI81*AI$5/AVERAGE('Divisional Model'!AG46:AH46)*1000000),"n.a.",AI81*AI$5/AVERAGE('Divisional Model'!AG46:AH46)*1000000)</f>
        <v>212001.35443123282</v>
      </c>
      <c r="AJ536" s="186">
        <f>IF(ISERROR(AJ81*AJ$5/AVERAGE('Divisional Model'!AH46:AI46)*1000000),"n.a.",AJ81*AJ$5/AVERAGE('Divisional Model'!AH46:AI46)*1000000)</f>
        <v>166900.40874471661</v>
      </c>
      <c r="AK536" s="185">
        <f>IF(ISERROR(AK81*AK$5/AVERAGE('Divisional Model'!AI46:AJ46)*1000000),"n.a.",AK81*AK$5/AVERAGE('Divisional Model'!AI46:AJ46)*1000000)</f>
        <v>257507.31022917479</v>
      </c>
      <c r="AL536" s="185">
        <f>IF(ISERROR(AL81*AL$5/AVERAGE('Divisional Model'!AJ46:AK46)*1000000),"n.a.",AL81*AL$5/AVERAGE('Divisional Model'!AJ46:AK46)*1000000)</f>
        <v>221720.27307452544</v>
      </c>
      <c r="AM536" s="185">
        <f>IF(ISERROR(AM81*AM$5/AVERAGE('Divisional Model'!AK46:AL46)*1000000),"n.a.",AM81*AM$5/AVERAGE('Divisional Model'!AK46:AL46)*1000000)</f>
        <v>256778.35901834449</v>
      </c>
      <c r="AN536" s="185">
        <f>IF(ISERROR(AN81*AN$5/AVERAGE('Divisional Model'!AL46:AM46)*1000000),"n.a.",AN81*AN$5/AVERAGE('Divisional Model'!AL46:AM46)*1000000)</f>
        <v>240656.16439175219</v>
      </c>
      <c r="AO536" s="185">
        <f>IF(ISERROR(AO81*AO$5/AVERAGE('Divisional Model'!AM46:AN46)*1000000),"n.a.",AO81*AO$5/AVERAGE('Divisional Model'!AM46:AN46)*1000000)</f>
        <v>284393.56739738089</v>
      </c>
      <c r="AP536" s="185">
        <f>IF(ISERROR(AP81*AP$5/AVERAGE('Divisional Model'!AN46:AO46)*1000000),"n.a.",AP81*AP$5/AVERAGE('Divisional Model'!AN46:AO46)*1000000)</f>
        <v>254977.20239579276</v>
      </c>
      <c r="AQ536" s="185">
        <f>IF(ISERROR(AQ81*AQ$5/AVERAGE('Divisional Model'!AO46:AP46)*1000000),"n.a.",AQ81*AQ$5/AVERAGE('Divisional Model'!AO46:AP46)*1000000)</f>
        <v>298402.82008122315</v>
      </c>
      <c r="AR536" s="185">
        <f>IF(ISERROR(AR81*AR$5/AVERAGE('Divisional Model'!AP46:AQ46)*1000000),"n.a.",AR81*AR$5/AVERAGE('Divisional Model'!AP46:AQ46)*1000000)</f>
        <v>270010.68469721504</v>
      </c>
      <c r="AS536" s="185">
        <f>IF(ISERROR(AS81*AS$5/AVERAGE('Divisional Model'!AQ46:AR46)*1000000),"n.a.",AS81*AS$5/AVERAGE('Divisional Model'!AQ46:AR46)*1000000)</f>
        <v>307213.05816440505</v>
      </c>
      <c r="AT536" s="41"/>
      <c r="AU536" s="185">
        <f>IF(ISERROR(AU81*AU$5/AVERAGE('Divisional Model'!P46:Q46)*1000000),"n.a.",AU81*AU$5/AVERAGE('Divisional Model'!P46:Q46)*1000000)</f>
        <v>57613.168724279836</v>
      </c>
      <c r="AV536" s="185">
        <f>IF(ISERROR(AV81*AV$5/AVERAGE('Divisional Model'!AT46:AU46)*1000000),"n.a.",AV81*AV$5/AVERAGE('Divisional Model'!AT46:AU46)*1000000)</f>
        <v>60636.150001654918</v>
      </c>
      <c r="AW536" s="185">
        <f>IF(ISERROR(AW81*AW$5/AVERAGE('Divisional Model'!AU46:AV46)*1000000),"n.a.",AW81*AW$5/AVERAGE('Divisional Model'!AU46:AV46)*1000000)</f>
        <v>98326.500436857314</v>
      </c>
      <c r="AX536" s="185">
        <f>IF(ISERROR(AX81*AX$5/AVERAGE('Divisional Model'!AV46:AW46)*1000000),"n.a.",AX81*AX$5/AVERAGE('Divisional Model'!AV46:AW46)*1000000)</f>
        <v>129409.65368742149</v>
      </c>
      <c r="AY536" s="185">
        <f>IF(ISERROR(AY81*AY$5/AVERAGE('Divisional Model'!AW46:AX46)*1000000),"n.a.",AY81*AY$5/AVERAGE('Divisional Model'!AW46:AX46)*1000000)</f>
        <v>63170.873223092545</v>
      </c>
      <c r="AZ536" s="41">
        <f>IF(ISERROR(AZ81*AZ$5/AVERAGE('Divisional Model'!AS46:AT46)*1000000),"n.a.",AZ81*AZ$5/AVERAGE('Divisional Model'!AS46:AT46)*1000000)</f>
        <v>71638.125127925217</v>
      </c>
      <c r="BA536" s="41">
        <f>IF(ISERROR(BA81*BA$5/AVERAGE('Divisional Model'!AT46:AU46)*1000000),"n.a.",BA81*BA$5/AVERAGE('Divisional Model'!AT46:AU46)*1000000)</f>
        <v>63284.016813954266</v>
      </c>
      <c r="BB536" s="41">
        <f>IF(ISERROR(BB81*BB$5/AVERAGE('Divisional Model'!AU46:AV46)*1000000),"n.a.",BB81*BB$5/AVERAGE('Divisional Model'!AU46:AV46)*1000000)</f>
        <v>49062.436991733317</v>
      </c>
      <c r="BC536" s="41">
        <f>IF(ISERROR(BC81*BC$5/AVERAGE('Divisional Model'!AV46:AW46)*1000000),"n.a.",BC81*BC$5/AVERAGE('Divisional Model'!AV46:AW46)*1000000)</f>
        <v>61080.208146420242</v>
      </c>
      <c r="BD536" s="41">
        <f>IF(ISERROR(BD81*BD$5/AVERAGE('Divisional Model'!AW46:AX46)*1000000),"n.a.",BD81*BD$5/AVERAGE('Divisional Model'!AW46:AX46)*1000000)</f>
        <v>91746.446185088484</v>
      </c>
      <c r="BE536" s="41">
        <f>IF(ISERROR(BE81*BE$5/AVERAGE('Divisional Model'!AX46:AY46)*1000000),"n.a.",BE81*BE$5/AVERAGE('Divisional Model'!AX46:AY46)*1000000)</f>
        <v>114579.61282948783</v>
      </c>
      <c r="BF536" s="41">
        <f>IF(ISERROR(BF81*BF$5/AVERAGE('Divisional Model'!AY46:AZ46)*1000000),"n.a.",BF81*BF$5/AVERAGE('Divisional Model'!AY46:AZ46)*1000000)</f>
        <v>144990.68770425554</v>
      </c>
      <c r="BG536" s="41">
        <f>IF(ISERROR(BG81*BG$5/AVERAGE('Divisional Model'!AZ46:BA46)*1000000),"n.a.",BG81*BG$5/AVERAGE('Divisional Model'!AZ46:BA46)*1000000)</f>
        <v>158532.66116057063</v>
      </c>
      <c r="BH536" s="41">
        <f>IF(ISERROR(BH81*BH$5/AVERAGE('Divisional Model'!BA46:BB46)*1000000),"n.a.",BH81*BH$5/AVERAGE('Divisional Model'!BA46:BB46)*1000000)</f>
        <v>180026.04991727392</v>
      </c>
      <c r="BI536" s="41">
        <f>IF(ISERROR(BI81*BI$5/AVERAGE('Divisional Model'!BB46:BC46)*1000000),"n.a.",BI81*BI$5/AVERAGE('Divisional Model'!BB46:BC46)*1000000)</f>
        <v>196106.7999473892</v>
      </c>
      <c r="BJ536" s="41">
        <f>IF(ISERROR(BJ81*BJ$5/AVERAGE('Divisional Model'!BC46:BD46)*1000000),"n.a.",BJ81*BJ$5/AVERAGE('Divisional Model'!BC46:BD46)*1000000)</f>
        <v>173666.97402308355</v>
      </c>
      <c r="BK536" s="41">
        <f>IF(ISERROR(BK81*BK$5/AVERAGE('Divisional Model'!BD46:BE46)*1000000),"n.a.",BK81*BK$5/AVERAGE('Divisional Model'!BD46:BE46)*1000000)</f>
        <v>186641.07960876563</v>
      </c>
      <c r="BL536" s="41">
        <f>IF(ISERROR(BL81*BL$5/AVERAGE('Divisional Model'!BE46:BF46)*1000000),"n.a.",BL81*BL$5/AVERAGE('Divisional Model'!BE46:BF46)*1000000)</f>
        <v>272086.03145235893</v>
      </c>
      <c r="BM536" s="41">
        <f>IF(ISERROR(BM81*BM$5/AVERAGE('Divisional Model'!BF46:BG46)*1000000),"n.a.",BM81*BM$5/AVERAGE('Divisional Model'!BF46:BG46)*1000000)</f>
        <v>268205.57942135498</v>
      </c>
      <c r="BN536" s="41">
        <f>IF(ISERROR(BN81*BN$5/AVERAGE('Divisional Model'!BG46:BH46)*1000000),"n.a.",BN81*BN$5/AVERAGE('Divisional Model'!BG46:BH46)*1000000)</f>
        <v>171074.68123861565</v>
      </c>
      <c r="BO536" s="42">
        <f>IF(ISERROR(BO81*BO$5/AVERAGE('Divisional Model'!BI46:BI46)*1000000),"n.a.",BO81*BO$5/AVERAGE('Divisional Model'!BI46:BI46)*1000000)</f>
        <v>188244.23612870532</v>
      </c>
      <c r="BP536" s="41">
        <f>IF(ISERROR(BP81*BP$5/AVERAGE('Divisional Model'!BJ46:BJ46)*1000000),"n.a.",BP81*BP$5/AVERAGE('Divisional Model'!BJ46:BJ46)*1000000)</f>
        <v>217330.96138093932</v>
      </c>
      <c r="BQ536" s="41">
        <f>IF(ISERROR(BQ81*BQ$5/AVERAGE('Divisional Model'!BK46:BK46)*1000000),"n.a.",BQ81*BQ$5/AVERAGE('Divisional Model'!BK46:BK46)*1000000)</f>
        <v>238359.21533329188</v>
      </c>
      <c r="BR536" s="41">
        <f>IF(ISERROR(BR81*BR$5/AVERAGE('Divisional Model'!BL46:BL46)*1000000),"n.a.",BR81*BR$5/AVERAGE('Divisional Model'!BL46:BL46)*1000000)</f>
        <v>261598.8668898654</v>
      </c>
      <c r="BS536" s="41">
        <f>IF(ISERROR(BS81*BS$5/AVERAGE('Divisional Model'!BM46:BM46)*1000000),"n.a.",BS81*BS$5/AVERAGE('Divisional Model'!BM46:BM46)*1000000)</f>
        <v>275642.52843857266</v>
      </c>
      <c r="BT536" s="41">
        <f>IF(ISERROR(BT81*BT$5/AVERAGE('Divisional Model'!BN46:BN46)*1000000),"n.a.",BT81*BT$5/AVERAGE('Divisional Model'!BN46:BN46)*1000000)</f>
        <v>287513.94035367249</v>
      </c>
    </row>
    <row r="537" spans="1:72" ht="12" customHeight="1" outlineLevel="1">
      <c r="A537" s="91" t="s">
        <v>1319</v>
      </c>
      <c r="B537" s="1" t="s">
        <v>1318</v>
      </c>
      <c r="C537" s="50"/>
      <c r="D537" s="185">
        <f>'Divisional Model'!C46</f>
        <v>12758</v>
      </c>
      <c r="E537" s="185">
        <f>'Divisional Model'!D46</f>
        <v>14657</v>
      </c>
      <c r="F537" s="185">
        <f>'Divisional Model'!E46</f>
        <v>15533</v>
      </c>
      <c r="G537" s="185">
        <f>'Divisional Model'!F46</f>
        <v>15556</v>
      </c>
      <c r="H537" s="185">
        <f>'Divisional Model'!G46</f>
        <v>15088</v>
      </c>
      <c r="I537" s="185">
        <f>'Divisional Model'!H46</f>
        <v>14202</v>
      </c>
      <c r="J537" s="185">
        <f>'Divisional Model'!I46</f>
        <v>13463</v>
      </c>
      <c r="K537" s="185">
        <f>'Divisional Model'!J46</f>
        <v>13663</v>
      </c>
      <c r="L537" s="322">
        <f>'Divisional Model'!K46</f>
        <v>13901</v>
      </c>
      <c r="M537" s="322">
        <f>'Divisional Model'!L46</f>
        <v>13913</v>
      </c>
      <c r="N537" s="322">
        <f>'Divisional Model'!M46</f>
        <v>14138</v>
      </c>
      <c r="O537" s="322">
        <f>'Divisional Model'!N46</f>
        <v>14085</v>
      </c>
      <c r="P537" s="322">
        <f>'Divisional Model'!O46</f>
        <v>13582</v>
      </c>
      <c r="Q537" s="322">
        <f>'Divisional Model'!P46</f>
        <v>14372</v>
      </c>
      <c r="R537" s="322">
        <f>'Divisional Model'!Q46</f>
        <v>13816</v>
      </c>
      <c r="S537" s="322">
        <f>'Divisional Model'!R46</f>
        <v>13597</v>
      </c>
      <c r="T537" s="322">
        <f>'Divisional Model'!S46</f>
        <v>13966</v>
      </c>
      <c r="U537" s="322">
        <f>'Divisional Model'!T46</f>
        <v>14810</v>
      </c>
      <c r="V537" s="322">
        <f>'Divisional Model'!U46</f>
        <v>15221</v>
      </c>
      <c r="W537" s="322">
        <f>'Divisional Model'!V46</f>
        <v>15602</v>
      </c>
      <c r="X537" s="322">
        <f>'Divisional Model'!W46</f>
        <v>15704</v>
      </c>
      <c r="Y537" s="322">
        <f>'Divisional Model'!X46</f>
        <v>15849</v>
      </c>
      <c r="Z537" s="322">
        <f>'Divisional Model'!Y46</f>
        <v>16356</v>
      </c>
      <c r="AA537" s="322">
        <f>'Divisional Model'!Z46</f>
        <v>16459</v>
      </c>
      <c r="AB537" s="322">
        <f>'Divisional Model'!AA46</f>
        <v>17209</v>
      </c>
      <c r="AC537" s="322">
        <f>'Divisional Model'!AB46</f>
        <v>18133</v>
      </c>
      <c r="AD537" s="322">
        <f>'Divisional Model'!AC46</f>
        <v>19266</v>
      </c>
      <c r="AE537" s="322">
        <f>'Divisional Model'!AD46</f>
        <v>20509</v>
      </c>
      <c r="AF537" s="322">
        <f>'Divisional Model'!AE46</f>
        <v>21270</v>
      </c>
      <c r="AG537" s="322">
        <f>'Divisional Model'!AF46</f>
        <v>20666</v>
      </c>
      <c r="AH537" s="322">
        <f>'Divisional Model'!AG46</f>
        <v>20053</v>
      </c>
      <c r="AI537" s="322">
        <f>'Divisional Model'!AH46</f>
        <v>19735</v>
      </c>
      <c r="AJ537" s="186">
        <f>'Divisional Model'!AI46</f>
        <v>19821</v>
      </c>
      <c r="AK537" s="185">
        <f>'Divisional Model'!AJ46</f>
        <v>19117.791729999997</v>
      </c>
      <c r="AL537" s="185">
        <f>'Divisional Model'!AK46</f>
        <v>19187.641347299999</v>
      </c>
      <c r="AM537" s="185">
        <f>'Divisional Model'!AL46</f>
        <v>19258.049969273001</v>
      </c>
      <c r="AN537" s="185">
        <f>'Divisional Model'!AM46</f>
        <v>19329.022488508228</v>
      </c>
      <c r="AO537" s="185">
        <f>'Divisional Model'!AN46</f>
        <v>19400.563843033524</v>
      </c>
      <c r="AP537" s="185">
        <f>'Divisional Model'!AO46</f>
        <v>19472.67901675227</v>
      </c>
      <c r="AQ537" s="185">
        <f>'Divisional Model'!AP46</f>
        <v>19545.373039884646</v>
      </c>
      <c r="AR537" s="185">
        <f>'Divisional Model'!AQ46</f>
        <v>19618.650989413174</v>
      </c>
      <c r="AS537" s="185">
        <f>'Divisional Model'!AR46</f>
        <v>19692.517989532633</v>
      </c>
      <c r="AT537" s="19"/>
      <c r="AU537" s="342">
        <v>6556</v>
      </c>
      <c r="AV537" s="342">
        <v>8183</v>
      </c>
      <c r="AW537" s="342">
        <v>10023</v>
      </c>
      <c r="AX537" s="342">
        <v>13107</v>
      </c>
      <c r="AY537" s="342">
        <v>12716</v>
      </c>
      <c r="AZ537" s="185">
        <f>'Divisional Model'!AT46</f>
        <v>14657</v>
      </c>
      <c r="BA537" s="185">
        <f>'Divisional Model'!AU46</f>
        <v>15556</v>
      </c>
      <c r="BB537" s="185">
        <f>'Divisional Model'!AV46</f>
        <v>14202</v>
      </c>
      <c r="BC537" s="185">
        <f>'Divisional Model'!AW46</f>
        <v>13663</v>
      </c>
      <c r="BD537" s="41">
        <f>'Divisional Model'!AX46</f>
        <v>13913</v>
      </c>
      <c r="BE537" s="322">
        <f>'Divisional Model'!AY46</f>
        <v>14085</v>
      </c>
      <c r="BF537" s="322">
        <f>'Divisional Model'!AZ46</f>
        <v>14372</v>
      </c>
      <c r="BG537" s="322">
        <f>'Divisional Model'!BA46</f>
        <v>13597</v>
      </c>
      <c r="BH537" s="322">
        <f>'Divisional Model'!BB46</f>
        <v>14810</v>
      </c>
      <c r="BI537" s="322">
        <f>'Divisional Model'!BC46</f>
        <v>15602</v>
      </c>
      <c r="BJ537" s="322">
        <f>'Divisional Model'!BD46</f>
        <v>15849</v>
      </c>
      <c r="BK537" s="322">
        <f>'Divisional Model'!BE46</f>
        <v>16459</v>
      </c>
      <c r="BL537" s="322">
        <f>'Divisional Model'!BF46</f>
        <v>18133</v>
      </c>
      <c r="BM537" s="322">
        <f>'Divisional Model'!BG46</f>
        <v>20509</v>
      </c>
      <c r="BN537" s="322">
        <f>'Divisional Model'!BH46</f>
        <v>20666</v>
      </c>
      <c r="BO537" s="186">
        <f>'Divisional Model'!BI46</f>
        <v>19735</v>
      </c>
      <c r="BP537" s="185">
        <f>'Divisional Model'!BJ46</f>
        <v>19117.791729999997</v>
      </c>
      <c r="BQ537" s="185">
        <f>'Divisional Model'!BK46</f>
        <v>19258.049969273001</v>
      </c>
      <c r="BR537" s="185">
        <f>'Divisional Model'!BL46</f>
        <v>19400.563843033524</v>
      </c>
      <c r="BS537" s="185">
        <f>'Divisional Model'!BM46</f>
        <v>19545.373039884646</v>
      </c>
      <c r="BT537" s="185">
        <f>'Divisional Model'!BN46</f>
        <v>19692.517989532633</v>
      </c>
    </row>
    <row r="538" spans="1:72" ht="12" customHeight="1" outlineLevel="1">
      <c r="A538" s="91" t="s">
        <v>1325</v>
      </c>
      <c r="B538" s="1" t="s">
        <v>1321</v>
      </c>
      <c r="C538" s="19"/>
      <c r="D538" s="345">
        <f>1612/3098</f>
        <v>0.52033570045190447</v>
      </c>
      <c r="E538" s="345">
        <f>1486/3351</f>
        <v>0.44344971650253656</v>
      </c>
      <c r="F538" s="345">
        <f>1476/3364</f>
        <v>0.43876337693222356</v>
      </c>
      <c r="G538" s="345">
        <f>1395/3895</f>
        <v>0.35815147625160459</v>
      </c>
      <c r="H538" s="345">
        <f>1259/3200</f>
        <v>0.3934375</v>
      </c>
      <c r="I538" s="345">
        <f>1421/3489</f>
        <v>0.40728002292920606</v>
      </c>
      <c r="J538" s="345">
        <f>1025/2995</f>
        <v>0.34223706176961605</v>
      </c>
      <c r="K538" s="345">
        <f>1263/3427</f>
        <v>0.36854391596148234</v>
      </c>
      <c r="L538" s="345">
        <f>1204/3592</f>
        <v>0.3351893095768374</v>
      </c>
      <c r="M538" s="345">
        <f>1252/4190</f>
        <v>0.29880668257756565</v>
      </c>
      <c r="N538" s="345">
        <f>1440/4177</f>
        <v>0.34474503231984677</v>
      </c>
      <c r="O538" s="345">
        <f>1270/4994</f>
        <v>0.25430516619943933</v>
      </c>
      <c r="P538" s="345">
        <f>1526/5315</f>
        <v>0.28711194731890877</v>
      </c>
      <c r="Q538" s="345">
        <f>1631/4576</f>
        <v>0.35642482517482516</v>
      </c>
      <c r="R538" s="345">
        <f>2086/5105</f>
        <v>0.40861900097943193</v>
      </c>
      <c r="S538" s="345">
        <f>1616/5030</f>
        <v>0.32127236580516899</v>
      </c>
      <c r="T538" s="345">
        <v>0.37681429103088948</v>
      </c>
      <c r="U538" s="345">
        <v>0.31214421252371916</v>
      </c>
      <c r="V538" s="345">
        <v>0.32822032421126024</v>
      </c>
      <c r="W538" s="345">
        <f>4235/12552</f>
        <v>0.33739643084767368</v>
      </c>
      <c r="X538" s="345">
        <f>1913/6149</f>
        <v>0.31110749715400876</v>
      </c>
      <c r="Y538" s="345">
        <f>1979/5804</f>
        <v>0.34097174362508614</v>
      </c>
      <c r="Z538" s="345">
        <f>1776/5514</f>
        <v>0.3220892274211099</v>
      </c>
      <c r="AA538" s="345">
        <f>2256/6986</f>
        <v>0.32293157744059547</v>
      </c>
      <c r="AB538" s="345">
        <f>2098/7625</f>
        <v>0.27514754098360655</v>
      </c>
      <c r="AC538" s="345">
        <f>2292/9659</f>
        <v>0.23729164509783621</v>
      </c>
      <c r="AD538" s="345">
        <f>2354/8496</f>
        <v>0.27707156308851222</v>
      </c>
      <c r="AE538" s="345">
        <f>3024/10260</f>
        <v>0.29473684210526313</v>
      </c>
      <c r="AF538" s="345">
        <v>0.35197633772519493</v>
      </c>
      <c r="AG538" s="345">
        <v>0.34216168495396643</v>
      </c>
      <c r="AH538" s="345">
        <f>2676/7544</f>
        <v>0.3547189819724284</v>
      </c>
      <c r="AI538" s="345">
        <f>2793/8531</f>
        <v>0.32739420935412028</v>
      </c>
      <c r="AJ538" s="356">
        <f>3068/8484</f>
        <v>0.36162187647336164</v>
      </c>
      <c r="AK538" s="344">
        <f t="shared" ref="AK538:AK542" si="4316">AJ538</f>
        <v>0.36162187647336164</v>
      </c>
      <c r="AL538" s="344">
        <f t="shared" ref="AL538:AL542" si="4317">AK538</f>
        <v>0.36162187647336164</v>
      </c>
      <c r="AM538" s="344">
        <f t="shared" ref="AM538:AM542" si="4318">AL538</f>
        <v>0.36162187647336164</v>
      </c>
      <c r="AN538" s="344">
        <f t="shared" ref="AN538:AN542" si="4319">AM538</f>
        <v>0.36162187647336164</v>
      </c>
      <c r="AO538" s="344">
        <f t="shared" ref="AO538:AO542" si="4320">AN538</f>
        <v>0.36162187647336164</v>
      </c>
      <c r="AP538" s="344">
        <f t="shared" ref="AP538:AP542" si="4321">AO538</f>
        <v>0.36162187647336164</v>
      </c>
      <c r="AQ538" s="344">
        <f t="shared" ref="AQ538:AQ542" si="4322">AP538</f>
        <v>0.36162187647336164</v>
      </c>
      <c r="AR538" s="344">
        <f t="shared" ref="AR538:AR542" si="4323">AQ538</f>
        <v>0.36162187647336164</v>
      </c>
      <c r="AS538" s="344">
        <f t="shared" ref="AS538:AS542" si="4324">AR538</f>
        <v>0.36162187647336164</v>
      </c>
      <c r="AT538" s="19"/>
      <c r="AU538" s="345"/>
      <c r="AV538" s="345"/>
      <c r="AW538" s="345">
        <f>3069/6846</f>
        <v>0.44829097283085012</v>
      </c>
      <c r="AX538" s="345">
        <f>3271/7564</f>
        <v>0.43244315177154946</v>
      </c>
      <c r="AY538" s="345">
        <f>2207/4554</f>
        <v>0.48462889767237594</v>
      </c>
      <c r="AZ538" s="343">
        <f t="shared" ref="AZ538:AZ545" si="4325">E538</f>
        <v>0.44344971650253656</v>
      </c>
      <c r="BA538" s="343">
        <f t="shared" ref="BA538:BA545" si="4326">G538</f>
        <v>0.35815147625160459</v>
      </c>
      <c r="BB538" s="343">
        <f t="shared" ref="BB538:BB545" si="4327">I538</f>
        <v>0.40728002292920606</v>
      </c>
      <c r="BC538" s="343">
        <f t="shared" ref="BC538:BC545" si="4328">K538</f>
        <v>0.36854391596148234</v>
      </c>
      <c r="BD538" s="50">
        <f t="shared" ref="BD538:BD545" si="4329">M538</f>
        <v>0.29880668257756565</v>
      </c>
      <c r="BE538" s="343">
        <f t="shared" ref="BE538:BE545" si="4330">O538</f>
        <v>0.25430516619943933</v>
      </c>
      <c r="BF538" s="343">
        <f t="shared" ref="BF538:BF545" si="4331">Q538</f>
        <v>0.35642482517482516</v>
      </c>
      <c r="BG538" s="343">
        <f t="shared" ref="BG538:BG545" si="4332">S538</f>
        <v>0.32127236580516899</v>
      </c>
      <c r="BH538" s="343">
        <f t="shared" ref="BH538:BH545" si="4333">U538</f>
        <v>0.31214421252371916</v>
      </c>
      <c r="BI538" s="343">
        <f t="shared" ref="BI538:BI545" si="4334">W538</f>
        <v>0.33739643084767368</v>
      </c>
      <c r="BJ538" s="343">
        <f t="shared" ref="BJ538:BJ545" si="4335">Y538</f>
        <v>0.34097174362508614</v>
      </c>
      <c r="BK538" s="343">
        <f t="shared" ref="BK538:BK545" si="4336">AA538</f>
        <v>0.32293157744059547</v>
      </c>
      <c r="BL538" s="343">
        <f t="shared" ref="BL538:BL545" si="4337">AC538</f>
        <v>0.23729164509783621</v>
      </c>
      <c r="BM538" s="343">
        <f t="shared" ref="BM538:BM545" si="4338">AE538</f>
        <v>0.29473684210526313</v>
      </c>
      <c r="BN538" s="343">
        <f t="shared" ref="BN538:BN545" si="4339">AG538</f>
        <v>0.34216168495396643</v>
      </c>
      <c r="BO538" s="397">
        <f t="shared" ref="BO538:BO545" si="4340">AI538</f>
        <v>0.32739420935412028</v>
      </c>
      <c r="BP538" s="343">
        <f t="shared" ref="BP538:BP545" si="4341">AK538</f>
        <v>0.36162187647336164</v>
      </c>
      <c r="BQ538" s="343">
        <f t="shared" ref="BQ538:BQ545" si="4342">AM538</f>
        <v>0.36162187647336164</v>
      </c>
      <c r="BR538" s="343">
        <f t="shared" ref="BR538:BR545" si="4343">AO538</f>
        <v>0.36162187647336164</v>
      </c>
      <c r="BS538" s="343">
        <f t="shared" ref="BS538:BS545" si="4344">AQ538</f>
        <v>0.36162187647336164</v>
      </c>
      <c r="BT538" s="343">
        <f t="shared" ref="BT538:BT545" si="4345">AS538</f>
        <v>0.36162187647336164</v>
      </c>
    </row>
    <row r="539" spans="1:72" ht="12" customHeight="1" outlineLevel="1">
      <c r="A539" s="91" t="s">
        <v>1324</v>
      </c>
      <c r="B539" s="1" t="s">
        <v>1328</v>
      </c>
      <c r="C539" s="19"/>
      <c r="D539" s="345">
        <f>354/3098</f>
        <v>0.11426726920593931</v>
      </c>
      <c r="E539" s="345">
        <f>995/3351</f>
        <v>0.2969262906595046</v>
      </c>
      <c r="F539" s="345">
        <f>929/3364</f>
        <v>0.27615933412604043</v>
      </c>
      <c r="G539" s="345">
        <f>1300/3895</f>
        <v>0.3337612323491656</v>
      </c>
      <c r="H539" s="345">
        <f>919/3200</f>
        <v>0.28718749999999998</v>
      </c>
      <c r="I539" s="345">
        <f>1121/3489</f>
        <v>0.32129550014330754</v>
      </c>
      <c r="J539" s="345">
        <f>1003/2995</f>
        <v>0.33489148580968281</v>
      </c>
      <c r="K539" s="345">
        <f>1200/3427</f>
        <v>0.35016049022468632</v>
      </c>
      <c r="L539" s="345">
        <f>1162/3592</f>
        <v>0.32349665924276172</v>
      </c>
      <c r="M539" s="345">
        <f>1547/4190</f>
        <v>0.3692124105011933</v>
      </c>
      <c r="N539" s="345">
        <f>1274/4177</f>
        <v>0.30500359109408665</v>
      </c>
      <c r="O539" s="345">
        <f>2081/4994</f>
        <v>0.41670004004805766</v>
      </c>
      <c r="P539" s="345">
        <f>1677/5315</f>
        <v>0.31552210724365004</v>
      </c>
      <c r="Q539" s="345">
        <f>1249/4576</f>
        <v>0.27294580419580422</v>
      </c>
      <c r="R539" s="345">
        <f>1156/5105</f>
        <v>0.22644466209598432</v>
      </c>
      <c r="S539" s="345">
        <f>1555/5030</f>
        <v>0.30914512922465209</v>
      </c>
      <c r="T539" s="345">
        <f>1305/5374</f>
        <v>0.24283587644212876</v>
      </c>
      <c r="U539" s="345">
        <v>0.27874762808349146</v>
      </c>
      <c r="V539" s="345">
        <v>0.30974376852013247</v>
      </c>
      <c r="W539" s="345">
        <f>3707/12552</f>
        <v>0.29533142128744422</v>
      </c>
      <c r="X539" s="345">
        <f>1857/6149</f>
        <v>0.30200032525613923</v>
      </c>
      <c r="Y539" s="345">
        <f>1161/5804</f>
        <v>0.20003445899379738</v>
      </c>
      <c r="Z539" s="345">
        <f>1725/5514</f>
        <v>0.31284004352557127</v>
      </c>
      <c r="AA539" s="345">
        <f>1725/6986</f>
        <v>0.24692241626109362</v>
      </c>
      <c r="AB539" s="345">
        <v>0.39291803278688525</v>
      </c>
      <c r="AC539" s="345">
        <f>5250/9659</f>
        <v>0.54353452738378716</v>
      </c>
      <c r="AD539" s="345">
        <f>3286/8496</f>
        <v>0.38677024482109229</v>
      </c>
      <c r="AE539" s="345">
        <f>3833/10260</f>
        <v>0.37358674463937624</v>
      </c>
      <c r="AF539" s="345">
        <v>0.31460069911266469</v>
      </c>
      <c r="AG539" s="345">
        <v>0.33982847773994196</v>
      </c>
      <c r="AH539" s="345">
        <f>2340/7544</f>
        <v>0.31018027571580065</v>
      </c>
      <c r="AI539" s="345">
        <f>2773/8531</f>
        <v>0.32504981830969404</v>
      </c>
      <c r="AJ539" s="356">
        <f>2667/8484</f>
        <v>0.31435643564356436</v>
      </c>
      <c r="AK539" s="344">
        <f t="shared" si="4316"/>
        <v>0.31435643564356436</v>
      </c>
      <c r="AL539" s="344">
        <f t="shared" si="4317"/>
        <v>0.31435643564356436</v>
      </c>
      <c r="AM539" s="344">
        <f t="shared" si="4318"/>
        <v>0.31435643564356436</v>
      </c>
      <c r="AN539" s="344">
        <f t="shared" si="4319"/>
        <v>0.31435643564356436</v>
      </c>
      <c r="AO539" s="344">
        <f t="shared" si="4320"/>
        <v>0.31435643564356436</v>
      </c>
      <c r="AP539" s="344">
        <f t="shared" si="4321"/>
        <v>0.31435643564356436</v>
      </c>
      <c r="AQ539" s="344">
        <f t="shared" si="4322"/>
        <v>0.31435643564356436</v>
      </c>
      <c r="AR539" s="344">
        <f t="shared" si="4323"/>
        <v>0.31435643564356436</v>
      </c>
      <c r="AS539" s="344">
        <f t="shared" si="4324"/>
        <v>0.31435643564356436</v>
      </c>
      <c r="AT539" s="19"/>
      <c r="AU539" s="345"/>
      <c r="AV539" s="345"/>
      <c r="AW539" s="345">
        <f>1128/6846</f>
        <v>0.16476774758983348</v>
      </c>
      <c r="AX539" s="345">
        <f>852/7564</f>
        <v>0.11263881544156532</v>
      </c>
      <c r="AY539" s="345">
        <f>359/4554</f>
        <v>7.8831796223100575E-2</v>
      </c>
      <c r="AZ539" s="343">
        <f t="shared" si="4325"/>
        <v>0.2969262906595046</v>
      </c>
      <c r="BA539" s="343">
        <f t="shared" si="4326"/>
        <v>0.3337612323491656</v>
      </c>
      <c r="BB539" s="343">
        <f t="shared" si="4327"/>
        <v>0.32129550014330754</v>
      </c>
      <c r="BC539" s="343">
        <f t="shared" si="4328"/>
        <v>0.35016049022468632</v>
      </c>
      <c r="BD539" s="50">
        <f t="shared" si="4329"/>
        <v>0.3692124105011933</v>
      </c>
      <c r="BE539" s="343">
        <f t="shared" si="4330"/>
        <v>0.41670004004805766</v>
      </c>
      <c r="BF539" s="343">
        <f t="shared" si="4331"/>
        <v>0.27294580419580422</v>
      </c>
      <c r="BG539" s="343">
        <f t="shared" si="4332"/>
        <v>0.30914512922465209</v>
      </c>
      <c r="BH539" s="343">
        <f t="shared" si="4333"/>
        <v>0.27874762808349146</v>
      </c>
      <c r="BI539" s="343">
        <f t="shared" si="4334"/>
        <v>0.29533142128744422</v>
      </c>
      <c r="BJ539" s="343">
        <f t="shared" si="4335"/>
        <v>0.20003445899379738</v>
      </c>
      <c r="BK539" s="343">
        <f t="shared" si="4336"/>
        <v>0.24692241626109362</v>
      </c>
      <c r="BL539" s="343">
        <f t="shared" si="4337"/>
        <v>0.54353452738378716</v>
      </c>
      <c r="BM539" s="343">
        <f t="shared" si="4338"/>
        <v>0.37358674463937624</v>
      </c>
      <c r="BN539" s="343">
        <f t="shared" si="4339"/>
        <v>0.33982847773994196</v>
      </c>
      <c r="BO539" s="397">
        <f t="shared" si="4340"/>
        <v>0.32504981830969404</v>
      </c>
      <c r="BP539" s="343">
        <f t="shared" si="4341"/>
        <v>0.31435643564356436</v>
      </c>
      <c r="BQ539" s="343">
        <f t="shared" si="4342"/>
        <v>0.31435643564356436</v>
      </c>
      <c r="BR539" s="343">
        <f t="shared" si="4343"/>
        <v>0.31435643564356436</v>
      </c>
      <c r="BS539" s="343">
        <f t="shared" si="4344"/>
        <v>0.31435643564356436</v>
      </c>
      <c r="BT539" s="343">
        <f t="shared" si="4345"/>
        <v>0.31435643564356436</v>
      </c>
    </row>
    <row r="540" spans="1:72" ht="12" customHeight="1" outlineLevel="1">
      <c r="A540" s="91" t="s">
        <v>1326</v>
      </c>
      <c r="B540" s="1" t="s">
        <v>1322</v>
      </c>
      <c r="C540" s="19"/>
      <c r="D540" s="345">
        <f>505/3098</f>
        <v>0.16300839251129762</v>
      </c>
      <c r="E540" s="345">
        <f>358/3351</f>
        <v>0.10683378096090719</v>
      </c>
      <c r="F540" s="345">
        <f>430/3364</f>
        <v>0.12782401902497029</v>
      </c>
      <c r="G540" s="345">
        <f>579/3895</f>
        <v>0.14865211810012838</v>
      </c>
      <c r="H540" s="345">
        <f>621/3200</f>
        <v>0.1940625</v>
      </c>
      <c r="I540" s="345">
        <f>608/3489</f>
        <v>0.17426196617942102</v>
      </c>
      <c r="J540" s="345">
        <f>620/2995</f>
        <v>0.20701168614357263</v>
      </c>
      <c r="K540" s="345">
        <f>583/3427</f>
        <v>0.17011963816749343</v>
      </c>
      <c r="L540" s="345">
        <f>741/3592</f>
        <v>0.20629175946547884</v>
      </c>
      <c r="M540" s="345">
        <f>833/4190</f>
        <v>0.19880668257756562</v>
      </c>
      <c r="N540" s="345">
        <f>1040/4177</f>
        <v>0.24898252334211157</v>
      </c>
      <c r="O540" s="345">
        <f>953/4994</f>
        <v>0.19082899479375251</v>
      </c>
      <c r="P540" s="345">
        <f>1262/5315</f>
        <v>0.23744120413922859</v>
      </c>
      <c r="Q540" s="345">
        <f>1114/4576</f>
        <v>0.24344405594405594</v>
      </c>
      <c r="R540" s="345">
        <f>1295/5105</f>
        <v>0.25367286973555336</v>
      </c>
      <c r="S540" s="345">
        <f>1189/5030</f>
        <v>0.23638170974155071</v>
      </c>
      <c r="T540" s="345">
        <f>1496/5374</f>
        <v>0.27837737253442502</v>
      </c>
      <c r="U540" s="345">
        <v>0.27988614800759015</v>
      </c>
      <c r="V540" s="345">
        <v>0.26930451455464527</v>
      </c>
      <c r="W540" s="345">
        <f>3472/12552</f>
        <v>0.27660930528999361</v>
      </c>
      <c r="X540" s="345">
        <f>1891/6149</f>
        <v>0.30752967962270289</v>
      </c>
      <c r="Y540" s="345">
        <f>1579/5804</f>
        <v>0.27205375603032389</v>
      </c>
      <c r="Z540" s="345">
        <f>1348/5514</f>
        <v>0.24446862531737396</v>
      </c>
      <c r="AA540" s="345">
        <f>1348/6986</f>
        <v>0.19295734325794445</v>
      </c>
      <c r="AB540" s="345">
        <f>1962/7625</f>
        <v>0.25731147540983607</v>
      </c>
      <c r="AC540" s="345">
        <f>1549/9659</f>
        <v>0.16036856817475928</v>
      </c>
      <c r="AD540" s="345">
        <f>2022/8496</f>
        <v>0.23799435028248589</v>
      </c>
      <c r="AE540" s="345">
        <f>2729/10260</f>
        <v>0.26598440545808966</v>
      </c>
      <c r="AF540" s="345">
        <v>0.2328582952406561</v>
      </c>
      <c r="AG540" s="345">
        <v>0.2279263370332997</v>
      </c>
      <c r="AH540" s="345">
        <f>1730/7544</f>
        <v>0.22932131495227995</v>
      </c>
      <c r="AI540" s="345">
        <f>2165/8531</f>
        <v>0.25378033055913729</v>
      </c>
      <c r="AJ540" s="356">
        <f>1852/8484</f>
        <v>0.21829325789721829</v>
      </c>
      <c r="AK540" s="344">
        <f t="shared" si="4316"/>
        <v>0.21829325789721829</v>
      </c>
      <c r="AL540" s="344">
        <f t="shared" si="4317"/>
        <v>0.21829325789721829</v>
      </c>
      <c r="AM540" s="344">
        <f t="shared" si="4318"/>
        <v>0.21829325789721829</v>
      </c>
      <c r="AN540" s="344">
        <f t="shared" si="4319"/>
        <v>0.21829325789721829</v>
      </c>
      <c r="AO540" s="344">
        <f t="shared" si="4320"/>
        <v>0.21829325789721829</v>
      </c>
      <c r="AP540" s="344">
        <f t="shared" si="4321"/>
        <v>0.21829325789721829</v>
      </c>
      <c r="AQ540" s="344">
        <f t="shared" si="4322"/>
        <v>0.21829325789721829</v>
      </c>
      <c r="AR540" s="344">
        <f t="shared" si="4323"/>
        <v>0.21829325789721829</v>
      </c>
      <c r="AS540" s="344">
        <f t="shared" si="4324"/>
        <v>0.21829325789721829</v>
      </c>
      <c r="AT540" s="19"/>
      <c r="AU540" s="345"/>
      <c r="AV540" s="345"/>
      <c r="AW540" s="345">
        <f>1490/6846</f>
        <v>0.21764534034472685</v>
      </c>
      <c r="AX540" s="345">
        <f>1459/7564</f>
        <v>0.19288736118455843</v>
      </c>
      <c r="AY540" s="345">
        <f>916/4554</f>
        <v>0.20114185331576637</v>
      </c>
      <c r="AZ540" s="343">
        <f t="shared" si="4325"/>
        <v>0.10683378096090719</v>
      </c>
      <c r="BA540" s="343">
        <f t="shared" si="4326"/>
        <v>0.14865211810012838</v>
      </c>
      <c r="BB540" s="343">
        <f t="shared" si="4327"/>
        <v>0.17426196617942102</v>
      </c>
      <c r="BC540" s="343">
        <f t="shared" si="4328"/>
        <v>0.17011963816749343</v>
      </c>
      <c r="BD540" s="50">
        <f t="shared" si="4329"/>
        <v>0.19880668257756562</v>
      </c>
      <c r="BE540" s="343">
        <f t="shared" si="4330"/>
        <v>0.19082899479375251</v>
      </c>
      <c r="BF540" s="343">
        <f t="shared" si="4331"/>
        <v>0.24344405594405594</v>
      </c>
      <c r="BG540" s="343">
        <f t="shared" si="4332"/>
        <v>0.23638170974155071</v>
      </c>
      <c r="BH540" s="343">
        <f t="shared" si="4333"/>
        <v>0.27988614800759015</v>
      </c>
      <c r="BI540" s="343">
        <f t="shared" si="4334"/>
        <v>0.27660930528999361</v>
      </c>
      <c r="BJ540" s="343">
        <f t="shared" si="4335"/>
        <v>0.27205375603032389</v>
      </c>
      <c r="BK540" s="343">
        <f t="shared" si="4336"/>
        <v>0.19295734325794445</v>
      </c>
      <c r="BL540" s="343">
        <f t="shared" si="4337"/>
        <v>0.16036856817475928</v>
      </c>
      <c r="BM540" s="343">
        <f t="shared" si="4338"/>
        <v>0.26598440545808966</v>
      </c>
      <c r="BN540" s="343">
        <f t="shared" si="4339"/>
        <v>0.2279263370332997</v>
      </c>
      <c r="BO540" s="397">
        <f t="shared" si="4340"/>
        <v>0.25378033055913729</v>
      </c>
      <c r="BP540" s="343">
        <f t="shared" si="4341"/>
        <v>0.21829325789721829</v>
      </c>
      <c r="BQ540" s="343">
        <f t="shared" si="4342"/>
        <v>0.21829325789721829</v>
      </c>
      <c r="BR540" s="343">
        <f t="shared" si="4343"/>
        <v>0.21829325789721829</v>
      </c>
      <c r="BS540" s="343">
        <f t="shared" si="4344"/>
        <v>0.21829325789721829</v>
      </c>
      <c r="BT540" s="343">
        <f t="shared" si="4345"/>
        <v>0.21829325789721829</v>
      </c>
    </row>
    <row r="541" spans="1:72" ht="12" customHeight="1" outlineLevel="1">
      <c r="A541" s="91" t="s">
        <v>1327</v>
      </c>
      <c r="B541" s="1" t="s">
        <v>1323</v>
      </c>
      <c r="C541" s="19"/>
      <c r="D541" s="345">
        <f>627/3098</f>
        <v>0.20238863783085861</v>
      </c>
      <c r="E541" s="345">
        <v>0.15279021187705163</v>
      </c>
      <c r="F541" s="345">
        <f>529/3364</f>
        <v>0.15725326991676575</v>
      </c>
      <c r="G541" s="345">
        <f>621/3895</f>
        <v>0.15943517329910142</v>
      </c>
      <c r="H541" s="345">
        <f>401/3200</f>
        <v>0.12531249999999999</v>
      </c>
      <c r="I541" s="345">
        <f>339/3489</f>
        <v>9.7162510748065353E-2</v>
      </c>
      <c r="J541" s="345">
        <f>347/2995</f>
        <v>0.11585976627712855</v>
      </c>
      <c r="K541" s="345">
        <f>381/3427</f>
        <v>0.11117595564633791</v>
      </c>
      <c r="L541" s="345">
        <f>485/3592</f>
        <v>0.13502227171492204</v>
      </c>
      <c r="M541" s="345">
        <f t="shared" ref="M541:S541" si="4346">1-SUM(M538:M540)</f>
        <v>0.13317422434367543</v>
      </c>
      <c r="N541" s="403">
        <f t="shared" si="4346"/>
        <v>0.10126885324395507</v>
      </c>
      <c r="O541" s="403">
        <f t="shared" si="4346"/>
        <v>0.13816579895875059</v>
      </c>
      <c r="P541" s="403">
        <f t="shared" si="4346"/>
        <v>0.15992474129821255</v>
      </c>
      <c r="Q541" s="403">
        <f t="shared" si="4346"/>
        <v>0.12718531468531469</v>
      </c>
      <c r="R541" s="403">
        <f t="shared" si="4346"/>
        <v>0.11126346718903035</v>
      </c>
      <c r="S541" s="403">
        <f t="shared" si="4346"/>
        <v>0.13320079522862815</v>
      </c>
      <c r="T541" s="403">
        <f t="shared" ref="T541:U541" si="4347">1-SUM(T538:T540)</f>
        <v>0.10197245999255666</v>
      </c>
      <c r="U541" s="403">
        <f t="shared" si="4347"/>
        <v>0.12922201138519929</v>
      </c>
      <c r="V541" s="403">
        <f t="shared" ref="V541:W541" si="4348">1-SUM(V538:V540)</f>
        <v>9.2731392713961913E-2</v>
      </c>
      <c r="W541" s="403">
        <f t="shared" si="4348"/>
        <v>9.0662842574888547E-2</v>
      </c>
      <c r="X541" s="403">
        <f t="shared" ref="X541:Y541" si="4349">1-SUM(X538:X540)</f>
        <v>7.9362497967149004E-2</v>
      </c>
      <c r="Y541" s="403">
        <f t="shared" si="4349"/>
        <v>0.18694004135079256</v>
      </c>
      <c r="Z541" s="403">
        <f t="shared" ref="Z541:AA541" si="4350">1-SUM(Z538:Z540)</f>
        <v>0.12060210373594482</v>
      </c>
      <c r="AA541" s="403">
        <f t="shared" si="4350"/>
        <v>0.23718866304036645</v>
      </c>
      <c r="AB541" s="403">
        <f t="shared" ref="AB541:AC541" si="4351">1-SUM(AB538:AB540)</f>
        <v>7.4622950819672074E-2</v>
      </c>
      <c r="AC541" s="403">
        <f t="shared" si="4351"/>
        <v>5.8805259343617355E-2</v>
      </c>
      <c r="AD541" s="403">
        <f t="shared" ref="AD541:AE541" si="4352">1-SUM(AD538:AD540)</f>
        <v>9.8163841807909602E-2</v>
      </c>
      <c r="AE541" s="403">
        <f t="shared" si="4352"/>
        <v>6.5692007797271024E-2</v>
      </c>
      <c r="AF541" s="403">
        <f t="shared" ref="AF541:AG541" si="4353">1-SUM(AF538:AF540)</f>
        <v>0.10056466792148422</v>
      </c>
      <c r="AG541" s="403">
        <f t="shared" si="4353"/>
        <v>9.0083500272791883E-2</v>
      </c>
      <c r="AH541" s="403">
        <f t="shared" ref="AH541:AI541" si="4354">1-SUM(AH538:AH540)</f>
        <v>0.10577942735949097</v>
      </c>
      <c r="AI541" s="403">
        <f t="shared" si="4354"/>
        <v>9.3775641777048335E-2</v>
      </c>
      <c r="AJ541" s="404">
        <f t="shared" ref="AJ541" si="4355">1-SUM(AJ538:AJ540)</f>
        <v>0.10572842998585563</v>
      </c>
      <c r="AK541" s="344">
        <f t="shared" si="4316"/>
        <v>0.10572842998585563</v>
      </c>
      <c r="AL541" s="344">
        <f t="shared" si="4317"/>
        <v>0.10572842998585563</v>
      </c>
      <c r="AM541" s="344">
        <f t="shared" si="4318"/>
        <v>0.10572842998585563</v>
      </c>
      <c r="AN541" s="344">
        <f t="shared" si="4319"/>
        <v>0.10572842998585563</v>
      </c>
      <c r="AO541" s="344">
        <f t="shared" si="4320"/>
        <v>0.10572842998585563</v>
      </c>
      <c r="AP541" s="344">
        <f t="shared" si="4321"/>
        <v>0.10572842998585563</v>
      </c>
      <c r="AQ541" s="344">
        <f t="shared" si="4322"/>
        <v>0.10572842998585563</v>
      </c>
      <c r="AR541" s="344">
        <f t="shared" si="4323"/>
        <v>0.10572842998585563</v>
      </c>
      <c r="AS541" s="344">
        <f t="shared" si="4324"/>
        <v>0.10572842998585563</v>
      </c>
      <c r="AT541" s="19"/>
      <c r="AU541" s="345"/>
      <c r="AV541" s="345"/>
      <c r="AW541" s="345">
        <f>1159/6846</f>
        <v>0.16929593923458955</v>
      </c>
      <c r="AX541" s="345">
        <f>1982/7564</f>
        <v>0.26203067160232679</v>
      </c>
      <c r="AY541" s="345">
        <f>1072/4554</f>
        <v>0.23539745278875715</v>
      </c>
      <c r="AZ541" s="343">
        <f t="shared" si="4325"/>
        <v>0.15279021187705163</v>
      </c>
      <c r="BA541" s="343">
        <f t="shared" si="4326"/>
        <v>0.15943517329910142</v>
      </c>
      <c r="BB541" s="343">
        <f t="shared" si="4327"/>
        <v>9.7162510748065353E-2</v>
      </c>
      <c r="BC541" s="343">
        <f t="shared" si="4328"/>
        <v>0.11117595564633791</v>
      </c>
      <c r="BD541" s="50">
        <f t="shared" si="4329"/>
        <v>0.13317422434367543</v>
      </c>
      <c r="BE541" s="343">
        <f t="shared" si="4330"/>
        <v>0.13816579895875059</v>
      </c>
      <c r="BF541" s="343">
        <f t="shared" si="4331"/>
        <v>0.12718531468531469</v>
      </c>
      <c r="BG541" s="343">
        <f t="shared" si="4332"/>
        <v>0.13320079522862815</v>
      </c>
      <c r="BH541" s="343">
        <f t="shared" si="4333"/>
        <v>0.12922201138519929</v>
      </c>
      <c r="BI541" s="343">
        <f t="shared" si="4334"/>
        <v>9.0662842574888547E-2</v>
      </c>
      <c r="BJ541" s="343">
        <f t="shared" si="4335"/>
        <v>0.18694004135079256</v>
      </c>
      <c r="BK541" s="343">
        <f t="shared" si="4336"/>
        <v>0.23718866304036645</v>
      </c>
      <c r="BL541" s="343">
        <f t="shared" si="4337"/>
        <v>5.8805259343617355E-2</v>
      </c>
      <c r="BM541" s="343">
        <f t="shared" si="4338"/>
        <v>6.5692007797271024E-2</v>
      </c>
      <c r="BN541" s="343">
        <f t="shared" si="4339"/>
        <v>9.0083500272791883E-2</v>
      </c>
      <c r="BO541" s="397">
        <f t="shared" si="4340"/>
        <v>9.3775641777048335E-2</v>
      </c>
      <c r="BP541" s="343">
        <f t="shared" si="4341"/>
        <v>0.10572842998585563</v>
      </c>
      <c r="BQ541" s="343">
        <f t="shared" si="4342"/>
        <v>0.10572842998585563</v>
      </c>
      <c r="BR541" s="343">
        <f t="shared" si="4343"/>
        <v>0.10572842998585563</v>
      </c>
      <c r="BS541" s="343">
        <f t="shared" si="4344"/>
        <v>0.10572842998585563</v>
      </c>
      <c r="BT541" s="343">
        <f t="shared" si="4345"/>
        <v>0.10572842998585563</v>
      </c>
    </row>
    <row r="542" spans="1:72" ht="12" customHeight="1" outlineLevel="1">
      <c r="A542" s="91" t="s">
        <v>1329</v>
      </c>
      <c r="B542" s="1" t="s">
        <v>881</v>
      </c>
      <c r="C542" s="19"/>
      <c r="D542" s="345">
        <v>0.02</v>
      </c>
      <c r="E542" s="345">
        <f>D542+0.5%</f>
        <v>2.5000000000000001E-2</v>
      </c>
      <c r="F542" s="345">
        <f t="shared" ref="F542:AJ542" si="4356">E542+0.5%</f>
        <v>3.0000000000000002E-2</v>
      </c>
      <c r="G542" s="345">
        <f t="shared" si="4356"/>
        <v>3.5000000000000003E-2</v>
      </c>
      <c r="H542" s="345">
        <f t="shared" si="4356"/>
        <v>0.04</v>
      </c>
      <c r="I542" s="345">
        <f t="shared" si="4356"/>
        <v>4.4999999999999998E-2</v>
      </c>
      <c r="J542" s="345">
        <f t="shared" si="4356"/>
        <v>4.9999999999999996E-2</v>
      </c>
      <c r="K542" s="345">
        <f t="shared" si="4356"/>
        <v>5.4999999999999993E-2</v>
      </c>
      <c r="L542" s="345">
        <f t="shared" si="4356"/>
        <v>5.9999999999999991E-2</v>
      </c>
      <c r="M542" s="345">
        <f t="shared" si="4356"/>
        <v>6.4999999999999988E-2</v>
      </c>
      <c r="N542" s="345">
        <f t="shared" si="4356"/>
        <v>6.9999999999999993E-2</v>
      </c>
      <c r="O542" s="345">
        <f t="shared" si="4356"/>
        <v>7.4999999999999997E-2</v>
      </c>
      <c r="P542" s="345">
        <f t="shared" si="4356"/>
        <v>0.08</v>
      </c>
      <c r="Q542" s="345">
        <f t="shared" si="4356"/>
        <v>8.5000000000000006E-2</v>
      </c>
      <c r="R542" s="345">
        <f t="shared" si="4356"/>
        <v>9.0000000000000011E-2</v>
      </c>
      <c r="S542" s="345">
        <f t="shared" si="4356"/>
        <v>9.5000000000000015E-2</v>
      </c>
      <c r="T542" s="345">
        <f t="shared" si="4356"/>
        <v>0.10000000000000002</v>
      </c>
      <c r="U542" s="345">
        <f t="shared" si="4356"/>
        <v>0.10500000000000002</v>
      </c>
      <c r="V542" s="345">
        <f t="shared" si="4356"/>
        <v>0.11000000000000003</v>
      </c>
      <c r="W542" s="345">
        <f t="shared" si="4356"/>
        <v>0.11500000000000003</v>
      </c>
      <c r="X542" s="345">
        <f t="shared" si="4356"/>
        <v>0.12000000000000004</v>
      </c>
      <c r="Y542" s="345">
        <f t="shared" si="4356"/>
        <v>0.12500000000000003</v>
      </c>
      <c r="Z542" s="345">
        <f t="shared" si="4356"/>
        <v>0.13000000000000003</v>
      </c>
      <c r="AA542" s="345">
        <f t="shared" si="4356"/>
        <v>0.13500000000000004</v>
      </c>
      <c r="AB542" s="345">
        <f t="shared" si="4356"/>
        <v>0.14000000000000004</v>
      </c>
      <c r="AC542" s="345">
        <f t="shared" si="4356"/>
        <v>0.14500000000000005</v>
      </c>
      <c r="AD542" s="345">
        <f t="shared" si="4356"/>
        <v>0.15000000000000005</v>
      </c>
      <c r="AE542" s="345">
        <f t="shared" si="4356"/>
        <v>0.15500000000000005</v>
      </c>
      <c r="AF542" s="345">
        <f t="shared" si="4356"/>
        <v>0.16000000000000006</v>
      </c>
      <c r="AG542" s="345">
        <f t="shared" si="4356"/>
        <v>0.16500000000000006</v>
      </c>
      <c r="AH542" s="345">
        <f t="shared" si="4356"/>
        <v>0.17000000000000007</v>
      </c>
      <c r="AI542" s="345">
        <f t="shared" si="4356"/>
        <v>0.17500000000000007</v>
      </c>
      <c r="AJ542" s="577">
        <f t="shared" si="4356"/>
        <v>0.18000000000000008</v>
      </c>
      <c r="AK542" s="344">
        <f t="shared" si="4316"/>
        <v>0.18000000000000008</v>
      </c>
      <c r="AL542" s="344">
        <f t="shared" si="4317"/>
        <v>0.18000000000000008</v>
      </c>
      <c r="AM542" s="344">
        <f t="shared" si="4318"/>
        <v>0.18000000000000008</v>
      </c>
      <c r="AN542" s="344">
        <f t="shared" si="4319"/>
        <v>0.18000000000000008</v>
      </c>
      <c r="AO542" s="344">
        <f t="shared" si="4320"/>
        <v>0.18000000000000008</v>
      </c>
      <c r="AP542" s="344">
        <f t="shared" si="4321"/>
        <v>0.18000000000000008</v>
      </c>
      <c r="AQ542" s="344">
        <f t="shared" si="4322"/>
        <v>0.18000000000000008</v>
      </c>
      <c r="AR542" s="344">
        <f t="shared" si="4323"/>
        <v>0.18000000000000008</v>
      </c>
      <c r="AS542" s="344">
        <f t="shared" si="4324"/>
        <v>0.18000000000000008</v>
      </c>
      <c r="AT542" s="19"/>
      <c r="AU542" s="345">
        <v>0.02</v>
      </c>
      <c r="AV542" s="345">
        <v>0.02</v>
      </c>
      <c r="AW542" s="345">
        <v>0.02</v>
      </c>
      <c r="AX542" s="345">
        <v>0.02</v>
      </c>
      <c r="AY542" s="345">
        <v>0.02</v>
      </c>
      <c r="AZ542" s="343">
        <f t="shared" si="4325"/>
        <v>2.5000000000000001E-2</v>
      </c>
      <c r="BA542" s="343">
        <f t="shared" si="4326"/>
        <v>3.5000000000000003E-2</v>
      </c>
      <c r="BB542" s="343">
        <f t="shared" si="4327"/>
        <v>4.4999999999999998E-2</v>
      </c>
      <c r="BC542" s="343">
        <f t="shared" si="4328"/>
        <v>5.4999999999999993E-2</v>
      </c>
      <c r="BD542" s="50">
        <f t="shared" si="4329"/>
        <v>6.4999999999999988E-2</v>
      </c>
      <c r="BE542" s="343">
        <f t="shared" si="4330"/>
        <v>7.4999999999999997E-2</v>
      </c>
      <c r="BF542" s="343">
        <f t="shared" si="4331"/>
        <v>8.5000000000000006E-2</v>
      </c>
      <c r="BG542" s="343">
        <f t="shared" si="4332"/>
        <v>9.5000000000000015E-2</v>
      </c>
      <c r="BH542" s="343">
        <f t="shared" si="4333"/>
        <v>0.10500000000000002</v>
      </c>
      <c r="BI542" s="343">
        <f t="shared" si="4334"/>
        <v>0.11500000000000003</v>
      </c>
      <c r="BJ542" s="343">
        <f t="shared" si="4335"/>
        <v>0.12500000000000003</v>
      </c>
      <c r="BK542" s="343">
        <f t="shared" si="4336"/>
        <v>0.13500000000000004</v>
      </c>
      <c r="BL542" s="343">
        <f t="shared" si="4337"/>
        <v>0.14500000000000005</v>
      </c>
      <c r="BM542" s="343">
        <f t="shared" si="4338"/>
        <v>0.15500000000000005</v>
      </c>
      <c r="BN542" s="343">
        <f t="shared" si="4339"/>
        <v>0.16500000000000006</v>
      </c>
      <c r="BO542" s="397">
        <f t="shared" si="4340"/>
        <v>0.17500000000000007</v>
      </c>
      <c r="BP542" s="343">
        <f t="shared" si="4341"/>
        <v>0.18000000000000008</v>
      </c>
      <c r="BQ542" s="343">
        <f t="shared" si="4342"/>
        <v>0.18000000000000008</v>
      </c>
      <c r="BR542" s="343">
        <f t="shared" si="4343"/>
        <v>0.18000000000000008</v>
      </c>
      <c r="BS542" s="343">
        <f t="shared" si="4344"/>
        <v>0.18000000000000008</v>
      </c>
      <c r="BT542" s="343">
        <f t="shared" si="4345"/>
        <v>0.18000000000000008</v>
      </c>
    </row>
    <row r="543" spans="1:72" ht="12" customHeight="1" outlineLevel="1">
      <c r="A543" s="91" t="s">
        <v>1330</v>
      </c>
      <c r="B543" s="1" t="s">
        <v>883</v>
      </c>
      <c r="C543" s="19"/>
      <c r="D543" s="345">
        <f>1-D542-D544</f>
        <v>0.92999999999999994</v>
      </c>
      <c r="E543" s="345">
        <f t="shared" ref="E543:M543" si="4357">1-E542-E544</f>
        <v>0.92499999999999993</v>
      </c>
      <c r="F543" s="345">
        <f t="shared" si="4357"/>
        <v>0.91999999999999993</v>
      </c>
      <c r="G543" s="345">
        <f t="shared" si="4357"/>
        <v>0.91499999999999992</v>
      </c>
      <c r="H543" s="345">
        <f t="shared" si="4357"/>
        <v>0.90999999999999992</v>
      </c>
      <c r="I543" s="345">
        <f t="shared" si="4357"/>
        <v>0.90499999999999992</v>
      </c>
      <c r="J543" s="345">
        <f t="shared" si="4357"/>
        <v>0.89999999999999991</v>
      </c>
      <c r="K543" s="345">
        <f t="shared" si="4357"/>
        <v>0.89500000000000002</v>
      </c>
      <c r="L543" s="345">
        <f t="shared" si="4357"/>
        <v>0.89</v>
      </c>
      <c r="M543" s="345">
        <f t="shared" si="4357"/>
        <v>0.88500000000000001</v>
      </c>
      <c r="N543" s="345">
        <f t="shared" ref="N543:O543" si="4358">1-N542-N544</f>
        <v>0.88</v>
      </c>
      <c r="O543" s="345">
        <f t="shared" si="4358"/>
        <v>0.875</v>
      </c>
      <c r="P543" s="345">
        <f t="shared" ref="P543:Q543" si="4359">1-P542-P544</f>
        <v>0.87</v>
      </c>
      <c r="Q543" s="345">
        <f t="shared" si="4359"/>
        <v>0.86499999999999999</v>
      </c>
      <c r="R543" s="345">
        <f t="shared" ref="R543:S543" si="4360">1-R542-R544</f>
        <v>0.86</v>
      </c>
      <c r="S543" s="345">
        <f t="shared" si="4360"/>
        <v>0.85499999999999998</v>
      </c>
      <c r="T543" s="345">
        <f t="shared" ref="T543:U543" si="4361">1-T542-T544</f>
        <v>0.85</v>
      </c>
      <c r="U543" s="345">
        <f t="shared" si="4361"/>
        <v>0.84499999999999997</v>
      </c>
      <c r="V543" s="345">
        <f t="shared" ref="V543:W543" si="4362">1-V542-V544</f>
        <v>0.84</v>
      </c>
      <c r="W543" s="345">
        <f t="shared" si="4362"/>
        <v>0.83499999999999996</v>
      </c>
      <c r="X543" s="345">
        <f t="shared" ref="X543:Y543" si="4363">1-X542-X544</f>
        <v>0.83</v>
      </c>
      <c r="Y543" s="345">
        <f t="shared" si="4363"/>
        <v>0.82499999999999996</v>
      </c>
      <c r="Z543" s="345">
        <f t="shared" ref="Z543:AA543" si="4364">1-Z542-Z544</f>
        <v>0.82</v>
      </c>
      <c r="AA543" s="345">
        <f t="shared" si="4364"/>
        <v>0.81499999999999995</v>
      </c>
      <c r="AB543" s="345">
        <f t="shared" ref="AB543:AC543" si="4365">1-AB542-AB544</f>
        <v>0.80999999999999994</v>
      </c>
      <c r="AC543" s="345">
        <f t="shared" si="4365"/>
        <v>0.80499999999999994</v>
      </c>
      <c r="AD543" s="345">
        <f t="shared" ref="AD543:AE543" si="4366">1-AD542-AD544</f>
        <v>0.79999999999999993</v>
      </c>
      <c r="AE543" s="345">
        <f t="shared" si="4366"/>
        <v>0.79499999999999993</v>
      </c>
      <c r="AF543" s="345">
        <f t="shared" ref="AF543:AG543" si="4367">1-AF542-AF544</f>
        <v>0.78999999999999992</v>
      </c>
      <c r="AG543" s="345">
        <f t="shared" si="4367"/>
        <v>0.78499999999999992</v>
      </c>
      <c r="AH543" s="345">
        <f t="shared" ref="AH543:AI543" si="4368">1-AH542-AH544</f>
        <v>0.77999999999999992</v>
      </c>
      <c r="AI543" s="345">
        <f t="shared" si="4368"/>
        <v>0.77499999999999991</v>
      </c>
      <c r="AJ543" s="577">
        <f t="shared" ref="AJ543" si="4369">1-AJ542-AJ544</f>
        <v>0.76999999999999991</v>
      </c>
      <c r="AK543" s="344">
        <f t="shared" ref="AK543" si="4370">1-AK542-AK544</f>
        <v>0.76999999999999991</v>
      </c>
      <c r="AL543" s="344">
        <f t="shared" ref="AL543:AM543" si="4371">1-AL542-AL544</f>
        <v>0.76999999999999991</v>
      </c>
      <c r="AM543" s="344">
        <f t="shared" si="4371"/>
        <v>0.76999999999999991</v>
      </c>
      <c r="AN543" s="344">
        <f t="shared" ref="AN543:AO543" si="4372">1-AN542-AN544</f>
        <v>0.76999999999999991</v>
      </c>
      <c r="AO543" s="344">
        <f t="shared" si="4372"/>
        <v>0.76999999999999991</v>
      </c>
      <c r="AP543" s="344">
        <f t="shared" ref="AP543:AQ543" si="4373">1-AP542-AP544</f>
        <v>0.76999999999999991</v>
      </c>
      <c r="AQ543" s="344">
        <f t="shared" si="4373"/>
        <v>0.76999999999999991</v>
      </c>
      <c r="AR543" s="344">
        <f t="shared" ref="AR543:AS543" si="4374">1-AR542-AR544</f>
        <v>0.76999999999999991</v>
      </c>
      <c r="AS543" s="344">
        <f t="shared" si="4374"/>
        <v>0.76999999999999991</v>
      </c>
      <c r="AT543" s="19"/>
      <c r="AU543" s="345">
        <f>1-AU542-AU544</f>
        <v>0.92999999999999994</v>
      </c>
      <c r="AV543" s="345">
        <f t="shared" ref="AV543:AY543" si="4375">1-AV542-AV544</f>
        <v>0.92999999999999994</v>
      </c>
      <c r="AW543" s="345">
        <f t="shared" si="4375"/>
        <v>0.92999999999999994</v>
      </c>
      <c r="AX543" s="345">
        <f t="shared" si="4375"/>
        <v>0.92999999999999994</v>
      </c>
      <c r="AY543" s="345">
        <f t="shared" si="4375"/>
        <v>0.92999999999999994</v>
      </c>
      <c r="AZ543" s="343">
        <f t="shared" si="4325"/>
        <v>0.92499999999999993</v>
      </c>
      <c r="BA543" s="343">
        <f t="shared" si="4326"/>
        <v>0.91499999999999992</v>
      </c>
      <c r="BB543" s="343">
        <f t="shared" si="4327"/>
        <v>0.90499999999999992</v>
      </c>
      <c r="BC543" s="343">
        <f t="shared" si="4328"/>
        <v>0.89500000000000002</v>
      </c>
      <c r="BD543" s="50">
        <f t="shared" si="4329"/>
        <v>0.88500000000000001</v>
      </c>
      <c r="BE543" s="343">
        <f t="shared" si="4330"/>
        <v>0.875</v>
      </c>
      <c r="BF543" s="343">
        <f t="shared" si="4331"/>
        <v>0.86499999999999999</v>
      </c>
      <c r="BG543" s="343">
        <f t="shared" si="4332"/>
        <v>0.85499999999999998</v>
      </c>
      <c r="BH543" s="343">
        <f t="shared" si="4333"/>
        <v>0.84499999999999997</v>
      </c>
      <c r="BI543" s="343">
        <f t="shared" si="4334"/>
        <v>0.83499999999999996</v>
      </c>
      <c r="BJ543" s="343">
        <f t="shared" si="4335"/>
        <v>0.82499999999999996</v>
      </c>
      <c r="BK543" s="343">
        <f t="shared" si="4336"/>
        <v>0.81499999999999995</v>
      </c>
      <c r="BL543" s="343">
        <f t="shared" si="4337"/>
        <v>0.80499999999999994</v>
      </c>
      <c r="BM543" s="343">
        <f t="shared" si="4338"/>
        <v>0.79499999999999993</v>
      </c>
      <c r="BN543" s="343">
        <f t="shared" si="4339"/>
        <v>0.78499999999999992</v>
      </c>
      <c r="BO543" s="397">
        <f t="shared" si="4340"/>
        <v>0.77499999999999991</v>
      </c>
      <c r="BP543" s="343">
        <f t="shared" si="4341"/>
        <v>0.76999999999999991</v>
      </c>
      <c r="BQ543" s="343">
        <f t="shared" si="4342"/>
        <v>0.76999999999999991</v>
      </c>
      <c r="BR543" s="343">
        <f t="shared" si="4343"/>
        <v>0.76999999999999991</v>
      </c>
      <c r="BS543" s="343">
        <f t="shared" si="4344"/>
        <v>0.76999999999999991</v>
      </c>
      <c r="BT543" s="343">
        <f t="shared" si="4345"/>
        <v>0.76999999999999991</v>
      </c>
    </row>
    <row r="544" spans="1:72" ht="12" customHeight="1" outlineLevel="1">
      <c r="A544" s="91" t="s">
        <v>1331</v>
      </c>
      <c r="B544" s="1" t="s">
        <v>885</v>
      </c>
      <c r="C544" s="19"/>
      <c r="D544" s="345">
        <v>0.05</v>
      </c>
      <c r="E544" s="345">
        <f>D544</f>
        <v>0.05</v>
      </c>
      <c r="F544" s="345">
        <f t="shared" ref="F544:AJ544" si="4376">E544</f>
        <v>0.05</v>
      </c>
      <c r="G544" s="345">
        <f t="shared" si="4376"/>
        <v>0.05</v>
      </c>
      <c r="H544" s="345">
        <f t="shared" si="4376"/>
        <v>0.05</v>
      </c>
      <c r="I544" s="345">
        <f t="shared" si="4376"/>
        <v>0.05</v>
      </c>
      <c r="J544" s="345">
        <f t="shared" si="4376"/>
        <v>0.05</v>
      </c>
      <c r="K544" s="345">
        <f t="shared" si="4376"/>
        <v>0.05</v>
      </c>
      <c r="L544" s="345">
        <f t="shared" si="4376"/>
        <v>0.05</v>
      </c>
      <c r="M544" s="345">
        <f t="shared" si="4376"/>
        <v>0.05</v>
      </c>
      <c r="N544" s="345">
        <f t="shared" si="4376"/>
        <v>0.05</v>
      </c>
      <c r="O544" s="345">
        <f t="shared" si="4376"/>
        <v>0.05</v>
      </c>
      <c r="P544" s="345">
        <f t="shared" si="4376"/>
        <v>0.05</v>
      </c>
      <c r="Q544" s="345">
        <f t="shared" si="4376"/>
        <v>0.05</v>
      </c>
      <c r="R544" s="345">
        <f t="shared" si="4376"/>
        <v>0.05</v>
      </c>
      <c r="S544" s="345">
        <f t="shared" si="4376"/>
        <v>0.05</v>
      </c>
      <c r="T544" s="345">
        <f t="shared" si="4376"/>
        <v>0.05</v>
      </c>
      <c r="U544" s="345">
        <f t="shared" si="4376"/>
        <v>0.05</v>
      </c>
      <c r="V544" s="345">
        <f t="shared" si="4376"/>
        <v>0.05</v>
      </c>
      <c r="W544" s="345">
        <f t="shared" si="4376"/>
        <v>0.05</v>
      </c>
      <c r="X544" s="345">
        <f t="shared" si="4376"/>
        <v>0.05</v>
      </c>
      <c r="Y544" s="345">
        <f t="shared" si="4376"/>
        <v>0.05</v>
      </c>
      <c r="Z544" s="345">
        <f t="shared" si="4376"/>
        <v>0.05</v>
      </c>
      <c r="AA544" s="345">
        <f t="shared" si="4376"/>
        <v>0.05</v>
      </c>
      <c r="AB544" s="345">
        <f t="shared" si="4376"/>
        <v>0.05</v>
      </c>
      <c r="AC544" s="345">
        <f t="shared" si="4376"/>
        <v>0.05</v>
      </c>
      <c r="AD544" s="345">
        <f t="shared" si="4376"/>
        <v>0.05</v>
      </c>
      <c r="AE544" s="345">
        <f t="shared" si="4376"/>
        <v>0.05</v>
      </c>
      <c r="AF544" s="345">
        <f t="shared" si="4376"/>
        <v>0.05</v>
      </c>
      <c r="AG544" s="345">
        <f t="shared" si="4376"/>
        <v>0.05</v>
      </c>
      <c r="AH544" s="345">
        <f t="shared" si="4376"/>
        <v>0.05</v>
      </c>
      <c r="AI544" s="345">
        <f t="shared" si="4376"/>
        <v>0.05</v>
      </c>
      <c r="AJ544" s="577">
        <f t="shared" si="4376"/>
        <v>0.05</v>
      </c>
      <c r="AK544" s="344">
        <f t="shared" ref="AK544" si="4377">AJ544</f>
        <v>0.05</v>
      </c>
      <c r="AL544" s="344">
        <f t="shared" ref="AL544" si="4378">AK544</f>
        <v>0.05</v>
      </c>
      <c r="AM544" s="344">
        <f t="shared" ref="AM544" si="4379">AL544</f>
        <v>0.05</v>
      </c>
      <c r="AN544" s="344">
        <f t="shared" ref="AN544" si="4380">AM544</f>
        <v>0.05</v>
      </c>
      <c r="AO544" s="344">
        <f t="shared" ref="AO544" si="4381">AN544</f>
        <v>0.05</v>
      </c>
      <c r="AP544" s="344">
        <f t="shared" ref="AP544" si="4382">AO544</f>
        <v>0.05</v>
      </c>
      <c r="AQ544" s="344">
        <f t="shared" ref="AQ544" si="4383">AP544</f>
        <v>0.05</v>
      </c>
      <c r="AR544" s="344">
        <f t="shared" ref="AR544" si="4384">AQ544</f>
        <v>0.05</v>
      </c>
      <c r="AS544" s="344">
        <f t="shared" ref="AS544" si="4385">AR544</f>
        <v>0.05</v>
      </c>
      <c r="AT544" s="19"/>
      <c r="AU544" s="345">
        <v>0.05</v>
      </c>
      <c r="AV544" s="345">
        <v>0.05</v>
      </c>
      <c r="AW544" s="345">
        <v>0.05</v>
      </c>
      <c r="AX544" s="345">
        <v>0.05</v>
      </c>
      <c r="AY544" s="345">
        <v>0.05</v>
      </c>
      <c r="AZ544" s="343">
        <f t="shared" si="4325"/>
        <v>0.05</v>
      </c>
      <c r="BA544" s="343">
        <f t="shared" si="4326"/>
        <v>0.05</v>
      </c>
      <c r="BB544" s="343">
        <f t="shared" si="4327"/>
        <v>0.05</v>
      </c>
      <c r="BC544" s="343">
        <f t="shared" si="4328"/>
        <v>0.05</v>
      </c>
      <c r="BD544" s="50">
        <f t="shared" si="4329"/>
        <v>0.05</v>
      </c>
      <c r="BE544" s="343">
        <f t="shared" si="4330"/>
        <v>0.05</v>
      </c>
      <c r="BF544" s="343">
        <f t="shared" si="4331"/>
        <v>0.05</v>
      </c>
      <c r="BG544" s="343">
        <f t="shared" si="4332"/>
        <v>0.05</v>
      </c>
      <c r="BH544" s="343">
        <f t="shared" si="4333"/>
        <v>0.05</v>
      </c>
      <c r="BI544" s="343">
        <f t="shared" si="4334"/>
        <v>0.05</v>
      </c>
      <c r="BJ544" s="343">
        <f t="shared" si="4335"/>
        <v>0.05</v>
      </c>
      <c r="BK544" s="343">
        <f t="shared" si="4336"/>
        <v>0.05</v>
      </c>
      <c r="BL544" s="343">
        <f t="shared" si="4337"/>
        <v>0.05</v>
      </c>
      <c r="BM544" s="343">
        <f t="shared" si="4338"/>
        <v>0.05</v>
      </c>
      <c r="BN544" s="343">
        <f t="shared" si="4339"/>
        <v>0.05</v>
      </c>
      <c r="BO544" s="397">
        <f t="shared" si="4340"/>
        <v>0.05</v>
      </c>
      <c r="BP544" s="343">
        <f t="shared" si="4341"/>
        <v>0.05</v>
      </c>
      <c r="BQ544" s="343">
        <f t="shared" si="4342"/>
        <v>0.05</v>
      </c>
      <c r="BR544" s="343">
        <f t="shared" si="4343"/>
        <v>0.05</v>
      </c>
      <c r="BS544" s="343">
        <f t="shared" si="4344"/>
        <v>0.05</v>
      </c>
      <c r="BT544" s="343">
        <f t="shared" si="4345"/>
        <v>0.05</v>
      </c>
    </row>
    <row r="545" spans="1:72" ht="12" customHeight="1" outlineLevel="1">
      <c r="A545" s="91" t="s">
        <v>1334</v>
      </c>
      <c r="B545" s="1" t="s">
        <v>887</v>
      </c>
      <c r="C545" s="19"/>
      <c r="D545" s="345">
        <f>0.1*D543</f>
        <v>9.2999999999999999E-2</v>
      </c>
      <c r="E545" s="345">
        <f t="shared" ref="E545:M545" si="4386">0.1*E543</f>
        <v>9.2499999999999999E-2</v>
      </c>
      <c r="F545" s="345">
        <f t="shared" si="4386"/>
        <v>9.1999999999999998E-2</v>
      </c>
      <c r="G545" s="345">
        <f t="shared" si="4386"/>
        <v>9.1499999999999998E-2</v>
      </c>
      <c r="H545" s="345">
        <f t="shared" si="4386"/>
        <v>9.0999999999999998E-2</v>
      </c>
      <c r="I545" s="345">
        <f t="shared" si="4386"/>
        <v>9.0499999999999997E-2</v>
      </c>
      <c r="J545" s="345">
        <f t="shared" si="4386"/>
        <v>0.09</v>
      </c>
      <c r="K545" s="345">
        <f t="shared" si="4386"/>
        <v>8.950000000000001E-2</v>
      </c>
      <c r="L545" s="345">
        <f t="shared" si="4386"/>
        <v>8.900000000000001E-2</v>
      </c>
      <c r="M545" s="345">
        <f t="shared" si="4386"/>
        <v>8.8500000000000009E-2</v>
      </c>
      <c r="N545" s="345">
        <f t="shared" ref="N545:O545" si="4387">0.1*N543</f>
        <v>8.8000000000000009E-2</v>
      </c>
      <c r="O545" s="345">
        <f t="shared" si="4387"/>
        <v>8.7500000000000008E-2</v>
      </c>
      <c r="P545" s="345">
        <f t="shared" ref="P545:Q545" si="4388">0.1*P543</f>
        <v>8.7000000000000008E-2</v>
      </c>
      <c r="Q545" s="345">
        <f t="shared" si="4388"/>
        <v>8.6500000000000007E-2</v>
      </c>
      <c r="R545" s="345">
        <f t="shared" ref="R545:S545" si="4389">0.1*R543</f>
        <v>8.6000000000000007E-2</v>
      </c>
      <c r="S545" s="345">
        <f t="shared" si="4389"/>
        <v>8.5500000000000007E-2</v>
      </c>
      <c r="T545" s="345">
        <f t="shared" ref="T545:U545" si="4390">0.1*T543</f>
        <v>8.5000000000000006E-2</v>
      </c>
      <c r="U545" s="345">
        <f t="shared" si="4390"/>
        <v>8.4500000000000006E-2</v>
      </c>
      <c r="V545" s="345">
        <f t="shared" ref="V545:W545" si="4391">0.1*V543</f>
        <v>8.4000000000000005E-2</v>
      </c>
      <c r="W545" s="345">
        <f t="shared" si="4391"/>
        <v>8.3500000000000005E-2</v>
      </c>
      <c r="X545" s="345">
        <f t="shared" ref="X545:Y545" si="4392">0.1*X543</f>
        <v>8.3000000000000004E-2</v>
      </c>
      <c r="Y545" s="345">
        <f t="shared" si="4392"/>
        <v>8.2500000000000004E-2</v>
      </c>
      <c r="Z545" s="345">
        <f t="shared" ref="Z545:AA545" si="4393">0.1*Z543</f>
        <v>8.2000000000000003E-2</v>
      </c>
      <c r="AA545" s="345">
        <f t="shared" si="4393"/>
        <v>8.1500000000000003E-2</v>
      </c>
      <c r="AB545" s="345">
        <f t="shared" ref="AB545:AC545" si="4394">0.1*AB543</f>
        <v>8.1000000000000003E-2</v>
      </c>
      <c r="AC545" s="345">
        <f t="shared" si="4394"/>
        <v>8.0500000000000002E-2</v>
      </c>
      <c r="AD545" s="345">
        <f t="shared" ref="AD545:AE545" si="4395">0.1*AD543</f>
        <v>0.08</v>
      </c>
      <c r="AE545" s="345">
        <f t="shared" si="4395"/>
        <v>7.9500000000000001E-2</v>
      </c>
      <c r="AF545" s="345">
        <f t="shared" ref="AF545:AG545" si="4396">0.1*AF543</f>
        <v>7.9000000000000001E-2</v>
      </c>
      <c r="AG545" s="345">
        <f t="shared" si="4396"/>
        <v>7.85E-2</v>
      </c>
      <c r="AH545" s="345">
        <f t="shared" ref="AH545:AI545" si="4397">0.1*AH543</f>
        <v>7.8E-2</v>
      </c>
      <c r="AI545" s="345">
        <f t="shared" si="4397"/>
        <v>7.7499999999999999E-2</v>
      </c>
      <c r="AJ545" s="577">
        <f t="shared" ref="AJ545" si="4398">0.1*AJ543</f>
        <v>7.6999999999999999E-2</v>
      </c>
      <c r="AK545" s="344">
        <f t="shared" ref="AK545" si="4399">0.1*AK543</f>
        <v>7.6999999999999999E-2</v>
      </c>
      <c r="AL545" s="344">
        <f t="shared" ref="AL545:AM545" si="4400">0.1*AL543</f>
        <v>7.6999999999999999E-2</v>
      </c>
      <c r="AM545" s="344">
        <f t="shared" si="4400"/>
        <v>7.6999999999999999E-2</v>
      </c>
      <c r="AN545" s="344">
        <f t="shared" ref="AN545:AO545" si="4401">0.1*AN543</f>
        <v>7.6999999999999999E-2</v>
      </c>
      <c r="AO545" s="344">
        <f t="shared" si="4401"/>
        <v>7.6999999999999999E-2</v>
      </c>
      <c r="AP545" s="344">
        <f t="shared" ref="AP545:AQ545" si="4402">0.1*AP543</f>
        <v>7.6999999999999999E-2</v>
      </c>
      <c r="AQ545" s="344">
        <f t="shared" si="4402"/>
        <v>7.6999999999999999E-2</v>
      </c>
      <c r="AR545" s="344">
        <f t="shared" ref="AR545:AS545" si="4403">0.1*AR543</f>
        <v>7.6999999999999999E-2</v>
      </c>
      <c r="AS545" s="344">
        <f t="shared" si="4403"/>
        <v>7.6999999999999999E-2</v>
      </c>
      <c r="AT545" s="19"/>
      <c r="AU545" s="345">
        <f>0.1*AU543</f>
        <v>9.2999999999999999E-2</v>
      </c>
      <c r="AV545" s="345">
        <f t="shared" ref="AV545:AY545" si="4404">0.1*AV543</f>
        <v>9.2999999999999999E-2</v>
      </c>
      <c r="AW545" s="345">
        <f t="shared" si="4404"/>
        <v>9.2999999999999999E-2</v>
      </c>
      <c r="AX545" s="345">
        <f t="shared" si="4404"/>
        <v>9.2999999999999999E-2</v>
      </c>
      <c r="AY545" s="345">
        <f t="shared" si="4404"/>
        <v>9.2999999999999999E-2</v>
      </c>
      <c r="AZ545" s="343">
        <f t="shared" si="4325"/>
        <v>9.2499999999999999E-2</v>
      </c>
      <c r="BA545" s="343">
        <f t="shared" si="4326"/>
        <v>9.1499999999999998E-2</v>
      </c>
      <c r="BB545" s="343">
        <f t="shared" si="4327"/>
        <v>9.0499999999999997E-2</v>
      </c>
      <c r="BC545" s="343">
        <f t="shared" si="4328"/>
        <v>8.950000000000001E-2</v>
      </c>
      <c r="BD545" s="50">
        <f t="shared" si="4329"/>
        <v>8.8500000000000009E-2</v>
      </c>
      <c r="BE545" s="343">
        <f t="shared" si="4330"/>
        <v>8.7500000000000008E-2</v>
      </c>
      <c r="BF545" s="343">
        <f t="shared" si="4331"/>
        <v>8.6500000000000007E-2</v>
      </c>
      <c r="BG545" s="343">
        <f t="shared" si="4332"/>
        <v>8.5500000000000007E-2</v>
      </c>
      <c r="BH545" s="343">
        <f t="shared" si="4333"/>
        <v>8.4500000000000006E-2</v>
      </c>
      <c r="BI545" s="343">
        <f t="shared" si="4334"/>
        <v>8.3500000000000005E-2</v>
      </c>
      <c r="BJ545" s="343">
        <f t="shared" si="4335"/>
        <v>8.2500000000000004E-2</v>
      </c>
      <c r="BK545" s="343">
        <f t="shared" si="4336"/>
        <v>8.1500000000000003E-2</v>
      </c>
      <c r="BL545" s="343">
        <f t="shared" si="4337"/>
        <v>8.0500000000000002E-2</v>
      </c>
      <c r="BM545" s="343">
        <f t="shared" si="4338"/>
        <v>7.9500000000000001E-2</v>
      </c>
      <c r="BN545" s="343">
        <f t="shared" si="4339"/>
        <v>7.85E-2</v>
      </c>
      <c r="BO545" s="397">
        <f t="shared" si="4340"/>
        <v>7.7499999999999999E-2</v>
      </c>
      <c r="BP545" s="343">
        <f t="shared" si="4341"/>
        <v>7.6999999999999999E-2</v>
      </c>
      <c r="BQ545" s="343">
        <f t="shared" si="4342"/>
        <v>7.6999999999999999E-2</v>
      </c>
      <c r="BR545" s="343">
        <f t="shared" si="4343"/>
        <v>7.6999999999999999E-2</v>
      </c>
      <c r="BS545" s="343">
        <f t="shared" si="4344"/>
        <v>7.6999999999999999E-2</v>
      </c>
      <c r="BT545" s="343">
        <f t="shared" si="4345"/>
        <v>7.6999999999999999E-2</v>
      </c>
    </row>
    <row r="546" spans="1:72" ht="12" customHeight="1" outlineLevel="1">
      <c r="A546" s="91" t="s">
        <v>1347</v>
      </c>
      <c r="B546" s="1" t="s">
        <v>774</v>
      </c>
      <c r="C546" s="19"/>
      <c r="D546" s="347">
        <f>-57-26-4</f>
        <v>-87</v>
      </c>
      <c r="E546" s="21">
        <f>-124-50-7-D546</f>
        <v>-94</v>
      </c>
      <c r="F546" s="21">
        <f>-59-27-3</f>
        <v>-89</v>
      </c>
      <c r="G546" s="21">
        <f>-118-50-6-F546</f>
        <v>-85</v>
      </c>
      <c r="H546" s="21">
        <f>-56-25-3</f>
        <v>-84</v>
      </c>
      <c r="I546" s="21">
        <f>-114-49-5-H546</f>
        <v>-84</v>
      </c>
      <c r="J546" s="21">
        <f>-48-19</f>
        <v>-67</v>
      </c>
      <c r="K546" s="21">
        <f>-45-13</f>
        <v>-58</v>
      </c>
      <c r="L546" s="21">
        <f>-47-11</f>
        <v>-58</v>
      </c>
      <c r="M546" s="21">
        <f>-84-20-L546</f>
        <v>-46</v>
      </c>
      <c r="N546" s="62">
        <f>-34-7</f>
        <v>-41</v>
      </c>
      <c r="O546" s="62">
        <f>-72-16-N546</f>
        <v>-47</v>
      </c>
      <c r="P546" s="21">
        <f>-34-12</f>
        <v>-46</v>
      </c>
      <c r="Q546" s="21">
        <f>-70-25-18-P546</f>
        <v>-67</v>
      </c>
      <c r="R546" s="21">
        <f>-36-14</f>
        <v>-50</v>
      </c>
      <c r="S546" s="21">
        <f>-73-27-16-R546</f>
        <v>-66</v>
      </c>
      <c r="T546" s="21">
        <f>-37-12</f>
        <v>-49</v>
      </c>
      <c r="U546" s="21">
        <f>-38-12-16</f>
        <v>-66</v>
      </c>
      <c r="V546" s="21">
        <f>-39-11-16</f>
        <v>-66</v>
      </c>
      <c r="W546" s="21">
        <f>-38-12-15</f>
        <v>-65</v>
      </c>
      <c r="X546" s="21">
        <f>-39-12-18</f>
        <v>-69</v>
      </c>
      <c r="Y546" s="21">
        <f>-72-26-27-X546</f>
        <v>-56</v>
      </c>
      <c r="Z546" s="21">
        <f>-31-13-4</f>
        <v>-48</v>
      </c>
      <c r="AA546" s="21">
        <f>-67-27-9-Z546</f>
        <v>-55</v>
      </c>
      <c r="AB546" s="21">
        <f>-36-12-2</f>
        <v>-50</v>
      </c>
      <c r="AC546" s="21">
        <f>-63-31-AB546</f>
        <v>-44</v>
      </c>
      <c r="AD546" s="21">
        <f>-29-12</f>
        <v>-41</v>
      </c>
      <c r="AE546" s="21">
        <f>-25-57-AD546</f>
        <v>-41</v>
      </c>
      <c r="AF546" s="21">
        <f>-31-13</f>
        <v>-44</v>
      </c>
      <c r="AG546" s="21">
        <f>-28-61-AF546</f>
        <v>-45</v>
      </c>
      <c r="AH546" s="21">
        <f>-50-17</f>
        <v>-67</v>
      </c>
      <c r="AI546" s="21">
        <f>-36-138-AH546</f>
        <v>-107</v>
      </c>
      <c r="AJ546" s="24">
        <f>-83-16</f>
        <v>-99</v>
      </c>
      <c r="AK546" s="58">
        <f t="shared" ref="AK546:AK550" si="4405">AJ546*((-AK$74-AK$75-AK$76)/(-AJ$74-AJ$75-AJ$76))</f>
        <v>-100.97999999999998</v>
      </c>
      <c r="AL546" s="58">
        <f t="shared" ref="AL546:AL550" si="4406">AK546*((-AL$74-AL$75-AL$76)/(-AK$74-AK$75-AK$76))</f>
        <v>-96.515994951113953</v>
      </c>
      <c r="AM546" s="58">
        <f t="shared" ref="AM546:AM550" si="4407">AL546*((-AM$74-AM$75-AM$76)/(-AL$74-AL$75-AL$76))</f>
        <v>-101.41109747555694</v>
      </c>
      <c r="AN546" s="58">
        <f t="shared" ref="AN546:AN550" si="4408">AM546*((-AN$74-AN$75-AN$76)/(-AM$74-AM$75-AM$76))</f>
        <v>-99.652764787025149</v>
      </c>
      <c r="AO546" s="58">
        <f t="shared" ref="AO546:AO550" si="4409">AN546*((-AO$74-AO$75-AO$76)/(-AN$74-AN$75-AN$76))</f>
        <v>-104.70695814351257</v>
      </c>
      <c r="AP546" s="58">
        <f t="shared" ref="AP546:AP550" si="4410">AO546*((-AP$74-AP$75-AP$76)/(-AO$74-AO$75-AO$76))</f>
        <v>-102.89147964260344</v>
      </c>
      <c r="AQ546" s="58">
        <f t="shared" ref="AQ546:AQ550" si="4411">AP546*((-AQ$74-AQ$75-AQ$76)/(-AP$74-AP$75-AP$76))</f>
        <v>-108.1099342831767</v>
      </c>
      <c r="AR546" s="58">
        <f t="shared" ref="AR546:AR550" si="4412">AQ546*((-AR$74-AR$75-AR$76)/(-AQ$74-AQ$75-AQ$76))</f>
        <v>-106.23545273098809</v>
      </c>
      <c r="AS546" s="58">
        <f t="shared" ref="AS546:AS550" si="4413">AR546*((-AS$74-AS$75-AS$76)/(-AR$74-AR$75-AR$76))</f>
        <v>-111.62350714737994</v>
      </c>
      <c r="AT546" s="19"/>
      <c r="AU546" s="21">
        <f>-13-25-4</f>
        <v>-42</v>
      </c>
      <c r="AV546" s="21">
        <f>-21-34-5</f>
        <v>-60</v>
      </c>
      <c r="AW546" s="21">
        <f>-36-38-7</f>
        <v>-81</v>
      </c>
      <c r="AX546" s="21">
        <f>-60-53-7</f>
        <v>-120</v>
      </c>
      <c r="AY546" s="21">
        <f>-95-60-4</f>
        <v>-159</v>
      </c>
      <c r="AZ546" s="19">
        <f>D546+E546</f>
        <v>-181</v>
      </c>
      <c r="BA546" s="19">
        <f>F546+G546</f>
        <v>-174</v>
      </c>
      <c r="BB546" s="19">
        <f>H546+I546</f>
        <v>-168</v>
      </c>
      <c r="BC546" s="19">
        <f>J546+K546</f>
        <v>-125</v>
      </c>
      <c r="BD546" s="19">
        <f>L546+M546</f>
        <v>-104</v>
      </c>
      <c r="BE546" s="19">
        <f>N546+O546</f>
        <v>-88</v>
      </c>
      <c r="BF546" s="19">
        <f>P546+Q546</f>
        <v>-113</v>
      </c>
      <c r="BG546" s="19">
        <f>R546+S546</f>
        <v>-116</v>
      </c>
      <c r="BH546" s="19">
        <f>T546+U546</f>
        <v>-115</v>
      </c>
      <c r="BI546" s="19">
        <f>V546+W546</f>
        <v>-131</v>
      </c>
      <c r="BJ546" s="19">
        <f>X546+Y546</f>
        <v>-125</v>
      </c>
      <c r="BK546" s="19">
        <f>Z546+AA546</f>
        <v>-103</v>
      </c>
      <c r="BL546" s="19">
        <f>AB546+AC546</f>
        <v>-94</v>
      </c>
      <c r="BM546" s="19">
        <f>AD546+AE546</f>
        <v>-82</v>
      </c>
      <c r="BN546" s="19">
        <f>AF546+AG546</f>
        <v>-89</v>
      </c>
      <c r="BO546" s="20">
        <f>AH546+AI546</f>
        <v>-174</v>
      </c>
      <c r="BP546" s="19">
        <f>AJ546+AK546</f>
        <v>-199.97999999999996</v>
      </c>
      <c r="BQ546" s="19">
        <f>AL546+AM546</f>
        <v>-197.9270924266709</v>
      </c>
      <c r="BR546" s="19">
        <f>AN546+AO546</f>
        <v>-204.35972293053771</v>
      </c>
      <c r="BS546" s="19">
        <f>AP546+AQ546</f>
        <v>-211.00141392578013</v>
      </c>
      <c r="BT546" s="19">
        <f>AR546+AS546</f>
        <v>-217.85895987836801</v>
      </c>
    </row>
    <row r="547" spans="1:72" ht="12" customHeight="1" outlineLevel="1">
      <c r="A547" s="91" t="s">
        <v>1346</v>
      </c>
      <c r="B547" s="1" t="s">
        <v>1339</v>
      </c>
      <c r="C547" s="19"/>
      <c r="D547" s="21">
        <v>-9</v>
      </c>
      <c r="E547" s="21">
        <f>-32-D547</f>
        <v>-23</v>
      </c>
      <c r="F547" s="21">
        <v>-28</v>
      </c>
      <c r="G547" s="21">
        <f>-74-F547</f>
        <v>-46</v>
      </c>
      <c r="H547" s="21">
        <v>-39</v>
      </c>
      <c r="I547" s="21">
        <f>-86-H547</f>
        <v>-47</v>
      </c>
      <c r="J547" s="21">
        <v>-27</v>
      </c>
      <c r="K547" s="21">
        <v>-35</v>
      </c>
      <c r="L547" s="21">
        <v>-38</v>
      </c>
      <c r="M547" s="21">
        <f>-66-L547</f>
        <v>-28</v>
      </c>
      <c r="N547" s="62">
        <v>-28</v>
      </c>
      <c r="O547" s="62">
        <f>-95-N547</f>
        <v>-67</v>
      </c>
      <c r="P547" s="21">
        <v>-41</v>
      </c>
      <c r="Q547" s="21">
        <f>-61-P547</f>
        <v>-20</v>
      </c>
      <c r="R547" s="21">
        <v>-17</v>
      </c>
      <c r="S547" s="21">
        <f>-35-R547</f>
        <v>-18</v>
      </c>
      <c r="T547" s="21">
        <v>-21</v>
      </c>
      <c r="U547" s="21">
        <f>-41-T547</f>
        <v>-20</v>
      </c>
      <c r="V547" s="21">
        <v>-22</v>
      </c>
      <c r="W547" s="21">
        <f>-47-V547</f>
        <v>-25</v>
      </c>
      <c r="X547" s="21">
        <v>-31</v>
      </c>
      <c r="Y547" s="21">
        <f>-70-X547</f>
        <v>-39</v>
      </c>
      <c r="Z547" s="21">
        <v>-33</v>
      </c>
      <c r="AA547" s="21">
        <f>-63-Z547</f>
        <v>-30</v>
      </c>
      <c r="AB547" s="21">
        <v>-70</v>
      </c>
      <c r="AC547" s="21">
        <f>-134-AB547</f>
        <v>-64</v>
      </c>
      <c r="AD547" s="21">
        <v>-72</v>
      </c>
      <c r="AE547" s="21">
        <f>-181-AD547</f>
        <v>-109</v>
      </c>
      <c r="AF547" s="21">
        <v>-80</v>
      </c>
      <c r="AG547" s="21">
        <f>-164-AF547</f>
        <v>-84</v>
      </c>
      <c r="AH547" s="21">
        <v>-84</v>
      </c>
      <c r="AI547" s="21">
        <f>-175-AH547</f>
        <v>-91</v>
      </c>
      <c r="AJ547" s="24">
        <v>-7</v>
      </c>
      <c r="AK547" s="58">
        <f t="shared" si="4405"/>
        <v>-7.1399999999999988</v>
      </c>
      <c r="AL547" s="58">
        <f t="shared" si="4406"/>
        <v>-6.8243632793716946</v>
      </c>
      <c r="AM547" s="58">
        <f t="shared" si="4407"/>
        <v>-7.1704816396858453</v>
      </c>
      <c r="AN547" s="58">
        <f t="shared" si="4408"/>
        <v>-7.0461550859512734</v>
      </c>
      <c r="AO547" s="58">
        <f t="shared" si="4409"/>
        <v>-7.4035222929756355</v>
      </c>
      <c r="AP547" s="58">
        <f t="shared" si="4410"/>
        <v>-7.2751551262446874</v>
      </c>
      <c r="AQ547" s="58">
        <f t="shared" si="4411"/>
        <v>-7.6441367674973417</v>
      </c>
      <c r="AR547" s="58">
        <f t="shared" si="4412"/>
        <v>-7.5115976678476413</v>
      </c>
      <c r="AS547" s="58">
        <f t="shared" si="4413"/>
        <v>-7.8925712124410055</v>
      </c>
      <c r="AT547" s="19"/>
      <c r="AU547" s="21"/>
      <c r="AV547" s="21"/>
      <c r="AW547" s="21"/>
      <c r="AX547" s="21">
        <v>-25</v>
      </c>
      <c r="AY547" s="21">
        <f>-35</f>
        <v>-35</v>
      </c>
      <c r="AZ547" s="19">
        <f>D547+E547</f>
        <v>-32</v>
      </c>
      <c r="BA547" s="19">
        <f>F547+G547</f>
        <v>-74</v>
      </c>
      <c r="BB547" s="19">
        <f>H547+I547</f>
        <v>-86</v>
      </c>
      <c r="BC547" s="19">
        <f>J547+K547</f>
        <v>-62</v>
      </c>
      <c r="BD547" s="19">
        <f>L547+M547</f>
        <v>-66</v>
      </c>
      <c r="BE547" s="19">
        <f>N547+O547</f>
        <v>-95</v>
      </c>
      <c r="BF547" s="19">
        <f>P547+Q547</f>
        <v>-61</v>
      </c>
      <c r="BG547" s="19">
        <f>R547+S547</f>
        <v>-35</v>
      </c>
      <c r="BH547" s="19">
        <f>T547+U547</f>
        <v>-41</v>
      </c>
      <c r="BI547" s="19">
        <f>V547+W547</f>
        <v>-47</v>
      </c>
      <c r="BJ547" s="19">
        <f>X547+Y547</f>
        <v>-70</v>
      </c>
      <c r="BK547" s="19">
        <f>Z547+AA547</f>
        <v>-63</v>
      </c>
      <c r="BL547" s="19">
        <f>AB547+AC547</f>
        <v>-134</v>
      </c>
      <c r="BM547" s="19">
        <f>AD547+AE547</f>
        <v>-181</v>
      </c>
      <c r="BN547" s="19">
        <f>AF547+AG547</f>
        <v>-164</v>
      </c>
      <c r="BO547" s="20">
        <f>AH547+AI547</f>
        <v>-175</v>
      </c>
      <c r="BP547" s="19">
        <f>AJ547+AK547</f>
        <v>-14.139999999999999</v>
      </c>
      <c r="BQ547" s="19">
        <f>AL547+AM547</f>
        <v>-13.99484491905754</v>
      </c>
      <c r="BR547" s="19">
        <f>AN547+AO547</f>
        <v>-14.449677378926909</v>
      </c>
      <c r="BS547" s="19">
        <f>AP547+AQ547</f>
        <v>-14.919291893742029</v>
      </c>
      <c r="BT547" s="19">
        <f>AR547+AS547</f>
        <v>-15.404168880288648</v>
      </c>
    </row>
    <row r="548" spans="1:72" ht="12" customHeight="1" outlineLevel="1">
      <c r="A548" s="91" t="s">
        <v>1345</v>
      </c>
      <c r="B548" s="1" t="s">
        <v>1340</v>
      </c>
      <c r="C548" s="19"/>
      <c r="D548" s="21">
        <v>-251</v>
      </c>
      <c r="E548" s="21">
        <f>-482-D548</f>
        <v>-231</v>
      </c>
      <c r="F548" s="21">
        <v>-237</v>
      </c>
      <c r="G548" s="21">
        <f>-483-F548</f>
        <v>-246</v>
      </c>
      <c r="H548" s="21">
        <v>-213</v>
      </c>
      <c r="I548" s="21">
        <f>-456-H548</f>
        <v>-243</v>
      </c>
      <c r="J548" s="21">
        <v>-188</v>
      </c>
      <c r="K548" s="21">
        <v>-202</v>
      </c>
      <c r="L548" s="21">
        <f>-200+47</f>
        <v>-153</v>
      </c>
      <c r="M548" s="21">
        <f>-182+37</f>
        <v>-145</v>
      </c>
      <c r="N548" s="62">
        <f>-178+34</f>
        <v>-144</v>
      </c>
      <c r="O548" s="62">
        <f>(-374+67)-N548</f>
        <v>-163</v>
      </c>
      <c r="P548" s="21">
        <f>-202+34</f>
        <v>-168</v>
      </c>
      <c r="Q548" s="21">
        <f>-397+70-P548</f>
        <v>-159</v>
      </c>
      <c r="R548" s="21">
        <f>-201+36</f>
        <v>-165</v>
      </c>
      <c r="S548" s="21">
        <f>-392+73-R548</f>
        <v>-154</v>
      </c>
      <c r="T548" s="21">
        <v>-199</v>
      </c>
      <c r="U548" s="21">
        <v>-203</v>
      </c>
      <c r="V548" s="21">
        <v>-207</v>
      </c>
      <c r="W548" s="21">
        <f>-441-V548</f>
        <v>-234</v>
      </c>
      <c r="X548" s="21">
        <v>-201</v>
      </c>
      <c r="Y548" s="21">
        <v>-199</v>
      </c>
      <c r="Z548" s="21">
        <v>-196</v>
      </c>
      <c r="AA548" s="21">
        <v>-186</v>
      </c>
      <c r="AB548" s="21">
        <v>-182</v>
      </c>
      <c r="AC548" s="21">
        <v>-175</v>
      </c>
      <c r="AD548" s="21">
        <v>-182</v>
      </c>
      <c r="AE548" s="21">
        <f>-372-AD548</f>
        <v>-190</v>
      </c>
      <c r="AF548" s="21">
        <v>-195</v>
      </c>
      <c r="AG548" s="21">
        <f>-394-AF548</f>
        <v>-199</v>
      </c>
      <c r="AH548" s="21">
        <v>-232</v>
      </c>
      <c r="AI548" s="21">
        <f>-492-AH548</f>
        <v>-260</v>
      </c>
      <c r="AJ548" s="24">
        <v>-233</v>
      </c>
      <c r="AK548" s="58">
        <f t="shared" si="4405"/>
        <v>-237.65999999999994</v>
      </c>
      <c r="AL548" s="58">
        <f t="shared" si="4406"/>
        <v>-227.15380629908637</v>
      </c>
      <c r="AM548" s="58">
        <f t="shared" si="4407"/>
        <v>-238.67460314954312</v>
      </c>
      <c r="AN548" s="58">
        <f t="shared" si="4408"/>
        <v>-234.53630500380666</v>
      </c>
      <c r="AO548" s="58">
        <f t="shared" si="4409"/>
        <v>-246.4315277519033</v>
      </c>
      <c r="AP548" s="58">
        <f t="shared" si="4410"/>
        <v>-242.15873491643032</v>
      </c>
      <c r="AQ548" s="58">
        <f t="shared" si="4411"/>
        <v>-254.44055240384009</v>
      </c>
      <c r="AR548" s="58">
        <f t="shared" si="4412"/>
        <v>-250.02889380121437</v>
      </c>
      <c r="AS548" s="58">
        <f t="shared" si="4413"/>
        <v>-262.70987035696493</v>
      </c>
      <c r="AT548" s="19"/>
      <c r="AU548" s="21">
        <v>-101</v>
      </c>
      <c r="AV548" s="21">
        <v>-139</v>
      </c>
      <c r="AW548" s="21">
        <v>-226</v>
      </c>
      <c r="AX548" s="21">
        <v>-264</v>
      </c>
      <c r="AY548" s="21">
        <v>-393</v>
      </c>
      <c r="AZ548" s="19">
        <f>D548+E548</f>
        <v>-482</v>
      </c>
      <c r="BA548" s="19">
        <f>F548+G548</f>
        <v>-483</v>
      </c>
      <c r="BB548" s="19">
        <f>H548+I548</f>
        <v>-456</v>
      </c>
      <c r="BC548" s="19">
        <f>J548+K548</f>
        <v>-390</v>
      </c>
      <c r="BD548" s="19">
        <f>L548+M548</f>
        <v>-298</v>
      </c>
      <c r="BE548" s="19">
        <f>N548+O548</f>
        <v>-307</v>
      </c>
      <c r="BF548" s="19">
        <f>P548+Q548</f>
        <v>-327</v>
      </c>
      <c r="BG548" s="19">
        <f>R548+S548</f>
        <v>-319</v>
      </c>
      <c r="BH548" s="19">
        <f>T548+U548</f>
        <v>-402</v>
      </c>
      <c r="BI548" s="19">
        <f>V548+W548</f>
        <v>-441</v>
      </c>
      <c r="BJ548" s="19">
        <f>X548+Y548</f>
        <v>-400</v>
      </c>
      <c r="BK548" s="19">
        <f>Z548+AA548</f>
        <v>-382</v>
      </c>
      <c r="BL548" s="19">
        <f>AB548+AC548</f>
        <v>-357</v>
      </c>
      <c r="BM548" s="19">
        <f>AD548+AE548</f>
        <v>-372</v>
      </c>
      <c r="BN548" s="19">
        <f>AF548+AG548</f>
        <v>-394</v>
      </c>
      <c r="BO548" s="20">
        <f>AH548+AI548</f>
        <v>-492</v>
      </c>
      <c r="BP548" s="19">
        <f>AJ548+AK548</f>
        <v>-470.65999999999997</v>
      </c>
      <c r="BQ548" s="19">
        <f>AL548+AM548</f>
        <v>-465.82840944862949</v>
      </c>
      <c r="BR548" s="19">
        <f>AN548+AO548</f>
        <v>-480.96783275570999</v>
      </c>
      <c r="BS548" s="19">
        <f>AP548+AQ548</f>
        <v>-496.59928732027038</v>
      </c>
      <c r="BT548" s="19">
        <f>AR548+AS548</f>
        <v>-512.73876415817926</v>
      </c>
    </row>
    <row r="549" spans="1:72" ht="12" customHeight="1" outlineLevel="1">
      <c r="A549" s="91" t="s">
        <v>1344</v>
      </c>
      <c r="B549" s="1" t="s">
        <v>1341</v>
      </c>
      <c r="C549" s="19"/>
      <c r="D549" s="21">
        <v>-125</v>
      </c>
      <c r="E549" s="21">
        <f>-283-D549</f>
        <v>-158</v>
      </c>
      <c r="F549" s="21">
        <v>-159</v>
      </c>
      <c r="G549" s="21">
        <f>-316-F549</f>
        <v>-157</v>
      </c>
      <c r="H549" s="21">
        <v>-149</v>
      </c>
      <c r="I549" s="21">
        <f>-290-H549</f>
        <v>-141</v>
      </c>
      <c r="J549" s="21">
        <v>-132</v>
      </c>
      <c r="K549" s="21">
        <v>-128</v>
      </c>
      <c r="L549" s="21">
        <f>-154+11</f>
        <v>-143</v>
      </c>
      <c r="M549" s="21">
        <f>-169+9</f>
        <v>-160</v>
      </c>
      <c r="N549" s="62">
        <f>-206+7</f>
        <v>-199</v>
      </c>
      <c r="O549" s="62">
        <f>(-437+16)-N549</f>
        <v>-222</v>
      </c>
      <c r="P549" s="21">
        <f>-287+12</f>
        <v>-275</v>
      </c>
      <c r="Q549" s="21">
        <f>-587+25-P549</f>
        <v>-287</v>
      </c>
      <c r="R549" s="21">
        <f>-344+14</f>
        <v>-330</v>
      </c>
      <c r="S549" s="21">
        <f>-644+27-R549</f>
        <v>-287</v>
      </c>
      <c r="T549" s="21">
        <f>-295+12</f>
        <v>-283</v>
      </c>
      <c r="U549" s="21">
        <f>-604+24-T549</f>
        <v>-297</v>
      </c>
      <c r="V549" s="21">
        <f>-331+11</f>
        <v>-320</v>
      </c>
      <c r="W549" s="21">
        <f>-684-V549</f>
        <v>-364</v>
      </c>
      <c r="X549" s="21">
        <v>-367</v>
      </c>
      <c r="Y549" s="21">
        <v>-382</v>
      </c>
      <c r="Z549" s="21">
        <v>-395</v>
      </c>
      <c r="AA549" s="21">
        <v>-386</v>
      </c>
      <c r="AB549" s="21">
        <v>-417</v>
      </c>
      <c r="AC549" s="21">
        <v>-509</v>
      </c>
      <c r="AD549" s="21">
        <v>-545</v>
      </c>
      <c r="AE549" s="21">
        <f>-1092-AD549</f>
        <v>-547</v>
      </c>
      <c r="AF549" s="21">
        <v>-594</v>
      </c>
      <c r="AG549" s="21">
        <f>-1163-AF549</f>
        <v>-569</v>
      </c>
      <c r="AH549" s="21">
        <v>-575</v>
      </c>
      <c r="AI549" s="21">
        <f>-1200-AH549</f>
        <v>-625</v>
      </c>
      <c r="AJ549" s="24">
        <v>-634</v>
      </c>
      <c r="AK549" s="58">
        <f t="shared" si="4405"/>
        <v>-646.67999999999984</v>
      </c>
      <c r="AL549" s="58">
        <f t="shared" si="4406"/>
        <v>-618.09233130309337</v>
      </c>
      <c r="AM549" s="58">
        <f t="shared" si="4407"/>
        <v>-649.44076565154649</v>
      </c>
      <c r="AN549" s="58">
        <f t="shared" si="4408"/>
        <v>-638.18033207044391</v>
      </c>
      <c r="AO549" s="58">
        <f t="shared" si="4409"/>
        <v>-670.54759053522184</v>
      </c>
      <c r="AP549" s="58">
        <f t="shared" si="4410"/>
        <v>-658.92119286273316</v>
      </c>
      <c r="AQ549" s="58">
        <f t="shared" si="4411"/>
        <v>-692.34038722761636</v>
      </c>
      <c r="AR549" s="58">
        <f t="shared" si="4412"/>
        <v>-680.33613163077212</v>
      </c>
      <c r="AS549" s="58">
        <f t="shared" si="4413"/>
        <v>-714.84144981251393</v>
      </c>
      <c r="AT549" s="19"/>
      <c r="AU549" s="21">
        <v>-104</v>
      </c>
      <c r="AV549" s="21">
        <v>-128</v>
      </c>
      <c r="AW549" s="21">
        <v>-163</v>
      </c>
      <c r="AX549" s="21">
        <v>-214</v>
      </c>
      <c r="AY549" s="21">
        <v>-263</v>
      </c>
      <c r="AZ549" s="19">
        <f>D549+E549</f>
        <v>-283</v>
      </c>
      <c r="BA549" s="19">
        <f>F549+G549</f>
        <v>-316</v>
      </c>
      <c r="BB549" s="19">
        <f>H549+I549</f>
        <v>-290</v>
      </c>
      <c r="BC549" s="19">
        <f>J549+K549</f>
        <v>-260</v>
      </c>
      <c r="BD549" s="19">
        <f>L549+M549</f>
        <v>-303</v>
      </c>
      <c r="BE549" s="19">
        <f>N549+O549</f>
        <v>-421</v>
      </c>
      <c r="BF549" s="19">
        <f>P549+Q549</f>
        <v>-562</v>
      </c>
      <c r="BG549" s="19">
        <f>R549+S549</f>
        <v>-617</v>
      </c>
      <c r="BH549" s="19">
        <f>T549+U549</f>
        <v>-580</v>
      </c>
      <c r="BI549" s="19">
        <f>V549+W549</f>
        <v>-684</v>
      </c>
      <c r="BJ549" s="19">
        <f>X549+Y549</f>
        <v>-749</v>
      </c>
      <c r="BK549" s="19">
        <f>Z549+AA549</f>
        <v>-781</v>
      </c>
      <c r="BL549" s="19">
        <f>AB549+AC549</f>
        <v>-926</v>
      </c>
      <c r="BM549" s="19">
        <f>AD549+AE549</f>
        <v>-1092</v>
      </c>
      <c r="BN549" s="19">
        <f>AF549+AG549</f>
        <v>-1163</v>
      </c>
      <c r="BO549" s="20">
        <f>AH549+AI549</f>
        <v>-1200</v>
      </c>
      <c r="BP549" s="19">
        <f>AJ549+AK549</f>
        <v>-1280.6799999999998</v>
      </c>
      <c r="BQ549" s="19">
        <f>AL549+AM549</f>
        <v>-1267.5330969546399</v>
      </c>
      <c r="BR549" s="19">
        <f>AN549+AO549</f>
        <v>-1308.7279226056658</v>
      </c>
      <c r="BS549" s="19">
        <f>AP549+AQ549</f>
        <v>-1351.2615800903495</v>
      </c>
      <c r="BT549" s="19">
        <f>AR549+AS549</f>
        <v>-1395.177581443286</v>
      </c>
    </row>
    <row r="550" spans="1:72" ht="12" customHeight="1" outlineLevel="1">
      <c r="A550" s="91" t="s">
        <v>1343</v>
      </c>
      <c r="B550" s="1" t="s">
        <v>1342</v>
      </c>
      <c r="C550" s="19"/>
      <c r="D550" s="21">
        <v>-58</v>
      </c>
      <c r="E550" s="21">
        <f>-224-D550</f>
        <v>-166</v>
      </c>
      <c r="F550" s="21">
        <v>-125</v>
      </c>
      <c r="G550" s="21">
        <f>-306-F550</f>
        <v>-181</v>
      </c>
      <c r="H550" s="21">
        <v>-113</v>
      </c>
      <c r="I550" s="21">
        <f>-274-H550</f>
        <v>-161</v>
      </c>
      <c r="J550" s="21">
        <v>-134</v>
      </c>
      <c r="K550" s="21">
        <v>-139</v>
      </c>
      <c r="L550" s="21">
        <v>-153</v>
      </c>
      <c r="M550" s="21">
        <f>-284-L550</f>
        <v>-131</v>
      </c>
      <c r="N550" s="62">
        <v>-180</v>
      </c>
      <c r="O550" s="62">
        <f>-340-N550</f>
        <v>-160</v>
      </c>
      <c r="P550" s="62">
        <v>-184</v>
      </c>
      <c r="Q550" s="62">
        <v>-155</v>
      </c>
      <c r="R550" s="62">
        <v>-231</v>
      </c>
      <c r="S550" s="62">
        <f>-416-R550</f>
        <v>-185</v>
      </c>
      <c r="T550" s="62">
        <v>-208</v>
      </c>
      <c r="U550" s="62">
        <f>-410-T550</f>
        <v>-202</v>
      </c>
      <c r="V550" s="62">
        <v>-247</v>
      </c>
      <c r="W550" s="62">
        <f>-522-V550</f>
        <v>-275</v>
      </c>
      <c r="X550" s="62">
        <v>-349</v>
      </c>
      <c r="Y550" s="62">
        <v>-237</v>
      </c>
      <c r="Z550" s="62">
        <v>-279</v>
      </c>
      <c r="AA550" s="62">
        <v>-303</v>
      </c>
      <c r="AB550" s="62">
        <v>-319</v>
      </c>
      <c r="AC550" s="62">
        <v>-340</v>
      </c>
      <c r="AD550" s="62">
        <v>-366</v>
      </c>
      <c r="AE550" s="62">
        <f>-762-AD550</f>
        <v>-396</v>
      </c>
      <c r="AF550" s="62">
        <v>-406</v>
      </c>
      <c r="AG550" s="62">
        <f>-833-AF550</f>
        <v>-427</v>
      </c>
      <c r="AH550" s="62">
        <v>-433</v>
      </c>
      <c r="AI550" s="62">
        <f>-842-AH550</f>
        <v>-409</v>
      </c>
      <c r="AJ550" s="57">
        <v>-439</v>
      </c>
      <c r="AK550" s="58">
        <f t="shared" si="4405"/>
        <v>-447.77999999999992</v>
      </c>
      <c r="AL550" s="58">
        <f t="shared" si="4406"/>
        <v>-427.98506852059626</v>
      </c>
      <c r="AM550" s="58">
        <f t="shared" si="4407"/>
        <v>-449.69163426029803</v>
      </c>
      <c r="AN550" s="58">
        <f t="shared" si="4408"/>
        <v>-441.89458324751558</v>
      </c>
      <c r="AO550" s="58">
        <f t="shared" si="4409"/>
        <v>-464.30661237375773</v>
      </c>
      <c r="AP550" s="58">
        <f t="shared" si="4410"/>
        <v>-456.25615720305973</v>
      </c>
      <c r="AQ550" s="58">
        <f t="shared" si="4411"/>
        <v>-479.39657727590475</v>
      </c>
      <c r="AR550" s="58">
        <f t="shared" si="4412"/>
        <v>-471.08448231215925</v>
      </c>
      <c r="AS550" s="58">
        <f t="shared" si="4413"/>
        <v>-494.97696603737165</v>
      </c>
      <c r="AT550" s="19"/>
      <c r="AU550" s="21">
        <v>-42</v>
      </c>
      <c r="AV550" s="21">
        <v>-53</v>
      </c>
      <c r="AW550" s="21">
        <v>-87</v>
      </c>
      <c r="AX550" s="21">
        <v>-126</v>
      </c>
      <c r="AY550" s="21">
        <v>-128</v>
      </c>
      <c r="AZ550" s="19">
        <f>D550+E550</f>
        <v>-224</v>
      </c>
      <c r="BA550" s="19">
        <f>F550+G550</f>
        <v>-306</v>
      </c>
      <c r="BB550" s="19">
        <f>H550+I550</f>
        <v>-274</v>
      </c>
      <c r="BC550" s="19">
        <f>J550+K550</f>
        <v>-273</v>
      </c>
      <c r="BD550" s="19">
        <f>L550+M550</f>
        <v>-284</v>
      </c>
      <c r="BE550" s="19">
        <f>N550+O550</f>
        <v>-340</v>
      </c>
      <c r="BF550" s="19">
        <f>P550+Q550</f>
        <v>-339</v>
      </c>
      <c r="BG550" s="19">
        <f>R550+S550</f>
        <v>-416</v>
      </c>
      <c r="BH550" s="19">
        <f>T550+U550</f>
        <v>-410</v>
      </c>
      <c r="BI550" s="19">
        <f>V550+W550</f>
        <v>-522</v>
      </c>
      <c r="BJ550" s="19">
        <f>X550+Y550</f>
        <v>-586</v>
      </c>
      <c r="BK550" s="19">
        <f>Z550+AA550</f>
        <v>-582</v>
      </c>
      <c r="BL550" s="19">
        <f>AB550+AC550</f>
        <v>-659</v>
      </c>
      <c r="BM550" s="19">
        <f>AD550+AE550</f>
        <v>-762</v>
      </c>
      <c r="BN550" s="19">
        <f>AF550+AG550</f>
        <v>-833</v>
      </c>
      <c r="BO550" s="20">
        <f>AH550+AI550</f>
        <v>-842</v>
      </c>
      <c r="BP550" s="19">
        <f>AJ550+AK550</f>
        <v>-886.78</v>
      </c>
      <c r="BQ550" s="19">
        <f>AL550+AM550</f>
        <v>-877.67670278089429</v>
      </c>
      <c r="BR550" s="19">
        <f>AN550+AO550</f>
        <v>-906.20119562127331</v>
      </c>
      <c r="BS550" s="19">
        <f>AP550+AQ550</f>
        <v>-935.65273447896448</v>
      </c>
      <c r="BT550" s="19">
        <f>AR550+AS550</f>
        <v>-966.06144834953091</v>
      </c>
    </row>
    <row r="551" spans="1:72" ht="12" hidden="1" customHeight="1" outlineLevel="2">
      <c r="A551" s="91" t="s">
        <v>1348</v>
      </c>
      <c r="B551" s="1" t="s">
        <v>173</v>
      </c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35"/>
      <c r="AK551" s="19"/>
      <c r="AL551" s="19"/>
      <c r="AM551" s="19"/>
      <c r="AN551" s="19"/>
      <c r="AO551" s="19"/>
      <c r="AP551" s="19"/>
      <c r="AQ551" s="19"/>
      <c r="AR551" s="19"/>
      <c r="AS551" s="19"/>
      <c r="AT551" s="19"/>
      <c r="AU551" s="19"/>
      <c r="AV551" s="19"/>
      <c r="AW551" s="19"/>
      <c r="AX551" s="19"/>
      <c r="AY551" s="19"/>
      <c r="AZ551" s="19"/>
      <c r="BA551" s="19"/>
      <c r="BB551" s="19"/>
      <c r="BC551" s="19"/>
      <c r="BD551" s="19"/>
      <c r="BE551" s="19"/>
      <c r="BF551" s="19"/>
      <c r="BG551" s="19"/>
      <c r="BH551" s="19"/>
      <c r="BI551" s="19"/>
      <c r="BJ551" s="19"/>
      <c r="BK551" s="19"/>
      <c r="BL551" s="19"/>
      <c r="BM551" s="19"/>
      <c r="BN551" s="19"/>
      <c r="BO551" s="20"/>
      <c r="BP551" s="19"/>
      <c r="BQ551" s="19"/>
      <c r="BR551" s="19"/>
      <c r="BS551" s="19"/>
      <c r="BT551" s="19"/>
    </row>
    <row r="552" spans="1:72" ht="12" hidden="1" customHeight="1" outlineLevel="2">
      <c r="A552" s="91" t="s">
        <v>1349</v>
      </c>
      <c r="B552" s="1" t="s">
        <v>173</v>
      </c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20"/>
      <c r="AK552" s="19"/>
      <c r="AL552" s="19"/>
      <c r="AM552" s="19"/>
      <c r="AN552" s="19"/>
      <c r="AO552" s="19"/>
      <c r="AP552" s="19"/>
      <c r="AQ552" s="19"/>
      <c r="AR552" s="19"/>
      <c r="AS552" s="19"/>
      <c r="AT552" s="19"/>
      <c r="AU552" s="19"/>
      <c r="AV552" s="19"/>
      <c r="AW552" s="19"/>
      <c r="AX552" s="19"/>
      <c r="AY552" s="19"/>
      <c r="AZ552" s="19"/>
      <c r="BA552" s="19"/>
      <c r="BB552" s="19"/>
      <c r="BC552" s="19"/>
      <c r="BD552" s="19"/>
      <c r="BE552" s="19"/>
      <c r="BF552" s="19"/>
      <c r="BG552" s="19"/>
      <c r="BH552" s="19"/>
      <c r="BI552" s="19"/>
      <c r="BJ552" s="19"/>
      <c r="BK552" s="19"/>
      <c r="BL552" s="19"/>
      <c r="BM552" s="19"/>
      <c r="BN552" s="19"/>
      <c r="BO552" s="20"/>
      <c r="BP552" s="19"/>
      <c r="BQ552" s="19"/>
      <c r="BR552" s="19"/>
      <c r="BS552" s="19"/>
      <c r="BT552" s="19"/>
    </row>
    <row r="553" spans="1:72" ht="12" hidden="1" customHeight="1" outlineLevel="2">
      <c r="A553" s="91" t="s">
        <v>1350</v>
      </c>
      <c r="B553" s="1" t="s">
        <v>173</v>
      </c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20"/>
      <c r="AK553" s="19"/>
      <c r="AL553" s="19"/>
      <c r="AM553" s="19"/>
      <c r="AN553" s="19"/>
      <c r="AO553" s="19"/>
      <c r="AP553" s="19"/>
      <c r="AQ553" s="19"/>
      <c r="AR553" s="19"/>
      <c r="AS553" s="19"/>
      <c r="AT553" s="19"/>
      <c r="AU553" s="19"/>
      <c r="AV553" s="19"/>
      <c r="AW553" s="19"/>
      <c r="AX553" s="19"/>
      <c r="AY553" s="19"/>
      <c r="AZ553" s="19"/>
      <c r="BA553" s="19"/>
      <c r="BB553" s="19"/>
      <c r="BC553" s="19"/>
      <c r="BD553" s="19"/>
      <c r="BE553" s="19"/>
      <c r="BF553" s="19"/>
      <c r="BG553" s="19"/>
      <c r="BH553" s="19"/>
      <c r="BI553" s="19"/>
      <c r="BJ553" s="19"/>
      <c r="BK553" s="19"/>
      <c r="BL553" s="19"/>
      <c r="BM553" s="19"/>
      <c r="BN553" s="19"/>
      <c r="BO553" s="20"/>
      <c r="BP553" s="19"/>
      <c r="BQ553" s="19"/>
      <c r="BR553" s="19"/>
      <c r="BS553" s="19"/>
      <c r="BT553" s="19"/>
    </row>
    <row r="554" spans="1:72" ht="12" hidden="1" customHeight="1" outlineLevel="2">
      <c r="A554" s="91" t="s">
        <v>1351</v>
      </c>
      <c r="B554" s="1" t="s">
        <v>173</v>
      </c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20"/>
      <c r="AK554" s="19"/>
      <c r="AL554" s="19"/>
      <c r="AM554" s="19"/>
      <c r="AN554" s="19"/>
      <c r="AO554" s="19"/>
      <c r="AP554" s="19"/>
      <c r="AQ554" s="19"/>
      <c r="AR554" s="19"/>
      <c r="AS554" s="19"/>
      <c r="AT554" s="19"/>
      <c r="AU554" s="19"/>
      <c r="AV554" s="19"/>
      <c r="AW554" s="19"/>
      <c r="AX554" s="19"/>
      <c r="AY554" s="19"/>
      <c r="AZ554" s="19"/>
      <c r="BA554" s="19"/>
      <c r="BB554" s="19"/>
      <c r="BC554" s="19"/>
      <c r="BD554" s="19"/>
      <c r="BE554" s="19"/>
      <c r="BF554" s="19"/>
      <c r="BG554" s="19"/>
      <c r="BH554" s="19"/>
      <c r="BI554" s="19"/>
      <c r="BJ554" s="19"/>
      <c r="BK554" s="19"/>
      <c r="BL554" s="19"/>
      <c r="BM554" s="19"/>
      <c r="BN554" s="19"/>
      <c r="BO554" s="20"/>
      <c r="BP554" s="19"/>
      <c r="BQ554" s="19"/>
      <c r="BR554" s="19"/>
      <c r="BS554" s="19"/>
      <c r="BT554" s="19"/>
    </row>
    <row r="555" spans="1:72" ht="12" hidden="1" customHeight="1" outlineLevel="2">
      <c r="A555" s="91" t="s">
        <v>1352</v>
      </c>
      <c r="B555" s="1" t="s">
        <v>173</v>
      </c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20"/>
      <c r="AK555" s="19"/>
      <c r="AL555" s="19"/>
      <c r="AM555" s="19"/>
      <c r="AN555" s="19"/>
      <c r="AO555" s="19"/>
      <c r="AP555" s="19"/>
      <c r="AQ555" s="19"/>
      <c r="AR555" s="19"/>
      <c r="AS555" s="19"/>
      <c r="AT555" s="19"/>
      <c r="AU555" s="19"/>
      <c r="AV555" s="19"/>
      <c r="AW555" s="19"/>
      <c r="AX555" s="19"/>
      <c r="AY555" s="19"/>
      <c r="AZ555" s="19"/>
      <c r="BA555" s="19"/>
      <c r="BB555" s="19"/>
      <c r="BC555" s="19"/>
      <c r="BD555" s="19"/>
      <c r="BE555" s="19"/>
      <c r="BF555" s="19"/>
      <c r="BG555" s="19"/>
      <c r="BH555" s="19"/>
      <c r="BI555" s="19"/>
      <c r="BJ555" s="19"/>
      <c r="BK555" s="19"/>
      <c r="BL555" s="19"/>
      <c r="BM555" s="19"/>
      <c r="BN555" s="19"/>
      <c r="BO555" s="20"/>
      <c r="BP555" s="19"/>
      <c r="BQ555" s="19"/>
      <c r="BR555" s="19"/>
      <c r="BS555" s="19"/>
      <c r="BT555" s="19"/>
    </row>
    <row r="556" spans="1:72" ht="12" customHeight="1" outlineLevel="1" collapsed="1"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20"/>
      <c r="AK556" s="19"/>
      <c r="AL556" s="19"/>
      <c r="AM556" s="19"/>
      <c r="AN556" s="19"/>
      <c r="AO556" s="19"/>
      <c r="AP556" s="19"/>
      <c r="AQ556" s="19"/>
      <c r="AR556" s="19"/>
      <c r="AS556" s="19"/>
      <c r="AT556" s="19"/>
      <c r="AU556" s="19"/>
      <c r="AV556" s="19"/>
      <c r="AW556" s="19"/>
      <c r="AX556" s="19"/>
      <c r="AY556" s="19"/>
      <c r="AZ556" s="19"/>
      <c r="BA556" s="19"/>
      <c r="BB556" s="19"/>
      <c r="BC556" s="19"/>
      <c r="BD556" s="19"/>
      <c r="BE556" s="19"/>
      <c r="BF556" s="19"/>
      <c r="BG556" s="19"/>
      <c r="BH556" s="19"/>
      <c r="BI556" s="19"/>
      <c r="BJ556" s="19"/>
      <c r="BK556" s="19"/>
      <c r="BL556" s="19"/>
      <c r="BM556" s="19"/>
      <c r="BN556" s="19"/>
      <c r="BO556" s="20"/>
      <c r="BP556" s="19"/>
      <c r="BQ556" s="19"/>
      <c r="BR556" s="19"/>
      <c r="BS556" s="19"/>
      <c r="BT556" s="19"/>
    </row>
    <row r="557" spans="1:72" ht="12" customHeight="1" outlineLevel="1">
      <c r="B557" s="9" t="s">
        <v>412</v>
      </c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20"/>
      <c r="AK557" s="19"/>
      <c r="AL557" s="19"/>
      <c r="AM557" s="19"/>
      <c r="AN557" s="19"/>
      <c r="AO557" s="19"/>
      <c r="AP557" s="19"/>
      <c r="AQ557" s="19"/>
      <c r="AR557" s="19"/>
      <c r="AS557" s="19"/>
      <c r="AT557" s="19"/>
      <c r="AU557" s="19"/>
      <c r="AV557" s="19"/>
      <c r="AW557" s="19"/>
      <c r="AX557" s="19"/>
      <c r="AY557" s="19"/>
      <c r="AZ557" s="19"/>
      <c r="BA557" s="19"/>
      <c r="BB557" s="19"/>
      <c r="BC557" s="19"/>
      <c r="BD557" s="19"/>
      <c r="BE557" s="19"/>
      <c r="BF557" s="19"/>
      <c r="BG557" s="19"/>
      <c r="BH557" s="19"/>
      <c r="BI557" s="19"/>
      <c r="BJ557" s="19"/>
      <c r="BK557" s="19"/>
      <c r="BL557" s="19"/>
      <c r="BM557" s="19"/>
      <c r="BN557" s="19"/>
      <c r="BO557" s="20"/>
      <c r="BP557" s="19"/>
      <c r="BQ557" s="19"/>
      <c r="BR557" s="19"/>
      <c r="BS557" s="19"/>
      <c r="BT557" s="19"/>
    </row>
    <row r="558" spans="1:72" ht="12" customHeight="1" outlineLevel="1">
      <c r="A558" s="91" t="s">
        <v>425</v>
      </c>
      <c r="B558" s="1" t="s">
        <v>415</v>
      </c>
      <c r="C558" s="19"/>
      <c r="D558" s="21">
        <v>399</v>
      </c>
      <c r="E558" s="21">
        <v>352</v>
      </c>
      <c r="F558" s="21">
        <v>379</v>
      </c>
      <c r="G558" s="21">
        <v>334</v>
      </c>
      <c r="H558" s="21">
        <v>369</v>
      </c>
      <c r="I558" s="21">
        <v>389</v>
      </c>
      <c r="J558" s="21">
        <v>389</v>
      </c>
      <c r="K558" s="21">
        <v>383</v>
      </c>
      <c r="L558" s="21">
        <v>375</v>
      </c>
      <c r="M558" s="21">
        <v>359</v>
      </c>
      <c r="N558" s="21">
        <v>389</v>
      </c>
      <c r="O558" s="21">
        <v>621</v>
      </c>
      <c r="P558" s="21">
        <v>816</v>
      </c>
      <c r="Q558" s="21">
        <v>413</v>
      </c>
      <c r="R558" s="21">
        <v>520</v>
      </c>
      <c r="S558" s="21">
        <v>417</v>
      </c>
      <c r="T558" s="21">
        <v>402</v>
      </c>
      <c r="U558" s="21">
        <v>177</v>
      </c>
      <c r="V558" s="21">
        <v>0</v>
      </c>
      <c r="W558" s="21">
        <v>0</v>
      </c>
      <c r="X558" s="21">
        <v>0</v>
      </c>
      <c r="Y558" s="21">
        <v>0</v>
      </c>
      <c r="Z558" s="21">
        <v>0</v>
      </c>
      <c r="AA558" s="21">
        <v>0</v>
      </c>
      <c r="AB558" s="21">
        <v>0</v>
      </c>
      <c r="AC558" s="21">
        <v>0</v>
      </c>
      <c r="AD558" s="21">
        <v>0</v>
      </c>
      <c r="AE558" s="21">
        <v>0</v>
      </c>
      <c r="AF558" s="21">
        <v>0</v>
      </c>
      <c r="AG558" s="21">
        <v>0</v>
      </c>
      <c r="AH558" s="21">
        <v>0</v>
      </c>
      <c r="AI558" s="21">
        <v>0</v>
      </c>
      <c r="AJ558" s="24">
        <v>0</v>
      </c>
      <c r="AK558" s="19">
        <f t="shared" ref="AK558:AS558" si="4414">AK560*AK24</f>
        <v>0</v>
      </c>
      <c r="AL558" s="19">
        <f t="shared" si="4414"/>
        <v>0</v>
      </c>
      <c r="AM558" s="19">
        <f t="shared" si="4414"/>
        <v>0</v>
      </c>
      <c r="AN558" s="19">
        <f t="shared" si="4414"/>
        <v>0</v>
      </c>
      <c r="AO558" s="19">
        <f t="shared" si="4414"/>
        <v>0</v>
      </c>
      <c r="AP558" s="19">
        <f t="shared" si="4414"/>
        <v>0</v>
      </c>
      <c r="AQ558" s="19">
        <f t="shared" si="4414"/>
        <v>0</v>
      </c>
      <c r="AR558" s="19">
        <f t="shared" si="4414"/>
        <v>0</v>
      </c>
      <c r="AS558" s="19">
        <f t="shared" si="4414"/>
        <v>0</v>
      </c>
      <c r="AT558" s="21"/>
      <c r="AU558" s="21">
        <v>45</v>
      </c>
      <c r="AV558" s="21">
        <v>52</v>
      </c>
      <c r="AW558" s="21">
        <v>71</v>
      </c>
      <c r="AX558" s="21">
        <v>111</v>
      </c>
      <c r="AY558" s="21">
        <v>431</v>
      </c>
      <c r="AZ558" s="19">
        <f>E558</f>
        <v>352</v>
      </c>
      <c r="BA558" s="19">
        <f>G558</f>
        <v>334</v>
      </c>
      <c r="BB558" s="19">
        <f>I558</f>
        <v>389</v>
      </c>
      <c r="BC558" s="19">
        <f>K558</f>
        <v>383</v>
      </c>
      <c r="BD558" s="19">
        <f>M558</f>
        <v>359</v>
      </c>
      <c r="BE558" s="19">
        <f>O558</f>
        <v>621</v>
      </c>
      <c r="BF558" s="19">
        <f>Q558</f>
        <v>413</v>
      </c>
      <c r="BG558" s="19">
        <f>S558</f>
        <v>417</v>
      </c>
      <c r="BH558" s="19">
        <f>U558</f>
        <v>177</v>
      </c>
      <c r="BI558" s="19">
        <f>W558</f>
        <v>0</v>
      </c>
      <c r="BJ558" s="19">
        <f>Y558</f>
        <v>0</v>
      </c>
      <c r="BK558" s="19">
        <f>AA558</f>
        <v>0</v>
      </c>
      <c r="BL558" s="19">
        <f>AC558</f>
        <v>0</v>
      </c>
      <c r="BM558" s="19">
        <f>AE558</f>
        <v>0</v>
      </c>
      <c r="BN558" s="19">
        <f>AG558</f>
        <v>0</v>
      </c>
      <c r="BO558" s="20">
        <f>AI558</f>
        <v>0</v>
      </c>
      <c r="BP558" s="19">
        <f>AK558</f>
        <v>0</v>
      </c>
      <c r="BQ558" s="19">
        <f>AM558</f>
        <v>0</v>
      </c>
      <c r="BR558" s="19">
        <f>AO558</f>
        <v>0</v>
      </c>
      <c r="BS558" s="19">
        <f>AQ558</f>
        <v>0</v>
      </c>
      <c r="BT558" s="19">
        <f>AS558</f>
        <v>0</v>
      </c>
    </row>
    <row r="559" spans="1:72" ht="12" customHeight="1" outlineLevel="1">
      <c r="A559" s="91" t="s">
        <v>424</v>
      </c>
      <c r="B559" s="1" t="s">
        <v>416</v>
      </c>
      <c r="C559" s="19"/>
      <c r="D559" s="21">
        <v>216</v>
      </c>
      <c r="E559" s="21">
        <v>229</v>
      </c>
      <c r="F559" s="21">
        <v>222</v>
      </c>
      <c r="G559" s="21">
        <v>227</v>
      </c>
      <c r="H559" s="21">
        <v>245</v>
      </c>
      <c r="I559" s="21">
        <v>238</v>
      </c>
      <c r="J559" s="21">
        <v>237</v>
      </c>
      <c r="K559" s="21">
        <v>240</v>
      </c>
      <c r="L559" s="21">
        <v>238</v>
      </c>
      <c r="M559" s="21">
        <v>308</v>
      </c>
      <c r="N559" s="21">
        <v>351</v>
      </c>
      <c r="O559" s="21">
        <v>428</v>
      </c>
      <c r="P559" s="21">
        <v>475</v>
      </c>
      <c r="Q559" s="21">
        <v>520</v>
      </c>
      <c r="R559" s="21">
        <v>490</v>
      </c>
      <c r="S559" s="21">
        <v>457</v>
      </c>
      <c r="T559" s="21">
        <v>415</v>
      </c>
      <c r="U559" s="21">
        <v>293</v>
      </c>
      <c r="V559" s="21">
        <v>574</v>
      </c>
      <c r="W559" s="21">
        <v>618</v>
      </c>
      <c r="X559" s="21">
        <v>676</v>
      </c>
      <c r="Y559" s="21">
        <v>1106</v>
      </c>
      <c r="Z559" s="21">
        <v>1286</v>
      </c>
      <c r="AA559" s="21">
        <v>1181</v>
      </c>
      <c r="AB559" s="21">
        <v>1057</v>
      </c>
      <c r="AC559" s="21">
        <v>1090</v>
      </c>
      <c r="AD559" s="21">
        <v>1226</v>
      </c>
      <c r="AE559" s="21">
        <v>1444</v>
      </c>
      <c r="AF559" s="21">
        <v>1408</v>
      </c>
      <c r="AG559" s="21">
        <v>1315</v>
      </c>
      <c r="AH559" s="21">
        <v>1218</v>
      </c>
      <c r="AI559" s="21">
        <v>1354</v>
      </c>
      <c r="AJ559" s="24">
        <v>1203</v>
      </c>
      <c r="AK559" s="19">
        <f>AK25*AK312</f>
        <v>1233.9853658780496</v>
      </c>
      <c r="AL559" s="19">
        <f t="shared" ref="AL559:AS559" si="4415">AL25*AL312</f>
        <v>1219.2420281121949</v>
      </c>
      <c r="AM559" s="19">
        <f t="shared" si="4415"/>
        <v>1238.4419193031258</v>
      </c>
      <c r="AN559" s="19">
        <f t="shared" si="4415"/>
        <v>1281.8127251474154</v>
      </c>
      <c r="AO559" s="19">
        <f t="shared" si="4415"/>
        <v>1320.4850273094091</v>
      </c>
      <c r="AP559" s="19">
        <f t="shared" si="4415"/>
        <v>1395.2965858233053</v>
      </c>
      <c r="AQ559" s="19">
        <f t="shared" si="4415"/>
        <v>1473.1306317730603</v>
      </c>
      <c r="AR559" s="19">
        <f t="shared" si="4415"/>
        <v>1554.069165012784</v>
      </c>
      <c r="AS559" s="19">
        <f t="shared" si="4415"/>
        <v>1639.6970038396</v>
      </c>
      <c r="AT559" s="21"/>
      <c r="AU559" s="21">
        <v>109</v>
      </c>
      <c r="AV559" s="21">
        <v>80</v>
      </c>
      <c r="AW559" s="21">
        <v>91</v>
      </c>
      <c r="AX559" s="21">
        <v>128</v>
      </c>
      <c r="AY559" s="21">
        <v>225</v>
      </c>
      <c r="AZ559" s="19">
        <f>E559</f>
        <v>229</v>
      </c>
      <c r="BA559" s="19">
        <f>G559</f>
        <v>227</v>
      </c>
      <c r="BB559" s="19">
        <f>I559</f>
        <v>238</v>
      </c>
      <c r="BC559" s="19">
        <f>K559</f>
        <v>240</v>
      </c>
      <c r="BD559" s="19">
        <f>M559</f>
        <v>308</v>
      </c>
      <c r="BE559" s="19">
        <f>O559</f>
        <v>428</v>
      </c>
      <c r="BF559" s="19">
        <f>Q559</f>
        <v>520</v>
      </c>
      <c r="BG559" s="19">
        <f>S559</f>
        <v>457</v>
      </c>
      <c r="BH559" s="19">
        <f>U559</f>
        <v>293</v>
      </c>
      <c r="BI559" s="19">
        <f>W559</f>
        <v>618</v>
      </c>
      <c r="BJ559" s="19">
        <f>Y559</f>
        <v>1106</v>
      </c>
      <c r="BK559" s="19">
        <f>AA559</f>
        <v>1181</v>
      </c>
      <c r="BL559" s="19">
        <f>AC559</f>
        <v>1090</v>
      </c>
      <c r="BM559" s="19">
        <f>AE559</f>
        <v>1444</v>
      </c>
      <c r="BN559" s="19">
        <f>AG559</f>
        <v>1315</v>
      </c>
      <c r="BO559" s="20">
        <f>AI559</f>
        <v>1354</v>
      </c>
      <c r="BP559" s="19">
        <f>AK559</f>
        <v>1233.9853658780496</v>
      </c>
      <c r="BQ559" s="19">
        <f>AM559</f>
        <v>1238.4419193031258</v>
      </c>
      <c r="BR559" s="19">
        <f>AO559</f>
        <v>1320.4850273094091</v>
      </c>
      <c r="BS559" s="19">
        <f>AQ559</f>
        <v>1473.1306317730603</v>
      </c>
      <c r="BT559" s="19">
        <f>AS559</f>
        <v>1639.6970038396</v>
      </c>
    </row>
    <row r="560" spans="1:72" ht="12" customHeight="1" outlineLevel="1">
      <c r="A560" s="91" t="s">
        <v>426</v>
      </c>
      <c r="B560" s="1" t="s">
        <v>414</v>
      </c>
      <c r="C560" s="19"/>
      <c r="D560" s="21">
        <f>1256+196</f>
        <v>1452</v>
      </c>
      <c r="E560" s="21">
        <f>143+1090</f>
        <v>1233</v>
      </c>
      <c r="F560" s="21">
        <f>944+109</f>
        <v>1053</v>
      </c>
      <c r="G560" s="21">
        <f>792+117</f>
        <v>909</v>
      </c>
      <c r="H560" s="21">
        <f>806+121</f>
        <v>927</v>
      </c>
      <c r="I560" s="21">
        <f>11+874</f>
        <v>885</v>
      </c>
      <c r="J560" s="21">
        <f>11+856</f>
        <v>867</v>
      </c>
      <c r="K560" s="21">
        <f>828+9</f>
        <v>837</v>
      </c>
      <c r="L560" s="21">
        <f>849+8</f>
        <v>857</v>
      </c>
      <c r="M560" s="21">
        <f>848+7</f>
        <v>855</v>
      </c>
      <c r="N560" s="21">
        <f>956+7</f>
        <v>963</v>
      </c>
      <c r="O560" s="21">
        <f>1343+3</f>
        <v>1346</v>
      </c>
      <c r="P560" s="21">
        <f>1603+67</f>
        <v>1670</v>
      </c>
      <c r="Q560" s="21">
        <f>915+131</f>
        <v>1046</v>
      </c>
      <c r="R560" s="21">
        <f>1262+68</f>
        <v>1330</v>
      </c>
      <c r="S560" s="21">
        <f>1071+49</f>
        <v>1120</v>
      </c>
      <c r="T560" s="21">
        <f>929+40</f>
        <v>969</v>
      </c>
      <c r="U560" s="21">
        <f>630+41</f>
        <v>671</v>
      </c>
      <c r="V560" s="21">
        <f>326+V559</f>
        <v>900</v>
      </c>
      <c r="W560" s="21">
        <f>1674+W559</f>
        <v>2292</v>
      </c>
      <c r="X560" s="21">
        <f>1641+X559</f>
        <v>2317</v>
      </c>
      <c r="Y560" s="21">
        <f>1528+Y559</f>
        <v>2634</v>
      </c>
      <c r="Z560" s="21">
        <f>1666+Z559</f>
        <v>2952</v>
      </c>
      <c r="AA560" s="21">
        <f>1544+AA559</f>
        <v>2725</v>
      </c>
      <c r="AB560" s="21">
        <f>1247+AB559</f>
        <v>2304</v>
      </c>
      <c r="AC560" s="21">
        <f>1325+AC559</f>
        <v>2415</v>
      </c>
      <c r="AD560" s="21">
        <f>1422+AD559</f>
        <v>2648</v>
      </c>
      <c r="AE560" s="21">
        <f>1689+AE559</f>
        <v>3133</v>
      </c>
      <c r="AF560" s="21">
        <f>1436+AF559</f>
        <v>2844</v>
      </c>
      <c r="AG560" s="21">
        <f>2250+AG559</f>
        <v>3565</v>
      </c>
      <c r="AH560" s="21">
        <f>1574+AH559</f>
        <v>2792</v>
      </c>
      <c r="AI560" s="21">
        <f>1968+AI559</f>
        <v>3322</v>
      </c>
      <c r="AJ560" s="24">
        <f>1800+AJ559</f>
        <v>3003</v>
      </c>
      <c r="AK560" s="19">
        <f t="shared" ref="AK560:AS560" si="4416">AK23*AK312</f>
        <v>3085.9955892851594</v>
      </c>
      <c r="AL560" s="19">
        <f t="shared" si="4416"/>
        <v>2806.5808855678356</v>
      </c>
      <c r="AM560" s="19">
        <f t="shared" si="4416"/>
        <v>2565.6995121677587</v>
      </c>
      <c r="AN560" s="19">
        <f t="shared" si="4416"/>
        <v>2615.7182172660614</v>
      </c>
      <c r="AO560" s="19">
        <f t="shared" si="4416"/>
        <v>2654.2149439541704</v>
      </c>
      <c r="AP560" s="19">
        <f t="shared" si="4416"/>
        <v>2762.519618289919</v>
      </c>
      <c r="AQ560" s="19">
        <f t="shared" si="4416"/>
        <v>2872.8723536243715</v>
      </c>
      <c r="AR560" s="19">
        <f t="shared" si="4416"/>
        <v>2985.2564394751048</v>
      </c>
      <c r="AS560" s="19">
        <f t="shared" si="4416"/>
        <v>3102.4953119561037</v>
      </c>
      <c r="AT560" s="21"/>
      <c r="AU560" s="21">
        <v>42</v>
      </c>
      <c r="AV560" s="21">
        <v>152</v>
      </c>
      <c r="AW560" s="21">
        <v>166</v>
      </c>
      <c r="AX560" s="21">
        <f>285+264</f>
        <v>549</v>
      </c>
      <c r="AY560" s="21">
        <f>188+1428</f>
        <v>1616</v>
      </c>
      <c r="AZ560" s="19">
        <f>E560</f>
        <v>1233</v>
      </c>
      <c r="BA560" s="19">
        <f>G560</f>
        <v>909</v>
      </c>
      <c r="BB560" s="19">
        <f>I560</f>
        <v>885</v>
      </c>
      <c r="BC560" s="19">
        <f>K560</f>
        <v>837</v>
      </c>
      <c r="BD560" s="19">
        <f>M560</f>
        <v>855</v>
      </c>
      <c r="BE560" s="19">
        <f>O560</f>
        <v>1346</v>
      </c>
      <c r="BF560" s="19">
        <f>Q560</f>
        <v>1046</v>
      </c>
      <c r="BG560" s="19">
        <f>S560</f>
        <v>1120</v>
      </c>
      <c r="BH560" s="19">
        <f>U560</f>
        <v>671</v>
      </c>
      <c r="BI560" s="19">
        <f>W560</f>
        <v>2292</v>
      </c>
      <c r="BJ560" s="19">
        <f>Y560</f>
        <v>2634</v>
      </c>
      <c r="BK560" s="19">
        <f>AA560</f>
        <v>2725</v>
      </c>
      <c r="BL560" s="19">
        <f>AC560</f>
        <v>2415</v>
      </c>
      <c r="BM560" s="19">
        <f>AE560</f>
        <v>3133</v>
      </c>
      <c r="BN560" s="19">
        <f>AG560</f>
        <v>3565</v>
      </c>
      <c r="BO560" s="20">
        <f>AI560</f>
        <v>3322</v>
      </c>
      <c r="BP560" s="19">
        <f>AK560</f>
        <v>3085.9955892851594</v>
      </c>
      <c r="BQ560" s="19">
        <f>AM560</f>
        <v>2565.6995121677587</v>
      </c>
      <c r="BR560" s="19">
        <f>AO560</f>
        <v>2654.2149439541704</v>
      </c>
      <c r="BS560" s="19">
        <f>AQ560</f>
        <v>2872.8723536243715</v>
      </c>
      <c r="BT560" s="19">
        <f>AS560</f>
        <v>3102.4953119561037</v>
      </c>
    </row>
    <row r="561" spans="1:72" ht="12" customHeight="1" outlineLevel="1">
      <c r="A561" s="91" t="s">
        <v>423</v>
      </c>
      <c r="B561" s="1" t="s">
        <v>417</v>
      </c>
      <c r="C561" s="19"/>
      <c r="D561" s="19">
        <f>D562-(C558-D558+C559-D559)</f>
        <v>484</v>
      </c>
      <c r="E561" s="19">
        <f t="shared" ref="E561:I561" si="4417">E562-(D558-E558+D559-E559)</f>
        <v>-119</v>
      </c>
      <c r="F561" s="19">
        <f t="shared" si="4417"/>
        <v>-57</v>
      </c>
      <c r="G561" s="19">
        <f t="shared" si="4417"/>
        <v>-91</v>
      </c>
      <c r="H561" s="19">
        <f t="shared" si="4417"/>
        <v>-13</v>
      </c>
      <c r="I561" s="19">
        <f t="shared" si="4417"/>
        <v>-100</v>
      </c>
      <c r="J561" s="19">
        <f t="shared" ref="J561:N561" si="4418">J562-(I558-J558+I559-J559)</f>
        <v>-89</v>
      </c>
      <c r="K561" s="19">
        <f t="shared" si="4418"/>
        <v>-104</v>
      </c>
      <c r="L561" s="19">
        <f t="shared" si="4418"/>
        <v>-105</v>
      </c>
      <c r="M561" s="19">
        <f t="shared" si="4418"/>
        <v>-87</v>
      </c>
      <c r="N561" s="19">
        <f t="shared" si="4418"/>
        <v>-31</v>
      </c>
      <c r="O561" s="19">
        <f t="shared" ref="O561" si="4419">O562-(N558-O558+N559-O559)</f>
        <v>-54</v>
      </c>
      <c r="P561" s="19">
        <f t="shared" ref="P561:AJ561" si="4420">P562-(O558-P558+O559-P559)</f>
        <v>-94</v>
      </c>
      <c r="Q561" s="19">
        <f t="shared" si="4420"/>
        <v>-596</v>
      </c>
      <c r="R561" s="19">
        <f t="shared" si="4420"/>
        <v>-205</v>
      </c>
      <c r="S561" s="19">
        <f t="shared" si="4420"/>
        <v>-298</v>
      </c>
      <c r="T561" s="19">
        <f t="shared" si="4420"/>
        <v>-199</v>
      </c>
      <c r="U561" s="19">
        <f t="shared" si="4420"/>
        <v>-571</v>
      </c>
      <c r="V561" s="19">
        <f t="shared" si="4420"/>
        <v>28</v>
      </c>
      <c r="W561" s="19">
        <f t="shared" si="4420"/>
        <v>-432</v>
      </c>
      <c r="X561" s="19">
        <f t="shared" si="4420"/>
        <v>-81</v>
      </c>
      <c r="Y561" s="19">
        <f t="shared" si="4420"/>
        <v>-471</v>
      </c>
      <c r="Z561" s="19">
        <f t="shared" si="4420"/>
        <v>-267</v>
      </c>
      <c r="AA561" s="19">
        <f t="shared" si="4420"/>
        <v>-182</v>
      </c>
      <c r="AB561" s="19">
        <f t="shared" si="4420"/>
        <v>-354</v>
      </c>
      <c r="AC561" s="19">
        <f t="shared" si="4420"/>
        <v>-246</v>
      </c>
      <c r="AD561" s="19">
        <f t="shared" si="4420"/>
        <v>-150</v>
      </c>
      <c r="AE561" s="19">
        <f t="shared" si="4420"/>
        <v>50</v>
      </c>
      <c r="AF561" s="19">
        <f t="shared" si="4420"/>
        <v>81</v>
      </c>
      <c r="AG561" s="19">
        <f t="shared" si="4420"/>
        <v>159</v>
      </c>
      <c r="AH561" s="19">
        <f t="shared" si="4420"/>
        <v>-172</v>
      </c>
      <c r="AI561" s="19">
        <f t="shared" si="4420"/>
        <v>-150</v>
      </c>
      <c r="AJ561" s="20">
        <f t="shared" si="4420"/>
        <v>-180</v>
      </c>
      <c r="AK561" s="19">
        <f t="shared" ref="AK561:AS561" si="4421">-AVERAGE(AJ385:AK385)*AK22/AK$5</f>
        <v>-133.88582679452057</v>
      </c>
      <c r="AL561" s="19">
        <f t="shared" si="4421"/>
        <v>-139.00081206452057</v>
      </c>
      <c r="AM561" s="19">
        <f t="shared" si="4421"/>
        <v>-141.45912778725003</v>
      </c>
      <c r="AN561" s="19">
        <f t="shared" si="4421"/>
        <v>-143.530741011375</v>
      </c>
      <c r="AO561" s="19">
        <f t="shared" si="4421"/>
        <v>-143.6630312040823</v>
      </c>
      <c r="AP561" s="19">
        <f t="shared" si="4421"/>
        <v>-143.11168523448842</v>
      </c>
      <c r="AQ561" s="19">
        <f t="shared" si="4421"/>
        <v>-140.57259500738104</v>
      </c>
      <c r="AR561" s="19">
        <f t="shared" si="4421"/>
        <v>-139.00440899430123</v>
      </c>
      <c r="AS561" s="19">
        <f t="shared" si="4421"/>
        <v>-135.38205139983299</v>
      </c>
      <c r="AT561" s="19"/>
      <c r="AU561" s="21">
        <f>AU562-(56-AU558+75-AU559)</f>
        <v>-8</v>
      </c>
      <c r="AV561" s="19">
        <f t="shared" ref="AV561" si="4422">AV562-(AU558-AV558+AU559-AV559)</f>
        <v>-58</v>
      </c>
      <c r="AW561" s="19">
        <f t="shared" ref="AW561" si="4423">AW562-(AV558-AW558+AV559-AW559)</f>
        <v>-10</v>
      </c>
      <c r="AX561" s="19">
        <f t="shared" ref="AX561" si="4424">AX562-(AW558-AX558+AW559-AX559)</f>
        <v>-31</v>
      </c>
      <c r="AY561" s="19">
        <f t="shared" ref="AY561" si="4425">AY562-(AX558-AY558+AX559-AY559)</f>
        <v>-84</v>
      </c>
      <c r="AZ561" s="19">
        <f>SUM(D561:E561)</f>
        <v>365</v>
      </c>
      <c r="BA561" s="19">
        <f>SUM(F561:G561)</f>
        <v>-148</v>
      </c>
      <c r="BB561" s="19">
        <f>SUM(H561:I561)</f>
        <v>-113</v>
      </c>
      <c r="BC561" s="19">
        <f>SUM(J561:K561)</f>
        <v>-193</v>
      </c>
      <c r="BD561" s="19">
        <f>SUM(L561:M561)</f>
        <v>-192</v>
      </c>
      <c r="BE561" s="19">
        <f>SUM(N561:O561)</f>
        <v>-85</v>
      </c>
      <c r="BF561" s="19">
        <f>SUM(P561:Q561)</f>
        <v>-690</v>
      </c>
      <c r="BG561" s="19">
        <f>SUM(R561:S561)</f>
        <v>-503</v>
      </c>
      <c r="BH561" s="19">
        <f>SUM(T561:U561)</f>
        <v>-770</v>
      </c>
      <c r="BI561" s="19">
        <f>SUM(V561:W561)</f>
        <v>-404</v>
      </c>
      <c r="BJ561" s="19">
        <f>SUM(X561:Y561)</f>
        <v>-552</v>
      </c>
      <c r="BK561" s="19">
        <f>SUM(Z561:AA561)</f>
        <v>-449</v>
      </c>
      <c r="BL561" s="19">
        <f>SUM(AB561:AC561)</f>
        <v>-600</v>
      </c>
      <c r="BM561" s="19">
        <f>SUM(AD561:AE561)</f>
        <v>-100</v>
      </c>
      <c r="BN561" s="19">
        <f>SUM(AF561:AG561)</f>
        <v>240</v>
      </c>
      <c r="BO561" s="20">
        <f>SUM(AH561:AI561)</f>
        <v>-322</v>
      </c>
      <c r="BP561" s="19">
        <f>SUM(AJ561:AK561)</f>
        <v>-313.88582679452054</v>
      </c>
      <c r="BQ561" s="19">
        <f>SUM(AL561:AM561)</f>
        <v>-280.45993985177063</v>
      </c>
      <c r="BR561" s="19">
        <f>SUM(AN561:AO561)</f>
        <v>-287.19377221545733</v>
      </c>
      <c r="BS561" s="19">
        <f>SUM(AP561:AQ561)</f>
        <v>-283.68428024186949</v>
      </c>
      <c r="BT561" s="19">
        <f>SUM(AR561:AS561)</f>
        <v>-274.38646039413425</v>
      </c>
    </row>
    <row r="562" spans="1:72" ht="12" customHeight="1" outlineLevel="1">
      <c r="A562" s="91" t="s">
        <v>422</v>
      </c>
      <c r="B562" s="1" t="s">
        <v>45</v>
      </c>
      <c r="C562" s="19"/>
      <c r="D562" s="19">
        <f t="shared" ref="D562:AI562" si="4426">D71</f>
        <v>-131</v>
      </c>
      <c r="E562" s="19">
        <f t="shared" si="4426"/>
        <v>-85</v>
      </c>
      <c r="F562" s="19">
        <f t="shared" si="4426"/>
        <v>-77</v>
      </c>
      <c r="G562" s="19">
        <f t="shared" si="4426"/>
        <v>-51</v>
      </c>
      <c r="H562" s="19">
        <f t="shared" si="4426"/>
        <v>-66</v>
      </c>
      <c r="I562" s="19">
        <f t="shared" si="4426"/>
        <v>-113</v>
      </c>
      <c r="J562" s="19">
        <f t="shared" si="4426"/>
        <v>-88</v>
      </c>
      <c r="K562" s="19">
        <f t="shared" si="4426"/>
        <v>-101</v>
      </c>
      <c r="L562" s="19">
        <f t="shared" si="4426"/>
        <v>-95</v>
      </c>
      <c r="M562" s="19">
        <f t="shared" si="4426"/>
        <v>-141</v>
      </c>
      <c r="N562" s="19">
        <f t="shared" si="4426"/>
        <v>-104</v>
      </c>
      <c r="O562" s="19">
        <f t="shared" si="4426"/>
        <v>-363</v>
      </c>
      <c r="P562" s="19">
        <f t="shared" si="4426"/>
        <v>-336</v>
      </c>
      <c r="Q562" s="19">
        <f t="shared" si="4426"/>
        <v>-238</v>
      </c>
      <c r="R562" s="19">
        <f t="shared" si="4426"/>
        <v>-282</v>
      </c>
      <c r="S562" s="19">
        <f t="shared" si="4426"/>
        <v>-162</v>
      </c>
      <c r="T562" s="19">
        <f t="shared" si="4426"/>
        <v>-142</v>
      </c>
      <c r="U562" s="19">
        <f t="shared" si="4426"/>
        <v>-224</v>
      </c>
      <c r="V562" s="19">
        <f t="shared" si="4426"/>
        <v>-76</v>
      </c>
      <c r="W562" s="19">
        <f t="shared" si="4426"/>
        <v>-476</v>
      </c>
      <c r="X562" s="19">
        <f t="shared" si="4426"/>
        <v>-139</v>
      </c>
      <c r="Y562" s="19">
        <f t="shared" si="4426"/>
        <v>-901</v>
      </c>
      <c r="Z562" s="19">
        <f t="shared" si="4426"/>
        <v>-447</v>
      </c>
      <c r="AA562" s="19">
        <f t="shared" si="4426"/>
        <v>-77</v>
      </c>
      <c r="AB562" s="19">
        <f t="shared" si="4426"/>
        <v>-230</v>
      </c>
      <c r="AC562" s="19">
        <f t="shared" si="4426"/>
        <v>-279</v>
      </c>
      <c r="AD562" s="19">
        <f t="shared" si="4426"/>
        <v>-286</v>
      </c>
      <c r="AE562" s="19">
        <f t="shared" si="4426"/>
        <v>-168</v>
      </c>
      <c r="AF562" s="19">
        <f t="shared" si="4426"/>
        <v>117</v>
      </c>
      <c r="AG562" s="19">
        <f t="shared" si="4426"/>
        <v>252</v>
      </c>
      <c r="AH562" s="19">
        <f t="shared" si="4426"/>
        <v>-75</v>
      </c>
      <c r="AI562" s="19">
        <f t="shared" si="4426"/>
        <v>-286</v>
      </c>
      <c r="AJ562" s="20">
        <f t="shared" ref="AJ562" si="4427">AJ71</f>
        <v>-29</v>
      </c>
      <c r="AK562" s="19">
        <f t="shared" ref="AK562" si="4428">AK561+AJ558-AK558+AJ559-AK559</f>
        <v>-164.87119267257026</v>
      </c>
      <c r="AL562" s="19">
        <f t="shared" ref="AL562" si="4429">AL561+AK558-AL558+AK559-AL559</f>
        <v>-124.25747429866578</v>
      </c>
      <c r="AM562" s="19">
        <f t="shared" ref="AM562" si="4430">AM561+AL558-AM558+AL559-AM559</f>
        <v>-160.65901897818094</v>
      </c>
      <c r="AN562" s="19">
        <f t="shared" ref="AN562" si="4431">AN561+AM558-AN558+AM559-AN559</f>
        <v>-186.90154685566472</v>
      </c>
      <c r="AO562" s="19">
        <f t="shared" ref="AO562" si="4432">AO561+AN558-AO558+AN559-AO559</f>
        <v>-182.33533336607593</v>
      </c>
      <c r="AP562" s="19">
        <f t="shared" ref="AP562" si="4433">AP561+AO558-AP558+AO559-AP559</f>
        <v>-217.92324374838472</v>
      </c>
      <c r="AQ562" s="19">
        <f t="shared" ref="AQ562" si="4434">AQ561+AP558-AQ558+AP559-AQ559</f>
        <v>-218.40664095713601</v>
      </c>
      <c r="AR562" s="19">
        <f t="shared" ref="AR562" si="4435">AR561+AQ558-AR558+AQ559-AR559</f>
        <v>-219.94294223402494</v>
      </c>
      <c r="AS562" s="19">
        <f t="shared" ref="AS562" si="4436">AS561+AR558-AS558+AR559-AS559</f>
        <v>-221.00989022664908</v>
      </c>
      <c r="AT562" s="19"/>
      <c r="AU562" s="19">
        <f>AU71</f>
        <v>-31</v>
      </c>
      <c r="AV562" s="19">
        <f>AV71</f>
        <v>-36</v>
      </c>
      <c r="AW562" s="19">
        <f>AW71</f>
        <v>-40</v>
      </c>
      <c r="AX562" s="19">
        <f>AX71</f>
        <v>-108</v>
      </c>
      <c r="AY562" s="19">
        <f>AY71</f>
        <v>-501</v>
      </c>
      <c r="AZ562" s="19">
        <f>SUM(D562:E562)</f>
        <v>-216</v>
      </c>
      <c r="BA562" s="19">
        <f>SUM(F562:G562)</f>
        <v>-128</v>
      </c>
      <c r="BB562" s="19">
        <f>SUM(H562:I562)</f>
        <v>-179</v>
      </c>
      <c r="BC562" s="19">
        <f>SUM(J562:K562)</f>
        <v>-189</v>
      </c>
      <c r="BD562" s="19">
        <f>SUM(L562:M562)</f>
        <v>-236</v>
      </c>
      <c r="BE562" s="19">
        <f>SUM(N562:O562)</f>
        <v>-467</v>
      </c>
      <c r="BF562" s="19">
        <f>SUM(P562:Q562)</f>
        <v>-574</v>
      </c>
      <c r="BG562" s="19">
        <f>SUM(R562:S562)</f>
        <v>-444</v>
      </c>
      <c r="BH562" s="19">
        <f>SUM(T562:U562)</f>
        <v>-366</v>
      </c>
      <c r="BI562" s="19">
        <f>SUM(V562:W562)</f>
        <v>-552</v>
      </c>
      <c r="BJ562" s="19">
        <f>SUM(X562:Y562)</f>
        <v>-1040</v>
      </c>
      <c r="BK562" s="19">
        <f>SUM(Z562:AA562)</f>
        <v>-524</v>
      </c>
      <c r="BL562" s="19">
        <f>SUM(AB562:AC562)</f>
        <v>-509</v>
      </c>
      <c r="BM562" s="19">
        <f>SUM(AD562:AE562)</f>
        <v>-454</v>
      </c>
      <c r="BN562" s="19">
        <f>SUM(AF562:AG562)</f>
        <v>369</v>
      </c>
      <c r="BO562" s="20">
        <f>SUM(AH562:AI562)</f>
        <v>-361</v>
      </c>
      <c r="BP562" s="19">
        <f>SUM(AJ562:AK562)</f>
        <v>-193.87119267257026</v>
      </c>
      <c r="BQ562" s="19">
        <f>SUM(AL562:AM562)</f>
        <v>-284.91649327684672</v>
      </c>
      <c r="BR562" s="19">
        <f>SUM(AN562:AO562)</f>
        <v>-369.23688022174065</v>
      </c>
      <c r="BS562" s="19">
        <f>SUM(AP562:AQ562)</f>
        <v>-436.32988470552073</v>
      </c>
      <c r="BT562" s="19">
        <f>SUM(AR562:AS562)</f>
        <v>-440.95283246067402</v>
      </c>
    </row>
    <row r="563" spans="1:72" ht="12" customHeight="1" outlineLevel="1">
      <c r="A563" s="91" t="s">
        <v>345</v>
      </c>
      <c r="B563" s="87" t="s">
        <v>346</v>
      </c>
      <c r="C563" s="19"/>
      <c r="D563" s="37">
        <f t="shared" ref="D563:AJ563" si="4437">IF(ISERROR(-D561*D$5/AVERAGE(C385:D385)),"n.a.",-D561*D$5/AVERAGE(C385:D385))</f>
        <v>-2.2712102184660986E-2</v>
      </c>
      <c r="E563" s="37">
        <f t="shared" si="4437"/>
        <v>5.5007743636432942E-3</v>
      </c>
      <c r="F563" s="37">
        <f t="shared" si="4437"/>
        <v>2.543452791260645E-3</v>
      </c>
      <c r="G563" s="37">
        <f t="shared" si="4437"/>
        <v>4.0045641059399204E-3</v>
      </c>
      <c r="H563" s="37">
        <f t="shared" si="4437"/>
        <v>5.6608497806420711E-4</v>
      </c>
      <c r="I563" s="37">
        <f t="shared" si="4437"/>
        <v>4.3926598653649751E-3</v>
      </c>
      <c r="J563" s="37">
        <f t="shared" si="4437"/>
        <v>3.8266738782712483E-3</v>
      </c>
      <c r="K563" s="37">
        <f t="shared" si="4437"/>
        <v>4.3163723551132745E-3</v>
      </c>
      <c r="L563" s="37">
        <f t="shared" si="4437"/>
        <v>4.1937248089270037E-3</v>
      </c>
      <c r="M563" s="37">
        <f t="shared" si="4437"/>
        <v>3.1866676768736038E-3</v>
      </c>
      <c r="N563" s="37">
        <f t="shared" si="4437"/>
        <v>1.0041755153255244E-3</v>
      </c>
      <c r="O563" s="37">
        <f t="shared" si="4437"/>
        <v>1.5787036640262295E-3</v>
      </c>
      <c r="P563" s="37">
        <f t="shared" si="4437"/>
        <v>2.5158579343200491E-3</v>
      </c>
      <c r="Q563" s="37">
        <f t="shared" si="4437"/>
        <v>1.5179299103504483E-2</v>
      </c>
      <c r="R563" s="37">
        <f t="shared" si="4437"/>
        <v>5.1645145497816753E-3</v>
      </c>
      <c r="S563" s="37">
        <f t="shared" si="4437"/>
        <v>7.7294519834888052E-3</v>
      </c>
      <c r="T563" s="37">
        <f t="shared" si="4437"/>
        <v>5.3983348290514918E-3</v>
      </c>
      <c r="U563" s="37">
        <f t="shared" si="4437"/>
        <v>1.5916180611516131E-2</v>
      </c>
      <c r="V563" s="37">
        <f t="shared" si="4437"/>
        <v>-7.4234018603393714E-4</v>
      </c>
      <c r="W563" s="37">
        <f t="shared" si="4437"/>
        <v>1.1196061440304288E-2</v>
      </c>
      <c r="X563" s="37">
        <f t="shared" si="4437"/>
        <v>1.9892311376069056E-3</v>
      </c>
      <c r="Y563" s="37">
        <f t="shared" si="4437"/>
        <v>1.0514390316045607E-2</v>
      </c>
      <c r="Z563" s="37">
        <f t="shared" si="4437"/>
        <v>5.6794981481094577E-3</v>
      </c>
      <c r="AA563" s="37">
        <f t="shared" si="4437"/>
        <v>3.6786938117315056E-3</v>
      </c>
      <c r="AB563" s="37">
        <f t="shared" si="4437"/>
        <v>6.3215128479574886E-3</v>
      </c>
      <c r="AC563" s="37">
        <f t="shared" si="4437"/>
        <v>3.8984259242415011E-3</v>
      </c>
      <c r="AD563" s="37">
        <f t="shared" si="4437"/>
        <v>2.1097414682344027E-3</v>
      </c>
      <c r="AE563" s="37">
        <f t="shared" si="4437"/>
        <v>-6.5230788674905686E-4</v>
      </c>
      <c r="AF563" s="37">
        <f t="shared" si="4437"/>
        <v>-9.9366081204169685E-4</v>
      </c>
      <c r="AG563" s="37">
        <f t="shared" si="4437"/>
        <v>-1.8495576765367905E-3</v>
      </c>
      <c r="AH563" s="37">
        <f t="shared" si="4437"/>
        <v>1.8878760124347819E-3</v>
      </c>
      <c r="AI563" s="37">
        <f t="shared" si="4437"/>
        <v>1.5320345485963038E-3</v>
      </c>
      <c r="AJ563" s="38">
        <f t="shared" si="4437"/>
        <v>1.6710483997422463E-3</v>
      </c>
      <c r="AK563" s="37">
        <f t="shared" ref="AK563" si="4438">IF(ISERROR(-AK561*AK$5/AVERAGE(AJ385:AK385)),"n.a.",-AK561*AK$5/AVERAGE(AJ385:AK385))</f>
        <v>1.15E-3</v>
      </c>
      <c r="AL563" s="37">
        <f t="shared" ref="AL563" si="4439">IF(ISERROR(-AL561*AL$5/AVERAGE(AK385:AL385)),"n.a.",-AL561*AL$5/AVERAGE(AK385:AL385))</f>
        <v>1.1000000000000001E-3</v>
      </c>
      <c r="AM563" s="37">
        <f t="shared" ref="AM563" si="4440">IF(ISERROR(-AM561*AM$5/AVERAGE(AL385:AM385)),"n.a.",-AM561*AM$5/AVERAGE(AL385:AM385))</f>
        <v>1.0500000000000002E-3</v>
      </c>
      <c r="AN563" s="37">
        <f t="shared" ref="AN563" si="4441">IF(ISERROR(-AN561*AN$5/AVERAGE(AM385:AN385)),"n.a.",-AN561*AN$5/AVERAGE(AM385:AN385))</f>
        <v>1.0000000000000002E-3</v>
      </c>
      <c r="AO563" s="37">
        <f t="shared" ref="AO563" si="4442">IF(ISERROR(-AO561*AO$5/AVERAGE(AN385:AO385)),"n.a.",-AO561*AO$5/AVERAGE(AN385:AO385))</f>
        <v>9.5000000000000032E-4</v>
      </c>
      <c r="AP563" s="37">
        <f t="shared" ref="AP563" si="4443">IF(ISERROR(-AP561*AP$5/AVERAGE(AO385:AP385)),"n.a.",-AP561*AP$5/AVERAGE(AO385:AP385))</f>
        <v>9.000000000000003E-4</v>
      </c>
      <c r="AQ563" s="37">
        <f t="shared" ref="AQ563" si="4444">IF(ISERROR(-AQ561*AQ$5/AVERAGE(AP385:AQ385)),"n.a.",-AQ561*AQ$5/AVERAGE(AP385:AQ385))</f>
        <v>8.5000000000000006E-4</v>
      </c>
      <c r="AR563" s="37">
        <f t="shared" ref="AR563" si="4445">IF(ISERROR(-AR561*AR$5/AVERAGE(AQ385:AR385)),"n.a.",-AR561*AR$5/AVERAGE(AQ385:AR385))</f>
        <v>8.0000000000000015E-4</v>
      </c>
      <c r="AS563" s="37">
        <f t="shared" ref="AS563" si="4446">IF(ISERROR(-AS561*AS$5/AVERAGE(AR385:AS385)),"n.a.",-AS561*AS$5/AVERAGE(AR385:AS385))</f>
        <v>7.5000000000000012E-4</v>
      </c>
      <c r="AT563" s="19"/>
      <c r="AU563" s="37">
        <f t="shared" ref="AU563:BM563" si="4447">IF(ISERROR(-AU561*AU$5/AVERAGE(AT385:AU385)),"n.a.",-AU561*AU$5/AVERAGE(AT385:AU385))</f>
        <v>2.8144239226033421E-4</v>
      </c>
      <c r="AV563" s="37">
        <f t="shared" si="4447"/>
        <v>1.8289606458123109E-3</v>
      </c>
      <c r="AW563" s="37">
        <f t="shared" si="4447"/>
        <v>2.4754007054892009E-4</v>
      </c>
      <c r="AX563" s="37">
        <f t="shared" si="4447"/>
        <v>6.3134527458427953E-4</v>
      </c>
      <c r="AY563" s="37">
        <f t="shared" si="4447"/>
        <v>1.7291422219477552E-3</v>
      </c>
      <c r="AZ563" s="37">
        <f t="shared" si="4447"/>
        <v>-8.2005886449931474E-3</v>
      </c>
      <c r="BA563" s="37">
        <f t="shared" si="4447"/>
        <v>3.2785795775505909E-3</v>
      </c>
      <c r="BB563" s="37">
        <f t="shared" si="4447"/>
        <v>2.4771466777736371E-3</v>
      </c>
      <c r="BC563" s="37">
        <f t="shared" si="4447"/>
        <v>4.0932757871072417E-3</v>
      </c>
      <c r="BD563" s="37">
        <f t="shared" si="4447"/>
        <v>3.562317361658704E-3</v>
      </c>
      <c r="BE563" s="37">
        <f t="shared" si="4447"/>
        <v>1.2930313217822534E-3</v>
      </c>
      <c r="BF563" s="37">
        <f t="shared" si="4447"/>
        <v>9.0120683349877231E-3</v>
      </c>
      <c r="BG563" s="37">
        <f t="shared" si="4447"/>
        <v>6.4064599532570416E-3</v>
      </c>
      <c r="BH563" s="37">
        <f t="shared" si="4447"/>
        <v>1.0254907705830648E-2</v>
      </c>
      <c r="BI563" s="37">
        <f t="shared" si="4447"/>
        <v>5.3396775046259583E-3</v>
      </c>
      <c r="BJ563" s="37">
        <f t="shared" si="4447"/>
        <v>6.4212926341259136E-3</v>
      </c>
      <c r="BK563" s="37">
        <f t="shared" si="4447"/>
        <v>4.509322446684041E-3</v>
      </c>
      <c r="BL563" s="37">
        <f t="shared" si="4447"/>
        <v>5.0047962630854568E-3</v>
      </c>
      <c r="BM563" s="37">
        <f t="shared" si="4447"/>
        <v>6.8185847345524964E-4</v>
      </c>
      <c r="BN563" s="37">
        <f t="shared" ref="BN563:BT563" si="4448">IF(ISERROR(-BN561*BN$5/AVERAGE(BN385:BN385)),"n.a.",-BN561*BN$5/AVERAGE(BN385:BN385))</f>
        <v>-1.3607679266999678E-3</v>
      </c>
      <c r="BO563" s="38">
        <f t="shared" si="4448"/>
        <v>1.5657823076324594E-3</v>
      </c>
      <c r="BP563" s="37">
        <f t="shared" si="4448"/>
        <v>1.2920983191446675E-3</v>
      </c>
      <c r="BQ563" s="37">
        <f t="shared" si="4448"/>
        <v>1.0044295013026886E-3</v>
      </c>
      <c r="BR563" s="37">
        <f t="shared" si="4448"/>
        <v>9.2644009995814913E-4</v>
      </c>
      <c r="BS563" s="37">
        <f t="shared" si="4448"/>
        <v>8.3678113485595115E-4</v>
      </c>
      <c r="BT563" s="37">
        <f t="shared" si="4448"/>
        <v>7.4175213533589834E-4</v>
      </c>
    </row>
    <row r="564" spans="1:72" ht="12" customHeight="1" outlineLevel="1">
      <c r="A564" s="91" t="s">
        <v>347</v>
      </c>
      <c r="B564" s="87" t="s">
        <v>88</v>
      </c>
      <c r="C564" s="19"/>
      <c r="D564" s="37">
        <f t="shared" ref="D564:AJ564" si="4449">IF(ISERROR(-D562*D$5/AVERAGE(C385:D385)),"n.a.",-D562*D$5/AVERAGE(C385:D385))</f>
        <v>6.1472838557656805E-3</v>
      </c>
      <c r="E564" s="37">
        <f t="shared" si="4449"/>
        <v>3.9291245454594961E-3</v>
      </c>
      <c r="F564" s="37">
        <f t="shared" si="4449"/>
        <v>3.4358923671415731E-3</v>
      </c>
      <c r="G564" s="37">
        <f t="shared" si="4449"/>
        <v>2.2443161472850102E-3</v>
      </c>
      <c r="H564" s="37">
        <f t="shared" si="4449"/>
        <v>2.8739698886336667E-3</v>
      </c>
      <c r="I564" s="37">
        <f t="shared" si="4449"/>
        <v>4.9637056478624222E-3</v>
      </c>
      <c r="J564" s="37">
        <f t="shared" si="4449"/>
        <v>3.7836775425603352E-3</v>
      </c>
      <c r="K564" s="37">
        <f t="shared" si="4449"/>
        <v>4.1918616141003919E-3</v>
      </c>
      <c r="L564" s="37">
        <f t="shared" si="4449"/>
        <v>3.7943224461720513E-3</v>
      </c>
      <c r="M564" s="37">
        <f t="shared" si="4449"/>
        <v>5.1645993383813574E-3</v>
      </c>
      <c r="N564" s="37">
        <f t="shared" si="4449"/>
        <v>3.3688468901243401E-3</v>
      </c>
      <c r="O564" s="37">
        <f t="shared" si="4449"/>
        <v>1.0612396852620764E-2</v>
      </c>
      <c r="P564" s="37">
        <f t="shared" si="4449"/>
        <v>8.9928538928886869E-3</v>
      </c>
      <c r="Q564" s="37">
        <f t="shared" si="4449"/>
        <v>6.0615321923390385E-3</v>
      </c>
      <c r="R564" s="37">
        <f t="shared" si="4449"/>
        <v>7.1043566001874761E-3</v>
      </c>
      <c r="S564" s="37">
        <f t="shared" si="4449"/>
        <v>4.2019168500845184E-3</v>
      </c>
      <c r="T564" s="37">
        <f t="shared" si="4449"/>
        <v>3.8520781192226726E-3</v>
      </c>
      <c r="U564" s="37">
        <f t="shared" si="4449"/>
        <v>6.2438256689660481E-3</v>
      </c>
      <c r="V564" s="37">
        <f t="shared" si="4449"/>
        <v>2.014923362092115E-3</v>
      </c>
      <c r="W564" s="37">
        <f t="shared" si="4449"/>
        <v>1.2336401031446391E-2</v>
      </c>
      <c r="X564" s="37">
        <f t="shared" si="4449"/>
        <v>3.4136188657698753E-3</v>
      </c>
      <c r="Y564" s="37">
        <f t="shared" si="4449"/>
        <v>2.011351523302992E-2</v>
      </c>
      <c r="Z564" s="37">
        <f t="shared" si="4449"/>
        <v>9.5083733041383053E-3</v>
      </c>
      <c r="AA564" s="37">
        <f t="shared" si="4449"/>
        <v>1.5563704588094833E-3</v>
      </c>
      <c r="AB564" s="37">
        <f t="shared" si="4449"/>
        <v>4.1071976130797241E-3</v>
      </c>
      <c r="AC564" s="37">
        <f t="shared" si="4449"/>
        <v>4.4213854994446296E-3</v>
      </c>
      <c r="AD564" s="37">
        <f t="shared" si="4449"/>
        <v>4.0225737327669276E-3</v>
      </c>
      <c r="AE564" s="37">
        <f t="shared" si="4449"/>
        <v>2.1917544994768312E-3</v>
      </c>
      <c r="AF564" s="37">
        <f t="shared" si="4449"/>
        <v>-1.4352878396157844E-3</v>
      </c>
      <c r="AG564" s="37">
        <f t="shared" si="4449"/>
        <v>-2.9313744307375546E-3</v>
      </c>
      <c r="AH564" s="37">
        <f t="shared" si="4449"/>
        <v>8.2320174960818972E-4</v>
      </c>
      <c r="AI564" s="37">
        <f t="shared" si="4449"/>
        <v>2.9210792059902856E-3</v>
      </c>
      <c r="AJ564" s="38">
        <f t="shared" si="4449"/>
        <v>2.6922446440291747E-4</v>
      </c>
      <c r="AK564" s="37">
        <f>IF(ISERROR(-AK562*AK$5/AVERAGE(AJ385:AK385)),"n.a.",-AK562*AK$5/AVERAGE(AJ385:AK385))</f>
        <v>1.4161459514638892E-3</v>
      </c>
      <c r="AL564" s="37">
        <f t="shared" ref="AL564" si="4450">IF(ISERROR(-AL562*AL$5/AVERAGE(AK385:AL385)),"n.a.",-AL562*AL$5/AVERAGE(AK385:AL385))</f>
        <v>9.8332678563840012E-4</v>
      </c>
      <c r="AM564" s="37">
        <f t="shared" ref="AM564" si="4451">IF(ISERROR(-AM562*AM$5/AVERAGE(AL385:AM385)),"n.a.",-AM562*AM$5/AVERAGE(AL385:AM385))</f>
        <v>1.1925138558806705E-3</v>
      </c>
      <c r="AN564" s="37">
        <f t="shared" ref="AN564" si="4452">IF(ISERROR(-AN562*AN$5/AVERAGE(AM385:AN385)),"n.a.",-AN562*AN$5/AVERAGE(AM385:AN385))</f>
        <v>1.3021708488277961E-3</v>
      </c>
      <c r="AO564" s="37">
        <f t="shared" ref="AO564" si="4453">IF(ISERROR(-AO562*AO$5/AVERAGE(AN385:AO385)),"n.a.",-AO562*AO$5/AVERAGE(AN385:AO385))</f>
        <v>1.2057281907946408E-3</v>
      </c>
      <c r="AP564" s="37">
        <f t="shared" ref="AP564" si="4454">IF(ISERROR(-AP562*AP$5/AVERAGE(AO385:AP385)),"n.a.",-AP562*AP$5/AVERAGE(AO385:AP385))</f>
        <v>1.3704745287024321E-3</v>
      </c>
      <c r="AQ564" s="37">
        <f t="shared" ref="AQ564" si="4455">IF(ISERROR(-AQ562*AQ$5/AVERAGE(AP385:AQ385)),"n.a.",-AQ562*AQ$5/AVERAGE(AP385:AQ385))</f>
        <v>1.3206389538716133E-3</v>
      </c>
      <c r="AR564" s="37">
        <f t="shared" ref="AR564" si="4456">IF(ISERROR(-AR562*AR$5/AVERAGE(AQ385:AR385)),"n.a.",-AR562*AR$5/AVERAGE(AQ385:AR385))</f>
        <v>1.2658185093570205E-3</v>
      </c>
      <c r="AS564" s="37">
        <f t="shared" ref="AS564" si="4457">IF(ISERROR(-AS562*AS$5/AVERAGE(AR385:AS385)),"n.a.",-AS562*AS$5/AVERAGE(AR385:AS385))</f>
        <v>1.2243677500531015E-3</v>
      </c>
      <c r="AT564" s="19"/>
      <c r="AU564" s="37">
        <f t="shared" ref="AU564:BM564" si="4458">IF(ISERROR(-AU562*AU$5/AVERAGE(AT385:AU385)),"n.a.",-AU562*AU$5/AVERAGE(AT385:AU385))</f>
        <v>1.0905892700087952E-3</v>
      </c>
      <c r="AV564" s="37">
        <f t="shared" si="4458"/>
        <v>1.1352169525731585E-3</v>
      </c>
      <c r="AW564" s="37">
        <f t="shared" si="4458"/>
        <v>9.9016028219568036E-4</v>
      </c>
      <c r="AX564" s="37">
        <f t="shared" si="4458"/>
        <v>2.1995254727452318E-3</v>
      </c>
      <c r="AY564" s="37">
        <f t="shared" si="4458"/>
        <v>1.0313098252331255E-2</v>
      </c>
      <c r="AZ564" s="37">
        <f t="shared" si="4458"/>
        <v>4.8529510885438904E-3</v>
      </c>
      <c r="BA564" s="37">
        <f t="shared" si="4458"/>
        <v>2.8355282832869975E-3</v>
      </c>
      <c r="BB564" s="37">
        <f t="shared" si="4458"/>
        <v>3.9239757108095663E-3</v>
      </c>
      <c r="BC564" s="37">
        <f t="shared" si="4458"/>
        <v>4.0084410557682318E-3</v>
      </c>
      <c r="BD564" s="37">
        <f t="shared" si="4458"/>
        <v>4.3786817570388237E-3</v>
      </c>
      <c r="BE564" s="37">
        <f t="shared" si="4458"/>
        <v>7.1040662032036753E-3</v>
      </c>
      <c r="BF564" s="37">
        <f t="shared" si="4458"/>
        <v>7.496995977221671E-3</v>
      </c>
      <c r="BG564" s="37">
        <f t="shared" si="4458"/>
        <v>5.6550064000917026E-3</v>
      </c>
      <c r="BH564" s="37">
        <f t="shared" si="4458"/>
        <v>4.874410675758464E-3</v>
      </c>
      <c r="BI564" s="37">
        <f t="shared" si="4458"/>
        <v>7.2957969865186361E-3</v>
      </c>
      <c r="BJ564" s="37">
        <f t="shared" si="4458"/>
        <v>1.2098087571541575E-2</v>
      </c>
      <c r="BK564" s="37">
        <f t="shared" si="4458"/>
        <v>5.2625500268651173E-3</v>
      </c>
      <c r="BL564" s="37">
        <f t="shared" si="4458"/>
        <v>4.245735496517496E-3</v>
      </c>
      <c r="BM564" s="37">
        <f t="shared" si="4458"/>
        <v>3.0956374694868331E-3</v>
      </c>
      <c r="BN564" s="37">
        <f t="shared" ref="BN564:BT564" si="4459">IF(ISERROR(-BN562*BN$5/AVERAGE(BN385:BN385)),"n.a.",-BN562*BN$5/AVERAGE(BN385:BN385))</f>
        <v>-2.0921806873012002E-3</v>
      </c>
      <c r="BO564" s="38">
        <f t="shared" si="4459"/>
        <v>1.7554267486189995E-3</v>
      </c>
      <c r="BP564" s="37">
        <f t="shared" si="4459"/>
        <v>7.9806292861635188E-4</v>
      </c>
      <c r="BQ564" s="37">
        <f t="shared" si="4459"/>
        <v>1.0203900471711779E-3</v>
      </c>
      <c r="BR564" s="37">
        <f t="shared" si="4459"/>
        <v>1.191097737189906E-3</v>
      </c>
      <c r="BS564" s="37">
        <f t="shared" si="4459"/>
        <v>1.2870385901684667E-3</v>
      </c>
      <c r="BT564" s="37">
        <f t="shared" si="4459"/>
        <v>1.1920329617951869E-3</v>
      </c>
    </row>
    <row r="565" spans="1:72" ht="12" customHeight="1" outlineLevel="1">
      <c r="A565" s="91" t="s">
        <v>421</v>
      </c>
      <c r="B565" s="1" t="s">
        <v>420</v>
      </c>
      <c r="C565" s="19"/>
      <c r="D565" s="37">
        <f t="shared" ref="D565:V565" si="4460">IF(ISERROR(D560/D385),"n.a.",D560/D385)</f>
        <v>3.4161490683229816E-2</v>
      </c>
      <c r="E565" s="37">
        <f t="shared" si="4460"/>
        <v>2.7853705920889149E-2</v>
      </c>
      <c r="F565" s="37">
        <f t="shared" si="4460"/>
        <v>2.333259472634611E-2</v>
      </c>
      <c r="G565" s="37">
        <f t="shared" si="4460"/>
        <v>1.9753998609179417E-2</v>
      </c>
      <c r="H565" s="37">
        <f t="shared" si="4460"/>
        <v>2.0221189712715137E-2</v>
      </c>
      <c r="I565" s="37">
        <f t="shared" si="4460"/>
        <v>1.9571851917378036E-2</v>
      </c>
      <c r="J565" s="37">
        <f t="shared" si="4460"/>
        <v>1.8229988014886771E-2</v>
      </c>
      <c r="K565" s="37">
        <f t="shared" si="4460"/>
        <v>1.7052747387079029E-2</v>
      </c>
      <c r="L565" s="37">
        <f t="shared" si="4460"/>
        <v>1.6872403677672121E-2</v>
      </c>
      <c r="M565" s="37">
        <f t="shared" si="4460"/>
        <v>1.4562610709905981E-2</v>
      </c>
      <c r="N565" s="37">
        <f t="shared" si="4460"/>
        <v>1.4945293706836347E-2</v>
      </c>
      <c r="O565" s="37">
        <f t="shared" si="4460"/>
        <v>1.8498666886561668E-2</v>
      </c>
      <c r="P565" s="37">
        <f t="shared" si="4460"/>
        <v>2.1775981223106013E-2</v>
      </c>
      <c r="Q565" s="37">
        <f t="shared" si="4460"/>
        <v>1.3015454296593086E-2</v>
      </c>
      <c r="R565" s="37">
        <f t="shared" si="4460"/>
        <v>1.705653021442495E-2</v>
      </c>
      <c r="S565" s="37">
        <f t="shared" si="4460"/>
        <v>1.4609394362339068E-2</v>
      </c>
      <c r="T565" s="37">
        <f t="shared" si="4460"/>
        <v>1.3766746700385014E-2</v>
      </c>
      <c r="U565" s="37">
        <f t="shared" si="4460"/>
        <v>9.1281339699900692E-3</v>
      </c>
      <c r="V565" s="37">
        <f t="shared" si="4460"/>
        <v>1.1695450469767261E-2</v>
      </c>
      <c r="W565" s="37">
        <f t="shared" ref="W565:X565" si="4461">IF(ISERROR(W560/W385),"n.a.",W560/W385)</f>
        <v>2.9455989513050854E-2</v>
      </c>
      <c r="X565" s="37">
        <f t="shared" si="4461"/>
        <v>2.7237674276444173E-2</v>
      </c>
      <c r="Y565" s="37">
        <f t="shared" ref="Y565:Z565" si="4462">IF(ISERROR(Y560/Y385),"n.a.",Y560/Y385)</f>
        <v>2.7986442406791545E-2</v>
      </c>
      <c r="Z565" s="37">
        <f t="shared" si="4462"/>
        <v>3.1601258911940391E-2</v>
      </c>
      <c r="AA565" s="37">
        <f t="shared" ref="AA565:AB565" si="4463">IF(ISERROR(AA560/AA385),"n.a.",AA560/AA385)</f>
        <v>2.5945956239407385E-2</v>
      </c>
      <c r="AB565" s="37">
        <f t="shared" si="4463"/>
        <v>1.9466200288951411E-2</v>
      </c>
      <c r="AC565" s="37">
        <f t="shared" ref="AC565:AD565" si="4464">IF(ISERROR(AC560/AC385),"n.a.",AC560/AC385)</f>
        <v>1.7922875972213977E-2</v>
      </c>
      <c r="AD565" s="37">
        <f t="shared" si="4464"/>
        <v>1.7786853312196892E-2</v>
      </c>
      <c r="AE565" s="37">
        <f t="shared" ref="AE565:AF565" si="4465">IF(ISERROR(AE560/AE385),"n.a.",AE560/AE385)</f>
        <v>1.9757586459147894E-2</v>
      </c>
      <c r="AF565" s="37">
        <f t="shared" si="4465"/>
        <v>1.6979611331681542E-2</v>
      </c>
      <c r="AG565" s="37">
        <f t="shared" ref="AG565:AH565" si="4466">IF(ISERROR(AG560/AG385),"n.a.",AG560/AG385)</f>
        <v>2.0213073577855768E-2</v>
      </c>
      <c r="AH565" s="37">
        <f t="shared" si="4466"/>
        <v>1.4925373134328358E-2</v>
      </c>
      <c r="AI565" s="37">
        <f t="shared" ref="AI565:AJ565" si="4467">IF(ISERROR(AI560/AI385),"n.a.",AI560/AI385)</f>
        <v>1.6153816229674007E-2</v>
      </c>
      <c r="AJ565" s="38">
        <f t="shared" si="4467"/>
        <v>1.3403736799350122E-2</v>
      </c>
      <c r="AK565" s="37">
        <f t="shared" ref="AK565" si="4468">IF(ISERROR(AK560/AK385),"n.a.",AK560/AK385)</f>
        <v>1.2703376111382994E-2</v>
      </c>
      <c r="AL565" s="37">
        <f t="shared" ref="AL565:AM565" si="4469">IF(ISERROR(AL560/AL385),"n.a.",AL560/AL385)</f>
        <v>1.0747037193743435E-2</v>
      </c>
      <c r="AM565" s="37">
        <f t="shared" si="4469"/>
        <v>9.1887072458949025E-3</v>
      </c>
      <c r="AN565" s="37">
        <f t="shared" ref="AN565:AO565" si="4470">IF(ISERROR(AN560/AN385),"n.a.",AN560/AN385)</f>
        <v>8.8698528536679516E-3</v>
      </c>
      <c r="AO565" s="37">
        <f t="shared" si="4470"/>
        <v>8.5620629549813341E-3</v>
      </c>
      <c r="AP565" s="37">
        <f t="shared" ref="AP565:AQ565" si="4471">IF(ISERROR(AP560/AP385),"n.a.",AP560/AP385)</f>
        <v>8.5179623048291242E-3</v>
      </c>
      <c r="AQ565" s="37">
        <f t="shared" si="4471"/>
        <v>8.4740874126422016E-3</v>
      </c>
      <c r="AR565" s="37">
        <f t="shared" ref="AR565:AS565" si="4472">IF(ISERROR(AR560/AR385),"n.a.",AR560/AR385)</f>
        <v>8.4304371600818495E-3</v>
      </c>
      <c r="AS565" s="37">
        <f t="shared" si="4472"/>
        <v>8.3870119509812744E-3</v>
      </c>
      <c r="AT565" s="19"/>
      <c r="AU565" s="37">
        <f t="shared" ref="AU565:BM565" si="4473">IF(ISERROR(AU560/AU385),"n.a.",AU560/AU385)</f>
        <v>1.4775725593667547E-3</v>
      </c>
      <c r="AV565" s="37">
        <f t="shared" si="4473"/>
        <v>4.3429812280350866E-3</v>
      </c>
      <c r="AW565" s="37">
        <f t="shared" si="4473"/>
        <v>3.6247707223338284E-3</v>
      </c>
      <c r="AX565" s="37">
        <f t="shared" si="4473"/>
        <v>1.0475699811093938E-2</v>
      </c>
      <c r="AY565" s="37">
        <f t="shared" si="4473"/>
        <v>3.611092489553306E-2</v>
      </c>
      <c r="AZ565" s="37">
        <f t="shared" si="4473"/>
        <v>2.7853705920889149E-2</v>
      </c>
      <c r="BA565" s="37">
        <f t="shared" si="4473"/>
        <v>1.9753998609179417E-2</v>
      </c>
      <c r="BB565" s="37">
        <f t="shared" si="4473"/>
        <v>1.9571851917378036E-2</v>
      </c>
      <c r="BC565" s="37">
        <f t="shared" si="4473"/>
        <v>1.7052747387079029E-2</v>
      </c>
      <c r="BD565" s="37">
        <f t="shared" si="4473"/>
        <v>1.4562610709905981E-2</v>
      </c>
      <c r="BE565" s="37">
        <f t="shared" si="4473"/>
        <v>1.8498666886561668E-2</v>
      </c>
      <c r="BF565" s="37">
        <f t="shared" si="4473"/>
        <v>1.3015454296593086E-2</v>
      </c>
      <c r="BG565" s="37">
        <f t="shared" si="4473"/>
        <v>1.4609394362339068E-2</v>
      </c>
      <c r="BH565" s="37">
        <f t="shared" si="4473"/>
        <v>9.1281339699900692E-3</v>
      </c>
      <c r="BI565" s="37">
        <f t="shared" si="4473"/>
        <v>2.9455989513050854E-2</v>
      </c>
      <c r="BJ565" s="37">
        <f t="shared" si="4473"/>
        <v>2.7986442406791545E-2</v>
      </c>
      <c r="BK565" s="37">
        <f t="shared" si="4473"/>
        <v>2.5945956239407385E-2</v>
      </c>
      <c r="BL565" s="37">
        <f t="shared" si="4473"/>
        <v>1.7922875972213977E-2</v>
      </c>
      <c r="BM565" s="37">
        <f t="shared" si="4473"/>
        <v>1.9757586459147894E-2</v>
      </c>
      <c r="BN565" s="37">
        <f t="shared" ref="BN565:BO565" si="4474">IF(ISERROR(BN560/BN385),"n.a.",BN560/BN385)</f>
        <v>2.0213073577855768E-2</v>
      </c>
      <c r="BO565" s="38">
        <f t="shared" si="4474"/>
        <v>1.6153816229674007E-2</v>
      </c>
      <c r="BP565" s="37">
        <f t="shared" ref="BP565:BQ565" si="4475">IF(ISERROR(BP560/BP385),"n.a.",BP560/BP385)</f>
        <v>1.2703376111382994E-2</v>
      </c>
      <c r="BQ565" s="37">
        <f t="shared" si="4475"/>
        <v>9.1887072458949025E-3</v>
      </c>
      <c r="BR565" s="37">
        <f t="shared" ref="BR565:BS565" si="4476">IF(ISERROR(BR560/BR385),"n.a.",BR560/BR385)</f>
        <v>8.5620629549813341E-3</v>
      </c>
      <c r="BS565" s="37">
        <f t="shared" si="4476"/>
        <v>8.4740874126422016E-3</v>
      </c>
      <c r="BT565" s="37">
        <f>IF(ISERROR(BT560/BT385),"n.a.",BT560/BT385)</f>
        <v>8.3870119509812744E-3</v>
      </c>
    </row>
    <row r="566" spans="1:72" ht="12" customHeight="1" outlineLevel="1">
      <c r="A566" s="91" t="s">
        <v>419</v>
      </c>
      <c r="B566" s="1" t="s">
        <v>418</v>
      </c>
      <c r="C566" s="19"/>
      <c r="D566" s="37">
        <f t="shared" ref="D566:V566" si="4477">IF(ISERROR(D560/D312),"n.a.",D560/D312)</f>
        <v>4.5309867066092489E-2</v>
      </c>
      <c r="E566" s="37">
        <f t="shared" si="4477"/>
        <v>3.5111199703847143E-2</v>
      </c>
      <c r="F566" s="37">
        <f t="shared" si="4477"/>
        <v>2.6229916552497196E-2</v>
      </c>
      <c r="G566" s="37">
        <f t="shared" si="4477"/>
        <v>2.2179928262938291E-2</v>
      </c>
      <c r="H566" s="37">
        <f t="shared" si="4477"/>
        <v>2.1371757925072045E-2</v>
      </c>
      <c r="I566" s="37">
        <f t="shared" si="4477"/>
        <v>2.2724938373048481E-2</v>
      </c>
      <c r="J566" s="37">
        <f t="shared" si="4477"/>
        <v>2.1675E-2</v>
      </c>
      <c r="K566" s="37">
        <f t="shared" si="4477"/>
        <v>1.8964970317668917E-2</v>
      </c>
      <c r="L566" s="37">
        <f t="shared" si="4477"/>
        <v>1.7876512307050479E-2</v>
      </c>
      <c r="M566" s="37">
        <f t="shared" si="4477"/>
        <v>1.6856258502060208E-2</v>
      </c>
      <c r="N566" s="37">
        <f t="shared" si="4477"/>
        <v>1.7545777534845586E-2</v>
      </c>
      <c r="O566" s="37">
        <f t="shared" si="4477"/>
        <v>1.9105748757984386E-2</v>
      </c>
      <c r="P566" s="37">
        <f t="shared" si="4477"/>
        <v>2.220036158672764E-2</v>
      </c>
      <c r="Q566" s="37">
        <f t="shared" si="4477"/>
        <v>1.3124545157971342E-2</v>
      </c>
      <c r="R566" s="37">
        <f t="shared" si="4477"/>
        <v>1.6809059198220514E-2</v>
      </c>
      <c r="S566" s="37">
        <f t="shared" si="4477"/>
        <v>1.4737423845678119E-2</v>
      </c>
      <c r="T566" s="37">
        <f t="shared" si="4477"/>
        <v>1.2702199617229898E-2</v>
      </c>
      <c r="U566" s="37">
        <f t="shared" si="4477"/>
        <v>8.634222919937205E-3</v>
      </c>
      <c r="V566" s="37">
        <f t="shared" si="4477"/>
        <v>1.1425814724066575E-2</v>
      </c>
      <c r="W566" s="37">
        <f t="shared" ref="W566:X566" si="4478">IF(ISERROR(W560/W312),"n.a.",W560/W312)</f>
        <v>3.6953437379079065E-2</v>
      </c>
      <c r="X566" s="37">
        <f t="shared" si="4478"/>
        <v>3.183916891111966E-2</v>
      </c>
      <c r="Y566" s="37">
        <f t="shared" ref="Y566:Z566" si="4479">IF(ISERROR(Y560/Y312),"n.a.",Y560/Y312)</f>
        <v>3.2521730541288027E-2</v>
      </c>
      <c r="Z566" s="37">
        <f t="shared" si="4479"/>
        <v>3.9910229024146232E-2</v>
      </c>
      <c r="AA566" s="37">
        <f t="shared" ref="AA566:AB566" si="4480">IF(ISERROR(AA560/AA312),"n.a.",AA560/AA312)</f>
        <v>3.5120957867738986E-2</v>
      </c>
      <c r="AB566" s="37">
        <f t="shared" si="4480"/>
        <v>2.3886538940034834E-2</v>
      </c>
      <c r="AC566" s="37">
        <f t="shared" ref="AC566:AD566" si="4481">IF(ISERROR(AC560/AC312),"n.a.",AC560/AC312)</f>
        <v>2.2260731700572418E-2</v>
      </c>
      <c r="AD566" s="37">
        <f t="shared" si="4481"/>
        <v>2.3326902578468423E-2</v>
      </c>
      <c r="AE566" s="37">
        <f t="shared" ref="AE566:AF566" si="4482">IF(ISERROR(AE560/AE312),"n.a.",AE560/AE312)</f>
        <v>3.2138277683746219E-2</v>
      </c>
      <c r="AF566" s="37">
        <f t="shared" si="4482"/>
        <v>2.9084810243089291E-2</v>
      </c>
      <c r="AG566" s="37">
        <f t="shared" ref="AG566:AH566" si="4483">IF(ISERROR(AG560/AG312),"n.a.",AG560/AG312)</f>
        <v>3.6284987277353686E-2</v>
      </c>
      <c r="AH566" s="37">
        <f t="shared" si="4483"/>
        <v>2.5812893503323688E-2</v>
      </c>
      <c r="AI566" s="37">
        <f t="shared" ref="AI566:AJ566" si="4484">IF(ISERROR(AI560/AI312),"n.a.",AI560/AI312)</f>
        <v>2.7787071734475376E-2</v>
      </c>
      <c r="AJ566" s="38">
        <f t="shared" si="4484"/>
        <v>2.4181859176705532E-2</v>
      </c>
      <c r="AK566" s="37">
        <f t="shared" ref="AK566" si="4485">IF(ISERROR(AK560/AK312),"n.a.",AK560/AK312)</f>
        <v>2.2507528104925057E-2</v>
      </c>
      <c r="AL566" s="37">
        <f t="shared" ref="AL566:AM566" si="4486">IF(ISERROR(AL560/AL312),"n.a.",AL560/AL312)</f>
        <v>2.0256775294432552E-2</v>
      </c>
      <c r="AM566" s="37">
        <f t="shared" si="4486"/>
        <v>1.8231097764989299E-2</v>
      </c>
      <c r="AN566" s="37">
        <f t="shared" ref="AN566:AO566" si="4487">IF(ISERROR(AN560/AN312),"n.a.",AN560/AN312)</f>
        <v>1.7957631298514458E-2</v>
      </c>
      <c r="AO566" s="37">
        <f t="shared" si="4487"/>
        <v>1.768826682903674E-2</v>
      </c>
      <c r="AP566" s="37">
        <f t="shared" ref="AP566:AQ566" si="4488">IF(ISERROR(AP560/AP312),"n.a.",AP560/AP312)</f>
        <v>1.7422942826601187E-2</v>
      </c>
      <c r="AQ566" s="37">
        <f t="shared" si="4488"/>
        <v>1.7161598684202171E-2</v>
      </c>
      <c r="AR566" s="37">
        <f t="shared" ref="AR566:AS566" si="4489">IF(ISERROR(AR560/AR312),"n.a.",AR560/AR312)</f>
        <v>1.6904174703939137E-2</v>
      </c>
      <c r="AS566" s="37">
        <f t="shared" si="4489"/>
        <v>1.6650612083380052E-2</v>
      </c>
      <c r="AT566" s="19"/>
      <c r="AU566" s="37">
        <f t="shared" ref="AU566:BM566" si="4490">IF(ISERROR(AU560/AU312),"n.a.",AU560/AU312)</f>
        <v>2.8311425682507585E-3</v>
      </c>
      <c r="AV566" s="37">
        <f t="shared" si="4490"/>
        <v>6.8136991213914293E-3</v>
      </c>
      <c r="AW566" s="37">
        <f t="shared" si="4490"/>
        <v>5.4083993092887625E-3</v>
      </c>
      <c r="AX566" s="37">
        <f t="shared" si="4490"/>
        <v>2.0107680474673113E-2</v>
      </c>
      <c r="AY566" s="37">
        <f t="shared" si="4490"/>
        <v>5.8518920876335326E-2</v>
      </c>
      <c r="AZ566" s="37">
        <f t="shared" si="4490"/>
        <v>3.5111199703847143E-2</v>
      </c>
      <c r="BA566" s="37">
        <f t="shared" si="4490"/>
        <v>2.2179928262938291E-2</v>
      </c>
      <c r="BB566" s="37">
        <f t="shared" si="4490"/>
        <v>2.2724938373048481E-2</v>
      </c>
      <c r="BC566" s="37">
        <f t="shared" si="4490"/>
        <v>1.8964970317668917E-2</v>
      </c>
      <c r="BD566" s="37">
        <f t="shared" si="4490"/>
        <v>1.6856258502060208E-2</v>
      </c>
      <c r="BE566" s="37">
        <f t="shared" si="4490"/>
        <v>1.9105748757984386E-2</v>
      </c>
      <c r="BF566" s="37">
        <f t="shared" si="4490"/>
        <v>1.3124545157971342E-2</v>
      </c>
      <c r="BG566" s="37">
        <f t="shared" si="4490"/>
        <v>1.4737423845678119E-2</v>
      </c>
      <c r="BH566" s="37">
        <f t="shared" si="4490"/>
        <v>8.634222919937205E-3</v>
      </c>
      <c r="BI566" s="37">
        <f t="shared" si="4490"/>
        <v>3.6953437379079065E-2</v>
      </c>
      <c r="BJ566" s="37">
        <f t="shared" si="4490"/>
        <v>3.2521730541288027E-2</v>
      </c>
      <c r="BK566" s="37">
        <f t="shared" si="4490"/>
        <v>3.5120957867738986E-2</v>
      </c>
      <c r="BL566" s="37">
        <f t="shared" si="4490"/>
        <v>2.2260731700572418E-2</v>
      </c>
      <c r="BM566" s="37">
        <f t="shared" si="4490"/>
        <v>3.2138277683746219E-2</v>
      </c>
      <c r="BN566" s="37">
        <f t="shared" ref="BN566:BO566" si="4491">IF(ISERROR(BN560/BN312),"n.a.",BN560/BN312)</f>
        <v>3.6284987277353686E-2</v>
      </c>
      <c r="BO566" s="38">
        <f t="shared" si="4491"/>
        <v>2.7787071734475376E-2</v>
      </c>
      <c r="BP566" s="37">
        <f t="shared" ref="BP566:BQ566" si="4492">IF(ISERROR(BP560/BP312),"n.a.",BP560/BP312)</f>
        <v>2.2507528104925057E-2</v>
      </c>
      <c r="BQ566" s="37">
        <f t="shared" si="4492"/>
        <v>1.8231097764989299E-2</v>
      </c>
      <c r="BR566" s="37">
        <f t="shared" ref="BR566:BS566" si="4493">IF(ISERROR(BR560/BR312),"n.a.",BR560/BR312)</f>
        <v>1.768826682903674E-2</v>
      </c>
      <c r="BS566" s="37">
        <f t="shared" si="4493"/>
        <v>1.7161598684202171E-2</v>
      </c>
      <c r="BT566" s="37">
        <f>IF(ISERROR(BT560/BT312),"n.a.",BT560/BT312)</f>
        <v>1.6650612083380052E-2</v>
      </c>
    </row>
    <row r="567" spans="1:72" ht="12" customHeight="1" outlineLevel="1">
      <c r="A567" s="91" t="s">
        <v>348</v>
      </c>
      <c r="B567" s="87" t="s">
        <v>86</v>
      </c>
      <c r="C567" s="19"/>
      <c r="D567" s="50">
        <f>IF(ISERROR(D558/D560),"n.a.",D558/D560)</f>
        <v>0.27479338842975204</v>
      </c>
      <c r="E567" s="50">
        <f t="shared" ref="E567:K567" si="4494">IF(ISERROR(E558/E560),"n.a.",E558/E560)</f>
        <v>0.28548256285482565</v>
      </c>
      <c r="F567" s="50">
        <f t="shared" si="4494"/>
        <v>0.35992402659069328</v>
      </c>
      <c r="G567" s="50">
        <f t="shared" si="4494"/>
        <v>0.36743674367436746</v>
      </c>
      <c r="H567" s="50">
        <f t="shared" si="4494"/>
        <v>0.39805825242718446</v>
      </c>
      <c r="I567" s="50">
        <f t="shared" si="4494"/>
        <v>0.43954802259887005</v>
      </c>
      <c r="J567" s="50">
        <f t="shared" si="4494"/>
        <v>0.44867358708189159</v>
      </c>
      <c r="K567" s="50">
        <f t="shared" si="4494"/>
        <v>0.45758661887694146</v>
      </c>
      <c r="L567" s="50">
        <f t="shared" ref="L567:M567" si="4495">IF(ISERROR(L558/L560),"n.a.",L558/L560)</f>
        <v>0.43757292882147025</v>
      </c>
      <c r="M567" s="50">
        <f t="shared" si="4495"/>
        <v>0.41988304093567252</v>
      </c>
      <c r="N567" s="50">
        <f t="shared" ref="N567" si="4496">IF(ISERROR(N558/N560),"n.a.",N558/N560)</f>
        <v>0.40394600207684322</v>
      </c>
      <c r="O567" s="50">
        <f t="shared" ref="O567:P567" si="4497">IF(ISERROR(O558/O560),"n.a.",O558/O560)</f>
        <v>0.46136701337295694</v>
      </c>
      <c r="P567" s="50">
        <f t="shared" si="4497"/>
        <v>0.48862275449101794</v>
      </c>
      <c r="Q567" s="50">
        <f t="shared" ref="Q567" si="4498">IF(ISERROR(Q558/Q560),"n.a.",Q558/Q560)</f>
        <v>0.39483747609942638</v>
      </c>
      <c r="R567" s="50">
        <f t="shared" ref="R567:S567" si="4499">IF(ISERROR(R558/R560),"n.a.",R558/R560)</f>
        <v>0.39097744360902253</v>
      </c>
      <c r="S567" s="50">
        <f t="shared" si="4499"/>
        <v>0.37232142857142858</v>
      </c>
      <c r="T567" s="50">
        <f t="shared" ref="T567:U567" si="4500">IF(ISERROR(T558/T560),"n.a.",T558/T560)</f>
        <v>0.4148606811145511</v>
      </c>
      <c r="U567" s="50">
        <f t="shared" si="4500"/>
        <v>0.2637853949329359</v>
      </c>
      <c r="V567" s="50">
        <f t="shared" ref="V567:W567" si="4501">IF(ISERROR(V558/V560),"n.a.",V558/V560)</f>
        <v>0</v>
      </c>
      <c r="W567" s="50">
        <f t="shared" si="4501"/>
        <v>0</v>
      </c>
      <c r="X567" s="50">
        <f t="shared" ref="X567:Y567" si="4502">IF(ISERROR(X558/X560),"n.a.",X558/X560)</f>
        <v>0</v>
      </c>
      <c r="Y567" s="50">
        <f t="shared" si="4502"/>
        <v>0</v>
      </c>
      <c r="Z567" s="50">
        <f t="shared" ref="Z567:AA567" si="4503">IF(ISERROR(Z558/Z560),"n.a.",Z558/Z560)</f>
        <v>0</v>
      </c>
      <c r="AA567" s="50">
        <f t="shared" si="4503"/>
        <v>0</v>
      </c>
      <c r="AB567" s="50">
        <f t="shared" ref="AB567:AC567" si="4504">IF(ISERROR(AB558/AB560),"n.a.",AB558/AB560)</f>
        <v>0</v>
      </c>
      <c r="AC567" s="50">
        <f t="shared" si="4504"/>
        <v>0</v>
      </c>
      <c r="AD567" s="50">
        <f t="shared" ref="AD567:AE567" si="4505">IF(ISERROR(AD558/AD560),"n.a.",AD558/AD560)</f>
        <v>0</v>
      </c>
      <c r="AE567" s="50">
        <f t="shared" si="4505"/>
        <v>0</v>
      </c>
      <c r="AF567" s="50">
        <f t="shared" ref="AF567:AG567" si="4506">IF(ISERROR(AF558/AF560),"n.a.",AF558/AF560)</f>
        <v>0</v>
      </c>
      <c r="AG567" s="50">
        <f t="shared" si="4506"/>
        <v>0</v>
      </c>
      <c r="AH567" s="50">
        <f t="shared" ref="AH567:AI567" si="4507">IF(ISERROR(AH558/AH560),"n.a.",AH558/AH560)</f>
        <v>0</v>
      </c>
      <c r="AI567" s="50">
        <f t="shared" si="4507"/>
        <v>0</v>
      </c>
      <c r="AJ567" s="51">
        <f t="shared" ref="AJ567" si="4508">IF(ISERROR(AJ558/AJ560),"n.a.",AJ558/AJ560)</f>
        <v>0</v>
      </c>
      <c r="AK567" s="50">
        <f t="shared" ref="AK567" si="4509">IF(ISERROR(AK558/AK560),"n.a.",AK558/AK560)</f>
        <v>0</v>
      </c>
      <c r="AL567" s="50">
        <f t="shared" ref="AL567:AM567" si="4510">IF(ISERROR(AL558/AL560),"n.a.",AL558/AL560)</f>
        <v>0</v>
      </c>
      <c r="AM567" s="50">
        <f t="shared" si="4510"/>
        <v>0</v>
      </c>
      <c r="AN567" s="50">
        <f t="shared" ref="AN567:AO567" si="4511">IF(ISERROR(AN558/AN560),"n.a.",AN558/AN560)</f>
        <v>0</v>
      </c>
      <c r="AO567" s="50">
        <f t="shared" si="4511"/>
        <v>0</v>
      </c>
      <c r="AP567" s="50">
        <f t="shared" ref="AP567:AQ567" si="4512">IF(ISERROR(AP558/AP560),"n.a.",AP558/AP560)</f>
        <v>0</v>
      </c>
      <c r="AQ567" s="50">
        <f t="shared" si="4512"/>
        <v>0</v>
      </c>
      <c r="AR567" s="50">
        <f t="shared" ref="AR567:AS567" si="4513">IF(ISERROR(AR558/AR560),"n.a.",AR558/AR560)</f>
        <v>0</v>
      </c>
      <c r="AS567" s="50">
        <f t="shared" si="4513"/>
        <v>0</v>
      </c>
      <c r="AT567" s="19"/>
      <c r="AU567" s="50">
        <f t="shared" ref="AU567" si="4514">IF(ISERROR(AU558/AU560),"n.a.",AU558/AU560)</f>
        <v>1.0714285714285714</v>
      </c>
      <c r="AV567" s="50">
        <f t="shared" ref="AV567:AY567" si="4515">IF(ISERROR(AV558/AV560),"n.a.",AV558/AV560)</f>
        <v>0.34210526315789475</v>
      </c>
      <c r="AW567" s="50">
        <f t="shared" si="4515"/>
        <v>0.42771084337349397</v>
      </c>
      <c r="AX567" s="50">
        <f t="shared" si="4515"/>
        <v>0.20218579234972678</v>
      </c>
      <c r="AY567" s="50">
        <f t="shared" si="4515"/>
        <v>0.26670792079207922</v>
      </c>
      <c r="AZ567" s="50">
        <f t="shared" ref="AZ567:BH567" si="4516">IF(ISERROR(AZ558/AZ560),"n.a.",AZ558/AZ560)</f>
        <v>0.28548256285482565</v>
      </c>
      <c r="BA567" s="50">
        <f t="shared" si="4516"/>
        <v>0.36743674367436746</v>
      </c>
      <c r="BB567" s="50">
        <f t="shared" si="4516"/>
        <v>0.43954802259887005</v>
      </c>
      <c r="BC567" s="50">
        <f t="shared" si="4516"/>
        <v>0.45758661887694146</v>
      </c>
      <c r="BD567" s="50">
        <f t="shared" si="4516"/>
        <v>0.41988304093567252</v>
      </c>
      <c r="BE567" s="50">
        <f t="shared" si="4516"/>
        <v>0.46136701337295694</v>
      </c>
      <c r="BF567" s="50">
        <f t="shared" si="4516"/>
        <v>0.39483747609942638</v>
      </c>
      <c r="BG567" s="50">
        <f t="shared" si="4516"/>
        <v>0.37232142857142858</v>
      </c>
      <c r="BH567" s="50">
        <f t="shared" si="4516"/>
        <v>0.2637853949329359</v>
      </c>
      <c r="BI567" s="50">
        <f t="shared" ref="BI567:BL567" si="4517">IF(ISERROR(BI558/BI560),"n.a.",BI558/BI560)</f>
        <v>0</v>
      </c>
      <c r="BJ567" s="50">
        <f t="shared" si="4517"/>
        <v>0</v>
      </c>
      <c r="BK567" s="50">
        <f t="shared" si="4517"/>
        <v>0</v>
      </c>
      <c r="BL567" s="50">
        <f t="shared" si="4517"/>
        <v>0</v>
      </c>
      <c r="BM567" s="50">
        <f t="shared" ref="BM567:BN567" si="4518">IF(ISERROR(BM558/BM560),"n.a.",BM558/BM560)</f>
        <v>0</v>
      </c>
      <c r="BN567" s="50">
        <f t="shared" si="4518"/>
        <v>0</v>
      </c>
      <c r="BO567" s="51">
        <f t="shared" ref="BO567:BP567" si="4519">IF(ISERROR(BO558/BO560),"n.a.",BO558/BO560)</f>
        <v>0</v>
      </c>
      <c r="BP567" s="50">
        <f t="shared" si="4519"/>
        <v>0</v>
      </c>
      <c r="BQ567" s="50">
        <f t="shared" ref="BQ567:BR567" si="4520">IF(ISERROR(BQ558/BQ560),"n.a.",BQ558/BQ560)</f>
        <v>0</v>
      </c>
      <c r="BR567" s="50">
        <f t="shared" si="4520"/>
        <v>0</v>
      </c>
      <c r="BS567" s="50">
        <f t="shared" ref="BS567" si="4521">IF(ISERROR(BS558/BS560),"n.a.",BS558/BS560)</f>
        <v>0</v>
      </c>
      <c r="BT567" s="50">
        <f t="shared" ref="BT567" si="4522">IF(ISERROR(BT558/BT560),"n.a.",BT558/BT560)</f>
        <v>0</v>
      </c>
    </row>
    <row r="568" spans="1:72" ht="12" customHeight="1" outlineLevel="1">
      <c r="A568" s="91" t="s">
        <v>349</v>
      </c>
      <c r="B568" s="87" t="s">
        <v>87</v>
      </c>
      <c r="C568" s="19"/>
      <c r="D568" s="37">
        <f t="shared" ref="D568:V568" si="4523">IF(ISERROR(D559/D312),"n.a.",D559/D312)</f>
        <v>6.7403108032203706E-3</v>
      </c>
      <c r="E568" s="37">
        <f t="shared" si="4523"/>
        <v>6.5210581769513344E-3</v>
      </c>
      <c r="F568" s="37">
        <f t="shared" si="4523"/>
        <v>5.5299539170506912E-3</v>
      </c>
      <c r="G568" s="37">
        <f t="shared" si="4523"/>
        <v>5.5388819754532371E-3</v>
      </c>
      <c r="H568" s="37">
        <f t="shared" si="4523"/>
        <v>5.6484149855907783E-3</v>
      </c>
      <c r="I568" s="37">
        <f t="shared" si="4523"/>
        <v>6.1113393590797038E-3</v>
      </c>
      <c r="J568" s="37">
        <f t="shared" si="4523"/>
        <v>5.9249999999999997E-3</v>
      </c>
      <c r="K568" s="37">
        <f t="shared" si="4523"/>
        <v>5.4379843204785429E-3</v>
      </c>
      <c r="L568" s="37">
        <f t="shared" si="4523"/>
        <v>4.9645390070921988E-3</v>
      </c>
      <c r="M568" s="37">
        <f t="shared" si="4523"/>
        <v>6.072196045186602E-3</v>
      </c>
      <c r="N568" s="37">
        <f t="shared" si="4523"/>
        <v>6.3951899426072699E-3</v>
      </c>
      <c r="O568" s="37">
        <f t="shared" si="4523"/>
        <v>6.0752306600425831E-3</v>
      </c>
      <c r="P568" s="37">
        <f t="shared" si="4523"/>
        <v>6.3144741040093589E-3</v>
      </c>
      <c r="Q568" s="37">
        <f t="shared" si="4523"/>
        <v>6.5246304800622348E-3</v>
      </c>
      <c r="R568" s="37">
        <f t="shared" si="4523"/>
        <v>6.1928112835549264E-3</v>
      </c>
      <c r="S568" s="37">
        <f t="shared" si="4523"/>
        <v>6.0133952656025898E-3</v>
      </c>
      <c r="T568" s="37">
        <f t="shared" si="4523"/>
        <v>5.4400545316309673E-3</v>
      </c>
      <c r="U568" s="37">
        <f t="shared" si="4523"/>
        <v>3.7702344493913582E-3</v>
      </c>
      <c r="V568" s="37">
        <f t="shared" si="4523"/>
        <v>7.2871307240157928E-3</v>
      </c>
      <c r="W568" s="37">
        <f t="shared" ref="W568:X568" si="4524">IF(ISERROR(W559/W312),"n.a.",W559/W312)</f>
        <v>9.9638849477621562E-3</v>
      </c>
      <c r="X568" s="37">
        <f t="shared" si="4524"/>
        <v>9.2892870884406092E-3</v>
      </c>
      <c r="Y568" s="37">
        <f t="shared" ref="Y568:Z568" si="4525">IF(ISERROR(Y559/Y312),"n.a.",Y559/Y312)</f>
        <v>1.3655669695772423E-2</v>
      </c>
      <c r="Z568" s="37">
        <f t="shared" si="4525"/>
        <v>1.7386366709028472E-2</v>
      </c>
      <c r="AA568" s="37">
        <f t="shared" ref="AA568:AB568" si="4526">IF(ISERROR(AA559/AA312),"n.a.",AA559/AA312)</f>
        <v>1.5221229813504492E-2</v>
      </c>
      <c r="AB568" s="37">
        <f t="shared" si="4526"/>
        <v>1.0958364435597579E-2</v>
      </c>
      <c r="AC568" s="37">
        <f t="shared" ref="AC568:AD568" si="4527">IF(ISERROR(AC559/AC312),"n.a.",AC559/AC312)</f>
        <v>1.004728677168693E-2</v>
      </c>
      <c r="AD568" s="37">
        <f t="shared" si="4527"/>
        <v>1.0800144471753129E-2</v>
      </c>
      <c r="AE568" s="37">
        <f t="shared" ref="AE568:AF568" si="4528">IF(ISERROR(AE559/AE312),"n.a.",AE559/AE312)</f>
        <v>1.4812535261835154E-2</v>
      </c>
      <c r="AF568" s="37">
        <f t="shared" si="4528"/>
        <v>1.4399230950165161E-2</v>
      </c>
      <c r="AG568" s="37">
        <f t="shared" ref="AG568:AH568" si="4529">IF(ISERROR(AG559/AG312),"n.a.",AG559/AG312)</f>
        <v>1.3384223918575064E-2</v>
      </c>
      <c r="AH568" s="37">
        <f t="shared" si="4529"/>
        <v>1.1260782337767998E-2</v>
      </c>
      <c r="AI568" s="37">
        <f t="shared" ref="AI568:AJ568" si="4530">IF(ISERROR(AI559/AI312),"n.a.",AI559/AI312)</f>
        <v>1.1325615631691649E-2</v>
      </c>
      <c r="AJ568" s="38">
        <f t="shared" si="4530"/>
        <v>9.6872382915673509E-3</v>
      </c>
      <c r="AK568" s="37">
        <f t="shared" ref="AK568" si="4531">IF(ISERROR(AK559/AK312),"n.a.",AK559/AK312)</f>
        <v>8.9999999999999993E-3</v>
      </c>
      <c r="AL568" s="37">
        <f t="shared" ref="AL568:AM568" si="4532">IF(ISERROR(AL559/AL312),"n.a.",AL559/AL312)</f>
        <v>8.7999999999999988E-3</v>
      </c>
      <c r="AM568" s="37">
        <f t="shared" si="4532"/>
        <v>8.7999999999999988E-3</v>
      </c>
      <c r="AN568" s="37">
        <f t="shared" ref="AN568:AO568" si="4533">IF(ISERROR(AN559/AN312),"n.a.",AN559/AN312)</f>
        <v>8.7999999999999988E-3</v>
      </c>
      <c r="AO568" s="37">
        <f t="shared" si="4533"/>
        <v>8.7999999999999988E-3</v>
      </c>
      <c r="AP568" s="37">
        <f t="shared" ref="AP568:AQ568" si="4534">IF(ISERROR(AP559/AP312),"n.a.",AP559/AP312)</f>
        <v>8.7999999999999988E-3</v>
      </c>
      <c r="AQ568" s="37">
        <f t="shared" si="4534"/>
        <v>8.7999999999999988E-3</v>
      </c>
      <c r="AR568" s="37">
        <f t="shared" ref="AR568:AS568" si="4535">IF(ISERROR(AR559/AR312),"n.a.",AR559/AR312)</f>
        <v>8.7999999999999988E-3</v>
      </c>
      <c r="AS568" s="37">
        <f t="shared" si="4535"/>
        <v>8.7999999999999988E-3</v>
      </c>
      <c r="AT568" s="19"/>
      <c r="AU568" s="37">
        <f t="shared" ref="AU568:BM568" si="4536">IF(ISERROR(AU559/AU312),"n.a.",AU559/AU312)</f>
        <v>7.3474890461745872E-3</v>
      </c>
      <c r="AV568" s="37">
        <f t="shared" si="4536"/>
        <v>3.5861574323112783E-3</v>
      </c>
      <c r="AW568" s="37">
        <f t="shared" si="4536"/>
        <v>2.964845404489623E-3</v>
      </c>
      <c r="AX568" s="37">
        <f t="shared" si="4536"/>
        <v>4.6881295095777022E-3</v>
      </c>
      <c r="AY568" s="37">
        <f t="shared" si="4536"/>
        <v>8.1477457903313417E-3</v>
      </c>
      <c r="AZ568" s="37">
        <f t="shared" si="4536"/>
        <v>6.5210581769513344E-3</v>
      </c>
      <c r="BA568" s="37">
        <f t="shared" si="4536"/>
        <v>5.5388819754532371E-3</v>
      </c>
      <c r="BB568" s="37">
        <f t="shared" si="4536"/>
        <v>6.1113393590797038E-3</v>
      </c>
      <c r="BC568" s="37">
        <f t="shared" si="4536"/>
        <v>5.4379843204785429E-3</v>
      </c>
      <c r="BD568" s="37">
        <f t="shared" si="4536"/>
        <v>6.072196045186602E-3</v>
      </c>
      <c r="BE568" s="37">
        <f t="shared" si="4536"/>
        <v>6.0752306600425831E-3</v>
      </c>
      <c r="BF568" s="37">
        <f t="shared" si="4536"/>
        <v>6.5246304800622348E-3</v>
      </c>
      <c r="BG568" s="37">
        <f t="shared" si="4536"/>
        <v>6.0133952656025898E-3</v>
      </c>
      <c r="BH568" s="37">
        <f t="shared" si="4536"/>
        <v>3.7702344493913582E-3</v>
      </c>
      <c r="BI568" s="37">
        <f t="shared" si="4536"/>
        <v>9.9638849477621562E-3</v>
      </c>
      <c r="BJ568" s="37">
        <f t="shared" si="4536"/>
        <v>1.3655669695772423E-2</v>
      </c>
      <c r="BK568" s="37">
        <f t="shared" si="4536"/>
        <v>1.5221229813504492E-2</v>
      </c>
      <c r="BL568" s="37">
        <f t="shared" si="4536"/>
        <v>1.004728677168693E-2</v>
      </c>
      <c r="BM568" s="37">
        <f t="shared" si="4536"/>
        <v>1.4812535261835154E-2</v>
      </c>
      <c r="BN568" s="37">
        <f t="shared" ref="BN568:BO568" si="4537">IF(ISERROR(BN559/BN312),"n.a.",BN559/BN312)</f>
        <v>1.3384223918575064E-2</v>
      </c>
      <c r="BO568" s="38">
        <f t="shared" si="4537"/>
        <v>1.1325615631691649E-2</v>
      </c>
      <c r="BP568" s="37">
        <f t="shared" ref="BP568:BQ568" si="4538">IF(ISERROR(BP559/BP312),"n.a.",BP559/BP312)</f>
        <v>8.9999999999999993E-3</v>
      </c>
      <c r="BQ568" s="37">
        <f t="shared" si="4538"/>
        <v>8.7999999999999988E-3</v>
      </c>
      <c r="BR568" s="37">
        <f t="shared" ref="BR568:BS568" si="4539">IF(ISERROR(BR559/BR312),"n.a.",BR559/BR312)</f>
        <v>8.7999999999999988E-3</v>
      </c>
      <c r="BS568" s="37">
        <f t="shared" si="4539"/>
        <v>8.7999999999999988E-3</v>
      </c>
      <c r="BT568" s="37">
        <f>IF(ISERROR(BT559/BT312),"n.a.",BT559/BT312)</f>
        <v>8.7999999999999988E-3</v>
      </c>
    </row>
    <row r="569" spans="1:72" ht="12" customHeight="1" outlineLevel="1">
      <c r="A569" s="91" t="s">
        <v>350</v>
      </c>
      <c r="B569" s="87" t="s">
        <v>351</v>
      </c>
      <c r="C569" s="19"/>
      <c r="D569" s="37">
        <f t="shared" ref="D569:V569" si="4540">IF(ISERROR(D559/D314),"n.a.",D559/D314)</f>
        <v>5.0162563864375289E-3</v>
      </c>
      <c r="E569" s="37">
        <f t="shared" si="4540"/>
        <v>4.8380622398749287E-3</v>
      </c>
      <c r="F569" s="37">
        <f t="shared" si="4540"/>
        <v>4.1346171754232395E-3</v>
      </c>
      <c r="G569" s="37">
        <f t="shared" si="4540"/>
        <v>4.0974729241877259E-3</v>
      </c>
      <c r="H569" s="37">
        <f t="shared" si="4540"/>
        <v>4.2533983785003737E-3</v>
      </c>
      <c r="I569" s="37">
        <f t="shared" si="4540"/>
        <v>4.2424998663077775E-3</v>
      </c>
      <c r="J569" s="37">
        <f t="shared" si="4540"/>
        <v>4.2313872522763791E-3</v>
      </c>
      <c r="K569" s="37">
        <f t="shared" si="4540"/>
        <v>4.1114899011529303E-3</v>
      </c>
      <c r="L569" s="37">
        <f t="shared" si="4540"/>
        <v>3.787155496149195E-3</v>
      </c>
      <c r="M569" s="37">
        <f t="shared" si="4540"/>
        <v>4.6881183597674205E-3</v>
      </c>
      <c r="N569" s="37">
        <f t="shared" si="4540"/>
        <v>5.0183721029981553E-3</v>
      </c>
      <c r="O569" s="37">
        <f t="shared" si="4540"/>
        <v>4.9480340813188592E-3</v>
      </c>
      <c r="P569" s="37">
        <f t="shared" si="4540"/>
        <v>5.1679867699538692E-3</v>
      </c>
      <c r="Q569" s="37">
        <f t="shared" si="4540"/>
        <v>5.5422919508867664E-3</v>
      </c>
      <c r="R569" s="37">
        <f t="shared" si="4540"/>
        <v>5.2351545973204558E-3</v>
      </c>
      <c r="S569" s="37">
        <f t="shared" si="4540"/>
        <v>5.0768752221827234E-3</v>
      </c>
      <c r="T569" s="37">
        <f t="shared" si="4540"/>
        <v>4.6304044630404466E-3</v>
      </c>
      <c r="U569" s="37">
        <f t="shared" si="4540"/>
        <v>3.1941567644173116E-3</v>
      </c>
      <c r="V569" s="37">
        <f t="shared" si="4540"/>
        <v>5.9791666666666665E-3</v>
      </c>
      <c r="W569" s="37">
        <f t="shared" ref="W569:X569" si="4541">IF(ISERROR(W559/W314),"n.a.",W559/W314)</f>
        <v>7.9724447540539499E-3</v>
      </c>
      <c r="X569" s="37">
        <f t="shared" si="4541"/>
        <v>7.6737955773509515E-3</v>
      </c>
      <c r="Y569" s="37">
        <f t="shared" ref="Y569:Z569" si="4542">IF(ISERROR(Y559/Y314),"n.a.",Y559/Y314)</f>
        <v>1.1566859796272668E-2</v>
      </c>
      <c r="Z569" s="37">
        <f t="shared" si="4542"/>
        <v>1.4487365800353735E-2</v>
      </c>
      <c r="AA569" s="37">
        <f t="shared" ref="AA569:AB569" si="4543">IF(ISERROR(AA559/AA314),"n.a.",AA559/AA314)</f>
        <v>1.2563829787234042E-2</v>
      </c>
      <c r="AB569" s="37">
        <f t="shared" si="4543"/>
        <v>9.1212688660114085E-3</v>
      </c>
      <c r="AC569" s="37">
        <f t="shared" ref="AC569:AD569" si="4544">IF(ISERROR(AC559/AC314),"n.a.",AC559/AC314)</f>
        <v>8.343539497856706E-3</v>
      </c>
      <c r="AD569" s="37">
        <f t="shared" si="4544"/>
        <v>9.0535161759601815E-3</v>
      </c>
      <c r="AE569" s="37">
        <f t="shared" ref="AE569:AF569" si="4545">IF(ISERROR(AE559/AE314),"n.a.",AE559/AE314)</f>
        <v>1.1623601384528696E-2</v>
      </c>
      <c r="AF569" s="37">
        <f t="shared" si="4545"/>
        <v>1.1231832033057323E-2</v>
      </c>
      <c r="AG569" s="37">
        <f t="shared" ref="AG569:AH569" si="4546">IF(ISERROR(AG559/AG314),"n.a.",AG559/AG314)</f>
        <v>1.0198700150459912E-2</v>
      </c>
      <c r="AH569" s="37">
        <f t="shared" si="4546"/>
        <v>8.8945362134688691E-3</v>
      </c>
      <c r="AI569" s="37">
        <f t="shared" ref="AI569:AJ569" si="4547">IF(ISERROR(AI559/AI314),"n.a.",AI559/AI314)</f>
        <v>9.0652240864476912E-3</v>
      </c>
      <c r="AJ569" s="38">
        <f t="shared" si="4547"/>
        <v>7.8745311610187805E-3</v>
      </c>
      <c r="AK569" s="37">
        <f t="shared" ref="AK569" si="4548">IF(ISERROR(AK559/AK314),"n.a.",AK559/AK314)</f>
        <v>7.3169093987029759E-3</v>
      </c>
      <c r="AL569" s="37">
        <f t="shared" ref="AL569:AM569" si="4549">IF(ISERROR(AL559/AL314),"n.a.",AL559/AL314)</f>
        <v>7.1444667821169107E-3</v>
      </c>
      <c r="AM569" s="37">
        <f t="shared" si="4549"/>
        <v>7.1457749257245948E-3</v>
      </c>
      <c r="AN569" s="37">
        <f t="shared" ref="AN569:AO569" si="4550">IF(ISERROR(AN559/AN314),"n.a.",AN559/AN314)</f>
        <v>7.181212611325859E-3</v>
      </c>
      <c r="AO569" s="37">
        <f t="shared" si="4550"/>
        <v>7.2131115382009729E-3</v>
      </c>
      <c r="AP569" s="37">
        <f t="shared" ref="AP569:AQ569" si="4551">IF(ISERROR(AP559/AP314),"n.a.",AP559/AP314)</f>
        <v>7.2798516221776128E-3</v>
      </c>
      <c r="AQ569" s="37">
        <f t="shared" si="4551"/>
        <v>7.3440421822201707E-3</v>
      </c>
      <c r="AR569" s="37">
        <f t="shared" ref="AR569:AS569" si="4552">IF(ISERROR(AR559/AR314),"n.a.",AR559/AR314)</f>
        <v>7.4057396345177367E-3</v>
      </c>
      <c r="AS569" s="37">
        <f t="shared" si="4552"/>
        <v>7.4653580470503515E-3</v>
      </c>
      <c r="AT569" s="19"/>
      <c r="AU569" s="37">
        <f t="shared" ref="AU569:BM569" si="4553">IF(ISERROR(AU559/AU314),"n.a.",AU559/AU314)</f>
        <v>5.5131252845076126E-3</v>
      </c>
      <c r="AV569" s="37">
        <f t="shared" si="4553"/>
        <v>2.782511912629126E-3</v>
      </c>
      <c r="AW569" s="37">
        <f t="shared" si="4553"/>
        <v>2.3104656476920734E-3</v>
      </c>
      <c r="AX569" s="37">
        <f t="shared" si="4553"/>
        <v>3.3796271848761683E-3</v>
      </c>
      <c r="AY569" s="37">
        <f t="shared" si="4553"/>
        <v>6.1199510403916772E-3</v>
      </c>
      <c r="AZ569" s="37">
        <f t="shared" si="4553"/>
        <v>4.8380622398749287E-3</v>
      </c>
      <c r="BA569" s="37">
        <f t="shared" si="4553"/>
        <v>4.0974729241877259E-3</v>
      </c>
      <c r="BB569" s="37">
        <f t="shared" si="4553"/>
        <v>4.2424998663077775E-3</v>
      </c>
      <c r="BC569" s="37">
        <f t="shared" si="4553"/>
        <v>4.1114899011529303E-3</v>
      </c>
      <c r="BD569" s="37">
        <f t="shared" si="4553"/>
        <v>4.6881183597674205E-3</v>
      </c>
      <c r="BE569" s="37">
        <f t="shared" si="4553"/>
        <v>4.9480340813188592E-3</v>
      </c>
      <c r="BF569" s="37">
        <f t="shared" si="4553"/>
        <v>5.5422919508867664E-3</v>
      </c>
      <c r="BG569" s="37">
        <f t="shared" si="4553"/>
        <v>5.0768752221827234E-3</v>
      </c>
      <c r="BH569" s="37">
        <f t="shared" si="4553"/>
        <v>3.1941567644173116E-3</v>
      </c>
      <c r="BI569" s="37">
        <f t="shared" si="4553"/>
        <v>7.9724447540539499E-3</v>
      </c>
      <c r="BJ569" s="37">
        <f t="shared" si="4553"/>
        <v>1.1566859796272668E-2</v>
      </c>
      <c r="BK569" s="37">
        <f t="shared" si="4553"/>
        <v>1.2563829787234042E-2</v>
      </c>
      <c r="BL569" s="37">
        <f t="shared" si="4553"/>
        <v>8.343539497856706E-3</v>
      </c>
      <c r="BM569" s="37">
        <f t="shared" si="4553"/>
        <v>1.1623601384528696E-2</v>
      </c>
      <c r="BN569" s="37">
        <f t="shared" ref="BN569:BO569" si="4554">IF(ISERROR(BN559/BN314),"n.a.",BN559/BN314)</f>
        <v>1.0198700150459912E-2</v>
      </c>
      <c r="BO569" s="38">
        <f t="shared" si="4554"/>
        <v>9.0652240864476912E-3</v>
      </c>
      <c r="BP569" s="37">
        <f t="shared" ref="BP569:BQ569" si="4555">IF(ISERROR(BP559/BP314),"n.a.",BP559/BP314)</f>
        <v>7.3169093987029759E-3</v>
      </c>
      <c r="BQ569" s="37">
        <f t="shared" si="4555"/>
        <v>7.1457749257245948E-3</v>
      </c>
      <c r="BR569" s="37">
        <f t="shared" ref="BR569:BS569" si="4556">IF(ISERROR(BR559/BR314),"n.a.",BR559/BR314)</f>
        <v>7.2131115382009729E-3</v>
      </c>
      <c r="BS569" s="37">
        <f t="shared" si="4556"/>
        <v>7.3440421822201707E-3</v>
      </c>
      <c r="BT569" s="37">
        <f>IF(ISERROR(BT559/BT314),"n.a.",BT559/BT314)</f>
        <v>7.4653580470503515E-3</v>
      </c>
    </row>
    <row r="570" spans="1:72" ht="12" customHeight="1" outlineLevel="1">
      <c r="A570" s="91" t="s">
        <v>352</v>
      </c>
      <c r="B570" s="87" t="s">
        <v>353</v>
      </c>
      <c r="C570" s="19"/>
      <c r="D570" s="37">
        <f t="shared" ref="D570:V570" si="4557">IF(ISERROR(SUM(D558:D559)/D312),"n.a.",SUM(D558:D559)/D312)</f>
        <v>1.9191162703613554E-2</v>
      </c>
      <c r="E570" s="37">
        <f t="shared" si="4557"/>
        <v>1.6544693453313209E-2</v>
      </c>
      <c r="F570" s="37">
        <f t="shared" si="4557"/>
        <v>1.4970731099763358E-2</v>
      </c>
      <c r="G570" s="37">
        <f t="shared" si="4557"/>
        <v>1.3688602591318351E-2</v>
      </c>
      <c r="H570" s="37">
        <f t="shared" si="4557"/>
        <v>1.4155619596541786E-2</v>
      </c>
      <c r="I570" s="37">
        <f t="shared" si="4557"/>
        <v>1.6100041084634347E-2</v>
      </c>
      <c r="J570" s="37">
        <f t="shared" si="4557"/>
        <v>1.5650000000000001E-2</v>
      </c>
      <c r="K570" s="37">
        <f t="shared" si="4557"/>
        <v>1.4116100965242217E-2</v>
      </c>
      <c r="L570" s="37">
        <f t="shared" si="4557"/>
        <v>1.2786816854401336E-2</v>
      </c>
      <c r="M570" s="37">
        <f t="shared" si="4557"/>
        <v>1.3149853123829427E-2</v>
      </c>
      <c r="N570" s="37">
        <f t="shared" si="4557"/>
        <v>1.3482736631137833E-2</v>
      </c>
      <c r="O570" s="37">
        <f t="shared" si="4557"/>
        <v>1.4889992902767921E-2</v>
      </c>
      <c r="P570" s="37">
        <f t="shared" si="4557"/>
        <v>1.7162075933212805E-2</v>
      </c>
      <c r="Q570" s="37">
        <f t="shared" si="4557"/>
        <v>1.1706692765188587E-2</v>
      </c>
      <c r="R570" s="37">
        <f t="shared" si="4557"/>
        <v>1.276477427834791E-2</v>
      </c>
      <c r="S570" s="37">
        <f t="shared" si="4557"/>
        <v>1.1500453965288104E-2</v>
      </c>
      <c r="T570" s="37">
        <f t="shared" si="4557"/>
        <v>1.0709697716487953E-2</v>
      </c>
      <c r="U570" s="37">
        <f t="shared" si="4557"/>
        <v>6.0478163522660012E-3</v>
      </c>
      <c r="V570" s="37">
        <f t="shared" si="4557"/>
        <v>7.2871307240157928E-3</v>
      </c>
      <c r="W570" s="37">
        <f t="shared" ref="W570:X570" si="4558">IF(ISERROR(SUM(W558:W559)/W312),"n.a.",SUM(W558:W559)/W312)</f>
        <v>9.9638849477621562E-3</v>
      </c>
      <c r="X570" s="37">
        <f t="shared" si="4558"/>
        <v>9.2892870884406092E-3</v>
      </c>
      <c r="Y570" s="37">
        <f t="shared" ref="Y570:Z570" si="4559">IF(ISERROR(SUM(Y558:Y559)/Y312),"n.a.",SUM(Y558:Y559)/Y312)</f>
        <v>1.3655669695772423E-2</v>
      </c>
      <c r="Z570" s="37">
        <f t="shared" si="4559"/>
        <v>1.7386366709028472E-2</v>
      </c>
      <c r="AA570" s="37">
        <f t="shared" ref="AA570:AB570" si="4560">IF(ISERROR(SUM(AA558:AA559)/AA312),"n.a.",SUM(AA558:AA559)/AA312)</f>
        <v>1.5221229813504492E-2</v>
      </c>
      <c r="AB570" s="37">
        <f t="shared" si="4560"/>
        <v>1.0958364435597579E-2</v>
      </c>
      <c r="AC570" s="37">
        <f t="shared" ref="AC570:AD570" si="4561">IF(ISERROR(SUM(AC558:AC559)/AC312),"n.a.",SUM(AC558:AC559)/AC312)</f>
        <v>1.004728677168693E-2</v>
      </c>
      <c r="AD570" s="37">
        <f t="shared" si="4561"/>
        <v>1.0800144471753129E-2</v>
      </c>
      <c r="AE570" s="37">
        <f t="shared" ref="AE570:AF570" si="4562">IF(ISERROR(SUM(AE558:AE559)/AE312),"n.a.",SUM(AE558:AE559)/AE312)</f>
        <v>1.4812535261835154E-2</v>
      </c>
      <c r="AF570" s="37">
        <f t="shared" si="4562"/>
        <v>1.4399230950165161E-2</v>
      </c>
      <c r="AG570" s="37">
        <f t="shared" ref="AG570:AH570" si="4563">IF(ISERROR(SUM(AG558:AG559)/AG312),"n.a.",SUM(AG558:AG559)/AG312)</f>
        <v>1.3384223918575064E-2</v>
      </c>
      <c r="AH570" s="37">
        <f t="shared" si="4563"/>
        <v>1.1260782337767998E-2</v>
      </c>
      <c r="AI570" s="37">
        <f t="shared" ref="AI570:AJ570" si="4564">IF(ISERROR(SUM(AI558:AI559)/AI312),"n.a.",SUM(AI558:AI559)/AI312)</f>
        <v>1.1325615631691649E-2</v>
      </c>
      <c r="AJ570" s="38">
        <f t="shared" si="4564"/>
        <v>9.6872382915673509E-3</v>
      </c>
      <c r="AK570" s="37">
        <f t="shared" ref="AK570" si="4565">IF(ISERROR(SUM(AK558:AK559)/AK312),"n.a.",SUM(AK558:AK559)/AK312)</f>
        <v>8.9999999999999993E-3</v>
      </c>
      <c r="AL570" s="37">
        <f t="shared" ref="AL570:AM570" si="4566">IF(ISERROR(SUM(AL558:AL559)/AL312),"n.a.",SUM(AL558:AL559)/AL312)</f>
        <v>8.7999999999999988E-3</v>
      </c>
      <c r="AM570" s="37">
        <f t="shared" si="4566"/>
        <v>8.7999999999999988E-3</v>
      </c>
      <c r="AN570" s="37">
        <f t="shared" ref="AN570:AO570" si="4567">IF(ISERROR(SUM(AN558:AN559)/AN312),"n.a.",SUM(AN558:AN559)/AN312)</f>
        <v>8.7999999999999988E-3</v>
      </c>
      <c r="AO570" s="37">
        <f t="shared" si="4567"/>
        <v>8.7999999999999988E-3</v>
      </c>
      <c r="AP570" s="37">
        <f t="shared" ref="AP570:AQ570" si="4568">IF(ISERROR(SUM(AP558:AP559)/AP312),"n.a.",SUM(AP558:AP559)/AP312)</f>
        <v>8.7999999999999988E-3</v>
      </c>
      <c r="AQ570" s="37">
        <f t="shared" si="4568"/>
        <v>8.7999999999999988E-3</v>
      </c>
      <c r="AR570" s="37">
        <f t="shared" ref="AR570:AS570" si="4569">IF(ISERROR(SUM(AR558:AR559)/AR312),"n.a.",SUM(AR558:AR559)/AR312)</f>
        <v>8.7999999999999988E-3</v>
      </c>
      <c r="AS570" s="37">
        <f t="shared" si="4569"/>
        <v>8.7999999999999988E-3</v>
      </c>
      <c r="AT570" s="19"/>
      <c r="AU570" s="37">
        <f t="shared" ref="AU570:BM570" si="4570">IF(ISERROR(SUM(AU558:AU559)/AU312),"n.a.",SUM(AU558:AU559)/AU312)</f>
        <v>1.0380856083586115E-2</v>
      </c>
      <c r="AV570" s="37">
        <f t="shared" si="4570"/>
        <v>5.9171597633136093E-3</v>
      </c>
      <c r="AW570" s="37">
        <f t="shared" si="4570"/>
        <v>5.2780764343661425E-3</v>
      </c>
      <c r="AX570" s="37">
        <f t="shared" si="4570"/>
        <v>8.7536168186646158E-3</v>
      </c>
      <c r="AY570" s="37">
        <f t="shared" si="4570"/>
        <v>2.3755205504254934E-2</v>
      </c>
      <c r="AZ570" s="37">
        <f t="shared" si="4570"/>
        <v>1.6544693453313209E-2</v>
      </c>
      <c r="BA570" s="37">
        <f t="shared" si="4570"/>
        <v>1.3688602591318351E-2</v>
      </c>
      <c r="BB570" s="37">
        <f t="shared" si="4570"/>
        <v>1.6100041084634347E-2</v>
      </c>
      <c r="BC570" s="37">
        <f t="shared" si="4570"/>
        <v>1.4116100965242217E-2</v>
      </c>
      <c r="BD570" s="37">
        <f t="shared" si="4570"/>
        <v>1.3149853123829427E-2</v>
      </c>
      <c r="BE570" s="37">
        <f t="shared" si="4570"/>
        <v>1.4889992902767921E-2</v>
      </c>
      <c r="BF570" s="37">
        <f t="shared" si="4570"/>
        <v>1.1706692765188587E-2</v>
      </c>
      <c r="BG570" s="37">
        <f t="shared" si="4570"/>
        <v>1.1500453965288104E-2</v>
      </c>
      <c r="BH570" s="37">
        <f t="shared" si="4570"/>
        <v>6.0478163522660012E-3</v>
      </c>
      <c r="BI570" s="37">
        <f t="shared" si="4570"/>
        <v>9.9638849477621562E-3</v>
      </c>
      <c r="BJ570" s="37">
        <f t="shared" si="4570"/>
        <v>1.3655669695772423E-2</v>
      </c>
      <c r="BK570" s="37">
        <f t="shared" si="4570"/>
        <v>1.5221229813504492E-2</v>
      </c>
      <c r="BL570" s="37">
        <f t="shared" si="4570"/>
        <v>1.004728677168693E-2</v>
      </c>
      <c r="BM570" s="37">
        <f t="shared" si="4570"/>
        <v>1.4812535261835154E-2</v>
      </c>
      <c r="BN570" s="37">
        <f t="shared" ref="BN570:BO570" si="4571">IF(ISERROR(SUM(BN558:BN559)/BN312),"n.a.",SUM(BN558:BN559)/BN312)</f>
        <v>1.3384223918575064E-2</v>
      </c>
      <c r="BO570" s="38">
        <f t="shared" si="4571"/>
        <v>1.1325615631691649E-2</v>
      </c>
      <c r="BP570" s="37">
        <f t="shared" ref="BP570:BQ570" si="4572">IF(ISERROR(SUM(BP558:BP559)/BP312),"n.a.",SUM(BP558:BP559)/BP312)</f>
        <v>8.9999999999999993E-3</v>
      </c>
      <c r="BQ570" s="37">
        <f t="shared" si="4572"/>
        <v>8.7999999999999988E-3</v>
      </c>
      <c r="BR570" s="37">
        <f t="shared" ref="BR570:BS570" si="4573">IF(ISERROR(SUM(BR558:BR559)/BR312),"n.a.",SUM(BR558:BR559)/BR312)</f>
        <v>8.7999999999999988E-3</v>
      </c>
      <c r="BS570" s="37">
        <f t="shared" si="4573"/>
        <v>8.7999999999999988E-3</v>
      </c>
      <c r="BT570" s="37">
        <f>IF(ISERROR(SUM(BT558:BT559)/BT312),"n.a.",SUM(BT558:BT559)/BT312)</f>
        <v>8.7999999999999988E-3</v>
      </c>
    </row>
    <row r="571" spans="1:72" ht="12" customHeight="1" outlineLevel="1">
      <c r="A571" s="91" t="s">
        <v>354</v>
      </c>
      <c r="B571" s="87" t="s">
        <v>355</v>
      </c>
      <c r="C571" s="19"/>
      <c r="D571" s="37">
        <f t="shared" ref="D571:V571" si="4574">IF(ISERROR(SUM(D558:D559)/D314),"n.a.",SUM(D558:D559)/D314)</f>
        <v>1.4282396655829076E-2</v>
      </c>
      <c r="E571" s="37">
        <f t="shared" si="4574"/>
        <v>1.2274734329114995E-2</v>
      </c>
      <c r="F571" s="37">
        <f t="shared" si="4574"/>
        <v>1.11932654163485E-2</v>
      </c>
      <c r="G571" s="37">
        <f t="shared" si="4574"/>
        <v>1.0126353790613718E-2</v>
      </c>
      <c r="H571" s="37">
        <f t="shared" si="4574"/>
        <v>1.0659537160813181E-2</v>
      </c>
      <c r="I571" s="37">
        <f t="shared" si="4574"/>
        <v>1.1176669815861245E-2</v>
      </c>
      <c r="J571" s="37">
        <f t="shared" si="4574"/>
        <v>1.1176575611497947E-2</v>
      </c>
      <c r="K571" s="37">
        <f t="shared" si="4574"/>
        <v>1.0672742535076149E-2</v>
      </c>
      <c r="L571" s="37">
        <f t="shared" si="4574"/>
        <v>9.754312265291833E-3</v>
      </c>
      <c r="M571" s="37">
        <f t="shared" si="4574"/>
        <v>1.0152516058327499E-2</v>
      </c>
      <c r="N571" s="37">
        <f t="shared" si="4574"/>
        <v>1.0580043749910641E-2</v>
      </c>
      <c r="O571" s="37">
        <f t="shared" si="4574"/>
        <v>1.2127307830148325E-2</v>
      </c>
      <c r="P571" s="37">
        <f t="shared" si="4574"/>
        <v>1.4046044042127252E-2</v>
      </c>
      <c r="Q571" s="37">
        <f t="shared" si="4574"/>
        <v>9.9441507503410641E-3</v>
      </c>
      <c r="R571" s="37">
        <f t="shared" si="4574"/>
        <v>1.0790828863864612E-2</v>
      </c>
      <c r="S571" s="37">
        <f t="shared" si="4574"/>
        <v>9.7093849982225391E-3</v>
      </c>
      <c r="T571" s="37">
        <f t="shared" si="4574"/>
        <v>9.1157601115760111E-3</v>
      </c>
      <c r="U571" s="37">
        <f t="shared" si="4574"/>
        <v>5.1237326937752098E-3</v>
      </c>
      <c r="V571" s="37">
        <f t="shared" si="4574"/>
        <v>5.9791666666666665E-3</v>
      </c>
      <c r="W571" s="37">
        <f t="shared" ref="W571:X571" si="4575">IF(ISERROR(SUM(W558:W559)/W314),"n.a.",SUM(W558:W559)/W314)</f>
        <v>7.9724447540539499E-3</v>
      </c>
      <c r="X571" s="37">
        <f t="shared" si="4575"/>
        <v>7.6737955773509515E-3</v>
      </c>
      <c r="Y571" s="37">
        <f t="shared" ref="Y571:Z571" si="4576">IF(ISERROR(SUM(Y558:Y559)/Y314),"n.a.",SUM(Y558:Y559)/Y314)</f>
        <v>1.1566859796272668E-2</v>
      </c>
      <c r="Z571" s="37">
        <f t="shared" si="4576"/>
        <v>1.4487365800353735E-2</v>
      </c>
      <c r="AA571" s="37">
        <f t="shared" ref="AA571:AB571" si="4577">IF(ISERROR(SUM(AA558:AA559)/AA314),"n.a.",SUM(AA558:AA559)/AA314)</f>
        <v>1.2563829787234042E-2</v>
      </c>
      <c r="AB571" s="37">
        <f t="shared" si="4577"/>
        <v>9.1212688660114085E-3</v>
      </c>
      <c r="AC571" s="37">
        <f t="shared" ref="AC571:AD571" si="4578">IF(ISERROR(SUM(AC558:AC559)/AC314),"n.a.",SUM(AC558:AC559)/AC314)</f>
        <v>8.343539497856706E-3</v>
      </c>
      <c r="AD571" s="37">
        <f t="shared" si="4578"/>
        <v>9.0535161759601815E-3</v>
      </c>
      <c r="AE571" s="37">
        <f t="shared" ref="AE571:AF571" si="4579">IF(ISERROR(SUM(AE558:AE559)/AE314),"n.a.",SUM(AE558:AE559)/AE314)</f>
        <v>1.1623601384528696E-2</v>
      </c>
      <c r="AF571" s="37">
        <f t="shared" si="4579"/>
        <v>1.1231832033057323E-2</v>
      </c>
      <c r="AG571" s="37">
        <f t="shared" ref="AG571:AH571" si="4580">IF(ISERROR(SUM(AG558:AG559)/AG314),"n.a.",SUM(AG558:AG559)/AG314)</f>
        <v>1.0198700150459912E-2</v>
      </c>
      <c r="AH571" s="37">
        <f t="shared" si="4580"/>
        <v>8.8945362134688691E-3</v>
      </c>
      <c r="AI571" s="37">
        <f t="shared" ref="AI571:AJ571" si="4581">IF(ISERROR(SUM(AI558:AI559)/AI314),"n.a.",SUM(AI558:AI559)/AI314)</f>
        <v>9.0652240864476912E-3</v>
      </c>
      <c r="AJ571" s="38">
        <f t="shared" si="4581"/>
        <v>7.8745311610187805E-3</v>
      </c>
      <c r="AK571" s="37">
        <f t="shared" ref="AK571" si="4582">IF(ISERROR(SUM(AK558:AK559)/AK314),"n.a.",SUM(AK558:AK559)/AK314)</f>
        <v>7.3169093987029759E-3</v>
      </c>
      <c r="AL571" s="37">
        <f t="shared" ref="AL571:AM571" si="4583">IF(ISERROR(SUM(AL558:AL559)/AL314),"n.a.",SUM(AL558:AL559)/AL314)</f>
        <v>7.1444667821169107E-3</v>
      </c>
      <c r="AM571" s="37">
        <f t="shared" si="4583"/>
        <v>7.1457749257245948E-3</v>
      </c>
      <c r="AN571" s="37">
        <f t="shared" ref="AN571:AO571" si="4584">IF(ISERROR(SUM(AN558:AN559)/AN314),"n.a.",SUM(AN558:AN559)/AN314)</f>
        <v>7.181212611325859E-3</v>
      </c>
      <c r="AO571" s="37">
        <f t="shared" si="4584"/>
        <v>7.2131115382009729E-3</v>
      </c>
      <c r="AP571" s="37">
        <f t="shared" ref="AP571:AQ571" si="4585">IF(ISERROR(SUM(AP558:AP559)/AP314),"n.a.",SUM(AP558:AP559)/AP314)</f>
        <v>7.2798516221776128E-3</v>
      </c>
      <c r="AQ571" s="37">
        <f t="shared" si="4585"/>
        <v>7.3440421822201707E-3</v>
      </c>
      <c r="AR571" s="37">
        <f t="shared" ref="AR571:AS571" si="4586">IF(ISERROR(SUM(AR558:AR559)/AR314),"n.a.",SUM(AR558:AR559)/AR314)</f>
        <v>7.4057396345177367E-3</v>
      </c>
      <c r="AS571" s="37">
        <f t="shared" si="4586"/>
        <v>7.4653580470503515E-3</v>
      </c>
      <c r="AT571" s="19"/>
      <c r="AU571" s="37">
        <f t="shared" ref="AU571:BM571" si="4587">IF(ISERROR(SUM(AU558:AU559)/AU314),"n.a.",SUM(AU558:AU559)/AU314)</f>
        <v>7.7891861817813973E-3</v>
      </c>
      <c r="AV571" s="37">
        <f t="shared" si="4587"/>
        <v>4.5911446558380576E-3</v>
      </c>
      <c r="AW571" s="37">
        <f t="shared" si="4587"/>
        <v>4.1131366475397352E-3</v>
      </c>
      <c r="AX571" s="37">
        <f t="shared" si="4587"/>
        <v>6.3103976342609707E-3</v>
      </c>
      <c r="AY571" s="37">
        <f t="shared" si="4587"/>
        <v>1.7843057255541955E-2</v>
      </c>
      <c r="AZ571" s="37">
        <f t="shared" si="4587"/>
        <v>1.2274734329114995E-2</v>
      </c>
      <c r="BA571" s="37">
        <f t="shared" si="4587"/>
        <v>1.0126353790613718E-2</v>
      </c>
      <c r="BB571" s="37">
        <f t="shared" si="4587"/>
        <v>1.1176669815861245E-2</v>
      </c>
      <c r="BC571" s="37">
        <f t="shared" si="4587"/>
        <v>1.0672742535076149E-2</v>
      </c>
      <c r="BD571" s="37">
        <f t="shared" si="4587"/>
        <v>1.0152516058327499E-2</v>
      </c>
      <c r="BE571" s="37">
        <f t="shared" si="4587"/>
        <v>1.2127307830148325E-2</v>
      </c>
      <c r="BF571" s="37">
        <f t="shared" si="4587"/>
        <v>9.9441507503410641E-3</v>
      </c>
      <c r="BG571" s="37">
        <f t="shared" si="4587"/>
        <v>9.7093849982225391E-3</v>
      </c>
      <c r="BH571" s="37">
        <f t="shared" si="4587"/>
        <v>5.1237326937752098E-3</v>
      </c>
      <c r="BI571" s="37">
        <f t="shared" si="4587"/>
        <v>7.9724447540539499E-3</v>
      </c>
      <c r="BJ571" s="37">
        <f t="shared" si="4587"/>
        <v>1.1566859796272668E-2</v>
      </c>
      <c r="BK571" s="37">
        <f t="shared" si="4587"/>
        <v>1.2563829787234042E-2</v>
      </c>
      <c r="BL571" s="37">
        <f t="shared" si="4587"/>
        <v>8.343539497856706E-3</v>
      </c>
      <c r="BM571" s="37">
        <f t="shared" si="4587"/>
        <v>1.1623601384528696E-2</v>
      </c>
      <c r="BN571" s="37">
        <f t="shared" ref="BN571:BO571" si="4588">IF(ISERROR(SUM(BN558:BN559)/BN314),"n.a.",SUM(BN558:BN559)/BN314)</f>
        <v>1.0198700150459912E-2</v>
      </c>
      <c r="BO571" s="38">
        <f t="shared" si="4588"/>
        <v>9.0652240864476912E-3</v>
      </c>
      <c r="BP571" s="37">
        <f t="shared" ref="BP571:BQ571" si="4589">IF(ISERROR(SUM(BP558:BP559)/BP314),"n.a.",SUM(BP558:BP559)/BP314)</f>
        <v>7.3169093987029759E-3</v>
      </c>
      <c r="BQ571" s="37">
        <f t="shared" si="4589"/>
        <v>7.1457749257245948E-3</v>
      </c>
      <c r="BR571" s="37">
        <f t="shared" ref="BR571:BS571" si="4590">IF(ISERROR(SUM(BR558:BR559)/BR314),"n.a.",SUM(BR558:BR559)/BR314)</f>
        <v>7.2131115382009729E-3</v>
      </c>
      <c r="BS571" s="37">
        <f t="shared" si="4590"/>
        <v>7.3440421822201707E-3</v>
      </c>
      <c r="BT571" s="37">
        <f>IF(ISERROR(SUM(BT558:BT559)/BT314),"n.a.",SUM(BT558:BT559)/BT314)</f>
        <v>7.4653580470503515E-3</v>
      </c>
    </row>
    <row r="572" spans="1:72" ht="12" customHeight="1" outlineLevel="1"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20"/>
      <c r="AK572" s="19"/>
      <c r="AL572" s="19"/>
      <c r="AM572" s="19"/>
      <c r="AN572" s="19"/>
      <c r="AO572" s="19"/>
      <c r="AP572" s="19"/>
      <c r="AQ572" s="19"/>
      <c r="AR572" s="19"/>
      <c r="AS572" s="19"/>
      <c r="AT572" s="19"/>
      <c r="AU572" s="19"/>
      <c r="AV572" s="19"/>
      <c r="AW572" s="19"/>
      <c r="AX572" s="19"/>
      <c r="AY572" s="19"/>
      <c r="AZ572" s="19"/>
      <c r="BA572" s="19"/>
      <c r="BB572" s="19"/>
      <c r="BC572" s="19"/>
      <c r="BD572" s="19"/>
      <c r="BE572" s="19"/>
      <c r="BF572" s="19"/>
      <c r="BG572" s="19"/>
      <c r="BH572" s="19"/>
      <c r="BI572" s="19"/>
      <c r="BJ572" s="19"/>
      <c r="BK572" s="19"/>
      <c r="BL572" s="19"/>
      <c r="BM572" s="19"/>
      <c r="BN572" s="19"/>
      <c r="BO572" s="20"/>
      <c r="BP572" s="19"/>
      <c r="BQ572" s="19"/>
      <c r="BR572" s="19"/>
      <c r="BS572" s="19"/>
      <c r="BT572" s="19"/>
    </row>
    <row r="573" spans="1:72" ht="12" customHeight="1" outlineLevel="1">
      <c r="B573" s="9" t="s">
        <v>413</v>
      </c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20"/>
      <c r="AK573" s="19"/>
      <c r="AL573" s="19"/>
      <c r="AM573" s="19"/>
      <c r="AN573" s="19"/>
      <c r="AO573" s="19"/>
      <c r="AP573" s="19"/>
      <c r="AQ573" s="19"/>
      <c r="AR573" s="19"/>
      <c r="AS573" s="19"/>
      <c r="AT573" s="19"/>
      <c r="AU573" s="19"/>
      <c r="AV573" s="19"/>
      <c r="AW573" s="19"/>
      <c r="AX573" s="19"/>
      <c r="AY573" s="19"/>
      <c r="AZ573" s="19"/>
      <c r="BA573" s="19"/>
      <c r="BB573" s="19"/>
      <c r="BC573" s="19"/>
      <c r="BD573" s="19"/>
      <c r="BE573" s="19"/>
      <c r="BF573" s="19"/>
      <c r="BG573" s="19"/>
      <c r="BH573" s="19"/>
      <c r="BI573" s="19"/>
      <c r="BJ573" s="19"/>
      <c r="BK573" s="19"/>
      <c r="BL573" s="19"/>
      <c r="BM573" s="19"/>
      <c r="BN573" s="19"/>
      <c r="BO573" s="20"/>
      <c r="BP573" s="19"/>
      <c r="BQ573" s="19"/>
      <c r="BR573" s="19"/>
      <c r="BS573" s="19"/>
      <c r="BT573" s="19"/>
    </row>
    <row r="574" spans="1:72" ht="12" customHeight="1" outlineLevel="1">
      <c r="A574" s="91" t="s">
        <v>356</v>
      </c>
      <c r="B574" s="106" t="s">
        <v>601</v>
      </c>
      <c r="C574" s="182">
        <f t="shared" ref="C574:AS574" si="4591">IF(ISERROR(C49),"n.a.",C49)</f>
        <v>0</v>
      </c>
      <c r="D574" s="182">
        <f t="shared" si="4591"/>
        <v>0.10638643752902927</v>
      </c>
      <c r="E574" s="182">
        <f t="shared" si="4591"/>
        <v>0.10574018126888217</v>
      </c>
      <c r="F574" s="182">
        <f t="shared" si="4591"/>
        <v>9.9174939005084464E-2</v>
      </c>
      <c r="G574" s="182">
        <f t="shared" si="4591"/>
        <v>9.886281588447654E-2</v>
      </c>
      <c r="H574" s="182">
        <f t="shared" si="4591"/>
        <v>0.11301887120015278</v>
      </c>
      <c r="I574" s="182">
        <f t="shared" si="4591"/>
        <v>0.1013387047897467</v>
      </c>
      <c r="J574" s="182">
        <f t="shared" si="4591"/>
        <v>9.8357436172112123E-2</v>
      </c>
      <c r="K574" s="50">
        <f t="shared" si="4591"/>
        <v>9.7168211330580914E-2</v>
      </c>
      <c r="L574" s="50">
        <f t="shared" si="4591"/>
        <v>9.7622684743173579E-2</v>
      </c>
      <c r="M574" s="50">
        <f t="shared" si="4591"/>
        <v>9.6167311029255076E-2</v>
      </c>
      <c r="N574" s="50">
        <f t="shared" si="4591"/>
        <v>8.7299658293181592E-2</v>
      </c>
      <c r="O574" s="50">
        <f t="shared" si="4591"/>
        <v>9.7284361668921029E-2</v>
      </c>
      <c r="P574" s="50">
        <f t="shared" si="4591"/>
        <v>9.8659587431456169E-2</v>
      </c>
      <c r="Q574" s="50">
        <f t="shared" si="4591"/>
        <v>0.10739256480218282</v>
      </c>
      <c r="R574" s="50">
        <f t="shared" si="4591"/>
        <v>0.1042436804205218</v>
      </c>
      <c r="S574" s="50">
        <f t="shared" si="4591"/>
        <v>0.11135798080341272</v>
      </c>
      <c r="T574" s="50">
        <f t="shared" si="4591"/>
        <v>0.11044909344490934</v>
      </c>
      <c r="U574" s="50">
        <f t="shared" si="4591"/>
        <v>0.11041098877139431</v>
      </c>
      <c r="V574" s="50">
        <f t="shared" si="4591"/>
        <v>0.10394791666666667</v>
      </c>
      <c r="W574" s="50">
        <f t="shared" si="4591"/>
        <v>0.11402660061663893</v>
      </c>
      <c r="X574" s="50">
        <f t="shared" si="4591"/>
        <v>0.11391499795668165</v>
      </c>
      <c r="Y574" s="50">
        <f t="shared" si="4591"/>
        <v>0.12187035913740091</v>
      </c>
      <c r="Z574" s="50">
        <f t="shared" si="4591"/>
        <v>0.13530929286784504</v>
      </c>
      <c r="AA574" s="50">
        <f t="shared" si="4591"/>
        <v>0.12595744680851065</v>
      </c>
      <c r="AB574" s="50">
        <f t="shared" si="4591"/>
        <v>0.11725619806183823</v>
      </c>
      <c r="AC574" s="50">
        <f t="shared" si="4591"/>
        <v>0.11462798530312308</v>
      </c>
      <c r="AD574" s="50">
        <f t="shared" si="4591"/>
        <v>0.128551068181986</v>
      </c>
      <c r="AE574" s="50">
        <f t="shared" si="4591"/>
        <v>0.13732592771472268</v>
      </c>
      <c r="AF574" s="50">
        <f t="shared" si="4591"/>
        <v>0.13331418816509516</v>
      </c>
      <c r="AG574" s="50">
        <f t="shared" si="4591"/>
        <v>0.13733732491585102</v>
      </c>
      <c r="AH574" s="50">
        <f t="shared" si="4591"/>
        <v>0.12859834377601542</v>
      </c>
      <c r="AI574" s="50">
        <f t="shared" si="4591"/>
        <v>0.12888150935311524</v>
      </c>
      <c r="AJ574" s="51">
        <f t="shared" si="4591"/>
        <v>0.12517428045898762</v>
      </c>
      <c r="AK574" s="182">
        <f t="shared" si="4591"/>
        <v>0.11780542443957</v>
      </c>
      <c r="AL574" s="182">
        <f t="shared" si="4591"/>
        <v>0.11703791472239167</v>
      </c>
      <c r="AM574" s="182">
        <f t="shared" si="4591"/>
        <v>0.11884734914058585</v>
      </c>
      <c r="AN574" s="182">
        <f t="shared" si="4591"/>
        <v>0.11851102291653719</v>
      </c>
      <c r="AO574" s="182">
        <f t="shared" si="4591"/>
        <v>0.12147328949221813</v>
      </c>
      <c r="AP574" s="182">
        <f t="shared" si="4591"/>
        <v>0.11849563299820486</v>
      </c>
      <c r="AQ574" s="182">
        <f t="shared" si="4591"/>
        <v>0.11916744373329412</v>
      </c>
      <c r="AR574" s="182">
        <f t="shared" si="4591"/>
        <v>0.11739075566401649</v>
      </c>
      <c r="AS574" s="182">
        <f t="shared" si="4591"/>
        <v>0.11754998888776548</v>
      </c>
      <c r="AT574" s="182"/>
      <c r="AU574" s="182">
        <f t="shared" ref="AU574:BT574" si="4592">IF(ISERROR(AU49),"n.a.",AU49)</f>
        <v>0.11203277527692074</v>
      </c>
      <c r="AV574" s="182">
        <f t="shared" si="4592"/>
        <v>8.994469757573649E-2</v>
      </c>
      <c r="AW574" s="182">
        <f t="shared" si="4592"/>
        <v>0.11841771187731681</v>
      </c>
      <c r="AX574" s="182">
        <f t="shared" si="4592"/>
        <v>9.4840787875587473E-2</v>
      </c>
      <c r="AY574" s="182">
        <f t="shared" si="4592"/>
        <v>9.1636066911464711E-2</v>
      </c>
      <c r="AZ574" s="182">
        <f t="shared" si="4592"/>
        <v>0.10574018126888217</v>
      </c>
      <c r="BA574" s="182">
        <f t="shared" si="4592"/>
        <v>9.886281588447654E-2</v>
      </c>
      <c r="BB574" s="182">
        <f t="shared" si="4592"/>
        <v>0.1013387047897467</v>
      </c>
      <c r="BC574" s="182">
        <f t="shared" si="4592"/>
        <v>9.7168211330580914E-2</v>
      </c>
      <c r="BD574" s="50">
        <f t="shared" si="4592"/>
        <v>9.6167311029255076E-2</v>
      </c>
      <c r="BE574" s="50">
        <f t="shared" si="4592"/>
        <v>9.7284361668921029E-2</v>
      </c>
      <c r="BF574" s="50">
        <f t="shared" si="4592"/>
        <v>0.10739256480218282</v>
      </c>
      <c r="BG574" s="50">
        <f t="shared" si="4592"/>
        <v>0.11135798080341272</v>
      </c>
      <c r="BH574" s="50">
        <f t="shared" si="4592"/>
        <v>0.11041098877139431</v>
      </c>
      <c r="BI574" s="50">
        <f t="shared" si="4592"/>
        <v>0.11402660061663893</v>
      </c>
      <c r="BJ574" s="50">
        <f t="shared" si="4592"/>
        <v>0.12187035913740091</v>
      </c>
      <c r="BK574" s="50">
        <f t="shared" si="4592"/>
        <v>0.12595744680851065</v>
      </c>
      <c r="BL574" s="50">
        <f t="shared" si="4592"/>
        <v>0.11462798530312308</v>
      </c>
      <c r="BM574" s="50">
        <f t="shared" si="4592"/>
        <v>0.13732592771472268</v>
      </c>
      <c r="BN574" s="50">
        <f t="shared" si="4592"/>
        <v>0.13733732491585102</v>
      </c>
      <c r="BO574" s="51">
        <f t="shared" si="4592"/>
        <v>0.12888150935311524</v>
      </c>
      <c r="BP574" s="182">
        <f t="shared" si="4592"/>
        <v>0.11780542443957</v>
      </c>
      <c r="BQ574" s="182">
        <f t="shared" si="4592"/>
        <v>0.11884734914058585</v>
      </c>
      <c r="BR574" s="182">
        <f t="shared" si="4592"/>
        <v>0.12147328949221813</v>
      </c>
      <c r="BS574" s="182">
        <f t="shared" si="4592"/>
        <v>0.11916744373329412</v>
      </c>
      <c r="BT574" s="182">
        <f t="shared" si="4592"/>
        <v>0.11754998888776548</v>
      </c>
    </row>
    <row r="575" spans="1:72" ht="12" customHeight="1" outlineLevel="1">
      <c r="A575" s="91" t="s">
        <v>583</v>
      </c>
      <c r="B575" s="106" t="s">
        <v>602</v>
      </c>
      <c r="C575" s="185">
        <f t="shared" ref="C575:V575" si="4593">IF(ISERROR(C276),"n.a.",C276)</f>
        <v>0</v>
      </c>
      <c r="D575" s="185">
        <f t="shared" si="4593"/>
        <v>9093</v>
      </c>
      <c r="E575" s="185">
        <f t="shared" si="4593"/>
        <v>8885</v>
      </c>
      <c r="F575" s="185">
        <f t="shared" si="4593"/>
        <v>8473</v>
      </c>
      <c r="G575" s="185">
        <f t="shared" si="4593"/>
        <v>9047</v>
      </c>
      <c r="H575" s="185">
        <f t="shared" si="4593"/>
        <v>9655</v>
      </c>
      <c r="I575" s="185">
        <f t="shared" si="4593"/>
        <v>8989</v>
      </c>
      <c r="J575" s="185">
        <f t="shared" si="4593"/>
        <v>9103</v>
      </c>
      <c r="K575" s="322">
        <f t="shared" si="4593"/>
        <v>9665</v>
      </c>
      <c r="L575" s="322">
        <f t="shared" si="4593"/>
        <v>10196</v>
      </c>
      <c r="M575" s="322">
        <f t="shared" si="4593"/>
        <v>9515</v>
      </c>
      <c r="N575" s="322">
        <f t="shared" si="4593"/>
        <v>9692</v>
      </c>
      <c r="O575" s="322">
        <f t="shared" si="4593"/>
        <v>12195</v>
      </c>
      <c r="P575" s="322">
        <f t="shared" si="4593"/>
        <v>13312</v>
      </c>
      <c r="Q575" s="322">
        <f t="shared" si="4593"/>
        <v>13859</v>
      </c>
      <c r="R575" s="322">
        <f t="shared" si="4593"/>
        <v>13622</v>
      </c>
      <c r="S575" s="322">
        <f t="shared" si="4593"/>
        <v>14439</v>
      </c>
      <c r="T575" s="322">
        <f t="shared" si="4593"/>
        <v>14202</v>
      </c>
      <c r="U575" s="322">
        <f t="shared" si="4593"/>
        <v>14954</v>
      </c>
      <c r="V575" s="322">
        <f t="shared" si="4593"/>
        <v>15503</v>
      </c>
      <c r="W575" s="322">
        <f t="shared" ref="W575:X575" si="4594">IF(ISERROR(W276),"n.a.",W276)</f>
        <v>18197</v>
      </c>
      <c r="X575" s="322">
        <f t="shared" si="4594"/>
        <v>20162</v>
      </c>
      <c r="Y575" s="322">
        <f t="shared" ref="Y575:Z575" si="4595">IF(ISERROR(Y276),"n.a.",Y276)</f>
        <v>21242</v>
      </c>
      <c r="Z575" s="322">
        <f t="shared" si="4595"/>
        <v>21086</v>
      </c>
      <c r="AA575" s="322">
        <f t="shared" ref="AA575:AB575" si="4596">IF(ISERROR(AA276),"n.a.",AA276)</f>
        <v>22428</v>
      </c>
      <c r="AB575" s="322">
        <f t="shared" si="4596"/>
        <v>24292</v>
      </c>
      <c r="AC575" s="322">
        <f t="shared" ref="AC575:AD575" si="4597">IF(ISERROR(AC276),"n.a.",AC276)</f>
        <v>28290</v>
      </c>
      <c r="AD575" s="322">
        <f t="shared" si="4597"/>
        <v>31507</v>
      </c>
      <c r="AE575" s="322">
        <f t="shared" ref="AE575:AF575" si="4598">IF(ISERROR(AE276),"n.a.",AE276)</f>
        <v>33363</v>
      </c>
      <c r="AF575" s="322">
        <f t="shared" si="4598"/>
        <v>32712</v>
      </c>
      <c r="AG575" s="322">
        <f t="shared" ref="AG575:AH575" si="4599">IF(ISERROR(AG276),"n.a.",AG276)</f>
        <v>33250</v>
      </c>
      <c r="AH575" s="322">
        <f t="shared" si="4599"/>
        <v>33119</v>
      </c>
      <c r="AI575" s="322">
        <f t="shared" ref="AI575" si="4600">IF(ISERROR(AI276),"n.a.",AI276)</f>
        <v>35550</v>
      </c>
      <c r="AJ575" s="186">
        <f t="shared" ref="AJ575:AK575" si="4601">IF(ISERROR(AJ276),"n.a.",AJ276)</f>
        <v>34808</v>
      </c>
      <c r="AK575" s="185">
        <f t="shared" si="4601"/>
        <v>35774.009692673935</v>
      </c>
      <c r="AL575" s="185">
        <f t="shared" ref="AL575:AM575" si="4602">IF(ISERROR(AL276),"n.a.",AL276)</f>
        <v>35907.883322627182</v>
      </c>
      <c r="AM575" s="185">
        <f t="shared" si="4602"/>
        <v>36617.178795763997</v>
      </c>
      <c r="AN575" s="185">
        <f t="shared" ref="AN575:AO575" si="4603">IF(ISERROR(AN276),"n.a.",AN276)</f>
        <v>37247.11022586457</v>
      </c>
      <c r="AO575" s="185">
        <f t="shared" si="4603"/>
        <v>38463.355402918307</v>
      </c>
      <c r="AP575" s="185">
        <f t="shared" ref="AP575:AQ575" si="4604">IF(ISERROR(AP276),"n.a.",AP276)</f>
        <v>39000.856119084434</v>
      </c>
      <c r="AQ575" s="185">
        <f t="shared" si="4604"/>
        <v>40336.216180245989</v>
      </c>
      <c r="AR575" s="185">
        <f t="shared" ref="AR575:AS575" si="4605">IF(ISERROR(AR276),"n.a.",AR276)</f>
        <v>41158.33288671232</v>
      </c>
      <c r="AS575" s="185">
        <f t="shared" si="4605"/>
        <v>42485.826116142052</v>
      </c>
      <c r="AT575" s="185"/>
      <c r="AU575" s="185">
        <f t="shared" ref="AU575:BM575" si="4606">IF(ISERROR(AU276),"n.a.",AU276)</f>
        <v>2215</v>
      </c>
      <c r="AV575" s="185">
        <f t="shared" si="4606"/>
        <v>2586</v>
      </c>
      <c r="AW575" s="185">
        <f t="shared" si="4606"/>
        <v>4664</v>
      </c>
      <c r="AX575" s="185">
        <f t="shared" si="4606"/>
        <v>3592</v>
      </c>
      <c r="AY575" s="185">
        <f t="shared" si="4606"/>
        <v>7196</v>
      </c>
      <c r="AZ575" s="185">
        <f t="shared" si="4606"/>
        <v>8885</v>
      </c>
      <c r="BA575" s="185">
        <f t="shared" si="4606"/>
        <v>9047</v>
      </c>
      <c r="BB575" s="185">
        <f t="shared" si="4606"/>
        <v>8989</v>
      </c>
      <c r="BC575" s="185">
        <f t="shared" si="4606"/>
        <v>9665</v>
      </c>
      <c r="BD575" s="322">
        <f t="shared" si="4606"/>
        <v>9515</v>
      </c>
      <c r="BE575" s="322">
        <f t="shared" si="4606"/>
        <v>12195</v>
      </c>
      <c r="BF575" s="322">
        <f t="shared" si="4606"/>
        <v>13859</v>
      </c>
      <c r="BG575" s="322">
        <f t="shared" si="4606"/>
        <v>14439</v>
      </c>
      <c r="BH575" s="322">
        <f t="shared" si="4606"/>
        <v>14954</v>
      </c>
      <c r="BI575" s="322">
        <f t="shared" si="4606"/>
        <v>18197</v>
      </c>
      <c r="BJ575" s="322">
        <f t="shared" si="4606"/>
        <v>21242</v>
      </c>
      <c r="BK575" s="322">
        <f t="shared" si="4606"/>
        <v>22428</v>
      </c>
      <c r="BL575" s="322">
        <f t="shared" si="4606"/>
        <v>28290</v>
      </c>
      <c r="BM575" s="322">
        <f t="shared" si="4606"/>
        <v>33363</v>
      </c>
      <c r="BN575" s="322">
        <f t="shared" ref="BN575:BO575" si="4607">IF(ISERROR(BN276),"n.a.",BN276)</f>
        <v>33250</v>
      </c>
      <c r="BO575" s="186">
        <f t="shared" si="4607"/>
        <v>35550</v>
      </c>
      <c r="BP575" s="185">
        <f t="shared" ref="BP575:BQ575" si="4608">IF(ISERROR(BP276),"n.a.",BP276)</f>
        <v>35774.009692673935</v>
      </c>
      <c r="BQ575" s="185">
        <f t="shared" si="4608"/>
        <v>36617.178795763997</v>
      </c>
      <c r="BR575" s="185">
        <f t="shared" ref="BR575:BS575" si="4609">IF(ISERROR(BR276),"n.a.",BR276)</f>
        <v>38463.355402918307</v>
      </c>
      <c r="BS575" s="185">
        <f t="shared" si="4609"/>
        <v>40336.216180245989</v>
      </c>
      <c r="BT575" s="185">
        <f>IF(ISERROR(BT276),"n.a.",BT276)</f>
        <v>42485.826116142052</v>
      </c>
    </row>
    <row r="576" spans="1:72" ht="12" customHeight="1" outlineLevel="1">
      <c r="A576" s="91" t="s">
        <v>586</v>
      </c>
      <c r="B576" s="106" t="s">
        <v>603</v>
      </c>
      <c r="C576" s="185">
        <f t="shared" ref="C576:V576" si="4610">IF(ISERROR(C309),"n.a.",C309)</f>
        <v>0</v>
      </c>
      <c r="D576" s="185">
        <f t="shared" si="4610"/>
        <v>5638.4500000000007</v>
      </c>
      <c r="E576" s="185">
        <f t="shared" si="4610"/>
        <v>5998.9724999999999</v>
      </c>
      <c r="F576" s="185">
        <f t="shared" si="4610"/>
        <v>6757.6725000000006</v>
      </c>
      <c r="G576" s="185">
        <f t="shared" si="4610"/>
        <v>7255.5</v>
      </c>
      <c r="H576" s="185">
        <f t="shared" si="4610"/>
        <v>7300.0825000000004</v>
      </c>
      <c r="I576" s="185">
        <f t="shared" si="4610"/>
        <v>7332.1675000000005</v>
      </c>
      <c r="J576" s="185">
        <f t="shared" si="4610"/>
        <v>7466.8249999999998</v>
      </c>
      <c r="K576" s="322">
        <f t="shared" si="4610"/>
        <v>7949.7725</v>
      </c>
      <c r="L576" s="322">
        <f t="shared" si="4610"/>
        <v>8612.630000000001</v>
      </c>
      <c r="M576" s="322">
        <f t="shared" si="4610"/>
        <v>8243.0849999999991</v>
      </c>
      <c r="N576" s="322">
        <f t="shared" si="4610"/>
        <v>8933.1550000000007</v>
      </c>
      <c r="O576" s="322">
        <f t="shared" si="4610"/>
        <v>10568.415000000001</v>
      </c>
      <c r="P576" s="322">
        <f t="shared" si="4610"/>
        <v>11404.52</v>
      </c>
      <c r="Q576" s="322">
        <f t="shared" si="4610"/>
        <v>10991.04</v>
      </c>
      <c r="R576" s="322">
        <f t="shared" si="4610"/>
        <v>10968.830000000002</v>
      </c>
      <c r="S576" s="322">
        <f t="shared" si="4610"/>
        <v>10952.36</v>
      </c>
      <c r="T576" s="322">
        <f t="shared" si="4610"/>
        <v>12552.375</v>
      </c>
      <c r="U576" s="322">
        <f t="shared" si="4610"/>
        <v>13258.35</v>
      </c>
      <c r="V576" s="322">
        <f t="shared" si="4610"/>
        <v>14703</v>
      </c>
      <c r="W576" s="322">
        <f t="shared" ref="W576:X576" si="4611">IF(ISERROR(W309),"n.a.",W309)</f>
        <v>14517.115</v>
      </c>
      <c r="X576" s="322">
        <f t="shared" si="4611"/>
        <v>16158.74</v>
      </c>
      <c r="Y576" s="322">
        <f t="shared" ref="Y576:Z576" si="4612">IF(ISERROR(Y309),"n.a.",Y309)</f>
        <v>16514.71</v>
      </c>
      <c r="Z576" s="322">
        <f t="shared" si="4612"/>
        <v>14360.865</v>
      </c>
      <c r="AA576" s="322">
        <f t="shared" ref="AA576:AB576" si="4613">IF(ISERROR(AA309),"n.a.",AA309)</f>
        <v>16248</v>
      </c>
      <c r="AB576" s="322">
        <f t="shared" si="4613"/>
        <v>19443.885000000002</v>
      </c>
      <c r="AC576" s="322">
        <f t="shared" ref="AC576:AD576" si="4614">IF(ISERROR(AC309),"n.a.",AC309)</f>
        <v>21295.8</v>
      </c>
      <c r="AD576" s="322">
        <f t="shared" si="4614"/>
        <v>23142.614999999998</v>
      </c>
      <c r="AE576" s="322">
        <f t="shared" ref="AE576:AF576" si="4615">IF(ISERROR(AE309),"n.a.",AE309)</f>
        <v>23133.574999999997</v>
      </c>
      <c r="AF576" s="322">
        <f t="shared" si="4615"/>
        <v>24686.59</v>
      </c>
      <c r="AG576" s="322">
        <f t="shared" ref="AG576:AH576" si="4616">IF(ISERROR(AG309),"n.a.",AG309)</f>
        <v>25030.489999999998</v>
      </c>
      <c r="AH576" s="322">
        <f t="shared" si="4616"/>
        <v>25698.489999999998</v>
      </c>
      <c r="AI576" s="322">
        <f t="shared" ref="AI576" si="4617">IF(ISERROR(AI309),"n.a.",AI309)</f>
        <v>28499.010000000002</v>
      </c>
      <c r="AJ576" s="186">
        <f t="shared" ref="AJ576:AK576" si="4618">IF(ISERROR(AJ309),"n.a.",AJ309)</f>
        <v>29651.955000000002</v>
      </c>
      <c r="AK576" s="185">
        <f t="shared" si="4618"/>
        <v>32086.20857951682</v>
      </c>
      <c r="AL576" s="185">
        <f t="shared" ref="AL576:AM576" si="4619">IF(ISERROR(AL309),"n.a.",AL309)</f>
        <v>32904.268888566752</v>
      </c>
      <c r="AM576" s="185">
        <f t="shared" si="4619"/>
        <v>33694.717232839641</v>
      </c>
      <c r="AN576" s="185">
        <f t="shared" ref="AN576:AO576" si="4620">IF(ISERROR(AN309),"n.a.",AN309)</f>
        <v>34558.653988650818</v>
      </c>
      <c r="AO576" s="185">
        <f t="shared" si="4620"/>
        <v>35351.583921928534</v>
      </c>
      <c r="AP576" s="185">
        <f t="shared" ref="AP576:AQ576" si="4621">IF(ISERROR(AP309),"n.a.",AP309)</f>
        <v>36557.831209519922</v>
      </c>
      <c r="AQ576" s="185">
        <f t="shared" si="4621"/>
        <v>37748.305576437226</v>
      </c>
      <c r="AR576" s="185">
        <f t="shared" ref="AR576:AS576" si="4622">IF(ISERROR(AR309),"n.a.",AR309)</f>
        <v>38927.004475432594</v>
      </c>
      <c r="AS576" s="185">
        <f t="shared" si="4622"/>
        <v>40178.576528804188</v>
      </c>
      <c r="AT576" s="185"/>
      <c r="AU576" s="185">
        <f t="shared" ref="AU576:BM576" si="4623">IF(ISERROR(AU309),"n.a.",AU309)</f>
        <v>1631.1075000000001</v>
      </c>
      <c r="AV576" s="185">
        <f t="shared" si="4623"/>
        <v>2371.9575</v>
      </c>
      <c r="AW576" s="185">
        <f t="shared" si="4623"/>
        <v>3249.3450000000003</v>
      </c>
      <c r="AX576" s="185">
        <f t="shared" si="4623"/>
        <v>3124.605</v>
      </c>
      <c r="AY576" s="185">
        <f t="shared" si="4623"/>
        <v>5434.1125000000002</v>
      </c>
      <c r="AZ576" s="185">
        <f t="shared" si="4623"/>
        <v>5998.9724999999999</v>
      </c>
      <c r="BA576" s="185">
        <f t="shared" si="4623"/>
        <v>7255.5</v>
      </c>
      <c r="BB576" s="185">
        <f t="shared" si="4623"/>
        <v>7332.1675000000005</v>
      </c>
      <c r="BC576" s="185">
        <f t="shared" si="4623"/>
        <v>7949.7725</v>
      </c>
      <c r="BD576" s="322">
        <f t="shared" si="4623"/>
        <v>8243.0849999999991</v>
      </c>
      <c r="BE576" s="322">
        <f t="shared" si="4623"/>
        <v>10568.415000000001</v>
      </c>
      <c r="BF576" s="322">
        <f t="shared" si="4623"/>
        <v>10991.04</v>
      </c>
      <c r="BG576" s="322">
        <f t="shared" si="4623"/>
        <v>10952.36</v>
      </c>
      <c r="BH576" s="322">
        <f t="shared" si="4623"/>
        <v>13258.35</v>
      </c>
      <c r="BI576" s="322">
        <f t="shared" si="4623"/>
        <v>14517.115</v>
      </c>
      <c r="BJ576" s="322">
        <f t="shared" si="4623"/>
        <v>16514.71</v>
      </c>
      <c r="BK576" s="322">
        <f t="shared" si="4623"/>
        <v>16248</v>
      </c>
      <c r="BL576" s="322">
        <f t="shared" si="4623"/>
        <v>21295.8</v>
      </c>
      <c r="BM576" s="322">
        <f t="shared" si="4623"/>
        <v>23133.574999999997</v>
      </c>
      <c r="BN576" s="322">
        <f t="shared" ref="BN576:BO576" si="4624">IF(ISERROR(BN309),"n.a.",BN309)</f>
        <v>25030.489999999998</v>
      </c>
      <c r="BO576" s="186">
        <f t="shared" si="4624"/>
        <v>28499.010000000002</v>
      </c>
      <c r="BP576" s="185">
        <f t="shared" ref="BP576:BQ576" si="4625">IF(ISERROR(BP309),"n.a.",BP309)</f>
        <v>32086.20857951682</v>
      </c>
      <c r="BQ576" s="185">
        <f t="shared" si="4625"/>
        <v>33694.717232839641</v>
      </c>
      <c r="BR576" s="185">
        <f t="shared" ref="BR576:BS576" si="4626">IF(ISERROR(BR309),"n.a.",BR309)</f>
        <v>35351.583921928534</v>
      </c>
      <c r="BS576" s="185">
        <f t="shared" si="4626"/>
        <v>37748.305576437226</v>
      </c>
      <c r="BT576" s="185">
        <f>IF(ISERROR(BT309),"n.a.",BT309)</f>
        <v>40178.576528804188</v>
      </c>
    </row>
    <row r="577" spans="1:72" ht="12" customHeight="1" outlineLevel="1">
      <c r="A577" s="91" t="s">
        <v>604</v>
      </c>
      <c r="B577" s="106" t="s">
        <v>571</v>
      </c>
      <c r="C577" s="19">
        <f>C575-C576</f>
        <v>0</v>
      </c>
      <c r="D577" s="19">
        <f t="shared" ref="D577:BH577" si="4627">D575-D576</f>
        <v>3454.5499999999993</v>
      </c>
      <c r="E577" s="19">
        <f t="shared" si="4627"/>
        <v>2886.0275000000001</v>
      </c>
      <c r="F577" s="19">
        <f t="shared" si="4627"/>
        <v>1715.3274999999994</v>
      </c>
      <c r="G577" s="19">
        <f t="shared" si="4627"/>
        <v>1791.5</v>
      </c>
      <c r="H577" s="19">
        <f t="shared" si="4627"/>
        <v>2354.9174999999996</v>
      </c>
      <c r="I577" s="19">
        <f t="shared" si="4627"/>
        <v>1656.8324999999995</v>
      </c>
      <c r="J577" s="19">
        <f t="shared" si="4627"/>
        <v>1636.1750000000002</v>
      </c>
      <c r="K577" s="19">
        <f t="shared" si="4627"/>
        <v>1715.2275</v>
      </c>
      <c r="L577" s="19">
        <f t="shared" ref="L577:M577" si="4628">L575-L576</f>
        <v>1583.369999999999</v>
      </c>
      <c r="M577" s="19">
        <f t="shared" si="4628"/>
        <v>1271.9150000000009</v>
      </c>
      <c r="N577" s="19">
        <f t="shared" ref="N577" si="4629">N575-N576</f>
        <v>758.84499999999935</v>
      </c>
      <c r="O577" s="19">
        <f t="shared" si="4627"/>
        <v>1626.5849999999991</v>
      </c>
      <c r="P577" s="19">
        <f t="shared" si="4627"/>
        <v>1907.4799999999996</v>
      </c>
      <c r="Q577" s="19">
        <f t="shared" ref="Q577" si="4630">Q575-Q576</f>
        <v>2867.9599999999991</v>
      </c>
      <c r="R577" s="19">
        <f t="shared" ref="R577:S577" si="4631">R575-R576</f>
        <v>2653.1699999999983</v>
      </c>
      <c r="S577" s="19">
        <f t="shared" si="4631"/>
        <v>3486.6399999999994</v>
      </c>
      <c r="T577" s="19">
        <f t="shared" ref="T577:U577" si="4632">T575-T576</f>
        <v>1649.625</v>
      </c>
      <c r="U577" s="19">
        <f t="shared" si="4632"/>
        <v>1695.6499999999996</v>
      </c>
      <c r="V577" s="19">
        <f t="shared" ref="V577:W577" si="4633">V575-V576</f>
        <v>800</v>
      </c>
      <c r="W577" s="19">
        <f t="shared" si="4633"/>
        <v>3679.8850000000002</v>
      </c>
      <c r="X577" s="19">
        <f t="shared" ref="X577:Y577" si="4634">X575-X576</f>
        <v>4003.26</v>
      </c>
      <c r="Y577" s="19">
        <f t="shared" si="4634"/>
        <v>4727.2900000000009</v>
      </c>
      <c r="Z577" s="19">
        <f t="shared" ref="Z577:AA577" si="4635">Z575-Z576</f>
        <v>6725.1350000000002</v>
      </c>
      <c r="AA577" s="19">
        <f t="shared" si="4635"/>
        <v>6180</v>
      </c>
      <c r="AB577" s="19">
        <f t="shared" ref="AB577:AC577" si="4636">AB575-AB576</f>
        <v>4848.114999999998</v>
      </c>
      <c r="AC577" s="19">
        <f t="shared" si="4636"/>
        <v>6994.2000000000007</v>
      </c>
      <c r="AD577" s="19">
        <f t="shared" ref="AD577:AE577" si="4637">AD575-AD576</f>
        <v>8364.385000000002</v>
      </c>
      <c r="AE577" s="19">
        <f t="shared" si="4637"/>
        <v>10229.425000000003</v>
      </c>
      <c r="AF577" s="19">
        <f t="shared" ref="AF577:AG577" si="4638">AF575-AF576</f>
        <v>8025.41</v>
      </c>
      <c r="AG577" s="19">
        <f t="shared" si="4638"/>
        <v>8219.510000000002</v>
      </c>
      <c r="AH577" s="19">
        <f t="shared" ref="AH577:AI577" si="4639">AH575-AH576</f>
        <v>7420.510000000002</v>
      </c>
      <c r="AI577" s="19">
        <f t="shared" si="4639"/>
        <v>7050.989999999998</v>
      </c>
      <c r="AJ577" s="20">
        <f t="shared" ref="AJ577:AK577" si="4640">AJ575-AJ576</f>
        <v>5156.0449999999983</v>
      </c>
      <c r="AK577" s="19">
        <f t="shared" si="4640"/>
        <v>3687.8011131571147</v>
      </c>
      <c r="AL577" s="19">
        <f t="shared" ref="AL577:AM577" si="4641">AL575-AL576</f>
        <v>3003.6144340604296</v>
      </c>
      <c r="AM577" s="19">
        <f t="shared" si="4641"/>
        <v>2922.4615629243563</v>
      </c>
      <c r="AN577" s="19">
        <f t="shared" ref="AN577:AO577" si="4642">AN575-AN576</f>
        <v>2688.4562372137516</v>
      </c>
      <c r="AO577" s="19">
        <f t="shared" si="4642"/>
        <v>3111.7714809897734</v>
      </c>
      <c r="AP577" s="19">
        <f t="shared" ref="AP577:AQ577" si="4643">AP575-AP576</f>
        <v>2443.0249095645122</v>
      </c>
      <c r="AQ577" s="19">
        <f t="shared" si="4643"/>
        <v>2587.910603808763</v>
      </c>
      <c r="AR577" s="19">
        <f t="shared" ref="AR577:AS577" si="4644">AR575-AR576</f>
        <v>2231.3284112797264</v>
      </c>
      <c r="AS577" s="19">
        <f t="shared" si="4644"/>
        <v>2307.2495873378648</v>
      </c>
      <c r="AT577" s="19"/>
      <c r="AU577" s="19">
        <f t="shared" si="4627"/>
        <v>583.89249999999993</v>
      </c>
      <c r="AV577" s="19">
        <f t="shared" ref="AV577:AY577" si="4645">AV575-AV576</f>
        <v>214.04250000000002</v>
      </c>
      <c r="AW577" s="19">
        <f t="shared" si="4645"/>
        <v>1414.6549999999997</v>
      </c>
      <c r="AX577" s="19">
        <f t="shared" si="4645"/>
        <v>467.39499999999998</v>
      </c>
      <c r="AY577" s="19">
        <f t="shared" si="4645"/>
        <v>1761.8874999999998</v>
      </c>
      <c r="AZ577" s="19">
        <f t="shared" si="4627"/>
        <v>2886.0275000000001</v>
      </c>
      <c r="BA577" s="19">
        <f t="shared" si="4627"/>
        <v>1791.5</v>
      </c>
      <c r="BB577" s="19">
        <f t="shared" si="4627"/>
        <v>1656.8324999999995</v>
      </c>
      <c r="BC577" s="19">
        <f t="shared" si="4627"/>
        <v>1715.2275</v>
      </c>
      <c r="BD577" s="19">
        <f t="shared" si="4627"/>
        <v>1271.9150000000009</v>
      </c>
      <c r="BE577" s="19">
        <f t="shared" si="4627"/>
        <v>1626.5849999999991</v>
      </c>
      <c r="BF577" s="19">
        <f t="shared" si="4627"/>
        <v>2867.9599999999991</v>
      </c>
      <c r="BG577" s="19">
        <f t="shared" si="4627"/>
        <v>3486.6399999999994</v>
      </c>
      <c r="BH577" s="19">
        <f t="shared" si="4627"/>
        <v>1695.6499999999996</v>
      </c>
      <c r="BI577" s="19">
        <f t="shared" ref="BI577" si="4646">BI575-BI576</f>
        <v>3679.8850000000002</v>
      </c>
      <c r="BJ577" s="19">
        <f t="shared" ref="BJ577:BO577" si="4647">BJ575-BJ576</f>
        <v>4727.2900000000009</v>
      </c>
      <c r="BK577" s="19">
        <f t="shared" si="4647"/>
        <v>6180</v>
      </c>
      <c r="BL577" s="19">
        <f t="shared" si="4647"/>
        <v>6994.2000000000007</v>
      </c>
      <c r="BM577" s="19">
        <f t="shared" si="4647"/>
        <v>10229.425000000003</v>
      </c>
      <c r="BN577" s="19">
        <f t="shared" si="4647"/>
        <v>8219.510000000002</v>
      </c>
      <c r="BO577" s="20">
        <f t="shared" si="4647"/>
        <v>7050.989999999998</v>
      </c>
      <c r="BP577" s="19">
        <f t="shared" ref="BP577:BQ577" si="4648">BP575-BP576</f>
        <v>3687.8011131571147</v>
      </c>
      <c r="BQ577" s="19">
        <f t="shared" si="4648"/>
        <v>2922.4615629243563</v>
      </c>
      <c r="BR577" s="19">
        <f t="shared" ref="BR577:BS577" si="4649">BR575-BR576</f>
        <v>3111.7714809897734</v>
      </c>
      <c r="BS577" s="19">
        <f t="shared" si="4649"/>
        <v>2587.910603808763</v>
      </c>
      <c r="BT577" s="19">
        <f>BT575-BT576</f>
        <v>2307.2495873378648</v>
      </c>
    </row>
    <row r="578" spans="1:72" ht="12" customHeight="1" outlineLevel="1">
      <c r="A578" s="91" t="s">
        <v>357</v>
      </c>
      <c r="B578" s="106" t="s">
        <v>358</v>
      </c>
      <c r="C578" s="182">
        <f t="shared" ref="C578:AS578" si="4650">IF(ISERROR(C37),"n.a.",C37)</f>
        <v>0</v>
      </c>
      <c r="D578" s="182">
        <f t="shared" si="4650"/>
        <v>0.59730146271398743</v>
      </c>
      <c r="E578" s="182">
        <f t="shared" si="4650"/>
        <v>0.60287963397548161</v>
      </c>
      <c r="F578" s="182">
        <f t="shared" si="4650"/>
        <v>0.73751146119106692</v>
      </c>
      <c r="G578" s="182">
        <f t="shared" si="4650"/>
        <v>0.62715182820976489</v>
      </c>
      <c r="H578" s="182">
        <f t="shared" si="4650"/>
        <v>0.74224678950819678</v>
      </c>
      <c r="I578" s="182">
        <f t="shared" si="4650"/>
        <v>0.61514891117647053</v>
      </c>
      <c r="J578" s="182">
        <f t="shared" si="4650"/>
        <v>0.70431255747922439</v>
      </c>
      <c r="K578" s="50">
        <f t="shared" si="4650"/>
        <v>0.86608820918367346</v>
      </c>
      <c r="L578" s="50">
        <f t="shared" si="4650"/>
        <v>0.6784192335329341</v>
      </c>
      <c r="M578" s="50">
        <f t="shared" si="4650"/>
        <v>1.1583486039594242</v>
      </c>
      <c r="N578" s="50">
        <f t="shared" si="4650"/>
        <v>0.61587594719764016</v>
      </c>
      <c r="O578" s="50">
        <f t="shared" si="4650"/>
        <v>0.72021118142548601</v>
      </c>
      <c r="P578" s="50">
        <f t="shared" si="4650"/>
        <v>0.49873937943925239</v>
      </c>
      <c r="Q578" s="50">
        <f t="shared" si="4650"/>
        <v>0.82248311540785501</v>
      </c>
      <c r="R578" s="50">
        <f t="shared" si="4650"/>
        <v>0.61585057200000004</v>
      </c>
      <c r="S578" s="50">
        <f t="shared" si="4650"/>
        <v>0.81661083701799475</v>
      </c>
      <c r="T578" s="50">
        <f t="shared" si="4650"/>
        <v>0.55908149130608975</v>
      </c>
      <c r="U578" s="50">
        <f t="shared" si="4650"/>
        <v>0.83206067532467531</v>
      </c>
      <c r="V578" s="50">
        <f t="shared" si="4650"/>
        <v>0.55864342496183206</v>
      </c>
      <c r="W578" s="50">
        <f t="shared" si="4650"/>
        <v>0.73288149330143537</v>
      </c>
      <c r="X578" s="50">
        <f t="shared" si="4650"/>
        <v>0.6080584540150995</v>
      </c>
      <c r="Y578" s="50">
        <f t="shared" si="4650"/>
        <v>0.50069584992150706</v>
      </c>
      <c r="Z578" s="50">
        <f t="shared" si="4650"/>
        <v>0.49546182380710663</v>
      </c>
      <c r="AA578" s="50">
        <f t="shared" si="4650"/>
        <v>0.59709439061576353</v>
      </c>
      <c r="AB578" s="50">
        <f t="shared" si="4650"/>
        <v>0.49104210459128739</v>
      </c>
      <c r="AC578" s="50">
        <f t="shared" si="4650"/>
        <v>0.50423084096883208</v>
      </c>
      <c r="AD578" s="50">
        <f t="shared" si="4650"/>
        <v>0.50300662125813456</v>
      </c>
      <c r="AE578" s="50">
        <f t="shared" si="4650"/>
        <v>0.60449961522419193</v>
      </c>
      <c r="AF578" s="50">
        <f t="shared" si="4650"/>
        <v>0.6964775425441696</v>
      </c>
      <c r="AG578" s="50">
        <f t="shared" si="4650"/>
        <v>0.69976542574750833</v>
      </c>
      <c r="AH578" s="50">
        <f t="shared" si="4650"/>
        <v>0.61473937903225806</v>
      </c>
      <c r="AI578" s="50">
        <f t="shared" si="4650"/>
        <v>0.70681874393723254</v>
      </c>
      <c r="AJ578" s="51">
        <f t="shared" si="4650"/>
        <v>0.64482632145015106</v>
      </c>
      <c r="AK578" s="182">
        <f t="shared" si="4650"/>
        <v>0.60752170490166679</v>
      </c>
      <c r="AL578" s="182">
        <f t="shared" si="4650"/>
        <v>0.60410500577971671</v>
      </c>
      <c r="AM578" s="182">
        <f t="shared" si="4650"/>
        <v>0.64326587591610751</v>
      </c>
      <c r="AN578" s="182">
        <f t="shared" si="4650"/>
        <v>0.61702194651525144</v>
      </c>
      <c r="AO578" s="182">
        <f t="shared" si="4650"/>
        <v>0.67079418434280413</v>
      </c>
      <c r="AP578" s="182">
        <f t="shared" si="4650"/>
        <v>0.59167074845733336</v>
      </c>
      <c r="AQ578" s="182">
        <f t="shared" si="4650"/>
        <v>0.59736069215787502</v>
      </c>
      <c r="AR578" s="182">
        <f t="shared" si="4650"/>
        <v>0.597239670216408</v>
      </c>
      <c r="AS578" s="182">
        <f t="shared" si="4650"/>
        <v>0.62598177781325326</v>
      </c>
      <c r="AT578" s="182"/>
      <c r="AU578" s="182">
        <f t="shared" ref="AU578:BT578" si="4651">IF(ISERROR(AU37),"n.a.",AU37)</f>
        <v>0.55369953192118226</v>
      </c>
      <c r="AV578" s="182">
        <f t="shared" si="4651"/>
        <v>0.54557510191048042</v>
      </c>
      <c r="AW578" s="182">
        <f t="shared" si="4651"/>
        <v>0.54676336004784698</v>
      </c>
      <c r="AX578" s="182">
        <f t="shared" si="4651"/>
        <v>0.5253851347753743</v>
      </c>
      <c r="AY578" s="182">
        <f t="shared" si="4651"/>
        <v>0.60202101033295052</v>
      </c>
      <c r="AZ578" s="182">
        <f t="shared" si="4651"/>
        <v>0.60033492537142852</v>
      </c>
      <c r="BA578" s="182">
        <f t="shared" si="4651"/>
        <v>0.67367372370292877</v>
      </c>
      <c r="BB578" s="182">
        <f t="shared" si="4651"/>
        <v>0.66825144938356162</v>
      </c>
      <c r="BC578" s="182">
        <f t="shared" si="4651"/>
        <v>0.79746187514688605</v>
      </c>
      <c r="BD578" s="50">
        <f t="shared" si="4651"/>
        <v>0.96827380982213451</v>
      </c>
      <c r="BE578" s="50">
        <f t="shared" si="4651"/>
        <v>0.67610938042394009</v>
      </c>
      <c r="BF578" s="50">
        <f t="shared" si="4651"/>
        <v>0.6545694956858944</v>
      </c>
      <c r="BG578" s="50">
        <f t="shared" si="4651"/>
        <v>0.72152816752368054</v>
      </c>
      <c r="BH578" s="50">
        <f t="shared" si="4651"/>
        <v>0.69882719012514671</v>
      </c>
      <c r="BI578" s="50">
        <f t="shared" si="4651"/>
        <v>0.6563382774983233</v>
      </c>
      <c r="BJ578" s="50">
        <f t="shared" si="4651"/>
        <v>0.55797425129989009</v>
      </c>
      <c r="BK578" s="50">
        <f t="shared" si="4651"/>
        <v>0.56389104789386402</v>
      </c>
      <c r="BL578" s="50">
        <f t="shared" si="4651"/>
        <v>0.49850525906927323</v>
      </c>
      <c r="BM578" s="50">
        <f t="shared" si="4651"/>
        <v>0.55935462273253578</v>
      </c>
      <c r="BN578" s="50">
        <f t="shared" si="4651"/>
        <v>0.69844448459681996</v>
      </c>
      <c r="BO578" s="51">
        <f t="shared" si="4651"/>
        <v>0.66686398317631224</v>
      </c>
      <c r="BP578" s="182">
        <f t="shared" si="4651"/>
        <v>0.62238110413293746</v>
      </c>
      <c r="BQ578" s="182">
        <f t="shared" si="4651"/>
        <v>0.62510226927992574</v>
      </c>
      <c r="BR578" s="182">
        <f t="shared" si="4651"/>
        <v>0.64619692444457211</v>
      </c>
      <c r="BS578" s="182">
        <f t="shared" si="4651"/>
        <v>0.59473648489283315</v>
      </c>
      <c r="BT578" s="182">
        <f t="shared" si="4651"/>
        <v>0.61252457054727716</v>
      </c>
    </row>
    <row r="579" spans="1:72" ht="12" customHeight="1" outlineLevel="1">
      <c r="A579" s="91" t="s">
        <v>359</v>
      </c>
      <c r="B579" s="106" t="s">
        <v>360</v>
      </c>
      <c r="C579" s="41" t="s">
        <v>55</v>
      </c>
      <c r="D579" s="41" t="s">
        <v>55</v>
      </c>
      <c r="E579" s="41" t="s">
        <v>55</v>
      </c>
      <c r="F579" s="41" t="s">
        <v>55</v>
      </c>
      <c r="G579" s="41" t="s">
        <v>55</v>
      </c>
      <c r="H579" s="41" t="s">
        <v>55</v>
      </c>
      <c r="I579" s="41" t="s">
        <v>55</v>
      </c>
      <c r="J579" s="41" t="s">
        <v>55</v>
      </c>
      <c r="K579" s="41" t="s">
        <v>55</v>
      </c>
      <c r="L579" s="41" t="s">
        <v>55</v>
      </c>
      <c r="M579" s="41" t="s">
        <v>55</v>
      </c>
      <c r="N579" s="41" t="s">
        <v>55</v>
      </c>
      <c r="O579" s="41" t="s">
        <v>55</v>
      </c>
      <c r="P579" s="41" t="s">
        <v>55</v>
      </c>
      <c r="Q579" s="41" t="s">
        <v>55</v>
      </c>
      <c r="R579" s="41" t="s">
        <v>55</v>
      </c>
      <c r="S579" s="41" t="s">
        <v>55</v>
      </c>
      <c r="T579" s="41" t="s">
        <v>55</v>
      </c>
      <c r="U579" s="41" t="s">
        <v>55</v>
      </c>
      <c r="V579" s="41" t="s">
        <v>55</v>
      </c>
      <c r="W579" s="41" t="s">
        <v>55</v>
      </c>
      <c r="X579" s="41" t="s">
        <v>55</v>
      </c>
      <c r="Y579" s="41" t="s">
        <v>55</v>
      </c>
      <c r="Z579" s="41" t="s">
        <v>55</v>
      </c>
      <c r="AA579" s="41" t="s">
        <v>55</v>
      </c>
      <c r="AB579" s="41" t="s">
        <v>55</v>
      </c>
      <c r="AC579" s="41" t="s">
        <v>55</v>
      </c>
      <c r="AD579" s="41" t="s">
        <v>55</v>
      </c>
      <c r="AE579" s="41" t="s">
        <v>55</v>
      </c>
      <c r="AF579" s="41" t="s">
        <v>55</v>
      </c>
      <c r="AG579" s="41" t="s">
        <v>55</v>
      </c>
      <c r="AH579" s="41" t="s">
        <v>55</v>
      </c>
      <c r="AI579" s="41" t="s">
        <v>55</v>
      </c>
      <c r="AJ579" s="42" t="s">
        <v>55</v>
      </c>
      <c r="AK579" s="41" t="s">
        <v>55</v>
      </c>
      <c r="AL579" s="41" t="s">
        <v>55</v>
      </c>
      <c r="AM579" s="41" t="s">
        <v>55</v>
      </c>
      <c r="AN579" s="41" t="s">
        <v>55</v>
      </c>
      <c r="AO579" s="41" t="s">
        <v>55</v>
      </c>
      <c r="AP579" s="41" t="s">
        <v>55</v>
      </c>
      <c r="AQ579" s="41" t="s">
        <v>55</v>
      </c>
      <c r="AR579" s="41" t="s">
        <v>55</v>
      </c>
      <c r="AS579" s="41" t="s">
        <v>55</v>
      </c>
      <c r="AT579" s="41"/>
      <c r="AU579" s="41">
        <f t="shared" ref="AU579:BS579" si="4652">IF(ISERROR(AU38),"n.a.",AU38)</f>
        <v>39</v>
      </c>
      <c r="AV579" s="41">
        <f t="shared" si="4652"/>
        <v>149</v>
      </c>
      <c r="AW579" s="41">
        <f t="shared" si="4652"/>
        <v>176</v>
      </c>
      <c r="AX579" s="41">
        <f t="shared" si="4652"/>
        <v>133</v>
      </c>
      <c r="AY579" s="41">
        <f t="shared" si="4652"/>
        <v>11</v>
      </c>
      <c r="AZ579" s="41">
        <f t="shared" si="4652"/>
        <v>15</v>
      </c>
      <c r="BA579" s="41">
        <f t="shared" si="4652"/>
        <v>49</v>
      </c>
      <c r="BB579" s="41">
        <f t="shared" si="4652"/>
        <v>75</v>
      </c>
      <c r="BC579" s="41">
        <f t="shared" si="4652"/>
        <v>297</v>
      </c>
      <c r="BD579" s="41">
        <f t="shared" si="4652"/>
        <v>250</v>
      </c>
      <c r="BE579" s="41">
        <f t="shared" si="4652"/>
        <v>144</v>
      </c>
      <c r="BF579" s="41">
        <f t="shared" si="4652"/>
        <v>306</v>
      </c>
      <c r="BG579" s="41">
        <f t="shared" si="4652"/>
        <v>199</v>
      </c>
      <c r="BH579" s="41">
        <f t="shared" si="4652"/>
        <v>117</v>
      </c>
      <c r="BI579" s="41">
        <f t="shared" si="4652"/>
        <v>198</v>
      </c>
      <c r="BJ579" s="41">
        <f t="shared" si="4652"/>
        <v>264</v>
      </c>
      <c r="BK579" s="41">
        <f t="shared" si="4652"/>
        <v>426</v>
      </c>
      <c r="BL579" s="41">
        <f t="shared" si="4652"/>
        <v>457</v>
      </c>
      <c r="BM579" s="41">
        <f t="shared" si="4652"/>
        <v>462</v>
      </c>
      <c r="BN579" s="41">
        <f t="shared" si="4652"/>
        <v>224</v>
      </c>
      <c r="BO579" s="42">
        <f t="shared" si="4652"/>
        <v>206</v>
      </c>
      <c r="BP579" s="41">
        <f t="shared" si="4652"/>
        <v>374.16846340080934</v>
      </c>
      <c r="BQ579" s="41">
        <f t="shared" si="4652"/>
        <v>443.72013689932675</v>
      </c>
      <c r="BR579" s="41">
        <f t="shared" si="4652"/>
        <v>502.69713540840007</v>
      </c>
      <c r="BS579" s="41">
        <f t="shared" si="4652"/>
        <v>607.33234780761563</v>
      </c>
      <c r="BT579" s="41" t="str">
        <f>IF(ISERROR(#REF!),"n.a.",#REF!)</f>
        <v>n.a.</v>
      </c>
    </row>
    <row r="580" spans="1:72" ht="12" customHeight="1" outlineLevel="1">
      <c r="A580" s="91" t="s">
        <v>361</v>
      </c>
      <c r="B580" s="106" t="s">
        <v>362</v>
      </c>
      <c r="C580" s="182" t="str">
        <f t="shared" ref="C580:L580" si="4653">IF(ISERROR(C480/C472),"n.a.",C480/C472)</f>
        <v>n.a.</v>
      </c>
      <c r="D580" s="182">
        <f t="shared" si="4653"/>
        <v>-2.2066805845511483</v>
      </c>
      <c r="E580" s="182">
        <f t="shared" si="4653"/>
        <v>0.11383537653239931</v>
      </c>
      <c r="F580" s="182">
        <f t="shared" si="4653"/>
        <v>1.278894472361809</v>
      </c>
      <c r="G580" s="182">
        <f t="shared" si="4653"/>
        <v>0.56353591160220995</v>
      </c>
      <c r="H580" s="182">
        <f t="shared" si="4653"/>
        <v>2.0316901408450705</v>
      </c>
      <c r="I580" s="182">
        <f t="shared" si="4653"/>
        <v>0.63523573200992556</v>
      </c>
      <c r="J580" s="182">
        <f t="shared" si="4653"/>
        <v>2.2238805970149254</v>
      </c>
      <c r="K580" s="50">
        <f t="shared" si="4653"/>
        <v>0.91428571428571426</v>
      </c>
      <c r="L580" s="50">
        <f t="shared" si="4653"/>
        <v>2.0366379310344831</v>
      </c>
      <c r="M580" s="50">
        <f t="shared" ref="M580:N580" si="4654">IF(ISERROR(M480/M472),"n.a.",M480/M472)</f>
        <v>1.9507042253521125</v>
      </c>
      <c r="N580" s="50">
        <f t="shared" si="4654"/>
        <v>1.4380952380952383</v>
      </c>
      <c r="O580" s="50">
        <f t="shared" ref="O580:P580" si="4655">IF(ISERROR(O480/O472),"n.a.",O480/O472)</f>
        <v>0.70011534025374855</v>
      </c>
      <c r="P580" s="50">
        <f t="shared" si="4655"/>
        <v>0.90972222222222221</v>
      </c>
      <c r="Q580" s="50">
        <f t="shared" ref="Q580" si="4656">IF(ISERROR(Q480/Q472),"n.a.",Q480/Q472)</f>
        <v>0.30858960763520676</v>
      </c>
      <c r="R580" s="50">
        <f t="shared" ref="R580:S580" si="4657">IF(ISERROR(R480/R472),"n.a.",R480/R472)</f>
        <v>1.0769230769230769</v>
      </c>
      <c r="S580" s="50">
        <f t="shared" si="4657"/>
        <v>0.85688568856885683</v>
      </c>
      <c r="T580" s="50">
        <f t="shared" ref="T580:U580" si="4658">IF(ISERROR(T480/T472),"n.a.",T480/T472)</f>
        <v>0.8968985750209556</v>
      </c>
      <c r="U580" s="50">
        <f t="shared" si="4658"/>
        <v>0.87050359712230219</v>
      </c>
      <c r="V580" s="50">
        <f t="shared" ref="V580:W580" si="4659">IF(ISERROR(V480/V472),"n.a.",V480/V472)</f>
        <v>0.9419252187748608</v>
      </c>
      <c r="W580" s="50">
        <f t="shared" si="4659"/>
        <v>0.76261682242990658</v>
      </c>
      <c r="X580" s="50">
        <f t="shared" ref="X580:Y580" si="4660">IF(ISERROR(X480/X472),"n.a.",X480/X472)</f>
        <v>-0.12749287749287749</v>
      </c>
      <c r="Y580" s="50">
        <f t="shared" si="4660"/>
        <v>0.51704545454545459</v>
      </c>
      <c r="Z580" s="50">
        <f t="shared" ref="Z580:AA580" si="4661">IF(ISERROR(Z480/Z472),"n.a.",Z480/Z472)</f>
        <v>-0.32423924449108082</v>
      </c>
      <c r="AA580" s="50">
        <f t="shared" si="4661"/>
        <v>0.59296994396332148</v>
      </c>
      <c r="AB580" s="50">
        <f t="shared" ref="AB580:AC580" si="4662">IF(ISERROR(AB480/AB472),"n.a.",AB480/AB472)</f>
        <v>-1.7189079878665317E-2</v>
      </c>
      <c r="AC580" s="50">
        <f t="shared" si="4662"/>
        <v>-0.59046881053855094</v>
      </c>
      <c r="AD580" s="50">
        <f t="shared" ref="AD580:AE580" si="4663">IF(ISERROR(AD480/AD472),"n.a.",AD480/AD472)</f>
        <v>0.30049261083743839</v>
      </c>
      <c r="AE580" s="50">
        <f t="shared" si="4663"/>
        <v>0.62351672060409935</v>
      </c>
      <c r="AF580" s="50">
        <f t="shared" ref="AF580:AG580" si="4664">IF(ISERROR(AF480/AF472),"n.a.",AF480/AF472)</f>
        <v>0.71836137527432331</v>
      </c>
      <c r="AG580" s="50">
        <f t="shared" si="4664"/>
        <v>1.0450941526263628</v>
      </c>
      <c r="AH580" s="50">
        <f t="shared" ref="AH580:AI580" si="4665">IF(ISERROR(AH480/AH472),"n.a.",AH480/AH472)</f>
        <v>0.87202572347266871</v>
      </c>
      <c r="AI580" s="50">
        <f t="shared" si="4665"/>
        <v>0.72978303747534523</v>
      </c>
      <c r="AJ580" s="51">
        <f t="shared" ref="AJ580:AK580" si="4666">IF(ISERROR(AJ480/AJ472),"n.a.",AJ480/AJ472)</f>
        <v>0.66657561648969388</v>
      </c>
      <c r="AK580" s="182">
        <f t="shared" si="4666"/>
        <v>0.75428406250433799</v>
      </c>
      <c r="AL580" s="182">
        <f t="shared" ref="AL580:AM580" si="4667">IF(ISERROR(AL480/AL472),"n.a.",AL480/AL472)</f>
        <v>0.77700343590739307</v>
      </c>
      <c r="AM580" s="182">
        <f t="shared" si="4667"/>
        <v>0.79318608519669065</v>
      </c>
      <c r="AN580" s="182">
        <f t="shared" ref="AN580:AO580" si="4668">IF(ISERROR(AN480/AN472),"n.a.",AN480/AN472)</f>
        <v>0.63171583339913639</v>
      </c>
      <c r="AO580" s="182">
        <f t="shared" si="4668"/>
        <v>0.68421199967245383</v>
      </c>
      <c r="AP580" s="182">
        <f t="shared" ref="AP580:AQ580" si="4669">IF(ISERROR(AP480/AP472),"n.a.",AP480/AP472)</f>
        <v>0.60481500305654412</v>
      </c>
      <c r="AQ580" s="182">
        <f t="shared" si="4669"/>
        <v>0.60868387504153842</v>
      </c>
      <c r="AR580" s="182">
        <f t="shared" ref="AR580:AS580" si="4670">IF(ISERROR(AR480/AR472),"n.a.",AR480/AR472)</f>
        <v>0.60965859429542169</v>
      </c>
      <c r="AS580" s="182">
        <f t="shared" si="4670"/>
        <v>0.63741347849266705</v>
      </c>
      <c r="AT580" s="182"/>
      <c r="AU580" s="182">
        <f t="shared" ref="AU580:BH580" si="4671">IF(ISERROR(AU480/AU472),"n.a.",AU480/AU472)</f>
        <v>0</v>
      </c>
      <c r="AV580" s="182">
        <f t="shared" si="4671"/>
        <v>0.33406113537117904</v>
      </c>
      <c r="AW580" s="182">
        <f t="shared" si="4671"/>
        <v>-0.19753930280246071</v>
      </c>
      <c r="AX580" s="182">
        <f t="shared" si="4671"/>
        <v>-0.2767609539656129</v>
      </c>
      <c r="AY580" s="182">
        <f t="shared" si="4671"/>
        <v>5.0516647531572909E-2</v>
      </c>
      <c r="AZ580" s="182">
        <f t="shared" si="4671"/>
        <v>-0.9352380952380952</v>
      </c>
      <c r="BA580" s="182">
        <f t="shared" si="4671"/>
        <v>0.85251046025104604</v>
      </c>
      <c r="BB580" s="182">
        <f t="shared" si="4671"/>
        <v>1.212518195050946</v>
      </c>
      <c r="BC580" s="182">
        <f t="shared" si="4671"/>
        <v>1.469620253164557</v>
      </c>
      <c r="BD580" s="50">
        <f t="shared" si="4671"/>
        <v>1.9846678023850086</v>
      </c>
      <c r="BE580" s="50">
        <f t="shared" si="4671"/>
        <v>1.0106880427521712</v>
      </c>
      <c r="BF580" s="50">
        <f t="shared" si="4671"/>
        <v>0.61916965658636602</v>
      </c>
      <c r="BG580" s="50">
        <f t="shared" si="4671"/>
        <v>0.96117424242424243</v>
      </c>
      <c r="BH580" s="50">
        <f t="shared" si="4671"/>
        <v>0.88338788870703766</v>
      </c>
      <c r="BI580" s="50">
        <f t="shared" ref="BI580" si="4672">IF(ISERROR(BI480/BI472),"n.a.",BI480/BI472)</f>
        <v>0.84136967155835074</v>
      </c>
      <c r="BJ580" s="50">
        <f t="shared" ref="BJ580:BO580" si="4673">IF(ISERROR(BJ480/BJ472),"n.a.",BJ480/BJ472)</f>
        <v>0.17374810318664644</v>
      </c>
      <c r="BK580" s="50">
        <f t="shared" si="4673"/>
        <v>0.2932098765432099</v>
      </c>
      <c r="BL580" s="50">
        <f t="shared" si="4673"/>
        <v>-0.34174161000219344</v>
      </c>
      <c r="BM580" s="50">
        <f t="shared" si="4673"/>
        <v>0.47965696051057044</v>
      </c>
      <c r="BN580" s="50">
        <f t="shared" si="4673"/>
        <v>0.91314623338257006</v>
      </c>
      <c r="BO580" s="51">
        <f t="shared" si="4673"/>
        <v>0.79151548981300579</v>
      </c>
      <c r="BP580" s="182">
        <f t="shared" ref="BP580:BQ580" si="4674">IF(ISERROR(BP480/BP472),"n.a.",BP480/BP472)</f>
        <v>0.71958549409307404</v>
      </c>
      <c r="BQ580" s="182">
        <f t="shared" si="4674"/>
        <v>0.78569435088908413</v>
      </c>
      <c r="BR580" s="182">
        <f t="shared" ref="BR580:BS580" si="4675">IF(ISERROR(BR480/BR472),"n.a.",BR480/BR472)</f>
        <v>0.66024704368904374</v>
      </c>
      <c r="BS580" s="182">
        <f t="shared" si="4675"/>
        <v>0.6069026184002565</v>
      </c>
      <c r="BT580" s="182">
        <f>IF(ISERROR(BT480/BT472),"n.a.",BT480/BT472)</f>
        <v>0.62443565464059214</v>
      </c>
    </row>
    <row r="581" spans="1:72" ht="12" customHeight="1" outlineLevel="1">
      <c r="A581" s="91" t="s">
        <v>363</v>
      </c>
      <c r="B581" s="106" t="s">
        <v>364</v>
      </c>
      <c r="C581" s="50">
        <f t="shared" ref="C581:L581" si="4676">IF(ISERROR(C578*(1-C522)),"n.a.",C578*(1-C522))</f>
        <v>0</v>
      </c>
      <c r="D581" s="50">
        <f t="shared" si="4676"/>
        <v>0.53619079952473903</v>
      </c>
      <c r="E581" s="50">
        <f t="shared" si="4676"/>
        <v>0.53064148455218341</v>
      </c>
      <c r="F581" s="50">
        <f t="shared" si="4676"/>
        <v>0.67647881417588418</v>
      </c>
      <c r="G581" s="50">
        <f t="shared" si="4676"/>
        <v>0.5566714615168743</v>
      </c>
      <c r="H581" s="50">
        <f t="shared" si="4676"/>
        <v>0.69684488009731682</v>
      </c>
      <c r="I581" s="50">
        <f t="shared" si="4676"/>
        <v>0.56209192746261971</v>
      </c>
      <c r="J581" s="50">
        <f t="shared" si="4676"/>
        <v>0.65239299926089411</v>
      </c>
      <c r="K581" s="50">
        <f t="shared" si="4676"/>
        <v>0.78039999162034079</v>
      </c>
      <c r="L581" s="50">
        <f t="shared" si="4676"/>
        <v>0.61426794322511591</v>
      </c>
      <c r="M581" s="50">
        <f t="shared" ref="M581:N581" si="4677">IF(ISERROR(M578*(1-M522)),"n.a.",M578*(1-M522))</f>
        <v>0.99390691164352296</v>
      </c>
      <c r="N581" s="50">
        <f t="shared" si="4677"/>
        <v>0.53688078315540666</v>
      </c>
      <c r="O581" s="50">
        <f t="shared" ref="O581:P581" si="4678">IF(ISERROR(O578*(1-O522)),"n.a.",O578*(1-O522))</f>
        <v>0.6048999063866185</v>
      </c>
      <c r="P581" s="50">
        <f t="shared" si="4678"/>
        <v>0.41724726124424588</v>
      </c>
      <c r="Q581" s="50">
        <f t="shared" ref="Q581" si="4679">IF(ISERROR(Q578*(1-Q522)),"n.a.",Q578*(1-Q522))</f>
        <v>0.70363046017447195</v>
      </c>
      <c r="R581" s="50">
        <f t="shared" ref="R581:S581" si="4680">IF(ISERROR(R578*(1-R522)),"n.a.",R578*(1-R522))</f>
        <v>0.52361338167286975</v>
      </c>
      <c r="S581" s="50">
        <f t="shared" si="4680"/>
        <v>0.68240636583781622</v>
      </c>
      <c r="T581" s="50">
        <f t="shared" ref="T581:U581" si="4681">IF(ISERROR(T578*(1-T522)),"n.a.",T578*(1-T522))</f>
        <v>0.46283981427741067</v>
      </c>
      <c r="U581" s="50">
        <f t="shared" si="4681"/>
        <v>0.68511689568151324</v>
      </c>
      <c r="V581" s="50">
        <f t="shared" ref="V581:W581" si="4682">IF(ISERROR(V578*(1-V522)),"n.a.",V578*(1-V522))</f>
        <v>0.46143085478319468</v>
      </c>
      <c r="W581" s="50">
        <f t="shared" si="4682"/>
        <v>0.57118333834900525</v>
      </c>
      <c r="X581" s="50">
        <f t="shared" ref="X581:Y581" si="4683">IF(ISERROR(X578*(1-X522)),"n.a.",X578*(1-X522))</f>
        <v>0.49962344070461329</v>
      </c>
      <c r="Y581" s="50">
        <f t="shared" si="4683"/>
        <v>0.42726161141347735</v>
      </c>
      <c r="Z581" s="50">
        <f t="shared" ref="Z581:AA581" si="4684">IF(ISERROR(Z578*(1-Z522)),"n.a.",Z578*(1-Z522))</f>
        <v>0.44060269438705119</v>
      </c>
      <c r="AA581" s="50">
        <f t="shared" si="4684"/>
        <v>0.46639228426996937</v>
      </c>
      <c r="AB581" s="50">
        <f t="shared" ref="AB581:AC581" si="4685">IF(ISERROR(AB578*(1-AB522)),"n.a.",AB578*(1-AB522))</f>
        <v>0.39117605959708568</v>
      </c>
      <c r="AC581" s="50">
        <f t="shared" si="4685"/>
        <v>0.38546435520659</v>
      </c>
      <c r="AD581" s="50">
        <f t="shared" ref="AD581:AE581" si="4686">IF(ISERROR(AD578*(1-AD522)),"n.a.",AD578*(1-AD522))</f>
        <v>0.41397432590477362</v>
      </c>
      <c r="AE581" s="50">
        <f t="shared" si="4686"/>
        <v>0.48102509429605378</v>
      </c>
      <c r="AF581" s="50">
        <f t="shared" ref="AF581:AG581" si="4687">IF(ISERROR(AF578*(1-AF522)),"n.a.",AF578*(1-AF522))</f>
        <v>0.62819306496232308</v>
      </c>
      <c r="AG581" s="50">
        <f t="shared" si="4687"/>
        <v>0.59742766163221916</v>
      </c>
      <c r="AH581" s="50">
        <f t="shared" ref="AH581:AI581" si="4688">IF(ISERROR(AH578*(1-AH522)),"n.a.",AH578*(1-AH522))</f>
        <v>0.5466357102053685</v>
      </c>
      <c r="AI581" s="50">
        <f t="shared" si="4688"/>
        <v>0.61142829599156678</v>
      </c>
      <c r="AJ581" s="51">
        <f t="shared" ref="AJ581:AK581" si="4689">IF(ISERROR(AJ578*(1-AJ522)),"n.a.",AJ578*(1-AJ522))</f>
        <v>0.5807714463981456</v>
      </c>
      <c r="AK581" s="50">
        <f t="shared" si="4689"/>
        <v>0.51610865618820545</v>
      </c>
      <c r="AL581" s="50">
        <f t="shared" ref="AL581:AM581" si="4690">IF(ISERROR(AL578*(1-AL522)),"n.a.",AL578*(1-AL522))</f>
        <v>0.52862789731010529</v>
      </c>
      <c r="AM581" s="50">
        <f t="shared" si="4690"/>
        <v>0.5513018520101084</v>
      </c>
      <c r="AN581" s="50">
        <f t="shared" ref="AN581:AO581" si="4691">IF(ISERROR(AN578*(1-AN522)),"n.a.",AN578*(1-AN522))</f>
        <v>0.53587471289057464</v>
      </c>
      <c r="AO581" s="50">
        <f t="shared" si="4691"/>
        <v>0.56910507517090814</v>
      </c>
      <c r="AP581" s="50">
        <f t="shared" ref="AP581:AQ581" si="4692">IF(ISERROR(AP578*(1-AP522)),"n.a.",AP578*(1-AP522))</f>
        <v>0.51306060851686874</v>
      </c>
      <c r="AQ581" s="50">
        <f t="shared" si="4692"/>
        <v>0.50664021463311026</v>
      </c>
      <c r="AR581" s="50">
        <f t="shared" ref="AR581:AS581" si="4693">IF(ISERROR(AR578*(1-AR522)),"n.a.",AR578*(1-AR522))</f>
        <v>0.51731513511866967</v>
      </c>
      <c r="AS581" s="50">
        <f t="shared" si="4693"/>
        <v>0.53307914861486405</v>
      </c>
      <c r="AT581" s="50"/>
      <c r="AU581" s="50">
        <f t="shared" ref="AU581:BH581" si="4694">IF(ISERROR(AU578*(1-AU522)),"n.a.",AU578*(1-AU522))</f>
        <v>0.36706440534583984</v>
      </c>
      <c r="AV581" s="50">
        <f t="shared" si="4694"/>
        <v>0.37804349166911261</v>
      </c>
      <c r="AW581" s="50">
        <f t="shared" si="4694"/>
        <v>0.38230719315845552</v>
      </c>
      <c r="AX581" s="50">
        <f t="shared" si="4694"/>
        <v>0.39478132972918656</v>
      </c>
      <c r="AY581" s="50">
        <f t="shared" si="4694"/>
        <v>0.53744461870733473</v>
      </c>
      <c r="AZ581" s="50">
        <f t="shared" si="4694"/>
        <v>0.52903220814502738</v>
      </c>
      <c r="BA581" s="50">
        <f t="shared" si="4694"/>
        <v>0.60882631093949935</v>
      </c>
      <c r="BB581" s="50">
        <f t="shared" si="4694"/>
        <v>0.61931985220717367</v>
      </c>
      <c r="BC581" s="50">
        <f t="shared" si="4694"/>
        <v>0.72971304258723746</v>
      </c>
      <c r="BD581" s="50">
        <f t="shared" si="4694"/>
        <v>0.85058307050673687</v>
      </c>
      <c r="BE581" s="50">
        <f t="shared" si="4694"/>
        <v>0.5833316024959736</v>
      </c>
      <c r="BF581" s="50">
        <f t="shared" si="4694"/>
        <v>0.55373113780216221</v>
      </c>
      <c r="BG581" s="50">
        <f t="shared" si="4694"/>
        <v>0.60963477444869452</v>
      </c>
      <c r="BH581" s="50">
        <f t="shared" si="4694"/>
        <v>0.57937394290608124</v>
      </c>
      <c r="BI581" s="50">
        <f t="shared" ref="BI581" si="4695">IF(ISERROR(BI578*(1-BI522)),"n.a.",BI578*(1-BI522))</f>
        <v>0.53044899059409734</v>
      </c>
      <c r="BJ581" s="50">
        <f t="shared" ref="BJ581:BO581" si="4696">IF(ISERROR(BJ578*(1-BJ522)),"n.a.",BJ578*(1-BJ522))</f>
        <v>0.47234190062273362</v>
      </c>
      <c r="BK581" s="50">
        <f t="shared" si="4696"/>
        <v>0.47672716635579687</v>
      </c>
      <c r="BL581" s="50">
        <f t="shared" si="4696"/>
        <v>0.4038373381145095</v>
      </c>
      <c r="BM581" s="50">
        <f t="shared" si="4696"/>
        <v>0.46052157393957344</v>
      </c>
      <c r="BN581" s="50">
        <f t="shared" si="4696"/>
        <v>0.61427842325798943</v>
      </c>
      <c r="BO581" s="51">
        <f t="shared" si="4696"/>
        <v>0.59331790339302592</v>
      </c>
      <c r="BP581" s="50">
        <f t="shared" ref="BP581:BQ581" si="4697">IF(ISERROR(BP578*(1-BP522)),"n.a.",BP578*(1-BP522))</f>
        <v>0.54601809316948391</v>
      </c>
      <c r="BQ581" s="50">
        <f t="shared" si="4697"/>
        <v>0.54297498858272963</v>
      </c>
      <c r="BR581" s="50">
        <f t="shared" ref="BR581:BS581" si="4698">IF(ISERROR(BR578*(1-BR522)),"n.a.",BR578*(1-BR522))</f>
        <v>0.55752641604110176</v>
      </c>
      <c r="BS581" s="50">
        <f t="shared" si="4698"/>
        <v>0.51268110532805344</v>
      </c>
      <c r="BT581" s="50">
        <f>IF(ISERROR(BT578*(1-BT522)),"n.a.",BT578*(1-BT522))</f>
        <v>0.52876271132280517</v>
      </c>
    </row>
    <row r="582" spans="1:72" ht="12" customHeight="1"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20"/>
      <c r="AK582" s="19"/>
      <c r="AL582" s="19"/>
      <c r="AM582" s="19"/>
      <c r="AN582" s="19"/>
      <c r="AO582" s="19"/>
      <c r="AP582" s="19"/>
      <c r="AQ582" s="19"/>
      <c r="AR582" s="19"/>
      <c r="AS582" s="19"/>
      <c r="AT582" s="19"/>
      <c r="AU582" s="19"/>
      <c r="AV582" s="19"/>
      <c r="AW582" s="19"/>
      <c r="AX582" s="19"/>
      <c r="AY582" s="19"/>
      <c r="AZ582" s="19"/>
      <c r="BA582" s="19"/>
      <c r="BB582" s="19"/>
      <c r="BC582" s="19"/>
      <c r="BD582" s="19"/>
      <c r="BE582" s="19"/>
      <c r="BF582" s="19"/>
      <c r="BG582" s="19"/>
      <c r="BH582" s="19"/>
      <c r="BI582" s="19"/>
      <c r="BJ582" s="19"/>
      <c r="BK582" s="19"/>
      <c r="BL582" s="19"/>
      <c r="BM582" s="19"/>
      <c r="BN582" s="19"/>
      <c r="BO582" s="20"/>
      <c r="BP582" s="19"/>
      <c r="BQ582" s="19"/>
      <c r="BR582" s="19"/>
      <c r="BS582" s="19"/>
      <c r="BT582" s="19"/>
    </row>
    <row r="583" spans="1:72" ht="12" customHeight="1"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20"/>
      <c r="AK583" s="19"/>
      <c r="AL583" s="19"/>
      <c r="AM583" s="19"/>
      <c r="AN583" s="19"/>
      <c r="AO583" s="19"/>
      <c r="AP583" s="19"/>
      <c r="AQ583" s="19"/>
      <c r="AR583" s="19"/>
      <c r="AS583" s="19"/>
      <c r="AT583" s="19"/>
      <c r="AU583" s="19"/>
      <c r="AV583" s="19"/>
      <c r="AW583" s="19"/>
      <c r="AX583" s="19"/>
      <c r="AY583" s="19"/>
      <c r="AZ583" s="19"/>
      <c r="BA583" s="19"/>
      <c r="BB583" s="19"/>
      <c r="BC583" s="19"/>
      <c r="BD583" s="19"/>
      <c r="BE583" s="19"/>
      <c r="BF583" s="19"/>
      <c r="BG583" s="19"/>
      <c r="BH583" s="19"/>
      <c r="BI583" s="19"/>
      <c r="BJ583" s="19"/>
      <c r="BK583" s="19"/>
      <c r="BL583" s="19"/>
      <c r="BM583" s="19"/>
      <c r="BN583" s="19"/>
      <c r="BO583" s="20"/>
      <c r="BP583" s="19"/>
      <c r="BQ583" s="19"/>
      <c r="BR583" s="19"/>
      <c r="BS583" s="19"/>
      <c r="BT583" s="19"/>
    </row>
    <row r="584" spans="1:72" ht="12" customHeight="1"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20"/>
      <c r="AK584" s="19"/>
      <c r="AL584" s="19"/>
      <c r="AM584" s="19"/>
      <c r="AN584" s="19"/>
      <c r="AO584" s="19"/>
      <c r="AP584" s="19"/>
      <c r="AQ584" s="19"/>
      <c r="AR584" s="19"/>
      <c r="AS584" s="19"/>
      <c r="AT584" s="19"/>
      <c r="AU584" s="19"/>
      <c r="AV584" s="19"/>
      <c r="AW584" s="19"/>
      <c r="AX584" s="19"/>
      <c r="AY584" s="19"/>
      <c r="AZ584" s="19"/>
      <c r="BA584" s="19"/>
      <c r="BB584" s="19"/>
      <c r="BC584" s="19"/>
      <c r="BD584" s="19"/>
      <c r="BE584" s="19"/>
      <c r="BF584" s="19"/>
      <c r="BG584" s="19"/>
      <c r="BH584" s="19"/>
      <c r="BI584" s="19"/>
      <c r="BJ584" s="19"/>
      <c r="BK584" s="19"/>
      <c r="BL584" s="19"/>
      <c r="BM584" s="19"/>
      <c r="BN584" s="19"/>
      <c r="BO584" s="20"/>
      <c r="BP584" s="19"/>
      <c r="BQ584" s="19"/>
      <c r="BR584" s="19"/>
      <c r="BS584" s="19"/>
      <c r="BT584" s="19"/>
    </row>
    <row r="585" spans="1:72" ht="12" customHeight="1"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20"/>
      <c r="AK585" s="19"/>
      <c r="AL585" s="19"/>
      <c r="AM585" s="19"/>
      <c r="AN585" s="19"/>
      <c r="AO585" s="19"/>
      <c r="AP585" s="19"/>
      <c r="AQ585" s="19"/>
      <c r="AR585" s="19"/>
      <c r="AS585" s="19"/>
      <c r="AT585" s="19"/>
      <c r="AU585" s="19"/>
      <c r="AV585" s="19"/>
      <c r="AW585" s="19"/>
      <c r="AX585" s="19"/>
      <c r="AY585" s="19"/>
      <c r="AZ585" s="19"/>
      <c r="BA585" s="19"/>
      <c r="BB585" s="19"/>
      <c r="BC585" s="19"/>
      <c r="BD585" s="19"/>
      <c r="BE585" s="19"/>
      <c r="BF585" s="19"/>
      <c r="BG585" s="19"/>
      <c r="BH585" s="19"/>
      <c r="BI585" s="19"/>
      <c r="BJ585" s="19"/>
      <c r="BK585" s="19"/>
      <c r="BL585" s="19"/>
      <c r="BM585" s="19"/>
      <c r="BN585" s="19"/>
      <c r="BO585" s="20"/>
      <c r="BP585" s="19"/>
      <c r="BQ585" s="19"/>
      <c r="BR585" s="19"/>
      <c r="BS585" s="19"/>
      <c r="BT585" s="19"/>
    </row>
    <row r="586" spans="1:72" ht="12" customHeight="1"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20"/>
      <c r="AK586" s="19"/>
      <c r="AL586" s="19"/>
      <c r="AM586" s="19"/>
      <c r="AN586" s="19"/>
      <c r="AO586" s="19"/>
      <c r="AP586" s="19"/>
      <c r="AQ586" s="19"/>
      <c r="AR586" s="19"/>
      <c r="AS586" s="19"/>
      <c r="AT586" s="19"/>
      <c r="AU586" s="19"/>
      <c r="AV586" s="19"/>
      <c r="AW586" s="19"/>
      <c r="AX586" s="19"/>
      <c r="AY586" s="19"/>
      <c r="AZ586" s="19"/>
      <c r="BA586" s="19"/>
      <c r="BB586" s="19"/>
      <c r="BC586" s="19"/>
      <c r="BD586" s="19"/>
      <c r="BE586" s="19"/>
      <c r="BF586" s="19"/>
      <c r="BG586" s="19"/>
      <c r="BH586" s="19"/>
      <c r="BI586" s="19"/>
      <c r="BJ586" s="19"/>
      <c r="BK586" s="19"/>
      <c r="BL586" s="19"/>
      <c r="BM586" s="19"/>
      <c r="BN586" s="19"/>
      <c r="BO586" s="20"/>
      <c r="BP586" s="19"/>
      <c r="BQ586" s="19"/>
      <c r="BR586" s="19"/>
      <c r="BS586" s="19"/>
      <c r="BT586" s="19"/>
    </row>
    <row r="587" spans="1:72" ht="12" customHeight="1"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20"/>
      <c r="AK587" s="19"/>
      <c r="AL587" s="19"/>
      <c r="AM587" s="19"/>
      <c r="AN587" s="19"/>
      <c r="AO587" s="19"/>
      <c r="AP587" s="19"/>
      <c r="AQ587" s="19"/>
      <c r="AR587" s="19"/>
      <c r="AS587" s="19"/>
      <c r="AT587" s="19"/>
      <c r="AU587" s="19"/>
      <c r="AV587" s="19"/>
      <c r="AW587" s="19"/>
      <c r="AX587" s="19"/>
      <c r="AY587" s="19"/>
      <c r="AZ587" s="19"/>
      <c r="BA587" s="19"/>
      <c r="BB587" s="19"/>
      <c r="BC587" s="19"/>
      <c r="BD587" s="19"/>
      <c r="BE587" s="19"/>
      <c r="BF587" s="19"/>
      <c r="BG587" s="19"/>
      <c r="BH587" s="19"/>
      <c r="BI587" s="19"/>
      <c r="BJ587" s="19"/>
      <c r="BK587" s="19"/>
      <c r="BL587" s="19"/>
      <c r="BM587" s="19"/>
      <c r="BN587" s="19"/>
      <c r="BO587" s="20"/>
      <c r="BP587" s="19"/>
      <c r="BQ587" s="19"/>
      <c r="BR587" s="19"/>
      <c r="BS587" s="19"/>
      <c r="BT587" s="19"/>
    </row>
    <row r="588" spans="1:72" ht="12" customHeight="1">
      <c r="A588" s="1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20"/>
      <c r="AK588" s="19"/>
      <c r="AL588" s="19"/>
      <c r="AM588" s="19"/>
      <c r="AN588" s="19"/>
      <c r="AO588" s="19"/>
      <c r="AP588" s="19"/>
      <c r="AQ588" s="19"/>
      <c r="AR588" s="19"/>
      <c r="AS588" s="19"/>
      <c r="AT588" s="19"/>
      <c r="AU588" s="19"/>
      <c r="AV588" s="19"/>
      <c r="AW588" s="19"/>
      <c r="AX588" s="19"/>
      <c r="AY588" s="19"/>
      <c r="AZ588" s="19"/>
      <c r="BA588" s="19"/>
      <c r="BB588" s="19"/>
      <c r="BC588" s="19"/>
      <c r="BD588" s="19"/>
      <c r="BE588" s="19"/>
      <c r="BF588" s="19"/>
      <c r="BG588" s="19"/>
      <c r="BH588" s="19"/>
      <c r="BI588" s="19"/>
      <c r="BJ588" s="19"/>
      <c r="BK588" s="19"/>
      <c r="BL588" s="19"/>
      <c r="BM588" s="19"/>
      <c r="BN588" s="19"/>
      <c r="BO588" s="20"/>
      <c r="BP588" s="19"/>
      <c r="BQ588" s="19"/>
      <c r="BR588" s="19"/>
      <c r="BS588" s="19"/>
      <c r="BT588" s="19"/>
    </row>
    <row r="589" spans="1:72" ht="12" customHeight="1">
      <c r="A589" s="1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20"/>
      <c r="AK589" s="19"/>
      <c r="AL589" s="19"/>
      <c r="AM589" s="19"/>
      <c r="AN589" s="19"/>
      <c r="AO589" s="19"/>
      <c r="AP589" s="19"/>
      <c r="AQ589" s="19"/>
      <c r="AR589" s="19"/>
      <c r="AS589" s="19"/>
      <c r="AT589" s="19"/>
      <c r="AU589" s="19"/>
      <c r="AV589" s="19"/>
      <c r="AW589" s="19"/>
      <c r="AX589" s="19"/>
      <c r="AY589" s="19"/>
      <c r="AZ589" s="19"/>
      <c r="BA589" s="19"/>
      <c r="BB589" s="19"/>
      <c r="BC589" s="19"/>
      <c r="BD589" s="19"/>
      <c r="BE589" s="19"/>
      <c r="BF589" s="19"/>
      <c r="BG589" s="19"/>
      <c r="BH589" s="19"/>
      <c r="BI589" s="19"/>
      <c r="BJ589" s="19"/>
      <c r="BK589" s="19"/>
      <c r="BL589" s="19"/>
      <c r="BM589" s="19"/>
      <c r="BN589" s="19"/>
      <c r="BO589" s="20"/>
      <c r="BP589" s="19"/>
      <c r="BQ589" s="19"/>
      <c r="BR589" s="19"/>
      <c r="BS589" s="19"/>
      <c r="BT589" s="19"/>
    </row>
    <row r="590" spans="1:72" ht="12" customHeight="1">
      <c r="A590" s="1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20"/>
      <c r="AK590" s="19"/>
      <c r="AL590" s="19"/>
      <c r="AM590" s="19"/>
      <c r="AN590" s="19"/>
      <c r="AO590" s="19"/>
      <c r="AP590" s="19"/>
      <c r="AQ590" s="19"/>
      <c r="AR590" s="19"/>
      <c r="AS590" s="19"/>
      <c r="AT590" s="19"/>
      <c r="AU590" s="19"/>
      <c r="AV590" s="19"/>
      <c r="AW590" s="19"/>
      <c r="AX590" s="19"/>
      <c r="AY590" s="19"/>
      <c r="AZ590" s="19"/>
      <c r="BA590" s="19"/>
      <c r="BB590" s="19"/>
      <c r="BC590" s="19"/>
      <c r="BD590" s="19"/>
      <c r="BE590" s="19"/>
      <c r="BF590" s="19"/>
      <c r="BG590" s="19"/>
      <c r="BH590" s="19"/>
      <c r="BI590" s="19"/>
      <c r="BJ590" s="19"/>
      <c r="BK590" s="19"/>
      <c r="BL590" s="19"/>
      <c r="BM590" s="19"/>
      <c r="BN590" s="19"/>
      <c r="BO590" s="20"/>
      <c r="BP590" s="19"/>
      <c r="BQ590" s="19"/>
      <c r="BR590" s="19"/>
      <c r="BS590" s="19"/>
      <c r="BT590" s="19"/>
    </row>
    <row r="591" spans="1:72" ht="12" customHeight="1">
      <c r="A591" s="1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20"/>
      <c r="AK591" s="19"/>
      <c r="AL591" s="19"/>
      <c r="AM591" s="19"/>
      <c r="AN591" s="19"/>
      <c r="AO591" s="19"/>
      <c r="AP591" s="19"/>
      <c r="AQ591" s="19"/>
      <c r="AR591" s="19"/>
      <c r="AS591" s="19"/>
      <c r="AT591" s="19"/>
      <c r="AU591" s="19"/>
      <c r="AV591" s="19"/>
      <c r="AW591" s="19"/>
      <c r="AX591" s="19"/>
      <c r="AY591" s="19"/>
      <c r="AZ591" s="19"/>
      <c r="BA591" s="19"/>
      <c r="BB591" s="19"/>
      <c r="BC591" s="19"/>
      <c r="BD591" s="19"/>
      <c r="BE591" s="19"/>
      <c r="BF591" s="19"/>
      <c r="BG591" s="19"/>
      <c r="BH591" s="19"/>
      <c r="BI591" s="19"/>
      <c r="BJ591" s="19"/>
      <c r="BK591" s="19"/>
      <c r="BL591" s="19"/>
      <c r="BM591" s="19"/>
      <c r="BN591" s="19"/>
      <c r="BO591" s="20"/>
      <c r="BP591" s="19"/>
      <c r="BQ591" s="19"/>
      <c r="BR591" s="19"/>
      <c r="BS591" s="19"/>
      <c r="BT591" s="19"/>
    </row>
    <row r="592" spans="1:72" ht="12" customHeight="1">
      <c r="A592" s="1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20"/>
      <c r="AK592" s="19"/>
      <c r="AL592" s="19"/>
      <c r="AM592" s="19"/>
      <c r="AN592" s="19"/>
      <c r="AO592" s="19"/>
      <c r="AP592" s="19"/>
      <c r="AQ592" s="19"/>
      <c r="AR592" s="19"/>
      <c r="AS592" s="19"/>
      <c r="AT592" s="19"/>
      <c r="AU592" s="19"/>
      <c r="AV592" s="19"/>
      <c r="AW592" s="19"/>
      <c r="AX592" s="19"/>
      <c r="AY592" s="19"/>
      <c r="AZ592" s="19"/>
      <c r="BA592" s="19"/>
      <c r="BB592" s="19"/>
      <c r="BC592" s="19"/>
      <c r="BD592" s="19"/>
      <c r="BE592" s="19"/>
      <c r="BF592" s="19"/>
      <c r="BG592" s="19"/>
      <c r="BH592" s="19"/>
      <c r="BI592" s="19"/>
      <c r="BJ592" s="19"/>
      <c r="BK592" s="19"/>
      <c r="BL592" s="19"/>
      <c r="BM592" s="19"/>
      <c r="BN592" s="19"/>
      <c r="BO592" s="20"/>
      <c r="BP592" s="19"/>
      <c r="BQ592" s="19"/>
      <c r="BR592" s="19"/>
      <c r="BS592" s="19"/>
      <c r="BT592" s="19"/>
    </row>
    <row r="593" spans="1:73" ht="12" customHeight="1">
      <c r="A593" s="1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20"/>
      <c r="AK593" s="19"/>
      <c r="AL593" s="19"/>
      <c r="AM593" s="19"/>
      <c r="AN593" s="19"/>
      <c r="AO593" s="19"/>
      <c r="AP593" s="19"/>
      <c r="AQ593" s="19"/>
      <c r="AR593" s="19"/>
      <c r="AS593" s="19"/>
      <c r="AT593" s="19"/>
      <c r="AU593" s="19"/>
      <c r="AV593" s="19"/>
      <c r="AW593" s="19"/>
      <c r="AX593" s="19"/>
      <c r="AY593" s="19"/>
      <c r="AZ593" s="19"/>
      <c r="BA593" s="19"/>
      <c r="BB593" s="19"/>
      <c r="BC593" s="19"/>
      <c r="BD593" s="19"/>
      <c r="BE593" s="19"/>
      <c r="BF593" s="19"/>
      <c r="BG593" s="19"/>
      <c r="BH593" s="19"/>
      <c r="BI593" s="19"/>
      <c r="BJ593" s="19"/>
      <c r="BK593" s="19"/>
      <c r="BL593" s="19"/>
      <c r="BM593" s="19"/>
      <c r="BN593" s="19"/>
      <c r="BO593" s="20"/>
      <c r="BP593" s="19"/>
      <c r="BQ593" s="19"/>
      <c r="BR593" s="19"/>
      <c r="BS593" s="19"/>
      <c r="BT593" s="19"/>
    </row>
    <row r="594" spans="1:73" ht="12" customHeight="1">
      <c r="A594" s="1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20"/>
      <c r="AK594" s="19"/>
      <c r="AL594" s="19"/>
      <c r="AM594" s="19"/>
      <c r="AN594" s="19"/>
      <c r="AO594" s="19"/>
      <c r="AP594" s="19"/>
      <c r="AQ594" s="19"/>
      <c r="AR594" s="19"/>
      <c r="AS594" s="19"/>
      <c r="AT594" s="19"/>
      <c r="AU594" s="19"/>
      <c r="AV594" s="19"/>
      <c r="AW594" s="19"/>
      <c r="AX594" s="19"/>
      <c r="AY594" s="19"/>
      <c r="AZ594" s="19"/>
      <c r="BA594" s="19"/>
      <c r="BB594" s="19"/>
      <c r="BC594" s="19"/>
      <c r="BD594" s="19"/>
      <c r="BE594" s="19"/>
      <c r="BF594" s="19"/>
      <c r="BG594" s="19"/>
      <c r="BH594" s="19"/>
      <c r="BI594" s="19"/>
      <c r="BJ594" s="19"/>
      <c r="BK594" s="19"/>
      <c r="BL594" s="19"/>
      <c r="BM594" s="19"/>
      <c r="BN594" s="19"/>
      <c r="BO594" s="20"/>
      <c r="BP594" s="19"/>
      <c r="BQ594" s="19"/>
      <c r="BR594" s="19"/>
      <c r="BS594" s="19"/>
      <c r="BT594" s="19"/>
    </row>
    <row r="595" spans="1:73" ht="12" customHeight="1">
      <c r="A595" s="1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20"/>
      <c r="AK595" s="19"/>
      <c r="AL595" s="19"/>
      <c r="AM595" s="19"/>
      <c r="AN595" s="19"/>
      <c r="AO595" s="19"/>
      <c r="AP595" s="19"/>
      <c r="AQ595" s="19"/>
      <c r="AR595" s="19"/>
      <c r="AS595" s="19"/>
      <c r="AT595" s="19"/>
      <c r="AU595" s="19"/>
      <c r="AV595" s="19"/>
      <c r="AW595" s="19"/>
      <c r="AX595" s="19"/>
      <c r="AY595" s="19"/>
      <c r="AZ595" s="19"/>
      <c r="BA595" s="19"/>
      <c r="BB595" s="19"/>
      <c r="BC595" s="19"/>
      <c r="BD595" s="19"/>
      <c r="BE595" s="19"/>
      <c r="BF595" s="19"/>
      <c r="BG595" s="19"/>
      <c r="BH595" s="19"/>
      <c r="BI595" s="19"/>
      <c r="BJ595" s="19"/>
      <c r="BK595" s="19"/>
      <c r="BL595" s="19"/>
      <c r="BM595" s="19"/>
      <c r="BN595" s="19"/>
      <c r="BO595" s="20"/>
      <c r="BP595" s="19"/>
      <c r="BQ595" s="19"/>
      <c r="BR595" s="19"/>
      <c r="BS595" s="19"/>
      <c r="BT595" s="19"/>
      <c r="BU595" s="19"/>
    </row>
    <row r="596" spans="1:73" ht="12" customHeight="1">
      <c r="A596" s="1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20"/>
      <c r="AK596" s="19"/>
      <c r="AL596" s="19"/>
      <c r="AM596" s="19"/>
      <c r="AN596" s="19"/>
      <c r="AO596" s="19"/>
      <c r="AP596" s="19"/>
      <c r="AQ596" s="19"/>
      <c r="AR596" s="19"/>
      <c r="AS596" s="19"/>
      <c r="AT596" s="19"/>
      <c r="AU596" s="19"/>
      <c r="AV596" s="19"/>
      <c r="AW596" s="19"/>
      <c r="AX596" s="19"/>
      <c r="AY596" s="19"/>
      <c r="AZ596" s="19"/>
      <c r="BA596" s="19"/>
      <c r="BB596" s="19"/>
      <c r="BC596" s="19"/>
      <c r="BD596" s="19"/>
      <c r="BE596" s="19"/>
      <c r="BF596" s="19"/>
      <c r="BG596" s="19"/>
      <c r="BH596" s="19"/>
      <c r="BI596" s="19"/>
      <c r="BJ596" s="19"/>
      <c r="BK596" s="19"/>
      <c r="BL596" s="19"/>
      <c r="BM596" s="19"/>
      <c r="BN596" s="19"/>
      <c r="BO596" s="20"/>
      <c r="BP596" s="19"/>
      <c r="BQ596" s="19"/>
      <c r="BR596" s="19"/>
      <c r="BS596" s="19"/>
      <c r="BT596" s="19"/>
      <c r="BU596" s="19"/>
    </row>
    <row r="597" spans="1:73" ht="12" customHeight="1">
      <c r="A597" s="1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20"/>
      <c r="AK597" s="19"/>
      <c r="AL597" s="19"/>
      <c r="AM597" s="19"/>
      <c r="AN597" s="19"/>
      <c r="AO597" s="19"/>
      <c r="AP597" s="19"/>
      <c r="AQ597" s="19"/>
      <c r="AR597" s="19"/>
      <c r="AS597" s="19"/>
      <c r="AT597" s="19"/>
      <c r="AU597" s="19"/>
      <c r="AV597" s="19"/>
      <c r="AW597" s="19"/>
      <c r="AX597" s="19"/>
      <c r="AY597" s="19"/>
      <c r="AZ597" s="19"/>
      <c r="BA597" s="19"/>
      <c r="BB597" s="19"/>
      <c r="BC597" s="19"/>
      <c r="BD597" s="19"/>
      <c r="BE597" s="19"/>
      <c r="BF597" s="19"/>
      <c r="BG597" s="19"/>
      <c r="BH597" s="19"/>
      <c r="BI597" s="19"/>
      <c r="BJ597" s="19"/>
      <c r="BK597" s="19"/>
      <c r="BL597" s="19"/>
      <c r="BM597" s="19"/>
      <c r="BN597" s="19"/>
      <c r="BO597" s="20"/>
      <c r="BP597" s="19"/>
      <c r="BQ597" s="19"/>
      <c r="BR597" s="19"/>
      <c r="BS597" s="19"/>
      <c r="BT597" s="19"/>
      <c r="BU597" s="19"/>
    </row>
    <row r="598" spans="1:73" ht="12" customHeight="1">
      <c r="A598" s="1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20"/>
      <c r="AK598" s="19"/>
      <c r="AL598" s="19"/>
      <c r="AM598" s="19"/>
      <c r="AN598" s="19"/>
      <c r="AO598" s="19"/>
      <c r="AP598" s="19"/>
      <c r="AQ598" s="19"/>
      <c r="AR598" s="19"/>
      <c r="AS598" s="19"/>
      <c r="AT598" s="19"/>
      <c r="AU598" s="19"/>
      <c r="AV598" s="19"/>
      <c r="AW598" s="19"/>
      <c r="AX598" s="19"/>
      <c r="AY598" s="19"/>
      <c r="AZ598" s="19"/>
      <c r="BA598" s="19"/>
      <c r="BB598" s="19"/>
      <c r="BC598" s="19"/>
      <c r="BD598" s="19"/>
      <c r="BE598" s="19"/>
      <c r="BF598" s="19"/>
      <c r="BG598" s="19"/>
      <c r="BH598" s="19"/>
      <c r="BI598" s="19"/>
      <c r="BJ598" s="19"/>
      <c r="BK598" s="19"/>
      <c r="BL598" s="19"/>
      <c r="BM598" s="19"/>
      <c r="BN598" s="19"/>
      <c r="BO598" s="20"/>
      <c r="BP598" s="19"/>
      <c r="BQ598" s="19"/>
      <c r="BR598" s="19"/>
      <c r="BS598" s="19"/>
      <c r="BT598" s="19"/>
      <c r="BU598" s="19"/>
    </row>
    <row r="599" spans="1:73" ht="12" customHeight="1">
      <c r="A599" s="1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20"/>
      <c r="AK599" s="19"/>
      <c r="AL599" s="19"/>
      <c r="AM599" s="19"/>
      <c r="AN599" s="19"/>
      <c r="AO599" s="19"/>
      <c r="AP599" s="19"/>
      <c r="AQ599" s="19"/>
      <c r="AR599" s="19"/>
      <c r="AS599" s="19"/>
      <c r="AT599" s="19"/>
      <c r="AU599" s="19"/>
      <c r="AV599" s="19"/>
      <c r="AW599" s="19"/>
      <c r="AX599" s="19"/>
      <c r="AY599" s="19"/>
      <c r="AZ599" s="19"/>
      <c r="BA599" s="19"/>
      <c r="BB599" s="19"/>
      <c r="BC599" s="19"/>
      <c r="BD599" s="19"/>
      <c r="BE599" s="19"/>
      <c r="BF599" s="19"/>
      <c r="BG599" s="19"/>
      <c r="BH599" s="19"/>
      <c r="BI599" s="19"/>
      <c r="BJ599" s="19"/>
      <c r="BK599" s="19"/>
      <c r="BL599" s="19"/>
      <c r="BM599" s="19"/>
      <c r="BN599" s="19"/>
      <c r="BO599" s="20"/>
      <c r="BP599" s="19"/>
      <c r="BQ599" s="19"/>
      <c r="BR599" s="19"/>
      <c r="BS599" s="19"/>
      <c r="BT599" s="19"/>
      <c r="BU599" s="19"/>
    </row>
    <row r="600" spans="1:73" ht="12" customHeight="1">
      <c r="A600" s="1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19"/>
      <c r="AH600" s="19"/>
      <c r="AI600" s="19"/>
      <c r="AJ600" s="20"/>
      <c r="AK600" s="19"/>
      <c r="AL600" s="19"/>
      <c r="AM600" s="19"/>
      <c r="AN600" s="19"/>
      <c r="AO600" s="19"/>
      <c r="AP600" s="19"/>
      <c r="AQ600" s="19"/>
      <c r="AR600" s="19"/>
      <c r="AS600" s="19"/>
      <c r="AT600" s="19"/>
      <c r="AU600" s="19"/>
      <c r="AV600" s="19"/>
      <c r="AW600" s="19"/>
      <c r="AX600" s="19"/>
      <c r="AY600" s="19"/>
      <c r="AZ600" s="19"/>
      <c r="BA600" s="19"/>
      <c r="BB600" s="19"/>
      <c r="BC600" s="19"/>
      <c r="BD600" s="19"/>
      <c r="BE600" s="19"/>
      <c r="BF600" s="19"/>
      <c r="BG600" s="19"/>
      <c r="BH600" s="19"/>
      <c r="BI600" s="19"/>
      <c r="BJ600" s="19"/>
      <c r="BK600" s="19"/>
      <c r="BL600" s="19"/>
      <c r="BM600" s="19"/>
      <c r="BN600" s="19"/>
      <c r="BO600" s="20"/>
      <c r="BP600" s="19"/>
      <c r="BQ600" s="19"/>
      <c r="BR600" s="19"/>
      <c r="BS600" s="19"/>
      <c r="BT600" s="19"/>
      <c r="BU600" s="19"/>
    </row>
    <row r="601" spans="1:73" ht="12" customHeight="1">
      <c r="A601" s="1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19"/>
      <c r="AH601" s="19"/>
      <c r="AI601" s="19"/>
      <c r="AJ601" s="20"/>
      <c r="AK601" s="19"/>
      <c r="AL601" s="19"/>
      <c r="AM601" s="19"/>
      <c r="AN601" s="19"/>
      <c r="AO601" s="19"/>
      <c r="AP601" s="19"/>
      <c r="AQ601" s="19"/>
      <c r="AR601" s="19"/>
      <c r="AS601" s="19"/>
      <c r="AT601" s="19"/>
      <c r="AU601" s="19"/>
      <c r="AV601" s="19"/>
      <c r="AW601" s="19"/>
      <c r="AX601" s="19"/>
      <c r="AY601" s="19"/>
      <c r="AZ601" s="19"/>
      <c r="BA601" s="19"/>
      <c r="BB601" s="19"/>
      <c r="BC601" s="19"/>
      <c r="BD601" s="19"/>
      <c r="BE601" s="19"/>
      <c r="BF601" s="19"/>
      <c r="BG601" s="19"/>
      <c r="BH601" s="19"/>
      <c r="BI601" s="19"/>
      <c r="BJ601" s="19"/>
      <c r="BK601" s="19"/>
      <c r="BL601" s="19"/>
      <c r="BM601" s="19"/>
      <c r="BN601" s="19"/>
      <c r="BO601" s="20"/>
      <c r="BP601" s="19"/>
      <c r="BQ601" s="19"/>
      <c r="BR601" s="19"/>
      <c r="BS601" s="19"/>
      <c r="BT601" s="19"/>
      <c r="BU601" s="19"/>
    </row>
    <row r="602" spans="1:73" ht="12" customHeight="1">
      <c r="A602" s="1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19"/>
      <c r="AH602" s="19"/>
      <c r="AI602" s="19"/>
      <c r="AJ602" s="20"/>
      <c r="AK602" s="19"/>
      <c r="AL602" s="19"/>
      <c r="AM602" s="19"/>
      <c r="AN602" s="19"/>
      <c r="AO602" s="19"/>
      <c r="AP602" s="19"/>
      <c r="AQ602" s="19"/>
      <c r="AR602" s="19"/>
      <c r="AS602" s="19"/>
      <c r="AT602" s="19"/>
      <c r="AU602" s="19"/>
      <c r="AV602" s="19"/>
      <c r="AW602" s="19"/>
      <c r="AX602" s="19"/>
      <c r="AY602" s="19"/>
      <c r="AZ602" s="19"/>
      <c r="BA602" s="19"/>
      <c r="BB602" s="19"/>
      <c r="BC602" s="19"/>
      <c r="BD602" s="19"/>
      <c r="BE602" s="19"/>
      <c r="BF602" s="19"/>
      <c r="BG602" s="19"/>
      <c r="BH602" s="19"/>
      <c r="BI602" s="19"/>
      <c r="BJ602" s="19"/>
      <c r="BK602" s="19"/>
      <c r="BL602" s="19"/>
      <c r="BM602" s="19"/>
      <c r="BN602" s="19"/>
      <c r="BO602" s="20"/>
      <c r="BP602" s="19"/>
      <c r="BQ602" s="19"/>
      <c r="BR602" s="19"/>
      <c r="BS602" s="19"/>
      <c r="BT602" s="19"/>
      <c r="BU602" s="19"/>
    </row>
    <row r="603" spans="1:73" ht="12" customHeight="1">
      <c r="A603" s="1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20"/>
      <c r="AK603" s="19"/>
      <c r="AL603" s="19"/>
      <c r="AM603" s="19"/>
      <c r="AN603" s="19"/>
      <c r="AO603" s="19"/>
      <c r="AP603" s="19"/>
      <c r="AQ603" s="19"/>
      <c r="AR603" s="19"/>
      <c r="AS603" s="19"/>
      <c r="AT603" s="19"/>
      <c r="AU603" s="19"/>
      <c r="AV603" s="19"/>
      <c r="AW603" s="19"/>
      <c r="AX603" s="19"/>
      <c r="AY603" s="19"/>
      <c r="AZ603" s="19"/>
      <c r="BA603" s="19"/>
      <c r="BB603" s="19"/>
      <c r="BC603" s="19"/>
      <c r="BD603" s="19"/>
      <c r="BE603" s="19"/>
      <c r="BF603" s="19"/>
      <c r="BG603" s="19"/>
      <c r="BH603" s="19"/>
      <c r="BI603" s="19"/>
      <c r="BJ603" s="19"/>
      <c r="BK603" s="19"/>
      <c r="BL603" s="19"/>
      <c r="BM603" s="19"/>
      <c r="BN603" s="19"/>
      <c r="BO603" s="20"/>
      <c r="BP603" s="19"/>
      <c r="BQ603" s="19"/>
      <c r="BR603" s="19"/>
      <c r="BS603" s="19"/>
      <c r="BT603" s="19"/>
      <c r="BU603" s="19"/>
    </row>
    <row r="604" spans="1:73" ht="12" customHeight="1">
      <c r="A604" s="1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20"/>
      <c r="AK604" s="19"/>
      <c r="AL604" s="19"/>
      <c r="AM604" s="19"/>
      <c r="AN604" s="19"/>
      <c r="AO604" s="19"/>
      <c r="AP604" s="19"/>
      <c r="AQ604" s="19"/>
      <c r="AR604" s="19"/>
      <c r="AS604" s="19"/>
      <c r="AT604" s="19"/>
      <c r="AU604" s="19"/>
      <c r="AV604" s="19"/>
      <c r="AW604" s="19"/>
      <c r="AX604" s="19"/>
      <c r="AY604" s="19"/>
      <c r="AZ604" s="19"/>
      <c r="BA604" s="19"/>
      <c r="BB604" s="19"/>
      <c r="BC604" s="19"/>
      <c r="BD604" s="19"/>
      <c r="BE604" s="19"/>
      <c r="BF604" s="19"/>
      <c r="BG604" s="19"/>
      <c r="BH604" s="19"/>
      <c r="BI604" s="19"/>
      <c r="BJ604" s="19"/>
      <c r="BK604" s="19"/>
      <c r="BL604" s="19"/>
      <c r="BM604" s="19"/>
      <c r="BN604" s="19"/>
      <c r="BO604" s="20"/>
      <c r="BP604" s="19"/>
      <c r="BQ604" s="19"/>
      <c r="BR604" s="19"/>
      <c r="BS604" s="19"/>
      <c r="BT604" s="19"/>
      <c r="BU604" s="19"/>
    </row>
    <row r="605" spans="1:73" ht="12" customHeight="1">
      <c r="A605" s="1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20"/>
      <c r="AK605" s="19"/>
      <c r="AL605" s="19"/>
      <c r="AM605" s="19"/>
      <c r="AN605" s="19"/>
      <c r="AO605" s="19"/>
      <c r="AP605" s="19"/>
      <c r="AQ605" s="19"/>
      <c r="AR605" s="19"/>
      <c r="AS605" s="19"/>
      <c r="AT605" s="19"/>
      <c r="AU605" s="19"/>
      <c r="AV605" s="19"/>
      <c r="AW605" s="19"/>
      <c r="AX605" s="19"/>
      <c r="AY605" s="19"/>
      <c r="AZ605" s="19"/>
      <c r="BA605" s="19"/>
      <c r="BB605" s="19"/>
      <c r="BC605" s="19"/>
      <c r="BD605" s="19"/>
      <c r="BE605" s="19"/>
      <c r="BF605" s="19"/>
      <c r="BG605" s="19"/>
      <c r="BH605" s="19"/>
      <c r="BI605" s="19"/>
      <c r="BJ605" s="19"/>
      <c r="BK605" s="19"/>
      <c r="BL605" s="19"/>
      <c r="BM605" s="19"/>
      <c r="BN605" s="19"/>
      <c r="BO605" s="20"/>
      <c r="BP605" s="19"/>
      <c r="BQ605" s="19"/>
      <c r="BR605" s="19"/>
      <c r="BS605" s="19"/>
      <c r="BT605" s="19"/>
      <c r="BU605" s="19"/>
    </row>
    <row r="606" spans="1:73" ht="12" customHeight="1">
      <c r="A606" s="1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20"/>
      <c r="AK606" s="19"/>
      <c r="AL606" s="19"/>
      <c r="AM606" s="19"/>
      <c r="AN606" s="19"/>
      <c r="AO606" s="19"/>
      <c r="AP606" s="19"/>
      <c r="AQ606" s="19"/>
      <c r="AR606" s="19"/>
      <c r="AS606" s="19"/>
      <c r="AT606" s="19"/>
      <c r="AU606" s="19"/>
      <c r="AV606" s="19"/>
      <c r="AW606" s="19"/>
      <c r="AX606" s="19"/>
      <c r="AY606" s="19"/>
      <c r="AZ606" s="19"/>
      <c r="BA606" s="19"/>
      <c r="BB606" s="19"/>
      <c r="BC606" s="19"/>
      <c r="BD606" s="19"/>
      <c r="BE606" s="19"/>
      <c r="BF606" s="19"/>
      <c r="BG606" s="19"/>
      <c r="BH606" s="19"/>
      <c r="BI606" s="19"/>
      <c r="BJ606" s="19"/>
      <c r="BK606" s="19"/>
      <c r="BL606" s="19"/>
      <c r="BM606" s="19"/>
      <c r="BN606" s="19"/>
      <c r="BO606" s="20"/>
      <c r="BP606" s="19"/>
      <c r="BQ606" s="19"/>
      <c r="BR606" s="19"/>
      <c r="BS606" s="19"/>
      <c r="BT606" s="19"/>
      <c r="BU606" s="19"/>
    </row>
    <row r="607" spans="1:73" ht="12" customHeight="1">
      <c r="A607" s="1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19"/>
      <c r="AH607" s="19"/>
      <c r="AI607" s="19"/>
      <c r="AJ607" s="20"/>
      <c r="AK607" s="19"/>
      <c r="AL607" s="19"/>
      <c r="AM607" s="19"/>
      <c r="AN607" s="19"/>
      <c r="AO607" s="19"/>
      <c r="AP607" s="19"/>
      <c r="AQ607" s="19"/>
      <c r="AR607" s="19"/>
      <c r="AS607" s="19"/>
      <c r="AT607" s="19"/>
      <c r="AU607" s="19"/>
      <c r="AV607" s="19"/>
      <c r="AW607" s="19"/>
      <c r="AX607" s="19"/>
      <c r="AY607" s="19"/>
      <c r="AZ607" s="19"/>
      <c r="BA607" s="19"/>
      <c r="BB607" s="19"/>
      <c r="BC607" s="19"/>
      <c r="BD607" s="19"/>
      <c r="BE607" s="19"/>
      <c r="BF607" s="19"/>
      <c r="BG607" s="19"/>
      <c r="BH607" s="19"/>
      <c r="BI607" s="19"/>
      <c r="BJ607" s="19"/>
      <c r="BK607" s="19"/>
      <c r="BL607" s="19"/>
      <c r="BM607" s="19"/>
      <c r="BN607" s="19"/>
      <c r="BO607" s="20"/>
      <c r="BP607" s="19"/>
      <c r="BQ607" s="19"/>
      <c r="BR607" s="19"/>
      <c r="BS607" s="19"/>
      <c r="BT607" s="19"/>
      <c r="BU607" s="19"/>
    </row>
    <row r="608" spans="1:73" ht="12" customHeight="1">
      <c r="A608" s="1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19"/>
      <c r="AH608" s="19"/>
      <c r="AI608" s="19"/>
      <c r="AJ608" s="20"/>
      <c r="AK608" s="19"/>
      <c r="AL608" s="19"/>
      <c r="AM608" s="19"/>
      <c r="AN608" s="19"/>
      <c r="AO608" s="19"/>
      <c r="AP608" s="19"/>
      <c r="AQ608" s="19"/>
      <c r="AR608" s="19"/>
      <c r="AS608" s="19"/>
      <c r="AT608" s="19"/>
      <c r="AU608" s="19"/>
      <c r="AV608" s="19"/>
      <c r="AW608" s="19"/>
      <c r="AX608" s="19"/>
      <c r="AY608" s="19"/>
      <c r="AZ608" s="19"/>
      <c r="BA608" s="19"/>
      <c r="BB608" s="19"/>
      <c r="BC608" s="19"/>
      <c r="BD608" s="19"/>
      <c r="BE608" s="19"/>
      <c r="BF608" s="19"/>
      <c r="BG608" s="19"/>
      <c r="BH608" s="19"/>
      <c r="BI608" s="19"/>
      <c r="BJ608" s="19"/>
      <c r="BK608" s="19"/>
      <c r="BL608" s="19"/>
      <c r="BM608" s="19"/>
      <c r="BN608" s="19"/>
      <c r="BO608" s="20"/>
      <c r="BP608" s="19"/>
      <c r="BQ608" s="19"/>
      <c r="BR608" s="19"/>
      <c r="BS608" s="19"/>
      <c r="BT608" s="19"/>
      <c r="BU608" s="19"/>
    </row>
    <row r="609" spans="1:73" ht="12" customHeight="1">
      <c r="A609" s="1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19"/>
      <c r="AH609" s="19"/>
      <c r="AI609" s="19"/>
      <c r="AJ609" s="20"/>
      <c r="AK609" s="19"/>
      <c r="AL609" s="19"/>
      <c r="AM609" s="19"/>
      <c r="AN609" s="19"/>
      <c r="AO609" s="19"/>
      <c r="AP609" s="19"/>
      <c r="AQ609" s="19"/>
      <c r="AR609" s="19"/>
      <c r="AS609" s="19"/>
      <c r="AT609" s="19"/>
      <c r="AU609" s="19"/>
      <c r="AV609" s="19"/>
      <c r="AW609" s="19"/>
      <c r="AX609" s="19"/>
      <c r="AY609" s="19"/>
      <c r="AZ609" s="19"/>
      <c r="BA609" s="19"/>
      <c r="BB609" s="19"/>
      <c r="BC609" s="19"/>
      <c r="BD609" s="19"/>
      <c r="BE609" s="19"/>
      <c r="BF609" s="19"/>
      <c r="BG609" s="19"/>
      <c r="BH609" s="19"/>
      <c r="BI609" s="19"/>
      <c r="BJ609" s="19"/>
      <c r="BK609" s="19"/>
      <c r="BL609" s="19"/>
      <c r="BM609" s="19"/>
      <c r="BN609" s="19"/>
      <c r="BO609" s="20"/>
      <c r="BP609" s="19"/>
      <c r="BQ609" s="19"/>
      <c r="BR609" s="19"/>
      <c r="BS609" s="19"/>
      <c r="BT609" s="19"/>
      <c r="BU609" s="19"/>
    </row>
    <row r="610" spans="1:73" ht="12" customHeight="1">
      <c r="A610" s="1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19"/>
      <c r="AH610" s="19"/>
      <c r="AI610" s="19"/>
      <c r="AJ610" s="20"/>
      <c r="AK610" s="19"/>
      <c r="AL610" s="19"/>
      <c r="AM610" s="19"/>
      <c r="AN610" s="19"/>
      <c r="AO610" s="19"/>
      <c r="AP610" s="19"/>
      <c r="AQ610" s="19"/>
      <c r="AR610" s="19"/>
      <c r="AS610" s="19"/>
      <c r="AT610" s="19"/>
      <c r="AU610" s="19"/>
      <c r="AV610" s="19"/>
      <c r="AW610" s="19"/>
      <c r="AX610" s="19"/>
      <c r="AY610" s="19"/>
      <c r="AZ610" s="19"/>
      <c r="BA610" s="19"/>
      <c r="BB610" s="19"/>
      <c r="BC610" s="19"/>
      <c r="BD610" s="19"/>
      <c r="BE610" s="19"/>
      <c r="BF610" s="19"/>
      <c r="BG610" s="19"/>
      <c r="BH610" s="19"/>
      <c r="BI610" s="19"/>
      <c r="BJ610" s="19"/>
      <c r="BK610" s="19"/>
      <c r="BL610" s="19"/>
      <c r="BM610" s="19"/>
      <c r="BN610" s="19"/>
      <c r="BO610" s="20"/>
      <c r="BP610" s="19"/>
      <c r="BQ610" s="19"/>
      <c r="BR610" s="19"/>
      <c r="BS610" s="19"/>
      <c r="BT610" s="19"/>
      <c r="BU610" s="19"/>
    </row>
    <row r="611" spans="1:73" ht="12" customHeight="1">
      <c r="A611" s="1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19"/>
      <c r="AH611" s="19"/>
      <c r="AI611" s="19"/>
      <c r="AJ611" s="20"/>
      <c r="AK611" s="19"/>
      <c r="AL611" s="19"/>
      <c r="AM611" s="19"/>
      <c r="AN611" s="19"/>
      <c r="AO611" s="19"/>
      <c r="AP611" s="19"/>
      <c r="AQ611" s="19"/>
      <c r="AR611" s="19"/>
      <c r="AS611" s="19"/>
      <c r="AT611" s="19"/>
      <c r="AU611" s="19"/>
      <c r="AV611" s="19"/>
      <c r="AW611" s="19"/>
      <c r="AX611" s="19"/>
      <c r="AY611" s="19"/>
      <c r="AZ611" s="19"/>
      <c r="BA611" s="19"/>
      <c r="BB611" s="19"/>
      <c r="BC611" s="19"/>
      <c r="BD611" s="19"/>
      <c r="BE611" s="19"/>
      <c r="BF611" s="19"/>
      <c r="BG611" s="19"/>
      <c r="BH611" s="19"/>
      <c r="BI611" s="19"/>
      <c r="BJ611" s="19"/>
      <c r="BK611" s="19"/>
      <c r="BL611" s="19"/>
      <c r="BM611" s="19"/>
      <c r="BN611" s="19"/>
      <c r="BO611" s="20"/>
      <c r="BP611" s="19"/>
      <c r="BQ611" s="19"/>
      <c r="BR611" s="19"/>
      <c r="BS611" s="19"/>
      <c r="BT611" s="19"/>
      <c r="BU611" s="19"/>
    </row>
    <row r="612" spans="1:73" ht="12" customHeight="1">
      <c r="A612" s="1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19"/>
      <c r="AH612" s="19"/>
      <c r="AI612" s="19"/>
      <c r="AJ612" s="20"/>
      <c r="AK612" s="19"/>
      <c r="AL612" s="19"/>
      <c r="AM612" s="19"/>
      <c r="AN612" s="19"/>
      <c r="AO612" s="19"/>
      <c r="AP612" s="19"/>
      <c r="AQ612" s="19"/>
      <c r="AR612" s="19"/>
      <c r="AS612" s="19"/>
      <c r="AT612" s="19"/>
      <c r="AU612" s="19"/>
      <c r="AV612" s="19"/>
      <c r="AW612" s="19"/>
      <c r="AX612" s="19"/>
      <c r="AY612" s="19"/>
      <c r="AZ612" s="19"/>
      <c r="BA612" s="19"/>
      <c r="BB612" s="19"/>
      <c r="BC612" s="19"/>
      <c r="BD612" s="19"/>
      <c r="BE612" s="19"/>
      <c r="BF612" s="19"/>
      <c r="BG612" s="19"/>
      <c r="BH612" s="19"/>
      <c r="BI612" s="19"/>
      <c r="BJ612" s="19"/>
      <c r="BK612" s="19"/>
      <c r="BL612" s="19"/>
      <c r="BM612" s="19"/>
      <c r="BN612" s="19"/>
      <c r="BO612" s="20"/>
      <c r="BP612" s="19"/>
      <c r="BQ612" s="19"/>
      <c r="BR612" s="19"/>
      <c r="BS612" s="19"/>
      <c r="BT612" s="19"/>
      <c r="BU612" s="19"/>
    </row>
    <row r="613" spans="1:73" ht="12" customHeight="1">
      <c r="A613" s="1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20"/>
      <c r="AK613" s="19"/>
      <c r="AL613" s="19"/>
      <c r="AM613" s="19"/>
      <c r="AN613" s="19"/>
      <c r="AO613" s="19"/>
      <c r="AP613" s="19"/>
      <c r="AQ613" s="19"/>
      <c r="AR613" s="19"/>
      <c r="AS613" s="19"/>
      <c r="AT613" s="19"/>
      <c r="AU613" s="19"/>
      <c r="AV613" s="19"/>
      <c r="AW613" s="19"/>
      <c r="AX613" s="19"/>
      <c r="AY613" s="19"/>
      <c r="AZ613" s="19"/>
      <c r="BA613" s="19"/>
      <c r="BB613" s="19"/>
      <c r="BC613" s="19"/>
      <c r="BD613" s="19"/>
      <c r="BE613" s="19"/>
      <c r="BF613" s="19"/>
      <c r="BG613" s="19"/>
      <c r="BH613" s="19"/>
      <c r="BI613" s="19"/>
      <c r="BJ613" s="19"/>
      <c r="BK613" s="19"/>
      <c r="BL613" s="19"/>
      <c r="BM613" s="19"/>
      <c r="BN613" s="19"/>
      <c r="BO613" s="20"/>
      <c r="BP613" s="19"/>
      <c r="BQ613" s="19"/>
      <c r="BR613" s="19"/>
      <c r="BS613" s="19"/>
      <c r="BT613" s="19"/>
      <c r="BU613" s="19"/>
    </row>
    <row r="614" spans="1:73" ht="12" customHeight="1">
      <c r="A614" s="1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20"/>
      <c r="AK614" s="19"/>
      <c r="AL614" s="19"/>
      <c r="AM614" s="19"/>
      <c r="AN614" s="19"/>
      <c r="AO614" s="19"/>
      <c r="AP614" s="19"/>
      <c r="AQ614" s="19"/>
      <c r="AR614" s="19"/>
      <c r="AS614" s="19"/>
      <c r="AT614" s="19"/>
      <c r="AU614" s="19"/>
      <c r="AV614" s="19"/>
      <c r="AW614" s="19"/>
      <c r="AX614" s="19"/>
      <c r="AY614" s="19"/>
      <c r="AZ614" s="19"/>
      <c r="BA614" s="19"/>
      <c r="BB614" s="19"/>
      <c r="BC614" s="19"/>
      <c r="BD614" s="19"/>
      <c r="BE614" s="19"/>
      <c r="BF614" s="19"/>
      <c r="BG614" s="19"/>
      <c r="BH614" s="19"/>
      <c r="BI614" s="19"/>
      <c r="BJ614" s="19"/>
      <c r="BK614" s="19"/>
      <c r="BL614" s="19"/>
      <c r="BM614" s="19"/>
      <c r="BN614" s="19"/>
      <c r="BO614" s="20"/>
      <c r="BP614" s="19"/>
      <c r="BQ614" s="19"/>
      <c r="BR614" s="19"/>
      <c r="BS614" s="19"/>
      <c r="BT614" s="19"/>
      <c r="BU614" s="19"/>
    </row>
    <row r="615" spans="1:73" ht="12" customHeight="1">
      <c r="A615" s="1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20"/>
      <c r="AK615" s="19"/>
      <c r="AL615" s="19"/>
      <c r="AM615" s="19"/>
      <c r="AN615" s="19"/>
      <c r="AO615" s="19"/>
      <c r="AP615" s="19"/>
      <c r="AQ615" s="19"/>
      <c r="AR615" s="19"/>
      <c r="AS615" s="19"/>
      <c r="AT615" s="19"/>
      <c r="AU615" s="19"/>
      <c r="AV615" s="19"/>
      <c r="AW615" s="19"/>
      <c r="AX615" s="19"/>
      <c r="AY615" s="19"/>
      <c r="AZ615" s="19"/>
      <c r="BA615" s="19"/>
      <c r="BB615" s="19"/>
      <c r="BC615" s="19"/>
      <c r="BD615" s="19"/>
      <c r="BE615" s="19"/>
      <c r="BF615" s="19"/>
      <c r="BG615" s="19"/>
      <c r="BH615" s="19"/>
      <c r="BI615" s="19"/>
      <c r="BJ615" s="19"/>
      <c r="BK615" s="19"/>
      <c r="BL615" s="19"/>
      <c r="BM615" s="19"/>
      <c r="BN615" s="19"/>
      <c r="BO615" s="20"/>
      <c r="BP615" s="19"/>
      <c r="BQ615" s="19"/>
      <c r="BR615" s="19"/>
      <c r="BS615" s="19"/>
      <c r="BT615" s="19"/>
      <c r="BU615" s="19"/>
    </row>
    <row r="616" spans="1:73" ht="12" customHeight="1">
      <c r="A616" s="1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20"/>
      <c r="AK616" s="19"/>
      <c r="AL616" s="19"/>
      <c r="AM616" s="19"/>
      <c r="AN616" s="19"/>
      <c r="AO616" s="19"/>
      <c r="AP616" s="19"/>
      <c r="AQ616" s="19"/>
      <c r="AR616" s="19"/>
      <c r="AS616" s="19"/>
      <c r="AT616" s="19"/>
      <c r="AU616" s="19"/>
      <c r="AV616" s="19"/>
      <c r="AW616" s="19"/>
      <c r="AX616" s="19"/>
      <c r="AY616" s="19"/>
      <c r="AZ616" s="19"/>
      <c r="BA616" s="19"/>
      <c r="BB616" s="19"/>
      <c r="BC616" s="19"/>
      <c r="BD616" s="19"/>
      <c r="BE616" s="19"/>
      <c r="BF616" s="19"/>
      <c r="BG616" s="19"/>
      <c r="BH616" s="19"/>
      <c r="BI616" s="19"/>
      <c r="BJ616" s="19"/>
      <c r="BK616" s="19"/>
      <c r="BL616" s="19"/>
      <c r="BM616" s="19"/>
      <c r="BN616" s="19"/>
      <c r="BO616" s="20"/>
      <c r="BP616" s="19"/>
      <c r="BQ616" s="19"/>
      <c r="BR616" s="19"/>
      <c r="BS616" s="19"/>
      <c r="BT616" s="19"/>
      <c r="BU616" s="19"/>
    </row>
    <row r="617" spans="1:73" ht="12" customHeight="1">
      <c r="A617" s="1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19"/>
      <c r="AH617" s="19"/>
      <c r="AI617" s="19"/>
      <c r="AJ617" s="20"/>
      <c r="AK617" s="19"/>
      <c r="AL617" s="19"/>
      <c r="AM617" s="19"/>
      <c r="AN617" s="19"/>
      <c r="AO617" s="19"/>
      <c r="AP617" s="19"/>
      <c r="AQ617" s="19"/>
      <c r="AR617" s="19"/>
      <c r="AS617" s="19"/>
      <c r="AT617" s="19"/>
      <c r="AU617" s="19"/>
      <c r="AV617" s="19"/>
      <c r="AW617" s="19"/>
      <c r="AX617" s="19"/>
      <c r="AY617" s="19"/>
      <c r="AZ617" s="19"/>
      <c r="BA617" s="19"/>
      <c r="BB617" s="19"/>
      <c r="BC617" s="19"/>
      <c r="BD617" s="19"/>
      <c r="BE617" s="19"/>
      <c r="BF617" s="19"/>
      <c r="BG617" s="19"/>
      <c r="BH617" s="19"/>
      <c r="BI617" s="19"/>
      <c r="BJ617" s="19"/>
      <c r="BK617" s="19"/>
      <c r="BL617" s="19"/>
      <c r="BM617" s="19"/>
      <c r="BN617" s="19"/>
      <c r="BO617" s="20"/>
      <c r="BP617" s="19"/>
      <c r="BQ617" s="19"/>
      <c r="BR617" s="19"/>
      <c r="BS617" s="19"/>
      <c r="BT617" s="19"/>
      <c r="BU617" s="19"/>
    </row>
    <row r="618" spans="1:73" ht="12" customHeight="1">
      <c r="A618" s="1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19"/>
      <c r="AH618" s="19"/>
      <c r="AI618" s="19"/>
      <c r="AJ618" s="20"/>
      <c r="AK618" s="19"/>
      <c r="AL618" s="19"/>
      <c r="AM618" s="19"/>
      <c r="AN618" s="19"/>
      <c r="AO618" s="19"/>
      <c r="AP618" s="19"/>
      <c r="AQ618" s="19"/>
      <c r="AR618" s="19"/>
      <c r="AS618" s="19"/>
      <c r="AT618" s="19"/>
      <c r="AU618" s="19"/>
      <c r="AV618" s="19"/>
      <c r="AW618" s="19"/>
      <c r="AX618" s="19"/>
      <c r="AY618" s="19"/>
      <c r="AZ618" s="19"/>
      <c r="BA618" s="19"/>
      <c r="BB618" s="19"/>
      <c r="BC618" s="19"/>
      <c r="BD618" s="19"/>
      <c r="BE618" s="19"/>
      <c r="BF618" s="19"/>
      <c r="BG618" s="19"/>
      <c r="BH618" s="19"/>
      <c r="BI618" s="19"/>
      <c r="BJ618" s="19"/>
      <c r="BK618" s="19"/>
      <c r="BL618" s="19"/>
      <c r="BM618" s="19"/>
      <c r="BN618" s="19"/>
      <c r="BO618" s="20"/>
      <c r="BP618" s="19"/>
      <c r="BQ618" s="19"/>
      <c r="BR618" s="19"/>
      <c r="BS618" s="19"/>
      <c r="BT618" s="19"/>
      <c r="BU618" s="19"/>
    </row>
    <row r="619" spans="1:73" ht="12" customHeight="1">
      <c r="A619" s="1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19"/>
      <c r="AH619" s="19"/>
      <c r="AI619" s="19"/>
      <c r="AJ619" s="20"/>
      <c r="AK619" s="19"/>
      <c r="AL619" s="19"/>
      <c r="AM619" s="19"/>
      <c r="AN619" s="19"/>
      <c r="AO619" s="19"/>
      <c r="AP619" s="19"/>
      <c r="AQ619" s="19"/>
      <c r="AR619" s="19"/>
      <c r="AS619" s="19"/>
      <c r="AT619" s="19"/>
      <c r="AU619" s="19"/>
      <c r="AV619" s="19"/>
      <c r="AW619" s="19"/>
      <c r="AX619" s="19"/>
      <c r="AY619" s="19"/>
      <c r="AZ619" s="19"/>
      <c r="BA619" s="19"/>
      <c r="BB619" s="19"/>
      <c r="BC619" s="19"/>
      <c r="BD619" s="19"/>
      <c r="BE619" s="19"/>
      <c r="BF619" s="19"/>
      <c r="BG619" s="19"/>
      <c r="BH619" s="19"/>
      <c r="BI619" s="19"/>
      <c r="BJ619" s="19"/>
      <c r="BK619" s="19"/>
      <c r="BL619" s="19"/>
      <c r="BM619" s="19"/>
      <c r="BN619" s="19"/>
      <c r="BO619" s="20"/>
      <c r="BP619" s="19"/>
      <c r="BQ619" s="19"/>
      <c r="BR619" s="19"/>
      <c r="BS619" s="19"/>
      <c r="BT619" s="19"/>
      <c r="BU619" s="19"/>
    </row>
    <row r="620" spans="1:73" ht="12" customHeight="1">
      <c r="A620" s="1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19"/>
      <c r="AH620" s="19"/>
      <c r="AI620" s="19"/>
      <c r="AJ620" s="20"/>
      <c r="AK620" s="19"/>
      <c r="AL620" s="19"/>
      <c r="AM620" s="19"/>
      <c r="AN620" s="19"/>
      <c r="AO620" s="19"/>
      <c r="AP620" s="19"/>
      <c r="AQ620" s="19"/>
      <c r="AR620" s="19"/>
      <c r="AS620" s="19"/>
      <c r="AT620" s="19"/>
      <c r="AU620" s="19"/>
      <c r="AV620" s="19"/>
      <c r="AW620" s="19"/>
      <c r="AX620" s="19"/>
      <c r="AY620" s="19"/>
      <c r="AZ620" s="19"/>
      <c r="BA620" s="19"/>
      <c r="BB620" s="19"/>
      <c r="BC620" s="19"/>
      <c r="BD620" s="19"/>
      <c r="BE620" s="19"/>
      <c r="BF620" s="19"/>
      <c r="BG620" s="19"/>
      <c r="BH620" s="19"/>
      <c r="BI620" s="19"/>
      <c r="BJ620" s="19"/>
      <c r="BK620" s="19"/>
      <c r="BL620" s="19"/>
      <c r="BM620" s="19"/>
      <c r="BN620" s="19"/>
      <c r="BO620" s="20"/>
      <c r="BP620" s="19"/>
      <c r="BQ620" s="19"/>
      <c r="BR620" s="19"/>
      <c r="BS620" s="19"/>
      <c r="BT620" s="19"/>
      <c r="BU620" s="19"/>
    </row>
    <row r="621" spans="1:73" ht="12" customHeight="1">
      <c r="A621" s="1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20"/>
      <c r="AK621" s="19"/>
      <c r="AL621" s="19"/>
      <c r="AM621" s="19"/>
      <c r="AN621" s="19"/>
      <c r="AO621" s="19"/>
      <c r="AP621" s="19"/>
      <c r="AQ621" s="19"/>
      <c r="AR621" s="19"/>
      <c r="AS621" s="19"/>
      <c r="AT621" s="19"/>
      <c r="AU621" s="19"/>
      <c r="AV621" s="19"/>
      <c r="AW621" s="19"/>
      <c r="AX621" s="19"/>
      <c r="AY621" s="19"/>
      <c r="AZ621" s="19"/>
      <c r="BA621" s="19"/>
      <c r="BB621" s="19"/>
      <c r="BC621" s="19"/>
      <c r="BD621" s="19"/>
      <c r="BE621" s="19"/>
      <c r="BF621" s="19"/>
      <c r="BG621" s="19"/>
      <c r="BH621" s="19"/>
      <c r="BI621" s="19"/>
      <c r="BJ621" s="19"/>
      <c r="BK621" s="19"/>
      <c r="BL621" s="19"/>
      <c r="BM621" s="19"/>
      <c r="BN621" s="19"/>
      <c r="BO621" s="20"/>
      <c r="BP621" s="19"/>
      <c r="BQ621" s="19"/>
      <c r="BR621" s="19"/>
      <c r="BS621" s="19"/>
      <c r="BT621" s="19"/>
      <c r="BU621" s="19"/>
    </row>
    <row r="622" spans="1:73" ht="12" customHeight="1">
      <c r="A622" s="1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19"/>
      <c r="AG622" s="19"/>
      <c r="AH622" s="19"/>
      <c r="AI622" s="19"/>
      <c r="AJ622" s="20"/>
      <c r="AK622" s="19"/>
      <c r="AL622" s="19"/>
      <c r="AM622" s="19"/>
      <c r="AN622" s="19"/>
      <c r="AO622" s="19"/>
      <c r="AP622" s="19"/>
      <c r="AQ622" s="19"/>
      <c r="AR622" s="19"/>
      <c r="AS622" s="19"/>
      <c r="AT622" s="19"/>
      <c r="AU622" s="19"/>
      <c r="AV622" s="19"/>
      <c r="AW622" s="19"/>
      <c r="AX622" s="19"/>
      <c r="AY622" s="19"/>
      <c r="AZ622" s="19"/>
      <c r="BA622" s="19"/>
      <c r="BB622" s="19"/>
      <c r="BC622" s="19"/>
      <c r="BD622" s="19"/>
      <c r="BE622" s="19"/>
      <c r="BF622" s="19"/>
      <c r="BG622" s="19"/>
      <c r="BH622" s="19"/>
      <c r="BI622" s="19"/>
      <c r="BJ622" s="19"/>
      <c r="BK622" s="19"/>
      <c r="BL622" s="19"/>
      <c r="BM622" s="19"/>
      <c r="BN622" s="19"/>
      <c r="BO622" s="20"/>
      <c r="BP622" s="19"/>
      <c r="BQ622" s="19"/>
      <c r="BR622" s="19"/>
      <c r="BS622" s="19"/>
      <c r="BT622" s="19"/>
      <c r="BU622" s="19"/>
    </row>
    <row r="623" spans="1:73" ht="12" customHeight="1">
      <c r="A623" s="1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20"/>
      <c r="AK623" s="19"/>
      <c r="AL623" s="19"/>
      <c r="AM623" s="19"/>
      <c r="AN623" s="19"/>
      <c r="AO623" s="19"/>
      <c r="AP623" s="19"/>
      <c r="AQ623" s="19"/>
      <c r="AR623" s="19"/>
      <c r="AS623" s="19"/>
      <c r="AT623" s="19"/>
      <c r="AU623" s="19"/>
      <c r="AV623" s="19"/>
      <c r="AW623" s="19"/>
      <c r="AX623" s="19"/>
      <c r="AY623" s="19"/>
      <c r="AZ623" s="19"/>
      <c r="BA623" s="19"/>
      <c r="BB623" s="19"/>
      <c r="BC623" s="19"/>
      <c r="BD623" s="19"/>
      <c r="BE623" s="19"/>
      <c r="BF623" s="19"/>
      <c r="BG623" s="19"/>
      <c r="BH623" s="19"/>
      <c r="BI623" s="19"/>
      <c r="BJ623" s="19"/>
      <c r="BK623" s="19"/>
      <c r="BL623" s="19"/>
      <c r="BM623" s="19"/>
      <c r="BN623" s="19"/>
      <c r="BO623" s="20"/>
      <c r="BP623" s="19"/>
      <c r="BQ623" s="19"/>
      <c r="BR623" s="19"/>
      <c r="BS623" s="19"/>
      <c r="BT623" s="19"/>
      <c r="BU623" s="19"/>
    </row>
    <row r="624" spans="1:73" ht="12" customHeight="1">
      <c r="A624" s="1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20"/>
      <c r="AK624" s="19"/>
      <c r="AL624" s="19"/>
      <c r="AM624" s="19"/>
      <c r="AN624" s="19"/>
      <c r="AO624" s="19"/>
      <c r="AP624" s="19"/>
      <c r="AQ624" s="19"/>
      <c r="AR624" s="19"/>
      <c r="AS624" s="19"/>
      <c r="AT624" s="19"/>
      <c r="AU624" s="19"/>
      <c r="AV624" s="19"/>
      <c r="AW624" s="19"/>
      <c r="AX624" s="19"/>
      <c r="AY624" s="19"/>
      <c r="AZ624" s="19"/>
      <c r="BA624" s="19"/>
      <c r="BB624" s="19"/>
      <c r="BC624" s="19"/>
      <c r="BD624" s="19"/>
      <c r="BE624" s="19"/>
      <c r="BF624" s="19"/>
      <c r="BG624" s="19"/>
      <c r="BH624" s="19"/>
      <c r="BI624" s="19"/>
      <c r="BJ624" s="19"/>
      <c r="BK624" s="19"/>
      <c r="BL624" s="19"/>
      <c r="BM624" s="19"/>
      <c r="BN624" s="19"/>
      <c r="BO624" s="20"/>
      <c r="BP624" s="19"/>
      <c r="BQ624" s="19"/>
      <c r="BR624" s="19"/>
      <c r="BS624" s="19"/>
      <c r="BT624" s="19"/>
      <c r="BU624" s="19"/>
    </row>
    <row r="625" spans="1:73" ht="12" customHeight="1">
      <c r="A625" s="1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20"/>
      <c r="AK625" s="19"/>
      <c r="AL625" s="19"/>
      <c r="AM625" s="19"/>
      <c r="AN625" s="19"/>
      <c r="AO625" s="19"/>
      <c r="AP625" s="19"/>
      <c r="AQ625" s="19"/>
      <c r="AR625" s="19"/>
      <c r="AS625" s="19"/>
      <c r="AT625" s="19"/>
      <c r="AU625" s="19"/>
      <c r="AV625" s="19"/>
      <c r="AW625" s="19"/>
      <c r="AX625" s="19"/>
      <c r="AY625" s="19"/>
      <c r="AZ625" s="19"/>
      <c r="BA625" s="19"/>
      <c r="BB625" s="19"/>
      <c r="BC625" s="19"/>
      <c r="BD625" s="19"/>
      <c r="BE625" s="19"/>
      <c r="BF625" s="19"/>
      <c r="BG625" s="19"/>
      <c r="BH625" s="19"/>
      <c r="BI625" s="19"/>
      <c r="BJ625" s="19"/>
      <c r="BK625" s="19"/>
      <c r="BL625" s="19"/>
      <c r="BM625" s="19"/>
      <c r="BN625" s="19"/>
      <c r="BO625" s="20"/>
      <c r="BP625" s="19"/>
      <c r="BQ625" s="19"/>
      <c r="BR625" s="19"/>
      <c r="BS625" s="19"/>
      <c r="BT625" s="19"/>
      <c r="BU625" s="19"/>
    </row>
    <row r="626" spans="1:73" ht="12" customHeight="1">
      <c r="A626" s="1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20"/>
      <c r="AK626" s="19"/>
      <c r="AL626" s="19"/>
      <c r="AM626" s="19"/>
      <c r="AN626" s="19"/>
      <c r="AO626" s="19"/>
      <c r="AP626" s="19"/>
      <c r="AQ626" s="19"/>
      <c r="AR626" s="19"/>
      <c r="AS626" s="19"/>
      <c r="AT626" s="19"/>
      <c r="AU626" s="19"/>
      <c r="AV626" s="19"/>
      <c r="AW626" s="19"/>
      <c r="AX626" s="19"/>
      <c r="AY626" s="19"/>
      <c r="AZ626" s="19"/>
      <c r="BA626" s="19"/>
      <c r="BB626" s="19"/>
      <c r="BC626" s="19"/>
      <c r="BD626" s="19"/>
      <c r="BE626" s="19"/>
      <c r="BF626" s="19"/>
      <c r="BG626" s="19"/>
      <c r="BH626" s="19"/>
      <c r="BI626" s="19"/>
      <c r="BJ626" s="19"/>
      <c r="BK626" s="19"/>
      <c r="BL626" s="19"/>
      <c r="BM626" s="19"/>
      <c r="BN626" s="19"/>
      <c r="BO626" s="20"/>
      <c r="BP626" s="19"/>
      <c r="BQ626" s="19"/>
      <c r="BR626" s="19"/>
      <c r="BS626" s="19"/>
      <c r="BT626" s="19"/>
      <c r="BU626" s="19"/>
    </row>
    <row r="627" spans="1:73" ht="12" customHeight="1">
      <c r="A627" s="1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19"/>
      <c r="AG627" s="19"/>
      <c r="AH627" s="19"/>
      <c r="AI627" s="19"/>
      <c r="AJ627" s="20"/>
      <c r="AK627" s="19"/>
      <c r="AL627" s="19"/>
      <c r="AM627" s="19"/>
      <c r="AN627" s="19"/>
      <c r="AO627" s="19"/>
      <c r="AP627" s="19"/>
      <c r="AQ627" s="19"/>
      <c r="AR627" s="19"/>
      <c r="AS627" s="19"/>
      <c r="AT627" s="19"/>
      <c r="AU627" s="19"/>
      <c r="AV627" s="19"/>
      <c r="AW627" s="19"/>
      <c r="AX627" s="19"/>
      <c r="AY627" s="19"/>
      <c r="AZ627" s="19"/>
      <c r="BA627" s="19"/>
      <c r="BB627" s="19"/>
      <c r="BC627" s="19"/>
      <c r="BD627" s="19"/>
      <c r="BE627" s="19"/>
      <c r="BF627" s="19"/>
      <c r="BG627" s="19"/>
      <c r="BH627" s="19"/>
      <c r="BI627" s="19"/>
      <c r="BJ627" s="19"/>
      <c r="BK627" s="19"/>
      <c r="BL627" s="19"/>
      <c r="BM627" s="19"/>
      <c r="BN627" s="19"/>
      <c r="BO627" s="20"/>
      <c r="BP627" s="19"/>
      <c r="BQ627" s="19"/>
      <c r="BR627" s="19"/>
      <c r="BS627" s="19"/>
      <c r="BT627" s="19"/>
      <c r="BU627" s="19"/>
    </row>
    <row r="628" spans="1:73" ht="12" customHeight="1">
      <c r="A628" s="1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19"/>
      <c r="AG628" s="19"/>
      <c r="AH628" s="19"/>
      <c r="AI628" s="19"/>
      <c r="AJ628" s="20"/>
      <c r="AK628" s="19"/>
      <c r="AL628" s="19"/>
      <c r="AM628" s="19"/>
      <c r="AN628" s="19"/>
      <c r="AO628" s="19"/>
      <c r="AP628" s="19"/>
      <c r="AQ628" s="19"/>
      <c r="AR628" s="19"/>
      <c r="AS628" s="19"/>
      <c r="AT628" s="19"/>
      <c r="AU628" s="19"/>
      <c r="AV628" s="19"/>
      <c r="AW628" s="19"/>
      <c r="AX628" s="19"/>
      <c r="AY628" s="19"/>
      <c r="AZ628" s="19"/>
      <c r="BA628" s="19"/>
      <c r="BB628" s="19"/>
      <c r="BC628" s="19"/>
      <c r="BD628" s="19"/>
      <c r="BE628" s="19"/>
      <c r="BF628" s="19"/>
      <c r="BG628" s="19"/>
      <c r="BH628" s="19"/>
      <c r="BI628" s="19"/>
      <c r="BJ628" s="19"/>
      <c r="BK628" s="19"/>
      <c r="BL628" s="19"/>
      <c r="BM628" s="19"/>
      <c r="BN628" s="19"/>
      <c r="BO628" s="20"/>
      <c r="BP628" s="19"/>
      <c r="BQ628" s="19"/>
      <c r="BR628" s="19"/>
      <c r="BS628" s="19"/>
      <c r="BT628" s="19"/>
      <c r="BU628" s="19"/>
    </row>
    <row r="629" spans="1:73" ht="12" customHeight="1">
      <c r="A629" s="1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19"/>
      <c r="AG629" s="19"/>
      <c r="AH629" s="19"/>
      <c r="AI629" s="19"/>
      <c r="AJ629" s="20"/>
      <c r="AK629" s="19"/>
      <c r="AL629" s="19"/>
      <c r="AM629" s="19"/>
      <c r="AN629" s="19"/>
      <c r="AO629" s="19"/>
      <c r="AP629" s="19"/>
      <c r="AQ629" s="19"/>
      <c r="AR629" s="19"/>
      <c r="AS629" s="19"/>
      <c r="AT629" s="19"/>
      <c r="AU629" s="19"/>
      <c r="AV629" s="19"/>
      <c r="AW629" s="19"/>
      <c r="AX629" s="19"/>
      <c r="AY629" s="19"/>
      <c r="AZ629" s="19"/>
      <c r="BA629" s="19"/>
      <c r="BB629" s="19"/>
      <c r="BC629" s="19"/>
      <c r="BD629" s="19"/>
      <c r="BE629" s="19"/>
      <c r="BF629" s="19"/>
      <c r="BG629" s="19"/>
      <c r="BH629" s="19"/>
      <c r="BI629" s="19"/>
      <c r="BJ629" s="19"/>
      <c r="BK629" s="19"/>
      <c r="BL629" s="19"/>
      <c r="BM629" s="19"/>
      <c r="BN629" s="19"/>
      <c r="BO629" s="20"/>
      <c r="BP629" s="19"/>
      <c r="BQ629" s="19"/>
      <c r="BR629" s="19"/>
      <c r="BS629" s="19"/>
      <c r="BT629" s="19"/>
      <c r="BU629" s="19"/>
    </row>
    <row r="630" spans="1:73" ht="12" customHeight="1">
      <c r="A630" s="1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19"/>
      <c r="AG630" s="19"/>
      <c r="AH630" s="19"/>
      <c r="AI630" s="19"/>
      <c r="AJ630" s="20"/>
      <c r="AK630" s="19"/>
      <c r="AL630" s="19"/>
      <c r="AM630" s="19"/>
      <c r="AN630" s="19"/>
      <c r="AO630" s="19"/>
      <c r="AP630" s="19"/>
      <c r="AQ630" s="19"/>
      <c r="AR630" s="19"/>
      <c r="AS630" s="19"/>
      <c r="AT630" s="19"/>
      <c r="AU630" s="19"/>
      <c r="AV630" s="19"/>
      <c r="AW630" s="19"/>
      <c r="AX630" s="19"/>
      <c r="AY630" s="19"/>
      <c r="AZ630" s="19"/>
      <c r="BA630" s="19"/>
      <c r="BB630" s="19"/>
      <c r="BC630" s="19"/>
      <c r="BD630" s="19"/>
      <c r="BE630" s="19"/>
      <c r="BF630" s="19"/>
      <c r="BG630" s="19"/>
      <c r="BH630" s="19"/>
      <c r="BI630" s="19"/>
      <c r="BJ630" s="19"/>
      <c r="BK630" s="19"/>
      <c r="BL630" s="19"/>
      <c r="BM630" s="19"/>
      <c r="BN630" s="19"/>
      <c r="BO630" s="20"/>
      <c r="BP630" s="19"/>
      <c r="BQ630" s="19"/>
      <c r="BR630" s="19"/>
      <c r="BS630" s="19"/>
      <c r="BT630" s="19"/>
      <c r="BU630" s="19"/>
    </row>
    <row r="631" spans="1:73" ht="12" customHeight="1">
      <c r="A631" s="1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19"/>
      <c r="AG631" s="19"/>
      <c r="AH631" s="19"/>
      <c r="AI631" s="19"/>
      <c r="AJ631" s="20"/>
      <c r="AK631" s="19"/>
      <c r="AL631" s="19"/>
      <c r="AM631" s="19"/>
      <c r="AN631" s="19"/>
      <c r="AO631" s="19"/>
      <c r="AP631" s="19"/>
      <c r="AQ631" s="19"/>
      <c r="AR631" s="19"/>
      <c r="AS631" s="19"/>
      <c r="AT631" s="19"/>
      <c r="AU631" s="19"/>
      <c r="AV631" s="19"/>
      <c r="AW631" s="19"/>
      <c r="AX631" s="19"/>
      <c r="AY631" s="19"/>
      <c r="AZ631" s="19"/>
      <c r="BA631" s="19"/>
      <c r="BB631" s="19"/>
      <c r="BC631" s="19"/>
      <c r="BD631" s="19"/>
      <c r="BE631" s="19"/>
      <c r="BF631" s="19"/>
      <c r="BG631" s="19"/>
      <c r="BH631" s="19"/>
      <c r="BI631" s="19"/>
      <c r="BJ631" s="19"/>
      <c r="BK631" s="19"/>
      <c r="BL631" s="19"/>
      <c r="BM631" s="19"/>
      <c r="BN631" s="19"/>
      <c r="BO631" s="20"/>
      <c r="BP631" s="19"/>
      <c r="BQ631" s="19"/>
      <c r="BR631" s="19"/>
      <c r="BS631" s="19"/>
      <c r="BT631" s="19"/>
      <c r="BU631" s="19"/>
    </row>
    <row r="632" spans="1:73" ht="12" customHeight="1">
      <c r="A632" s="1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19"/>
      <c r="AG632" s="19"/>
      <c r="AH632" s="19"/>
      <c r="AI632" s="19"/>
      <c r="AJ632" s="20"/>
      <c r="AK632" s="19"/>
      <c r="AL632" s="19"/>
      <c r="AM632" s="19"/>
      <c r="AN632" s="19"/>
      <c r="AO632" s="19"/>
      <c r="AP632" s="19"/>
      <c r="AQ632" s="19"/>
      <c r="AR632" s="19"/>
      <c r="AS632" s="19"/>
      <c r="AT632" s="19"/>
      <c r="AU632" s="19"/>
      <c r="AV632" s="19"/>
      <c r="AW632" s="19"/>
      <c r="AX632" s="19"/>
      <c r="AY632" s="19"/>
      <c r="AZ632" s="19"/>
      <c r="BA632" s="19"/>
      <c r="BB632" s="19"/>
      <c r="BC632" s="19"/>
      <c r="BD632" s="19"/>
      <c r="BE632" s="19"/>
      <c r="BF632" s="19"/>
      <c r="BG632" s="19"/>
      <c r="BH632" s="19"/>
      <c r="BI632" s="19"/>
      <c r="BJ632" s="19"/>
      <c r="BK632" s="19"/>
      <c r="BL632" s="19"/>
      <c r="BM632" s="19"/>
      <c r="BN632" s="19"/>
      <c r="BO632" s="20"/>
      <c r="BP632" s="19"/>
      <c r="BQ632" s="19"/>
      <c r="BR632" s="19"/>
      <c r="BS632" s="19"/>
      <c r="BT632" s="19"/>
      <c r="BU632" s="19"/>
    </row>
    <row r="633" spans="1:73" ht="12" customHeight="1">
      <c r="A633" s="1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20"/>
      <c r="AK633" s="19"/>
      <c r="AL633" s="19"/>
      <c r="AM633" s="19"/>
      <c r="AN633" s="19"/>
      <c r="AO633" s="19"/>
      <c r="AP633" s="19"/>
      <c r="AQ633" s="19"/>
      <c r="AR633" s="19"/>
      <c r="AS633" s="19"/>
      <c r="AT633" s="19"/>
      <c r="AU633" s="19"/>
      <c r="AV633" s="19"/>
      <c r="AW633" s="19"/>
      <c r="AX633" s="19"/>
      <c r="AY633" s="19"/>
      <c r="AZ633" s="19"/>
      <c r="BA633" s="19"/>
      <c r="BB633" s="19"/>
      <c r="BC633" s="19"/>
      <c r="BD633" s="19"/>
      <c r="BE633" s="19"/>
      <c r="BF633" s="19"/>
      <c r="BG633" s="19"/>
      <c r="BH633" s="19"/>
      <c r="BI633" s="19"/>
      <c r="BJ633" s="19"/>
      <c r="BK633" s="19"/>
      <c r="BL633" s="19"/>
      <c r="BM633" s="19"/>
      <c r="BN633" s="19"/>
      <c r="BO633" s="20"/>
      <c r="BP633" s="19"/>
      <c r="BQ633" s="19"/>
      <c r="BR633" s="19"/>
      <c r="BS633" s="19"/>
      <c r="BT633" s="19"/>
      <c r="BU633" s="19"/>
    </row>
    <row r="634" spans="1:73" ht="12" customHeight="1">
      <c r="A634" s="1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20"/>
      <c r="AK634" s="19"/>
      <c r="AL634" s="19"/>
      <c r="AM634" s="19"/>
      <c r="AN634" s="19"/>
      <c r="AO634" s="19"/>
      <c r="AP634" s="19"/>
      <c r="AQ634" s="19"/>
      <c r="AR634" s="19"/>
      <c r="AS634" s="19"/>
      <c r="AT634" s="19"/>
      <c r="AU634" s="19"/>
      <c r="AV634" s="19"/>
      <c r="AW634" s="19"/>
      <c r="AX634" s="19"/>
      <c r="AY634" s="19"/>
      <c r="AZ634" s="19"/>
      <c r="BA634" s="19"/>
      <c r="BB634" s="19"/>
      <c r="BC634" s="19"/>
      <c r="BD634" s="19"/>
      <c r="BE634" s="19"/>
      <c r="BF634" s="19"/>
      <c r="BG634" s="19"/>
      <c r="BH634" s="19"/>
      <c r="BI634" s="19"/>
      <c r="BJ634" s="19"/>
      <c r="BK634" s="19"/>
      <c r="BL634" s="19"/>
      <c r="BM634" s="19"/>
      <c r="BN634" s="19"/>
      <c r="BO634" s="20"/>
      <c r="BP634" s="19"/>
      <c r="BQ634" s="19"/>
      <c r="BR634" s="19"/>
      <c r="BS634" s="19"/>
      <c r="BT634" s="19"/>
      <c r="BU634" s="19"/>
    </row>
    <row r="635" spans="1:73" ht="12" customHeight="1">
      <c r="A635" s="1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20"/>
      <c r="AK635" s="19"/>
      <c r="AL635" s="19"/>
      <c r="AM635" s="19"/>
      <c r="AN635" s="19"/>
      <c r="AO635" s="19"/>
      <c r="AP635" s="19"/>
      <c r="AQ635" s="19"/>
      <c r="AR635" s="19"/>
      <c r="AS635" s="19"/>
      <c r="AT635" s="19"/>
      <c r="AU635" s="19"/>
      <c r="AV635" s="19"/>
      <c r="AW635" s="19"/>
      <c r="AX635" s="19"/>
      <c r="AY635" s="19"/>
      <c r="AZ635" s="19"/>
      <c r="BA635" s="19"/>
      <c r="BB635" s="19"/>
      <c r="BC635" s="19"/>
      <c r="BD635" s="19"/>
      <c r="BE635" s="19"/>
      <c r="BF635" s="19"/>
      <c r="BG635" s="19"/>
      <c r="BH635" s="19"/>
      <c r="BI635" s="19"/>
      <c r="BJ635" s="19"/>
      <c r="BK635" s="19"/>
      <c r="BL635" s="19"/>
      <c r="BM635" s="19"/>
      <c r="BN635" s="19"/>
      <c r="BO635" s="20"/>
      <c r="BP635" s="19"/>
      <c r="BQ635" s="19"/>
      <c r="BR635" s="19"/>
      <c r="BS635" s="19"/>
      <c r="BT635" s="19"/>
      <c r="BU635" s="19"/>
    </row>
    <row r="636" spans="1:73" ht="12" customHeight="1">
      <c r="A636" s="1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20"/>
      <c r="AK636" s="19"/>
      <c r="AL636" s="19"/>
      <c r="AM636" s="19"/>
      <c r="AN636" s="19"/>
      <c r="AO636" s="19"/>
      <c r="AP636" s="19"/>
      <c r="AQ636" s="19"/>
      <c r="AR636" s="19"/>
      <c r="AS636" s="19"/>
      <c r="AT636" s="19"/>
      <c r="AU636" s="19"/>
      <c r="AV636" s="19"/>
      <c r="AW636" s="19"/>
      <c r="AX636" s="19"/>
      <c r="AY636" s="19"/>
      <c r="AZ636" s="19"/>
      <c r="BA636" s="19"/>
      <c r="BB636" s="19"/>
      <c r="BC636" s="19"/>
      <c r="BD636" s="19"/>
      <c r="BE636" s="19"/>
      <c r="BF636" s="19"/>
      <c r="BG636" s="19"/>
      <c r="BH636" s="19"/>
      <c r="BI636" s="19"/>
      <c r="BJ636" s="19"/>
      <c r="BK636" s="19"/>
      <c r="BL636" s="19"/>
      <c r="BM636" s="19"/>
      <c r="BN636" s="19"/>
      <c r="BO636" s="20"/>
      <c r="BP636" s="19"/>
      <c r="BQ636" s="19"/>
      <c r="BR636" s="19"/>
      <c r="BS636" s="19"/>
      <c r="BT636" s="19"/>
      <c r="BU636" s="19"/>
    </row>
    <row r="637" spans="1:73" ht="12" customHeight="1">
      <c r="A637" s="1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19"/>
      <c r="AH637" s="19"/>
      <c r="AI637" s="19"/>
      <c r="AJ637" s="20"/>
      <c r="AK637" s="19"/>
      <c r="AL637" s="19"/>
      <c r="AM637" s="19"/>
      <c r="AN637" s="19"/>
      <c r="AO637" s="19"/>
      <c r="AP637" s="19"/>
      <c r="AQ637" s="19"/>
      <c r="AR637" s="19"/>
      <c r="AS637" s="19"/>
      <c r="AT637" s="19"/>
      <c r="AU637" s="19"/>
      <c r="AV637" s="19"/>
      <c r="AW637" s="19"/>
      <c r="AX637" s="19"/>
      <c r="AY637" s="19"/>
      <c r="AZ637" s="19"/>
      <c r="BA637" s="19"/>
      <c r="BB637" s="19"/>
      <c r="BC637" s="19"/>
      <c r="BD637" s="19"/>
      <c r="BE637" s="19"/>
      <c r="BF637" s="19"/>
      <c r="BG637" s="19"/>
      <c r="BH637" s="19"/>
      <c r="BI637" s="19"/>
      <c r="BJ637" s="19"/>
      <c r="BK637" s="19"/>
      <c r="BL637" s="19"/>
      <c r="BM637" s="19"/>
      <c r="BN637" s="19"/>
      <c r="BO637" s="20"/>
      <c r="BP637" s="19"/>
      <c r="BQ637" s="19"/>
      <c r="BR637" s="19"/>
      <c r="BS637" s="19"/>
      <c r="BT637" s="19"/>
      <c r="BU637" s="19"/>
    </row>
    <row r="638" spans="1:73" ht="12" customHeight="1">
      <c r="A638" s="1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19"/>
      <c r="AG638" s="19"/>
      <c r="AH638" s="19"/>
      <c r="AI638" s="19"/>
      <c r="AJ638" s="20"/>
      <c r="AK638" s="19"/>
      <c r="AL638" s="19"/>
      <c r="AM638" s="19"/>
      <c r="AN638" s="19"/>
      <c r="AO638" s="19"/>
      <c r="AP638" s="19"/>
      <c r="AQ638" s="19"/>
      <c r="AR638" s="19"/>
      <c r="AS638" s="19"/>
      <c r="AT638" s="19"/>
      <c r="AU638" s="19"/>
      <c r="AV638" s="19"/>
      <c r="AW638" s="19"/>
      <c r="AX638" s="19"/>
      <c r="AY638" s="19"/>
      <c r="AZ638" s="19"/>
      <c r="BA638" s="19"/>
      <c r="BB638" s="19"/>
      <c r="BC638" s="19"/>
      <c r="BD638" s="19"/>
      <c r="BE638" s="19"/>
      <c r="BF638" s="19"/>
      <c r="BG638" s="19"/>
      <c r="BH638" s="19"/>
      <c r="BI638" s="19"/>
      <c r="BJ638" s="19"/>
      <c r="BK638" s="19"/>
      <c r="BL638" s="19"/>
      <c r="BM638" s="19"/>
      <c r="BN638" s="19"/>
      <c r="BO638" s="20"/>
      <c r="BP638" s="19"/>
      <c r="BQ638" s="19"/>
      <c r="BR638" s="19"/>
      <c r="BS638" s="19"/>
      <c r="BT638" s="19"/>
      <c r="BU638" s="19"/>
    </row>
    <row r="639" spans="1:73" ht="12" customHeight="1">
      <c r="A639" s="1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19"/>
      <c r="AG639" s="19"/>
      <c r="AH639" s="19"/>
      <c r="AI639" s="19"/>
      <c r="AJ639" s="20"/>
      <c r="AK639" s="19"/>
      <c r="AL639" s="19"/>
      <c r="AM639" s="19"/>
      <c r="AN639" s="19"/>
      <c r="AO639" s="19"/>
      <c r="AP639" s="19"/>
      <c r="AQ639" s="19"/>
      <c r="AR639" s="19"/>
      <c r="AS639" s="19"/>
      <c r="AT639" s="19"/>
      <c r="AU639" s="19"/>
      <c r="AV639" s="19"/>
      <c r="AW639" s="19"/>
      <c r="AX639" s="19"/>
      <c r="AY639" s="19"/>
      <c r="AZ639" s="19"/>
      <c r="BA639" s="19"/>
      <c r="BB639" s="19"/>
      <c r="BC639" s="19"/>
      <c r="BD639" s="19"/>
      <c r="BE639" s="19"/>
      <c r="BF639" s="19"/>
      <c r="BG639" s="19"/>
      <c r="BH639" s="19"/>
      <c r="BI639" s="19"/>
      <c r="BJ639" s="19"/>
      <c r="BK639" s="19"/>
      <c r="BL639" s="19"/>
      <c r="BM639" s="19"/>
      <c r="BN639" s="19"/>
      <c r="BO639" s="20"/>
      <c r="BP639" s="19"/>
      <c r="BQ639" s="19"/>
      <c r="BR639" s="19"/>
      <c r="BS639" s="19"/>
      <c r="BT639" s="19"/>
      <c r="BU639" s="19"/>
    </row>
    <row r="640" spans="1:73" ht="12" customHeight="1">
      <c r="A640" s="1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19"/>
      <c r="AG640" s="19"/>
      <c r="AH640" s="19"/>
      <c r="AI640" s="19"/>
      <c r="AJ640" s="20"/>
      <c r="AK640" s="19"/>
      <c r="AL640" s="19"/>
      <c r="AM640" s="19"/>
      <c r="AN640" s="19"/>
      <c r="AO640" s="19"/>
      <c r="AP640" s="19"/>
      <c r="AQ640" s="19"/>
      <c r="AR640" s="19"/>
      <c r="AS640" s="19"/>
      <c r="AT640" s="19"/>
      <c r="AU640" s="19"/>
      <c r="AV640" s="19"/>
      <c r="AW640" s="19"/>
      <c r="AX640" s="19"/>
      <c r="AY640" s="19"/>
      <c r="AZ640" s="19"/>
      <c r="BA640" s="19"/>
      <c r="BB640" s="19"/>
      <c r="BC640" s="19"/>
      <c r="BD640" s="19"/>
      <c r="BE640" s="19"/>
      <c r="BF640" s="19"/>
      <c r="BG640" s="19"/>
      <c r="BH640" s="19"/>
      <c r="BI640" s="19"/>
      <c r="BJ640" s="19"/>
      <c r="BK640" s="19"/>
      <c r="BL640" s="19"/>
      <c r="BM640" s="19"/>
      <c r="BN640" s="19"/>
      <c r="BO640" s="20"/>
      <c r="BP640" s="19"/>
      <c r="BQ640" s="19"/>
      <c r="BR640" s="19"/>
      <c r="BS640" s="19"/>
      <c r="BT640" s="19"/>
      <c r="BU640" s="19"/>
    </row>
    <row r="641" spans="1:73" ht="12" customHeight="1">
      <c r="A641" s="1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19"/>
      <c r="AG641" s="19"/>
      <c r="AH641" s="19"/>
      <c r="AI641" s="19"/>
      <c r="AJ641" s="20"/>
      <c r="AK641" s="19"/>
      <c r="AL641" s="19"/>
      <c r="AM641" s="19"/>
      <c r="AN641" s="19"/>
      <c r="AO641" s="19"/>
      <c r="AP641" s="19"/>
      <c r="AQ641" s="19"/>
      <c r="AR641" s="19"/>
      <c r="AS641" s="19"/>
      <c r="AT641" s="19"/>
      <c r="AU641" s="19"/>
      <c r="AV641" s="19"/>
      <c r="AW641" s="19"/>
      <c r="AX641" s="19"/>
      <c r="AY641" s="19"/>
      <c r="AZ641" s="19"/>
      <c r="BA641" s="19"/>
      <c r="BB641" s="19"/>
      <c r="BC641" s="19"/>
      <c r="BD641" s="19"/>
      <c r="BE641" s="19"/>
      <c r="BF641" s="19"/>
      <c r="BG641" s="19"/>
      <c r="BH641" s="19"/>
      <c r="BI641" s="19"/>
      <c r="BJ641" s="19"/>
      <c r="BK641" s="19"/>
      <c r="BL641" s="19"/>
      <c r="BM641" s="19"/>
      <c r="BN641" s="19"/>
      <c r="BO641" s="20"/>
      <c r="BP641" s="19"/>
      <c r="BQ641" s="19"/>
      <c r="BR641" s="19"/>
      <c r="BS641" s="19"/>
      <c r="BT641" s="19"/>
      <c r="BU641" s="19"/>
    </row>
    <row r="642" spans="1:73" ht="12" customHeight="1">
      <c r="A642" s="1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19"/>
      <c r="AG642" s="19"/>
      <c r="AH642" s="19"/>
      <c r="AI642" s="19"/>
      <c r="AJ642" s="20"/>
      <c r="AK642" s="19"/>
      <c r="AL642" s="19"/>
      <c r="AM642" s="19"/>
      <c r="AN642" s="19"/>
      <c r="AO642" s="19"/>
      <c r="AP642" s="19"/>
      <c r="AQ642" s="19"/>
      <c r="AR642" s="19"/>
      <c r="AS642" s="19"/>
      <c r="AT642" s="19"/>
      <c r="AU642" s="19"/>
      <c r="AV642" s="19"/>
      <c r="AW642" s="19"/>
      <c r="AX642" s="19"/>
      <c r="AY642" s="19"/>
      <c r="AZ642" s="19"/>
      <c r="BA642" s="19"/>
      <c r="BB642" s="19"/>
      <c r="BC642" s="19"/>
      <c r="BD642" s="19"/>
      <c r="BE642" s="19"/>
      <c r="BF642" s="19"/>
      <c r="BG642" s="19"/>
      <c r="BH642" s="19"/>
      <c r="BI642" s="19"/>
      <c r="BJ642" s="19"/>
      <c r="BK642" s="19"/>
      <c r="BL642" s="19"/>
      <c r="BM642" s="19"/>
      <c r="BN642" s="19"/>
      <c r="BO642" s="20"/>
      <c r="BP642" s="19"/>
      <c r="BQ642" s="19"/>
      <c r="BR642" s="19"/>
      <c r="BS642" s="19"/>
      <c r="BT642" s="19"/>
      <c r="BU642" s="19"/>
    </row>
    <row r="643" spans="1:73" ht="12" customHeight="1">
      <c r="A643" s="1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20"/>
      <c r="AK643" s="19"/>
      <c r="AL643" s="19"/>
      <c r="AM643" s="19"/>
      <c r="AN643" s="19"/>
      <c r="AO643" s="19"/>
      <c r="AP643" s="19"/>
      <c r="AQ643" s="19"/>
      <c r="AR643" s="19"/>
      <c r="AS643" s="19"/>
      <c r="AT643" s="19"/>
      <c r="AU643" s="19"/>
      <c r="AV643" s="19"/>
      <c r="AW643" s="19"/>
      <c r="AX643" s="19"/>
      <c r="AY643" s="19"/>
      <c r="AZ643" s="19"/>
      <c r="BA643" s="19"/>
      <c r="BB643" s="19"/>
      <c r="BC643" s="19"/>
      <c r="BD643" s="19"/>
      <c r="BE643" s="19"/>
      <c r="BF643" s="19"/>
      <c r="BG643" s="19"/>
      <c r="BH643" s="19"/>
      <c r="BI643" s="19"/>
      <c r="BJ643" s="19"/>
      <c r="BK643" s="19"/>
      <c r="BL643" s="19"/>
      <c r="BM643" s="19"/>
      <c r="BN643" s="19"/>
      <c r="BO643" s="20"/>
      <c r="BP643" s="19"/>
      <c r="BQ643" s="19"/>
      <c r="BR643" s="19"/>
      <c r="BS643" s="19"/>
      <c r="BT643" s="19"/>
      <c r="BU643" s="19"/>
    </row>
    <row r="644" spans="1:73" ht="12" customHeight="1">
      <c r="A644" s="1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20"/>
      <c r="AK644" s="19"/>
      <c r="AL644" s="19"/>
      <c r="AM644" s="19"/>
      <c r="AN644" s="19"/>
      <c r="AO644" s="19"/>
      <c r="AP644" s="19"/>
      <c r="AQ644" s="19"/>
      <c r="AR644" s="19"/>
      <c r="AS644" s="19"/>
      <c r="AT644" s="19"/>
      <c r="AU644" s="19"/>
      <c r="AV644" s="19"/>
      <c r="AW644" s="19"/>
      <c r="AX644" s="19"/>
      <c r="AY644" s="19"/>
      <c r="AZ644" s="19"/>
      <c r="BA644" s="19"/>
      <c r="BB644" s="19"/>
      <c r="BC644" s="19"/>
      <c r="BD644" s="19"/>
      <c r="BE644" s="19"/>
      <c r="BF644" s="19"/>
      <c r="BG644" s="19"/>
      <c r="BH644" s="19"/>
      <c r="BI644" s="19"/>
      <c r="BJ644" s="19"/>
      <c r="BK644" s="19"/>
      <c r="BL644" s="19"/>
      <c r="BM644" s="19"/>
      <c r="BN644" s="19"/>
      <c r="BO644" s="20"/>
      <c r="BP644" s="19"/>
      <c r="BQ644" s="19"/>
      <c r="BR644" s="19"/>
      <c r="BS644" s="19"/>
      <c r="BT644" s="19"/>
      <c r="BU644" s="19"/>
    </row>
    <row r="645" spans="1:73" ht="12" customHeight="1">
      <c r="A645" s="1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20"/>
      <c r="AK645" s="19"/>
      <c r="AL645" s="19"/>
      <c r="AM645" s="19"/>
      <c r="AN645" s="19"/>
      <c r="AO645" s="19"/>
      <c r="AP645" s="19"/>
      <c r="AQ645" s="19"/>
      <c r="AR645" s="19"/>
      <c r="AS645" s="19"/>
      <c r="AT645" s="19"/>
      <c r="AU645" s="19"/>
      <c r="AV645" s="19"/>
      <c r="AW645" s="19"/>
      <c r="AX645" s="19"/>
      <c r="AY645" s="19"/>
      <c r="AZ645" s="19"/>
      <c r="BA645" s="19"/>
      <c r="BB645" s="19"/>
      <c r="BC645" s="19"/>
      <c r="BD645" s="19"/>
      <c r="BE645" s="19"/>
      <c r="BF645" s="19"/>
      <c r="BG645" s="19"/>
      <c r="BH645" s="19"/>
      <c r="BI645" s="19"/>
      <c r="BJ645" s="19"/>
      <c r="BK645" s="19"/>
      <c r="BL645" s="19"/>
      <c r="BM645" s="19"/>
      <c r="BN645" s="19"/>
      <c r="BO645" s="20"/>
      <c r="BP645" s="19"/>
      <c r="BQ645" s="19"/>
      <c r="BR645" s="19"/>
      <c r="BS645" s="19"/>
      <c r="BT645" s="19"/>
      <c r="BU645" s="19"/>
    </row>
    <row r="646" spans="1:73" ht="12" customHeight="1">
      <c r="A646" s="1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20"/>
      <c r="AK646" s="19"/>
      <c r="AL646" s="19"/>
      <c r="AM646" s="19"/>
      <c r="AN646" s="19"/>
      <c r="AO646" s="19"/>
      <c r="AP646" s="19"/>
      <c r="AQ646" s="19"/>
      <c r="AR646" s="19"/>
      <c r="AS646" s="19"/>
      <c r="AT646" s="19"/>
      <c r="AU646" s="19"/>
      <c r="AV646" s="19"/>
      <c r="AW646" s="19"/>
      <c r="AX646" s="19"/>
      <c r="AY646" s="19"/>
      <c r="AZ646" s="19"/>
      <c r="BA646" s="19"/>
      <c r="BB646" s="19"/>
      <c r="BC646" s="19"/>
      <c r="BD646" s="19"/>
      <c r="BE646" s="19"/>
      <c r="BF646" s="19"/>
      <c r="BG646" s="19"/>
      <c r="BH646" s="19"/>
      <c r="BI646" s="19"/>
      <c r="BJ646" s="19"/>
      <c r="BK646" s="19"/>
      <c r="BL646" s="19"/>
      <c r="BM646" s="19"/>
      <c r="BN646" s="19"/>
      <c r="BO646" s="20"/>
      <c r="BP646" s="19"/>
      <c r="BQ646" s="19"/>
      <c r="BR646" s="19"/>
      <c r="BS646" s="19"/>
      <c r="BT646" s="19"/>
      <c r="BU646" s="19"/>
    </row>
    <row r="647" spans="1:73" ht="12" customHeight="1">
      <c r="A647" s="1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19"/>
      <c r="AG647" s="19"/>
      <c r="AH647" s="19"/>
      <c r="AI647" s="19"/>
      <c r="AJ647" s="20"/>
      <c r="AK647" s="19"/>
      <c r="AL647" s="19"/>
      <c r="AM647" s="19"/>
      <c r="AN647" s="19"/>
      <c r="AO647" s="19"/>
      <c r="AP647" s="19"/>
      <c r="AQ647" s="19"/>
      <c r="AR647" s="19"/>
      <c r="AS647" s="19"/>
      <c r="AT647" s="19"/>
      <c r="AU647" s="19"/>
      <c r="AV647" s="19"/>
      <c r="AW647" s="19"/>
      <c r="AX647" s="19"/>
      <c r="AY647" s="19"/>
      <c r="AZ647" s="19"/>
      <c r="BA647" s="19"/>
      <c r="BB647" s="19"/>
      <c r="BC647" s="19"/>
      <c r="BD647" s="19"/>
      <c r="BE647" s="19"/>
      <c r="BF647" s="19"/>
      <c r="BG647" s="19"/>
      <c r="BH647" s="19"/>
      <c r="BI647" s="19"/>
      <c r="BJ647" s="19"/>
      <c r="BK647" s="19"/>
      <c r="BL647" s="19"/>
      <c r="BM647" s="19"/>
      <c r="BN647" s="19"/>
      <c r="BO647" s="20"/>
      <c r="BP647" s="19"/>
      <c r="BQ647" s="19"/>
      <c r="BR647" s="19"/>
      <c r="BS647" s="19"/>
      <c r="BT647" s="19"/>
      <c r="BU647" s="19"/>
    </row>
    <row r="648" spans="1:73" ht="12" customHeight="1">
      <c r="A648" s="1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19"/>
      <c r="AG648" s="19"/>
      <c r="AH648" s="19"/>
      <c r="AI648" s="19"/>
      <c r="AJ648" s="20"/>
      <c r="AK648" s="19"/>
      <c r="AL648" s="19"/>
      <c r="AM648" s="19"/>
      <c r="AN648" s="19"/>
      <c r="AO648" s="19"/>
      <c r="AP648" s="19"/>
      <c r="AQ648" s="19"/>
      <c r="AR648" s="19"/>
      <c r="AS648" s="19"/>
      <c r="AT648" s="19"/>
      <c r="AU648" s="19"/>
      <c r="AV648" s="19"/>
      <c r="AW648" s="19"/>
      <c r="AX648" s="19"/>
      <c r="AY648" s="19"/>
      <c r="AZ648" s="19"/>
      <c r="BA648" s="19"/>
      <c r="BB648" s="19"/>
      <c r="BC648" s="19"/>
      <c r="BD648" s="19"/>
      <c r="BE648" s="19"/>
      <c r="BF648" s="19"/>
      <c r="BG648" s="19"/>
      <c r="BH648" s="19"/>
      <c r="BI648" s="19"/>
      <c r="BJ648" s="19"/>
      <c r="BK648" s="19"/>
      <c r="BL648" s="19"/>
      <c r="BM648" s="19"/>
      <c r="BN648" s="19"/>
      <c r="BO648" s="20"/>
      <c r="BP648" s="19"/>
      <c r="BQ648" s="19"/>
      <c r="BR648" s="19"/>
      <c r="BS648" s="19"/>
      <c r="BT648" s="19"/>
      <c r="BU648" s="19"/>
    </row>
    <row r="649" spans="1:73" ht="12" customHeight="1">
      <c r="A649" s="1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19"/>
      <c r="AG649" s="19"/>
      <c r="AH649" s="19"/>
      <c r="AI649" s="19"/>
      <c r="AJ649" s="20"/>
      <c r="AK649" s="19"/>
      <c r="AL649" s="19"/>
      <c r="AM649" s="19"/>
      <c r="AN649" s="19"/>
      <c r="AO649" s="19"/>
      <c r="AP649" s="19"/>
      <c r="AQ649" s="19"/>
      <c r="AR649" s="19"/>
      <c r="AS649" s="19"/>
      <c r="AT649" s="19"/>
      <c r="AU649" s="19"/>
      <c r="AV649" s="19"/>
      <c r="AW649" s="19"/>
      <c r="AX649" s="19"/>
      <c r="AY649" s="19"/>
      <c r="AZ649" s="19"/>
      <c r="BA649" s="19"/>
      <c r="BB649" s="19"/>
      <c r="BC649" s="19"/>
      <c r="BD649" s="19"/>
      <c r="BE649" s="19"/>
      <c r="BF649" s="19"/>
      <c r="BG649" s="19"/>
      <c r="BH649" s="19"/>
      <c r="BI649" s="19"/>
      <c r="BJ649" s="19"/>
      <c r="BK649" s="19"/>
      <c r="BL649" s="19"/>
      <c r="BM649" s="19"/>
      <c r="BN649" s="19"/>
      <c r="BO649" s="20"/>
      <c r="BP649" s="19"/>
      <c r="BQ649" s="19"/>
      <c r="BR649" s="19"/>
      <c r="BS649" s="19"/>
      <c r="BT649" s="19"/>
      <c r="BU649" s="19"/>
    </row>
    <row r="650" spans="1:73" ht="12" customHeight="1">
      <c r="A650" s="1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19"/>
      <c r="AG650" s="19"/>
      <c r="AH650" s="19"/>
      <c r="AI650" s="19"/>
      <c r="AJ650" s="20"/>
      <c r="AK650" s="19"/>
      <c r="AL650" s="19"/>
      <c r="AM650" s="19"/>
      <c r="AN650" s="19"/>
      <c r="AO650" s="19"/>
      <c r="AP650" s="19"/>
      <c r="AQ650" s="19"/>
      <c r="AR650" s="19"/>
      <c r="AS650" s="19"/>
      <c r="AT650" s="19"/>
      <c r="AU650" s="19"/>
      <c r="AV650" s="19"/>
      <c r="AW650" s="19"/>
      <c r="AX650" s="19"/>
      <c r="AY650" s="19"/>
      <c r="AZ650" s="19"/>
      <c r="BA650" s="19"/>
      <c r="BB650" s="19"/>
      <c r="BC650" s="19"/>
      <c r="BD650" s="19"/>
      <c r="BE650" s="19"/>
      <c r="BF650" s="19"/>
      <c r="BG650" s="19"/>
      <c r="BH650" s="19"/>
      <c r="BI650" s="19"/>
      <c r="BJ650" s="19"/>
      <c r="BK650" s="19"/>
      <c r="BL650" s="19"/>
      <c r="BM650" s="19"/>
      <c r="BN650" s="19"/>
      <c r="BO650" s="20"/>
      <c r="BP650" s="19"/>
      <c r="BQ650" s="19"/>
      <c r="BR650" s="19"/>
      <c r="BS650" s="19"/>
      <c r="BT650" s="19"/>
      <c r="BU650" s="19"/>
    </row>
    <row r="651" spans="1:73" ht="12" customHeight="1">
      <c r="A651" s="1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19"/>
      <c r="AG651" s="19"/>
      <c r="AH651" s="19"/>
      <c r="AI651" s="19"/>
      <c r="AJ651" s="20"/>
      <c r="AK651" s="19"/>
      <c r="AL651" s="19"/>
      <c r="AM651" s="19"/>
      <c r="AN651" s="19"/>
      <c r="AO651" s="19"/>
      <c r="AP651" s="19"/>
      <c r="AQ651" s="19"/>
      <c r="AR651" s="19"/>
      <c r="AS651" s="19"/>
      <c r="AT651" s="19"/>
      <c r="AU651" s="19"/>
      <c r="AV651" s="19"/>
      <c r="AW651" s="19"/>
      <c r="AX651" s="19"/>
      <c r="AY651" s="19"/>
      <c r="AZ651" s="19"/>
      <c r="BA651" s="19"/>
      <c r="BB651" s="19"/>
      <c r="BC651" s="19"/>
      <c r="BD651" s="19"/>
      <c r="BE651" s="19"/>
      <c r="BF651" s="19"/>
      <c r="BG651" s="19"/>
      <c r="BH651" s="19"/>
      <c r="BI651" s="19"/>
      <c r="BJ651" s="19"/>
      <c r="BK651" s="19"/>
      <c r="BL651" s="19"/>
      <c r="BM651" s="19"/>
      <c r="BN651" s="19"/>
      <c r="BO651" s="20"/>
      <c r="BP651" s="19"/>
      <c r="BQ651" s="19"/>
      <c r="BR651" s="19"/>
      <c r="BS651" s="19"/>
      <c r="BT651" s="19"/>
      <c r="BU651" s="19"/>
    </row>
    <row r="652" spans="1:73" ht="12" customHeight="1">
      <c r="A652" s="1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19"/>
      <c r="AG652" s="19"/>
      <c r="AH652" s="19"/>
      <c r="AI652" s="19"/>
      <c r="AJ652" s="20"/>
      <c r="AK652" s="19"/>
      <c r="AL652" s="19"/>
      <c r="AM652" s="19"/>
      <c r="AN652" s="19"/>
      <c r="AO652" s="19"/>
      <c r="AP652" s="19"/>
      <c r="AQ652" s="19"/>
      <c r="AR652" s="19"/>
      <c r="AS652" s="19"/>
      <c r="AT652" s="19"/>
      <c r="AU652" s="19"/>
      <c r="AV652" s="19"/>
      <c r="AW652" s="19"/>
      <c r="AX652" s="19"/>
      <c r="AY652" s="19"/>
      <c r="AZ652" s="19"/>
      <c r="BA652" s="19"/>
      <c r="BB652" s="19"/>
      <c r="BC652" s="19"/>
      <c r="BD652" s="19"/>
      <c r="BE652" s="19"/>
      <c r="BF652" s="19"/>
      <c r="BG652" s="19"/>
      <c r="BH652" s="19"/>
      <c r="BI652" s="19"/>
      <c r="BJ652" s="19"/>
      <c r="BK652" s="19"/>
      <c r="BL652" s="19"/>
      <c r="BM652" s="19"/>
      <c r="BN652" s="19"/>
      <c r="BO652" s="20"/>
      <c r="BP652" s="19"/>
      <c r="BQ652" s="19"/>
      <c r="BR652" s="19"/>
      <c r="BS652" s="19"/>
      <c r="BT652" s="19"/>
      <c r="BU652" s="19"/>
    </row>
    <row r="653" spans="1:73" ht="12" customHeight="1">
      <c r="A653" s="1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20"/>
      <c r="AK653" s="19"/>
      <c r="AL653" s="19"/>
      <c r="AM653" s="19"/>
      <c r="AN653" s="19"/>
      <c r="AO653" s="19"/>
      <c r="AP653" s="19"/>
      <c r="AQ653" s="19"/>
      <c r="AR653" s="19"/>
      <c r="AS653" s="19"/>
      <c r="AT653" s="19"/>
      <c r="AU653" s="19"/>
      <c r="AV653" s="19"/>
      <c r="AW653" s="19"/>
      <c r="AX653" s="19"/>
      <c r="AY653" s="19"/>
      <c r="AZ653" s="19"/>
      <c r="BA653" s="19"/>
      <c r="BB653" s="19"/>
      <c r="BC653" s="19"/>
      <c r="BD653" s="19"/>
      <c r="BE653" s="19"/>
      <c r="BF653" s="19"/>
      <c r="BG653" s="19"/>
      <c r="BH653" s="19"/>
      <c r="BI653" s="19"/>
      <c r="BJ653" s="19"/>
      <c r="BK653" s="19"/>
      <c r="BL653" s="19"/>
      <c r="BM653" s="19"/>
      <c r="BN653" s="19"/>
      <c r="BO653" s="20"/>
      <c r="BP653" s="19"/>
      <c r="BQ653" s="19"/>
      <c r="BR653" s="19"/>
      <c r="BS653" s="19"/>
      <c r="BT653" s="19"/>
      <c r="BU653" s="19"/>
    </row>
    <row r="654" spans="1:73" ht="12" customHeight="1">
      <c r="A654" s="1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20"/>
      <c r="AK654" s="19"/>
      <c r="AL654" s="19"/>
      <c r="AM654" s="19"/>
      <c r="AN654" s="19"/>
      <c r="AO654" s="19"/>
      <c r="AP654" s="19"/>
      <c r="AQ654" s="19"/>
      <c r="AR654" s="19"/>
      <c r="AS654" s="19"/>
      <c r="AT654" s="19"/>
      <c r="AU654" s="19"/>
      <c r="AV654" s="19"/>
      <c r="AW654" s="19"/>
      <c r="AX654" s="19"/>
      <c r="AY654" s="19"/>
      <c r="AZ654" s="19"/>
      <c r="BA654" s="19"/>
      <c r="BB654" s="19"/>
      <c r="BC654" s="19"/>
      <c r="BD654" s="19"/>
      <c r="BE654" s="19"/>
      <c r="BF654" s="19"/>
      <c r="BG654" s="19"/>
      <c r="BH654" s="19"/>
      <c r="BI654" s="19"/>
      <c r="BJ654" s="19"/>
      <c r="BK654" s="19"/>
      <c r="BL654" s="19"/>
      <c r="BM654" s="19"/>
      <c r="BN654" s="19"/>
      <c r="BO654" s="20"/>
      <c r="BP654" s="19"/>
      <c r="BQ654" s="19"/>
      <c r="BR654" s="19"/>
      <c r="BS654" s="19"/>
      <c r="BT654" s="19"/>
      <c r="BU654" s="19"/>
    </row>
    <row r="655" spans="1:73" ht="12" customHeight="1">
      <c r="A655" s="1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20"/>
      <c r="AK655" s="19"/>
      <c r="AL655" s="19"/>
      <c r="AM655" s="19"/>
      <c r="AN655" s="19"/>
      <c r="AO655" s="19"/>
      <c r="AP655" s="19"/>
      <c r="AQ655" s="19"/>
      <c r="AR655" s="19"/>
      <c r="AS655" s="19"/>
      <c r="AT655" s="19"/>
      <c r="AU655" s="19"/>
      <c r="AV655" s="19"/>
      <c r="AW655" s="19"/>
      <c r="AX655" s="19"/>
      <c r="AY655" s="19"/>
      <c r="AZ655" s="19"/>
      <c r="BA655" s="19"/>
      <c r="BB655" s="19"/>
      <c r="BC655" s="19"/>
      <c r="BD655" s="19"/>
      <c r="BE655" s="19"/>
      <c r="BF655" s="19"/>
      <c r="BG655" s="19"/>
      <c r="BH655" s="19"/>
      <c r="BI655" s="19"/>
      <c r="BJ655" s="19"/>
      <c r="BK655" s="19"/>
      <c r="BL655" s="19"/>
      <c r="BM655" s="19"/>
      <c r="BN655" s="19"/>
      <c r="BO655" s="20"/>
      <c r="BP655" s="19"/>
      <c r="BQ655" s="19"/>
      <c r="BR655" s="19"/>
      <c r="BS655" s="19"/>
      <c r="BT655" s="19"/>
      <c r="BU655" s="19"/>
    </row>
    <row r="656" spans="1:73" ht="12" customHeight="1">
      <c r="A656" s="1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20"/>
      <c r="AK656" s="19"/>
      <c r="AL656" s="19"/>
      <c r="AM656" s="19"/>
      <c r="AN656" s="19"/>
      <c r="AO656" s="19"/>
      <c r="AP656" s="19"/>
      <c r="AQ656" s="19"/>
      <c r="AR656" s="19"/>
      <c r="AS656" s="19"/>
      <c r="AT656" s="19"/>
      <c r="AU656" s="19"/>
      <c r="AV656" s="19"/>
      <c r="AW656" s="19"/>
      <c r="AX656" s="19"/>
      <c r="AY656" s="19"/>
      <c r="AZ656" s="19"/>
      <c r="BA656" s="19"/>
      <c r="BB656" s="19"/>
      <c r="BC656" s="19"/>
      <c r="BD656" s="19"/>
      <c r="BE656" s="19"/>
      <c r="BF656" s="19"/>
      <c r="BG656" s="19"/>
      <c r="BH656" s="19"/>
      <c r="BI656" s="19"/>
      <c r="BJ656" s="19"/>
      <c r="BK656" s="19"/>
      <c r="BL656" s="19"/>
      <c r="BM656" s="19"/>
      <c r="BN656" s="19"/>
      <c r="BO656" s="20"/>
      <c r="BP656" s="19"/>
      <c r="BQ656" s="19"/>
      <c r="BR656" s="19"/>
      <c r="BS656" s="19"/>
      <c r="BT656" s="19"/>
      <c r="BU656" s="19"/>
    </row>
    <row r="657" spans="1:73" ht="12" customHeight="1">
      <c r="A657" s="1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19"/>
      <c r="AH657" s="19"/>
      <c r="AI657" s="19"/>
      <c r="AJ657" s="20"/>
      <c r="AK657" s="19"/>
      <c r="AL657" s="19"/>
      <c r="AM657" s="19"/>
      <c r="AN657" s="19"/>
      <c r="AO657" s="19"/>
      <c r="AP657" s="19"/>
      <c r="AQ657" s="19"/>
      <c r="AR657" s="19"/>
      <c r="AS657" s="19"/>
      <c r="AT657" s="19"/>
      <c r="AU657" s="19"/>
      <c r="AV657" s="19"/>
      <c r="AW657" s="19"/>
      <c r="AX657" s="19"/>
      <c r="AY657" s="19"/>
      <c r="AZ657" s="19"/>
      <c r="BA657" s="19"/>
      <c r="BB657" s="19"/>
      <c r="BC657" s="19"/>
      <c r="BD657" s="19"/>
      <c r="BE657" s="19"/>
      <c r="BF657" s="19"/>
      <c r="BG657" s="19"/>
      <c r="BH657" s="19"/>
      <c r="BI657" s="19"/>
      <c r="BJ657" s="19"/>
      <c r="BK657" s="19"/>
      <c r="BL657" s="19"/>
      <c r="BM657" s="19"/>
      <c r="BN657" s="19"/>
      <c r="BO657" s="20"/>
      <c r="BP657" s="19"/>
      <c r="BQ657" s="19"/>
      <c r="BR657" s="19"/>
      <c r="BS657" s="19"/>
      <c r="BT657" s="19"/>
      <c r="BU657" s="19"/>
    </row>
    <row r="658" spans="1:73" ht="12" customHeight="1">
      <c r="A658" s="1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19"/>
      <c r="AH658" s="19"/>
      <c r="AI658" s="19"/>
      <c r="AJ658" s="20"/>
      <c r="AK658" s="19"/>
      <c r="AL658" s="19"/>
      <c r="AM658" s="19"/>
      <c r="AN658" s="19"/>
      <c r="AO658" s="19"/>
      <c r="AP658" s="19"/>
      <c r="AQ658" s="19"/>
      <c r="AR658" s="19"/>
      <c r="AS658" s="19"/>
      <c r="AT658" s="19"/>
      <c r="AU658" s="19"/>
      <c r="AV658" s="19"/>
      <c r="AW658" s="19"/>
      <c r="AX658" s="19"/>
      <c r="AY658" s="19"/>
      <c r="AZ658" s="19"/>
      <c r="BA658" s="19"/>
      <c r="BB658" s="19"/>
      <c r="BC658" s="19"/>
      <c r="BD658" s="19"/>
      <c r="BE658" s="19"/>
      <c r="BF658" s="19"/>
      <c r="BG658" s="19"/>
      <c r="BH658" s="19"/>
      <c r="BI658" s="19"/>
      <c r="BJ658" s="19"/>
      <c r="BK658" s="19"/>
      <c r="BL658" s="19"/>
      <c r="BM658" s="19"/>
      <c r="BN658" s="19"/>
      <c r="BO658" s="20"/>
      <c r="BP658" s="19"/>
      <c r="BQ658" s="19"/>
      <c r="BR658" s="19"/>
      <c r="BS658" s="19"/>
      <c r="BT658" s="19"/>
      <c r="BU658" s="19"/>
    </row>
    <row r="659" spans="1:73" ht="12" customHeight="1">
      <c r="A659" s="1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19"/>
      <c r="AH659" s="19"/>
      <c r="AI659" s="19"/>
      <c r="AJ659" s="20"/>
      <c r="AK659" s="19"/>
      <c r="AL659" s="19"/>
      <c r="AM659" s="19"/>
      <c r="AN659" s="19"/>
      <c r="AO659" s="19"/>
      <c r="AP659" s="19"/>
      <c r="AQ659" s="19"/>
      <c r="AR659" s="19"/>
      <c r="AS659" s="19"/>
      <c r="AT659" s="19"/>
      <c r="AU659" s="19"/>
      <c r="AV659" s="19"/>
      <c r="AW659" s="19"/>
      <c r="AX659" s="19"/>
      <c r="AY659" s="19"/>
      <c r="AZ659" s="19"/>
      <c r="BA659" s="19"/>
      <c r="BB659" s="19"/>
      <c r="BC659" s="19"/>
      <c r="BD659" s="19"/>
      <c r="BE659" s="19"/>
      <c r="BF659" s="19"/>
      <c r="BG659" s="19"/>
      <c r="BH659" s="19"/>
      <c r="BI659" s="19"/>
      <c r="BJ659" s="19"/>
      <c r="BK659" s="19"/>
      <c r="BL659" s="19"/>
      <c r="BM659" s="19"/>
      <c r="BN659" s="19"/>
      <c r="BO659" s="20"/>
      <c r="BP659" s="19"/>
      <c r="BQ659" s="19"/>
      <c r="BR659" s="19"/>
      <c r="BS659" s="19"/>
      <c r="BT659" s="19"/>
      <c r="BU659" s="19"/>
    </row>
    <row r="660" spans="1:73" ht="12" customHeight="1">
      <c r="A660" s="1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19"/>
      <c r="AH660" s="19"/>
      <c r="AI660" s="19"/>
      <c r="AJ660" s="20"/>
      <c r="AK660" s="19"/>
      <c r="AL660" s="19"/>
      <c r="AM660" s="19"/>
      <c r="AN660" s="19"/>
      <c r="AO660" s="19"/>
      <c r="AP660" s="19"/>
      <c r="AQ660" s="19"/>
      <c r="AR660" s="19"/>
      <c r="AS660" s="19"/>
      <c r="AT660" s="19"/>
      <c r="AU660" s="19"/>
      <c r="AV660" s="19"/>
      <c r="AW660" s="19"/>
      <c r="AX660" s="19"/>
      <c r="AY660" s="19"/>
      <c r="AZ660" s="19"/>
      <c r="BA660" s="19"/>
      <c r="BB660" s="19"/>
      <c r="BC660" s="19"/>
      <c r="BD660" s="19"/>
      <c r="BE660" s="19"/>
      <c r="BF660" s="19"/>
      <c r="BG660" s="19"/>
      <c r="BH660" s="19"/>
      <c r="BI660" s="19"/>
      <c r="BJ660" s="19"/>
      <c r="BK660" s="19"/>
      <c r="BL660" s="19"/>
      <c r="BM660" s="19"/>
      <c r="BN660" s="19"/>
      <c r="BO660" s="20"/>
      <c r="BP660" s="19"/>
      <c r="BQ660" s="19"/>
      <c r="BR660" s="19"/>
      <c r="BS660" s="19"/>
      <c r="BT660" s="19"/>
      <c r="BU660" s="19"/>
    </row>
    <row r="661" spans="1:73" ht="12" customHeight="1">
      <c r="A661" s="1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19"/>
      <c r="AG661" s="19"/>
      <c r="AH661" s="19"/>
      <c r="AI661" s="19"/>
      <c r="AJ661" s="20"/>
      <c r="AK661" s="19"/>
      <c r="AL661" s="19"/>
      <c r="AM661" s="19"/>
      <c r="AN661" s="19"/>
      <c r="AO661" s="19"/>
      <c r="AP661" s="19"/>
      <c r="AQ661" s="19"/>
      <c r="AR661" s="19"/>
      <c r="AS661" s="19"/>
      <c r="AT661" s="19"/>
      <c r="AU661" s="19"/>
      <c r="AV661" s="19"/>
      <c r="AW661" s="19"/>
      <c r="AX661" s="19"/>
      <c r="AY661" s="19"/>
      <c r="AZ661" s="19"/>
      <c r="BA661" s="19"/>
      <c r="BB661" s="19"/>
      <c r="BC661" s="19"/>
      <c r="BD661" s="19"/>
      <c r="BE661" s="19"/>
      <c r="BF661" s="19"/>
      <c r="BG661" s="19"/>
      <c r="BH661" s="19"/>
      <c r="BI661" s="19"/>
      <c r="BJ661" s="19"/>
      <c r="BK661" s="19"/>
      <c r="BL661" s="19"/>
      <c r="BM661" s="19"/>
      <c r="BN661" s="19"/>
      <c r="BO661" s="20"/>
      <c r="BP661" s="19"/>
      <c r="BQ661" s="19"/>
      <c r="BR661" s="19"/>
      <c r="BS661" s="19"/>
      <c r="BT661" s="19"/>
      <c r="BU661" s="19"/>
    </row>
    <row r="662" spans="1:73" ht="12" customHeight="1">
      <c r="A662" s="1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19"/>
      <c r="AH662" s="19"/>
      <c r="AI662" s="19"/>
      <c r="AJ662" s="20"/>
      <c r="AK662" s="19"/>
      <c r="AL662" s="19"/>
      <c r="AM662" s="19"/>
      <c r="AN662" s="19"/>
      <c r="AO662" s="19"/>
      <c r="AP662" s="19"/>
      <c r="AQ662" s="19"/>
      <c r="AR662" s="19"/>
      <c r="AS662" s="19"/>
      <c r="AT662" s="19"/>
      <c r="AU662" s="19"/>
      <c r="AV662" s="19"/>
      <c r="AW662" s="19"/>
      <c r="AX662" s="19"/>
      <c r="AY662" s="19"/>
      <c r="AZ662" s="19"/>
      <c r="BA662" s="19"/>
      <c r="BB662" s="19"/>
      <c r="BC662" s="19"/>
      <c r="BD662" s="19"/>
      <c r="BE662" s="19"/>
      <c r="BF662" s="19"/>
      <c r="BG662" s="19"/>
      <c r="BH662" s="19"/>
      <c r="BI662" s="19"/>
      <c r="BJ662" s="19"/>
      <c r="BK662" s="19"/>
      <c r="BL662" s="19"/>
      <c r="BM662" s="19"/>
      <c r="BN662" s="19"/>
      <c r="BO662" s="20"/>
      <c r="BP662" s="19"/>
      <c r="BQ662" s="19"/>
      <c r="BR662" s="19"/>
      <c r="BS662" s="19"/>
      <c r="BT662" s="19"/>
      <c r="BU662" s="19"/>
    </row>
    <row r="663" spans="1:73" ht="12" customHeight="1">
      <c r="A663" s="1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20"/>
      <c r="AK663" s="19"/>
      <c r="AL663" s="19"/>
      <c r="AM663" s="19"/>
      <c r="AN663" s="19"/>
      <c r="AO663" s="19"/>
      <c r="AP663" s="19"/>
      <c r="AQ663" s="19"/>
      <c r="AR663" s="19"/>
      <c r="AS663" s="19"/>
      <c r="AT663" s="19"/>
      <c r="AU663" s="19"/>
      <c r="AV663" s="19"/>
      <c r="AW663" s="19"/>
      <c r="AX663" s="19"/>
      <c r="AY663" s="19"/>
      <c r="AZ663" s="19"/>
      <c r="BA663" s="19"/>
      <c r="BB663" s="19"/>
      <c r="BC663" s="19"/>
      <c r="BD663" s="19"/>
      <c r="BE663" s="19"/>
      <c r="BF663" s="19"/>
      <c r="BG663" s="19"/>
      <c r="BH663" s="19"/>
      <c r="BI663" s="19"/>
      <c r="BJ663" s="19"/>
      <c r="BK663" s="19"/>
      <c r="BL663" s="19"/>
      <c r="BM663" s="19"/>
      <c r="BN663" s="19"/>
      <c r="BO663" s="20"/>
      <c r="BP663" s="19"/>
      <c r="BQ663" s="19"/>
      <c r="BR663" s="19"/>
      <c r="BS663" s="19"/>
      <c r="BT663" s="19"/>
      <c r="BU663" s="19"/>
    </row>
    <row r="664" spans="1:73" ht="12" customHeight="1">
      <c r="A664" s="1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20"/>
      <c r="AK664" s="19"/>
      <c r="AL664" s="19"/>
      <c r="AM664" s="19"/>
      <c r="AN664" s="19"/>
      <c r="AO664" s="19"/>
      <c r="AP664" s="19"/>
      <c r="AQ664" s="19"/>
      <c r="AR664" s="19"/>
      <c r="AS664" s="19"/>
      <c r="AT664" s="19"/>
      <c r="AU664" s="19"/>
      <c r="AV664" s="19"/>
      <c r="AW664" s="19"/>
      <c r="AX664" s="19"/>
      <c r="AY664" s="19"/>
      <c r="AZ664" s="19"/>
      <c r="BA664" s="19"/>
      <c r="BB664" s="19"/>
      <c r="BC664" s="19"/>
      <c r="BD664" s="19"/>
      <c r="BE664" s="19"/>
      <c r="BF664" s="19"/>
      <c r="BG664" s="19"/>
      <c r="BH664" s="19"/>
      <c r="BI664" s="19"/>
      <c r="BJ664" s="19"/>
      <c r="BK664" s="19"/>
      <c r="BL664" s="19"/>
      <c r="BM664" s="19"/>
      <c r="BN664" s="19"/>
      <c r="BO664" s="20"/>
      <c r="BP664" s="19"/>
      <c r="BQ664" s="19"/>
      <c r="BR664" s="19"/>
      <c r="BS664" s="19"/>
      <c r="BT664" s="19"/>
      <c r="BU664" s="19"/>
    </row>
    <row r="665" spans="1:73" ht="12" customHeight="1">
      <c r="A665" s="1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20"/>
      <c r="AK665" s="19"/>
      <c r="AL665" s="19"/>
      <c r="AM665" s="19"/>
      <c r="AN665" s="19"/>
      <c r="AO665" s="19"/>
      <c r="AP665" s="19"/>
      <c r="AQ665" s="19"/>
      <c r="AR665" s="19"/>
      <c r="AS665" s="19"/>
      <c r="AT665" s="19"/>
      <c r="AU665" s="19"/>
      <c r="AV665" s="19"/>
      <c r="AW665" s="19"/>
      <c r="AX665" s="19"/>
      <c r="AY665" s="19"/>
      <c r="AZ665" s="19"/>
      <c r="BA665" s="19"/>
      <c r="BB665" s="19"/>
      <c r="BC665" s="19"/>
      <c r="BD665" s="19"/>
      <c r="BE665" s="19"/>
      <c r="BF665" s="19"/>
      <c r="BG665" s="19"/>
      <c r="BH665" s="19"/>
      <c r="BI665" s="19"/>
      <c r="BJ665" s="19"/>
      <c r="BK665" s="19"/>
      <c r="BL665" s="19"/>
      <c r="BM665" s="19"/>
      <c r="BN665" s="19"/>
      <c r="BO665" s="20"/>
      <c r="BP665" s="19"/>
      <c r="BQ665" s="19"/>
      <c r="BR665" s="19"/>
      <c r="BS665" s="19"/>
      <c r="BT665" s="19"/>
      <c r="BU665" s="19"/>
    </row>
    <row r="666" spans="1:73" ht="12" customHeight="1">
      <c r="A666" s="1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20"/>
      <c r="AK666" s="19"/>
      <c r="AL666" s="19"/>
      <c r="AM666" s="19"/>
      <c r="AN666" s="19"/>
      <c r="AO666" s="19"/>
      <c r="AP666" s="19"/>
      <c r="AQ666" s="19"/>
      <c r="AR666" s="19"/>
      <c r="AS666" s="19"/>
      <c r="AT666" s="19"/>
      <c r="AU666" s="19"/>
      <c r="AV666" s="19"/>
      <c r="AW666" s="19"/>
      <c r="AX666" s="19"/>
      <c r="AY666" s="19"/>
      <c r="AZ666" s="19"/>
      <c r="BA666" s="19"/>
      <c r="BB666" s="19"/>
      <c r="BC666" s="19"/>
      <c r="BD666" s="19"/>
      <c r="BE666" s="19"/>
      <c r="BF666" s="19"/>
      <c r="BG666" s="19"/>
      <c r="BH666" s="19"/>
      <c r="BI666" s="19"/>
      <c r="BJ666" s="19"/>
      <c r="BK666" s="19"/>
      <c r="BL666" s="19"/>
      <c r="BM666" s="19"/>
      <c r="BN666" s="19"/>
      <c r="BO666" s="20"/>
      <c r="BP666" s="19"/>
      <c r="BQ666" s="19"/>
      <c r="BR666" s="19"/>
      <c r="BS666" s="19"/>
      <c r="BT666" s="19"/>
      <c r="BU666" s="19"/>
    </row>
    <row r="667" spans="1:73" ht="12" customHeight="1">
      <c r="A667" s="1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19"/>
      <c r="AG667" s="19"/>
      <c r="AH667" s="19"/>
      <c r="AI667" s="19"/>
      <c r="AJ667" s="20"/>
      <c r="AK667" s="19"/>
      <c r="AL667" s="19"/>
      <c r="AM667" s="19"/>
      <c r="AN667" s="19"/>
      <c r="AO667" s="19"/>
      <c r="AP667" s="19"/>
      <c r="AQ667" s="19"/>
      <c r="AR667" s="19"/>
      <c r="AS667" s="19"/>
      <c r="AT667" s="19"/>
      <c r="AU667" s="19"/>
      <c r="AV667" s="19"/>
      <c r="AW667" s="19"/>
      <c r="AX667" s="19"/>
      <c r="AY667" s="19"/>
      <c r="AZ667" s="19"/>
      <c r="BA667" s="19"/>
      <c r="BB667" s="19"/>
      <c r="BC667" s="19"/>
      <c r="BD667" s="19"/>
      <c r="BE667" s="19"/>
      <c r="BF667" s="19"/>
      <c r="BG667" s="19"/>
      <c r="BH667" s="19"/>
      <c r="BI667" s="19"/>
      <c r="BJ667" s="19"/>
      <c r="BK667" s="19"/>
      <c r="BL667" s="19"/>
      <c r="BM667" s="19"/>
      <c r="BN667" s="19"/>
      <c r="BO667" s="20"/>
      <c r="BP667" s="19"/>
      <c r="BQ667" s="19"/>
      <c r="BR667" s="19"/>
      <c r="BS667" s="19"/>
      <c r="BT667" s="19"/>
      <c r="BU667" s="19"/>
    </row>
    <row r="668" spans="1:73" ht="12" customHeight="1">
      <c r="A668" s="1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19"/>
      <c r="AG668" s="19"/>
      <c r="AH668" s="19"/>
      <c r="AI668" s="19"/>
      <c r="AJ668" s="20"/>
      <c r="AK668" s="19"/>
      <c r="AL668" s="19"/>
      <c r="AM668" s="19"/>
      <c r="AN668" s="19"/>
      <c r="AO668" s="19"/>
      <c r="AP668" s="19"/>
      <c r="AQ668" s="19"/>
      <c r="AR668" s="19"/>
      <c r="AS668" s="19"/>
      <c r="AT668" s="19"/>
      <c r="AU668" s="19"/>
      <c r="AV668" s="19"/>
      <c r="AW668" s="19"/>
      <c r="AX668" s="19"/>
      <c r="AY668" s="19"/>
      <c r="AZ668" s="19"/>
      <c r="BA668" s="19"/>
      <c r="BB668" s="19"/>
      <c r="BC668" s="19"/>
      <c r="BD668" s="19"/>
      <c r="BE668" s="19"/>
      <c r="BF668" s="19"/>
      <c r="BG668" s="19"/>
      <c r="BH668" s="19"/>
      <c r="BI668" s="19"/>
      <c r="BJ668" s="19"/>
      <c r="BK668" s="19"/>
      <c r="BL668" s="19"/>
      <c r="BM668" s="19"/>
      <c r="BN668" s="19"/>
      <c r="BO668" s="20"/>
      <c r="BP668" s="19"/>
      <c r="BQ668" s="19"/>
      <c r="BR668" s="19"/>
      <c r="BS668" s="19"/>
      <c r="BT668" s="19"/>
      <c r="BU668" s="19"/>
    </row>
    <row r="669" spans="1:73" ht="12" customHeight="1">
      <c r="A669" s="1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19"/>
      <c r="AG669" s="19"/>
      <c r="AH669" s="19"/>
      <c r="AI669" s="19"/>
      <c r="AJ669" s="20"/>
      <c r="AK669" s="19"/>
      <c r="AL669" s="19"/>
      <c r="AM669" s="19"/>
      <c r="AN669" s="19"/>
      <c r="AO669" s="19"/>
      <c r="AP669" s="19"/>
      <c r="AQ669" s="19"/>
      <c r="AR669" s="19"/>
      <c r="AS669" s="19"/>
      <c r="AT669" s="19"/>
      <c r="AU669" s="19"/>
      <c r="AV669" s="19"/>
      <c r="AW669" s="19"/>
      <c r="AX669" s="19"/>
      <c r="AY669" s="19"/>
      <c r="AZ669" s="19"/>
      <c r="BA669" s="19"/>
      <c r="BB669" s="19"/>
      <c r="BC669" s="19"/>
      <c r="BD669" s="19"/>
      <c r="BE669" s="19"/>
      <c r="BF669" s="19"/>
      <c r="BG669" s="19"/>
      <c r="BH669" s="19"/>
      <c r="BI669" s="19"/>
      <c r="BJ669" s="19"/>
      <c r="BK669" s="19"/>
      <c r="BL669" s="19"/>
      <c r="BM669" s="19"/>
      <c r="BN669" s="19"/>
      <c r="BO669" s="20"/>
      <c r="BP669" s="19"/>
      <c r="BQ669" s="19"/>
      <c r="BR669" s="19"/>
      <c r="BS669" s="19"/>
      <c r="BT669" s="19"/>
      <c r="BU669" s="19"/>
    </row>
    <row r="670" spans="1:73" ht="12" customHeight="1">
      <c r="A670" s="1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19"/>
      <c r="AG670" s="19"/>
      <c r="AH670" s="19"/>
      <c r="AI670" s="19"/>
      <c r="AJ670" s="20"/>
      <c r="AK670" s="19"/>
      <c r="AL670" s="19"/>
      <c r="AM670" s="19"/>
      <c r="AN670" s="19"/>
      <c r="AO670" s="19"/>
      <c r="AP670" s="19"/>
      <c r="AQ670" s="19"/>
      <c r="AR670" s="19"/>
      <c r="AS670" s="19"/>
      <c r="AT670" s="19"/>
      <c r="AU670" s="19"/>
      <c r="AV670" s="19"/>
      <c r="AW670" s="19"/>
      <c r="AX670" s="19"/>
      <c r="AY670" s="19"/>
      <c r="AZ670" s="19"/>
      <c r="BA670" s="19"/>
      <c r="BB670" s="19"/>
      <c r="BC670" s="19"/>
      <c r="BD670" s="19"/>
      <c r="BE670" s="19"/>
      <c r="BF670" s="19"/>
      <c r="BG670" s="19"/>
      <c r="BH670" s="19"/>
      <c r="BI670" s="19"/>
      <c r="BJ670" s="19"/>
      <c r="BK670" s="19"/>
      <c r="BL670" s="19"/>
      <c r="BM670" s="19"/>
      <c r="BN670" s="19"/>
      <c r="BO670" s="20"/>
      <c r="BP670" s="19"/>
      <c r="BQ670" s="19"/>
      <c r="BR670" s="19"/>
      <c r="BS670" s="19"/>
      <c r="BT670" s="19"/>
      <c r="BU670" s="19"/>
    </row>
    <row r="671" spans="1:73" ht="12" customHeight="1">
      <c r="A671" s="1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19"/>
      <c r="AG671" s="19"/>
      <c r="AH671" s="19"/>
      <c r="AI671" s="19"/>
      <c r="AJ671" s="20"/>
      <c r="AK671" s="19"/>
      <c r="AL671" s="19"/>
      <c r="AM671" s="19"/>
      <c r="AN671" s="19"/>
      <c r="AO671" s="19"/>
      <c r="AP671" s="19"/>
      <c r="AQ671" s="19"/>
      <c r="AR671" s="19"/>
      <c r="AS671" s="19"/>
      <c r="AT671" s="19"/>
      <c r="AU671" s="19"/>
      <c r="AV671" s="19"/>
      <c r="AW671" s="19"/>
      <c r="AX671" s="19"/>
      <c r="AY671" s="19"/>
      <c r="AZ671" s="19"/>
      <c r="BA671" s="19"/>
      <c r="BB671" s="19"/>
      <c r="BC671" s="19"/>
      <c r="BD671" s="19"/>
      <c r="BE671" s="19"/>
      <c r="BF671" s="19"/>
      <c r="BG671" s="19"/>
      <c r="BH671" s="19"/>
      <c r="BI671" s="19"/>
      <c r="BJ671" s="19"/>
      <c r="BK671" s="19"/>
      <c r="BL671" s="19"/>
      <c r="BM671" s="19"/>
      <c r="BN671" s="19"/>
      <c r="BO671" s="20"/>
      <c r="BP671" s="19"/>
      <c r="BQ671" s="19"/>
      <c r="BR671" s="19"/>
      <c r="BS671" s="19"/>
      <c r="BT671" s="19"/>
      <c r="BU671" s="19"/>
    </row>
    <row r="672" spans="1:73" ht="12" customHeight="1">
      <c r="A672" s="1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19"/>
      <c r="AG672" s="19"/>
      <c r="AH672" s="19"/>
      <c r="AI672" s="19"/>
      <c r="AJ672" s="20"/>
      <c r="AK672" s="19"/>
      <c r="AL672" s="19"/>
      <c r="AM672" s="19"/>
      <c r="AN672" s="19"/>
      <c r="AO672" s="19"/>
      <c r="AP672" s="19"/>
      <c r="AQ672" s="19"/>
      <c r="AR672" s="19"/>
      <c r="AS672" s="19"/>
      <c r="AT672" s="19"/>
      <c r="AU672" s="19"/>
      <c r="AV672" s="19"/>
      <c r="AW672" s="19"/>
      <c r="AX672" s="19"/>
      <c r="AY672" s="19"/>
      <c r="AZ672" s="19"/>
      <c r="BA672" s="19"/>
      <c r="BB672" s="19"/>
      <c r="BC672" s="19"/>
      <c r="BD672" s="19"/>
      <c r="BE672" s="19"/>
      <c r="BF672" s="19"/>
      <c r="BG672" s="19"/>
      <c r="BH672" s="19"/>
      <c r="BI672" s="19"/>
      <c r="BJ672" s="19"/>
      <c r="BK672" s="19"/>
      <c r="BL672" s="19"/>
      <c r="BM672" s="19"/>
      <c r="BN672" s="19"/>
      <c r="BO672" s="20"/>
      <c r="BP672" s="19"/>
      <c r="BQ672" s="19"/>
      <c r="BR672" s="19"/>
      <c r="BS672" s="19"/>
      <c r="BT672" s="19"/>
      <c r="BU672" s="19"/>
    </row>
    <row r="673" spans="1:73" ht="12" customHeight="1">
      <c r="A673" s="1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20"/>
      <c r="AK673" s="19"/>
      <c r="AL673" s="19"/>
      <c r="AM673" s="19"/>
      <c r="AN673" s="19"/>
      <c r="AO673" s="19"/>
      <c r="AP673" s="19"/>
      <c r="AQ673" s="19"/>
      <c r="AR673" s="19"/>
      <c r="AS673" s="19"/>
      <c r="AT673" s="19"/>
      <c r="AU673" s="19"/>
      <c r="AV673" s="19"/>
      <c r="AW673" s="19"/>
      <c r="AX673" s="19"/>
      <c r="AY673" s="19"/>
      <c r="AZ673" s="19"/>
      <c r="BA673" s="19"/>
      <c r="BB673" s="19"/>
      <c r="BC673" s="19"/>
      <c r="BD673" s="19"/>
      <c r="BE673" s="19"/>
      <c r="BF673" s="19"/>
      <c r="BG673" s="19"/>
      <c r="BH673" s="19"/>
      <c r="BI673" s="19"/>
      <c r="BJ673" s="19"/>
      <c r="BK673" s="19"/>
      <c r="BL673" s="19"/>
      <c r="BM673" s="19"/>
      <c r="BN673" s="19"/>
      <c r="BO673" s="20"/>
      <c r="BP673" s="19"/>
      <c r="BQ673" s="19"/>
      <c r="BR673" s="19"/>
      <c r="BS673" s="19"/>
      <c r="BT673" s="19"/>
      <c r="BU673" s="19"/>
    </row>
    <row r="674" spans="1:73" ht="12" customHeight="1">
      <c r="A674" s="1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20"/>
      <c r="AK674" s="19"/>
      <c r="AL674" s="19"/>
      <c r="AM674" s="19"/>
      <c r="AN674" s="19"/>
      <c r="AO674" s="19"/>
      <c r="AP674" s="19"/>
      <c r="AQ674" s="19"/>
      <c r="AR674" s="19"/>
      <c r="AS674" s="19"/>
      <c r="AT674" s="19"/>
      <c r="AU674" s="19"/>
      <c r="AV674" s="19"/>
      <c r="AW674" s="19"/>
      <c r="AX674" s="19"/>
      <c r="AY674" s="19"/>
      <c r="AZ674" s="19"/>
      <c r="BA674" s="19"/>
      <c r="BB674" s="19"/>
      <c r="BC674" s="19"/>
      <c r="BD674" s="19"/>
      <c r="BE674" s="19"/>
      <c r="BF674" s="19"/>
      <c r="BG674" s="19"/>
      <c r="BH674" s="19"/>
      <c r="BI674" s="19"/>
      <c r="BJ674" s="19"/>
      <c r="BK674" s="19"/>
      <c r="BL674" s="19"/>
      <c r="BM674" s="19"/>
      <c r="BN674" s="19"/>
      <c r="BO674" s="20"/>
      <c r="BP674" s="19"/>
      <c r="BQ674" s="19"/>
      <c r="BR674" s="19"/>
      <c r="BS674" s="19"/>
      <c r="BT674" s="19"/>
      <c r="BU674" s="19"/>
    </row>
    <row r="675" spans="1:73" ht="12" customHeight="1">
      <c r="A675" s="1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20"/>
      <c r="AK675" s="19"/>
      <c r="AL675" s="19"/>
      <c r="AM675" s="19"/>
      <c r="AN675" s="19"/>
      <c r="AO675" s="19"/>
      <c r="AP675" s="19"/>
      <c r="AQ675" s="19"/>
      <c r="AR675" s="19"/>
      <c r="AS675" s="19"/>
      <c r="AT675" s="19"/>
      <c r="AU675" s="19"/>
      <c r="AV675" s="19"/>
      <c r="AW675" s="19"/>
      <c r="AX675" s="19"/>
      <c r="AY675" s="19"/>
      <c r="AZ675" s="19"/>
      <c r="BA675" s="19"/>
      <c r="BB675" s="19"/>
      <c r="BC675" s="19"/>
      <c r="BD675" s="19"/>
      <c r="BE675" s="19"/>
      <c r="BF675" s="19"/>
      <c r="BG675" s="19"/>
      <c r="BH675" s="19"/>
      <c r="BI675" s="19"/>
      <c r="BJ675" s="19"/>
      <c r="BK675" s="19"/>
      <c r="BL675" s="19"/>
      <c r="BM675" s="19"/>
      <c r="BN675" s="19"/>
      <c r="BO675" s="20"/>
      <c r="BP675" s="19"/>
      <c r="BQ675" s="19"/>
      <c r="BR675" s="19"/>
      <c r="BS675" s="19"/>
      <c r="BT675" s="19"/>
      <c r="BU675" s="19"/>
    </row>
    <row r="676" spans="1:73" ht="12" customHeight="1">
      <c r="A676" s="1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20"/>
      <c r="AK676" s="19"/>
      <c r="AL676" s="19"/>
      <c r="AM676" s="19"/>
      <c r="AN676" s="19"/>
      <c r="AO676" s="19"/>
      <c r="AP676" s="19"/>
      <c r="AQ676" s="19"/>
      <c r="AR676" s="19"/>
      <c r="AS676" s="19"/>
      <c r="AT676" s="19"/>
      <c r="AU676" s="19"/>
      <c r="AV676" s="19"/>
      <c r="AW676" s="19"/>
      <c r="AX676" s="19"/>
      <c r="AY676" s="19"/>
      <c r="AZ676" s="19"/>
      <c r="BA676" s="19"/>
      <c r="BB676" s="19"/>
      <c r="BC676" s="19"/>
      <c r="BD676" s="19"/>
      <c r="BE676" s="19"/>
      <c r="BF676" s="19"/>
      <c r="BG676" s="19"/>
      <c r="BH676" s="19"/>
      <c r="BI676" s="19"/>
      <c r="BJ676" s="19"/>
      <c r="BK676" s="19"/>
      <c r="BL676" s="19"/>
      <c r="BM676" s="19"/>
      <c r="BN676" s="19"/>
      <c r="BO676" s="20"/>
      <c r="BP676" s="19"/>
      <c r="BQ676" s="19"/>
      <c r="BR676" s="19"/>
      <c r="BS676" s="19"/>
      <c r="BT676" s="19"/>
      <c r="BU676" s="19"/>
    </row>
    <row r="677" spans="1:73" ht="12" customHeight="1">
      <c r="A677" s="1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19"/>
      <c r="AG677" s="19"/>
      <c r="AH677" s="19"/>
      <c r="AI677" s="19"/>
      <c r="AJ677" s="20"/>
      <c r="AK677" s="19"/>
      <c r="AL677" s="19"/>
      <c r="AM677" s="19"/>
      <c r="AN677" s="19"/>
      <c r="AO677" s="19"/>
      <c r="AP677" s="19"/>
      <c r="AQ677" s="19"/>
      <c r="AR677" s="19"/>
      <c r="AS677" s="19"/>
      <c r="AT677" s="19"/>
      <c r="AU677" s="19"/>
      <c r="AV677" s="19"/>
      <c r="AW677" s="19"/>
      <c r="AX677" s="19"/>
      <c r="AY677" s="19"/>
      <c r="AZ677" s="19"/>
      <c r="BA677" s="19"/>
      <c r="BB677" s="19"/>
      <c r="BC677" s="19"/>
      <c r="BD677" s="19"/>
      <c r="BE677" s="19"/>
      <c r="BF677" s="19"/>
      <c r="BG677" s="19"/>
      <c r="BH677" s="19"/>
      <c r="BI677" s="19"/>
      <c r="BJ677" s="19"/>
      <c r="BK677" s="19"/>
      <c r="BL677" s="19"/>
      <c r="BM677" s="19"/>
      <c r="BN677" s="19"/>
      <c r="BO677" s="20"/>
      <c r="BP677" s="19"/>
      <c r="BQ677" s="19"/>
      <c r="BR677" s="19"/>
      <c r="BS677" s="19"/>
      <c r="BT677" s="19"/>
      <c r="BU677" s="19"/>
    </row>
    <row r="678" spans="1:73" ht="12" customHeight="1">
      <c r="A678" s="1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19"/>
      <c r="AG678" s="19"/>
      <c r="AH678" s="19"/>
      <c r="AI678" s="19"/>
      <c r="AJ678" s="20"/>
      <c r="AK678" s="19"/>
      <c r="AL678" s="19"/>
      <c r="AM678" s="19"/>
      <c r="AN678" s="19"/>
      <c r="AO678" s="19"/>
      <c r="AP678" s="19"/>
      <c r="AQ678" s="19"/>
      <c r="AR678" s="19"/>
      <c r="AS678" s="19"/>
      <c r="AT678" s="19"/>
      <c r="AU678" s="19"/>
      <c r="AV678" s="19"/>
      <c r="AW678" s="19"/>
      <c r="AX678" s="19"/>
      <c r="AY678" s="19"/>
      <c r="AZ678" s="19"/>
      <c r="BA678" s="19"/>
      <c r="BB678" s="19"/>
      <c r="BC678" s="19"/>
      <c r="BD678" s="19"/>
      <c r="BE678" s="19"/>
      <c r="BF678" s="19"/>
      <c r="BG678" s="19"/>
      <c r="BH678" s="19"/>
      <c r="BI678" s="19"/>
      <c r="BJ678" s="19"/>
      <c r="BK678" s="19"/>
      <c r="BL678" s="19"/>
      <c r="BM678" s="19"/>
      <c r="BN678" s="19"/>
      <c r="BO678" s="20"/>
      <c r="BP678" s="19"/>
      <c r="BQ678" s="19"/>
      <c r="BR678" s="19"/>
      <c r="BS678" s="19"/>
      <c r="BT678" s="19"/>
      <c r="BU678" s="19"/>
    </row>
    <row r="679" spans="1:73" ht="12" customHeight="1">
      <c r="A679" s="1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19"/>
      <c r="AG679" s="19"/>
      <c r="AH679" s="19"/>
      <c r="AI679" s="19"/>
      <c r="AJ679" s="20"/>
      <c r="AK679" s="19"/>
      <c r="AL679" s="19"/>
      <c r="AM679" s="19"/>
      <c r="AN679" s="19"/>
      <c r="AO679" s="19"/>
      <c r="AP679" s="19"/>
      <c r="AQ679" s="19"/>
      <c r="AR679" s="19"/>
      <c r="AS679" s="19"/>
      <c r="AT679" s="19"/>
      <c r="AU679" s="19"/>
      <c r="AV679" s="19"/>
      <c r="AW679" s="19"/>
      <c r="AX679" s="19"/>
      <c r="AY679" s="19"/>
      <c r="AZ679" s="19"/>
      <c r="BA679" s="19"/>
      <c r="BB679" s="19"/>
      <c r="BC679" s="19"/>
      <c r="BD679" s="19"/>
      <c r="BE679" s="19"/>
      <c r="BF679" s="19"/>
      <c r="BG679" s="19"/>
      <c r="BH679" s="19"/>
      <c r="BI679" s="19"/>
      <c r="BJ679" s="19"/>
      <c r="BK679" s="19"/>
      <c r="BL679" s="19"/>
      <c r="BM679" s="19"/>
      <c r="BN679" s="19"/>
      <c r="BO679" s="20"/>
      <c r="BP679" s="19"/>
      <c r="BQ679" s="19"/>
      <c r="BR679" s="19"/>
      <c r="BS679" s="19"/>
      <c r="BT679" s="19"/>
      <c r="BU679" s="19"/>
    </row>
    <row r="680" spans="1:73" ht="12" customHeight="1">
      <c r="A680" s="1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19"/>
      <c r="AG680" s="19"/>
      <c r="AH680" s="19"/>
      <c r="AI680" s="19"/>
      <c r="AJ680" s="20"/>
      <c r="AK680" s="19"/>
      <c r="AL680" s="19"/>
      <c r="AM680" s="19"/>
      <c r="AN680" s="19"/>
      <c r="AO680" s="19"/>
      <c r="AP680" s="19"/>
      <c r="AQ680" s="19"/>
      <c r="AR680" s="19"/>
      <c r="AS680" s="19"/>
      <c r="AT680" s="19"/>
      <c r="AU680" s="19"/>
      <c r="AV680" s="19"/>
      <c r="AW680" s="19"/>
      <c r="AX680" s="19"/>
      <c r="AY680" s="19"/>
      <c r="AZ680" s="19"/>
      <c r="BA680" s="19"/>
      <c r="BB680" s="19"/>
      <c r="BC680" s="19"/>
      <c r="BD680" s="19"/>
      <c r="BE680" s="19"/>
      <c r="BF680" s="19"/>
      <c r="BG680" s="19"/>
      <c r="BH680" s="19"/>
      <c r="BI680" s="19"/>
      <c r="BJ680" s="19"/>
      <c r="BK680" s="19"/>
      <c r="BL680" s="19"/>
      <c r="BM680" s="19"/>
      <c r="BN680" s="19"/>
      <c r="BO680" s="20"/>
      <c r="BP680" s="19"/>
      <c r="BQ680" s="19"/>
      <c r="BR680" s="19"/>
      <c r="BS680" s="19"/>
      <c r="BT680" s="19"/>
      <c r="BU680" s="19"/>
    </row>
    <row r="681" spans="1:73" ht="12" customHeight="1">
      <c r="A681" s="1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19"/>
      <c r="AH681" s="19"/>
      <c r="AI681" s="19"/>
      <c r="AJ681" s="20"/>
      <c r="AK681" s="19"/>
      <c r="AL681" s="19"/>
      <c r="AM681" s="19"/>
      <c r="AN681" s="19"/>
      <c r="AO681" s="19"/>
      <c r="AP681" s="19"/>
      <c r="AQ681" s="19"/>
      <c r="AR681" s="19"/>
      <c r="AS681" s="19"/>
      <c r="AT681" s="19"/>
      <c r="AU681" s="19"/>
      <c r="AV681" s="19"/>
      <c r="AW681" s="19"/>
      <c r="AX681" s="19"/>
      <c r="AY681" s="19"/>
      <c r="AZ681" s="19"/>
      <c r="BA681" s="19"/>
      <c r="BB681" s="19"/>
      <c r="BC681" s="19"/>
      <c r="BD681" s="19"/>
      <c r="BE681" s="19"/>
      <c r="BF681" s="19"/>
      <c r="BG681" s="19"/>
      <c r="BH681" s="19"/>
      <c r="BI681" s="19"/>
      <c r="BJ681" s="19"/>
      <c r="BK681" s="19"/>
      <c r="BL681" s="19"/>
      <c r="BM681" s="19"/>
      <c r="BN681" s="19"/>
      <c r="BO681" s="20"/>
      <c r="BP681" s="19"/>
      <c r="BQ681" s="19"/>
      <c r="BR681" s="19"/>
      <c r="BS681" s="19"/>
      <c r="BT681" s="19"/>
      <c r="BU681" s="19"/>
    </row>
    <row r="682" spans="1:73" ht="12" customHeight="1">
      <c r="A682" s="1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19"/>
      <c r="AG682" s="19"/>
      <c r="AH682" s="19"/>
      <c r="AI682" s="19"/>
      <c r="AJ682" s="20"/>
      <c r="AK682" s="19"/>
      <c r="AL682" s="19"/>
      <c r="AM682" s="19"/>
      <c r="AN682" s="19"/>
      <c r="AO682" s="19"/>
      <c r="AP682" s="19"/>
      <c r="AQ682" s="19"/>
      <c r="AR682" s="19"/>
      <c r="AS682" s="19"/>
      <c r="AT682" s="19"/>
      <c r="AU682" s="19"/>
      <c r="AV682" s="19"/>
      <c r="AW682" s="19"/>
      <c r="AX682" s="19"/>
      <c r="AY682" s="19"/>
      <c r="AZ682" s="19"/>
      <c r="BA682" s="19"/>
      <c r="BB682" s="19"/>
      <c r="BC682" s="19"/>
      <c r="BD682" s="19"/>
      <c r="BE682" s="19"/>
      <c r="BF682" s="19"/>
      <c r="BG682" s="19"/>
      <c r="BH682" s="19"/>
      <c r="BI682" s="19"/>
      <c r="BJ682" s="19"/>
      <c r="BK682" s="19"/>
      <c r="BL682" s="19"/>
      <c r="BM682" s="19"/>
      <c r="BN682" s="19"/>
      <c r="BO682" s="20"/>
      <c r="BP682" s="19"/>
      <c r="BQ682" s="19"/>
      <c r="BR682" s="19"/>
      <c r="BS682" s="19"/>
      <c r="BT682" s="19"/>
      <c r="BU682" s="19"/>
    </row>
    <row r="683" spans="1:73" ht="12" customHeight="1">
      <c r="A683" s="1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20"/>
      <c r="AK683" s="19"/>
      <c r="AL683" s="19"/>
      <c r="AM683" s="19"/>
      <c r="AN683" s="19"/>
      <c r="AO683" s="19"/>
      <c r="AP683" s="19"/>
      <c r="AQ683" s="19"/>
      <c r="AR683" s="19"/>
      <c r="AS683" s="19"/>
      <c r="AT683" s="19"/>
      <c r="AU683" s="19"/>
      <c r="AV683" s="19"/>
      <c r="AW683" s="19"/>
      <c r="AX683" s="19"/>
      <c r="AY683" s="19"/>
      <c r="AZ683" s="19"/>
      <c r="BA683" s="19"/>
      <c r="BB683" s="19"/>
      <c r="BC683" s="19"/>
      <c r="BD683" s="19"/>
      <c r="BE683" s="19"/>
      <c r="BF683" s="19"/>
      <c r="BG683" s="19"/>
      <c r="BH683" s="19"/>
      <c r="BI683" s="19"/>
      <c r="BJ683" s="19"/>
      <c r="BK683" s="19"/>
      <c r="BL683" s="19"/>
      <c r="BM683" s="19"/>
      <c r="BN683" s="19"/>
      <c r="BO683" s="20"/>
      <c r="BP683" s="19"/>
      <c r="BQ683" s="19"/>
      <c r="BR683" s="19"/>
      <c r="BS683" s="19"/>
      <c r="BT683" s="19"/>
      <c r="BU683" s="19"/>
    </row>
    <row r="684" spans="1:73" ht="12" customHeight="1">
      <c r="A684" s="1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20"/>
      <c r="AK684" s="19"/>
      <c r="AL684" s="19"/>
      <c r="AM684" s="19"/>
      <c r="AN684" s="19"/>
      <c r="AO684" s="19"/>
      <c r="AP684" s="19"/>
      <c r="AQ684" s="19"/>
      <c r="AR684" s="19"/>
      <c r="AS684" s="19"/>
      <c r="AT684" s="19"/>
      <c r="AU684" s="19"/>
      <c r="AV684" s="19"/>
      <c r="AW684" s="19"/>
      <c r="AX684" s="19"/>
      <c r="AY684" s="19"/>
      <c r="AZ684" s="19"/>
      <c r="BA684" s="19"/>
      <c r="BB684" s="19"/>
      <c r="BC684" s="19"/>
      <c r="BD684" s="19"/>
      <c r="BE684" s="19"/>
      <c r="BF684" s="19"/>
      <c r="BG684" s="19"/>
      <c r="BH684" s="19"/>
      <c r="BI684" s="19"/>
      <c r="BJ684" s="19"/>
      <c r="BK684" s="19"/>
      <c r="BL684" s="19"/>
      <c r="BM684" s="19"/>
      <c r="BN684" s="19"/>
      <c r="BO684" s="20"/>
      <c r="BP684" s="19"/>
      <c r="BQ684" s="19"/>
      <c r="BR684" s="19"/>
      <c r="BS684" s="19"/>
      <c r="BT684" s="19"/>
      <c r="BU684" s="19"/>
    </row>
    <row r="685" spans="1:73" ht="12" customHeight="1">
      <c r="A685" s="1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20"/>
      <c r="AK685" s="19"/>
      <c r="AL685" s="19"/>
      <c r="AM685" s="19"/>
      <c r="AN685" s="19"/>
      <c r="AO685" s="19"/>
      <c r="AP685" s="19"/>
      <c r="AQ685" s="19"/>
      <c r="AR685" s="19"/>
      <c r="AS685" s="19"/>
      <c r="AT685" s="19"/>
      <c r="AU685" s="19"/>
      <c r="AV685" s="19"/>
      <c r="AW685" s="19"/>
      <c r="AX685" s="19"/>
      <c r="AY685" s="19"/>
      <c r="AZ685" s="19"/>
      <c r="BA685" s="19"/>
      <c r="BB685" s="19"/>
      <c r="BC685" s="19"/>
      <c r="BD685" s="19"/>
      <c r="BE685" s="19"/>
      <c r="BF685" s="19"/>
      <c r="BG685" s="19"/>
      <c r="BH685" s="19"/>
      <c r="BI685" s="19"/>
      <c r="BJ685" s="19"/>
      <c r="BK685" s="19"/>
      <c r="BL685" s="19"/>
      <c r="BM685" s="19"/>
      <c r="BN685" s="19"/>
      <c r="BO685" s="20"/>
      <c r="BP685" s="19"/>
      <c r="BQ685" s="19"/>
      <c r="BR685" s="19"/>
      <c r="BS685" s="19"/>
      <c r="BT685" s="19"/>
      <c r="BU685" s="19"/>
    </row>
    <row r="686" spans="1:73" ht="12" customHeight="1">
      <c r="A686" s="1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20"/>
      <c r="AK686" s="19"/>
      <c r="AL686" s="19"/>
      <c r="AM686" s="19"/>
      <c r="AN686" s="19"/>
      <c r="AO686" s="19"/>
      <c r="AP686" s="19"/>
      <c r="AQ686" s="19"/>
      <c r="AR686" s="19"/>
      <c r="AS686" s="19"/>
      <c r="AT686" s="19"/>
      <c r="AU686" s="19"/>
      <c r="AV686" s="19"/>
      <c r="AW686" s="19"/>
      <c r="AX686" s="19"/>
      <c r="AY686" s="19"/>
      <c r="AZ686" s="19"/>
      <c r="BA686" s="19"/>
      <c r="BB686" s="19"/>
      <c r="BC686" s="19"/>
      <c r="BD686" s="19"/>
      <c r="BE686" s="19"/>
      <c r="BF686" s="19"/>
      <c r="BG686" s="19"/>
      <c r="BH686" s="19"/>
      <c r="BI686" s="19"/>
      <c r="BJ686" s="19"/>
      <c r="BK686" s="19"/>
      <c r="BL686" s="19"/>
      <c r="BM686" s="19"/>
      <c r="BN686" s="19"/>
      <c r="BO686" s="20"/>
      <c r="BP686" s="19"/>
      <c r="BQ686" s="19"/>
      <c r="BR686" s="19"/>
      <c r="BS686" s="19"/>
      <c r="BT686" s="19"/>
      <c r="BU686" s="19"/>
    </row>
    <row r="687" spans="1:73" ht="12" customHeight="1">
      <c r="A687" s="1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19"/>
      <c r="AG687" s="19"/>
      <c r="AH687" s="19"/>
      <c r="AI687" s="19"/>
      <c r="AJ687" s="20"/>
      <c r="AK687" s="19"/>
      <c r="AL687" s="19"/>
      <c r="AM687" s="19"/>
      <c r="AN687" s="19"/>
      <c r="AO687" s="19"/>
      <c r="AP687" s="19"/>
      <c r="AQ687" s="19"/>
      <c r="AR687" s="19"/>
      <c r="AS687" s="19"/>
      <c r="AT687" s="19"/>
      <c r="AU687" s="19"/>
      <c r="AV687" s="19"/>
      <c r="AW687" s="19"/>
      <c r="AX687" s="19"/>
      <c r="AY687" s="19"/>
      <c r="AZ687" s="19"/>
      <c r="BA687" s="19"/>
      <c r="BB687" s="19"/>
      <c r="BC687" s="19"/>
      <c r="BD687" s="19"/>
      <c r="BE687" s="19"/>
      <c r="BF687" s="19"/>
      <c r="BG687" s="19"/>
      <c r="BH687" s="19"/>
      <c r="BI687" s="19"/>
      <c r="BJ687" s="19"/>
      <c r="BK687" s="19"/>
      <c r="BL687" s="19"/>
      <c r="BM687" s="19"/>
      <c r="BN687" s="19"/>
      <c r="BO687" s="20"/>
      <c r="BP687" s="19"/>
      <c r="BQ687" s="19"/>
      <c r="BR687" s="19"/>
      <c r="BS687" s="19"/>
      <c r="BT687" s="19"/>
      <c r="BU687" s="19"/>
    </row>
    <row r="688" spans="1:73" ht="12" customHeight="1">
      <c r="A688" s="1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19"/>
      <c r="AG688" s="19"/>
      <c r="AH688" s="19"/>
      <c r="AI688" s="19"/>
      <c r="AJ688" s="20"/>
      <c r="AK688" s="19"/>
      <c r="AL688" s="19"/>
      <c r="AM688" s="19"/>
      <c r="AN688" s="19"/>
      <c r="AO688" s="19"/>
      <c r="AP688" s="19"/>
      <c r="AQ688" s="19"/>
      <c r="AR688" s="19"/>
      <c r="AS688" s="19"/>
      <c r="AT688" s="19"/>
      <c r="AU688" s="19"/>
      <c r="AV688" s="19"/>
      <c r="AW688" s="19"/>
      <c r="AX688" s="19"/>
      <c r="AY688" s="19"/>
      <c r="AZ688" s="19"/>
      <c r="BA688" s="19"/>
      <c r="BB688" s="19"/>
      <c r="BC688" s="19"/>
      <c r="BD688" s="19"/>
      <c r="BE688" s="19"/>
      <c r="BF688" s="19"/>
      <c r="BG688" s="19"/>
      <c r="BH688" s="19"/>
      <c r="BI688" s="19"/>
      <c r="BJ688" s="19"/>
      <c r="BK688" s="19"/>
      <c r="BL688" s="19"/>
      <c r="BM688" s="19"/>
      <c r="BN688" s="19"/>
      <c r="BO688" s="20"/>
      <c r="BP688" s="19"/>
      <c r="BQ688" s="19"/>
      <c r="BR688" s="19"/>
      <c r="BS688" s="19"/>
      <c r="BT688" s="19"/>
      <c r="BU688" s="19"/>
    </row>
    <row r="689" spans="1:73" ht="12" customHeight="1">
      <c r="A689" s="1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19"/>
      <c r="AG689" s="19"/>
      <c r="AH689" s="19"/>
      <c r="AI689" s="19"/>
      <c r="AJ689" s="20"/>
      <c r="AK689" s="19"/>
      <c r="AL689" s="19"/>
      <c r="AM689" s="19"/>
      <c r="AN689" s="19"/>
      <c r="AO689" s="19"/>
      <c r="AP689" s="19"/>
      <c r="AQ689" s="19"/>
      <c r="AR689" s="19"/>
      <c r="AS689" s="19"/>
      <c r="AT689" s="19"/>
      <c r="AU689" s="19"/>
      <c r="AV689" s="19"/>
      <c r="AW689" s="19"/>
      <c r="AX689" s="19"/>
      <c r="AY689" s="19"/>
      <c r="AZ689" s="19"/>
      <c r="BA689" s="19"/>
      <c r="BB689" s="19"/>
      <c r="BC689" s="19"/>
      <c r="BD689" s="19"/>
      <c r="BE689" s="19"/>
      <c r="BF689" s="19"/>
      <c r="BG689" s="19"/>
      <c r="BH689" s="19"/>
      <c r="BI689" s="19"/>
      <c r="BJ689" s="19"/>
      <c r="BK689" s="19"/>
      <c r="BL689" s="19"/>
      <c r="BM689" s="19"/>
      <c r="BN689" s="19"/>
      <c r="BO689" s="20"/>
      <c r="BP689" s="19"/>
      <c r="BQ689" s="19"/>
      <c r="BR689" s="19"/>
      <c r="BS689" s="19"/>
      <c r="BT689" s="19"/>
      <c r="BU689" s="19"/>
    </row>
    <row r="690" spans="1:73" ht="12" customHeight="1">
      <c r="A690" s="1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19"/>
      <c r="AG690" s="19"/>
      <c r="AH690" s="19"/>
      <c r="AI690" s="19"/>
      <c r="AJ690" s="20"/>
      <c r="AK690" s="19"/>
      <c r="AL690" s="19"/>
      <c r="AM690" s="19"/>
      <c r="AN690" s="19"/>
      <c r="AO690" s="19"/>
      <c r="AP690" s="19"/>
      <c r="AQ690" s="19"/>
      <c r="AR690" s="19"/>
      <c r="AS690" s="19"/>
      <c r="AT690" s="19"/>
      <c r="AU690" s="19"/>
      <c r="AV690" s="19"/>
      <c r="AW690" s="19"/>
      <c r="AX690" s="19"/>
      <c r="AY690" s="19"/>
      <c r="AZ690" s="19"/>
      <c r="BA690" s="19"/>
      <c r="BB690" s="19"/>
      <c r="BC690" s="19"/>
      <c r="BD690" s="19"/>
      <c r="BE690" s="19"/>
      <c r="BF690" s="19"/>
      <c r="BG690" s="19"/>
      <c r="BH690" s="19"/>
      <c r="BI690" s="19"/>
      <c r="BJ690" s="19"/>
      <c r="BK690" s="19"/>
      <c r="BL690" s="19"/>
      <c r="BM690" s="19"/>
      <c r="BN690" s="19"/>
      <c r="BO690" s="20"/>
      <c r="BP690" s="19"/>
      <c r="BQ690" s="19"/>
      <c r="BR690" s="19"/>
      <c r="BS690" s="19"/>
      <c r="BT690" s="19"/>
      <c r="BU690" s="19"/>
    </row>
    <row r="691" spans="1:73" ht="12" customHeight="1">
      <c r="A691" s="1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19"/>
      <c r="AG691" s="19"/>
      <c r="AH691" s="19"/>
      <c r="AI691" s="19"/>
      <c r="AJ691" s="20"/>
      <c r="AK691" s="19"/>
      <c r="AL691" s="19"/>
      <c r="AM691" s="19"/>
      <c r="AN691" s="19"/>
      <c r="AO691" s="19"/>
      <c r="AP691" s="19"/>
      <c r="AQ691" s="19"/>
      <c r="AR691" s="19"/>
      <c r="AS691" s="19"/>
      <c r="AT691" s="19"/>
      <c r="AU691" s="19"/>
      <c r="AV691" s="19"/>
      <c r="AW691" s="19"/>
      <c r="AX691" s="19"/>
      <c r="AY691" s="19"/>
      <c r="AZ691" s="19"/>
      <c r="BA691" s="19"/>
      <c r="BB691" s="19"/>
      <c r="BC691" s="19"/>
      <c r="BD691" s="19"/>
      <c r="BE691" s="19"/>
      <c r="BF691" s="19"/>
      <c r="BG691" s="19"/>
      <c r="BH691" s="19"/>
      <c r="BI691" s="19"/>
      <c r="BJ691" s="19"/>
      <c r="BK691" s="19"/>
      <c r="BL691" s="19"/>
      <c r="BM691" s="19"/>
      <c r="BN691" s="19"/>
      <c r="BO691" s="20"/>
      <c r="BP691" s="19"/>
      <c r="BQ691" s="19"/>
      <c r="BR691" s="19"/>
      <c r="BS691" s="19"/>
      <c r="BT691" s="19"/>
      <c r="BU691" s="19"/>
    </row>
    <row r="692" spans="1:73" ht="12" customHeight="1">
      <c r="A692" s="1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19"/>
      <c r="AG692" s="19"/>
      <c r="AH692" s="19"/>
      <c r="AI692" s="19"/>
      <c r="AJ692" s="20"/>
      <c r="AK692" s="19"/>
      <c r="AL692" s="19"/>
      <c r="AM692" s="19"/>
      <c r="AN692" s="19"/>
      <c r="AO692" s="19"/>
      <c r="AP692" s="19"/>
      <c r="AQ692" s="19"/>
      <c r="AR692" s="19"/>
      <c r="AS692" s="19"/>
      <c r="AT692" s="19"/>
      <c r="AU692" s="19"/>
      <c r="AV692" s="19"/>
      <c r="AW692" s="19"/>
      <c r="AX692" s="19"/>
      <c r="AY692" s="19"/>
      <c r="AZ692" s="19"/>
      <c r="BA692" s="19"/>
      <c r="BB692" s="19"/>
      <c r="BC692" s="19"/>
      <c r="BD692" s="19"/>
      <c r="BE692" s="19"/>
      <c r="BF692" s="19"/>
      <c r="BG692" s="19"/>
      <c r="BH692" s="19"/>
      <c r="BI692" s="19"/>
      <c r="BJ692" s="19"/>
      <c r="BK692" s="19"/>
      <c r="BL692" s="19"/>
      <c r="BM692" s="19"/>
      <c r="BN692" s="19"/>
      <c r="BO692" s="20"/>
      <c r="BP692" s="19"/>
      <c r="BQ692" s="19"/>
      <c r="BR692" s="19"/>
      <c r="BS692" s="19"/>
      <c r="BT692" s="19"/>
      <c r="BU692" s="19"/>
    </row>
    <row r="693" spans="1:73" ht="12" customHeight="1">
      <c r="A693" s="1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20"/>
      <c r="AK693" s="19"/>
      <c r="AL693" s="19"/>
      <c r="AM693" s="19"/>
      <c r="AN693" s="19"/>
      <c r="AO693" s="19"/>
      <c r="AP693" s="19"/>
      <c r="AQ693" s="19"/>
      <c r="AR693" s="19"/>
      <c r="AS693" s="19"/>
      <c r="AT693" s="19"/>
      <c r="AU693" s="19"/>
      <c r="AV693" s="19"/>
      <c r="AW693" s="19"/>
      <c r="AX693" s="19"/>
      <c r="AY693" s="19"/>
      <c r="AZ693" s="19"/>
      <c r="BA693" s="19"/>
      <c r="BB693" s="19"/>
      <c r="BC693" s="19"/>
      <c r="BD693" s="19"/>
      <c r="BE693" s="19"/>
      <c r="BF693" s="19"/>
      <c r="BG693" s="19"/>
      <c r="BH693" s="19"/>
      <c r="BI693" s="19"/>
      <c r="BJ693" s="19"/>
      <c r="BK693" s="19"/>
      <c r="BL693" s="19"/>
      <c r="BM693" s="19"/>
      <c r="BN693" s="19"/>
      <c r="BO693" s="20"/>
      <c r="BP693" s="19"/>
      <c r="BQ693" s="19"/>
      <c r="BR693" s="19"/>
      <c r="BS693" s="19"/>
      <c r="BT693" s="19"/>
      <c r="BU693" s="19"/>
    </row>
    <row r="694" spans="1:73" ht="12" customHeight="1">
      <c r="A694" s="1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20"/>
      <c r="AK694" s="19"/>
      <c r="AL694" s="19"/>
      <c r="AM694" s="19"/>
      <c r="AN694" s="19"/>
      <c r="AO694" s="19"/>
      <c r="AP694" s="19"/>
      <c r="AQ694" s="19"/>
      <c r="AR694" s="19"/>
      <c r="AS694" s="19"/>
      <c r="AT694" s="19"/>
      <c r="AU694" s="19"/>
      <c r="AV694" s="19"/>
      <c r="AW694" s="19"/>
      <c r="AX694" s="19"/>
      <c r="AY694" s="19"/>
      <c r="AZ694" s="19"/>
      <c r="BA694" s="19"/>
      <c r="BB694" s="19"/>
      <c r="BC694" s="19"/>
      <c r="BD694" s="19"/>
      <c r="BE694" s="19"/>
      <c r="BF694" s="19"/>
      <c r="BG694" s="19"/>
      <c r="BH694" s="19"/>
      <c r="BI694" s="19"/>
      <c r="BJ694" s="19"/>
      <c r="BK694" s="19"/>
      <c r="BL694" s="19"/>
      <c r="BM694" s="19"/>
      <c r="BN694" s="19"/>
      <c r="BO694" s="20"/>
      <c r="BP694" s="19"/>
      <c r="BQ694" s="19"/>
      <c r="BR694" s="19"/>
      <c r="BS694" s="19"/>
      <c r="BT694" s="19"/>
      <c r="BU694" s="19"/>
    </row>
    <row r="695" spans="1:73" ht="12" customHeight="1">
      <c r="A695" s="1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20"/>
      <c r="AK695" s="19"/>
      <c r="AL695" s="19"/>
      <c r="AM695" s="19"/>
      <c r="AN695" s="19"/>
      <c r="AO695" s="19"/>
      <c r="AP695" s="19"/>
      <c r="AQ695" s="19"/>
      <c r="AR695" s="19"/>
      <c r="AS695" s="19"/>
      <c r="AT695" s="19"/>
      <c r="AU695" s="19"/>
      <c r="AV695" s="19"/>
      <c r="AW695" s="19"/>
      <c r="AX695" s="19"/>
      <c r="AY695" s="19"/>
      <c r="AZ695" s="19"/>
      <c r="BA695" s="19"/>
      <c r="BB695" s="19"/>
      <c r="BC695" s="19"/>
      <c r="BD695" s="19"/>
      <c r="BE695" s="19"/>
      <c r="BF695" s="19"/>
      <c r="BG695" s="19"/>
      <c r="BH695" s="19"/>
      <c r="BI695" s="19"/>
      <c r="BJ695" s="19"/>
      <c r="BK695" s="19"/>
      <c r="BL695" s="19"/>
      <c r="BM695" s="19"/>
      <c r="BN695" s="19"/>
      <c r="BO695" s="20"/>
      <c r="BP695" s="19"/>
      <c r="BQ695" s="19"/>
      <c r="BR695" s="19"/>
      <c r="BS695" s="19"/>
      <c r="BT695" s="19"/>
      <c r="BU695" s="19"/>
    </row>
    <row r="696" spans="1:73" ht="12" customHeight="1">
      <c r="A696" s="1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20"/>
      <c r="AK696" s="19"/>
      <c r="AL696" s="19"/>
      <c r="AM696" s="19"/>
      <c r="AN696" s="19"/>
      <c r="AO696" s="19"/>
      <c r="AP696" s="19"/>
      <c r="AQ696" s="19"/>
      <c r="AR696" s="19"/>
      <c r="AS696" s="19"/>
      <c r="AT696" s="19"/>
      <c r="AU696" s="19"/>
      <c r="AV696" s="19"/>
      <c r="AW696" s="19"/>
      <c r="AX696" s="19"/>
      <c r="AY696" s="19"/>
      <c r="AZ696" s="19"/>
      <c r="BA696" s="19"/>
      <c r="BB696" s="19"/>
      <c r="BC696" s="19"/>
      <c r="BD696" s="19"/>
      <c r="BE696" s="19"/>
      <c r="BF696" s="19"/>
      <c r="BG696" s="19"/>
      <c r="BH696" s="19"/>
      <c r="BI696" s="19"/>
      <c r="BJ696" s="19"/>
      <c r="BK696" s="19"/>
      <c r="BL696" s="19"/>
      <c r="BM696" s="19"/>
      <c r="BN696" s="19"/>
      <c r="BO696" s="20"/>
      <c r="BP696" s="19"/>
      <c r="BQ696" s="19"/>
      <c r="BR696" s="19"/>
      <c r="BS696" s="19"/>
      <c r="BT696" s="19"/>
      <c r="BU696" s="19"/>
    </row>
    <row r="697" spans="1:73" ht="12" customHeight="1">
      <c r="A697" s="1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19"/>
      <c r="AG697" s="19"/>
      <c r="AH697" s="19"/>
      <c r="AI697" s="19"/>
      <c r="AJ697" s="20"/>
      <c r="AK697" s="19"/>
      <c r="AL697" s="19"/>
      <c r="AM697" s="19"/>
      <c r="AN697" s="19"/>
      <c r="AO697" s="19"/>
      <c r="AP697" s="19"/>
      <c r="AQ697" s="19"/>
      <c r="AR697" s="19"/>
      <c r="AS697" s="19"/>
      <c r="AT697" s="19"/>
      <c r="AU697" s="19"/>
      <c r="AV697" s="19"/>
      <c r="AW697" s="19"/>
      <c r="AX697" s="19"/>
      <c r="AY697" s="19"/>
      <c r="AZ697" s="19"/>
      <c r="BA697" s="19"/>
      <c r="BB697" s="19"/>
      <c r="BC697" s="19"/>
      <c r="BD697" s="19"/>
      <c r="BE697" s="19"/>
      <c r="BF697" s="19"/>
      <c r="BG697" s="19"/>
      <c r="BH697" s="19"/>
      <c r="BI697" s="19"/>
      <c r="BJ697" s="19"/>
      <c r="BK697" s="19"/>
      <c r="BL697" s="19"/>
      <c r="BM697" s="19"/>
      <c r="BN697" s="19"/>
      <c r="BO697" s="20"/>
      <c r="BP697" s="19"/>
      <c r="BQ697" s="19"/>
      <c r="BR697" s="19"/>
      <c r="BS697" s="19"/>
      <c r="BT697" s="19"/>
      <c r="BU697" s="19"/>
    </row>
    <row r="698" spans="1:73" ht="12" customHeight="1">
      <c r="A698" s="1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19"/>
      <c r="AG698" s="19"/>
      <c r="AH698" s="19"/>
      <c r="AI698" s="19"/>
      <c r="AJ698" s="20"/>
      <c r="AK698" s="19"/>
      <c r="AL698" s="19"/>
      <c r="AM698" s="19"/>
      <c r="AN698" s="19"/>
      <c r="AO698" s="19"/>
      <c r="AP698" s="19"/>
      <c r="AQ698" s="19"/>
      <c r="AR698" s="19"/>
      <c r="AS698" s="19"/>
      <c r="AT698" s="19"/>
      <c r="AU698" s="19"/>
      <c r="AV698" s="19"/>
      <c r="AW698" s="19"/>
      <c r="AX698" s="19"/>
      <c r="AY698" s="19"/>
      <c r="AZ698" s="19"/>
      <c r="BA698" s="19"/>
      <c r="BB698" s="19"/>
      <c r="BC698" s="19"/>
      <c r="BD698" s="19"/>
      <c r="BE698" s="19"/>
      <c r="BF698" s="19"/>
      <c r="BG698" s="19"/>
      <c r="BH698" s="19"/>
      <c r="BI698" s="19"/>
      <c r="BJ698" s="19"/>
      <c r="BK698" s="19"/>
      <c r="BL698" s="19"/>
      <c r="BM698" s="19"/>
      <c r="BN698" s="19"/>
      <c r="BO698" s="20"/>
      <c r="BP698" s="19"/>
      <c r="BQ698" s="19"/>
      <c r="BR698" s="19"/>
      <c r="BS698" s="19"/>
      <c r="BT698" s="19"/>
      <c r="BU698" s="19"/>
    </row>
    <row r="699" spans="1:73" ht="12" customHeight="1">
      <c r="A699" s="1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  <c r="AA699" s="19"/>
      <c r="AB699" s="19"/>
      <c r="AC699" s="19"/>
      <c r="AD699" s="19"/>
      <c r="AE699" s="19"/>
      <c r="AF699" s="19"/>
      <c r="AG699" s="19"/>
      <c r="AH699" s="19"/>
      <c r="AI699" s="19"/>
      <c r="AJ699" s="20"/>
      <c r="AK699" s="19"/>
      <c r="AL699" s="19"/>
      <c r="AM699" s="19"/>
      <c r="AN699" s="19"/>
      <c r="AO699" s="19"/>
      <c r="AP699" s="19"/>
      <c r="AQ699" s="19"/>
      <c r="AR699" s="19"/>
      <c r="AS699" s="19"/>
      <c r="AT699" s="19"/>
      <c r="AU699" s="19"/>
      <c r="AV699" s="19"/>
      <c r="AW699" s="19"/>
      <c r="AX699" s="19"/>
      <c r="AY699" s="19"/>
      <c r="AZ699" s="19"/>
      <c r="BA699" s="19"/>
      <c r="BB699" s="19"/>
      <c r="BC699" s="19"/>
      <c r="BD699" s="19"/>
      <c r="BE699" s="19"/>
      <c r="BF699" s="19"/>
      <c r="BG699" s="19"/>
      <c r="BH699" s="19"/>
      <c r="BI699" s="19"/>
      <c r="BJ699" s="19"/>
      <c r="BK699" s="19"/>
      <c r="BL699" s="19"/>
      <c r="BM699" s="19"/>
      <c r="BN699" s="19"/>
      <c r="BO699" s="20"/>
      <c r="BP699" s="19"/>
      <c r="BQ699" s="19"/>
      <c r="BR699" s="19"/>
      <c r="BS699" s="19"/>
      <c r="BT699" s="19"/>
      <c r="BU699" s="19"/>
    </row>
    <row r="700" spans="1:73" ht="12" customHeight="1">
      <c r="A700" s="1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19"/>
      <c r="AH700" s="19"/>
      <c r="AI700" s="19"/>
      <c r="AJ700" s="20"/>
      <c r="AK700" s="19"/>
      <c r="AL700" s="19"/>
      <c r="AM700" s="19"/>
      <c r="AN700" s="19"/>
      <c r="AO700" s="19"/>
      <c r="AP700" s="19"/>
      <c r="AQ700" s="19"/>
      <c r="AR700" s="19"/>
      <c r="AS700" s="19"/>
      <c r="AT700" s="19"/>
      <c r="AU700" s="19"/>
      <c r="AV700" s="19"/>
      <c r="AW700" s="19"/>
      <c r="AX700" s="19"/>
      <c r="AY700" s="19"/>
      <c r="AZ700" s="19"/>
      <c r="BA700" s="19"/>
      <c r="BB700" s="19"/>
      <c r="BC700" s="19"/>
      <c r="BD700" s="19"/>
      <c r="BE700" s="19"/>
      <c r="BF700" s="19"/>
      <c r="BG700" s="19"/>
      <c r="BH700" s="19"/>
      <c r="BI700" s="19"/>
      <c r="BJ700" s="19"/>
      <c r="BK700" s="19"/>
      <c r="BL700" s="19"/>
      <c r="BM700" s="19"/>
      <c r="BN700" s="19"/>
      <c r="BO700" s="20"/>
      <c r="BP700" s="19"/>
      <c r="BQ700" s="19"/>
      <c r="BR700" s="19"/>
      <c r="BS700" s="19"/>
      <c r="BT700" s="19"/>
      <c r="BU700" s="19"/>
    </row>
    <row r="701" spans="1:73" ht="12" customHeight="1">
      <c r="A701" s="1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19"/>
      <c r="AH701" s="19"/>
      <c r="AI701" s="19"/>
      <c r="AJ701" s="20"/>
      <c r="AK701" s="19"/>
      <c r="AL701" s="19"/>
      <c r="AM701" s="19"/>
      <c r="AN701" s="19"/>
      <c r="AO701" s="19"/>
      <c r="AP701" s="19"/>
      <c r="AQ701" s="19"/>
      <c r="AR701" s="19"/>
      <c r="AS701" s="19"/>
      <c r="AT701" s="19"/>
      <c r="AU701" s="19"/>
      <c r="AV701" s="19"/>
      <c r="AW701" s="19"/>
      <c r="AX701" s="19"/>
      <c r="AY701" s="19"/>
      <c r="AZ701" s="19"/>
      <c r="BA701" s="19"/>
      <c r="BB701" s="19"/>
      <c r="BC701" s="19"/>
      <c r="BD701" s="19"/>
      <c r="BE701" s="19"/>
      <c r="BF701" s="19"/>
      <c r="BG701" s="19"/>
      <c r="BH701" s="19"/>
      <c r="BI701" s="19"/>
      <c r="BJ701" s="19"/>
      <c r="BK701" s="19"/>
      <c r="BL701" s="19"/>
      <c r="BM701" s="19"/>
      <c r="BN701" s="19"/>
      <c r="BO701" s="20"/>
      <c r="BP701" s="19"/>
      <c r="BQ701" s="19"/>
      <c r="BR701" s="19"/>
      <c r="BS701" s="19"/>
      <c r="BT701" s="19"/>
      <c r="BU701" s="19"/>
    </row>
    <row r="702" spans="1:73" ht="12" customHeight="1">
      <c r="A702" s="1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19"/>
      <c r="AH702" s="19"/>
      <c r="AI702" s="19"/>
      <c r="AJ702" s="20"/>
      <c r="AK702" s="19"/>
      <c r="AL702" s="19"/>
      <c r="AM702" s="19"/>
      <c r="AN702" s="19"/>
      <c r="AO702" s="19"/>
      <c r="AP702" s="19"/>
      <c r="AQ702" s="19"/>
      <c r="AR702" s="19"/>
      <c r="AS702" s="19"/>
      <c r="AT702" s="19"/>
      <c r="AU702" s="19"/>
      <c r="AV702" s="19"/>
      <c r="AW702" s="19"/>
      <c r="AX702" s="19"/>
      <c r="AY702" s="19"/>
      <c r="AZ702" s="19"/>
      <c r="BA702" s="19"/>
      <c r="BB702" s="19"/>
      <c r="BC702" s="19"/>
      <c r="BD702" s="19"/>
      <c r="BE702" s="19"/>
      <c r="BF702" s="19"/>
      <c r="BG702" s="19"/>
      <c r="BH702" s="19"/>
      <c r="BI702" s="19"/>
      <c r="BJ702" s="19"/>
      <c r="BK702" s="19"/>
      <c r="BL702" s="19"/>
      <c r="BM702" s="19"/>
      <c r="BN702" s="19"/>
      <c r="BO702" s="20"/>
      <c r="BP702" s="19"/>
      <c r="BQ702" s="19"/>
      <c r="BR702" s="19"/>
      <c r="BS702" s="19"/>
      <c r="BT702" s="19"/>
      <c r="BU702" s="19"/>
    </row>
    <row r="703" spans="1:73" ht="12" customHeight="1">
      <c r="A703" s="1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19"/>
      <c r="AH703" s="19"/>
      <c r="AI703" s="19"/>
      <c r="AJ703" s="20"/>
      <c r="AK703" s="19"/>
      <c r="AL703" s="19"/>
      <c r="AM703" s="19"/>
      <c r="AN703" s="19"/>
      <c r="AO703" s="19"/>
      <c r="AP703" s="19"/>
      <c r="AQ703" s="19"/>
      <c r="AR703" s="19"/>
      <c r="AS703" s="19"/>
      <c r="AT703" s="19"/>
      <c r="AU703" s="19"/>
      <c r="AV703" s="19"/>
      <c r="AW703" s="19"/>
      <c r="AX703" s="19"/>
      <c r="AY703" s="19"/>
      <c r="AZ703" s="19"/>
      <c r="BA703" s="19"/>
      <c r="BB703" s="19"/>
      <c r="BC703" s="19"/>
      <c r="BD703" s="19"/>
      <c r="BE703" s="19"/>
      <c r="BF703" s="19"/>
      <c r="BG703" s="19"/>
      <c r="BH703" s="19"/>
      <c r="BI703" s="19"/>
      <c r="BJ703" s="19"/>
      <c r="BK703" s="19"/>
      <c r="BL703" s="19"/>
      <c r="BM703" s="19"/>
      <c r="BN703" s="19"/>
      <c r="BO703" s="20"/>
      <c r="BP703" s="19"/>
      <c r="BQ703" s="19"/>
      <c r="BR703" s="19"/>
      <c r="BS703" s="19"/>
      <c r="BT703" s="19"/>
      <c r="BU703" s="19"/>
    </row>
    <row r="704" spans="1:73" ht="12" customHeight="1">
      <c r="A704" s="1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19"/>
      <c r="AH704" s="19"/>
      <c r="AI704" s="19"/>
      <c r="AJ704" s="20"/>
      <c r="AK704" s="19"/>
      <c r="AL704" s="19"/>
      <c r="AM704" s="19"/>
      <c r="AN704" s="19"/>
      <c r="AO704" s="19"/>
      <c r="AP704" s="19"/>
      <c r="AQ704" s="19"/>
      <c r="AR704" s="19"/>
      <c r="AS704" s="19"/>
      <c r="AT704" s="19"/>
      <c r="AU704" s="19"/>
      <c r="AV704" s="19"/>
      <c r="AW704" s="19"/>
      <c r="AX704" s="19"/>
      <c r="AY704" s="19"/>
      <c r="AZ704" s="19"/>
      <c r="BA704" s="19"/>
      <c r="BB704" s="19"/>
      <c r="BC704" s="19"/>
      <c r="BD704" s="19"/>
      <c r="BE704" s="19"/>
      <c r="BF704" s="19"/>
      <c r="BG704" s="19"/>
      <c r="BH704" s="19"/>
      <c r="BI704" s="19"/>
      <c r="BJ704" s="19"/>
      <c r="BK704" s="19"/>
      <c r="BL704" s="19"/>
      <c r="BM704" s="19"/>
      <c r="BN704" s="19"/>
      <c r="BO704" s="20"/>
      <c r="BP704" s="19"/>
      <c r="BQ704" s="19"/>
      <c r="BR704" s="19"/>
      <c r="BS704" s="19"/>
      <c r="BT704" s="19"/>
      <c r="BU704" s="19"/>
    </row>
    <row r="705" spans="1:73" ht="12" customHeight="1">
      <c r="A705" s="1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19"/>
      <c r="AH705" s="19"/>
      <c r="AI705" s="19"/>
      <c r="AJ705" s="20"/>
      <c r="AK705" s="19"/>
      <c r="AL705" s="19"/>
      <c r="AM705" s="19"/>
      <c r="AN705" s="19"/>
      <c r="AO705" s="19"/>
      <c r="AP705" s="19"/>
      <c r="AQ705" s="19"/>
      <c r="AR705" s="19"/>
      <c r="AS705" s="19"/>
      <c r="AT705" s="19"/>
      <c r="AU705" s="19"/>
      <c r="AV705" s="19"/>
      <c r="AW705" s="19"/>
      <c r="AX705" s="19"/>
      <c r="AY705" s="19"/>
      <c r="AZ705" s="19"/>
      <c r="BA705" s="19"/>
      <c r="BB705" s="19"/>
      <c r="BC705" s="19"/>
      <c r="BD705" s="19"/>
      <c r="BE705" s="19"/>
      <c r="BF705" s="19"/>
      <c r="BG705" s="19"/>
      <c r="BH705" s="19"/>
      <c r="BI705" s="19"/>
      <c r="BJ705" s="19"/>
      <c r="BK705" s="19"/>
      <c r="BL705" s="19"/>
      <c r="BM705" s="19"/>
      <c r="BN705" s="19"/>
      <c r="BO705" s="20"/>
      <c r="BP705" s="19"/>
      <c r="BQ705" s="19"/>
      <c r="BR705" s="19"/>
      <c r="BS705" s="19"/>
      <c r="BT705" s="19"/>
      <c r="BU705" s="19"/>
    </row>
    <row r="706" spans="1:73" ht="12" customHeight="1">
      <c r="A706" s="1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19"/>
      <c r="AH706" s="19"/>
      <c r="AI706" s="19"/>
      <c r="AJ706" s="20"/>
      <c r="AK706" s="19"/>
      <c r="AL706" s="19"/>
      <c r="AM706" s="19"/>
      <c r="AN706" s="19"/>
      <c r="AO706" s="19"/>
      <c r="AP706" s="19"/>
      <c r="AQ706" s="19"/>
      <c r="AR706" s="19"/>
      <c r="AS706" s="19"/>
      <c r="AT706" s="19"/>
      <c r="AU706" s="19"/>
      <c r="AV706" s="19"/>
      <c r="AW706" s="19"/>
      <c r="AX706" s="19"/>
      <c r="AY706" s="19"/>
      <c r="AZ706" s="19"/>
      <c r="BA706" s="19"/>
      <c r="BB706" s="19"/>
      <c r="BC706" s="19"/>
      <c r="BD706" s="19"/>
      <c r="BE706" s="19"/>
      <c r="BF706" s="19"/>
      <c r="BG706" s="19"/>
      <c r="BH706" s="19"/>
      <c r="BI706" s="19"/>
      <c r="BJ706" s="19"/>
      <c r="BK706" s="19"/>
      <c r="BL706" s="19"/>
      <c r="BM706" s="19"/>
      <c r="BN706" s="19"/>
      <c r="BO706" s="20"/>
      <c r="BP706" s="19"/>
      <c r="BQ706" s="19"/>
      <c r="BR706" s="19"/>
      <c r="BS706" s="19"/>
      <c r="BT706" s="19"/>
      <c r="BU706" s="19"/>
    </row>
    <row r="707" spans="1:73" ht="12" customHeight="1">
      <c r="A707" s="1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/>
      <c r="AD707" s="19"/>
      <c r="AE707" s="19"/>
      <c r="AF707" s="19"/>
      <c r="AG707" s="19"/>
      <c r="AH707" s="19"/>
      <c r="AI707" s="19"/>
      <c r="AJ707" s="20"/>
      <c r="AK707" s="19"/>
      <c r="AL707" s="19"/>
      <c r="AM707" s="19"/>
      <c r="AN707" s="19"/>
      <c r="AO707" s="19"/>
      <c r="AP707" s="19"/>
      <c r="AQ707" s="19"/>
      <c r="AR707" s="19"/>
      <c r="AS707" s="19"/>
      <c r="AT707" s="19"/>
      <c r="AU707" s="19"/>
      <c r="AV707" s="19"/>
      <c r="AW707" s="19"/>
      <c r="AX707" s="19"/>
      <c r="AY707" s="19"/>
      <c r="AZ707" s="19"/>
      <c r="BA707" s="19"/>
      <c r="BB707" s="19"/>
      <c r="BC707" s="19"/>
      <c r="BD707" s="19"/>
      <c r="BE707" s="19"/>
      <c r="BF707" s="19"/>
      <c r="BG707" s="19"/>
      <c r="BH707" s="19"/>
      <c r="BI707" s="19"/>
      <c r="BJ707" s="19"/>
      <c r="BK707" s="19"/>
      <c r="BL707" s="19"/>
      <c r="BM707" s="19"/>
      <c r="BN707" s="19"/>
      <c r="BO707" s="20"/>
      <c r="BP707" s="19"/>
      <c r="BQ707" s="19"/>
      <c r="BR707" s="19"/>
      <c r="BS707" s="19"/>
      <c r="BT707" s="19"/>
      <c r="BU707" s="19"/>
    </row>
    <row r="708" spans="1:73" ht="12" customHeight="1">
      <c r="A708" s="1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19"/>
      <c r="AG708" s="19"/>
      <c r="AH708" s="19"/>
      <c r="AI708" s="19"/>
      <c r="AJ708" s="20"/>
      <c r="AK708" s="19"/>
      <c r="AL708" s="19"/>
      <c r="AM708" s="19"/>
      <c r="AN708" s="19"/>
      <c r="AO708" s="19"/>
      <c r="AP708" s="19"/>
      <c r="AQ708" s="19"/>
      <c r="AR708" s="19"/>
      <c r="AS708" s="19"/>
      <c r="AT708" s="19"/>
      <c r="AU708" s="19"/>
      <c r="AV708" s="19"/>
      <c r="AW708" s="19"/>
      <c r="AX708" s="19"/>
      <c r="AY708" s="19"/>
      <c r="AZ708" s="19"/>
      <c r="BA708" s="19"/>
      <c r="BB708" s="19"/>
      <c r="BC708" s="19"/>
      <c r="BD708" s="19"/>
      <c r="BE708" s="19"/>
      <c r="BF708" s="19"/>
      <c r="BG708" s="19"/>
      <c r="BH708" s="19"/>
      <c r="BI708" s="19"/>
      <c r="BJ708" s="19"/>
      <c r="BK708" s="19"/>
      <c r="BL708" s="19"/>
      <c r="BM708" s="19"/>
      <c r="BN708" s="19"/>
      <c r="BO708" s="20"/>
      <c r="BP708" s="19"/>
      <c r="BQ708" s="19"/>
      <c r="BR708" s="19"/>
      <c r="BS708" s="19"/>
      <c r="BT708" s="19"/>
      <c r="BU708" s="19"/>
    </row>
    <row r="709" spans="1:73" ht="12" customHeight="1">
      <c r="A709" s="1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/>
      <c r="AD709" s="19"/>
      <c r="AE709" s="19"/>
      <c r="AF709" s="19"/>
      <c r="AG709" s="19"/>
      <c r="AH709" s="19"/>
      <c r="AI709" s="19"/>
      <c r="AJ709" s="20"/>
      <c r="AK709" s="19"/>
      <c r="AL709" s="19"/>
      <c r="AM709" s="19"/>
      <c r="AN709" s="19"/>
      <c r="AO709" s="19"/>
      <c r="AP709" s="19"/>
      <c r="AQ709" s="19"/>
      <c r="AR709" s="19"/>
      <c r="AS709" s="19"/>
      <c r="AT709" s="19"/>
      <c r="AU709" s="19"/>
      <c r="AV709" s="19"/>
      <c r="AW709" s="19"/>
      <c r="AX709" s="19"/>
      <c r="AY709" s="19"/>
      <c r="AZ709" s="19"/>
      <c r="BA709" s="19"/>
      <c r="BB709" s="19"/>
      <c r="BC709" s="19"/>
      <c r="BD709" s="19"/>
      <c r="BE709" s="19"/>
      <c r="BF709" s="19"/>
      <c r="BG709" s="19"/>
      <c r="BH709" s="19"/>
      <c r="BI709" s="19"/>
      <c r="BJ709" s="19"/>
      <c r="BK709" s="19"/>
      <c r="BL709" s="19"/>
      <c r="BM709" s="19"/>
      <c r="BN709" s="19"/>
      <c r="BO709" s="20"/>
      <c r="BP709" s="19"/>
      <c r="BQ709" s="19"/>
      <c r="BR709" s="19"/>
      <c r="BS709" s="19"/>
      <c r="BT709" s="19"/>
      <c r="BU709" s="19"/>
    </row>
    <row r="710" spans="1:73" ht="12" customHeight="1">
      <c r="A710" s="1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19"/>
      <c r="AG710" s="19"/>
      <c r="AH710" s="19"/>
      <c r="AI710" s="19"/>
      <c r="AJ710" s="20"/>
      <c r="AK710" s="19"/>
      <c r="AL710" s="19"/>
      <c r="AM710" s="19"/>
      <c r="AN710" s="19"/>
      <c r="AO710" s="19"/>
      <c r="AP710" s="19"/>
      <c r="AQ710" s="19"/>
      <c r="AR710" s="19"/>
      <c r="AS710" s="19"/>
      <c r="AT710" s="19"/>
      <c r="AU710" s="19"/>
      <c r="AV710" s="19"/>
      <c r="AW710" s="19"/>
      <c r="AX710" s="19"/>
      <c r="AY710" s="19"/>
      <c r="AZ710" s="19"/>
      <c r="BA710" s="19"/>
      <c r="BB710" s="19"/>
      <c r="BC710" s="19"/>
      <c r="BD710" s="19"/>
      <c r="BE710" s="19"/>
      <c r="BF710" s="19"/>
      <c r="BG710" s="19"/>
      <c r="BH710" s="19"/>
      <c r="BI710" s="19"/>
      <c r="BJ710" s="19"/>
      <c r="BK710" s="19"/>
      <c r="BL710" s="19"/>
      <c r="BM710" s="19"/>
      <c r="BN710" s="19"/>
      <c r="BO710" s="20"/>
      <c r="BP710" s="19"/>
      <c r="BQ710" s="19"/>
      <c r="BR710" s="19"/>
      <c r="BS710" s="19"/>
      <c r="BT710" s="19"/>
      <c r="BU710" s="19"/>
    </row>
    <row r="711" spans="1:73" ht="12" customHeight="1">
      <c r="A711" s="1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/>
      <c r="AD711" s="19"/>
      <c r="AE711" s="19"/>
      <c r="AF711" s="19"/>
      <c r="AG711" s="19"/>
      <c r="AH711" s="19"/>
      <c r="AI711" s="19"/>
      <c r="AJ711" s="20"/>
      <c r="AK711" s="19"/>
      <c r="AL711" s="19"/>
      <c r="AM711" s="19"/>
      <c r="AN711" s="19"/>
      <c r="AO711" s="19"/>
      <c r="AP711" s="19"/>
      <c r="AQ711" s="19"/>
      <c r="AR711" s="19"/>
      <c r="AS711" s="19"/>
      <c r="AT711" s="19"/>
      <c r="AU711" s="19"/>
      <c r="AV711" s="19"/>
      <c r="AW711" s="19"/>
      <c r="AX711" s="19"/>
      <c r="AY711" s="19"/>
      <c r="AZ711" s="19"/>
      <c r="BA711" s="19"/>
      <c r="BB711" s="19"/>
      <c r="BC711" s="19"/>
      <c r="BD711" s="19"/>
      <c r="BE711" s="19"/>
      <c r="BF711" s="19"/>
      <c r="BG711" s="19"/>
      <c r="BH711" s="19"/>
      <c r="BI711" s="19"/>
      <c r="BJ711" s="19"/>
      <c r="BK711" s="19"/>
      <c r="BL711" s="19"/>
      <c r="BM711" s="19"/>
      <c r="BN711" s="19"/>
      <c r="BO711" s="20"/>
      <c r="BP711" s="19"/>
      <c r="BQ711" s="19"/>
      <c r="BR711" s="19"/>
      <c r="BS711" s="19"/>
      <c r="BT711" s="19"/>
      <c r="BU711" s="19"/>
    </row>
    <row r="712" spans="1:73" ht="12" customHeight="1">
      <c r="A712" s="1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19"/>
      <c r="AG712" s="19"/>
      <c r="AH712" s="19"/>
      <c r="AI712" s="19"/>
      <c r="AJ712" s="20"/>
      <c r="AK712" s="19"/>
      <c r="AL712" s="19"/>
      <c r="AM712" s="19"/>
      <c r="AN712" s="19"/>
      <c r="AO712" s="19"/>
      <c r="AP712" s="19"/>
      <c r="AQ712" s="19"/>
      <c r="AR712" s="19"/>
      <c r="AS712" s="19"/>
      <c r="AT712" s="19"/>
      <c r="AU712" s="19"/>
      <c r="AV712" s="19"/>
      <c r="AW712" s="19"/>
      <c r="AX712" s="19"/>
      <c r="AY712" s="19"/>
      <c r="AZ712" s="19"/>
      <c r="BA712" s="19"/>
      <c r="BB712" s="19"/>
      <c r="BC712" s="19"/>
      <c r="BD712" s="19"/>
      <c r="BE712" s="19"/>
      <c r="BF712" s="19"/>
      <c r="BG712" s="19"/>
      <c r="BH712" s="19"/>
      <c r="BI712" s="19"/>
      <c r="BJ712" s="19"/>
      <c r="BK712" s="19"/>
      <c r="BL712" s="19"/>
      <c r="BM712" s="19"/>
      <c r="BN712" s="19"/>
      <c r="BO712" s="20"/>
      <c r="BP712" s="19"/>
      <c r="BQ712" s="19"/>
      <c r="BR712" s="19"/>
      <c r="BS712" s="19"/>
      <c r="BT712" s="19"/>
      <c r="BU712" s="19"/>
    </row>
    <row r="713" spans="1:73" ht="12" customHeight="1">
      <c r="A713" s="1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/>
      <c r="AD713" s="19"/>
      <c r="AE713" s="19"/>
      <c r="AF713" s="19"/>
      <c r="AG713" s="19"/>
      <c r="AH713" s="19"/>
      <c r="AI713" s="19"/>
      <c r="AJ713" s="20"/>
      <c r="AK713" s="19"/>
      <c r="AL713" s="19"/>
      <c r="AM713" s="19"/>
      <c r="AN713" s="19"/>
      <c r="AO713" s="19"/>
      <c r="AP713" s="19"/>
      <c r="AQ713" s="19"/>
      <c r="AR713" s="19"/>
      <c r="AS713" s="19"/>
      <c r="AT713" s="19"/>
      <c r="AU713" s="19"/>
      <c r="AV713" s="19"/>
      <c r="AW713" s="19"/>
      <c r="AX713" s="19"/>
      <c r="AY713" s="19"/>
      <c r="AZ713" s="19"/>
      <c r="BA713" s="19"/>
      <c r="BB713" s="19"/>
      <c r="BC713" s="19"/>
      <c r="BD713" s="19"/>
      <c r="BE713" s="19"/>
      <c r="BF713" s="19"/>
      <c r="BG713" s="19"/>
      <c r="BH713" s="19"/>
      <c r="BI713" s="19"/>
      <c r="BJ713" s="19"/>
      <c r="BK713" s="19"/>
      <c r="BL713" s="19"/>
      <c r="BM713" s="19"/>
      <c r="BN713" s="19"/>
      <c r="BO713" s="20"/>
      <c r="BP713" s="19"/>
      <c r="BQ713" s="19"/>
      <c r="BR713" s="19"/>
      <c r="BS713" s="19"/>
      <c r="BT713" s="19"/>
      <c r="BU713" s="19"/>
    </row>
    <row r="714" spans="1:73" ht="12" customHeight="1">
      <c r="A714" s="1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19"/>
      <c r="AG714" s="19"/>
      <c r="AH714" s="19"/>
      <c r="AI714" s="19"/>
      <c r="AJ714" s="20"/>
      <c r="AK714" s="19"/>
      <c r="AL714" s="19"/>
      <c r="AM714" s="19"/>
      <c r="AN714" s="19"/>
      <c r="AO714" s="19"/>
      <c r="AP714" s="19"/>
      <c r="AQ714" s="19"/>
      <c r="AR714" s="19"/>
      <c r="AS714" s="19"/>
      <c r="AT714" s="19"/>
      <c r="AU714" s="19"/>
      <c r="AV714" s="19"/>
      <c r="AW714" s="19"/>
      <c r="AX714" s="19"/>
      <c r="AY714" s="19"/>
      <c r="AZ714" s="19"/>
      <c r="BA714" s="19"/>
      <c r="BB714" s="19"/>
      <c r="BC714" s="19"/>
      <c r="BD714" s="19"/>
      <c r="BE714" s="19"/>
      <c r="BF714" s="19"/>
      <c r="BG714" s="19"/>
      <c r="BH714" s="19"/>
      <c r="BI714" s="19"/>
      <c r="BJ714" s="19"/>
      <c r="BK714" s="19"/>
      <c r="BL714" s="19"/>
      <c r="BM714" s="19"/>
      <c r="BN714" s="19"/>
      <c r="BO714" s="20"/>
      <c r="BP714" s="19"/>
      <c r="BQ714" s="19"/>
      <c r="BR714" s="19"/>
      <c r="BS714" s="19"/>
      <c r="BT714" s="19"/>
      <c r="BU714" s="19"/>
    </row>
    <row r="715" spans="1:73" ht="12" customHeight="1">
      <c r="A715" s="1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19"/>
      <c r="AH715" s="19"/>
      <c r="AI715" s="19"/>
      <c r="AJ715" s="20"/>
      <c r="AK715" s="19"/>
      <c r="AL715" s="19"/>
      <c r="AM715" s="19"/>
      <c r="AN715" s="19"/>
      <c r="AO715" s="19"/>
      <c r="AP715" s="19"/>
      <c r="AQ715" s="19"/>
      <c r="AR715" s="19"/>
      <c r="AS715" s="19"/>
      <c r="AT715" s="19"/>
      <c r="AU715" s="19"/>
      <c r="AV715" s="19"/>
      <c r="AW715" s="19"/>
      <c r="AX715" s="19"/>
      <c r="AY715" s="19"/>
      <c r="AZ715" s="19"/>
      <c r="BA715" s="19"/>
      <c r="BB715" s="19"/>
      <c r="BC715" s="19"/>
      <c r="BD715" s="19"/>
      <c r="BE715" s="19"/>
      <c r="BF715" s="19"/>
      <c r="BG715" s="19"/>
      <c r="BH715" s="19"/>
      <c r="BI715" s="19"/>
      <c r="BJ715" s="19"/>
      <c r="BK715" s="19"/>
      <c r="BL715" s="19"/>
      <c r="BM715" s="19"/>
      <c r="BN715" s="19"/>
      <c r="BO715" s="20"/>
      <c r="BP715" s="19"/>
      <c r="BQ715" s="19"/>
      <c r="BR715" s="19"/>
      <c r="BS715" s="19"/>
      <c r="BT715" s="19"/>
      <c r="BU715" s="19"/>
    </row>
    <row r="716" spans="1:73" ht="12" customHeight="1">
      <c r="A716" s="1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19"/>
      <c r="AG716" s="19"/>
      <c r="AH716" s="19"/>
      <c r="AI716" s="19"/>
      <c r="AJ716" s="20"/>
      <c r="AK716" s="19"/>
      <c r="AL716" s="19"/>
      <c r="AM716" s="19"/>
      <c r="AN716" s="19"/>
      <c r="AO716" s="19"/>
      <c r="AP716" s="19"/>
      <c r="AQ716" s="19"/>
      <c r="AR716" s="19"/>
      <c r="AS716" s="19"/>
      <c r="AT716" s="19"/>
      <c r="AU716" s="19"/>
      <c r="AV716" s="19"/>
      <c r="AW716" s="19"/>
      <c r="AX716" s="19"/>
      <c r="AY716" s="19"/>
      <c r="AZ716" s="19"/>
      <c r="BA716" s="19"/>
      <c r="BB716" s="19"/>
      <c r="BC716" s="19"/>
      <c r="BD716" s="19"/>
      <c r="BE716" s="19"/>
      <c r="BF716" s="19"/>
      <c r="BG716" s="19"/>
      <c r="BH716" s="19"/>
      <c r="BI716" s="19"/>
      <c r="BJ716" s="19"/>
      <c r="BK716" s="19"/>
      <c r="BL716" s="19"/>
      <c r="BM716" s="19"/>
      <c r="BN716" s="19"/>
      <c r="BO716" s="20"/>
      <c r="BP716" s="19"/>
      <c r="BQ716" s="19"/>
      <c r="BR716" s="19"/>
      <c r="BS716" s="19"/>
      <c r="BT716" s="19"/>
      <c r="BU716" s="19"/>
    </row>
    <row r="717" spans="1:73" ht="12" customHeight="1">
      <c r="A717" s="1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/>
      <c r="AD717" s="19"/>
      <c r="AE717" s="19"/>
      <c r="AF717" s="19"/>
      <c r="AG717" s="19"/>
      <c r="AH717" s="19"/>
      <c r="AI717" s="19"/>
      <c r="AJ717" s="20"/>
      <c r="AK717" s="19"/>
      <c r="AL717" s="19"/>
      <c r="AM717" s="19"/>
      <c r="AN717" s="19"/>
      <c r="AO717" s="19"/>
      <c r="AP717" s="19"/>
      <c r="AQ717" s="19"/>
      <c r="AR717" s="19"/>
      <c r="AS717" s="19"/>
      <c r="AT717" s="19"/>
      <c r="AU717" s="19"/>
      <c r="AV717" s="19"/>
      <c r="AW717" s="19"/>
      <c r="AX717" s="19"/>
      <c r="AY717" s="19"/>
      <c r="AZ717" s="19"/>
      <c r="BA717" s="19"/>
      <c r="BB717" s="19"/>
      <c r="BC717" s="19"/>
      <c r="BD717" s="19"/>
      <c r="BE717" s="19"/>
      <c r="BF717" s="19"/>
      <c r="BG717" s="19"/>
      <c r="BH717" s="19"/>
      <c r="BI717" s="19"/>
      <c r="BJ717" s="19"/>
      <c r="BK717" s="19"/>
      <c r="BL717" s="19"/>
      <c r="BM717" s="19"/>
      <c r="BN717" s="19"/>
      <c r="BO717" s="20"/>
      <c r="BP717" s="19"/>
      <c r="BQ717" s="19"/>
      <c r="BR717" s="19"/>
      <c r="BS717" s="19"/>
      <c r="BT717" s="19"/>
      <c r="BU717" s="19"/>
    </row>
    <row r="718" spans="1:73" ht="12" customHeight="1">
      <c r="A718" s="1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19"/>
      <c r="AG718" s="19"/>
      <c r="AH718" s="19"/>
      <c r="AI718" s="19"/>
      <c r="AJ718" s="20"/>
      <c r="AK718" s="19"/>
      <c r="AL718" s="19"/>
      <c r="AM718" s="19"/>
      <c r="AN718" s="19"/>
      <c r="AO718" s="19"/>
      <c r="AP718" s="19"/>
      <c r="AQ718" s="19"/>
      <c r="AR718" s="19"/>
      <c r="AS718" s="19"/>
      <c r="AT718" s="19"/>
      <c r="AU718" s="19"/>
      <c r="AV718" s="19"/>
      <c r="AW718" s="19"/>
      <c r="AX718" s="19"/>
      <c r="AY718" s="19"/>
      <c r="AZ718" s="19"/>
      <c r="BA718" s="19"/>
      <c r="BB718" s="19"/>
      <c r="BC718" s="19"/>
      <c r="BD718" s="19"/>
      <c r="BE718" s="19"/>
      <c r="BF718" s="19"/>
      <c r="BG718" s="19"/>
      <c r="BH718" s="19"/>
      <c r="BI718" s="19"/>
      <c r="BJ718" s="19"/>
      <c r="BK718" s="19"/>
      <c r="BL718" s="19"/>
      <c r="BM718" s="19"/>
      <c r="BN718" s="19"/>
      <c r="BO718" s="20"/>
      <c r="BP718" s="19"/>
      <c r="BQ718" s="19"/>
      <c r="BR718" s="19"/>
      <c r="BS718" s="19"/>
      <c r="BT718" s="19"/>
      <c r="BU718" s="19"/>
    </row>
    <row r="719" spans="1:73" ht="12" customHeight="1">
      <c r="A719" s="1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/>
      <c r="AD719" s="19"/>
      <c r="AE719" s="19"/>
      <c r="AF719" s="19"/>
      <c r="AG719" s="19"/>
      <c r="AH719" s="19"/>
      <c r="AI719" s="19"/>
      <c r="AJ719" s="20"/>
      <c r="AK719" s="19"/>
      <c r="AL719" s="19"/>
      <c r="AM719" s="19"/>
      <c r="AN719" s="19"/>
      <c r="AO719" s="19"/>
      <c r="AP719" s="19"/>
      <c r="AQ719" s="19"/>
      <c r="AR719" s="19"/>
      <c r="AS719" s="19"/>
      <c r="AT719" s="19"/>
      <c r="AU719" s="19"/>
      <c r="AV719" s="19"/>
      <c r="AW719" s="19"/>
      <c r="AX719" s="19"/>
      <c r="AY719" s="19"/>
      <c r="AZ719" s="19"/>
      <c r="BA719" s="19"/>
      <c r="BB719" s="19"/>
      <c r="BC719" s="19"/>
      <c r="BD719" s="19"/>
      <c r="BE719" s="19"/>
      <c r="BF719" s="19"/>
      <c r="BG719" s="19"/>
      <c r="BH719" s="19"/>
      <c r="BI719" s="19"/>
      <c r="BJ719" s="19"/>
      <c r="BK719" s="19"/>
      <c r="BL719" s="19"/>
      <c r="BM719" s="19"/>
      <c r="BN719" s="19"/>
      <c r="BO719" s="20"/>
      <c r="BP719" s="19"/>
      <c r="BQ719" s="19"/>
      <c r="BR719" s="19"/>
      <c r="BS719" s="19"/>
      <c r="BT719" s="19"/>
      <c r="BU719" s="19"/>
    </row>
    <row r="720" spans="1:73" ht="12" customHeight="1">
      <c r="A720" s="1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19"/>
      <c r="AG720" s="19"/>
      <c r="AH720" s="19"/>
      <c r="AI720" s="19"/>
      <c r="AJ720" s="20"/>
      <c r="AK720" s="19"/>
      <c r="AL720" s="19"/>
      <c r="AM720" s="19"/>
      <c r="AN720" s="19"/>
      <c r="AO720" s="19"/>
      <c r="AP720" s="19"/>
      <c r="AQ720" s="19"/>
      <c r="AR720" s="19"/>
      <c r="AS720" s="19"/>
      <c r="AT720" s="19"/>
      <c r="AU720" s="19"/>
      <c r="AV720" s="19"/>
      <c r="AW720" s="19"/>
      <c r="AX720" s="19"/>
      <c r="AY720" s="19"/>
      <c r="AZ720" s="19"/>
      <c r="BA720" s="19"/>
      <c r="BB720" s="19"/>
      <c r="BC720" s="19"/>
      <c r="BD720" s="19"/>
      <c r="BE720" s="19"/>
      <c r="BF720" s="19"/>
      <c r="BG720" s="19"/>
      <c r="BH720" s="19"/>
      <c r="BI720" s="19"/>
      <c r="BJ720" s="19"/>
      <c r="BK720" s="19"/>
      <c r="BL720" s="19"/>
      <c r="BM720" s="19"/>
      <c r="BN720" s="19"/>
      <c r="BO720" s="20"/>
      <c r="BP720" s="19"/>
      <c r="BQ720" s="19"/>
      <c r="BR720" s="19"/>
      <c r="BS720" s="19"/>
      <c r="BT720" s="19"/>
      <c r="BU720" s="19"/>
    </row>
    <row r="721" spans="1:73" ht="12" customHeight="1">
      <c r="A721" s="1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/>
      <c r="AD721" s="19"/>
      <c r="AE721" s="19"/>
      <c r="AF721" s="19"/>
      <c r="AG721" s="19"/>
      <c r="AH721" s="19"/>
      <c r="AI721" s="19"/>
      <c r="AJ721" s="20"/>
      <c r="AK721" s="19"/>
      <c r="AL721" s="19"/>
      <c r="AM721" s="19"/>
      <c r="AN721" s="19"/>
      <c r="AO721" s="19"/>
      <c r="AP721" s="19"/>
      <c r="AQ721" s="19"/>
      <c r="AR721" s="19"/>
      <c r="AS721" s="19"/>
      <c r="AT721" s="19"/>
      <c r="AU721" s="19"/>
      <c r="AV721" s="19"/>
      <c r="AW721" s="19"/>
      <c r="AX721" s="19"/>
      <c r="AY721" s="19"/>
      <c r="AZ721" s="19"/>
      <c r="BA721" s="19"/>
      <c r="BB721" s="19"/>
      <c r="BC721" s="19"/>
      <c r="BD721" s="19"/>
      <c r="BE721" s="19"/>
      <c r="BF721" s="19"/>
      <c r="BG721" s="19"/>
      <c r="BH721" s="19"/>
      <c r="BI721" s="19"/>
      <c r="BJ721" s="19"/>
      <c r="BK721" s="19"/>
      <c r="BL721" s="19"/>
      <c r="BM721" s="19"/>
      <c r="BN721" s="19"/>
      <c r="BO721" s="20"/>
      <c r="BP721" s="19"/>
      <c r="BQ721" s="19"/>
      <c r="BR721" s="19"/>
      <c r="BS721" s="19"/>
      <c r="BT721" s="19"/>
      <c r="BU721" s="19"/>
    </row>
    <row r="722" spans="1:73" ht="12" customHeight="1">
      <c r="A722" s="1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19"/>
      <c r="AG722" s="19"/>
      <c r="AH722" s="19"/>
      <c r="AI722" s="19"/>
      <c r="AJ722" s="20"/>
      <c r="AK722" s="19"/>
      <c r="AL722" s="19"/>
      <c r="AM722" s="19"/>
      <c r="AN722" s="19"/>
      <c r="AO722" s="19"/>
      <c r="AP722" s="19"/>
      <c r="AQ722" s="19"/>
      <c r="AR722" s="19"/>
      <c r="AS722" s="19"/>
      <c r="AT722" s="19"/>
      <c r="AU722" s="19"/>
      <c r="AV722" s="19"/>
      <c r="AW722" s="19"/>
      <c r="AX722" s="19"/>
      <c r="AY722" s="19"/>
      <c r="AZ722" s="19"/>
      <c r="BA722" s="19"/>
      <c r="BB722" s="19"/>
      <c r="BC722" s="19"/>
      <c r="BD722" s="19"/>
      <c r="BE722" s="19"/>
      <c r="BF722" s="19"/>
      <c r="BG722" s="19"/>
      <c r="BH722" s="19"/>
      <c r="BI722" s="19"/>
      <c r="BJ722" s="19"/>
      <c r="BK722" s="19"/>
      <c r="BL722" s="19"/>
      <c r="BM722" s="19"/>
      <c r="BN722" s="19"/>
      <c r="BO722" s="20"/>
      <c r="BP722" s="19"/>
      <c r="BQ722" s="19"/>
      <c r="BR722" s="19"/>
      <c r="BS722" s="19"/>
      <c r="BT722" s="19"/>
      <c r="BU722" s="19"/>
    </row>
    <row r="723" spans="1:73" ht="12" customHeight="1">
      <c r="A723" s="1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/>
      <c r="AD723" s="19"/>
      <c r="AE723" s="19"/>
      <c r="AF723" s="19"/>
      <c r="AG723" s="19"/>
      <c r="AH723" s="19"/>
      <c r="AI723" s="19"/>
      <c r="AJ723" s="20"/>
      <c r="AK723" s="19"/>
      <c r="AL723" s="19"/>
      <c r="AM723" s="19"/>
      <c r="AN723" s="19"/>
      <c r="AO723" s="19"/>
      <c r="AP723" s="19"/>
      <c r="AQ723" s="19"/>
      <c r="AR723" s="19"/>
      <c r="AS723" s="19"/>
      <c r="AT723" s="19"/>
      <c r="AU723" s="19"/>
      <c r="AV723" s="19"/>
      <c r="AW723" s="19"/>
      <c r="AX723" s="19"/>
      <c r="AY723" s="19"/>
      <c r="AZ723" s="19"/>
      <c r="BA723" s="19"/>
      <c r="BB723" s="19"/>
      <c r="BC723" s="19"/>
      <c r="BD723" s="19"/>
      <c r="BE723" s="19"/>
      <c r="BF723" s="19"/>
      <c r="BG723" s="19"/>
      <c r="BH723" s="19"/>
      <c r="BI723" s="19"/>
      <c r="BJ723" s="19"/>
      <c r="BK723" s="19"/>
      <c r="BL723" s="19"/>
      <c r="BM723" s="19"/>
      <c r="BN723" s="19"/>
      <c r="BO723" s="20"/>
      <c r="BP723" s="19"/>
      <c r="BQ723" s="19"/>
      <c r="BR723" s="19"/>
      <c r="BS723" s="19"/>
      <c r="BT723" s="19"/>
      <c r="BU723" s="19"/>
    </row>
    <row r="724" spans="1:73" ht="12" customHeight="1">
      <c r="A724" s="1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19"/>
      <c r="AG724" s="19"/>
      <c r="AH724" s="19"/>
      <c r="AI724" s="19"/>
      <c r="AJ724" s="20"/>
      <c r="AK724" s="19"/>
      <c r="AL724" s="19"/>
      <c r="AM724" s="19"/>
      <c r="AN724" s="19"/>
      <c r="AO724" s="19"/>
      <c r="AP724" s="19"/>
      <c r="AQ724" s="19"/>
      <c r="AR724" s="19"/>
      <c r="AS724" s="19"/>
      <c r="AT724" s="19"/>
      <c r="AU724" s="19"/>
      <c r="AV724" s="19"/>
      <c r="AW724" s="19"/>
      <c r="AX724" s="19"/>
      <c r="AY724" s="19"/>
      <c r="AZ724" s="19"/>
      <c r="BA724" s="19"/>
      <c r="BB724" s="19"/>
      <c r="BC724" s="19"/>
      <c r="BD724" s="19"/>
      <c r="BE724" s="19"/>
      <c r="BF724" s="19"/>
      <c r="BG724" s="19"/>
      <c r="BH724" s="19"/>
      <c r="BI724" s="19"/>
      <c r="BJ724" s="19"/>
      <c r="BK724" s="19"/>
      <c r="BL724" s="19"/>
      <c r="BM724" s="19"/>
      <c r="BN724" s="19"/>
      <c r="BO724" s="20"/>
      <c r="BP724" s="19"/>
      <c r="BQ724" s="19"/>
      <c r="BR724" s="19"/>
      <c r="BS724" s="19"/>
      <c r="BT724" s="19"/>
      <c r="BU724" s="19"/>
    </row>
    <row r="725" spans="1:73" ht="12" customHeight="1">
      <c r="A725" s="1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19"/>
      <c r="AG725" s="19"/>
      <c r="AH725" s="19"/>
      <c r="AI725" s="19"/>
      <c r="AJ725" s="20"/>
      <c r="AK725" s="19"/>
      <c r="AL725" s="19"/>
      <c r="AM725" s="19"/>
      <c r="AN725" s="19"/>
      <c r="AO725" s="19"/>
      <c r="AP725" s="19"/>
      <c r="AQ725" s="19"/>
      <c r="AR725" s="19"/>
      <c r="AS725" s="19"/>
      <c r="AT725" s="19"/>
      <c r="AU725" s="19"/>
      <c r="AV725" s="19"/>
      <c r="AW725" s="19"/>
      <c r="AX725" s="19"/>
      <c r="AY725" s="19"/>
      <c r="AZ725" s="19"/>
      <c r="BA725" s="19"/>
      <c r="BB725" s="19"/>
      <c r="BC725" s="19"/>
      <c r="BD725" s="19"/>
      <c r="BE725" s="19"/>
      <c r="BF725" s="19"/>
      <c r="BG725" s="19"/>
      <c r="BH725" s="19"/>
      <c r="BI725" s="19"/>
      <c r="BJ725" s="19"/>
      <c r="BK725" s="19"/>
      <c r="BL725" s="19"/>
      <c r="BM725" s="19"/>
      <c r="BN725" s="19"/>
      <c r="BO725" s="20"/>
      <c r="BP725" s="19"/>
      <c r="BQ725" s="19"/>
      <c r="BR725" s="19"/>
      <c r="BS725" s="19"/>
      <c r="BT725" s="19"/>
      <c r="BU725" s="19"/>
    </row>
    <row r="726" spans="1:73" ht="12" customHeight="1">
      <c r="A726" s="1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19"/>
      <c r="AG726" s="19"/>
      <c r="AH726" s="19"/>
      <c r="AI726" s="19"/>
      <c r="AJ726" s="20"/>
      <c r="AK726" s="19"/>
      <c r="AL726" s="19"/>
      <c r="AM726" s="19"/>
      <c r="AN726" s="19"/>
      <c r="AO726" s="19"/>
      <c r="AP726" s="19"/>
      <c r="AQ726" s="19"/>
      <c r="AR726" s="19"/>
      <c r="AS726" s="19"/>
      <c r="AT726" s="19"/>
      <c r="AU726" s="19"/>
      <c r="AV726" s="19"/>
      <c r="AW726" s="19"/>
      <c r="AX726" s="19"/>
      <c r="AY726" s="19"/>
      <c r="AZ726" s="19"/>
      <c r="BA726" s="19"/>
      <c r="BB726" s="19"/>
      <c r="BC726" s="19"/>
      <c r="BD726" s="19"/>
      <c r="BE726" s="19"/>
      <c r="BF726" s="19"/>
      <c r="BG726" s="19"/>
      <c r="BH726" s="19"/>
      <c r="BI726" s="19"/>
      <c r="BJ726" s="19"/>
      <c r="BK726" s="19"/>
      <c r="BL726" s="19"/>
      <c r="BM726" s="19"/>
      <c r="BN726" s="19"/>
      <c r="BO726" s="20"/>
      <c r="BP726" s="19"/>
      <c r="BQ726" s="19"/>
      <c r="BR726" s="19"/>
      <c r="BS726" s="19"/>
      <c r="BT726" s="19"/>
      <c r="BU726" s="19"/>
    </row>
    <row r="727" spans="1:73" ht="12" customHeight="1">
      <c r="A727" s="1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/>
      <c r="AD727" s="19"/>
      <c r="AE727" s="19"/>
      <c r="AF727" s="19"/>
      <c r="AG727" s="19"/>
      <c r="AH727" s="19"/>
      <c r="AI727" s="19"/>
      <c r="AJ727" s="20"/>
      <c r="AK727" s="19"/>
      <c r="AL727" s="19"/>
      <c r="AM727" s="19"/>
      <c r="AN727" s="19"/>
      <c r="AO727" s="19"/>
      <c r="AP727" s="19"/>
      <c r="AQ727" s="19"/>
      <c r="AR727" s="19"/>
      <c r="AS727" s="19"/>
      <c r="AT727" s="19"/>
      <c r="AU727" s="19"/>
      <c r="AV727" s="19"/>
      <c r="AW727" s="19"/>
      <c r="AX727" s="19"/>
      <c r="AY727" s="19"/>
      <c r="AZ727" s="19"/>
      <c r="BA727" s="19"/>
      <c r="BB727" s="19"/>
      <c r="BC727" s="19"/>
      <c r="BD727" s="19"/>
      <c r="BE727" s="19"/>
      <c r="BF727" s="19"/>
      <c r="BG727" s="19"/>
      <c r="BH727" s="19"/>
      <c r="BI727" s="19"/>
      <c r="BJ727" s="19"/>
      <c r="BK727" s="19"/>
      <c r="BL727" s="19"/>
      <c r="BM727" s="19"/>
      <c r="BN727" s="19"/>
      <c r="BO727" s="20"/>
      <c r="BP727" s="19"/>
      <c r="BQ727" s="19"/>
      <c r="BR727" s="19"/>
      <c r="BS727" s="19"/>
      <c r="BT727" s="19"/>
      <c r="BU727" s="19"/>
    </row>
    <row r="728" spans="1:73" ht="12" customHeight="1">
      <c r="A728" s="1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19"/>
      <c r="AG728" s="19"/>
      <c r="AH728" s="19"/>
      <c r="AI728" s="19"/>
      <c r="AJ728" s="20"/>
      <c r="AK728" s="19"/>
      <c r="AL728" s="19"/>
      <c r="AM728" s="19"/>
      <c r="AN728" s="19"/>
      <c r="AO728" s="19"/>
      <c r="AP728" s="19"/>
      <c r="AQ728" s="19"/>
      <c r="AR728" s="19"/>
      <c r="AS728" s="19"/>
      <c r="AT728" s="19"/>
      <c r="AU728" s="19"/>
      <c r="AV728" s="19"/>
      <c r="AW728" s="19"/>
      <c r="AX728" s="19"/>
      <c r="AY728" s="19"/>
      <c r="AZ728" s="19"/>
      <c r="BA728" s="19"/>
      <c r="BB728" s="19"/>
      <c r="BC728" s="19"/>
      <c r="BD728" s="19"/>
      <c r="BE728" s="19"/>
      <c r="BF728" s="19"/>
      <c r="BG728" s="19"/>
      <c r="BH728" s="19"/>
      <c r="BI728" s="19"/>
      <c r="BJ728" s="19"/>
      <c r="BK728" s="19"/>
      <c r="BL728" s="19"/>
      <c r="BM728" s="19"/>
      <c r="BN728" s="19"/>
      <c r="BO728" s="20"/>
      <c r="BP728" s="19"/>
      <c r="BQ728" s="19"/>
      <c r="BR728" s="19"/>
      <c r="BS728" s="19"/>
      <c r="BT728" s="19"/>
      <c r="BU728" s="19"/>
    </row>
    <row r="729" spans="1:73" ht="12" customHeight="1">
      <c r="A729" s="1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/>
      <c r="AD729" s="19"/>
      <c r="AE729" s="19"/>
      <c r="AF729" s="19"/>
      <c r="AG729" s="19"/>
      <c r="AH729" s="19"/>
      <c r="AI729" s="19"/>
      <c r="AJ729" s="20"/>
      <c r="AK729" s="19"/>
      <c r="AL729" s="19"/>
      <c r="AM729" s="19"/>
      <c r="AN729" s="19"/>
      <c r="AO729" s="19"/>
      <c r="AP729" s="19"/>
      <c r="AQ729" s="19"/>
      <c r="AR729" s="19"/>
      <c r="AS729" s="19"/>
      <c r="AT729" s="19"/>
      <c r="AU729" s="19"/>
      <c r="AV729" s="19"/>
      <c r="AW729" s="19"/>
      <c r="AX729" s="19"/>
      <c r="AY729" s="19"/>
      <c r="AZ729" s="19"/>
      <c r="BA729" s="19"/>
      <c r="BB729" s="19"/>
      <c r="BC729" s="19"/>
      <c r="BD729" s="19"/>
      <c r="BE729" s="19"/>
      <c r="BF729" s="19"/>
      <c r="BG729" s="19"/>
      <c r="BH729" s="19"/>
      <c r="BI729" s="19"/>
      <c r="BJ729" s="19"/>
      <c r="BK729" s="19"/>
      <c r="BL729" s="19"/>
      <c r="BM729" s="19"/>
      <c r="BN729" s="19"/>
      <c r="BO729" s="20"/>
      <c r="BP729" s="19"/>
      <c r="BQ729" s="19"/>
      <c r="BR729" s="19"/>
      <c r="BS729" s="19"/>
      <c r="BT729" s="19"/>
      <c r="BU729" s="19"/>
    </row>
    <row r="730" spans="1:73" ht="12" customHeight="1">
      <c r="A730" s="1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19"/>
      <c r="AG730" s="19"/>
      <c r="AH730" s="19"/>
      <c r="AI730" s="19"/>
      <c r="AJ730" s="20"/>
      <c r="AK730" s="19"/>
      <c r="AL730" s="19"/>
      <c r="AM730" s="19"/>
      <c r="AN730" s="19"/>
      <c r="AO730" s="19"/>
      <c r="AP730" s="19"/>
      <c r="AQ730" s="19"/>
      <c r="AR730" s="19"/>
      <c r="AS730" s="19"/>
      <c r="AT730" s="19"/>
      <c r="AU730" s="19"/>
      <c r="AV730" s="19"/>
      <c r="AW730" s="19"/>
      <c r="AX730" s="19"/>
      <c r="AY730" s="19"/>
      <c r="AZ730" s="19"/>
      <c r="BA730" s="19"/>
      <c r="BB730" s="19"/>
      <c r="BC730" s="19"/>
      <c r="BD730" s="19"/>
      <c r="BE730" s="19"/>
      <c r="BF730" s="19"/>
      <c r="BG730" s="19"/>
      <c r="BH730" s="19"/>
      <c r="BI730" s="19"/>
      <c r="BJ730" s="19"/>
      <c r="BK730" s="19"/>
      <c r="BL730" s="19"/>
      <c r="BM730" s="19"/>
      <c r="BN730" s="19"/>
      <c r="BO730" s="20"/>
      <c r="BP730" s="19"/>
      <c r="BQ730" s="19"/>
      <c r="BR730" s="19"/>
      <c r="BS730" s="19"/>
      <c r="BT730" s="19"/>
      <c r="BU730" s="19"/>
    </row>
    <row r="731" spans="1:73" ht="12" customHeight="1">
      <c r="A731" s="1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/>
      <c r="AD731" s="19"/>
      <c r="AE731" s="19"/>
      <c r="AF731" s="19"/>
      <c r="AG731" s="19"/>
      <c r="AH731" s="19"/>
      <c r="AI731" s="19"/>
      <c r="AJ731" s="20"/>
      <c r="AK731" s="19"/>
      <c r="AL731" s="19"/>
      <c r="AM731" s="19"/>
      <c r="AN731" s="19"/>
      <c r="AO731" s="19"/>
      <c r="AP731" s="19"/>
      <c r="AQ731" s="19"/>
      <c r="AR731" s="19"/>
      <c r="AS731" s="19"/>
      <c r="AT731" s="19"/>
      <c r="AU731" s="19"/>
      <c r="AV731" s="19"/>
      <c r="AW731" s="19"/>
      <c r="AX731" s="19"/>
      <c r="AY731" s="19"/>
      <c r="AZ731" s="19"/>
      <c r="BA731" s="19"/>
      <c r="BB731" s="19"/>
      <c r="BC731" s="19"/>
      <c r="BD731" s="19"/>
      <c r="BE731" s="19"/>
      <c r="BF731" s="19"/>
      <c r="BG731" s="19"/>
      <c r="BH731" s="19"/>
      <c r="BI731" s="19"/>
      <c r="BJ731" s="19"/>
      <c r="BK731" s="19"/>
      <c r="BL731" s="19"/>
      <c r="BM731" s="19"/>
      <c r="BN731" s="19"/>
      <c r="BO731" s="20"/>
      <c r="BP731" s="19"/>
      <c r="BQ731" s="19"/>
      <c r="BR731" s="19"/>
      <c r="BS731" s="19"/>
      <c r="BT731" s="19"/>
      <c r="BU731" s="19"/>
    </row>
    <row r="732" spans="1:73" ht="12" customHeight="1">
      <c r="A732" s="1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19"/>
      <c r="AG732" s="19"/>
      <c r="AH732" s="19"/>
      <c r="AI732" s="19"/>
      <c r="AJ732" s="20"/>
      <c r="AK732" s="19"/>
      <c r="AL732" s="19"/>
      <c r="AM732" s="19"/>
      <c r="AN732" s="19"/>
      <c r="AO732" s="19"/>
      <c r="AP732" s="19"/>
      <c r="AQ732" s="19"/>
      <c r="AR732" s="19"/>
      <c r="AS732" s="19"/>
      <c r="AT732" s="19"/>
      <c r="AU732" s="19"/>
      <c r="AV732" s="19"/>
      <c r="AW732" s="19"/>
      <c r="AX732" s="19"/>
      <c r="AY732" s="19"/>
      <c r="AZ732" s="19"/>
      <c r="BA732" s="19"/>
      <c r="BB732" s="19"/>
      <c r="BC732" s="19"/>
      <c r="BD732" s="19"/>
      <c r="BE732" s="19"/>
      <c r="BF732" s="19"/>
      <c r="BG732" s="19"/>
      <c r="BH732" s="19"/>
      <c r="BI732" s="19"/>
      <c r="BJ732" s="19"/>
      <c r="BK732" s="19"/>
      <c r="BL732" s="19"/>
      <c r="BM732" s="19"/>
      <c r="BN732" s="19"/>
      <c r="BO732" s="20"/>
      <c r="BP732" s="19"/>
      <c r="BQ732" s="19"/>
      <c r="BR732" s="19"/>
      <c r="BS732" s="19"/>
      <c r="BT732" s="19"/>
      <c r="BU732" s="19"/>
    </row>
    <row r="733" spans="1:73" ht="12" customHeight="1">
      <c r="A733" s="1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19"/>
      <c r="AG733" s="19"/>
      <c r="AH733" s="19"/>
      <c r="AI733" s="19"/>
      <c r="AJ733" s="20"/>
      <c r="AK733" s="19"/>
      <c r="AL733" s="19"/>
      <c r="AM733" s="19"/>
      <c r="AN733" s="19"/>
      <c r="AO733" s="19"/>
      <c r="AP733" s="19"/>
      <c r="AQ733" s="19"/>
      <c r="AR733" s="19"/>
      <c r="AS733" s="19"/>
      <c r="AT733" s="19"/>
      <c r="AU733" s="19"/>
      <c r="AV733" s="19"/>
      <c r="AW733" s="19"/>
      <c r="AX733" s="19"/>
      <c r="AY733" s="19"/>
      <c r="AZ733" s="19"/>
      <c r="BA733" s="19"/>
      <c r="BB733" s="19"/>
      <c r="BC733" s="19"/>
      <c r="BD733" s="19"/>
      <c r="BE733" s="19"/>
      <c r="BF733" s="19"/>
      <c r="BG733" s="19"/>
      <c r="BH733" s="19"/>
      <c r="BI733" s="19"/>
      <c r="BJ733" s="19"/>
      <c r="BK733" s="19"/>
      <c r="BL733" s="19"/>
      <c r="BM733" s="19"/>
      <c r="BN733" s="19"/>
      <c r="BO733" s="20"/>
      <c r="BP733" s="19"/>
      <c r="BQ733" s="19"/>
      <c r="BR733" s="19"/>
      <c r="BS733" s="19"/>
      <c r="BT733" s="19"/>
      <c r="BU733" s="19"/>
    </row>
    <row r="734" spans="1:73" ht="12" customHeight="1">
      <c r="A734" s="1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19"/>
      <c r="AG734" s="19"/>
      <c r="AH734" s="19"/>
      <c r="AI734" s="19"/>
      <c r="AJ734" s="20"/>
      <c r="AK734" s="19"/>
      <c r="AL734" s="19"/>
      <c r="AM734" s="19"/>
      <c r="AN734" s="19"/>
      <c r="AO734" s="19"/>
      <c r="AP734" s="19"/>
      <c r="AQ734" s="19"/>
      <c r="AR734" s="19"/>
      <c r="AS734" s="19"/>
      <c r="AT734" s="19"/>
      <c r="AU734" s="19"/>
      <c r="AV734" s="19"/>
      <c r="AW734" s="19"/>
      <c r="AX734" s="19"/>
      <c r="AY734" s="19"/>
      <c r="AZ734" s="19"/>
      <c r="BA734" s="19"/>
      <c r="BB734" s="19"/>
      <c r="BC734" s="19"/>
      <c r="BD734" s="19"/>
      <c r="BE734" s="19"/>
      <c r="BF734" s="19"/>
      <c r="BG734" s="19"/>
      <c r="BH734" s="19"/>
      <c r="BI734" s="19"/>
      <c r="BJ734" s="19"/>
      <c r="BK734" s="19"/>
      <c r="BL734" s="19"/>
      <c r="BM734" s="19"/>
      <c r="BN734" s="19"/>
      <c r="BO734" s="20"/>
      <c r="BP734" s="19"/>
      <c r="BQ734" s="19"/>
      <c r="BR734" s="19"/>
      <c r="BS734" s="19"/>
      <c r="BT734" s="19"/>
      <c r="BU734" s="19"/>
    </row>
    <row r="735" spans="1:73" ht="12" customHeight="1">
      <c r="A735" s="1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/>
      <c r="AD735" s="19"/>
      <c r="AE735" s="19"/>
      <c r="AF735" s="19"/>
      <c r="AG735" s="19"/>
      <c r="AH735" s="19"/>
      <c r="AI735" s="19"/>
      <c r="AJ735" s="20"/>
      <c r="AK735" s="19"/>
      <c r="AL735" s="19"/>
      <c r="AM735" s="19"/>
      <c r="AN735" s="19"/>
      <c r="AO735" s="19"/>
      <c r="AP735" s="19"/>
      <c r="AQ735" s="19"/>
      <c r="AR735" s="19"/>
      <c r="AS735" s="19"/>
      <c r="AT735" s="19"/>
      <c r="AU735" s="19"/>
      <c r="AV735" s="19"/>
      <c r="AW735" s="19"/>
      <c r="AX735" s="19"/>
      <c r="AY735" s="19"/>
      <c r="AZ735" s="19"/>
      <c r="BA735" s="19"/>
      <c r="BB735" s="19"/>
      <c r="BC735" s="19"/>
      <c r="BD735" s="19"/>
      <c r="BE735" s="19"/>
      <c r="BF735" s="19"/>
      <c r="BG735" s="19"/>
      <c r="BH735" s="19"/>
      <c r="BI735" s="19"/>
      <c r="BJ735" s="19"/>
      <c r="BK735" s="19"/>
      <c r="BL735" s="19"/>
      <c r="BM735" s="19"/>
      <c r="BN735" s="19"/>
      <c r="BO735" s="20"/>
      <c r="BP735" s="19"/>
      <c r="BQ735" s="19"/>
      <c r="BR735" s="19"/>
      <c r="BS735" s="19"/>
      <c r="BT735" s="19"/>
      <c r="BU735" s="19"/>
    </row>
    <row r="736" spans="1:73" ht="12" customHeight="1">
      <c r="A736" s="1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19"/>
      <c r="AG736" s="19"/>
      <c r="AH736" s="19"/>
      <c r="AI736" s="19"/>
      <c r="AJ736" s="20"/>
      <c r="AK736" s="19"/>
      <c r="AL736" s="19"/>
      <c r="AM736" s="19"/>
      <c r="AN736" s="19"/>
      <c r="AO736" s="19"/>
      <c r="AP736" s="19"/>
      <c r="AQ736" s="19"/>
      <c r="AR736" s="19"/>
      <c r="AS736" s="19"/>
      <c r="AT736" s="19"/>
      <c r="AU736" s="19"/>
      <c r="AV736" s="19"/>
      <c r="AW736" s="19"/>
      <c r="AX736" s="19"/>
      <c r="AY736" s="19"/>
      <c r="AZ736" s="19"/>
      <c r="BA736" s="19"/>
      <c r="BB736" s="19"/>
      <c r="BC736" s="19"/>
      <c r="BD736" s="19"/>
      <c r="BE736" s="19"/>
      <c r="BF736" s="19"/>
      <c r="BG736" s="19"/>
      <c r="BH736" s="19"/>
      <c r="BI736" s="19"/>
      <c r="BJ736" s="19"/>
      <c r="BK736" s="19"/>
      <c r="BL736" s="19"/>
      <c r="BM736" s="19"/>
      <c r="BN736" s="19"/>
      <c r="BO736" s="20"/>
      <c r="BP736" s="19"/>
      <c r="BQ736" s="19"/>
      <c r="BR736" s="19"/>
      <c r="BS736" s="19"/>
      <c r="BT736" s="19"/>
      <c r="BU736" s="19"/>
    </row>
    <row r="737" spans="1:73" ht="12" customHeight="1">
      <c r="A737" s="1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/>
      <c r="AD737" s="19"/>
      <c r="AE737" s="19"/>
      <c r="AF737" s="19"/>
      <c r="AG737" s="19"/>
      <c r="AH737" s="19"/>
      <c r="AI737" s="19"/>
      <c r="AJ737" s="20"/>
      <c r="AK737" s="19"/>
      <c r="AL737" s="19"/>
      <c r="AM737" s="19"/>
      <c r="AN737" s="19"/>
      <c r="AO737" s="19"/>
      <c r="AP737" s="19"/>
      <c r="AQ737" s="19"/>
      <c r="AR737" s="19"/>
      <c r="AS737" s="19"/>
      <c r="AT737" s="19"/>
      <c r="AU737" s="19"/>
      <c r="AV737" s="19"/>
      <c r="AW737" s="19"/>
      <c r="AX737" s="19"/>
      <c r="AY737" s="19"/>
      <c r="AZ737" s="19"/>
      <c r="BA737" s="19"/>
      <c r="BB737" s="19"/>
      <c r="BC737" s="19"/>
      <c r="BD737" s="19"/>
      <c r="BE737" s="19"/>
      <c r="BF737" s="19"/>
      <c r="BG737" s="19"/>
      <c r="BH737" s="19"/>
      <c r="BI737" s="19"/>
      <c r="BJ737" s="19"/>
      <c r="BK737" s="19"/>
      <c r="BL737" s="19"/>
      <c r="BM737" s="19"/>
      <c r="BN737" s="19"/>
      <c r="BO737" s="20"/>
      <c r="BP737" s="19"/>
      <c r="BQ737" s="19"/>
      <c r="BR737" s="19"/>
      <c r="BS737" s="19"/>
      <c r="BT737" s="19"/>
      <c r="BU737" s="19"/>
    </row>
    <row r="738" spans="1:73" ht="12" customHeight="1">
      <c r="A738" s="1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19"/>
      <c r="AG738" s="19"/>
      <c r="AH738" s="19"/>
      <c r="AI738" s="19"/>
      <c r="AJ738" s="20"/>
      <c r="AK738" s="19"/>
      <c r="AL738" s="19"/>
      <c r="AM738" s="19"/>
      <c r="AN738" s="19"/>
      <c r="AO738" s="19"/>
      <c r="AP738" s="19"/>
      <c r="AQ738" s="19"/>
      <c r="AR738" s="19"/>
      <c r="AS738" s="19"/>
      <c r="AT738" s="19"/>
      <c r="AU738" s="19"/>
      <c r="AV738" s="19"/>
      <c r="AW738" s="19"/>
      <c r="AX738" s="19"/>
      <c r="AY738" s="19"/>
      <c r="AZ738" s="19"/>
      <c r="BA738" s="19"/>
      <c r="BB738" s="19"/>
      <c r="BC738" s="19"/>
      <c r="BD738" s="19"/>
      <c r="BE738" s="19"/>
      <c r="BF738" s="19"/>
      <c r="BG738" s="19"/>
      <c r="BH738" s="19"/>
      <c r="BI738" s="19"/>
      <c r="BJ738" s="19"/>
      <c r="BK738" s="19"/>
      <c r="BL738" s="19"/>
      <c r="BM738" s="19"/>
      <c r="BN738" s="19"/>
      <c r="BO738" s="20"/>
      <c r="BP738" s="19"/>
      <c r="BQ738" s="19"/>
      <c r="BR738" s="19"/>
      <c r="BS738" s="19"/>
      <c r="BT738" s="19"/>
      <c r="BU738" s="19"/>
    </row>
    <row r="739" spans="1:73" ht="12" customHeight="1">
      <c r="A739" s="1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/>
      <c r="AD739" s="19"/>
      <c r="AE739" s="19"/>
      <c r="AF739" s="19"/>
      <c r="AG739" s="19"/>
      <c r="AH739" s="19"/>
      <c r="AI739" s="19"/>
      <c r="AJ739" s="20"/>
      <c r="AK739" s="19"/>
      <c r="AL739" s="19"/>
      <c r="AM739" s="19"/>
      <c r="AN739" s="19"/>
      <c r="AO739" s="19"/>
      <c r="AP739" s="19"/>
      <c r="AQ739" s="19"/>
      <c r="AR739" s="19"/>
      <c r="AS739" s="19"/>
      <c r="AT739" s="19"/>
      <c r="AU739" s="19"/>
      <c r="AV739" s="19"/>
      <c r="AW739" s="19"/>
      <c r="AX739" s="19"/>
      <c r="AY739" s="19"/>
      <c r="AZ739" s="19"/>
      <c r="BA739" s="19"/>
      <c r="BB739" s="19"/>
      <c r="BC739" s="19"/>
      <c r="BD739" s="19"/>
      <c r="BE739" s="19"/>
      <c r="BF739" s="19"/>
      <c r="BG739" s="19"/>
      <c r="BH739" s="19"/>
      <c r="BI739" s="19"/>
      <c r="BJ739" s="19"/>
      <c r="BK739" s="19"/>
      <c r="BL739" s="19"/>
      <c r="BM739" s="19"/>
      <c r="BN739" s="19"/>
      <c r="BO739" s="20"/>
      <c r="BP739" s="19"/>
      <c r="BQ739" s="19"/>
      <c r="BR739" s="19"/>
      <c r="BS739" s="19"/>
      <c r="BT739" s="19"/>
      <c r="BU739" s="19"/>
    </row>
    <row r="740" spans="1:73" ht="12" customHeight="1">
      <c r="A740" s="1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19"/>
      <c r="AG740" s="19"/>
      <c r="AH740" s="19"/>
      <c r="AI740" s="19"/>
      <c r="AJ740" s="20"/>
      <c r="AK740" s="19"/>
      <c r="AL740" s="19"/>
      <c r="AM740" s="19"/>
      <c r="AN740" s="19"/>
      <c r="AO740" s="19"/>
      <c r="AP740" s="19"/>
      <c r="AQ740" s="19"/>
      <c r="AR740" s="19"/>
      <c r="AS740" s="19"/>
      <c r="AT740" s="19"/>
      <c r="AU740" s="19"/>
      <c r="AV740" s="19"/>
      <c r="AW740" s="19"/>
      <c r="AX740" s="19"/>
      <c r="AY740" s="19"/>
      <c r="AZ740" s="19"/>
      <c r="BA740" s="19"/>
      <c r="BB740" s="19"/>
      <c r="BC740" s="19"/>
      <c r="BD740" s="19"/>
      <c r="BE740" s="19"/>
      <c r="BF740" s="19"/>
      <c r="BG740" s="19"/>
      <c r="BH740" s="19"/>
      <c r="BI740" s="19"/>
      <c r="BJ740" s="19"/>
      <c r="BK740" s="19"/>
      <c r="BL740" s="19"/>
      <c r="BM740" s="19"/>
      <c r="BN740" s="19"/>
      <c r="BO740" s="20"/>
      <c r="BP740" s="19"/>
      <c r="BQ740" s="19"/>
      <c r="BR740" s="19"/>
      <c r="BS740" s="19"/>
      <c r="BT740" s="19"/>
      <c r="BU740" s="19"/>
    </row>
    <row r="741" spans="1:73" ht="12" customHeight="1">
      <c r="A741" s="1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/>
      <c r="AD741" s="19"/>
      <c r="AE741" s="19"/>
      <c r="AF741" s="19"/>
      <c r="AG741" s="19"/>
      <c r="AH741" s="19"/>
      <c r="AI741" s="19"/>
      <c r="AJ741" s="20"/>
      <c r="AK741" s="19"/>
      <c r="AL741" s="19"/>
      <c r="AM741" s="19"/>
      <c r="AN741" s="19"/>
      <c r="AO741" s="19"/>
      <c r="AP741" s="19"/>
      <c r="AQ741" s="19"/>
      <c r="AR741" s="19"/>
      <c r="AS741" s="19"/>
      <c r="AT741" s="19"/>
      <c r="AU741" s="19"/>
      <c r="AV741" s="19"/>
      <c r="AW741" s="19"/>
      <c r="AX741" s="19"/>
      <c r="AY741" s="19"/>
      <c r="AZ741" s="19"/>
      <c r="BA741" s="19"/>
      <c r="BB741" s="19"/>
      <c r="BC741" s="19"/>
      <c r="BD741" s="19"/>
      <c r="BE741" s="19"/>
      <c r="BF741" s="19"/>
      <c r="BG741" s="19"/>
      <c r="BH741" s="19"/>
      <c r="BI741" s="19"/>
      <c r="BJ741" s="19"/>
      <c r="BK741" s="19"/>
      <c r="BL741" s="19"/>
      <c r="BM741" s="19"/>
      <c r="BN741" s="19"/>
      <c r="BO741" s="20"/>
      <c r="BP741" s="19"/>
      <c r="BQ741" s="19"/>
      <c r="BR741" s="19"/>
      <c r="BS741" s="19"/>
      <c r="BT741" s="19"/>
      <c r="BU741" s="19"/>
    </row>
    <row r="742" spans="1:73" ht="12" customHeight="1">
      <c r="A742" s="1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19"/>
      <c r="AG742" s="19"/>
      <c r="AH742" s="19"/>
      <c r="AI742" s="19"/>
      <c r="AJ742" s="20"/>
      <c r="AK742" s="19"/>
      <c r="AL742" s="19"/>
      <c r="AM742" s="19"/>
      <c r="AN742" s="19"/>
      <c r="AO742" s="19"/>
      <c r="AP742" s="19"/>
      <c r="AQ742" s="19"/>
      <c r="AR742" s="19"/>
      <c r="AS742" s="19"/>
      <c r="AT742" s="19"/>
      <c r="AU742" s="19"/>
      <c r="AV742" s="19"/>
      <c r="AW742" s="19"/>
      <c r="AX742" s="19"/>
      <c r="AY742" s="19"/>
      <c r="AZ742" s="19"/>
      <c r="BA742" s="19"/>
      <c r="BB742" s="19"/>
      <c r="BC742" s="19"/>
      <c r="BD742" s="19"/>
      <c r="BE742" s="19"/>
      <c r="BF742" s="19"/>
      <c r="BG742" s="19"/>
      <c r="BH742" s="19"/>
      <c r="BI742" s="19"/>
      <c r="BJ742" s="19"/>
      <c r="BK742" s="19"/>
      <c r="BL742" s="19"/>
      <c r="BM742" s="19"/>
      <c r="BN742" s="19"/>
      <c r="BO742" s="20"/>
      <c r="BP742" s="19"/>
      <c r="BQ742" s="19"/>
      <c r="BR742" s="19"/>
      <c r="BS742" s="19"/>
      <c r="BT742" s="19"/>
      <c r="BU742" s="19"/>
    </row>
    <row r="743" spans="1:73" ht="12" customHeight="1">
      <c r="A743" s="1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/>
      <c r="AD743" s="19"/>
      <c r="AE743" s="19"/>
      <c r="AF743" s="19"/>
      <c r="AG743" s="19"/>
      <c r="AH743" s="19"/>
      <c r="AI743" s="19"/>
      <c r="AJ743" s="20"/>
      <c r="AK743" s="19"/>
      <c r="AL743" s="19"/>
      <c r="AM743" s="19"/>
      <c r="AN743" s="19"/>
      <c r="AO743" s="19"/>
      <c r="AP743" s="19"/>
      <c r="AQ743" s="19"/>
      <c r="AR743" s="19"/>
      <c r="AS743" s="19"/>
      <c r="AT743" s="19"/>
      <c r="AU743" s="19"/>
      <c r="AV743" s="19"/>
      <c r="AW743" s="19"/>
      <c r="AX743" s="19"/>
      <c r="AY743" s="19"/>
      <c r="AZ743" s="19"/>
      <c r="BA743" s="19"/>
      <c r="BB743" s="19"/>
      <c r="BC743" s="19"/>
      <c r="BD743" s="19"/>
      <c r="BE743" s="19"/>
      <c r="BF743" s="19"/>
      <c r="BG743" s="19"/>
      <c r="BH743" s="19"/>
      <c r="BI743" s="19"/>
      <c r="BJ743" s="19"/>
      <c r="BK743" s="19"/>
      <c r="BL743" s="19"/>
      <c r="BM743" s="19"/>
      <c r="BN743" s="19"/>
      <c r="BO743" s="20"/>
      <c r="BP743" s="19"/>
      <c r="BQ743" s="19"/>
      <c r="BR743" s="19"/>
      <c r="BS743" s="19"/>
      <c r="BT743" s="19"/>
      <c r="BU743" s="19"/>
    </row>
    <row r="744" spans="1:73" ht="12" customHeight="1">
      <c r="A744" s="1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19"/>
      <c r="AG744" s="19"/>
      <c r="AH744" s="19"/>
      <c r="AI744" s="19"/>
      <c r="AJ744" s="20"/>
      <c r="AK744" s="19"/>
      <c r="AL744" s="19"/>
      <c r="AM744" s="19"/>
      <c r="AN744" s="19"/>
      <c r="AO744" s="19"/>
      <c r="AP744" s="19"/>
      <c r="AQ744" s="19"/>
      <c r="AR744" s="19"/>
      <c r="AS744" s="19"/>
      <c r="AT744" s="19"/>
      <c r="AU744" s="19"/>
      <c r="AV744" s="19"/>
      <c r="AW744" s="19"/>
      <c r="AX744" s="19"/>
      <c r="AY744" s="19"/>
      <c r="AZ744" s="19"/>
      <c r="BA744" s="19"/>
      <c r="BB744" s="19"/>
      <c r="BC744" s="19"/>
      <c r="BD744" s="19"/>
      <c r="BE744" s="19"/>
      <c r="BF744" s="19"/>
      <c r="BG744" s="19"/>
      <c r="BH744" s="19"/>
      <c r="BI744" s="19"/>
      <c r="BJ744" s="19"/>
      <c r="BK744" s="19"/>
      <c r="BL744" s="19"/>
      <c r="BM744" s="19"/>
      <c r="BN744" s="19"/>
      <c r="BO744" s="20"/>
      <c r="BP744" s="19"/>
      <c r="BQ744" s="19"/>
      <c r="BR744" s="19"/>
      <c r="BS744" s="19"/>
      <c r="BT744" s="19"/>
      <c r="BU744" s="19"/>
    </row>
    <row r="745" spans="1:73" ht="12" customHeight="1">
      <c r="A745" s="1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/>
      <c r="AD745" s="19"/>
      <c r="AE745" s="19"/>
      <c r="AF745" s="19"/>
      <c r="AG745" s="19"/>
      <c r="AH745" s="19"/>
      <c r="AI745" s="19"/>
      <c r="AJ745" s="20"/>
      <c r="AK745" s="19"/>
      <c r="AL745" s="19"/>
      <c r="AM745" s="19"/>
      <c r="AN745" s="19"/>
      <c r="AO745" s="19"/>
      <c r="AP745" s="19"/>
      <c r="AQ745" s="19"/>
      <c r="AR745" s="19"/>
      <c r="AS745" s="19"/>
      <c r="AT745" s="19"/>
      <c r="AU745" s="19"/>
      <c r="AV745" s="19"/>
      <c r="AW745" s="19"/>
      <c r="AX745" s="19"/>
      <c r="AY745" s="19"/>
      <c r="AZ745" s="19"/>
      <c r="BA745" s="19"/>
      <c r="BB745" s="19"/>
      <c r="BC745" s="19"/>
      <c r="BD745" s="19"/>
      <c r="BE745" s="19"/>
      <c r="BF745" s="19"/>
      <c r="BG745" s="19"/>
      <c r="BH745" s="19"/>
      <c r="BI745" s="19"/>
      <c r="BJ745" s="19"/>
      <c r="BK745" s="19"/>
      <c r="BL745" s="19"/>
      <c r="BM745" s="19"/>
      <c r="BN745" s="19"/>
      <c r="BO745" s="20"/>
      <c r="BP745" s="19"/>
      <c r="BQ745" s="19"/>
      <c r="BR745" s="19"/>
      <c r="BS745" s="19"/>
      <c r="BT745" s="19"/>
      <c r="BU745" s="19"/>
    </row>
    <row r="746" spans="1:73" ht="12" customHeight="1">
      <c r="A746" s="1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19"/>
      <c r="AG746" s="19"/>
      <c r="AH746" s="19"/>
      <c r="AI746" s="19"/>
      <c r="AJ746" s="20"/>
      <c r="AK746" s="19"/>
      <c r="AL746" s="19"/>
      <c r="AM746" s="19"/>
      <c r="AN746" s="19"/>
      <c r="AO746" s="19"/>
      <c r="AP746" s="19"/>
      <c r="AQ746" s="19"/>
      <c r="AR746" s="19"/>
      <c r="AS746" s="19"/>
      <c r="AT746" s="19"/>
      <c r="AU746" s="19"/>
      <c r="AV746" s="19"/>
      <c r="AW746" s="19"/>
      <c r="AX746" s="19"/>
      <c r="AY746" s="19"/>
      <c r="AZ746" s="19"/>
      <c r="BA746" s="19"/>
      <c r="BB746" s="19"/>
      <c r="BC746" s="19"/>
      <c r="BD746" s="19"/>
      <c r="BE746" s="19"/>
      <c r="BF746" s="19"/>
      <c r="BG746" s="19"/>
      <c r="BH746" s="19"/>
      <c r="BI746" s="19"/>
      <c r="BJ746" s="19"/>
      <c r="BK746" s="19"/>
      <c r="BL746" s="19"/>
      <c r="BM746" s="19"/>
      <c r="BN746" s="19"/>
      <c r="BO746" s="20"/>
      <c r="BP746" s="19"/>
      <c r="BQ746" s="19"/>
      <c r="BR746" s="19"/>
      <c r="BS746" s="19"/>
      <c r="BT746" s="19"/>
      <c r="BU746" s="19"/>
    </row>
    <row r="747" spans="1:73" ht="12" customHeight="1">
      <c r="A747" s="1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19"/>
      <c r="AG747" s="19"/>
      <c r="AH747" s="19"/>
      <c r="AI747" s="19"/>
      <c r="AJ747" s="20"/>
      <c r="AK747" s="19"/>
      <c r="AL747" s="19"/>
      <c r="AM747" s="19"/>
      <c r="AN747" s="19"/>
      <c r="AO747" s="19"/>
      <c r="AP747" s="19"/>
      <c r="AQ747" s="19"/>
      <c r="AR747" s="19"/>
      <c r="AS747" s="19"/>
      <c r="AT747" s="19"/>
      <c r="AU747" s="19"/>
      <c r="AV747" s="19"/>
      <c r="AW747" s="19"/>
      <c r="AX747" s="19"/>
      <c r="AY747" s="19"/>
      <c r="AZ747" s="19"/>
      <c r="BA747" s="19"/>
      <c r="BB747" s="19"/>
      <c r="BC747" s="19"/>
      <c r="BD747" s="19"/>
      <c r="BE747" s="19"/>
      <c r="BF747" s="19"/>
      <c r="BG747" s="19"/>
      <c r="BH747" s="19"/>
      <c r="BI747" s="19"/>
      <c r="BJ747" s="19"/>
      <c r="BK747" s="19"/>
      <c r="BL747" s="19"/>
      <c r="BM747" s="19"/>
      <c r="BN747" s="19"/>
      <c r="BO747" s="20"/>
      <c r="BP747" s="19"/>
      <c r="BQ747" s="19"/>
      <c r="BR747" s="19"/>
      <c r="BS747" s="19"/>
      <c r="BT747" s="19"/>
      <c r="BU747" s="19"/>
    </row>
    <row r="748" spans="1:73" ht="12" customHeight="1">
      <c r="A748" s="1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19"/>
      <c r="AG748" s="19"/>
      <c r="AH748" s="19"/>
      <c r="AI748" s="19"/>
      <c r="AJ748" s="20"/>
      <c r="AK748" s="19"/>
      <c r="AL748" s="19"/>
      <c r="AM748" s="19"/>
      <c r="AN748" s="19"/>
      <c r="AO748" s="19"/>
      <c r="AP748" s="19"/>
      <c r="AQ748" s="19"/>
      <c r="AR748" s="19"/>
      <c r="AS748" s="19"/>
      <c r="AT748" s="19"/>
      <c r="AU748" s="19"/>
      <c r="AV748" s="19"/>
      <c r="AW748" s="19"/>
      <c r="AX748" s="19"/>
      <c r="AY748" s="19"/>
      <c r="AZ748" s="19"/>
      <c r="BA748" s="19"/>
      <c r="BB748" s="19"/>
      <c r="BC748" s="19"/>
      <c r="BD748" s="19"/>
      <c r="BE748" s="19"/>
      <c r="BF748" s="19"/>
      <c r="BG748" s="19"/>
      <c r="BH748" s="19"/>
      <c r="BI748" s="19"/>
      <c r="BJ748" s="19"/>
      <c r="BK748" s="19"/>
      <c r="BL748" s="19"/>
      <c r="BM748" s="19"/>
      <c r="BN748" s="19"/>
      <c r="BO748" s="20"/>
      <c r="BP748" s="19"/>
      <c r="BQ748" s="19"/>
      <c r="BR748" s="19"/>
      <c r="BS748" s="19"/>
      <c r="BT748" s="19"/>
      <c r="BU748" s="19"/>
    </row>
    <row r="749" spans="1:73" ht="12" customHeight="1">
      <c r="A749" s="1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/>
      <c r="AD749" s="19"/>
      <c r="AE749" s="19"/>
      <c r="AF749" s="19"/>
      <c r="AG749" s="19"/>
      <c r="AH749" s="19"/>
      <c r="AI749" s="19"/>
      <c r="AJ749" s="20"/>
      <c r="AK749" s="19"/>
      <c r="AL749" s="19"/>
      <c r="AM749" s="19"/>
      <c r="AN749" s="19"/>
      <c r="AO749" s="19"/>
      <c r="AP749" s="19"/>
      <c r="AQ749" s="19"/>
      <c r="AR749" s="19"/>
      <c r="AS749" s="19"/>
      <c r="AT749" s="19"/>
      <c r="AU749" s="19"/>
      <c r="AV749" s="19"/>
      <c r="AW749" s="19"/>
      <c r="AX749" s="19"/>
      <c r="AY749" s="19"/>
      <c r="AZ749" s="19"/>
      <c r="BA749" s="19"/>
      <c r="BB749" s="19"/>
      <c r="BC749" s="19"/>
      <c r="BD749" s="19"/>
      <c r="BE749" s="19"/>
      <c r="BF749" s="19"/>
      <c r="BG749" s="19"/>
      <c r="BH749" s="19"/>
      <c r="BI749" s="19"/>
      <c r="BJ749" s="19"/>
      <c r="BK749" s="19"/>
      <c r="BL749" s="19"/>
      <c r="BM749" s="19"/>
      <c r="BN749" s="19"/>
      <c r="BO749" s="20"/>
      <c r="BP749" s="19"/>
      <c r="BQ749" s="19"/>
      <c r="BR749" s="19"/>
      <c r="BS749" s="19"/>
      <c r="BT749" s="19"/>
      <c r="BU749" s="19"/>
    </row>
    <row r="750" spans="1:73" ht="12" customHeight="1">
      <c r="A750" s="1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19"/>
      <c r="AG750" s="19"/>
      <c r="AH750" s="19"/>
      <c r="AI750" s="19"/>
      <c r="AJ750" s="20"/>
      <c r="AK750" s="19"/>
      <c r="AL750" s="19"/>
      <c r="AM750" s="19"/>
      <c r="AN750" s="19"/>
      <c r="AO750" s="19"/>
      <c r="AP750" s="19"/>
      <c r="AQ750" s="19"/>
      <c r="AR750" s="19"/>
      <c r="AS750" s="19"/>
      <c r="AT750" s="19"/>
      <c r="AU750" s="19"/>
      <c r="AV750" s="19"/>
      <c r="AW750" s="19"/>
      <c r="AX750" s="19"/>
      <c r="AY750" s="19"/>
      <c r="AZ750" s="19"/>
      <c r="BA750" s="19"/>
      <c r="BB750" s="19"/>
      <c r="BC750" s="19"/>
      <c r="BD750" s="19"/>
      <c r="BE750" s="19"/>
      <c r="BF750" s="19"/>
      <c r="BG750" s="19"/>
      <c r="BH750" s="19"/>
      <c r="BI750" s="19"/>
      <c r="BJ750" s="19"/>
      <c r="BK750" s="19"/>
      <c r="BL750" s="19"/>
      <c r="BM750" s="19"/>
      <c r="BN750" s="19"/>
      <c r="BO750" s="20"/>
      <c r="BP750" s="19"/>
      <c r="BQ750" s="19"/>
      <c r="BR750" s="19"/>
      <c r="BS750" s="19"/>
      <c r="BT750" s="19"/>
      <c r="BU750" s="19"/>
    </row>
    <row r="751" spans="1:73" ht="12" customHeight="1">
      <c r="A751" s="1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/>
      <c r="AD751" s="19"/>
      <c r="AE751" s="19"/>
      <c r="AF751" s="19"/>
      <c r="AG751" s="19"/>
      <c r="AH751" s="19"/>
      <c r="AI751" s="19"/>
      <c r="AJ751" s="20"/>
      <c r="AK751" s="19"/>
      <c r="AL751" s="19"/>
      <c r="AM751" s="19"/>
      <c r="AN751" s="19"/>
      <c r="AO751" s="19"/>
      <c r="AP751" s="19"/>
      <c r="AQ751" s="19"/>
      <c r="AR751" s="19"/>
      <c r="AS751" s="19"/>
      <c r="AT751" s="19"/>
      <c r="AU751" s="19"/>
      <c r="AV751" s="19"/>
      <c r="AW751" s="19"/>
      <c r="AX751" s="19"/>
      <c r="AY751" s="19"/>
      <c r="AZ751" s="19"/>
      <c r="BA751" s="19"/>
      <c r="BB751" s="19"/>
      <c r="BC751" s="19"/>
      <c r="BD751" s="19"/>
      <c r="BE751" s="19"/>
      <c r="BF751" s="19"/>
      <c r="BG751" s="19"/>
      <c r="BH751" s="19"/>
      <c r="BI751" s="19"/>
      <c r="BJ751" s="19"/>
      <c r="BK751" s="19"/>
      <c r="BL751" s="19"/>
      <c r="BM751" s="19"/>
      <c r="BN751" s="19"/>
      <c r="BO751" s="20"/>
      <c r="BP751" s="19"/>
      <c r="BQ751" s="19"/>
      <c r="BR751" s="19"/>
      <c r="BS751" s="19"/>
      <c r="BT751" s="19"/>
      <c r="BU751" s="19"/>
    </row>
    <row r="752" spans="1:73" ht="12" customHeight="1">
      <c r="A752" s="1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19"/>
      <c r="AG752" s="19"/>
      <c r="AH752" s="19"/>
      <c r="AI752" s="19"/>
      <c r="AJ752" s="20"/>
      <c r="AK752" s="19"/>
      <c r="AL752" s="19"/>
      <c r="AM752" s="19"/>
      <c r="AN752" s="19"/>
      <c r="AO752" s="19"/>
      <c r="AP752" s="19"/>
      <c r="AQ752" s="19"/>
      <c r="AR752" s="19"/>
      <c r="AS752" s="19"/>
      <c r="AT752" s="19"/>
      <c r="AU752" s="19"/>
      <c r="AV752" s="19"/>
      <c r="AW752" s="19"/>
      <c r="AX752" s="19"/>
      <c r="AY752" s="19"/>
      <c r="AZ752" s="19"/>
      <c r="BA752" s="19"/>
      <c r="BB752" s="19"/>
      <c r="BC752" s="19"/>
      <c r="BD752" s="19"/>
      <c r="BE752" s="19"/>
      <c r="BF752" s="19"/>
      <c r="BG752" s="19"/>
      <c r="BH752" s="19"/>
      <c r="BI752" s="19"/>
      <c r="BJ752" s="19"/>
      <c r="BK752" s="19"/>
      <c r="BL752" s="19"/>
      <c r="BM752" s="19"/>
      <c r="BN752" s="19"/>
      <c r="BO752" s="20"/>
      <c r="BP752" s="19"/>
      <c r="BQ752" s="19"/>
      <c r="BR752" s="19"/>
      <c r="BS752" s="19"/>
      <c r="BT752" s="19"/>
      <c r="BU752" s="19"/>
    </row>
    <row r="753" spans="1:73" ht="12" customHeight="1">
      <c r="A753" s="1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/>
      <c r="AD753" s="19"/>
      <c r="AE753" s="19"/>
      <c r="AF753" s="19"/>
      <c r="AG753" s="19"/>
      <c r="AH753" s="19"/>
      <c r="AI753" s="19"/>
      <c r="AJ753" s="20"/>
      <c r="AK753" s="19"/>
      <c r="AL753" s="19"/>
      <c r="AM753" s="19"/>
      <c r="AN753" s="19"/>
      <c r="AO753" s="19"/>
      <c r="AP753" s="19"/>
      <c r="AQ753" s="19"/>
      <c r="AR753" s="19"/>
      <c r="AS753" s="19"/>
      <c r="AT753" s="19"/>
      <c r="AU753" s="19"/>
      <c r="AV753" s="19"/>
      <c r="AW753" s="19"/>
      <c r="AX753" s="19"/>
      <c r="AY753" s="19"/>
      <c r="AZ753" s="19"/>
      <c r="BA753" s="19"/>
      <c r="BB753" s="19"/>
      <c r="BC753" s="19"/>
      <c r="BD753" s="19"/>
      <c r="BE753" s="19"/>
      <c r="BF753" s="19"/>
      <c r="BG753" s="19"/>
      <c r="BH753" s="19"/>
      <c r="BI753" s="19"/>
      <c r="BJ753" s="19"/>
      <c r="BK753" s="19"/>
      <c r="BL753" s="19"/>
      <c r="BM753" s="19"/>
      <c r="BN753" s="19"/>
      <c r="BO753" s="20"/>
      <c r="BP753" s="19"/>
      <c r="BQ753" s="19"/>
      <c r="BR753" s="19"/>
      <c r="BS753" s="19"/>
      <c r="BT753" s="19"/>
      <c r="BU753" s="19"/>
    </row>
    <row r="754" spans="1:73" ht="12" customHeight="1">
      <c r="A754" s="1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19"/>
      <c r="AG754" s="19"/>
      <c r="AH754" s="19"/>
      <c r="AI754" s="19"/>
      <c r="AJ754" s="20"/>
      <c r="AK754" s="19"/>
      <c r="AL754" s="19"/>
      <c r="AM754" s="19"/>
      <c r="AN754" s="19"/>
      <c r="AO754" s="19"/>
      <c r="AP754" s="19"/>
      <c r="AQ754" s="19"/>
      <c r="AR754" s="19"/>
      <c r="AS754" s="19"/>
      <c r="AT754" s="19"/>
      <c r="AU754" s="19"/>
      <c r="AV754" s="19"/>
      <c r="AW754" s="19"/>
      <c r="AX754" s="19"/>
      <c r="AY754" s="19"/>
      <c r="AZ754" s="19"/>
      <c r="BA754" s="19"/>
      <c r="BB754" s="19"/>
      <c r="BC754" s="19"/>
      <c r="BD754" s="19"/>
      <c r="BE754" s="19"/>
      <c r="BF754" s="19"/>
      <c r="BG754" s="19"/>
      <c r="BH754" s="19"/>
      <c r="BI754" s="19"/>
      <c r="BJ754" s="19"/>
      <c r="BK754" s="19"/>
      <c r="BL754" s="19"/>
      <c r="BM754" s="19"/>
      <c r="BN754" s="19"/>
      <c r="BO754" s="20"/>
      <c r="BP754" s="19"/>
      <c r="BQ754" s="19"/>
      <c r="BR754" s="19"/>
      <c r="BS754" s="19"/>
      <c r="BT754" s="19"/>
      <c r="BU754" s="19"/>
    </row>
    <row r="755" spans="1:73" ht="12" customHeight="1">
      <c r="A755" s="1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19"/>
      <c r="AG755" s="19"/>
      <c r="AH755" s="19"/>
      <c r="AI755" s="19"/>
      <c r="AJ755" s="20"/>
      <c r="AK755" s="19"/>
      <c r="AL755" s="19"/>
      <c r="AM755" s="19"/>
      <c r="AN755" s="19"/>
      <c r="AO755" s="19"/>
      <c r="AP755" s="19"/>
      <c r="AQ755" s="19"/>
      <c r="AR755" s="19"/>
      <c r="AS755" s="19"/>
      <c r="AT755" s="19"/>
      <c r="AU755" s="19"/>
      <c r="AV755" s="19"/>
      <c r="AW755" s="19"/>
      <c r="AX755" s="19"/>
      <c r="AY755" s="19"/>
      <c r="AZ755" s="19"/>
      <c r="BA755" s="19"/>
      <c r="BB755" s="19"/>
      <c r="BC755" s="19"/>
      <c r="BD755" s="19"/>
      <c r="BE755" s="19"/>
      <c r="BF755" s="19"/>
      <c r="BG755" s="19"/>
      <c r="BH755" s="19"/>
      <c r="BI755" s="19"/>
      <c r="BJ755" s="19"/>
      <c r="BK755" s="19"/>
      <c r="BL755" s="19"/>
      <c r="BM755" s="19"/>
      <c r="BN755" s="19"/>
      <c r="BO755" s="20"/>
      <c r="BP755" s="19"/>
      <c r="BQ755" s="19"/>
      <c r="BR755" s="19"/>
      <c r="BS755" s="19"/>
      <c r="BT755" s="19"/>
      <c r="BU755" s="19"/>
    </row>
    <row r="756" spans="1:73" ht="12" customHeight="1">
      <c r="A756" s="1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19"/>
      <c r="AH756" s="19"/>
      <c r="AI756" s="19"/>
      <c r="AJ756" s="20"/>
      <c r="AK756" s="19"/>
      <c r="AL756" s="19"/>
      <c r="AM756" s="19"/>
      <c r="AN756" s="19"/>
      <c r="AO756" s="19"/>
      <c r="AP756" s="19"/>
      <c r="AQ756" s="19"/>
      <c r="AR756" s="19"/>
      <c r="AS756" s="19"/>
      <c r="AT756" s="19"/>
      <c r="AU756" s="19"/>
      <c r="AV756" s="19"/>
      <c r="AW756" s="19"/>
      <c r="AX756" s="19"/>
      <c r="AY756" s="19"/>
      <c r="AZ756" s="19"/>
      <c r="BA756" s="19"/>
      <c r="BB756" s="19"/>
      <c r="BC756" s="19"/>
      <c r="BD756" s="19"/>
      <c r="BE756" s="19"/>
      <c r="BF756" s="19"/>
      <c r="BG756" s="19"/>
      <c r="BH756" s="19"/>
      <c r="BI756" s="19"/>
      <c r="BJ756" s="19"/>
      <c r="BK756" s="19"/>
      <c r="BL756" s="19"/>
      <c r="BM756" s="19"/>
      <c r="BN756" s="19"/>
      <c r="BO756" s="20"/>
      <c r="BP756" s="19"/>
      <c r="BQ756" s="19"/>
      <c r="BR756" s="19"/>
      <c r="BS756" s="19"/>
      <c r="BT756" s="19"/>
      <c r="BU756" s="19"/>
    </row>
    <row r="757" spans="1:73" ht="12" customHeight="1">
      <c r="A757" s="1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19"/>
      <c r="AG757" s="19"/>
      <c r="AH757" s="19"/>
      <c r="AI757" s="19"/>
      <c r="AJ757" s="20"/>
      <c r="AK757" s="19"/>
      <c r="AL757" s="19"/>
      <c r="AM757" s="19"/>
      <c r="AN757" s="19"/>
      <c r="AO757" s="19"/>
      <c r="AP757" s="19"/>
      <c r="AQ757" s="19"/>
      <c r="AR757" s="19"/>
      <c r="AS757" s="19"/>
      <c r="AT757" s="19"/>
      <c r="AU757" s="19"/>
      <c r="AV757" s="19"/>
      <c r="AW757" s="19"/>
      <c r="AX757" s="19"/>
      <c r="AY757" s="19"/>
      <c r="AZ757" s="19"/>
      <c r="BA757" s="19"/>
      <c r="BB757" s="19"/>
      <c r="BC757" s="19"/>
      <c r="BD757" s="19"/>
      <c r="BE757" s="19"/>
      <c r="BF757" s="19"/>
      <c r="BG757" s="19"/>
      <c r="BH757" s="19"/>
      <c r="BI757" s="19"/>
      <c r="BJ757" s="19"/>
      <c r="BK757" s="19"/>
      <c r="BL757" s="19"/>
      <c r="BM757" s="19"/>
      <c r="BN757" s="19"/>
      <c r="BO757" s="20"/>
      <c r="BP757" s="19"/>
      <c r="BQ757" s="19"/>
      <c r="BR757" s="19"/>
      <c r="BS757" s="19"/>
      <c r="BT757" s="19"/>
      <c r="BU757" s="19"/>
    </row>
    <row r="758" spans="1:73" ht="12" customHeight="1">
      <c r="A758" s="1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19"/>
      <c r="AG758" s="19"/>
      <c r="AH758" s="19"/>
      <c r="AI758" s="19"/>
      <c r="AJ758" s="20"/>
      <c r="AK758" s="19"/>
      <c r="AL758" s="19"/>
      <c r="AM758" s="19"/>
      <c r="AN758" s="19"/>
      <c r="AO758" s="19"/>
      <c r="AP758" s="19"/>
      <c r="AQ758" s="19"/>
      <c r="AR758" s="19"/>
      <c r="AS758" s="19"/>
      <c r="AT758" s="19"/>
      <c r="AU758" s="19"/>
      <c r="AV758" s="19"/>
      <c r="AW758" s="19"/>
      <c r="AX758" s="19"/>
      <c r="AY758" s="19"/>
      <c r="AZ758" s="19"/>
      <c r="BA758" s="19"/>
      <c r="BB758" s="19"/>
      <c r="BC758" s="19"/>
      <c r="BD758" s="19"/>
      <c r="BE758" s="19"/>
      <c r="BF758" s="19"/>
      <c r="BG758" s="19"/>
      <c r="BH758" s="19"/>
      <c r="BI758" s="19"/>
      <c r="BJ758" s="19"/>
      <c r="BK758" s="19"/>
      <c r="BL758" s="19"/>
      <c r="BM758" s="19"/>
      <c r="BN758" s="19"/>
      <c r="BO758" s="20"/>
      <c r="BP758" s="19"/>
      <c r="BQ758" s="19"/>
      <c r="BR758" s="19"/>
      <c r="BS758" s="19"/>
      <c r="BT758" s="19"/>
      <c r="BU758" s="19"/>
    </row>
    <row r="759" spans="1:73" ht="12" customHeight="1">
      <c r="A759" s="1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19"/>
      <c r="AG759" s="19"/>
      <c r="AH759" s="19"/>
      <c r="AI759" s="19"/>
      <c r="AJ759" s="20"/>
      <c r="AK759" s="19"/>
      <c r="AL759" s="19"/>
      <c r="AM759" s="19"/>
      <c r="AN759" s="19"/>
      <c r="AO759" s="19"/>
      <c r="AP759" s="19"/>
      <c r="AQ759" s="19"/>
      <c r="AR759" s="19"/>
      <c r="AS759" s="19"/>
      <c r="AT759" s="19"/>
      <c r="AU759" s="19"/>
      <c r="AV759" s="19"/>
      <c r="AW759" s="19"/>
      <c r="AX759" s="19"/>
      <c r="AY759" s="19"/>
      <c r="AZ759" s="19"/>
      <c r="BA759" s="19"/>
      <c r="BB759" s="19"/>
      <c r="BC759" s="19"/>
      <c r="BD759" s="19"/>
      <c r="BE759" s="19"/>
      <c r="BF759" s="19"/>
      <c r="BG759" s="19"/>
      <c r="BH759" s="19"/>
      <c r="BI759" s="19"/>
      <c r="BJ759" s="19"/>
      <c r="BK759" s="19"/>
      <c r="BL759" s="19"/>
      <c r="BM759" s="19"/>
      <c r="BN759" s="19"/>
      <c r="BO759" s="20"/>
      <c r="BP759" s="19"/>
      <c r="BQ759" s="19"/>
      <c r="BR759" s="19"/>
      <c r="BS759" s="19"/>
      <c r="BT759" s="19"/>
      <c r="BU759" s="19"/>
    </row>
    <row r="760" spans="1:73" ht="12" customHeight="1">
      <c r="A760" s="1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19"/>
      <c r="AG760" s="19"/>
      <c r="AH760" s="19"/>
      <c r="AI760" s="19"/>
      <c r="AJ760" s="20"/>
      <c r="AK760" s="19"/>
      <c r="AL760" s="19"/>
      <c r="AM760" s="19"/>
      <c r="AN760" s="19"/>
      <c r="AO760" s="19"/>
      <c r="AP760" s="19"/>
      <c r="AQ760" s="19"/>
      <c r="AR760" s="19"/>
      <c r="AS760" s="19"/>
      <c r="AT760" s="19"/>
      <c r="AU760" s="19"/>
      <c r="AV760" s="19"/>
      <c r="AW760" s="19"/>
      <c r="AX760" s="19"/>
      <c r="AY760" s="19"/>
      <c r="AZ760" s="19"/>
      <c r="BA760" s="19"/>
      <c r="BB760" s="19"/>
      <c r="BC760" s="19"/>
      <c r="BD760" s="19"/>
      <c r="BE760" s="19"/>
      <c r="BF760" s="19"/>
      <c r="BG760" s="19"/>
      <c r="BH760" s="19"/>
      <c r="BI760" s="19"/>
      <c r="BJ760" s="19"/>
      <c r="BK760" s="19"/>
      <c r="BL760" s="19"/>
      <c r="BM760" s="19"/>
      <c r="BN760" s="19"/>
      <c r="BO760" s="20"/>
      <c r="BP760" s="19"/>
      <c r="BQ760" s="19"/>
      <c r="BR760" s="19"/>
      <c r="BS760" s="19"/>
      <c r="BT760" s="19"/>
      <c r="BU760" s="19"/>
    </row>
    <row r="761" spans="1:73" ht="12" customHeight="1">
      <c r="A761" s="1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/>
      <c r="AD761" s="19"/>
      <c r="AE761" s="19"/>
      <c r="AF761" s="19"/>
      <c r="AG761" s="19"/>
      <c r="AH761" s="19"/>
      <c r="AI761" s="19"/>
      <c r="AJ761" s="20"/>
      <c r="AK761" s="19"/>
      <c r="AL761" s="19"/>
      <c r="AM761" s="19"/>
      <c r="AN761" s="19"/>
      <c r="AO761" s="19"/>
      <c r="AP761" s="19"/>
      <c r="AQ761" s="19"/>
      <c r="AR761" s="19"/>
      <c r="AS761" s="19"/>
      <c r="AT761" s="19"/>
      <c r="AU761" s="19"/>
      <c r="AV761" s="19"/>
      <c r="AW761" s="19"/>
      <c r="AX761" s="19"/>
      <c r="AY761" s="19"/>
      <c r="AZ761" s="19"/>
      <c r="BA761" s="19"/>
      <c r="BB761" s="19"/>
      <c r="BC761" s="19"/>
      <c r="BD761" s="19"/>
      <c r="BE761" s="19"/>
      <c r="BF761" s="19"/>
      <c r="BG761" s="19"/>
      <c r="BH761" s="19"/>
      <c r="BI761" s="19"/>
      <c r="BJ761" s="19"/>
      <c r="BK761" s="19"/>
      <c r="BL761" s="19"/>
      <c r="BM761" s="19"/>
      <c r="BN761" s="19"/>
      <c r="BO761" s="20"/>
      <c r="BP761" s="19"/>
      <c r="BQ761" s="19"/>
      <c r="BR761" s="19"/>
      <c r="BS761" s="19"/>
      <c r="BT761" s="19"/>
      <c r="BU761" s="19"/>
    </row>
    <row r="762" spans="1:73" ht="12" customHeight="1">
      <c r="A762" s="1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19"/>
      <c r="AG762" s="19"/>
      <c r="AH762" s="19"/>
      <c r="AI762" s="19"/>
      <c r="AJ762" s="20"/>
      <c r="AK762" s="19"/>
      <c r="AL762" s="19"/>
      <c r="AM762" s="19"/>
      <c r="AN762" s="19"/>
      <c r="AO762" s="19"/>
      <c r="AP762" s="19"/>
      <c r="AQ762" s="19"/>
      <c r="AR762" s="19"/>
      <c r="AS762" s="19"/>
      <c r="AT762" s="19"/>
      <c r="AU762" s="19"/>
      <c r="AV762" s="19"/>
      <c r="AW762" s="19"/>
      <c r="AX762" s="19"/>
      <c r="AY762" s="19"/>
      <c r="AZ762" s="19"/>
      <c r="BA762" s="19"/>
      <c r="BB762" s="19"/>
      <c r="BC762" s="19"/>
      <c r="BD762" s="19"/>
      <c r="BE762" s="19"/>
      <c r="BF762" s="19"/>
      <c r="BG762" s="19"/>
      <c r="BH762" s="19"/>
      <c r="BI762" s="19"/>
      <c r="BJ762" s="19"/>
      <c r="BK762" s="19"/>
      <c r="BL762" s="19"/>
      <c r="BM762" s="19"/>
      <c r="BN762" s="19"/>
      <c r="BO762" s="20"/>
      <c r="BP762" s="19"/>
      <c r="BQ762" s="19"/>
      <c r="BR762" s="19"/>
      <c r="BS762" s="19"/>
      <c r="BT762" s="19"/>
      <c r="BU762" s="19"/>
    </row>
    <row r="763" spans="1:73" ht="12" customHeight="1">
      <c r="A763" s="1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19"/>
      <c r="AG763" s="19"/>
      <c r="AH763" s="19"/>
      <c r="AI763" s="19"/>
      <c r="AJ763" s="20"/>
      <c r="AK763" s="19"/>
      <c r="AL763" s="19"/>
      <c r="AM763" s="19"/>
      <c r="AN763" s="19"/>
      <c r="AO763" s="19"/>
      <c r="AP763" s="19"/>
      <c r="AQ763" s="19"/>
      <c r="AR763" s="19"/>
      <c r="AS763" s="19"/>
      <c r="AT763" s="19"/>
      <c r="AU763" s="19"/>
      <c r="AV763" s="19"/>
      <c r="AW763" s="19"/>
      <c r="AX763" s="19"/>
      <c r="AY763" s="19"/>
      <c r="AZ763" s="19"/>
      <c r="BA763" s="19"/>
      <c r="BB763" s="19"/>
      <c r="BC763" s="19"/>
      <c r="BD763" s="19"/>
      <c r="BE763" s="19"/>
      <c r="BF763" s="19"/>
      <c r="BG763" s="19"/>
      <c r="BH763" s="19"/>
      <c r="BI763" s="19"/>
      <c r="BJ763" s="19"/>
      <c r="BK763" s="19"/>
      <c r="BL763" s="19"/>
      <c r="BM763" s="19"/>
      <c r="BN763" s="19"/>
      <c r="BO763" s="20"/>
      <c r="BP763" s="19"/>
      <c r="BQ763" s="19"/>
      <c r="BR763" s="19"/>
      <c r="BS763" s="19"/>
      <c r="BT763" s="19"/>
      <c r="BU763" s="19"/>
    </row>
    <row r="764" spans="1:73" ht="12" customHeight="1">
      <c r="A764" s="1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19"/>
      <c r="AG764" s="19"/>
      <c r="AH764" s="19"/>
      <c r="AI764" s="19"/>
      <c r="AJ764" s="20"/>
      <c r="AK764" s="19"/>
      <c r="AL764" s="19"/>
      <c r="AM764" s="19"/>
      <c r="AN764" s="19"/>
      <c r="AO764" s="19"/>
      <c r="AP764" s="19"/>
      <c r="AQ764" s="19"/>
      <c r="AR764" s="19"/>
      <c r="AS764" s="19"/>
      <c r="AT764" s="19"/>
      <c r="AU764" s="19"/>
      <c r="AV764" s="19"/>
      <c r="AW764" s="19"/>
      <c r="AX764" s="19"/>
      <c r="AY764" s="19"/>
      <c r="AZ764" s="19"/>
      <c r="BA764" s="19"/>
      <c r="BB764" s="19"/>
      <c r="BC764" s="19"/>
      <c r="BD764" s="19"/>
      <c r="BE764" s="19"/>
      <c r="BF764" s="19"/>
      <c r="BG764" s="19"/>
      <c r="BH764" s="19"/>
      <c r="BI764" s="19"/>
      <c r="BJ764" s="19"/>
      <c r="BK764" s="19"/>
      <c r="BL764" s="19"/>
      <c r="BM764" s="19"/>
      <c r="BN764" s="19"/>
      <c r="BO764" s="20"/>
      <c r="BP764" s="19"/>
      <c r="BQ764" s="19"/>
      <c r="BR764" s="19"/>
      <c r="BS764" s="19"/>
      <c r="BT764" s="19"/>
      <c r="BU764" s="19"/>
    </row>
    <row r="765" spans="1:73" ht="12" customHeight="1">
      <c r="A765" s="1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19"/>
      <c r="AG765" s="19"/>
      <c r="AH765" s="19"/>
      <c r="AI765" s="19"/>
      <c r="AJ765" s="20"/>
      <c r="AK765" s="19"/>
      <c r="AL765" s="19"/>
      <c r="AM765" s="19"/>
      <c r="AN765" s="19"/>
      <c r="AO765" s="19"/>
      <c r="AP765" s="19"/>
      <c r="AQ765" s="19"/>
      <c r="AR765" s="19"/>
      <c r="AS765" s="19"/>
      <c r="AT765" s="19"/>
      <c r="AU765" s="19"/>
      <c r="AV765" s="19"/>
      <c r="AW765" s="19"/>
      <c r="AX765" s="19"/>
      <c r="AY765" s="19"/>
      <c r="AZ765" s="19"/>
      <c r="BA765" s="19"/>
      <c r="BB765" s="19"/>
      <c r="BC765" s="19"/>
      <c r="BD765" s="19"/>
      <c r="BE765" s="19"/>
      <c r="BF765" s="19"/>
      <c r="BG765" s="19"/>
      <c r="BH765" s="19"/>
      <c r="BI765" s="19"/>
      <c r="BJ765" s="19"/>
      <c r="BK765" s="19"/>
      <c r="BL765" s="19"/>
      <c r="BM765" s="19"/>
      <c r="BN765" s="19"/>
      <c r="BO765" s="20"/>
      <c r="BP765" s="19"/>
      <c r="BQ765" s="19"/>
      <c r="BR765" s="19"/>
      <c r="BS765" s="19"/>
      <c r="BT765" s="19"/>
      <c r="BU765" s="19"/>
    </row>
    <row r="766" spans="1:73" ht="12" customHeight="1">
      <c r="A766" s="1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19"/>
      <c r="AG766" s="19"/>
      <c r="AH766" s="19"/>
      <c r="AI766" s="19"/>
      <c r="AJ766" s="20"/>
      <c r="AK766" s="19"/>
      <c r="AL766" s="19"/>
      <c r="AM766" s="19"/>
      <c r="AN766" s="19"/>
      <c r="AO766" s="19"/>
      <c r="AP766" s="19"/>
      <c r="AQ766" s="19"/>
      <c r="AR766" s="19"/>
      <c r="AS766" s="19"/>
      <c r="AT766" s="19"/>
      <c r="AU766" s="19"/>
      <c r="AV766" s="19"/>
      <c r="AW766" s="19"/>
      <c r="AX766" s="19"/>
      <c r="AY766" s="19"/>
      <c r="AZ766" s="19"/>
      <c r="BA766" s="19"/>
      <c r="BB766" s="19"/>
      <c r="BC766" s="19"/>
      <c r="BD766" s="19"/>
      <c r="BE766" s="19"/>
      <c r="BF766" s="19"/>
      <c r="BG766" s="19"/>
      <c r="BH766" s="19"/>
      <c r="BI766" s="19"/>
      <c r="BJ766" s="19"/>
      <c r="BK766" s="19"/>
      <c r="BL766" s="19"/>
      <c r="BM766" s="19"/>
      <c r="BN766" s="19"/>
      <c r="BO766" s="20"/>
      <c r="BP766" s="19"/>
      <c r="BQ766" s="19"/>
      <c r="BR766" s="19"/>
      <c r="BS766" s="19"/>
      <c r="BT766" s="19"/>
      <c r="BU766" s="19"/>
    </row>
    <row r="767" spans="1:73" ht="12" customHeight="1">
      <c r="A767" s="1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/>
      <c r="AD767" s="19"/>
      <c r="AE767" s="19"/>
      <c r="AF767" s="19"/>
      <c r="AG767" s="19"/>
      <c r="AH767" s="19"/>
      <c r="AI767" s="19"/>
      <c r="AJ767" s="20"/>
      <c r="AK767" s="19"/>
      <c r="AL767" s="19"/>
      <c r="AM767" s="19"/>
      <c r="AN767" s="19"/>
      <c r="AO767" s="19"/>
      <c r="AP767" s="19"/>
      <c r="AQ767" s="19"/>
      <c r="AR767" s="19"/>
      <c r="AS767" s="19"/>
      <c r="AT767" s="19"/>
      <c r="AU767" s="19"/>
      <c r="AV767" s="19"/>
      <c r="AW767" s="19"/>
      <c r="AX767" s="19"/>
      <c r="AY767" s="19"/>
      <c r="AZ767" s="19"/>
      <c r="BA767" s="19"/>
      <c r="BB767" s="19"/>
      <c r="BC767" s="19"/>
      <c r="BD767" s="19"/>
      <c r="BE767" s="19"/>
      <c r="BF767" s="19"/>
      <c r="BG767" s="19"/>
      <c r="BH767" s="19"/>
      <c r="BI767" s="19"/>
      <c r="BJ767" s="19"/>
      <c r="BK767" s="19"/>
      <c r="BL767" s="19"/>
      <c r="BM767" s="19"/>
      <c r="BN767" s="19"/>
      <c r="BO767" s="20"/>
      <c r="BP767" s="19"/>
      <c r="BQ767" s="19"/>
      <c r="BR767" s="19"/>
      <c r="BS767" s="19"/>
      <c r="BT767" s="19"/>
      <c r="BU767" s="19"/>
    </row>
    <row r="768" spans="1:73" ht="12" customHeight="1"/>
    <row r="769" spans="1:1" ht="12" customHeight="1"/>
    <row r="770" spans="1:1" ht="12" customHeight="1">
      <c r="A770" s="1"/>
    </row>
    <row r="771" spans="1:1" ht="12" customHeight="1">
      <c r="A771" s="1"/>
    </row>
    <row r="772" spans="1:1" ht="12" customHeight="1">
      <c r="A772" s="1"/>
    </row>
    <row r="773" spans="1:1" ht="12" customHeight="1">
      <c r="A773" s="1"/>
    </row>
    <row r="774" spans="1:1" ht="12" customHeight="1">
      <c r="A774" s="1"/>
    </row>
    <row r="775" spans="1:1" ht="12" customHeight="1">
      <c r="A775" s="1"/>
    </row>
    <row r="776" spans="1:1" ht="12" customHeight="1">
      <c r="A776" s="1"/>
    </row>
    <row r="777" spans="1:1" ht="12" customHeight="1">
      <c r="A777" s="1"/>
    </row>
    <row r="778" spans="1:1" ht="12" customHeight="1">
      <c r="A778" s="1"/>
    </row>
    <row r="779" spans="1:1" ht="12" customHeight="1">
      <c r="A779" s="1"/>
    </row>
    <row r="780" spans="1:1" ht="12" customHeight="1">
      <c r="A780" s="1"/>
    </row>
    <row r="781" spans="1:1" ht="12" customHeight="1">
      <c r="A781" s="1"/>
    </row>
    <row r="782" spans="1:1" ht="12" customHeight="1">
      <c r="A782" s="1"/>
    </row>
    <row r="783" spans="1:1" ht="12" customHeight="1">
      <c r="A783" s="1"/>
    </row>
    <row r="784" spans="1:1" ht="12" customHeight="1">
      <c r="A784" s="1"/>
    </row>
    <row r="785" spans="1:1" ht="12" customHeight="1">
      <c r="A785" s="1"/>
    </row>
    <row r="786" spans="1:1" ht="12" customHeight="1">
      <c r="A786" s="1"/>
    </row>
    <row r="787" spans="1:1" ht="12" customHeight="1">
      <c r="A787" s="1"/>
    </row>
    <row r="788" spans="1:1" ht="12" customHeight="1">
      <c r="A788" s="1"/>
    </row>
    <row r="789" spans="1:1" ht="12" customHeight="1">
      <c r="A789" s="1"/>
    </row>
    <row r="790" spans="1:1" ht="12" customHeight="1">
      <c r="A790" s="1"/>
    </row>
    <row r="791" spans="1:1" ht="12" customHeight="1">
      <c r="A791" s="1"/>
    </row>
    <row r="792" spans="1:1" ht="12" customHeight="1">
      <c r="A792" s="1"/>
    </row>
    <row r="793" spans="1:1" ht="12" customHeight="1">
      <c r="A793" s="1"/>
    </row>
    <row r="794" spans="1:1" ht="12" customHeight="1">
      <c r="A794" s="1"/>
    </row>
    <row r="795" spans="1:1" ht="12" customHeight="1">
      <c r="A795" s="1"/>
    </row>
    <row r="796" spans="1:1" ht="12" customHeight="1">
      <c r="A796" s="1"/>
    </row>
    <row r="797" spans="1:1" ht="12" customHeight="1">
      <c r="A797" s="1"/>
    </row>
    <row r="798" spans="1:1" ht="12" customHeight="1">
      <c r="A798" s="1"/>
    </row>
    <row r="799" spans="1:1" ht="12" customHeight="1">
      <c r="A799" s="1"/>
    </row>
    <row r="800" spans="1:1" ht="12" customHeight="1">
      <c r="A800" s="1"/>
    </row>
    <row r="801" spans="1:1" ht="12" customHeight="1">
      <c r="A801" s="1"/>
    </row>
    <row r="802" spans="1:1" ht="12" customHeight="1">
      <c r="A802" s="1"/>
    </row>
    <row r="803" spans="1:1" ht="12" customHeight="1">
      <c r="A803" s="1"/>
    </row>
    <row r="804" spans="1:1" ht="12" customHeight="1">
      <c r="A804" s="1"/>
    </row>
    <row r="805" spans="1:1" ht="12" customHeight="1">
      <c r="A805" s="1"/>
    </row>
    <row r="806" spans="1:1" ht="12" customHeight="1">
      <c r="A806" s="1"/>
    </row>
    <row r="807" spans="1:1" ht="12" customHeight="1">
      <c r="A807" s="1"/>
    </row>
    <row r="808" spans="1:1" ht="12" customHeight="1">
      <c r="A808" s="1"/>
    </row>
    <row r="809" spans="1:1" ht="12" customHeight="1">
      <c r="A809" s="1"/>
    </row>
    <row r="810" spans="1:1" ht="12" customHeight="1">
      <c r="A810" s="1"/>
    </row>
    <row r="811" spans="1:1" ht="12" customHeight="1">
      <c r="A811" s="1"/>
    </row>
    <row r="812" spans="1:1" ht="12" customHeight="1">
      <c r="A812" s="1"/>
    </row>
    <row r="813" spans="1:1" ht="12" customHeight="1">
      <c r="A813" s="1"/>
    </row>
    <row r="814" spans="1:1" ht="12" customHeight="1">
      <c r="A814" s="1"/>
    </row>
    <row r="815" spans="1:1" ht="12" customHeight="1">
      <c r="A815" s="1"/>
    </row>
    <row r="816" spans="1:1" ht="12" customHeight="1">
      <c r="A816" s="1"/>
    </row>
    <row r="817" spans="1:1" ht="12" customHeight="1">
      <c r="A817" s="1"/>
    </row>
    <row r="818" spans="1:1" ht="12" customHeight="1">
      <c r="A818" s="1"/>
    </row>
    <row r="819" spans="1:1" ht="12" customHeight="1">
      <c r="A819" s="1"/>
    </row>
    <row r="820" spans="1:1" ht="12" customHeight="1">
      <c r="A820" s="1"/>
    </row>
    <row r="821" spans="1:1" ht="12" customHeight="1">
      <c r="A821" s="1"/>
    </row>
    <row r="822" spans="1:1" ht="12" customHeight="1">
      <c r="A822" s="1"/>
    </row>
    <row r="823" spans="1:1" ht="12" customHeight="1">
      <c r="A823" s="1"/>
    </row>
    <row r="824" spans="1:1" ht="12" customHeight="1">
      <c r="A824" s="1"/>
    </row>
    <row r="825" spans="1:1" ht="12" customHeight="1">
      <c r="A825" s="1"/>
    </row>
    <row r="826" spans="1:1" ht="12" customHeight="1">
      <c r="A826" s="1"/>
    </row>
    <row r="827" spans="1:1" ht="12" customHeight="1">
      <c r="A827" s="1"/>
    </row>
    <row r="828" spans="1:1" ht="12" customHeight="1">
      <c r="A828" s="1"/>
    </row>
    <row r="829" spans="1:1" ht="12" customHeight="1">
      <c r="A829" s="1"/>
    </row>
    <row r="830" spans="1:1" ht="12" customHeight="1">
      <c r="A830" s="1"/>
    </row>
    <row r="831" spans="1:1" ht="12" customHeight="1">
      <c r="A831" s="1"/>
    </row>
    <row r="832" spans="1:1" ht="12" customHeight="1">
      <c r="A832" s="1"/>
    </row>
    <row r="833" spans="1:1" ht="12" customHeight="1">
      <c r="A833" s="1"/>
    </row>
    <row r="834" spans="1:1" ht="12" customHeight="1">
      <c r="A834" s="1"/>
    </row>
    <row r="835" spans="1:1" ht="12" customHeight="1">
      <c r="A835" s="1"/>
    </row>
    <row r="836" spans="1:1" ht="12" customHeight="1">
      <c r="A836" s="1"/>
    </row>
    <row r="837" spans="1:1" ht="12" customHeight="1">
      <c r="A837" s="1"/>
    </row>
    <row r="838" spans="1:1" ht="12" customHeight="1">
      <c r="A838" s="1"/>
    </row>
    <row r="839" spans="1:1" ht="12" customHeight="1">
      <c r="A839" s="1"/>
    </row>
    <row r="840" spans="1:1" ht="12" customHeight="1">
      <c r="A840" s="1"/>
    </row>
    <row r="841" spans="1:1" ht="12" customHeight="1">
      <c r="A841" s="1"/>
    </row>
    <row r="842" spans="1:1" ht="12" customHeight="1">
      <c r="A842" s="1"/>
    </row>
    <row r="843" spans="1:1" ht="12" customHeight="1">
      <c r="A843" s="1"/>
    </row>
    <row r="844" spans="1:1" ht="12" customHeight="1">
      <c r="A844" s="1"/>
    </row>
    <row r="845" spans="1:1" ht="12" customHeight="1">
      <c r="A845" s="1"/>
    </row>
    <row r="846" spans="1:1" ht="12" customHeight="1">
      <c r="A846" s="1"/>
    </row>
    <row r="847" spans="1:1" ht="12" customHeight="1">
      <c r="A847" s="1"/>
    </row>
    <row r="848" spans="1:1" ht="12" customHeight="1">
      <c r="A848" s="1"/>
    </row>
    <row r="849" spans="1:1" ht="12" customHeight="1">
      <c r="A849" s="1"/>
    </row>
    <row r="850" spans="1:1" ht="12" customHeight="1">
      <c r="A850" s="1"/>
    </row>
    <row r="851" spans="1:1" ht="12" customHeight="1">
      <c r="A851" s="1"/>
    </row>
    <row r="852" spans="1:1" ht="12" customHeight="1">
      <c r="A852" s="1"/>
    </row>
    <row r="853" spans="1:1" ht="12" customHeight="1">
      <c r="A853" s="1"/>
    </row>
    <row r="854" spans="1:1" ht="12" customHeight="1">
      <c r="A854" s="1"/>
    </row>
    <row r="855" spans="1:1" ht="12" customHeight="1">
      <c r="A855" s="1"/>
    </row>
    <row r="856" spans="1:1" ht="12" customHeight="1">
      <c r="A856" s="1"/>
    </row>
    <row r="857" spans="1:1" ht="12" customHeight="1">
      <c r="A857" s="1"/>
    </row>
    <row r="858" spans="1:1" ht="12" customHeight="1">
      <c r="A858" s="1"/>
    </row>
    <row r="859" spans="1:1" ht="12" customHeight="1">
      <c r="A859" s="1"/>
    </row>
    <row r="860" spans="1:1" ht="12" customHeight="1">
      <c r="A860" s="1"/>
    </row>
    <row r="861" spans="1:1" ht="12" customHeight="1">
      <c r="A861" s="1"/>
    </row>
    <row r="862" spans="1:1" ht="12" customHeight="1">
      <c r="A862" s="1"/>
    </row>
    <row r="863" spans="1:1" ht="12" customHeight="1">
      <c r="A863" s="1"/>
    </row>
    <row r="864" spans="1:1" ht="12" customHeight="1">
      <c r="A864" s="1"/>
    </row>
    <row r="865" spans="1:1" ht="12" customHeight="1">
      <c r="A865" s="1"/>
    </row>
    <row r="866" spans="1:1" ht="12" customHeight="1">
      <c r="A866" s="1"/>
    </row>
    <row r="867" spans="1:1" ht="12" customHeight="1">
      <c r="A867" s="1"/>
    </row>
    <row r="868" spans="1:1" ht="12" customHeight="1">
      <c r="A868" s="1"/>
    </row>
    <row r="869" spans="1:1" ht="12" customHeight="1">
      <c r="A869" s="1"/>
    </row>
    <row r="870" spans="1:1" ht="12" customHeight="1">
      <c r="A870" s="1"/>
    </row>
    <row r="871" spans="1:1" ht="12" customHeight="1">
      <c r="A871" s="1"/>
    </row>
    <row r="872" spans="1:1" ht="12" customHeight="1">
      <c r="A872" s="1"/>
    </row>
    <row r="873" spans="1:1" ht="12" customHeight="1">
      <c r="A873" s="1"/>
    </row>
    <row r="874" spans="1:1" ht="12" customHeight="1">
      <c r="A874" s="1"/>
    </row>
    <row r="875" spans="1:1" ht="12" customHeight="1">
      <c r="A875" s="1"/>
    </row>
    <row r="876" spans="1:1" ht="12" customHeight="1">
      <c r="A876" s="1"/>
    </row>
    <row r="877" spans="1:1" ht="12" customHeight="1">
      <c r="A877" s="1"/>
    </row>
    <row r="878" spans="1:1" ht="12" customHeight="1">
      <c r="A878" s="1"/>
    </row>
    <row r="879" spans="1:1" ht="12" customHeight="1">
      <c r="A879" s="1"/>
    </row>
    <row r="880" spans="1:1" ht="12" customHeight="1">
      <c r="A880" s="1"/>
    </row>
    <row r="881" spans="1:1" ht="12" customHeight="1">
      <c r="A881" s="1"/>
    </row>
    <row r="882" spans="1:1" ht="12" customHeight="1">
      <c r="A882" s="1"/>
    </row>
    <row r="883" spans="1:1" ht="12" customHeight="1">
      <c r="A883" s="1"/>
    </row>
    <row r="884" spans="1:1" ht="12" customHeight="1">
      <c r="A884" s="1"/>
    </row>
    <row r="885" spans="1:1" ht="12" customHeight="1">
      <c r="A885" s="1"/>
    </row>
    <row r="886" spans="1:1" ht="12" customHeight="1">
      <c r="A886" s="1"/>
    </row>
    <row r="887" spans="1:1" ht="12" customHeight="1">
      <c r="A887" s="1"/>
    </row>
    <row r="888" spans="1:1" ht="12" customHeight="1">
      <c r="A888" s="1"/>
    </row>
    <row r="889" spans="1:1" ht="12" customHeight="1">
      <c r="A889" s="1"/>
    </row>
    <row r="890" spans="1:1" ht="12" customHeight="1">
      <c r="A890" s="1"/>
    </row>
    <row r="891" spans="1:1" ht="12" customHeight="1">
      <c r="A891" s="1"/>
    </row>
    <row r="892" spans="1:1" ht="12" customHeight="1">
      <c r="A892" s="1"/>
    </row>
    <row r="893" spans="1:1" ht="12" customHeight="1">
      <c r="A893" s="1"/>
    </row>
    <row r="894" spans="1:1" ht="12" customHeight="1">
      <c r="A894" s="1"/>
    </row>
    <row r="895" spans="1:1" ht="12" customHeight="1">
      <c r="A895" s="1"/>
    </row>
    <row r="896" spans="1:1" ht="12" customHeight="1">
      <c r="A896" s="1"/>
    </row>
    <row r="897" spans="1:1" ht="12" customHeight="1">
      <c r="A897" s="1"/>
    </row>
    <row r="898" spans="1:1" ht="12" customHeight="1">
      <c r="A898" s="1"/>
    </row>
    <row r="899" spans="1:1" ht="12" customHeight="1">
      <c r="A899" s="1"/>
    </row>
    <row r="900" spans="1:1" ht="12" customHeight="1">
      <c r="A900" s="1"/>
    </row>
    <row r="901" spans="1:1" ht="12" customHeight="1">
      <c r="A901" s="1"/>
    </row>
    <row r="902" spans="1:1" ht="12" customHeight="1">
      <c r="A902" s="1"/>
    </row>
    <row r="903" spans="1:1" ht="12" customHeight="1">
      <c r="A903" s="1"/>
    </row>
    <row r="904" spans="1:1" ht="12" customHeight="1">
      <c r="A904" s="1"/>
    </row>
    <row r="905" spans="1:1" ht="12" customHeight="1">
      <c r="A905" s="1"/>
    </row>
    <row r="906" spans="1:1" ht="12" customHeight="1">
      <c r="A906" s="1"/>
    </row>
    <row r="907" spans="1:1" ht="12" customHeight="1">
      <c r="A907" s="1"/>
    </row>
    <row r="908" spans="1:1" ht="12" customHeight="1">
      <c r="A908" s="1"/>
    </row>
    <row r="909" spans="1:1" ht="12" customHeight="1">
      <c r="A909" s="1"/>
    </row>
    <row r="910" spans="1:1" ht="12" customHeight="1">
      <c r="A910" s="1"/>
    </row>
    <row r="911" spans="1:1" ht="12" customHeight="1">
      <c r="A911" s="1"/>
    </row>
    <row r="912" spans="1:1" ht="12" customHeight="1">
      <c r="A912" s="1"/>
    </row>
    <row r="913" spans="1:1" ht="12" customHeight="1">
      <c r="A913" s="1"/>
    </row>
    <row r="914" spans="1:1" ht="12" customHeight="1">
      <c r="A914" s="1"/>
    </row>
    <row r="915" spans="1:1" ht="12" customHeight="1">
      <c r="A915" s="1"/>
    </row>
    <row r="916" spans="1:1" ht="12" customHeight="1">
      <c r="A916" s="1"/>
    </row>
    <row r="917" spans="1:1" ht="12" customHeight="1">
      <c r="A917" s="1"/>
    </row>
    <row r="918" spans="1:1" ht="12" customHeight="1">
      <c r="A918" s="1"/>
    </row>
    <row r="919" spans="1:1" ht="12" customHeight="1">
      <c r="A919" s="1"/>
    </row>
    <row r="920" spans="1:1" ht="12" customHeight="1">
      <c r="A920" s="1"/>
    </row>
    <row r="921" spans="1:1" ht="12" customHeight="1">
      <c r="A921" s="1"/>
    </row>
    <row r="922" spans="1:1" ht="12" customHeight="1">
      <c r="A922" s="1"/>
    </row>
    <row r="923" spans="1:1" ht="12" customHeight="1">
      <c r="A923" s="1"/>
    </row>
    <row r="924" spans="1:1" ht="12" customHeight="1">
      <c r="A924" s="1"/>
    </row>
    <row r="925" spans="1:1" ht="12" customHeight="1">
      <c r="A925" s="1"/>
    </row>
    <row r="926" spans="1:1" ht="12" customHeight="1">
      <c r="A926" s="1"/>
    </row>
    <row r="927" spans="1:1" ht="12" customHeight="1">
      <c r="A927" s="1"/>
    </row>
    <row r="928" spans="1:1" ht="12" customHeight="1">
      <c r="A928" s="1"/>
    </row>
    <row r="929" spans="1:1" ht="12" customHeight="1">
      <c r="A929" s="1"/>
    </row>
    <row r="930" spans="1:1" ht="12" customHeight="1">
      <c r="A930" s="1"/>
    </row>
    <row r="931" spans="1:1" ht="12" customHeight="1">
      <c r="A931" s="1"/>
    </row>
    <row r="932" spans="1:1" ht="12" customHeight="1">
      <c r="A932" s="1"/>
    </row>
    <row r="933" spans="1:1" ht="12" customHeight="1">
      <c r="A933" s="1"/>
    </row>
    <row r="934" spans="1:1" ht="12" customHeight="1">
      <c r="A934" s="1"/>
    </row>
    <row r="935" spans="1:1" ht="12" customHeight="1">
      <c r="A935" s="1"/>
    </row>
    <row r="936" spans="1:1" ht="12" customHeight="1">
      <c r="A936" s="1"/>
    </row>
    <row r="937" spans="1:1" ht="12" customHeight="1">
      <c r="A937" s="1"/>
    </row>
    <row r="938" spans="1:1" ht="12" customHeight="1">
      <c r="A938" s="1"/>
    </row>
    <row r="939" spans="1:1" ht="12" customHeight="1">
      <c r="A939" s="1"/>
    </row>
    <row r="940" spans="1:1" ht="12" customHeight="1">
      <c r="A940" s="1"/>
    </row>
    <row r="941" spans="1:1" ht="12" customHeight="1">
      <c r="A941" s="1"/>
    </row>
    <row r="942" spans="1:1" ht="12" customHeight="1">
      <c r="A942" s="1"/>
    </row>
    <row r="943" spans="1:1" ht="12" customHeight="1">
      <c r="A943" s="1"/>
    </row>
    <row r="944" spans="1:1" ht="12" customHeight="1">
      <c r="A944" s="1"/>
    </row>
    <row r="945" spans="1:1" ht="12" customHeight="1">
      <c r="A945" s="1"/>
    </row>
    <row r="946" spans="1:1" ht="12" customHeight="1">
      <c r="A946" s="1"/>
    </row>
    <row r="947" spans="1:1" ht="12" customHeight="1">
      <c r="A947" s="1"/>
    </row>
    <row r="948" spans="1:1" ht="12" customHeight="1">
      <c r="A948" s="1"/>
    </row>
    <row r="949" spans="1:1" ht="12" customHeight="1">
      <c r="A949" s="1"/>
    </row>
    <row r="950" spans="1:1" ht="12" customHeight="1">
      <c r="A950" s="1"/>
    </row>
    <row r="951" spans="1:1" ht="12" customHeight="1">
      <c r="A951" s="1"/>
    </row>
    <row r="952" spans="1:1" ht="12" customHeight="1">
      <c r="A952" s="1"/>
    </row>
    <row r="953" spans="1:1" ht="12" customHeight="1">
      <c r="A953" s="1"/>
    </row>
    <row r="954" spans="1:1" ht="12" customHeight="1">
      <c r="A954" s="1"/>
    </row>
    <row r="955" spans="1:1" ht="12" customHeight="1">
      <c r="A955" s="1"/>
    </row>
    <row r="956" spans="1:1" ht="12" customHeight="1">
      <c r="A956" s="1"/>
    </row>
    <row r="957" spans="1:1" ht="12" customHeight="1">
      <c r="A957" s="1"/>
    </row>
    <row r="958" spans="1:1" ht="12" customHeight="1">
      <c r="A958" s="1"/>
    </row>
    <row r="959" spans="1:1" ht="12" customHeight="1">
      <c r="A959" s="1"/>
    </row>
    <row r="960" spans="1:1" ht="12" customHeight="1">
      <c r="A960" s="1"/>
    </row>
    <row r="961" spans="1:1" ht="12" customHeight="1">
      <c r="A961" s="1"/>
    </row>
    <row r="962" spans="1:1" ht="12" customHeight="1">
      <c r="A962" s="1"/>
    </row>
    <row r="963" spans="1:1" ht="12" customHeight="1">
      <c r="A963" s="1"/>
    </row>
    <row r="964" spans="1:1" ht="12" customHeight="1">
      <c r="A964" s="1"/>
    </row>
    <row r="965" spans="1:1" ht="12" customHeight="1">
      <c r="A965" s="1"/>
    </row>
    <row r="966" spans="1:1" ht="12" customHeight="1">
      <c r="A966" s="1"/>
    </row>
    <row r="967" spans="1:1" ht="12" customHeight="1">
      <c r="A967" s="1"/>
    </row>
    <row r="968" spans="1:1" ht="12" customHeight="1">
      <c r="A968" s="1"/>
    </row>
    <row r="969" spans="1:1" ht="12" customHeight="1">
      <c r="A969" s="1"/>
    </row>
    <row r="970" spans="1:1" ht="12" customHeight="1">
      <c r="A970" s="1"/>
    </row>
    <row r="971" spans="1:1" ht="12" customHeight="1">
      <c r="A971" s="1"/>
    </row>
    <row r="972" spans="1:1" ht="12" customHeight="1">
      <c r="A972" s="1"/>
    </row>
    <row r="973" spans="1:1" ht="12" customHeight="1">
      <c r="A973" s="1"/>
    </row>
    <row r="974" spans="1:1" ht="12" customHeight="1">
      <c r="A974" s="1"/>
    </row>
    <row r="975" spans="1:1" ht="12" customHeight="1">
      <c r="A975" s="1"/>
    </row>
    <row r="976" spans="1:1" ht="12" customHeight="1">
      <c r="A976" s="1"/>
    </row>
    <row r="977" spans="1:1" ht="12" customHeight="1">
      <c r="A977" s="1"/>
    </row>
    <row r="978" spans="1:1" ht="12" customHeight="1">
      <c r="A978" s="1"/>
    </row>
    <row r="979" spans="1:1" ht="12" customHeight="1">
      <c r="A979" s="1"/>
    </row>
    <row r="980" spans="1:1" ht="12" customHeight="1">
      <c r="A980" s="1"/>
    </row>
    <row r="981" spans="1:1" ht="12" customHeight="1">
      <c r="A981" s="1"/>
    </row>
    <row r="982" spans="1:1" ht="12" customHeight="1">
      <c r="A982" s="1"/>
    </row>
    <row r="983" spans="1:1" ht="12" customHeight="1">
      <c r="A983" s="1"/>
    </row>
    <row r="984" spans="1:1" ht="12" customHeight="1">
      <c r="A984" s="1"/>
    </row>
    <row r="985" spans="1:1" ht="12" customHeight="1">
      <c r="A985" s="1"/>
    </row>
    <row r="986" spans="1:1" ht="12" customHeight="1">
      <c r="A986" s="1"/>
    </row>
    <row r="987" spans="1:1" ht="12" customHeight="1">
      <c r="A987" s="1"/>
    </row>
    <row r="988" spans="1:1" ht="12" customHeight="1">
      <c r="A988" s="1"/>
    </row>
    <row r="989" spans="1:1" ht="12" customHeight="1">
      <c r="A989" s="1"/>
    </row>
    <row r="990" spans="1:1" ht="12" customHeight="1">
      <c r="A990" s="1"/>
    </row>
    <row r="991" spans="1:1" ht="12" customHeight="1">
      <c r="A991" s="1"/>
    </row>
    <row r="992" spans="1:1" ht="12" customHeight="1">
      <c r="A992" s="1"/>
    </row>
    <row r="993" spans="1:1" ht="12" customHeight="1">
      <c r="A993" s="1"/>
    </row>
    <row r="994" spans="1:1" ht="12" customHeight="1">
      <c r="A994" s="1"/>
    </row>
    <row r="995" spans="1:1" ht="12" customHeight="1">
      <c r="A995" s="1"/>
    </row>
    <row r="996" spans="1:1" ht="12" customHeight="1">
      <c r="A996" s="1"/>
    </row>
    <row r="997" spans="1:1" ht="12" customHeight="1">
      <c r="A997" s="1"/>
    </row>
    <row r="998" spans="1:1" ht="12" customHeight="1">
      <c r="A998" s="1"/>
    </row>
    <row r="999" spans="1:1" ht="12" customHeight="1">
      <c r="A999" s="1"/>
    </row>
    <row r="1000" spans="1:1" ht="12" customHeight="1">
      <c r="A1000" s="1"/>
    </row>
    <row r="1001" spans="1:1" ht="12" customHeight="1">
      <c r="A1001" s="1"/>
    </row>
    <row r="1002" spans="1:1" ht="12" customHeight="1">
      <c r="A1002" s="1"/>
    </row>
    <row r="1003" spans="1:1" ht="12" customHeight="1">
      <c r="A1003" s="1"/>
    </row>
    <row r="1004" spans="1:1" ht="12" customHeight="1">
      <c r="A1004" s="1"/>
    </row>
    <row r="1005" spans="1:1" ht="12" customHeight="1">
      <c r="A1005" s="1"/>
    </row>
    <row r="1006" spans="1:1" ht="12" customHeight="1">
      <c r="A1006" s="1"/>
    </row>
    <row r="1007" spans="1:1" ht="12" customHeight="1">
      <c r="A1007" s="1"/>
    </row>
    <row r="1008" spans="1:1" ht="12" customHeight="1">
      <c r="A1008" s="1"/>
    </row>
    <row r="1009" spans="1:1" ht="12" customHeight="1">
      <c r="A1009" s="1"/>
    </row>
    <row r="1010" spans="1:1" ht="12" customHeight="1">
      <c r="A1010" s="1"/>
    </row>
    <row r="1011" spans="1:1" ht="12" customHeight="1">
      <c r="A1011" s="1"/>
    </row>
    <row r="1012" spans="1:1" ht="12" customHeight="1">
      <c r="A1012" s="1"/>
    </row>
    <row r="1013" spans="1:1" ht="12" customHeight="1">
      <c r="A1013" s="1"/>
    </row>
    <row r="1014" spans="1:1" ht="12" customHeight="1">
      <c r="A1014" s="1"/>
    </row>
    <row r="1015" spans="1:1" ht="12" customHeight="1">
      <c r="A1015" s="1"/>
    </row>
    <row r="1016" spans="1:1" ht="12" customHeight="1">
      <c r="A1016" s="1"/>
    </row>
    <row r="1017" spans="1:1" ht="12" customHeight="1">
      <c r="A1017" s="1"/>
    </row>
    <row r="1018" spans="1:1" ht="12" customHeight="1">
      <c r="A1018" s="1"/>
    </row>
    <row r="1019" spans="1:1" ht="12" customHeight="1">
      <c r="A1019" s="1"/>
    </row>
    <row r="1020" spans="1:1" ht="12" customHeight="1">
      <c r="A1020" s="1"/>
    </row>
    <row r="1021" spans="1:1" ht="12" customHeight="1">
      <c r="A1021" s="1"/>
    </row>
    <row r="1022" spans="1:1" ht="12" customHeight="1">
      <c r="A1022" s="1"/>
    </row>
    <row r="1023" spans="1:1" ht="12" customHeight="1">
      <c r="A1023" s="1"/>
    </row>
    <row r="1024" spans="1:1" ht="12" customHeight="1">
      <c r="A1024" s="1"/>
    </row>
    <row r="1025" spans="1:1" ht="12" customHeight="1">
      <c r="A1025" s="1"/>
    </row>
    <row r="1026" spans="1:1" ht="12" customHeight="1">
      <c r="A1026" s="1"/>
    </row>
    <row r="1027" spans="1:1" ht="12" customHeight="1">
      <c r="A1027" s="1"/>
    </row>
    <row r="1028" spans="1:1" ht="12" customHeight="1">
      <c r="A1028" s="1"/>
    </row>
    <row r="1029" spans="1:1" ht="12" customHeight="1">
      <c r="A1029" s="1"/>
    </row>
    <row r="1030" spans="1:1" ht="12" customHeight="1">
      <c r="A1030" s="1"/>
    </row>
    <row r="1031" spans="1:1" ht="12" customHeight="1">
      <c r="A1031" s="1"/>
    </row>
    <row r="1032" spans="1:1" ht="12" customHeight="1">
      <c r="A1032" s="1"/>
    </row>
    <row r="1033" spans="1:1" ht="12" customHeight="1">
      <c r="A1033" s="1"/>
    </row>
    <row r="1034" spans="1:1" ht="12" customHeight="1">
      <c r="A1034" s="1"/>
    </row>
    <row r="1035" spans="1:1" ht="12" customHeight="1">
      <c r="A1035" s="1"/>
    </row>
    <row r="1036" spans="1:1" ht="12" customHeight="1">
      <c r="A1036" s="1"/>
    </row>
    <row r="1037" spans="1:1" ht="12" customHeight="1">
      <c r="A1037" s="1"/>
    </row>
    <row r="1038" spans="1:1" ht="12" customHeight="1">
      <c r="A1038" s="1"/>
    </row>
    <row r="1039" spans="1:1" ht="12" customHeight="1">
      <c r="A1039" s="1"/>
    </row>
    <row r="1040" spans="1:1" ht="12" customHeight="1">
      <c r="A1040" s="1"/>
    </row>
    <row r="1041" spans="1:1" ht="12" customHeight="1">
      <c r="A1041" s="1"/>
    </row>
    <row r="1042" spans="1:1" ht="12" customHeight="1">
      <c r="A1042" s="1"/>
    </row>
    <row r="1043" spans="1:1" ht="12" customHeight="1">
      <c r="A1043" s="1"/>
    </row>
    <row r="1044" spans="1:1" ht="12" customHeight="1">
      <c r="A1044" s="1"/>
    </row>
    <row r="1045" spans="1:1" ht="12" customHeight="1">
      <c r="A1045" s="1"/>
    </row>
    <row r="1046" spans="1:1" ht="12" customHeight="1">
      <c r="A1046" s="1"/>
    </row>
    <row r="1047" spans="1:1" ht="12" customHeight="1">
      <c r="A1047" s="1"/>
    </row>
    <row r="1048" spans="1:1" ht="12" customHeight="1">
      <c r="A1048" s="1"/>
    </row>
    <row r="1049" spans="1:1" ht="12" customHeight="1">
      <c r="A1049" s="1"/>
    </row>
    <row r="1050" spans="1:1" ht="12" customHeight="1">
      <c r="A1050" s="1"/>
    </row>
    <row r="1051" spans="1:1" ht="12" customHeight="1">
      <c r="A1051" s="1"/>
    </row>
    <row r="1052" spans="1:1" ht="12" customHeight="1">
      <c r="A1052" s="1"/>
    </row>
    <row r="1053" spans="1:1" ht="12" customHeight="1">
      <c r="A1053" s="1"/>
    </row>
    <row r="1054" spans="1:1" ht="12" customHeight="1">
      <c r="A1054" s="1"/>
    </row>
    <row r="1055" spans="1:1" ht="12" customHeight="1">
      <c r="A1055" s="1"/>
    </row>
    <row r="1056" spans="1:1" ht="12" customHeight="1">
      <c r="A1056" s="1"/>
    </row>
    <row r="1057" spans="1:1" ht="12" customHeight="1">
      <c r="A1057" s="1"/>
    </row>
    <row r="1058" spans="1:1" ht="12" customHeight="1">
      <c r="A1058" s="1"/>
    </row>
    <row r="1059" spans="1:1" ht="12" customHeight="1">
      <c r="A1059" s="1"/>
    </row>
    <row r="1060" spans="1:1" ht="12" customHeight="1">
      <c r="A1060" s="1"/>
    </row>
    <row r="1061" spans="1:1" ht="12" customHeight="1">
      <c r="A1061" s="1"/>
    </row>
    <row r="1062" spans="1:1" ht="12" customHeight="1">
      <c r="A1062" s="1"/>
    </row>
    <row r="1063" spans="1:1" ht="12" customHeight="1">
      <c r="A1063" s="1"/>
    </row>
    <row r="1064" spans="1:1" ht="12" customHeight="1">
      <c r="A1064" s="1"/>
    </row>
    <row r="1065" spans="1:1" ht="12" customHeight="1">
      <c r="A1065" s="1"/>
    </row>
    <row r="1066" spans="1:1" ht="12" customHeight="1">
      <c r="A1066" s="1"/>
    </row>
    <row r="1067" spans="1:1" ht="12" customHeight="1">
      <c r="A1067" s="1"/>
    </row>
    <row r="1068" spans="1:1" ht="12" customHeight="1">
      <c r="A1068" s="1"/>
    </row>
    <row r="1069" spans="1:1" ht="12" customHeight="1">
      <c r="A1069" s="1"/>
    </row>
    <row r="1070" spans="1:1" ht="12" customHeight="1">
      <c r="A1070" s="1"/>
    </row>
    <row r="1071" spans="1:1" ht="12" customHeight="1">
      <c r="A1071" s="1"/>
    </row>
    <row r="1072" spans="1:1" ht="12" customHeight="1">
      <c r="A1072" s="1"/>
    </row>
    <row r="1073" spans="1:1" ht="12" customHeight="1">
      <c r="A1073" s="1"/>
    </row>
    <row r="1074" spans="1:1" ht="12" customHeight="1">
      <c r="A1074" s="1"/>
    </row>
    <row r="1075" spans="1:1" ht="12" customHeight="1">
      <c r="A1075" s="1"/>
    </row>
    <row r="1076" spans="1:1" ht="12" customHeight="1">
      <c r="A1076" s="1"/>
    </row>
    <row r="1077" spans="1:1" ht="12" customHeight="1">
      <c r="A1077" s="1"/>
    </row>
    <row r="1078" spans="1:1" ht="12" customHeight="1">
      <c r="A1078" s="1"/>
    </row>
    <row r="1079" spans="1:1" ht="12" customHeight="1">
      <c r="A1079" s="1"/>
    </row>
    <row r="1080" spans="1:1" ht="12" customHeight="1">
      <c r="A1080" s="1"/>
    </row>
    <row r="1081" spans="1:1" ht="12" customHeight="1">
      <c r="A1081" s="1"/>
    </row>
    <row r="1082" spans="1:1" ht="12" customHeight="1">
      <c r="A1082" s="1"/>
    </row>
    <row r="1083" spans="1:1" ht="12" customHeight="1">
      <c r="A1083" s="1"/>
    </row>
    <row r="1084" spans="1:1" ht="12" customHeight="1">
      <c r="A1084" s="1"/>
    </row>
    <row r="1085" spans="1:1" ht="12" customHeight="1">
      <c r="A1085" s="1"/>
    </row>
    <row r="1086" spans="1:1" ht="12" customHeight="1">
      <c r="A1086" s="1"/>
    </row>
    <row r="1087" spans="1:1" ht="12" customHeight="1">
      <c r="A1087" s="1"/>
    </row>
    <row r="1088" spans="1:1" ht="12" customHeight="1">
      <c r="A1088" s="1"/>
    </row>
    <row r="1089" spans="1:1" ht="12" customHeight="1">
      <c r="A1089" s="1"/>
    </row>
    <row r="1090" spans="1:1" ht="12" customHeight="1">
      <c r="A1090" s="1"/>
    </row>
    <row r="1091" spans="1:1" ht="12" customHeight="1">
      <c r="A1091" s="1"/>
    </row>
    <row r="1092" spans="1:1" ht="12" customHeight="1">
      <c r="A1092" s="1"/>
    </row>
    <row r="1093" spans="1:1" ht="12" customHeight="1">
      <c r="A1093" s="1"/>
    </row>
    <row r="1094" spans="1:1" ht="12" customHeight="1">
      <c r="A1094" s="1"/>
    </row>
    <row r="1095" spans="1:1" ht="12" customHeight="1">
      <c r="A1095" s="1"/>
    </row>
    <row r="1096" spans="1:1" ht="12" customHeight="1">
      <c r="A1096" s="1"/>
    </row>
    <row r="1097" spans="1:1" ht="12" customHeight="1">
      <c r="A1097" s="1"/>
    </row>
    <row r="1098" spans="1:1" ht="12" customHeight="1">
      <c r="A1098" s="1"/>
    </row>
    <row r="1099" spans="1:1" ht="12" customHeight="1">
      <c r="A1099" s="1"/>
    </row>
    <row r="1100" spans="1:1" ht="12" customHeight="1">
      <c r="A1100" s="1"/>
    </row>
    <row r="1101" spans="1:1" ht="12" customHeight="1">
      <c r="A1101" s="1"/>
    </row>
    <row r="1102" spans="1:1" ht="12" customHeight="1">
      <c r="A1102" s="1"/>
    </row>
    <row r="1103" spans="1:1" ht="12" customHeight="1">
      <c r="A1103" s="1"/>
    </row>
    <row r="1104" spans="1:1" ht="12" customHeight="1">
      <c r="A1104" s="1"/>
    </row>
    <row r="1105" spans="1:1" ht="12" customHeight="1">
      <c r="A1105" s="1"/>
    </row>
    <row r="1106" spans="1:1" ht="12" customHeight="1">
      <c r="A1106" s="1"/>
    </row>
    <row r="1107" spans="1:1" ht="12" customHeight="1">
      <c r="A1107" s="1"/>
    </row>
    <row r="1108" spans="1:1" ht="12" customHeight="1">
      <c r="A1108" s="1"/>
    </row>
    <row r="1109" spans="1:1" ht="12" customHeight="1">
      <c r="A1109" s="1"/>
    </row>
    <row r="1110" spans="1:1" ht="12" customHeight="1">
      <c r="A1110" s="1"/>
    </row>
    <row r="1111" spans="1:1" ht="12" customHeight="1">
      <c r="A1111" s="1"/>
    </row>
    <row r="1112" spans="1:1" ht="12" customHeight="1">
      <c r="A1112" s="1"/>
    </row>
    <row r="1113" spans="1:1" ht="12" customHeight="1">
      <c r="A1113" s="1"/>
    </row>
    <row r="1114" spans="1:1" ht="12" customHeight="1">
      <c r="A1114" s="1"/>
    </row>
    <row r="1115" spans="1:1" ht="12" customHeight="1">
      <c r="A1115" s="1"/>
    </row>
    <row r="1116" spans="1:1" ht="12" customHeight="1">
      <c r="A1116" s="1"/>
    </row>
    <row r="1117" spans="1:1" ht="12" customHeight="1">
      <c r="A1117" s="1"/>
    </row>
    <row r="1118" spans="1:1" ht="12" customHeight="1">
      <c r="A1118" s="1"/>
    </row>
    <row r="1119" spans="1:1" ht="12" customHeight="1">
      <c r="A1119" s="1"/>
    </row>
    <row r="1120" spans="1:1" ht="12" customHeight="1">
      <c r="A1120" s="1"/>
    </row>
    <row r="1121" spans="1:1" ht="12" customHeight="1">
      <c r="A1121" s="1"/>
    </row>
    <row r="1122" spans="1:1" ht="12" customHeight="1">
      <c r="A1122" s="1"/>
    </row>
    <row r="1123" spans="1:1" ht="12" customHeight="1">
      <c r="A1123" s="1"/>
    </row>
    <row r="1124" spans="1:1" ht="12" customHeight="1">
      <c r="A1124" s="1"/>
    </row>
    <row r="1125" spans="1:1" ht="12" customHeight="1">
      <c r="A1125" s="1"/>
    </row>
    <row r="1126" spans="1:1" ht="12" customHeight="1">
      <c r="A1126" s="1"/>
    </row>
    <row r="1127" spans="1:1" ht="12" customHeight="1">
      <c r="A1127" s="1"/>
    </row>
    <row r="1128" spans="1:1" ht="12" customHeight="1">
      <c r="A1128" s="1"/>
    </row>
    <row r="1129" spans="1:1" ht="12" customHeight="1">
      <c r="A1129" s="1"/>
    </row>
    <row r="1130" spans="1:1" ht="12" customHeight="1">
      <c r="A1130" s="1"/>
    </row>
    <row r="1131" spans="1:1" ht="12" customHeight="1">
      <c r="A1131" s="1"/>
    </row>
    <row r="1132" spans="1:1" ht="12" customHeight="1">
      <c r="A1132" s="1"/>
    </row>
    <row r="1133" spans="1:1" ht="12" customHeight="1">
      <c r="A1133" s="1"/>
    </row>
    <row r="1134" spans="1:1" ht="12" customHeight="1">
      <c r="A1134" s="1"/>
    </row>
    <row r="1135" spans="1:1" ht="12" customHeight="1">
      <c r="A1135" s="1"/>
    </row>
    <row r="1136" spans="1:1" ht="12" customHeight="1">
      <c r="A1136" s="1"/>
    </row>
    <row r="1137" spans="1:1" ht="12" customHeight="1">
      <c r="A1137" s="1"/>
    </row>
    <row r="1138" spans="1:1" ht="12" customHeight="1">
      <c r="A1138" s="1"/>
    </row>
    <row r="1139" spans="1:1" ht="12" customHeight="1">
      <c r="A1139" s="1"/>
    </row>
    <row r="1140" spans="1:1" ht="12" customHeight="1">
      <c r="A1140" s="1"/>
    </row>
    <row r="1141" spans="1:1" ht="12" customHeight="1">
      <c r="A1141" s="1"/>
    </row>
    <row r="1142" spans="1:1" ht="12" customHeight="1">
      <c r="A1142" s="1"/>
    </row>
    <row r="1143" spans="1:1" ht="12" customHeight="1">
      <c r="A1143" s="1"/>
    </row>
    <row r="1144" spans="1:1" ht="12" customHeight="1">
      <c r="A1144" s="1"/>
    </row>
    <row r="1145" spans="1:1" ht="12" customHeight="1">
      <c r="A1145" s="1"/>
    </row>
    <row r="1146" spans="1:1" ht="12" customHeight="1">
      <c r="A1146" s="1"/>
    </row>
    <row r="1147" spans="1:1" ht="12" customHeight="1">
      <c r="A1147" s="1"/>
    </row>
    <row r="1148" spans="1:1" ht="12" customHeight="1">
      <c r="A1148" s="1"/>
    </row>
    <row r="1149" spans="1:1" ht="12" customHeight="1">
      <c r="A1149" s="1"/>
    </row>
    <row r="1150" spans="1:1" ht="12" customHeight="1">
      <c r="A1150" s="1"/>
    </row>
    <row r="1151" spans="1:1" ht="12" customHeight="1">
      <c r="A1151" s="1"/>
    </row>
    <row r="1152" spans="1:1" ht="12" customHeight="1">
      <c r="A1152" s="1"/>
    </row>
    <row r="1153" spans="1:1" ht="12" customHeight="1">
      <c r="A1153" s="1"/>
    </row>
    <row r="1154" spans="1:1" ht="12" customHeight="1">
      <c r="A1154" s="1"/>
    </row>
    <row r="1155" spans="1:1" ht="12" customHeight="1">
      <c r="A1155" s="1"/>
    </row>
    <row r="1156" spans="1:1" ht="12" customHeight="1">
      <c r="A1156" s="1"/>
    </row>
    <row r="1157" spans="1:1" ht="12" customHeight="1">
      <c r="A1157" s="1"/>
    </row>
    <row r="1158" spans="1:1" ht="12" customHeight="1">
      <c r="A1158" s="1"/>
    </row>
    <row r="1159" spans="1:1" ht="12" customHeight="1">
      <c r="A1159" s="1"/>
    </row>
    <row r="1160" spans="1:1" ht="12" customHeight="1">
      <c r="A1160" s="1"/>
    </row>
    <row r="1161" spans="1:1" ht="12" customHeight="1">
      <c r="A1161" s="1"/>
    </row>
    <row r="1162" spans="1:1" ht="12" customHeight="1">
      <c r="A1162" s="1"/>
    </row>
    <row r="1163" spans="1:1" ht="12" customHeight="1">
      <c r="A1163" s="1"/>
    </row>
    <row r="1164" spans="1:1" ht="12" customHeight="1">
      <c r="A1164" s="1"/>
    </row>
    <row r="1165" spans="1:1" ht="12" customHeight="1">
      <c r="A1165" s="1"/>
    </row>
    <row r="1166" spans="1:1" ht="12" customHeight="1">
      <c r="A1166" s="1"/>
    </row>
    <row r="1167" spans="1:1" ht="12" customHeight="1">
      <c r="A1167" s="1"/>
    </row>
    <row r="1168" spans="1:1" ht="12" customHeight="1">
      <c r="A1168" s="1"/>
    </row>
    <row r="1169" spans="1:1" ht="12" customHeight="1">
      <c r="A1169" s="1"/>
    </row>
    <row r="1170" spans="1:1" ht="12" customHeight="1">
      <c r="A1170" s="1"/>
    </row>
    <row r="1171" spans="1:1" ht="12" customHeight="1">
      <c r="A1171" s="1"/>
    </row>
    <row r="1172" spans="1:1" ht="12" customHeight="1">
      <c r="A1172" s="1"/>
    </row>
    <row r="1173" spans="1:1" ht="12" customHeight="1">
      <c r="A1173" s="1"/>
    </row>
    <row r="1174" spans="1:1" ht="12" customHeight="1">
      <c r="A1174" s="1"/>
    </row>
    <row r="1175" spans="1:1" ht="12" customHeight="1">
      <c r="A1175" s="1"/>
    </row>
    <row r="1176" spans="1:1" ht="12" customHeight="1">
      <c r="A1176" s="1"/>
    </row>
    <row r="1177" spans="1:1" ht="12" customHeight="1">
      <c r="A1177" s="1"/>
    </row>
    <row r="1178" spans="1:1" ht="12" customHeight="1">
      <c r="A1178" s="1"/>
    </row>
    <row r="1179" spans="1:1" ht="12" customHeight="1">
      <c r="A1179" s="1"/>
    </row>
    <row r="1180" spans="1:1" ht="12" customHeight="1">
      <c r="A1180" s="1"/>
    </row>
    <row r="1181" spans="1:1" ht="12" customHeight="1">
      <c r="A1181" s="1"/>
    </row>
    <row r="1182" spans="1:1" ht="12" customHeight="1">
      <c r="A1182" s="1"/>
    </row>
    <row r="1183" spans="1:1" ht="12" customHeight="1">
      <c r="A1183" s="1"/>
    </row>
    <row r="1184" spans="1:1" ht="12" customHeight="1">
      <c r="A1184" s="1"/>
    </row>
    <row r="1185" spans="1:1" ht="12" customHeight="1">
      <c r="A1185" s="1"/>
    </row>
    <row r="1186" spans="1:1" ht="12" customHeight="1">
      <c r="A1186" s="1"/>
    </row>
    <row r="1187" spans="1:1" ht="12" customHeight="1">
      <c r="A1187" s="1"/>
    </row>
    <row r="1188" spans="1:1" ht="12" customHeight="1">
      <c r="A1188" s="1"/>
    </row>
    <row r="1189" spans="1:1" ht="12" customHeight="1">
      <c r="A1189" s="1"/>
    </row>
    <row r="1190" spans="1:1" ht="12" customHeight="1">
      <c r="A1190" s="1"/>
    </row>
    <row r="1191" spans="1:1" ht="12" customHeight="1">
      <c r="A1191" s="1"/>
    </row>
    <row r="1192" spans="1:1" ht="12" customHeight="1">
      <c r="A1192" s="1"/>
    </row>
    <row r="1193" spans="1:1" ht="12" customHeight="1">
      <c r="A1193" s="1"/>
    </row>
    <row r="1194" spans="1:1" ht="12" customHeight="1">
      <c r="A1194" s="1"/>
    </row>
    <row r="1195" spans="1:1" ht="12" customHeight="1">
      <c r="A1195" s="1"/>
    </row>
    <row r="1196" spans="1:1" ht="12" customHeight="1">
      <c r="A1196" s="1"/>
    </row>
    <row r="1197" spans="1:1" ht="12" customHeight="1">
      <c r="A1197" s="1"/>
    </row>
    <row r="1198" spans="1:1" ht="12" customHeight="1">
      <c r="A1198" s="1"/>
    </row>
    <row r="1199" spans="1:1" ht="12" customHeight="1">
      <c r="A1199" s="1"/>
    </row>
    <row r="1200" spans="1:1" ht="12" customHeight="1">
      <c r="A1200" s="1"/>
    </row>
    <row r="1201" spans="1:1" ht="12" customHeight="1">
      <c r="A1201" s="1"/>
    </row>
    <row r="1202" spans="1:1" ht="12" customHeight="1">
      <c r="A1202" s="1"/>
    </row>
    <row r="1203" spans="1:1" ht="12" customHeight="1">
      <c r="A1203" s="1"/>
    </row>
    <row r="1204" spans="1:1" ht="12" customHeight="1">
      <c r="A1204" s="1"/>
    </row>
    <row r="1205" spans="1:1" ht="12" customHeight="1">
      <c r="A1205" s="1"/>
    </row>
    <row r="1206" spans="1:1" ht="12" customHeight="1">
      <c r="A1206" s="1"/>
    </row>
    <row r="1207" spans="1:1" ht="12" customHeight="1">
      <c r="A1207" s="1"/>
    </row>
    <row r="1208" spans="1:1" ht="12" customHeight="1">
      <c r="A1208" s="1"/>
    </row>
    <row r="1209" spans="1:1" ht="12" customHeight="1">
      <c r="A1209" s="1"/>
    </row>
    <row r="1210" spans="1:1" ht="12" customHeight="1">
      <c r="A1210" s="1"/>
    </row>
    <row r="1211" spans="1:1" ht="12" customHeight="1">
      <c r="A1211" s="1"/>
    </row>
    <row r="1212" spans="1:1" ht="12" customHeight="1">
      <c r="A1212" s="1"/>
    </row>
    <row r="1213" spans="1:1" ht="12" customHeight="1">
      <c r="A1213" s="1"/>
    </row>
    <row r="1214" spans="1:1" ht="12" customHeight="1">
      <c r="A1214" s="1"/>
    </row>
    <row r="1215" spans="1:1" ht="12" customHeight="1">
      <c r="A1215" s="1"/>
    </row>
    <row r="1216" spans="1:1" ht="12" customHeight="1">
      <c r="A1216" s="1"/>
    </row>
    <row r="1217" spans="1:1" ht="12" customHeight="1">
      <c r="A1217" s="1"/>
    </row>
    <row r="1218" spans="1:1" ht="12" customHeight="1">
      <c r="A1218" s="1"/>
    </row>
    <row r="1219" spans="1:1" ht="12" customHeight="1">
      <c r="A1219" s="1"/>
    </row>
    <row r="1220" spans="1:1" ht="12" customHeight="1">
      <c r="A1220" s="1"/>
    </row>
    <row r="1221" spans="1:1" ht="12" customHeight="1">
      <c r="A1221" s="1"/>
    </row>
    <row r="1222" spans="1:1" ht="12" customHeight="1">
      <c r="A1222" s="1"/>
    </row>
    <row r="1223" spans="1:1" ht="12" customHeight="1">
      <c r="A1223" s="1"/>
    </row>
    <row r="1224" spans="1:1" ht="12" customHeight="1">
      <c r="A1224" s="1"/>
    </row>
    <row r="1225" spans="1:1" ht="12" customHeight="1">
      <c r="A1225" s="1"/>
    </row>
    <row r="1226" spans="1:1" ht="12" customHeight="1">
      <c r="A1226" s="1"/>
    </row>
    <row r="1227" spans="1:1" ht="12" customHeight="1">
      <c r="A1227" s="1"/>
    </row>
    <row r="1228" spans="1:1" ht="12" customHeight="1">
      <c r="A1228" s="1"/>
    </row>
    <row r="1229" spans="1:1" ht="12" customHeight="1">
      <c r="A1229" s="1"/>
    </row>
    <row r="1230" spans="1:1" ht="12" customHeight="1">
      <c r="A1230" s="1"/>
    </row>
    <row r="1231" spans="1:1" ht="12" customHeight="1">
      <c r="A1231" s="1"/>
    </row>
    <row r="1232" spans="1:1" ht="12" customHeight="1">
      <c r="A1232" s="1"/>
    </row>
    <row r="1233" spans="1:1" ht="12" customHeight="1">
      <c r="A1233" s="1"/>
    </row>
    <row r="1234" spans="1:1" ht="12" customHeight="1">
      <c r="A1234" s="1"/>
    </row>
    <row r="1235" spans="1:1" ht="12" customHeight="1">
      <c r="A1235" s="1"/>
    </row>
    <row r="1236" spans="1:1" ht="12" customHeight="1">
      <c r="A1236" s="1"/>
    </row>
    <row r="1237" spans="1:1" ht="12" customHeight="1">
      <c r="A1237" s="1"/>
    </row>
    <row r="1238" spans="1:1" ht="12" customHeight="1">
      <c r="A1238" s="1"/>
    </row>
    <row r="1239" spans="1:1" ht="12" customHeight="1">
      <c r="A1239" s="1"/>
    </row>
    <row r="1240" spans="1:1" ht="12" customHeight="1">
      <c r="A1240" s="1"/>
    </row>
    <row r="1241" spans="1:1" ht="12" customHeight="1">
      <c r="A1241" s="1"/>
    </row>
    <row r="1242" spans="1:1" ht="12" customHeight="1">
      <c r="A1242" s="1"/>
    </row>
    <row r="1243" spans="1:1" ht="12" customHeight="1">
      <c r="A1243" s="1"/>
    </row>
    <row r="1244" spans="1:1" ht="12" customHeight="1">
      <c r="A1244" s="1"/>
    </row>
    <row r="1245" spans="1:1" ht="12" customHeight="1">
      <c r="A1245" s="1"/>
    </row>
    <row r="1246" spans="1:1" ht="12" customHeight="1">
      <c r="A1246" s="1"/>
    </row>
    <row r="1247" spans="1:1" ht="12" customHeight="1">
      <c r="A1247" s="1"/>
    </row>
    <row r="1248" spans="1:1" ht="12" customHeight="1">
      <c r="A1248" s="1"/>
    </row>
    <row r="1249" spans="1:1" ht="12" customHeight="1">
      <c r="A1249" s="1"/>
    </row>
    <row r="1250" spans="1:1" ht="12" customHeight="1">
      <c r="A1250" s="1"/>
    </row>
    <row r="1251" spans="1:1" ht="12" customHeight="1">
      <c r="A1251" s="1"/>
    </row>
    <row r="1252" spans="1:1" ht="12" customHeight="1">
      <c r="A1252" s="1"/>
    </row>
    <row r="1253" spans="1:1" ht="12" customHeight="1">
      <c r="A1253" s="1"/>
    </row>
    <row r="1254" spans="1:1" ht="12" customHeight="1">
      <c r="A1254" s="1"/>
    </row>
    <row r="1255" spans="1:1" ht="12" customHeight="1">
      <c r="A1255" s="1"/>
    </row>
    <row r="1256" spans="1:1" ht="12" customHeight="1">
      <c r="A1256" s="1"/>
    </row>
    <row r="1257" spans="1:1" ht="12" customHeight="1">
      <c r="A1257" s="1"/>
    </row>
    <row r="1258" spans="1:1" ht="12" customHeight="1">
      <c r="A1258" s="1"/>
    </row>
    <row r="1259" spans="1:1" ht="12" customHeight="1">
      <c r="A1259" s="1"/>
    </row>
    <row r="1260" spans="1:1" ht="12" customHeight="1">
      <c r="A1260" s="1"/>
    </row>
    <row r="1261" spans="1:1" ht="12" customHeight="1">
      <c r="A1261" s="1"/>
    </row>
    <row r="1262" spans="1:1" ht="12" customHeight="1">
      <c r="A1262" s="1"/>
    </row>
    <row r="1263" spans="1:1" ht="12" customHeight="1">
      <c r="A1263" s="1"/>
    </row>
    <row r="1264" spans="1:1" ht="12" customHeight="1">
      <c r="A1264" s="1"/>
    </row>
    <row r="1265" spans="1:1" ht="12" customHeight="1">
      <c r="A1265" s="1"/>
    </row>
    <row r="1266" spans="1:1" ht="12" customHeight="1">
      <c r="A1266" s="1"/>
    </row>
    <row r="1267" spans="1:1" ht="12" customHeight="1">
      <c r="A1267" s="1"/>
    </row>
    <row r="1268" spans="1:1" ht="12" customHeight="1">
      <c r="A1268" s="1"/>
    </row>
    <row r="1269" spans="1:1" ht="12" customHeight="1">
      <c r="A1269" s="1"/>
    </row>
    <row r="1270" spans="1:1" ht="12" customHeight="1">
      <c r="A1270" s="1"/>
    </row>
    <row r="1271" spans="1:1" ht="12" customHeight="1">
      <c r="A1271" s="1"/>
    </row>
    <row r="1272" spans="1:1" ht="12" customHeight="1">
      <c r="A1272" s="1"/>
    </row>
    <row r="1273" spans="1:1" ht="12" customHeight="1">
      <c r="A1273" s="1"/>
    </row>
    <row r="1274" spans="1:1" ht="12" customHeight="1">
      <c r="A1274" s="1"/>
    </row>
    <row r="1275" spans="1:1" ht="12" customHeight="1">
      <c r="A1275" s="1"/>
    </row>
    <row r="1276" spans="1:1" ht="12" customHeight="1">
      <c r="A1276" s="1"/>
    </row>
    <row r="1277" spans="1:1" ht="12" customHeight="1">
      <c r="A1277" s="1"/>
    </row>
    <row r="1278" spans="1:1" ht="12" customHeight="1">
      <c r="A1278" s="1"/>
    </row>
    <row r="1279" spans="1:1" ht="12" customHeight="1">
      <c r="A1279" s="1"/>
    </row>
    <row r="1280" spans="1:1" ht="12" customHeight="1">
      <c r="A1280" s="1"/>
    </row>
    <row r="1281" spans="1:1" ht="12" customHeight="1">
      <c r="A1281" s="1"/>
    </row>
    <row r="1282" spans="1:1" ht="12" customHeight="1">
      <c r="A1282" s="1"/>
    </row>
    <row r="1283" spans="1:1" ht="12" customHeight="1">
      <c r="A1283" s="1"/>
    </row>
    <row r="1284" spans="1:1" ht="12" customHeight="1">
      <c r="A1284" s="1"/>
    </row>
    <row r="1285" spans="1:1" ht="12" customHeight="1">
      <c r="A1285" s="1"/>
    </row>
    <row r="1286" spans="1:1" ht="12" customHeight="1">
      <c r="A1286" s="1"/>
    </row>
    <row r="1287" spans="1:1" ht="12" customHeight="1">
      <c r="A1287" s="1"/>
    </row>
    <row r="1288" spans="1:1" ht="12" customHeight="1">
      <c r="A1288" s="1"/>
    </row>
    <row r="1289" spans="1:1" ht="12" customHeight="1">
      <c r="A1289" s="1"/>
    </row>
    <row r="1290" spans="1:1" ht="12" customHeight="1">
      <c r="A1290" s="1"/>
    </row>
    <row r="1291" spans="1:1" ht="12" customHeight="1">
      <c r="A1291" s="1"/>
    </row>
    <row r="1292" spans="1:1" ht="12" customHeight="1">
      <c r="A1292" s="1"/>
    </row>
    <row r="1293" spans="1:1" ht="12" customHeight="1">
      <c r="A1293" s="1"/>
    </row>
    <row r="1294" spans="1:1" ht="12" customHeight="1">
      <c r="A1294" s="1"/>
    </row>
    <row r="1295" spans="1:1" ht="12" customHeight="1">
      <c r="A1295" s="1"/>
    </row>
    <row r="1296" spans="1:1" ht="12" customHeight="1">
      <c r="A1296" s="1"/>
    </row>
    <row r="1297" spans="1:1" ht="12" customHeight="1">
      <c r="A1297" s="1"/>
    </row>
    <row r="1298" spans="1:1" ht="12" customHeight="1">
      <c r="A1298" s="1"/>
    </row>
    <row r="1299" spans="1:1" ht="12" customHeight="1">
      <c r="A1299" s="1"/>
    </row>
    <row r="1300" spans="1:1" ht="12" customHeight="1">
      <c r="A1300" s="1"/>
    </row>
    <row r="1301" spans="1:1" ht="12" customHeight="1">
      <c r="A1301" s="1"/>
    </row>
    <row r="1302" spans="1:1" ht="12" customHeight="1">
      <c r="A1302" s="1"/>
    </row>
    <row r="1303" spans="1:1" ht="12" customHeight="1">
      <c r="A1303" s="1"/>
    </row>
    <row r="1304" spans="1:1" ht="12" customHeight="1">
      <c r="A1304" s="1"/>
    </row>
    <row r="1305" spans="1:1" ht="12" customHeight="1">
      <c r="A1305" s="1"/>
    </row>
    <row r="1306" spans="1:1" ht="12" customHeight="1">
      <c r="A1306" s="1"/>
    </row>
    <row r="1307" spans="1:1" ht="12" customHeight="1">
      <c r="A1307" s="1"/>
    </row>
    <row r="1308" spans="1:1" ht="12" customHeight="1">
      <c r="A1308" s="1"/>
    </row>
    <row r="1309" spans="1:1" ht="12" customHeight="1">
      <c r="A1309" s="1"/>
    </row>
    <row r="1310" spans="1:1" ht="12" customHeight="1">
      <c r="A1310" s="1"/>
    </row>
    <row r="1311" spans="1:1" ht="12" customHeight="1">
      <c r="A1311" s="1"/>
    </row>
    <row r="1312" spans="1:1" ht="12" customHeight="1">
      <c r="A1312" s="1"/>
    </row>
    <row r="1313" spans="1:1" ht="12" customHeight="1">
      <c r="A1313" s="1"/>
    </row>
    <row r="1314" spans="1:1" ht="12" customHeight="1">
      <c r="A1314" s="1"/>
    </row>
    <row r="1315" spans="1:1" ht="12" customHeight="1">
      <c r="A1315" s="1"/>
    </row>
    <row r="1316" spans="1:1" ht="12" customHeight="1">
      <c r="A1316" s="1"/>
    </row>
    <row r="1317" spans="1:1" ht="12" customHeight="1">
      <c r="A1317" s="1"/>
    </row>
    <row r="1318" spans="1:1" ht="12" customHeight="1">
      <c r="A1318" s="1"/>
    </row>
    <row r="1319" spans="1:1" ht="12" customHeight="1">
      <c r="A1319" s="1"/>
    </row>
    <row r="1320" spans="1:1" ht="12" customHeight="1">
      <c r="A1320" s="1"/>
    </row>
    <row r="1321" spans="1:1" ht="12" customHeight="1">
      <c r="A1321" s="1"/>
    </row>
    <row r="1322" spans="1:1" ht="12" customHeight="1">
      <c r="A1322" s="1"/>
    </row>
    <row r="1323" spans="1:1" ht="12" customHeight="1">
      <c r="A1323" s="1"/>
    </row>
    <row r="1324" spans="1:1" ht="12" customHeight="1">
      <c r="A1324" s="1"/>
    </row>
    <row r="1325" spans="1:1" ht="12" customHeight="1">
      <c r="A1325" s="1"/>
    </row>
    <row r="1326" spans="1:1" ht="12" customHeight="1">
      <c r="A1326" s="1"/>
    </row>
    <row r="1327" spans="1:1" ht="12" customHeight="1">
      <c r="A1327" s="1"/>
    </row>
    <row r="1328" spans="1:1" ht="12" customHeight="1">
      <c r="A1328" s="1"/>
    </row>
    <row r="1329" spans="1:1" ht="12" customHeight="1">
      <c r="A1329" s="1"/>
    </row>
    <row r="1330" spans="1:1" ht="12" customHeight="1">
      <c r="A1330" s="1"/>
    </row>
    <row r="1331" spans="1:1" ht="12" customHeight="1">
      <c r="A1331" s="1"/>
    </row>
    <row r="1332" spans="1:1" ht="12" customHeight="1">
      <c r="A1332" s="1"/>
    </row>
    <row r="1333" spans="1:1" ht="12" customHeight="1">
      <c r="A1333" s="1"/>
    </row>
    <row r="1334" spans="1:1" ht="12" customHeight="1">
      <c r="A1334" s="1"/>
    </row>
    <row r="1335" spans="1:1" ht="12" customHeight="1">
      <c r="A1335" s="1"/>
    </row>
    <row r="1336" spans="1:1" ht="12" customHeight="1">
      <c r="A1336" s="1"/>
    </row>
    <row r="1337" spans="1:1" ht="12" customHeight="1">
      <c r="A1337" s="1"/>
    </row>
    <row r="1338" spans="1:1" ht="12" customHeight="1">
      <c r="A1338" s="1"/>
    </row>
    <row r="1339" spans="1:1" ht="12" customHeight="1">
      <c r="A1339" s="1"/>
    </row>
    <row r="1340" spans="1:1" ht="12" customHeight="1">
      <c r="A1340" s="1"/>
    </row>
    <row r="1341" spans="1:1" ht="12" customHeight="1">
      <c r="A1341" s="1"/>
    </row>
    <row r="1342" spans="1:1" ht="12" customHeight="1">
      <c r="A1342" s="1"/>
    </row>
    <row r="1343" spans="1:1" ht="12" customHeight="1">
      <c r="A1343" s="1"/>
    </row>
    <row r="1344" spans="1:1" ht="12" customHeight="1">
      <c r="A1344" s="1"/>
    </row>
    <row r="1345" spans="1:1" ht="12" customHeight="1">
      <c r="A1345" s="1"/>
    </row>
    <row r="1346" spans="1:1" ht="12" customHeight="1">
      <c r="A1346" s="1"/>
    </row>
    <row r="1347" spans="1:1" ht="12" customHeight="1">
      <c r="A1347" s="1"/>
    </row>
    <row r="1348" spans="1:1" ht="12" customHeight="1">
      <c r="A1348" s="1"/>
    </row>
    <row r="1349" spans="1:1" ht="12" customHeight="1">
      <c r="A1349" s="1"/>
    </row>
    <row r="1350" spans="1:1" ht="12" customHeight="1">
      <c r="A1350" s="1"/>
    </row>
    <row r="1351" spans="1:1" ht="12" customHeight="1">
      <c r="A1351" s="1"/>
    </row>
    <row r="1352" spans="1:1" ht="12" customHeight="1">
      <c r="A1352" s="1"/>
    </row>
    <row r="1353" spans="1:1" ht="12" customHeight="1">
      <c r="A1353" s="1"/>
    </row>
    <row r="1354" spans="1:1" ht="12" customHeight="1">
      <c r="A1354" s="1"/>
    </row>
    <row r="1355" spans="1:1" ht="12" customHeight="1">
      <c r="A1355" s="1"/>
    </row>
    <row r="1356" spans="1:1" ht="12" customHeight="1">
      <c r="A1356" s="1"/>
    </row>
    <row r="1357" spans="1:1" ht="12" customHeight="1">
      <c r="A1357" s="1"/>
    </row>
    <row r="1358" spans="1:1" ht="12" customHeight="1">
      <c r="A1358" s="1"/>
    </row>
    <row r="1359" spans="1:1" ht="12" customHeight="1">
      <c r="A1359" s="1"/>
    </row>
    <row r="1360" spans="1:1" ht="12" customHeight="1">
      <c r="A1360" s="1"/>
    </row>
    <row r="1361" spans="1:1" ht="12" customHeight="1">
      <c r="A1361" s="1"/>
    </row>
    <row r="1362" spans="1:1" ht="12" customHeight="1">
      <c r="A1362" s="1"/>
    </row>
    <row r="1363" spans="1:1" ht="12" customHeight="1">
      <c r="A1363" s="1"/>
    </row>
    <row r="1364" spans="1:1" ht="12" customHeight="1">
      <c r="A1364" s="1"/>
    </row>
    <row r="1365" spans="1:1" ht="12" customHeight="1">
      <c r="A1365" s="1"/>
    </row>
    <row r="1366" spans="1:1" ht="12" customHeight="1">
      <c r="A1366" s="1"/>
    </row>
    <row r="1367" spans="1:1" ht="12" customHeight="1">
      <c r="A1367" s="1"/>
    </row>
    <row r="1368" spans="1:1" ht="12" customHeight="1">
      <c r="A1368" s="1"/>
    </row>
    <row r="1369" spans="1:1" ht="12" customHeight="1">
      <c r="A1369" s="1"/>
    </row>
    <row r="1370" spans="1:1" ht="12" customHeight="1">
      <c r="A1370" s="1"/>
    </row>
    <row r="1371" spans="1:1" ht="12" customHeight="1">
      <c r="A1371" s="1"/>
    </row>
    <row r="1372" spans="1:1" ht="12" customHeight="1">
      <c r="A1372" s="1"/>
    </row>
    <row r="1373" spans="1:1" ht="12" customHeight="1">
      <c r="A1373" s="1"/>
    </row>
    <row r="1374" spans="1:1" ht="12" customHeight="1">
      <c r="A1374" s="1"/>
    </row>
    <row r="1375" spans="1:1" ht="12" customHeight="1">
      <c r="A1375" s="1"/>
    </row>
    <row r="1376" spans="1:1" ht="12" customHeight="1">
      <c r="A1376" s="1"/>
    </row>
    <row r="1377" spans="1:1" ht="12" customHeight="1">
      <c r="A1377" s="1"/>
    </row>
    <row r="1378" spans="1:1" ht="12" customHeight="1">
      <c r="A1378" s="1"/>
    </row>
    <row r="1379" spans="1:1" ht="12" customHeight="1">
      <c r="A1379" s="1"/>
    </row>
    <row r="1380" spans="1:1" ht="12" customHeight="1">
      <c r="A1380" s="1"/>
    </row>
    <row r="1381" spans="1:1" ht="12" customHeight="1">
      <c r="A1381" s="1"/>
    </row>
    <row r="1382" spans="1:1" ht="12" customHeight="1">
      <c r="A1382" s="1"/>
    </row>
    <row r="1383" spans="1:1" ht="12" customHeight="1">
      <c r="A1383" s="1"/>
    </row>
    <row r="1384" spans="1:1" ht="12" customHeight="1">
      <c r="A1384" s="1"/>
    </row>
    <row r="1385" spans="1:1" ht="12" customHeight="1">
      <c r="A1385" s="1"/>
    </row>
    <row r="1386" spans="1:1" ht="12" customHeight="1">
      <c r="A1386" s="1"/>
    </row>
    <row r="1387" spans="1:1" ht="12" customHeight="1">
      <c r="A1387" s="1"/>
    </row>
    <row r="1388" spans="1:1" ht="12" customHeight="1">
      <c r="A1388" s="1"/>
    </row>
    <row r="1389" spans="1:1" ht="12" customHeight="1">
      <c r="A1389" s="1"/>
    </row>
    <row r="1390" spans="1:1" ht="12" customHeight="1">
      <c r="A1390" s="1"/>
    </row>
    <row r="1391" spans="1:1" ht="12" customHeight="1">
      <c r="A1391" s="1"/>
    </row>
    <row r="1392" spans="1:1" ht="12" customHeight="1">
      <c r="A1392" s="1"/>
    </row>
    <row r="1393" spans="1:1" ht="12" customHeight="1">
      <c r="A1393" s="1"/>
    </row>
    <row r="1394" spans="1:1" ht="12" customHeight="1">
      <c r="A1394" s="1"/>
    </row>
    <row r="1395" spans="1:1" ht="12" customHeight="1">
      <c r="A1395" s="1"/>
    </row>
    <row r="1396" spans="1:1" ht="12" customHeight="1">
      <c r="A1396" s="1"/>
    </row>
    <row r="1397" spans="1:1" ht="12" customHeight="1">
      <c r="A1397" s="1"/>
    </row>
    <row r="1398" spans="1:1" ht="12" customHeight="1">
      <c r="A1398" s="1"/>
    </row>
    <row r="1399" spans="1:1" ht="12" customHeight="1">
      <c r="A1399" s="1"/>
    </row>
    <row r="1400" spans="1:1" ht="12" customHeight="1">
      <c r="A1400" s="1"/>
    </row>
    <row r="1401" spans="1:1" ht="12" customHeight="1">
      <c r="A1401" s="1"/>
    </row>
    <row r="1402" spans="1:1" ht="12" customHeight="1">
      <c r="A1402" s="1"/>
    </row>
    <row r="1403" spans="1:1" ht="12" customHeight="1">
      <c r="A1403" s="1"/>
    </row>
    <row r="1404" spans="1:1" ht="12" customHeight="1">
      <c r="A1404" s="1"/>
    </row>
    <row r="1405" spans="1:1" ht="12" customHeight="1">
      <c r="A1405" s="1"/>
    </row>
    <row r="1406" spans="1:1" ht="12" customHeight="1">
      <c r="A1406" s="1"/>
    </row>
    <row r="1407" spans="1:1" ht="12" customHeight="1">
      <c r="A1407" s="1"/>
    </row>
    <row r="1408" spans="1:1" ht="12" customHeight="1">
      <c r="A1408" s="1"/>
    </row>
    <row r="1409" spans="1:1" ht="12" customHeight="1">
      <c r="A1409" s="1"/>
    </row>
    <row r="1410" spans="1:1" ht="12" customHeight="1">
      <c r="A1410" s="1"/>
    </row>
    <row r="1411" spans="1:1" ht="12" customHeight="1">
      <c r="A1411" s="1"/>
    </row>
    <row r="1412" spans="1:1" ht="12" customHeight="1">
      <c r="A1412" s="1"/>
    </row>
    <row r="1413" spans="1:1" ht="12" customHeight="1">
      <c r="A1413" s="1"/>
    </row>
    <row r="1414" spans="1:1" ht="12" customHeight="1">
      <c r="A1414" s="1"/>
    </row>
    <row r="1415" spans="1:1" ht="12" customHeight="1">
      <c r="A1415" s="1"/>
    </row>
    <row r="1416" spans="1:1" ht="12" customHeight="1">
      <c r="A1416" s="1"/>
    </row>
    <row r="1417" spans="1:1" ht="12" customHeight="1">
      <c r="A1417" s="1"/>
    </row>
    <row r="1418" spans="1:1" ht="12" customHeight="1">
      <c r="A1418" s="1"/>
    </row>
    <row r="1419" spans="1:1" ht="12" customHeight="1">
      <c r="A1419" s="1"/>
    </row>
    <row r="1420" spans="1:1" ht="12" customHeight="1">
      <c r="A1420" s="1"/>
    </row>
    <row r="1421" spans="1:1" ht="12" customHeight="1">
      <c r="A1421" s="1"/>
    </row>
    <row r="1422" spans="1:1" ht="12" customHeight="1">
      <c r="A1422" s="1"/>
    </row>
    <row r="1423" spans="1:1" ht="12" customHeight="1">
      <c r="A1423" s="1"/>
    </row>
    <row r="1424" spans="1:1" ht="12" customHeight="1">
      <c r="A1424" s="1"/>
    </row>
    <row r="1425" spans="1:1" ht="12" customHeight="1">
      <c r="A1425" s="1"/>
    </row>
    <row r="1426" spans="1:1" ht="12" customHeight="1">
      <c r="A1426" s="1"/>
    </row>
    <row r="1427" spans="1:1" ht="12" customHeight="1">
      <c r="A1427" s="1"/>
    </row>
    <row r="1428" spans="1:1" ht="12" customHeight="1">
      <c r="A1428" s="1"/>
    </row>
    <row r="1429" spans="1:1" ht="12" customHeight="1">
      <c r="A1429" s="1"/>
    </row>
    <row r="1430" spans="1:1" ht="12" customHeight="1">
      <c r="A1430" s="1"/>
    </row>
    <row r="1431" spans="1:1" ht="12" customHeight="1">
      <c r="A1431" s="1"/>
    </row>
    <row r="1432" spans="1:1" ht="12" customHeight="1">
      <c r="A1432" s="1"/>
    </row>
    <row r="1433" spans="1:1" ht="12" customHeight="1">
      <c r="A1433" s="1"/>
    </row>
    <row r="1434" spans="1:1" ht="12" customHeight="1">
      <c r="A1434" s="1"/>
    </row>
    <row r="1435" spans="1:1" ht="12" customHeight="1">
      <c r="A1435" s="1"/>
    </row>
    <row r="1436" spans="1:1" ht="12" customHeight="1">
      <c r="A1436" s="1"/>
    </row>
    <row r="1437" spans="1:1" ht="12" customHeight="1">
      <c r="A1437" s="1"/>
    </row>
    <row r="1438" spans="1:1" ht="12" customHeight="1">
      <c r="A1438" s="1"/>
    </row>
    <row r="1439" spans="1:1" ht="12" customHeight="1">
      <c r="A1439" s="1"/>
    </row>
    <row r="1440" spans="1:1" ht="12" customHeight="1">
      <c r="A1440" s="1"/>
    </row>
    <row r="1441" spans="1:1" ht="12" customHeight="1">
      <c r="A1441" s="1"/>
    </row>
    <row r="1442" spans="1:1" ht="12" customHeight="1">
      <c r="A1442" s="1"/>
    </row>
    <row r="1443" spans="1:1" ht="12" customHeight="1">
      <c r="A1443" s="1"/>
    </row>
    <row r="1444" spans="1:1" ht="12" customHeight="1">
      <c r="A1444" s="1"/>
    </row>
    <row r="1445" spans="1:1" ht="12" customHeight="1">
      <c r="A1445" s="1"/>
    </row>
    <row r="1446" spans="1:1" ht="12" customHeight="1">
      <c r="A1446" s="1"/>
    </row>
    <row r="1447" spans="1:1" ht="12" customHeight="1">
      <c r="A1447" s="1"/>
    </row>
    <row r="1448" spans="1:1" ht="12" customHeight="1">
      <c r="A1448" s="1"/>
    </row>
    <row r="1449" spans="1:1" ht="12" customHeight="1">
      <c r="A1449" s="1"/>
    </row>
    <row r="1450" spans="1:1" ht="12" customHeight="1">
      <c r="A1450" s="1"/>
    </row>
    <row r="1451" spans="1:1" ht="12" customHeight="1">
      <c r="A1451" s="1"/>
    </row>
    <row r="1452" spans="1:1" ht="12" customHeight="1">
      <c r="A1452" s="1"/>
    </row>
    <row r="1453" spans="1:1" ht="12" customHeight="1">
      <c r="A1453" s="1"/>
    </row>
    <row r="1454" spans="1:1" ht="12" customHeight="1">
      <c r="A1454" s="1"/>
    </row>
    <row r="1455" spans="1:1" ht="12" customHeight="1">
      <c r="A1455" s="1"/>
    </row>
    <row r="1456" spans="1:1" ht="12" customHeight="1">
      <c r="A1456" s="1"/>
    </row>
    <row r="1457" spans="1:1" ht="12" customHeight="1">
      <c r="A1457" s="1"/>
    </row>
    <row r="1458" spans="1:1" ht="12" customHeight="1">
      <c r="A1458" s="1"/>
    </row>
    <row r="1459" spans="1:1" ht="12" customHeight="1">
      <c r="A1459" s="1"/>
    </row>
    <row r="1460" spans="1:1" ht="12" customHeight="1">
      <c r="A1460" s="1"/>
    </row>
    <row r="1461" spans="1:1" ht="12" customHeight="1">
      <c r="A1461" s="1"/>
    </row>
    <row r="1462" spans="1:1" ht="12" customHeight="1">
      <c r="A1462" s="1"/>
    </row>
    <row r="1463" spans="1:1" ht="12" customHeight="1">
      <c r="A1463" s="1"/>
    </row>
    <row r="1464" spans="1:1" ht="12" customHeight="1">
      <c r="A1464" s="1"/>
    </row>
    <row r="1465" spans="1:1" ht="12" customHeight="1">
      <c r="A1465" s="1"/>
    </row>
    <row r="1466" spans="1:1" ht="12" customHeight="1">
      <c r="A1466" s="1"/>
    </row>
    <row r="1467" spans="1:1" ht="12" customHeight="1">
      <c r="A1467" s="1"/>
    </row>
    <row r="1468" spans="1:1" ht="12" customHeight="1">
      <c r="A1468" s="1"/>
    </row>
    <row r="1469" spans="1:1" ht="12" customHeight="1">
      <c r="A1469" s="1"/>
    </row>
    <row r="1470" spans="1:1" ht="12" customHeight="1">
      <c r="A1470" s="1"/>
    </row>
    <row r="1471" spans="1:1" ht="12" customHeight="1">
      <c r="A1471" s="1"/>
    </row>
    <row r="1472" spans="1:1" ht="12" customHeight="1">
      <c r="A1472" s="1"/>
    </row>
    <row r="1473" spans="1:1" ht="12" customHeight="1">
      <c r="A1473" s="1"/>
    </row>
    <row r="1474" spans="1:1" ht="12" customHeight="1">
      <c r="A1474" s="1"/>
    </row>
    <row r="1475" spans="1:1" ht="12" customHeight="1">
      <c r="A1475" s="1"/>
    </row>
    <row r="1476" spans="1:1" ht="12" customHeight="1">
      <c r="A1476" s="1"/>
    </row>
    <row r="1477" spans="1:1" ht="12" customHeight="1">
      <c r="A1477" s="1"/>
    </row>
    <row r="1478" spans="1:1" ht="12" customHeight="1">
      <c r="A1478" s="1"/>
    </row>
    <row r="1479" spans="1:1" ht="12" customHeight="1">
      <c r="A1479" s="1"/>
    </row>
    <row r="1480" spans="1:1" ht="12" customHeight="1">
      <c r="A1480" s="1"/>
    </row>
    <row r="1481" spans="1:1" ht="12" customHeight="1">
      <c r="A1481" s="1"/>
    </row>
    <row r="1482" spans="1:1" ht="12" customHeight="1">
      <c r="A1482" s="1"/>
    </row>
    <row r="1483" spans="1:1" ht="12" customHeight="1">
      <c r="A1483" s="1"/>
    </row>
    <row r="1484" spans="1:1" ht="12" customHeight="1">
      <c r="A1484" s="1"/>
    </row>
    <row r="1485" spans="1:1" ht="12" customHeight="1">
      <c r="A1485" s="1"/>
    </row>
    <row r="1486" spans="1:1" ht="12" customHeight="1">
      <c r="A1486" s="1"/>
    </row>
    <row r="1487" spans="1:1" ht="12" customHeight="1">
      <c r="A1487" s="1"/>
    </row>
    <row r="1488" spans="1:1" ht="12" customHeight="1">
      <c r="A1488" s="1"/>
    </row>
    <row r="1489" spans="1:1" ht="12" customHeight="1">
      <c r="A1489" s="1"/>
    </row>
    <row r="1490" spans="1:1" ht="12" customHeight="1">
      <c r="A1490" s="1"/>
    </row>
    <row r="1491" spans="1:1" ht="12" customHeight="1">
      <c r="A1491" s="1"/>
    </row>
    <row r="1492" spans="1:1" ht="12" customHeight="1">
      <c r="A1492" s="1"/>
    </row>
    <row r="1493" spans="1:1" ht="12" customHeight="1">
      <c r="A1493" s="1"/>
    </row>
    <row r="1494" spans="1:1" ht="12" customHeight="1">
      <c r="A1494" s="1"/>
    </row>
    <row r="1495" spans="1:1" ht="12" customHeight="1">
      <c r="A1495" s="1"/>
    </row>
    <row r="1496" spans="1:1" ht="12" customHeight="1">
      <c r="A1496" s="1"/>
    </row>
    <row r="1497" spans="1:1" ht="12" customHeight="1">
      <c r="A1497" s="1"/>
    </row>
    <row r="1498" spans="1:1" ht="12" customHeight="1">
      <c r="A1498" s="1"/>
    </row>
    <row r="1499" spans="1:1" ht="12" customHeight="1">
      <c r="A1499" s="1"/>
    </row>
    <row r="1500" spans="1:1" ht="12" customHeight="1">
      <c r="A1500" s="1"/>
    </row>
    <row r="1501" spans="1:1" ht="12" customHeight="1">
      <c r="A1501" s="1"/>
    </row>
    <row r="1502" spans="1:1" ht="12" customHeight="1">
      <c r="A1502" s="1"/>
    </row>
    <row r="1503" spans="1:1" ht="12" customHeight="1">
      <c r="A1503" s="1"/>
    </row>
    <row r="1504" spans="1:1" ht="12" customHeight="1">
      <c r="A1504" s="1"/>
    </row>
    <row r="1505" spans="1:1" ht="12" customHeight="1">
      <c r="A1505" s="1"/>
    </row>
    <row r="1506" spans="1:1" ht="12" customHeight="1">
      <c r="A1506" s="1"/>
    </row>
    <row r="1507" spans="1:1" ht="12" customHeight="1">
      <c r="A1507" s="1"/>
    </row>
    <row r="1508" spans="1:1" ht="12" customHeight="1">
      <c r="A1508" s="1"/>
    </row>
    <row r="1509" spans="1:1" ht="12" customHeight="1">
      <c r="A1509" s="1"/>
    </row>
    <row r="1510" spans="1:1" ht="12" customHeight="1">
      <c r="A1510" s="1"/>
    </row>
    <row r="1511" spans="1:1" ht="12" customHeight="1">
      <c r="A1511" s="1"/>
    </row>
    <row r="1512" spans="1:1" ht="12" customHeight="1">
      <c r="A1512" s="1"/>
    </row>
    <row r="1513" spans="1:1" ht="12" customHeight="1">
      <c r="A1513" s="1"/>
    </row>
    <row r="1514" spans="1:1" ht="12" customHeight="1">
      <c r="A1514" s="1"/>
    </row>
    <row r="1515" spans="1:1" ht="12" customHeight="1">
      <c r="A1515" s="1"/>
    </row>
    <row r="1516" spans="1:1" ht="12" customHeight="1">
      <c r="A1516" s="1"/>
    </row>
    <row r="1517" spans="1:1" ht="12" customHeight="1">
      <c r="A1517" s="1"/>
    </row>
    <row r="1518" spans="1:1" ht="12" customHeight="1">
      <c r="A1518" s="1"/>
    </row>
    <row r="1519" spans="1:1" ht="12" customHeight="1">
      <c r="A1519" s="1"/>
    </row>
    <row r="1520" spans="1:1" ht="12" customHeight="1">
      <c r="A1520" s="1"/>
    </row>
    <row r="1521" spans="1:1" ht="12" customHeight="1">
      <c r="A1521" s="1"/>
    </row>
    <row r="1522" spans="1:1" ht="12" customHeight="1">
      <c r="A1522" s="1"/>
    </row>
    <row r="1523" spans="1:1" ht="12" customHeight="1">
      <c r="A1523" s="1"/>
    </row>
    <row r="1524" spans="1:1" ht="12" customHeight="1">
      <c r="A1524" s="1"/>
    </row>
    <row r="1525" spans="1:1" ht="12" customHeight="1">
      <c r="A1525" s="1"/>
    </row>
    <row r="1526" spans="1:1" ht="12" customHeight="1">
      <c r="A1526" s="1"/>
    </row>
    <row r="1527" spans="1:1" ht="12" customHeight="1">
      <c r="A1527" s="1"/>
    </row>
    <row r="1528" spans="1:1" ht="12" customHeight="1">
      <c r="A1528" s="1"/>
    </row>
    <row r="1529" spans="1:1" ht="12" customHeight="1">
      <c r="A1529" s="1"/>
    </row>
    <row r="1530" spans="1:1" ht="12" customHeight="1">
      <c r="A1530" s="1"/>
    </row>
    <row r="1531" spans="1:1" ht="12" customHeight="1">
      <c r="A1531" s="1"/>
    </row>
    <row r="1532" spans="1:1" ht="12" customHeight="1">
      <c r="A1532" s="1"/>
    </row>
    <row r="1533" spans="1:1" ht="12" customHeight="1">
      <c r="A1533" s="1"/>
    </row>
    <row r="1534" spans="1:1" ht="12" customHeight="1">
      <c r="A1534" s="1"/>
    </row>
    <row r="1535" spans="1:1" ht="12" customHeight="1">
      <c r="A1535" s="1"/>
    </row>
    <row r="1536" spans="1:1" ht="12" customHeight="1">
      <c r="A1536" s="1"/>
    </row>
    <row r="1537" spans="1:1" ht="12" customHeight="1">
      <c r="A1537" s="1"/>
    </row>
    <row r="1538" spans="1:1" ht="12" customHeight="1">
      <c r="A1538" s="1"/>
    </row>
    <row r="1539" spans="1:1" ht="12" customHeight="1">
      <c r="A1539" s="1"/>
    </row>
    <row r="1540" spans="1:1" ht="12" customHeight="1">
      <c r="A1540" s="1"/>
    </row>
    <row r="1541" spans="1:1" ht="12" customHeight="1">
      <c r="A1541" s="1"/>
    </row>
    <row r="1542" spans="1:1" ht="12" customHeight="1">
      <c r="A1542" s="1"/>
    </row>
    <row r="1543" spans="1:1" ht="12" customHeight="1">
      <c r="A1543" s="1"/>
    </row>
    <row r="1544" spans="1:1" ht="12" customHeight="1">
      <c r="A1544" s="1"/>
    </row>
    <row r="1545" spans="1:1" ht="12" customHeight="1">
      <c r="A1545" s="1"/>
    </row>
    <row r="1546" spans="1:1" ht="12" customHeight="1">
      <c r="A1546" s="1"/>
    </row>
    <row r="1547" spans="1:1" ht="12" customHeight="1">
      <c r="A1547" s="1"/>
    </row>
    <row r="1548" spans="1:1" ht="12" customHeight="1">
      <c r="A1548" s="1"/>
    </row>
    <row r="1549" spans="1:1" ht="12" customHeight="1">
      <c r="A1549" s="1"/>
    </row>
    <row r="1550" spans="1:1" ht="12" customHeight="1">
      <c r="A1550" s="1"/>
    </row>
    <row r="1551" spans="1:1" ht="12" customHeight="1">
      <c r="A1551" s="1"/>
    </row>
    <row r="1552" spans="1:1" ht="12" customHeight="1">
      <c r="A1552" s="1"/>
    </row>
    <row r="1553" spans="1:1" ht="12" customHeight="1">
      <c r="A1553" s="1"/>
    </row>
    <row r="1554" spans="1:1" ht="12" customHeight="1">
      <c r="A1554" s="1"/>
    </row>
    <row r="1555" spans="1:1" ht="12" customHeight="1">
      <c r="A1555" s="1"/>
    </row>
    <row r="1556" spans="1:1" ht="12" customHeight="1">
      <c r="A1556" s="1"/>
    </row>
    <row r="1557" spans="1:1" ht="12" customHeight="1">
      <c r="A1557" s="1"/>
    </row>
    <row r="1558" spans="1:1" ht="12" customHeight="1">
      <c r="A1558" s="1"/>
    </row>
    <row r="1559" spans="1:1" ht="12" customHeight="1">
      <c r="A1559" s="1"/>
    </row>
    <row r="1560" spans="1:1" ht="12" customHeight="1">
      <c r="A1560" s="1"/>
    </row>
    <row r="1561" spans="1:1" ht="12" customHeight="1">
      <c r="A1561" s="1"/>
    </row>
    <row r="1562" spans="1:1" ht="12" customHeight="1">
      <c r="A1562" s="1"/>
    </row>
    <row r="1563" spans="1:1" ht="12" customHeight="1">
      <c r="A1563" s="1"/>
    </row>
    <row r="1564" spans="1:1" ht="12" customHeight="1">
      <c r="A1564" s="1"/>
    </row>
    <row r="1565" spans="1:1" ht="12" customHeight="1">
      <c r="A1565" s="1"/>
    </row>
    <row r="1566" spans="1:1" ht="12" customHeight="1">
      <c r="A1566" s="1"/>
    </row>
    <row r="1567" spans="1:1" ht="12" customHeight="1">
      <c r="A1567" s="1"/>
    </row>
    <row r="1568" spans="1:1" ht="12" customHeight="1">
      <c r="A1568" s="1"/>
    </row>
    <row r="1569" spans="1:1" ht="12" customHeight="1">
      <c r="A1569" s="1"/>
    </row>
    <row r="1570" spans="1:1" ht="12" customHeight="1">
      <c r="A1570" s="1"/>
    </row>
    <row r="1571" spans="1:1" ht="12" customHeight="1">
      <c r="A1571" s="1"/>
    </row>
    <row r="1572" spans="1:1" ht="12" customHeight="1">
      <c r="A1572" s="1"/>
    </row>
    <row r="1573" spans="1:1" ht="12" customHeight="1">
      <c r="A1573" s="1"/>
    </row>
    <row r="1574" spans="1:1" ht="12" customHeight="1">
      <c r="A1574" s="1"/>
    </row>
    <row r="1575" spans="1:1" ht="12" customHeight="1">
      <c r="A1575" s="1"/>
    </row>
    <row r="1576" spans="1:1" ht="12" customHeight="1">
      <c r="A1576" s="1"/>
    </row>
    <row r="1577" spans="1:1" ht="12" customHeight="1">
      <c r="A1577" s="1"/>
    </row>
    <row r="1578" spans="1:1" ht="12" customHeight="1">
      <c r="A1578" s="1"/>
    </row>
    <row r="1579" spans="1:1" ht="12" customHeight="1">
      <c r="A1579" s="1"/>
    </row>
    <row r="1580" spans="1:1" ht="12" customHeight="1">
      <c r="A1580" s="1"/>
    </row>
    <row r="1581" spans="1:1" ht="12" customHeight="1">
      <c r="A1581" s="1"/>
    </row>
    <row r="1582" spans="1:1" ht="12" customHeight="1">
      <c r="A1582" s="1"/>
    </row>
    <row r="1583" spans="1:1" ht="12" customHeight="1">
      <c r="A1583" s="1"/>
    </row>
    <row r="1584" spans="1:1" ht="12" customHeight="1">
      <c r="A1584" s="1"/>
    </row>
    <row r="1585" spans="1:1" ht="12" customHeight="1">
      <c r="A1585" s="1"/>
    </row>
    <row r="1586" spans="1:1" ht="12" customHeight="1">
      <c r="A1586" s="1"/>
    </row>
    <row r="1587" spans="1:1" ht="12" customHeight="1">
      <c r="A1587" s="1"/>
    </row>
    <row r="1588" spans="1:1" ht="12" customHeight="1">
      <c r="A1588" s="1"/>
    </row>
    <row r="1589" spans="1:1" ht="12" customHeight="1">
      <c r="A1589" s="1"/>
    </row>
    <row r="1590" spans="1:1" ht="12" customHeight="1">
      <c r="A1590" s="1"/>
    </row>
    <row r="1591" spans="1:1" ht="12" customHeight="1">
      <c r="A1591" s="1"/>
    </row>
    <row r="1592" spans="1:1" ht="12" customHeight="1">
      <c r="A1592" s="1"/>
    </row>
    <row r="1593" spans="1:1" ht="12" customHeight="1">
      <c r="A1593" s="1"/>
    </row>
    <row r="1594" spans="1:1" ht="12" customHeight="1">
      <c r="A1594" s="1"/>
    </row>
    <row r="1595" spans="1:1" ht="12" customHeight="1">
      <c r="A1595" s="1"/>
    </row>
    <row r="1596" spans="1:1" ht="12" customHeight="1">
      <c r="A1596" s="1"/>
    </row>
    <row r="1597" spans="1:1" ht="12" customHeight="1">
      <c r="A1597" s="1"/>
    </row>
    <row r="1598" spans="1:1" ht="12" customHeight="1">
      <c r="A1598" s="1"/>
    </row>
    <row r="1599" spans="1:1" ht="12" customHeight="1">
      <c r="A1599" s="1"/>
    </row>
    <row r="1600" spans="1:1" ht="12" customHeight="1">
      <c r="A1600" s="1"/>
    </row>
    <row r="1601" spans="1:1" ht="12" customHeight="1">
      <c r="A1601" s="1"/>
    </row>
    <row r="1602" spans="1:1" ht="12" customHeight="1">
      <c r="A1602" s="1"/>
    </row>
    <row r="1603" spans="1:1" ht="12" customHeight="1">
      <c r="A1603" s="1"/>
    </row>
    <row r="1604" spans="1:1" ht="12" customHeight="1">
      <c r="A1604" s="1"/>
    </row>
    <row r="1605" spans="1:1" ht="12" customHeight="1">
      <c r="A1605" s="1"/>
    </row>
    <row r="1606" spans="1:1" ht="12" customHeight="1">
      <c r="A1606" s="1"/>
    </row>
    <row r="1607" spans="1:1" ht="12" customHeight="1">
      <c r="A1607" s="1"/>
    </row>
    <row r="1608" spans="1:1" ht="12" customHeight="1">
      <c r="A1608" s="1"/>
    </row>
    <row r="1609" spans="1:1" ht="12" customHeight="1">
      <c r="A1609" s="1"/>
    </row>
    <row r="1610" spans="1:1" ht="12" customHeight="1">
      <c r="A1610" s="1"/>
    </row>
    <row r="1611" spans="1:1" ht="12" customHeight="1">
      <c r="A1611" s="1"/>
    </row>
    <row r="1612" spans="1:1" ht="12" customHeight="1">
      <c r="A1612" s="1"/>
    </row>
    <row r="1613" spans="1:1" ht="12" customHeight="1">
      <c r="A1613" s="1"/>
    </row>
    <row r="1614" spans="1:1" ht="12" customHeight="1">
      <c r="A1614" s="1"/>
    </row>
    <row r="1615" spans="1:1" ht="12" customHeight="1">
      <c r="A1615" s="1"/>
    </row>
    <row r="1616" spans="1:1" ht="12" customHeight="1">
      <c r="A1616" s="1"/>
    </row>
    <row r="1617" spans="1:1" ht="12" customHeight="1">
      <c r="A1617" s="1"/>
    </row>
    <row r="1618" spans="1:1" ht="12" customHeight="1">
      <c r="A1618" s="1"/>
    </row>
    <row r="1619" spans="1:1" ht="12" customHeight="1">
      <c r="A1619" s="1"/>
    </row>
    <row r="1620" spans="1:1" ht="12" customHeight="1">
      <c r="A1620" s="1"/>
    </row>
    <row r="1621" spans="1:1" ht="12" customHeight="1">
      <c r="A1621" s="1"/>
    </row>
    <row r="1622" spans="1:1" ht="12" customHeight="1">
      <c r="A1622" s="1"/>
    </row>
    <row r="1623" spans="1:1" ht="12" customHeight="1">
      <c r="A1623" s="1"/>
    </row>
    <row r="1624" spans="1:1" ht="12" customHeight="1">
      <c r="A1624" s="1"/>
    </row>
    <row r="1625" spans="1:1" ht="12" customHeight="1">
      <c r="A1625" s="1"/>
    </row>
    <row r="1626" spans="1:1" ht="12" customHeight="1">
      <c r="A1626" s="1"/>
    </row>
    <row r="1627" spans="1:1" ht="12" customHeight="1">
      <c r="A1627" s="1"/>
    </row>
    <row r="1628" spans="1:1" ht="12" customHeight="1">
      <c r="A1628" s="1"/>
    </row>
    <row r="1629" spans="1:1" ht="12" customHeight="1">
      <c r="A1629" s="1"/>
    </row>
    <row r="1630" spans="1:1" ht="12" customHeight="1">
      <c r="A1630" s="1"/>
    </row>
    <row r="1631" spans="1:1" ht="12" customHeight="1">
      <c r="A1631" s="1"/>
    </row>
    <row r="1632" spans="1:1" ht="12" customHeight="1">
      <c r="A1632" s="1"/>
    </row>
    <row r="1633" spans="1:1" ht="12" customHeight="1">
      <c r="A1633" s="1"/>
    </row>
    <row r="1634" spans="1:1" ht="12" customHeight="1">
      <c r="A1634" s="1"/>
    </row>
    <row r="1635" spans="1:1" ht="12" customHeight="1">
      <c r="A1635" s="1"/>
    </row>
    <row r="1636" spans="1:1" ht="12" customHeight="1">
      <c r="A1636" s="1"/>
    </row>
    <row r="1637" spans="1:1" ht="12" customHeight="1">
      <c r="A1637" s="1"/>
    </row>
    <row r="1638" spans="1:1" ht="12" customHeight="1">
      <c r="A1638" s="1"/>
    </row>
    <row r="1639" spans="1:1" ht="12" customHeight="1">
      <c r="A1639" s="1"/>
    </row>
    <row r="1640" spans="1:1" ht="12" customHeight="1">
      <c r="A1640" s="1"/>
    </row>
  </sheetData>
  <pageMargins left="0.7" right="0.7" top="0.75" bottom="0.75" header="0.3" footer="0.3"/>
  <pageSetup paperSize="9" scale="42" fitToWidth="2" fitToHeight="50" orientation="landscape" horizontalDpi="300" verticalDpi="300" r:id="rId1"/>
  <rowBreaks count="8" manualBreakCount="8">
    <brk id="57" min="1" max="56" man="1"/>
    <brk id="108" min="1" max="56" man="1"/>
    <brk id="220" min="1" max="56" man="1"/>
    <brk id="275" min="1" max="56" man="1"/>
    <brk id="338" min="1" max="56" man="1"/>
    <brk id="376" min="1" max="56" man="1"/>
    <brk id="457" min="1" max="56" man="1"/>
    <brk id="582" min="1" max="35" man="1"/>
  </rowBreaks>
  <colBreaks count="1" manualBreakCount="1">
    <brk id="46" max="580" man="1"/>
  </colBreaks>
  <customProperties>
    <customPr name="Qube.Worksheet.ID" r:id="rId2"/>
    <customPr name="Qube.Worksheet.Visibility" r:id="rId3"/>
    <customPr name="SHEET_UNIQUE_ID" r:id="rId4"/>
  </customProperties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CC2190"/>
  <sheetViews>
    <sheetView zoomScale="90" zoomScaleNormal="90" workbookViewId="0">
      <pane xSplit="2" ySplit="5" topLeftCell="AG237" activePane="bottomRight" state="frozen"/>
      <selection pane="topRight" activeCell="C1" sqref="C1"/>
      <selection pane="bottomLeft" activeCell="A6" sqref="A6"/>
      <selection pane="bottomRight" activeCell="AK288" sqref="AK288"/>
    </sheetView>
  </sheetViews>
  <sheetFormatPr defaultColWidth="9.140625" defaultRowHeight="12" outlineLevelRow="2" outlineLevelCol="1"/>
  <cols>
    <col min="1" max="1" width="4.140625" style="91" customWidth="1"/>
    <col min="2" max="2" width="52.7109375" style="1" customWidth="1"/>
    <col min="3" max="22" width="10.85546875" style="1" customWidth="1" outlineLevel="1"/>
    <col min="23" max="23" width="10.85546875" style="1" customWidth="1" outlineLevel="1" collapsed="1"/>
    <col min="24" max="26" width="10.85546875" style="1" customWidth="1" outlineLevel="1"/>
    <col min="27" max="27" width="10.85546875" style="1" customWidth="1" outlineLevel="1" collapsed="1"/>
    <col min="28" max="28" width="10.85546875" style="1" customWidth="1" outlineLevel="1"/>
    <col min="29" max="44" width="10.85546875" style="1" customWidth="1"/>
    <col min="45" max="45" width="4.140625" style="1" customWidth="1"/>
    <col min="46" max="57" width="10.85546875" style="1" hidden="1" customWidth="1" outlineLevel="1"/>
    <col min="58" max="58" width="10.85546875" style="1" hidden="1" customWidth="1" outlineLevel="1" collapsed="1"/>
    <col min="59" max="59" width="10.85546875" style="1" customWidth="1" collapsed="1"/>
    <col min="60" max="60" width="10.85546875" style="1" customWidth="1"/>
    <col min="61" max="61" width="10.85546875" style="15" customWidth="1"/>
    <col min="62" max="71" width="10.85546875" style="1" customWidth="1"/>
    <col min="72" max="79" width="9.140625" style="1"/>
    <col min="80" max="80" width="0" style="1" hidden="1" customWidth="1" outlineLevel="1"/>
    <col min="81" max="81" width="9.140625" style="1" collapsed="1"/>
    <col min="82" max="16384" width="9.140625" style="1"/>
  </cols>
  <sheetData>
    <row r="1" spans="1:68" ht="12" customHeight="1">
      <c r="B1" s="2" t="s">
        <v>0</v>
      </c>
      <c r="C1" s="4" t="str">
        <f>'Group Model'!D1</f>
        <v>1H10A</v>
      </c>
      <c r="D1" s="4" t="str">
        <f>'Group Model'!E1</f>
        <v>2H10A</v>
      </c>
      <c r="E1" s="4" t="str">
        <f>'Group Model'!F1</f>
        <v>1H11A</v>
      </c>
      <c r="F1" s="4" t="str">
        <f>'Group Model'!G1</f>
        <v>2H11A</v>
      </c>
      <c r="G1" s="4" t="str">
        <f>'Group Model'!H1</f>
        <v>1H12A</v>
      </c>
      <c r="H1" s="4" t="str">
        <f>'Group Model'!I1</f>
        <v>2H12A</v>
      </c>
      <c r="I1" s="4" t="str">
        <f>'Group Model'!J1</f>
        <v>1H13A</v>
      </c>
      <c r="J1" s="4" t="str">
        <f>'Group Model'!K1</f>
        <v>2H13A</v>
      </c>
      <c r="K1" s="4" t="str">
        <f>'Group Model'!L1</f>
        <v>1H14A</v>
      </c>
      <c r="L1" s="4" t="str">
        <f>'Group Model'!M1</f>
        <v>2H14A</v>
      </c>
      <c r="M1" s="4" t="str">
        <f>'Group Model'!N1</f>
        <v>1H15A</v>
      </c>
      <c r="N1" s="4" t="str">
        <f>'Group Model'!O1</f>
        <v>2H15A</v>
      </c>
      <c r="O1" s="4" t="str">
        <f>'Group Model'!P1</f>
        <v>1H16A</v>
      </c>
      <c r="P1" s="4" t="str">
        <f>'Group Model'!Q1</f>
        <v>2H16A</v>
      </c>
      <c r="Q1" s="4" t="str">
        <f>'Group Model'!R1</f>
        <v>1H17A</v>
      </c>
      <c r="R1" s="4" t="str">
        <f>'Group Model'!S1</f>
        <v>2H17A</v>
      </c>
      <c r="S1" s="4" t="str">
        <f>'Group Model'!T1</f>
        <v>1H18A</v>
      </c>
      <c r="T1" s="4" t="str">
        <f>'Group Model'!U1</f>
        <v>2H18A</v>
      </c>
      <c r="U1" s="4" t="str">
        <f>'Group Model'!V1</f>
        <v>1H19A</v>
      </c>
      <c r="V1" s="4" t="str">
        <f>'Group Model'!W1</f>
        <v>2H19A</v>
      </c>
      <c r="W1" s="4" t="str">
        <f>'Group Model'!X1</f>
        <v>1H20A</v>
      </c>
      <c r="X1" s="4" t="str">
        <f>'Group Model'!Y1</f>
        <v>2H20A</v>
      </c>
      <c r="Y1" s="4" t="str">
        <f>'Group Model'!Z1</f>
        <v>1H21A</v>
      </c>
      <c r="Z1" s="4" t="str">
        <f>'Group Model'!AA1</f>
        <v>2H21A</v>
      </c>
      <c r="AA1" s="4" t="str">
        <f>'Group Model'!AB1</f>
        <v>1H22A</v>
      </c>
      <c r="AB1" s="4" t="str">
        <f>'Group Model'!AC1</f>
        <v>2H22A</v>
      </c>
      <c r="AC1" s="4" t="str">
        <f>'Group Model'!AD1</f>
        <v>1H23A</v>
      </c>
      <c r="AD1" s="4" t="str">
        <f>'Group Model'!AE1</f>
        <v>2H23A</v>
      </c>
      <c r="AE1" s="4" t="str">
        <f>'Group Model'!AF1</f>
        <v>1H24A</v>
      </c>
      <c r="AF1" s="4" t="str">
        <f>'Group Model'!AG1</f>
        <v>2H24A</v>
      </c>
      <c r="AG1" s="4" t="str">
        <f>'Group Model'!AH1</f>
        <v>1H25A</v>
      </c>
      <c r="AH1" s="4" t="str">
        <f>'Group Model'!AI1</f>
        <v>2H25A</v>
      </c>
      <c r="AI1" s="10" t="str">
        <f>'Group Model'!AJ1</f>
        <v>1H26A</v>
      </c>
      <c r="AJ1" s="4" t="str">
        <f>'Group Model'!AK1</f>
        <v>2H26E</v>
      </c>
      <c r="AK1" s="4" t="str">
        <f>'Group Model'!AL1</f>
        <v>1H27E</v>
      </c>
      <c r="AL1" s="4" t="str">
        <f>'Group Model'!AM1</f>
        <v>2H27E</v>
      </c>
      <c r="AM1" s="4" t="str">
        <f>'Group Model'!AN1</f>
        <v>1H28E</v>
      </c>
      <c r="AN1" s="4" t="str">
        <f>'Group Model'!AO1</f>
        <v>2H28E</v>
      </c>
      <c r="AO1" s="4" t="str">
        <f>'Group Model'!AP1</f>
        <v>1H29E</v>
      </c>
      <c r="AP1" s="4" t="str">
        <f>'Group Model'!AQ1</f>
        <v>2H29E</v>
      </c>
      <c r="AQ1" s="4" t="str">
        <f>'Group Model'!AR1</f>
        <v>1H30E</v>
      </c>
      <c r="AR1" s="4" t="str">
        <f>'Group Model'!AS1</f>
        <v>2H30E</v>
      </c>
      <c r="AS1" s="4"/>
      <c r="AT1" s="4" t="str">
        <f>'Group Model'!AZ1</f>
        <v>FY10A</v>
      </c>
      <c r="AU1" s="4" t="str">
        <f>'Group Model'!BA1</f>
        <v>FY11A</v>
      </c>
      <c r="AV1" s="4" t="str">
        <f>'Group Model'!BB1</f>
        <v>FY12A</v>
      </c>
      <c r="AW1" s="4" t="str">
        <f>'Group Model'!BC1</f>
        <v>FY13A</v>
      </c>
      <c r="AX1" s="4" t="str">
        <f>'Group Model'!BD1</f>
        <v>FY14A</v>
      </c>
      <c r="AY1" s="4" t="str">
        <f>'Group Model'!BE1</f>
        <v>FY15A</v>
      </c>
      <c r="AZ1" s="4" t="str">
        <f>'Group Model'!BF1</f>
        <v>FY16A</v>
      </c>
      <c r="BA1" s="4" t="str">
        <f>'Group Model'!BG1</f>
        <v>FY17A</v>
      </c>
      <c r="BB1" s="4" t="str">
        <f>'Group Model'!BH1</f>
        <v>FY18A</v>
      </c>
      <c r="BC1" s="4" t="str">
        <f>'Group Model'!BI1</f>
        <v>FY19A</v>
      </c>
      <c r="BD1" s="4" t="str">
        <f>'Group Model'!BJ1</f>
        <v>FY20A</v>
      </c>
      <c r="BE1" s="4" t="str">
        <f>'Group Model'!BK1</f>
        <v>FY21A</v>
      </c>
      <c r="BF1" s="4" t="str">
        <f>'Group Model'!BL1</f>
        <v>FY22A</v>
      </c>
      <c r="BG1" s="4" t="str">
        <f>'Group Model'!BM1</f>
        <v>FY23A</v>
      </c>
      <c r="BH1" s="4" t="str">
        <f>'Group Model'!BN1</f>
        <v>FY24A</v>
      </c>
      <c r="BI1" s="10" t="str">
        <f>'Group Model'!BO1</f>
        <v>FY25A</v>
      </c>
      <c r="BJ1" s="4" t="str">
        <f>'Group Model'!BP1</f>
        <v>FY26E</v>
      </c>
      <c r="BK1" s="4" t="str">
        <f>'Group Model'!BQ1</f>
        <v>FY27E</v>
      </c>
      <c r="BL1" s="4" t="str">
        <f>'Group Model'!BR1</f>
        <v>FY28E</v>
      </c>
      <c r="BM1" s="4" t="str">
        <f>'Group Model'!BS1</f>
        <v>FY29E</v>
      </c>
      <c r="BN1" s="4" t="str">
        <f>'Group Model'!BT1</f>
        <v>FY30E</v>
      </c>
    </row>
    <row r="2" spans="1:68" ht="12" hidden="1" customHeight="1">
      <c r="B2" s="3" t="s">
        <v>1</v>
      </c>
      <c r="C2" s="5" t="str">
        <f t="shared" ref="C2:R2" si="0">RIGHT(C1,1)</f>
        <v>A</v>
      </c>
      <c r="D2" s="5" t="str">
        <f t="shared" si="0"/>
        <v>A</v>
      </c>
      <c r="E2" s="5" t="str">
        <f t="shared" si="0"/>
        <v>A</v>
      </c>
      <c r="F2" s="5" t="str">
        <f t="shared" si="0"/>
        <v>A</v>
      </c>
      <c r="G2" s="5" t="str">
        <f t="shared" si="0"/>
        <v>A</v>
      </c>
      <c r="H2" s="5" t="str">
        <f t="shared" si="0"/>
        <v>A</v>
      </c>
      <c r="I2" s="5" t="str">
        <f t="shared" si="0"/>
        <v>A</v>
      </c>
      <c r="J2" s="5" t="str">
        <f t="shared" si="0"/>
        <v>A</v>
      </c>
      <c r="K2" s="5" t="str">
        <f t="shared" si="0"/>
        <v>A</v>
      </c>
      <c r="L2" s="5" t="str">
        <f t="shared" si="0"/>
        <v>A</v>
      </c>
      <c r="M2" s="5" t="str">
        <f t="shared" ref="M2:N2" si="1">RIGHT(M1,1)</f>
        <v>A</v>
      </c>
      <c r="N2" s="5" t="str">
        <f t="shared" si="1"/>
        <v>A</v>
      </c>
      <c r="O2" s="5" t="str">
        <f t="shared" ref="O2:P2" si="2">RIGHT(O1,1)</f>
        <v>A</v>
      </c>
      <c r="P2" s="5" t="str">
        <f t="shared" si="2"/>
        <v>A</v>
      </c>
      <c r="Q2" s="5" t="str">
        <f t="shared" ref="Q2" si="3">RIGHT(Q1,1)</f>
        <v>A</v>
      </c>
      <c r="R2" s="5" t="str">
        <f t="shared" si="0"/>
        <v>A</v>
      </c>
      <c r="S2" s="5" t="str">
        <f t="shared" ref="S2" si="4">RIGHT(S1,1)</f>
        <v>A</v>
      </c>
      <c r="T2" s="5" t="str">
        <f t="shared" ref="T2:U2" si="5">RIGHT(T1,1)</f>
        <v>A</v>
      </c>
      <c r="U2" s="5" t="str">
        <f t="shared" si="5"/>
        <v>A</v>
      </c>
      <c r="V2" s="5" t="str">
        <f t="shared" ref="V2:W2" si="6">RIGHT(V1,1)</f>
        <v>A</v>
      </c>
      <c r="W2" s="5" t="str">
        <f t="shared" si="6"/>
        <v>A</v>
      </c>
      <c r="X2" s="5" t="str">
        <f t="shared" ref="X2:Y2" si="7">RIGHT(X1,1)</f>
        <v>A</v>
      </c>
      <c r="Y2" s="5" t="str">
        <f t="shared" si="7"/>
        <v>A</v>
      </c>
      <c r="Z2" s="5" t="str">
        <f t="shared" ref="Z2:AA2" si="8">RIGHT(Z1,1)</f>
        <v>A</v>
      </c>
      <c r="AA2" s="5" t="str">
        <f t="shared" si="8"/>
        <v>A</v>
      </c>
      <c r="AB2" s="5" t="str">
        <f t="shared" ref="AB2:AC2" si="9">RIGHT(AB1,1)</f>
        <v>A</v>
      </c>
      <c r="AC2" s="5" t="str">
        <f t="shared" si="9"/>
        <v>A</v>
      </c>
      <c r="AD2" s="5" t="str">
        <f t="shared" ref="AD2:AE2" si="10">RIGHT(AD1,1)</f>
        <v>A</v>
      </c>
      <c r="AE2" s="5" t="str">
        <f t="shared" si="10"/>
        <v>A</v>
      </c>
      <c r="AF2" s="5" t="str">
        <f t="shared" ref="AF2:AG2" si="11">RIGHT(AF1,1)</f>
        <v>A</v>
      </c>
      <c r="AG2" s="5" t="str">
        <f t="shared" si="11"/>
        <v>A</v>
      </c>
      <c r="AH2" s="5" t="str">
        <f t="shared" ref="AH2" si="12">RIGHT(AH1,1)</f>
        <v>A</v>
      </c>
      <c r="AI2" s="11" t="str">
        <f t="shared" ref="AI2:AJ2" si="13">RIGHT(AI1,1)</f>
        <v>A</v>
      </c>
      <c r="AJ2" s="5" t="str">
        <f t="shared" si="13"/>
        <v>E</v>
      </c>
      <c r="AK2" s="5" t="str">
        <f t="shared" ref="AK2:AL2" si="14">RIGHT(AK1,1)</f>
        <v>E</v>
      </c>
      <c r="AL2" s="5" t="str">
        <f t="shared" si="14"/>
        <v>E</v>
      </c>
      <c r="AM2" s="5" t="str">
        <f t="shared" ref="AM2:AN2" si="15">RIGHT(AM1,1)</f>
        <v>E</v>
      </c>
      <c r="AN2" s="5" t="str">
        <f t="shared" si="15"/>
        <v>E</v>
      </c>
      <c r="AO2" s="5" t="str">
        <f t="shared" ref="AO2:AP2" si="16">RIGHT(AO1,1)</f>
        <v>E</v>
      </c>
      <c r="AP2" s="5" t="str">
        <f t="shared" si="16"/>
        <v>E</v>
      </c>
      <c r="AQ2" s="5" t="str">
        <f t="shared" ref="AQ2:AR2" si="17">RIGHT(AQ1,1)</f>
        <v>E</v>
      </c>
      <c r="AR2" s="5" t="str">
        <f t="shared" si="17"/>
        <v>E</v>
      </c>
      <c r="AT2" s="5" t="str">
        <f t="shared" ref="AT2:AZ2" si="18">RIGHT(AT1,1)</f>
        <v>A</v>
      </c>
      <c r="AU2" s="5" t="str">
        <f t="shared" si="18"/>
        <v>A</v>
      </c>
      <c r="AV2" s="5" t="str">
        <f t="shared" si="18"/>
        <v>A</v>
      </c>
      <c r="AW2" s="5" t="str">
        <f t="shared" ref="AW2:AX2" si="19">RIGHT(AW1,1)</f>
        <v>A</v>
      </c>
      <c r="AX2" s="5" t="str">
        <f t="shared" si="19"/>
        <v>A</v>
      </c>
      <c r="AY2" s="5" t="str">
        <f t="shared" si="18"/>
        <v>A</v>
      </c>
      <c r="AZ2" s="5" t="str">
        <f t="shared" si="18"/>
        <v>A</v>
      </c>
      <c r="BA2" s="5" t="str">
        <f t="shared" ref="BA2:BB2" si="20">RIGHT(BA1,1)</f>
        <v>A</v>
      </c>
      <c r="BB2" s="5" t="str">
        <f t="shared" si="20"/>
        <v>A</v>
      </c>
      <c r="BC2" s="5" t="str">
        <f t="shared" ref="BC2" si="21">RIGHT(BC1,1)</f>
        <v>A</v>
      </c>
      <c r="BD2" s="5" t="str">
        <f>RIGHT(BD1,1)</f>
        <v>A</v>
      </c>
      <c r="BE2" s="5" t="str">
        <f t="shared" ref="BE2:BF2" si="22">RIGHT(BE1,1)</f>
        <v>A</v>
      </c>
      <c r="BF2" s="5" t="str">
        <f t="shared" si="22"/>
        <v>A</v>
      </c>
      <c r="BG2" s="5" t="str">
        <f t="shared" ref="BG2:BH2" si="23">RIGHT(BG1,1)</f>
        <v>A</v>
      </c>
      <c r="BH2" s="5" t="str">
        <f t="shared" si="23"/>
        <v>A</v>
      </c>
      <c r="BI2" s="11" t="str">
        <f t="shared" ref="BI2" si="24">RIGHT(BI1,1)</f>
        <v>A</v>
      </c>
      <c r="BJ2" s="5" t="str">
        <f t="shared" ref="BJ2:BK2" si="25">RIGHT(BJ1,1)</f>
        <v>E</v>
      </c>
      <c r="BK2" s="5" t="str">
        <f t="shared" si="25"/>
        <v>E</v>
      </c>
      <c r="BL2" s="5" t="str">
        <f t="shared" ref="BL2" si="26">RIGHT(BL1,1)</f>
        <v>E</v>
      </c>
      <c r="BM2" s="5" t="str">
        <f t="shared" ref="BM2:BN2" si="27">RIGHT(BM1,1)</f>
        <v>E</v>
      </c>
      <c r="BN2" s="5" t="str">
        <f t="shared" si="27"/>
        <v>E</v>
      </c>
    </row>
    <row r="3" spans="1:68" ht="12" customHeight="1">
      <c r="B3" s="3" t="s">
        <v>2</v>
      </c>
      <c r="C3" s="6">
        <f>'Group Model'!D3</f>
        <v>40086</v>
      </c>
      <c r="D3" s="6">
        <f>'Group Model'!E3</f>
        <v>40268</v>
      </c>
      <c r="E3" s="6">
        <f>'Group Model'!F3</f>
        <v>40451</v>
      </c>
      <c r="F3" s="6">
        <f>'Group Model'!G3</f>
        <v>40633</v>
      </c>
      <c r="G3" s="6">
        <f>'Group Model'!H3</f>
        <v>40816</v>
      </c>
      <c r="H3" s="6">
        <f>'Group Model'!I3</f>
        <v>40999</v>
      </c>
      <c r="I3" s="6">
        <f>'Group Model'!J3</f>
        <v>41182</v>
      </c>
      <c r="J3" s="6">
        <f>'Group Model'!K3</f>
        <v>41364</v>
      </c>
      <c r="K3" s="6">
        <f>'Group Model'!L3</f>
        <v>41547</v>
      </c>
      <c r="L3" s="6">
        <f>'Group Model'!M3</f>
        <v>41729</v>
      </c>
      <c r="M3" s="6">
        <f>'Group Model'!N3</f>
        <v>41912</v>
      </c>
      <c r="N3" s="6">
        <f>'Group Model'!O3</f>
        <v>42094</v>
      </c>
      <c r="O3" s="6">
        <f>'Group Model'!P3</f>
        <v>42277</v>
      </c>
      <c r="P3" s="6">
        <f>'Group Model'!Q3</f>
        <v>42460</v>
      </c>
      <c r="Q3" s="6">
        <f>'Group Model'!R3</f>
        <v>42643</v>
      </c>
      <c r="R3" s="6">
        <f>'Group Model'!S3</f>
        <v>42825</v>
      </c>
      <c r="S3" s="6">
        <f>'Group Model'!T3</f>
        <v>43008</v>
      </c>
      <c r="T3" s="6">
        <f>'Group Model'!U3</f>
        <v>43190</v>
      </c>
      <c r="U3" s="6">
        <f>'Group Model'!V3</f>
        <v>43373</v>
      </c>
      <c r="V3" s="6">
        <f>'Group Model'!W3</f>
        <v>43555</v>
      </c>
      <c r="W3" s="6">
        <f>'Group Model'!X3</f>
        <v>43738</v>
      </c>
      <c r="X3" s="6">
        <f>'Group Model'!Y3</f>
        <v>43921</v>
      </c>
      <c r="Y3" s="6">
        <f>'Group Model'!Z3</f>
        <v>44104</v>
      </c>
      <c r="Z3" s="6">
        <f>'Group Model'!AA3</f>
        <v>44286</v>
      </c>
      <c r="AA3" s="6">
        <f>'Group Model'!AB3</f>
        <v>44469</v>
      </c>
      <c r="AB3" s="6">
        <f>'Group Model'!AC3</f>
        <v>44651</v>
      </c>
      <c r="AC3" s="6">
        <f>'Group Model'!AD3</f>
        <v>44834</v>
      </c>
      <c r="AD3" s="6">
        <f>'Group Model'!AE3</f>
        <v>45016</v>
      </c>
      <c r="AE3" s="6">
        <f>'Group Model'!AF3</f>
        <v>45199</v>
      </c>
      <c r="AF3" s="6">
        <f>'Group Model'!AG3</f>
        <v>45382</v>
      </c>
      <c r="AG3" s="6">
        <f>'Group Model'!AH3</f>
        <v>45565</v>
      </c>
      <c r="AH3" s="6">
        <f>'Group Model'!AI3</f>
        <v>45747</v>
      </c>
      <c r="AI3" s="12">
        <f>'Group Model'!AJ3</f>
        <v>45930</v>
      </c>
      <c r="AJ3" s="6">
        <f>'Group Model'!AK3</f>
        <v>46112</v>
      </c>
      <c r="AK3" s="6">
        <f>'Group Model'!AL3</f>
        <v>46295</v>
      </c>
      <c r="AL3" s="6">
        <f>'Group Model'!AM3</f>
        <v>46477</v>
      </c>
      <c r="AM3" s="6">
        <f>'Group Model'!AN3</f>
        <v>46660</v>
      </c>
      <c r="AN3" s="6">
        <f>'Group Model'!AO3</f>
        <v>46843</v>
      </c>
      <c r="AO3" s="6">
        <f>'Group Model'!AP3</f>
        <v>47026</v>
      </c>
      <c r="AP3" s="6">
        <f>'Group Model'!AQ3</f>
        <v>47208</v>
      </c>
      <c r="AQ3" s="6">
        <f>'Group Model'!AR3</f>
        <v>47391</v>
      </c>
      <c r="AR3" s="6">
        <f>'Group Model'!AS3</f>
        <v>47573</v>
      </c>
      <c r="AT3" s="6">
        <f>'Group Model'!AZ3</f>
        <v>40268</v>
      </c>
      <c r="AU3" s="6">
        <f>'Group Model'!BA3</f>
        <v>40633</v>
      </c>
      <c r="AV3" s="6">
        <f>'Group Model'!BB3</f>
        <v>40999</v>
      </c>
      <c r="AW3" s="6">
        <f>'Group Model'!BC3</f>
        <v>41364</v>
      </c>
      <c r="AX3" s="6">
        <f>'Group Model'!BD3</f>
        <v>41729</v>
      </c>
      <c r="AY3" s="6">
        <f>'Group Model'!BE3</f>
        <v>42094</v>
      </c>
      <c r="AZ3" s="6">
        <f>'Group Model'!BF3</f>
        <v>42460</v>
      </c>
      <c r="BA3" s="6">
        <f>'Group Model'!BG3</f>
        <v>42825</v>
      </c>
      <c r="BB3" s="6">
        <f>'Group Model'!BH3</f>
        <v>43190</v>
      </c>
      <c r="BC3" s="6">
        <f>'Group Model'!BI3</f>
        <v>43555</v>
      </c>
      <c r="BD3" s="6">
        <f>'Group Model'!BJ3</f>
        <v>43921</v>
      </c>
      <c r="BE3" s="6">
        <f>'Group Model'!BK3</f>
        <v>44286</v>
      </c>
      <c r="BF3" s="6">
        <f>'Group Model'!BL3</f>
        <v>44651</v>
      </c>
      <c r="BG3" s="6">
        <f>'Group Model'!BM3</f>
        <v>45016</v>
      </c>
      <c r="BH3" s="6">
        <f>'Group Model'!BN3</f>
        <v>45382</v>
      </c>
      <c r="BI3" s="12">
        <f>'Group Model'!BO3</f>
        <v>45747</v>
      </c>
      <c r="BJ3" s="6">
        <f>'Group Model'!BP3</f>
        <v>46112</v>
      </c>
      <c r="BK3" s="6">
        <f>'Group Model'!BQ3</f>
        <v>46477</v>
      </c>
      <c r="BL3" s="6">
        <f>'Group Model'!BR3</f>
        <v>46843</v>
      </c>
      <c r="BM3" s="6">
        <f>'Group Model'!BS3</f>
        <v>47208</v>
      </c>
      <c r="BN3" s="6">
        <f>'Group Model'!BT3</f>
        <v>47573</v>
      </c>
    </row>
    <row r="4" spans="1:68" ht="12" customHeight="1">
      <c r="B4" s="3" t="s">
        <v>3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11"/>
      <c r="AJ4" s="5"/>
      <c r="AK4" s="5"/>
      <c r="AL4" s="5"/>
      <c r="AM4" s="5"/>
      <c r="AN4" s="5"/>
      <c r="AO4" s="5"/>
      <c r="AP4" s="5"/>
      <c r="AQ4" s="5"/>
      <c r="AR4" s="5"/>
      <c r="AS4" s="8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11"/>
      <c r="BJ4" s="5"/>
      <c r="BK4" s="5"/>
      <c r="BL4" s="5"/>
      <c r="BM4" s="5"/>
      <c r="BN4" s="5"/>
    </row>
    <row r="5" spans="1:68" ht="12" customHeight="1">
      <c r="A5" s="91" t="s">
        <v>299</v>
      </c>
      <c r="B5" s="3" t="s">
        <v>4</v>
      </c>
      <c r="C5" s="7">
        <f>'Group Model'!D5</f>
        <v>1.9945355191256831</v>
      </c>
      <c r="D5" s="7">
        <f>'Group Model'!E5</f>
        <v>2.0054945054945055</v>
      </c>
      <c r="E5" s="7">
        <f>'Group Model'!F5</f>
        <v>1.9945355191256831</v>
      </c>
      <c r="F5" s="7">
        <f>'Group Model'!G5</f>
        <v>2.0054945054945055</v>
      </c>
      <c r="G5" s="7">
        <f>'Group Model'!H5</f>
        <v>2</v>
      </c>
      <c r="H5" s="7">
        <f>'Group Model'!I5</f>
        <v>2</v>
      </c>
      <c r="I5" s="7">
        <f>'Group Model'!J5</f>
        <v>1.9945355191256831</v>
      </c>
      <c r="J5" s="7">
        <f>'Group Model'!K5</f>
        <v>2.0054945054945055</v>
      </c>
      <c r="K5" s="7">
        <f>'Group Model'!L5</f>
        <v>1.9945355191256831</v>
      </c>
      <c r="L5" s="7">
        <f>'Group Model'!M5</f>
        <v>2.0054945054945055</v>
      </c>
      <c r="M5" s="7">
        <f>'Group Model'!N5</f>
        <v>1.9945355191256831</v>
      </c>
      <c r="N5" s="7">
        <f>'Group Model'!O5</f>
        <v>2.0054945054945055</v>
      </c>
      <c r="O5" s="7">
        <f>'Group Model'!P5</f>
        <v>2</v>
      </c>
      <c r="P5" s="7">
        <f>'Group Model'!Q5</f>
        <v>2</v>
      </c>
      <c r="Q5" s="7">
        <f>'Group Model'!R5</f>
        <v>1.9945355191256831</v>
      </c>
      <c r="R5" s="7">
        <f>'Group Model'!S5</f>
        <v>2.0054945054945055</v>
      </c>
      <c r="S5" s="7">
        <f>'Group Model'!T5</f>
        <v>1.9945355191256831</v>
      </c>
      <c r="T5" s="7">
        <f>'Group Model'!U5</f>
        <v>2.0054945054945055</v>
      </c>
      <c r="U5" s="7">
        <f>'Group Model'!V5</f>
        <v>1.9945355191256831</v>
      </c>
      <c r="V5" s="7">
        <f>'Group Model'!W5</f>
        <v>2.0054945054945055</v>
      </c>
      <c r="W5" s="7">
        <f>'Group Model'!X5</f>
        <v>2</v>
      </c>
      <c r="X5" s="7">
        <f>'Group Model'!Y5</f>
        <v>2</v>
      </c>
      <c r="Y5" s="7">
        <f>'Group Model'!Z5</f>
        <v>1.9945355191256831</v>
      </c>
      <c r="Z5" s="7">
        <f>'Group Model'!AA5</f>
        <v>2.0054945054945055</v>
      </c>
      <c r="AA5" s="7">
        <f>'Group Model'!AB5</f>
        <v>1.9945355191256831</v>
      </c>
      <c r="AB5" s="7">
        <f>'Group Model'!AC5</f>
        <v>2.0054945054945055</v>
      </c>
      <c r="AC5" s="7">
        <f>'Group Model'!AD5</f>
        <v>1.9945355191256831</v>
      </c>
      <c r="AD5" s="7">
        <f>'Group Model'!AE5</f>
        <v>2.0054945054945055</v>
      </c>
      <c r="AE5" s="7">
        <f>'Group Model'!AF5</f>
        <v>2</v>
      </c>
      <c r="AF5" s="7">
        <f>'Group Model'!AG5</f>
        <v>2</v>
      </c>
      <c r="AG5" s="7">
        <f>'Group Model'!AH5</f>
        <v>1.9945355191256831</v>
      </c>
      <c r="AH5" s="7">
        <f>'Group Model'!AI5</f>
        <v>2.0054945054945055</v>
      </c>
      <c r="AI5" s="13">
        <f>'Group Model'!AJ5</f>
        <v>1.9945355191256831</v>
      </c>
      <c r="AJ5" s="7">
        <f>'Group Model'!AK5</f>
        <v>2.0054945054945055</v>
      </c>
      <c r="AK5" s="7">
        <f>'Group Model'!AL5</f>
        <v>1.9945355191256831</v>
      </c>
      <c r="AL5" s="7">
        <f>'Group Model'!AM5</f>
        <v>2.0054945054945055</v>
      </c>
      <c r="AM5" s="7">
        <f>'Group Model'!AN5</f>
        <v>2</v>
      </c>
      <c r="AN5" s="7">
        <f>'Group Model'!AO5</f>
        <v>2</v>
      </c>
      <c r="AO5" s="7">
        <f>'Group Model'!AP5</f>
        <v>1.9945355191256831</v>
      </c>
      <c r="AP5" s="7">
        <f>'Group Model'!AQ5</f>
        <v>2.0054945054945055</v>
      </c>
      <c r="AQ5" s="7">
        <f>'Group Model'!AR5</f>
        <v>1.9945355191256831</v>
      </c>
      <c r="AR5" s="7">
        <f>'Group Model'!AS5</f>
        <v>2.0054945054945055</v>
      </c>
      <c r="AT5" s="7">
        <f>'Group Model'!AZ5</f>
        <v>1</v>
      </c>
      <c r="AU5" s="7">
        <f>'Group Model'!BA5</f>
        <v>1</v>
      </c>
      <c r="AV5" s="7">
        <f>'Group Model'!BB5</f>
        <v>1</v>
      </c>
      <c r="AW5" s="7">
        <f>'Group Model'!BC5</f>
        <v>1</v>
      </c>
      <c r="AX5" s="7">
        <f>'Group Model'!BD5</f>
        <v>1</v>
      </c>
      <c r="AY5" s="7">
        <f>'Group Model'!BE5</f>
        <v>1</v>
      </c>
      <c r="AZ5" s="7">
        <f>'Group Model'!BF5</f>
        <v>1</v>
      </c>
      <c r="BA5" s="7">
        <f>'Group Model'!BG5</f>
        <v>1</v>
      </c>
      <c r="BB5" s="7">
        <f>'Group Model'!BH5</f>
        <v>1</v>
      </c>
      <c r="BC5" s="7">
        <f>'Group Model'!BI5</f>
        <v>1</v>
      </c>
      <c r="BD5" s="7">
        <f>'Group Model'!BJ5</f>
        <v>1</v>
      </c>
      <c r="BE5" s="7">
        <f>'Group Model'!BK5</f>
        <v>1</v>
      </c>
      <c r="BF5" s="7">
        <f>'Group Model'!BL5</f>
        <v>1</v>
      </c>
      <c r="BG5" s="7">
        <f>'Group Model'!BM5</f>
        <v>1</v>
      </c>
      <c r="BH5" s="7">
        <f>'Group Model'!BN5</f>
        <v>1</v>
      </c>
      <c r="BI5" s="13">
        <f>'Group Model'!BO5</f>
        <v>1</v>
      </c>
      <c r="BJ5" s="7">
        <f>'Group Model'!BP5</f>
        <v>1</v>
      </c>
      <c r="BK5" s="7">
        <f>'Group Model'!BQ5</f>
        <v>1</v>
      </c>
      <c r="BL5" s="7">
        <f>'Group Model'!BR5</f>
        <v>1</v>
      </c>
      <c r="BM5" s="7">
        <f>'Group Model'!BS5</f>
        <v>1</v>
      </c>
      <c r="BN5" s="7">
        <f>'Group Model'!BT5</f>
        <v>1</v>
      </c>
    </row>
    <row r="6" spans="1:68" ht="12" customHeight="1">
      <c r="AI6" s="15"/>
    </row>
    <row r="7" spans="1:68" s="9" customFormat="1" ht="12" customHeight="1">
      <c r="A7" s="91"/>
      <c r="B7" s="2" t="s">
        <v>34</v>
      </c>
      <c r="C7" s="93">
        <f>C36</f>
        <v>479</v>
      </c>
      <c r="D7" s="93">
        <f t="shared" ref="D7:BB7" si="28">D36</f>
        <v>571</v>
      </c>
      <c r="E7" s="93">
        <f t="shared" si="28"/>
        <v>403</v>
      </c>
      <c r="F7" s="93">
        <f t="shared" si="28"/>
        <v>553</v>
      </c>
      <c r="G7" s="93">
        <f t="shared" si="28"/>
        <v>305</v>
      </c>
      <c r="H7" s="93">
        <f t="shared" si="28"/>
        <v>425</v>
      </c>
      <c r="I7" s="93">
        <f t="shared" si="28"/>
        <v>361</v>
      </c>
      <c r="J7" s="93">
        <f t="shared" si="28"/>
        <v>490</v>
      </c>
      <c r="K7" s="93">
        <f t="shared" si="28"/>
        <v>501</v>
      </c>
      <c r="L7" s="93">
        <f t="shared" si="28"/>
        <v>764</v>
      </c>
      <c r="M7" s="93">
        <f t="shared" ref="M7:N7" si="29">M36</f>
        <v>678</v>
      </c>
      <c r="N7" s="93">
        <f t="shared" si="29"/>
        <v>926</v>
      </c>
      <c r="O7" s="93">
        <f t="shared" ref="O7:P7" si="30">O36</f>
        <v>1070</v>
      </c>
      <c r="P7" s="93">
        <f t="shared" si="30"/>
        <v>993</v>
      </c>
      <c r="Q7" s="93">
        <f t="shared" ref="Q7" si="31">Q36</f>
        <v>1050</v>
      </c>
      <c r="R7" s="93">
        <f t="shared" si="28"/>
        <v>1167</v>
      </c>
      <c r="S7" s="93">
        <f t="shared" si="28"/>
        <v>1248</v>
      </c>
      <c r="T7" s="93">
        <f t="shared" ref="T7:U7" si="32">T36</f>
        <v>1309</v>
      </c>
      <c r="U7" s="93">
        <f t="shared" si="32"/>
        <v>1310</v>
      </c>
      <c r="V7" s="93">
        <f t="shared" ref="V7:W7" si="33">V36</f>
        <v>1672</v>
      </c>
      <c r="W7" s="93">
        <f t="shared" si="33"/>
        <v>1457</v>
      </c>
      <c r="X7" s="93">
        <f t="shared" ref="X7:Y7" si="34">X36</f>
        <v>1274</v>
      </c>
      <c r="Y7" s="93">
        <f t="shared" si="34"/>
        <v>985</v>
      </c>
      <c r="Z7" s="93">
        <f t="shared" ref="Z7:AA7" si="35">Z36</f>
        <v>2030</v>
      </c>
      <c r="AA7" s="93">
        <f t="shared" si="35"/>
        <v>2043</v>
      </c>
      <c r="AB7" s="93">
        <f t="shared" ref="AB7:AC7" si="36">AB36</f>
        <v>2663</v>
      </c>
      <c r="AC7" s="93">
        <f t="shared" si="36"/>
        <v>2305</v>
      </c>
      <c r="AD7" s="93">
        <f t="shared" ref="AD7:AE7" si="37">AD36</f>
        <v>2877</v>
      </c>
      <c r="AE7" s="93">
        <f t="shared" si="37"/>
        <v>1415</v>
      </c>
      <c r="AF7" s="93">
        <f t="shared" ref="AF7:AG7" si="38">AF36</f>
        <v>2107</v>
      </c>
      <c r="AG7" s="93">
        <f t="shared" si="38"/>
        <v>1612</v>
      </c>
      <c r="AH7" s="93">
        <f t="shared" ref="AH7" si="39">AH36</f>
        <v>2103</v>
      </c>
      <c r="AI7" s="94">
        <f t="shared" ref="AI7:AJ7" si="40">AI36</f>
        <v>1655</v>
      </c>
      <c r="AJ7" s="93">
        <f t="shared" si="40"/>
        <v>2499.8880561614696</v>
      </c>
      <c r="AK7" s="93">
        <f t="shared" ref="AK7:AL7" si="41">AK36</f>
        <v>2129.0899562069253</v>
      </c>
      <c r="AL7" s="93">
        <f t="shared" si="41"/>
        <v>2461.2437233183146</v>
      </c>
      <c r="AM7" s="93">
        <f t="shared" ref="AM7:AN7" si="42">AM36</f>
        <v>2321.5542131990633</v>
      </c>
      <c r="AN7" s="93">
        <f t="shared" si="42"/>
        <v>2753.611305163</v>
      </c>
      <c r="AO7" s="93">
        <f t="shared" ref="AO7:AP7" si="43">AO36</f>
        <v>2484.7365758583487</v>
      </c>
      <c r="AP7" s="93">
        <f t="shared" si="43"/>
        <v>2902.7994681305609</v>
      </c>
      <c r="AQ7" s="93">
        <f t="shared" ref="AQ7:AR7" si="44">AQ36</f>
        <v>2650.9191845037622</v>
      </c>
      <c r="AR7" s="93">
        <f t="shared" si="44"/>
        <v>3010.9542581523465</v>
      </c>
      <c r="AS7" s="2"/>
      <c r="AT7" s="93">
        <f t="shared" ref="AT7:AV7" si="45">AT36</f>
        <v>1050</v>
      </c>
      <c r="AU7" s="93">
        <f t="shared" si="45"/>
        <v>956</v>
      </c>
      <c r="AV7" s="93">
        <f t="shared" si="45"/>
        <v>730</v>
      </c>
      <c r="AW7" s="93">
        <f t="shared" ref="AW7:AX7" si="46">AW36</f>
        <v>851</v>
      </c>
      <c r="AX7" s="93">
        <f t="shared" si="46"/>
        <v>1265</v>
      </c>
      <c r="AY7" s="93">
        <f t="shared" si="28"/>
        <v>1604</v>
      </c>
      <c r="AZ7" s="93">
        <f t="shared" si="28"/>
        <v>2063</v>
      </c>
      <c r="BA7" s="93">
        <f t="shared" si="28"/>
        <v>2217</v>
      </c>
      <c r="BB7" s="93">
        <f t="shared" si="28"/>
        <v>2557</v>
      </c>
      <c r="BC7" s="93">
        <f t="shared" ref="BC7" si="47">BC36</f>
        <v>2982</v>
      </c>
      <c r="BD7" s="93">
        <f t="shared" ref="BD7:BI7" si="48">BD36</f>
        <v>2731</v>
      </c>
      <c r="BE7" s="93">
        <f t="shared" si="48"/>
        <v>3015</v>
      </c>
      <c r="BF7" s="93">
        <f t="shared" si="48"/>
        <v>4706</v>
      </c>
      <c r="BG7" s="93">
        <f t="shared" ref="BG7:BH7" si="49">BG36</f>
        <v>5182</v>
      </c>
      <c r="BH7" s="93">
        <f t="shared" si="49"/>
        <v>3522</v>
      </c>
      <c r="BI7" s="94">
        <f t="shared" si="48"/>
        <v>3715</v>
      </c>
      <c r="BJ7" s="93">
        <f t="shared" ref="BJ7" si="50">BJ36</f>
        <v>4154.8880561614706</v>
      </c>
      <c r="BK7" s="93">
        <f t="shared" ref="BK7" si="51">BK36</f>
        <v>4590.3336795252344</v>
      </c>
      <c r="BL7" s="93">
        <f t="shared" ref="BL7" si="52">BL36</f>
        <v>5075.165518362066</v>
      </c>
      <c r="BM7" s="93">
        <f t="shared" ref="BM7" si="53">BM36</f>
        <v>5387.5360439889146</v>
      </c>
      <c r="BN7" s="93">
        <f t="shared" ref="BN7" si="54">BN36</f>
        <v>5661.873442656105</v>
      </c>
    </row>
    <row r="8" spans="1:68" ht="12" customHeight="1" outlineLevel="1"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20"/>
      <c r="AJ8" s="19"/>
      <c r="AK8" s="19"/>
      <c r="AL8" s="19"/>
      <c r="AM8" s="19"/>
      <c r="AN8" s="19"/>
      <c r="AO8" s="19"/>
      <c r="AP8" s="19"/>
      <c r="AQ8" s="19"/>
      <c r="AR8" s="19"/>
      <c r="AT8" s="33"/>
    </row>
    <row r="9" spans="1:68" ht="12" customHeight="1" outlineLevel="1">
      <c r="B9" s="9" t="s">
        <v>40</v>
      </c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20"/>
      <c r="AJ9" s="19"/>
      <c r="AK9" s="19"/>
      <c r="AL9" s="19"/>
      <c r="AM9" s="19"/>
      <c r="AN9" s="19"/>
      <c r="AO9" s="19"/>
      <c r="AP9" s="19"/>
      <c r="AQ9" s="19"/>
      <c r="AR9" s="19"/>
      <c r="AT9" s="36"/>
    </row>
    <row r="10" spans="1:68" s="9" customFormat="1" ht="12" customHeight="1" outlineLevel="1">
      <c r="A10" s="91" t="s">
        <v>1285</v>
      </c>
      <c r="B10" s="16" t="s">
        <v>6</v>
      </c>
      <c r="C10" s="22">
        <v>44872</v>
      </c>
      <c r="D10" s="22">
        <v>46151</v>
      </c>
      <c r="E10" s="22">
        <v>46698</v>
      </c>
      <c r="F10" s="22">
        <v>47289</v>
      </c>
      <c r="G10" s="22">
        <v>47407</v>
      </c>
      <c r="H10" s="22">
        <f>(47824*(H$5+G$5)-G10*G$5)/H$5</f>
        <v>48241</v>
      </c>
      <c r="I10" s="22">
        <v>47941</v>
      </c>
      <c r="J10" s="22">
        <v>48963</v>
      </c>
      <c r="K10" s="17">
        <f t="shared" ref="K10:AR10" si="55">K78+K664+K156+K379+K451</f>
        <v>51690.928416485898</v>
      </c>
      <c r="L10" s="17">
        <f t="shared" si="55"/>
        <v>55774.731019522776</v>
      </c>
      <c r="M10" s="17">
        <f t="shared" si="55"/>
        <v>60027.65075921909</v>
      </c>
      <c r="N10" s="17">
        <f t="shared" si="55"/>
        <v>66354.084598698479</v>
      </c>
      <c r="O10" s="17">
        <f t="shared" si="55"/>
        <v>71973.167028199561</v>
      </c>
      <c r="P10" s="17">
        <f t="shared" si="55"/>
        <v>76851.095444685459</v>
      </c>
      <c r="Q10" s="17">
        <f t="shared" si="55"/>
        <v>78836.392624728847</v>
      </c>
      <c r="R10" s="17">
        <f t="shared" si="55"/>
        <v>77409.924078091106</v>
      </c>
      <c r="S10" s="17">
        <f t="shared" si="55"/>
        <v>77127.563991323201</v>
      </c>
      <c r="T10" s="17">
        <f t="shared" si="55"/>
        <v>83408.342733188721</v>
      </c>
      <c r="U10" s="17">
        <f t="shared" si="55"/>
        <v>82850</v>
      </c>
      <c r="V10" s="17">
        <f t="shared" si="55"/>
        <v>81700</v>
      </c>
      <c r="W10" s="17">
        <f t="shared" si="55"/>
        <v>81300</v>
      </c>
      <c r="X10" s="17">
        <f t="shared" si="55"/>
        <v>83400</v>
      </c>
      <c r="Y10" s="17">
        <f t="shared" si="55"/>
        <v>91400</v>
      </c>
      <c r="Z10" s="17">
        <f t="shared" si="55"/>
        <v>101850</v>
      </c>
      <c r="AA10" s="17">
        <f t="shared" si="55"/>
        <v>114750</v>
      </c>
      <c r="AB10" s="17">
        <f t="shared" si="55"/>
        <v>130350</v>
      </c>
      <c r="AC10" s="17">
        <f t="shared" si="55"/>
        <v>145850</v>
      </c>
      <c r="AD10" s="17">
        <f t="shared" si="55"/>
        <v>158300</v>
      </c>
      <c r="AE10" s="17">
        <f t="shared" si="55"/>
        <v>168050</v>
      </c>
      <c r="AF10" s="17">
        <f t="shared" si="55"/>
        <v>177000</v>
      </c>
      <c r="AG10" s="17">
        <f t="shared" si="55"/>
        <v>186650</v>
      </c>
      <c r="AH10" s="17">
        <f t="shared" si="55"/>
        <v>198750</v>
      </c>
      <c r="AI10" s="18">
        <f t="shared" si="55"/>
        <v>214800</v>
      </c>
      <c r="AJ10" s="17">
        <f t="shared" si="55"/>
        <v>233440.5</v>
      </c>
      <c r="AK10" s="17">
        <f t="shared" si="55"/>
        <v>251990.07000000004</v>
      </c>
      <c r="AL10" s="17">
        <f t="shared" si="55"/>
        <v>270134.18707500002</v>
      </c>
      <c r="AM10" s="17">
        <f t="shared" si="55"/>
        <v>287005.978902</v>
      </c>
      <c r="AN10" s="17">
        <f t="shared" si="55"/>
        <v>302389.79623673251</v>
      </c>
      <c r="AO10" s="17">
        <f t="shared" si="55"/>
        <v>317095.27594670485</v>
      </c>
      <c r="AP10" s="17">
        <f t="shared" si="55"/>
        <v>331602.86955184769</v>
      </c>
      <c r="AQ10" s="17">
        <f t="shared" si="55"/>
        <v>346493.43978140247</v>
      </c>
      <c r="AR10" s="17">
        <f t="shared" si="55"/>
        <v>361939.10964507837</v>
      </c>
      <c r="AT10" s="63">
        <f>SUMPRODUCT(C10:D10,C$5:D$5)/SUM(C$5:D$5)</f>
        <v>45513.252054794517</v>
      </c>
      <c r="AU10" s="63">
        <f>SUMPRODUCT(E10:F10,E$5:F$5)/SUM(E$5:F$5)</f>
        <v>46994.309589041099</v>
      </c>
      <c r="AV10" s="63">
        <f>SUMPRODUCT(G10:H10,G$5:H$5)/SUM(G$5:H$5)</f>
        <v>47824</v>
      </c>
      <c r="AW10" s="63">
        <f>SUMPRODUCT(I10:J10,I$5:J$5)/SUM(I$5:J$5)</f>
        <v>48453.4</v>
      </c>
      <c r="AX10" s="63">
        <f>SUMPRODUCT(K10:L10,K$5:L$5)/SUM(K$5:L$5)</f>
        <v>53738.423968145478</v>
      </c>
      <c r="AY10" s="63">
        <f>SUMPRODUCT(M10:N10,M$5:N$5)/SUM(M$5:N$5)</f>
        <v>63199.534026684109</v>
      </c>
      <c r="AZ10" s="63">
        <f>SUMPRODUCT(O10:P10,O$5:P$5)/SUM(O$5:P$5)</f>
        <v>74412.13123644251</v>
      </c>
      <c r="BA10" s="63">
        <f>SUMPRODUCT(Q10:R10,Q$5:R$5)/SUM(Q$5:R$5)</f>
        <v>78121.204284907741</v>
      </c>
      <c r="BB10" s="63">
        <f>SUMPRODUCT(S10:T10,S$5:T$5)/SUM(S$5:T$5)</f>
        <v>80276.557168751664</v>
      </c>
      <c r="BC10" s="63">
        <f>SUMPRODUCT(U10:V10,U$5:V$5)/SUM(U$5:V$5)</f>
        <v>82273.424657534255</v>
      </c>
      <c r="BD10" s="63">
        <f>SUMPRODUCT(W10:X10,W$5:X$5)/SUM(W$5:X$5)</f>
        <v>82350</v>
      </c>
      <c r="BE10" s="63">
        <f>SUMPRODUCT(Y10:Z10,Y$5:Z$5)/SUM(Y$5:Z$5)</f>
        <v>96639.315068493161</v>
      </c>
      <c r="BF10" s="63">
        <f>SUMPRODUCT(AA10:AB10,AA$5:AB$5)/SUM(AA$5:AB$5)</f>
        <v>122571.36986301371</v>
      </c>
      <c r="BG10" s="63">
        <f>SUMPRODUCT(AC10:AD10,AC$5:AD$5)/SUM(AC$5:AD$5)</f>
        <v>152092.05479452058</v>
      </c>
      <c r="BH10" s="63">
        <f>SUMPRODUCT(AE10:AF10,AE$5:AF$5)/SUM(AE$5:AF$5)</f>
        <v>172525</v>
      </c>
      <c r="BI10" s="64">
        <f>SUMPRODUCT(AG10:AH10,AG$5:AH$5)/SUM(AG$5:AH$5)</f>
        <v>192716.57534246577</v>
      </c>
      <c r="BJ10" s="63">
        <f>SUMPRODUCT(AI10:AJ10,AI$5:AJ$5)/SUM(AI$5:AJ$5)</f>
        <v>224145.78493150687</v>
      </c>
      <c r="BK10" s="63">
        <f>SUMPRODUCT(AK10:AL10,AK$5:AL$5)/SUM(AK$5:AL$5)</f>
        <v>261086.9834923973</v>
      </c>
      <c r="BL10" s="63">
        <f>SUMPRODUCT(AM10:AN10,AM$5:AN$5)/SUM(AM$5:AN$5)</f>
        <v>294697.88756936626</v>
      </c>
      <c r="BM10" s="63">
        <f>SUMPRODUCT(AO10:AP10,AO$5:AP$5)/SUM(AO$5:AP$5)</f>
        <v>324368.94616517372</v>
      </c>
      <c r="BN10" s="63">
        <f>SUMPRODUCT(AQ10:AR10,AQ$5:AR$5)/SUM(AQ$5:AR$5)</f>
        <v>354237.43316510849</v>
      </c>
    </row>
    <row r="11" spans="1:68" ht="12" customHeight="1" outlineLevel="1">
      <c r="A11" s="91" t="s">
        <v>1286</v>
      </c>
      <c r="B11" s="1" t="s">
        <v>5</v>
      </c>
      <c r="C11" s="37">
        <f>IF(ISERROR(C12/C10),"n.a.",C12/C10*C$5)</f>
        <v>1.8891014343653399E-2</v>
      </c>
      <c r="D11" s="37">
        <f t="shared" ref="D11:S11" si="56">IF(ISERROR(D12/D10),"n.a.",D12/D10*D$5)</f>
        <v>2.8463064746135535E-2</v>
      </c>
      <c r="E11" s="37">
        <f t="shared" si="56"/>
        <v>2.5840378368903127E-2</v>
      </c>
      <c r="F11" s="37">
        <f t="shared" si="56"/>
        <v>2.8414246837135879E-2</v>
      </c>
      <c r="G11" s="37">
        <f t="shared" si="56"/>
        <v>2.9447128061256777E-2</v>
      </c>
      <c r="H11" s="37">
        <f t="shared" si="56"/>
        <v>2.6326154101283143E-2</v>
      </c>
      <c r="I11" s="37">
        <f t="shared" si="56"/>
        <v>2.6792951217474395E-2</v>
      </c>
      <c r="J11" s="37">
        <f t="shared" si="56"/>
        <v>2.9613637388896261E-2</v>
      </c>
      <c r="K11" s="37">
        <f t="shared" si="56"/>
        <v>3.3183782899535288E-2</v>
      </c>
      <c r="L11" s="37">
        <f t="shared" si="56"/>
        <v>3.0383702909292074E-2</v>
      </c>
      <c r="M11" s="37">
        <f t="shared" ref="M11:N11" si="57">IF(ISERROR(M12/M10),"n.a.",M12/M10*M$5)</f>
        <v>3.1764960516821643E-2</v>
      </c>
      <c r="N11" s="37">
        <f t="shared" si="57"/>
        <v>3.4334612134585087E-2</v>
      </c>
      <c r="O11" s="37">
        <f t="shared" ref="O11:P11" si="58">IF(ISERROR(O12/O10),"n.a.",O12/O10*O$5)</f>
        <v>3.2373175951630563E-2</v>
      </c>
      <c r="P11" s="37">
        <f t="shared" si="58"/>
        <v>2.8991128715967762E-2</v>
      </c>
      <c r="Q11" s="37">
        <f t="shared" ref="Q11" si="59">IF(ISERROR(Q12/Q10),"n.a.",Q12/Q10*Q$5)</f>
        <v>2.7728449465812519E-2</v>
      </c>
      <c r="R11" s="37">
        <f t="shared" si="56"/>
        <v>2.8213223853317756E-2</v>
      </c>
      <c r="S11" s="37">
        <f t="shared" si="56"/>
        <v>2.6144679093753277E-2</v>
      </c>
      <c r="T11" s="37">
        <f t="shared" ref="T11:U11" si="60">IF(ISERROR(T12/T10),"n.a.",T12/T10*T$5)</f>
        <v>2.3443184204151479E-2</v>
      </c>
      <c r="U11" s="37">
        <f t="shared" si="60"/>
        <v>2.4025907641369124E-2</v>
      </c>
      <c r="V11" s="37">
        <f t="shared" ref="V11:W11" si="61">IF(ISERROR(V12/V10),"n.a.",V12/V10*V$5)</f>
        <v>1.8704856954550955E-2</v>
      </c>
      <c r="W11" s="37">
        <f t="shared" si="61"/>
        <v>1.943419434194342E-2</v>
      </c>
      <c r="X11" s="37">
        <f t="shared" ref="X11:Y11" si="62">IF(ISERROR(X12/X10),"n.a.",X12/X10*X$5)</f>
        <v>2.563549160671463E-2</v>
      </c>
      <c r="Y11" s="37">
        <f t="shared" si="62"/>
        <v>2.2542179335413901E-2</v>
      </c>
      <c r="Z11" s="37">
        <f t="shared" ref="Z11:AA11" si="63">IF(ISERROR(Z12/Z10),"n.a.",Z12/Z10*Z$5)</f>
        <v>2.288055587024659E-2</v>
      </c>
      <c r="AA11" s="37">
        <f t="shared" si="63"/>
        <v>2.3864899936902509E-2</v>
      </c>
      <c r="AB11" s="37">
        <f t="shared" ref="AB11:AC11" si="64">IF(ISERROR(AB12/AB10),"n.a.",AB12/AB10*AB$5)</f>
        <v>2.287817667564503E-2</v>
      </c>
      <c r="AC11" s="37">
        <f t="shared" si="64"/>
        <v>1.9569285758442596E-2</v>
      </c>
      <c r="AD11" s="37">
        <f t="shared" ref="AD11:AE11" si="65">IF(ISERROR(AD12/AD10),"n.a.",AD12/AD10*AD$5)</f>
        <v>2.023231033022568E-2</v>
      </c>
      <c r="AE11" s="37">
        <f t="shared" si="65"/>
        <v>1.9434692055935732E-2</v>
      </c>
      <c r="AF11" s="37">
        <f t="shared" ref="AF11:AG11" si="66">IF(ISERROR(AF12/AF10),"n.a.",AF12/AF10*AF$5)</f>
        <v>2.063276836158192E-2</v>
      </c>
      <c r="AG11" s="37">
        <f t="shared" si="66"/>
        <v>1.7834876943052587E-2</v>
      </c>
      <c r="AH11" s="37">
        <f t="shared" ref="AH11" si="67">IF(ISERROR(AH12/AH10),"n.a.",AH12/AH10*AH$5)</f>
        <v>1.8546409565277488E-2</v>
      </c>
      <c r="AI11" s="38">
        <f t="shared" ref="AI11:AJ11" si="68">IF(ISERROR(AI12/AI10),"n.a.",AI12/AI10*AI$5)</f>
        <v>1.9183940328275889E-2</v>
      </c>
      <c r="AJ11" s="37">
        <f t="shared" si="68"/>
        <v>1.7541242312464119E-2</v>
      </c>
      <c r="AK11" s="37">
        <f t="shared" ref="AK11:AL11" si="69">IF(ISERROR(AK12/AK10),"n.a.",AK12/AK10*AK$5)</f>
        <v>1.7265251524885568E-2</v>
      </c>
      <c r="AL11" s="37">
        <f t="shared" si="69"/>
        <v>1.6612236684334043E-2</v>
      </c>
      <c r="AM11" s="37">
        <f t="shared" ref="AM11:AN11" si="70">IF(ISERROR(AM12/AM10),"n.a.",AM12/AM10*AM$5)</f>
        <v>1.6041999921011654E-2</v>
      </c>
      <c r="AN11" s="37">
        <f t="shared" si="70"/>
        <v>1.5534316975148921E-2</v>
      </c>
      <c r="AO11" s="37">
        <f t="shared" ref="AO11:AP11" si="71">IF(ISERROR(AO12/AO10),"n.a.",AO12/AO10*AO$5)</f>
        <v>1.5053392852814708E-2</v>
      </c>
      <c r="AP11" s="37">
        <f t="shared" si="71"/>
        <v>1.4632584873814004E-2</v>
      </c>
      <c r="AQ11" s="37">
        <f t="shared" ref="AQ11:AR11" si="72">IF(ISERROR(AQ12/AQ10),"n.a.",AQ12/AQ10*AQ$5)</f>
        <v>1.4197707049345519E-2</v>
      </c>
      <c r="AR11" s="37">
        <f t="shared" si="72"/>
        <v>1.3814649022940228E-2</v>
      </c>
      <c r="AT11" s="37">
        <f t="shared" ref="AT11:AW11" si="73">IF(ISERROR(AT12/AT10),"n.a.",AT12/AT10*AT$5)</f>
        <v>2.3729352468590061E-2</v>
      </c>
      <c r="AU11" s="37">
        <f t="shared" si="73"/>
        <v>2.7130944387729134E-2</v>
      </c>
      <c r="AV11" s="37">
        <f t="shared" si="73"/>
        <v>2.7873034459685513E-2</v>
      </c>
      <c r="AW11" s="37">
        <f t="shared" si="73"/>
        <v>2.821267444596251E-2</v>
      </c>
      <c r="AX11" s="37">
        <f t="shared" ref="AX11:BH11" si="74">IF(ISERROR(AX12/AX10),"n.a.",AX12/AX10*AX$5)</f>
        <v>3.1727763378596154E-2</v>
      </c>
      <c r="AY11" s="37">
        <f t="shared" si="74"/>
        <v>3.3101509880068353E-2</v>
      </c>
      <c r="AZ11" s="37">
        <f t="shared" si="74"/>
        <v>3.0626726612070013E-2</v>
      </c>
      <c r="BA11" s="37">
        <f t="shared" si="74"/>
        <v>2.7969358895586313E-2</v>
      </c>
      <c r="BB11" s="37">
        <f t="shared" si="74"/>
        <v>2.4739476505266315E-2</v>
      </c>
      <c r="BC11" s="37">
        <f t="shared" si="74"/>
        <v>2.1392083863362391E-2</v>
      </c>
      <c r="BD11" s="37">
        <f t="shared" si="74"/>
        <v>2.257437765634487E-2</v>
      </c>
      <c r="BE11" s="37">
        <f t="shared" si="74"/>
        <v>2.2713323231278001E-2</v>
      </c>
      <c r="BF11" s="37">
        <f t="shared" si="74"/>
        <v>2.3333344509377258E-2</v>
      </c>
      <c r="BG11" s="37">
        <f t="shared" si="74"/>
        <v>1.990899527323034E-2</v>
      </c>
      <c r="BH11" s="37">
        <f t="shared" si="74"/>
        <v>2.0049268221996812E-2</v>
      </c>
      <c r="BI11" s="38">
        <f t="shared" ref="BI11:BJ11" si="75">IF(ISERROR(BI12/BI10),"n.a.",BI12/BI10*BI$5)</f>
        <v>1.8197708182432715E-2</v>
      </c>
      <c r="BJ11" s="37">
        <f t="shared" si="75"/>
        <v>1.8326504887780693E-2</v>
      </c>
      <c r="BK11" s="37">
        <f t="shared" ref="BK11:BL11" si="76">IF(ISERROR(BK12/BK10),"n.a.",BK12/BK10*BK$5)</f>
        <v>1.6925068251919466E-2</v>
      </c>
      <c r="BL11" s="37">
        <f t="shared" si="76"/>
        <v>1.578153293256716E-2</v>
      </c>
      <c r="BM11" s="37">
        <f t="shared" ref="BM11:BN11" si="77">IF(ISERROR(BM12/BM10),"n.a.",BM12/BM10*BM$5)</f>
        <v>1.4837041257049087E-2</v>
      </c>
      <c r="BN11" s="37">
        <f t="shared" si="77"/>
        <v>1.4000853995057965E-2</v>
      </c>
    </row>
    <row r="12" spans="1:68" s="9" customFormat="1" ht="12" customHeight="1" outlineLevel="1">
      <c r="A12" s="91" t="s">
        <v>1287</v>
      </c>
      <c r="B12" s="9" t="s">
        <v>7</v>
      </c>
      <c r="C12" s="22">
        <v>425</v>
      </c>
      <c r="D12" s="22">
        <f>1080-C12</f>
        <v>655</v>
      </c>
      <c r="E12" s="22">
        <v>605</v>
      </c>
      <c r="F12" s="22">
        <f>1275-E12</f>
        <v>670</v>
      </c>
      <c r="G12" s="22">
        <v>698</v>
      </c>
      <c r="H12" s="22">
        <f>1333-G12</f>
        <v>635</v>
      </c>
      <c r="I12" s="22">
        <v>644</v>
      </c>
      <c r="J12" s="22">
        <v>723</v>
      </c>
      <c r="K12" s="22">
        <v>860</v>
      </c>
      <c r="L12" s="22">
        <v>845</v>
      </c>
      <c r="M12" s="22">
        <v>956</v>
      </c>
      <c r="N12" s="22">
        <v>1136</v>
      </c>
      <c r="O12" s="22">
        <v>1165</v>
      </c>
      <c r="P12" s="22">
        <v>1114</v>
      </c>
      <c r="Q12" s="22">
        <v>1096</v>
      </c>
      <c r="R12" s="22">
        <v>1089</v>
      </c>
      <c r="S12" s="22">
        <v>1011</v>
      </c>
      <c r="T12" s="22">
        <v>975</v>
      </c>
      <c r="U12" s="22">
        <v>998</v>
      </c>
      <c r="V12" s="22">
        <v>762</v>
      </c>
      <c r="W12" s="22">
        <v>790</v>
      </c>
      <c r="X12" s="22">
        <v>1069</v>
      </c>
      <c r="Y12" s="22">
        <v>1033</v>
      </c>
      <c r="Z12" s="22">
        <v>1162</v>
      </c>
      <c r="AA12" s="22">
        <v>1373</v>
      </c>
      <c r="AB12" s="22">
        <v>1487</v>
      </c>
      <c r="AC12" s="22">
        <v>1431</v>
      </c>
      <c r="AD12" s="22">
        <v>1597</v>
      </c>
      <c r="AE12" s="22">
        <v>1633</v>
      </c>
      <c r="AF12" s="22">
        <v>1826</v>
      </c>
      <c r="AG12" s="22">
        <v>1669</v>
      </c>
      <c r="AH12" s="22">
        <v>1838</v>
      </c>
      <c r="AI12" s="23">
        <v>2066</v>
      </c>
      <c r="AJ12" s="17">
        <f t="shared" ref="AJ12:AR12" si="78">AJ80+AJ666+AJ158+AJ230+AJ310+AJ453</f>
        <v>2041.8088231227016</v>
      </c>
      <c r="AK12" s="17">
        <f t="shared" si="78"/>
        <v>2181.2957947375462</v>
      </c>
      <c r="AL12" s="17">
        <f t="shared" si="78"/>
        <v>2237.6192205590487</v>
      </c>
      <c r="AM12" s="17">
        <f t="shared" si="78"/>
        <v>2302.0749454378783</v>
      </c>
      <c r="AN12" s="17">
        <f t="shared" si="78"/>
        <v>2348.7094723960486</v>
      </c>
      <c r="AO12" s="17">
        <f t="shared" si="78"/>
        <v>2393.2187292858371</v>
      </c>
      <c r="AP12" s="17">
        <f t="shared" si="78"/>
        <v>2419.45670747238</v>
      </c>
      <c r="AQ12" s="17">
        <f t="shared" si="78"/>
        <v>2466.4450972990694</v>
      </c>
      <c r="AR12" s="17">
        <f t="shared" si="78"/>
        <v>2493.1814840297188</v>
      </c>
      <c r="AT12" s="39">
        <f t="shared" ref="AT12:AT19" si="79">C12+D12</f>
        <v>1080</v>
      </c>
      <c r="AU12" s="39">
        <f t="shared" ref="AU12:AU19" si="80">E12+F12</f>
        <v>1275</v>
      </c>
      <c r="AV12" s="39">
        <f t="shared" ref="AV12:AV19" si="81">G12+H12</f>
        <v>1333</v>
      </c>
      <c r="AW12" s="39">
        <f t="shared" ref="AW12:AW19" si="82">I12+J12</f>
        <v>1367</v>
      </c>
      <c r="AX12" s="39">
        <f t="shared" ref="AX12:AX19" si="83">K12+L12</f>
        <v>1705</v>
      </c>
      <c r="AY12" s="39">
        <f t="shared" ref="AY12:AY19" si="84">M12+N12</f>
        <v>2092</v>
      </c>
      <c r="AZ12" s="39">
        <f t="shared" ref="AZ12:AZ19" si="85">O12+P12</f>
        <v>2279</v>
      </c>
      <c r="BA12" s="39">
        <f t="shared" ref="BA12:BA19" si="86">Q12+R12</f>
        <v>2185</v>
      </c>
      <c r="BB12" s="39">
        <f t="shared" ref="BB12:BB19" si="87">S12+T12</f>
        <v>1986</v>
      </c>
      <c r="BC12" s="39">
        <f t="shared" ref="BC12:BC19" si="88">U12+V12</f>
        <v>1760</v>
      </c>
      <c r="BD12" s="39">
        <f t="shared" ref="BD12:BD19" si="89">W12+X12</f>
        <v>1859</v>
      </c>
      <c r="BE12" s="39">
        <f t="shared" ref="BE12:BE19" si="90">Y12+Z12</f>
        <v>2195</v>
      </c>
      <c r="BF12" s="39">
        <f t="shared" ref="BF12:BF19" si="91">AA12+AB12</f>
        <v>2860</v>
      </c>
      <c r="BG12" s="39">
        <f t="shared" ref="BG12:BG19" si="92">AC12+AD12</f>
        <v>3028</v>
      </c>
      <c r="BH12" s="39">
        <f t="shared" ref="BH12:BH19" si="93">AE12+AF12</f>
        <v>3459</v>
      </c>
      <c r="BI12" s="40">
        <f t="shared" ref="BI12:BI19" si="94">AG12+AH12</f>
        <v>3507</v>
      </c>
      <c r="BJ12" s="39">
        <f t="shared" ref="BJ12:BJ19" si="95">AI12+AJ12</f>
        <v>4107.8088231227011</v>
      </c>
      <c r="BK12" s="39">
        <f t="shared" ref="BK12:BK19" si="96">AK12+AL12</f>
        <v>4418.9150152965949</v>
      </c>
      <c r="BL12" s="39">
        <f t="shared" ref="BL12:BL19" si="97">AM12+AN12</f>
        <v>4650.7844178339274</v>
      </c>
      <c r="BM12" s="39">
        <f t="shared" ref="BM12:BM19" si="98">AO12+AP12</f>
        <v>4812.6754367582171</v>
      </c>
      <c r="BN12" s="39">
        <f t="shared" ref="BN12:BN19" si="99">AQ12+AR12</f>
        <v>4959.6265813287882</v>
      </c>
      <c r="BP12" s="17"/>
    </row>
    <row r="13" spans="1:68" ht="12" customHeight="1" outlineLevel="1">
      <c r="A13" s="91" t="s">
        <v>1288</v>
      </c>
      <c r="B13" s="1" t="s">
        <v>31</v>
      </c>
      <c r="C13" s="21">
        <f>442-C14</f>
        <v>199</v>
      </c>
      <c r="D13" s="21">
        <f>926-C13-C14-D14</f>
        <v>264</v>
      </c>
      <c r="E13" s="21">
        <f>496-E14</f>
        <v>315</v>
      </c>
      <c r="F13" s="21">
        <f>950-E13-E14-F14</f>
        <v>284</v>
      </c>
      <c r="G13" s="21">
        <f>463-G14</f>
        <v>288</v>
      </c>
      <c r="H13" s="21">
        <f>938-G13-G14-H14</f>
        <v>297</v>
      </c>
      <c r="I13" s="21">
        <f>500-I14</f>
        <v>310</v>
      </c>
      <c r="J13" s="21">
        <f>519-J14</f>
        <v>326</v>
      </c>
      <c r="K13" s="21">
        <f>628-K14</f>
        <v>382</v>
      </c>
      <c r="L13" s="21">
        <f>661-L14</f>
        <v>414</v>
      </c>
      <c r="M13" s="21">
        <f>650-M14</f>
        <v>402</v>
      </c>
      <c r="N13" s="21">
        <f>738-N14</f>
        <v>464</v>
      </c>
      <c r="O13" s="21">
        <f>791-O14</f>
        <v>488</v>
      </c>
      <c r="P13" s="21">
        <f>791-P14</f>
        <v>477</v>
      </c>
      <c r="Q13" s="21">
        <f>794-Q14</f>
        <v>469</v>
      </c>
      <c r="R13" s="21">
        <f>786-R14</f>
        <v>467</v>
      </c>
      <c r="S13" s="21">
        <f>804-S14</f>
        <v>479</v>
      </c>
      <c r="T13" s="21">
        <f>828-T14</f>
        <v>503</v>
      </c>
      <c r="U13" s="21">
        <f>899-U14</f>
        <v>514</v>
      </c>
      <c r="V13" s="21">
        <f>916-V14</f>
        <v>499</v>
      </c>
      <c r="W13" s="21">
        <f>967-W14</f>
        <v>531</v>
      </c>
      <c r="X13" s="21">
        <f>1086-X14</f>
        <v>588</v>
      </c>
      <c r="Y13" s="21">
        <f>985-Y14</f>
        <v>514</v>
      </c>
      <c r="Z13" s="21">
        <f>1026-Z14</f>
        <v>540</v>
      </c>
      <c r="AA13" s="21">
        <f>1374-AA14</f>
        <v>845</v>
      </c>
      <c r="AB13" s="21">
        <f>1422-AB14</f>
        <v>863</v>
      </c>
      <c r="AC13" s="21">
        <f>1389-AC14</f>
        <v>798</v>
      </c>
      <c r="AD13" s="21">
        <f>1415-AD14</f>
        <v>753</v>
      </c>
      <c r="AE13" s="21">
        <f>1417-AE14</f>
        <v>751</v>
      </c>
      <c r="AF13" s="21">
        <f>1478-AF14</f>
        <v>744</v>
      </c>
      <c r="AG13" s="21">
        <f>1448-AG14</f>
        <v>733</v>
      </c>
      <c r="AH13" s="21">
        <f>1500-AH14</f>
        <v>755</v>
      </c>
      <c r="AI13" s="24">
        <f>1477-AI14</f>
        <v>728</v>
      </c>
      <c r="AJ13" s="19">
        <f t="shared" ref="AJ13:AR13" si="100">AJ81+AJ667+AJ159+AJ231+AJ311+AJ454</f>
        <v>504.69846812360322</v>
      </c>
      <c r="AK13" s="19">
        <f t="shared" si="100"/>
        <v>282.1180949562696</v>
      </c>
      <c r="AL13" s="19">
        <f t="shared" si="100"/>
        <v>280.36693197932027</v>
      </c>
      <c r="AM13" s="19">
        <f t="shared" si="100"/>
        <v>281.70071975725375</v>
      </c>
      <c r="AN13" s="19">
        <f t="shared" si="100"/>
        <v>280.05924346978918</v>
      </c>
      <c r="AO13" s="19">
        <f t="shared" si="100"/>
        <v>279.22203282370134</v>
      </c>
      <c r="AP13" s="19">
        <f t="shared" si="100"/>
        <v>275.86253005762944</v>
      </c>
      <c r="AQ13" s="19">
        <f t="shared" si="100"/>
        <v>274.6954521409159</v>
      </c>
      <c r="AR13" s="19">
        <f t="shared" si="100"/>
        <v>270.40812430496658</v>
      </c>
      <c r="AT13" s="41">
        <f t="shared" si="79"/>
        <v>463</v>
      </c>
      <c r="AU13" s="41">
        <f t="shared" si="80"/>
        <v>599</v>
      </c>
      <c r="AV13" s="41">
        <f t="shared" si="81"/>
        <v>585</v>
      </c>
      <c r="AW13" s="41">
        <f t="shared" si="82"/>
        <v>636</v>
      </c>
      <c r="AX13" s="41">
        <f t="shared" si="83"/>
        <v>796</v>
      </c>
      <c r="AY13" s="41">
        <f t="shared" si="84"/>
        <v>866</v>
      </c>
      <c r="AZ13" s="41">
        <f t="shared" si="85"/>
        <v>965</v>
      </c>
      <c r="BA13" s="41">
        <f t="shared" si="86"/>
        <v>936</v>
      </c>
      <c r="BB13" s="41">
        <f t="shared" si="87"/>
        <v>982</v>
      </c>
      <c r="BC13" s="41">
        <f t="shared" si="88"/>
        <v>1013</v>
      </c>
      <c r="BD13" s="41">
        <f t="shared" si="89"/>
        <v>1119</v>
      </c>
      <c r="BE13" s="41">
        <f t="shared" si="90"/>
        <v>1054</v>
      </c>
      <c r="BF13" s="41">
        <f t="shared" si="91"/>
        <v>1708</v>
      </c>
      <c r="BG13" s="41">
        <f t="shared" si="92"/>
        <v>1551</v>
      </c>
      <c r="BH13" s="41">
        <f t="shared" si="93"/>
        <v>1495</v>
      </c>
      <c r="BI13" s="42">
        <f t="shared" si="94"/>
        <v>1488</v>
      </c>
      <c r="BJ13" s="41">
        <f t="shared" si="95"/>
        <v>1232.6984681236031</v>
      </c>
      <c r="BK13" s="41">
        <f t="shared" si="96"/>
        <v>562.48502693558987</v>
      </c>
      <c r="BL13" s="41">
        <f t="shared" si="97"/>
        <v>561.75996322704293</v>
      </c>
      <c r="BM13" s="41">
        <f t="shared" si="98"/>
        <v>555.08456288133084</v>
      </c>
      <c r="BN13" s="41">
        <f t="shared" si="99"/>
        <v>545.10357644588248</v>
      </c>
    </row>
    <row r="14" spans="1:68" ht="12" customHeight="1" outlineLevel="1">
      <c r="A14" s="91" t="s">
        <v>1289</v>
      </c>
      <c r="B14" s="1" t="s">
        <v>30</v>
      </c>
      <c r="C14" s="21">
        <v>243</v>
      </c>
      <c r="D14" s="21">
        <f>463-C14</f>
        <v>220</v>
      </c>
      <c r="E14" s="21">
        <v>181</v>
      </c>
      <c r="F14" s="21">
        <f>351-E14</f>
        <v>170</v>
      </c>
      <c r="G14" s="21">
        <v>175</v>
      </c>
      <c r="H14" s="21">
        <f>353-G14</f>
        <v>178</v>
      </c>
      <c r="I14" s="21">
        <v>190</v>
      </c>
      <c r="J14" s="21">
        <v>193</v>
      </c>
      <c r="K14" s="21">
        <v>246</v>
      </c>
      <c r="L14" s="21">
        <v>247</v>
      </c>
      <c r="M14" s="21">
        <v>248</v>
      </c>
      <c r="N14" s="21">
        <v>274</v>
      </c>
      <c r="O14" s="21">
        <v>303</v>
      </c>
      <c r="P14" s="21">
        <v>314</v>
      </c>
      <c r="Q14" s="21">
        <v>325</v>
      </c>
      <c r="R14" s="21">
        <v>319</v>
      </c>
      <c r="S14" s="21">
        <v>325</v>
      </c>
      <c r="T14" s="21">
        <v>325</v>
      </c>
      <c r="U14" s="21">
        <v>385</v>
      </c>
      <c r="V14" s="21">
        <v>417</v>
      </c>
      <c r="W14" s="21">
        <v>436</v>
      </c>
      <c r="X14" s="21">
        <v>498</v>
      </c>
      <c r="Y14" s="21">
        <v>471</v>
      </c>
      <c r="Z14" s="21">
        <v>486</v>
      </c>
      <c r="AA14" s="21">
        <v>529</v>
      </c>
      <c r="AB14" s="21">
        <v>559</v>
      </c>
      <c r="AC14" s="21">
        <v>591</v>
      </c>
      <c r="AD14" s="21">
        <v>662</v>
      </c>
      <c r="AE14" s="21">
        <v>666</v>
      </c>
      <c r="AF14" s="21">
        <v>734</v>
      </c>
      <c r="AG14" s="21">
        <v>715</v>
      </c>
      <c r="AH14" s="21">
        <v>745</v>
      </c>
      <c r="AI14" s="24">
        <v>749</v>
      </c>
      <c r="AJ14" s="19">
        <f t="shared" ref="AJ14:AR14" si="101">AJ82+AJ668+AJ160+AJ232+AJ312+AJ455</f>
        <v>768.39141297983952</v>
      </c>
      <c r="AK14" s="19">
        <f t="shared" si="101"/>
        <v>800.94939467692905</v>
      </c>
      <c r="AL14" s="19">
        <f t="shared" si="101"/>
        <v>827.83855719024109</v>
      </c>
      <c r="AM14" s="19">
        <f t="shared" si="101"/>
        <v>846.19022108324975</v>
      </c>
      <c r="AN14" s="19">
        <f t="shared" si="101"/>
        <v>852.9084851844824</v>
      </c>
      <c r="AO14" s="19">
        <f t="shared" si="101"/>
        <v>862.4427092800762</v>
      </c>
      <c r="AP14" s="19">
        <f t="shared" si="101"/>
        <v>861.7053968020781</v>
      </c>
      <c r="AQ14" s="19">
        <f t="shared" si="101"/>
        <v>863.76197791008929</v>
      </c>
      <c r="AR14" s="19">
        <f t="shared" si="101"/>
        <v>853.58068889701633</v>
      </c>
      <c r="AT14" s="41">
        <f t="shared" si="79"/>
        <v>463</v>
      </c>
      <c r="AU14" s="41">
        <f t="shared" si="80"/>
        <v>351</v>
      </c>
      <c r="AV14" s="41">
        <f t="shared" si="81"/>
        <v>353</v>
      </c>
      <c r="AW14" s="41">
        <f t="shared" si="82"/>
        <v>383</v>
      </c>
      <c r="AX14" s="41">
        <f t="shared" si="83"/>
        <v>493</v>
      </c>
      <c r="AY14" s="41">
        <f t="shared" si="84"/>
        <v>522</v>
      </c>
      <c r="AZ14" s="41">
        <f t="shared" si="85"/>
        <v>617</v>
      </c>
      <c r="BA14" s="41">
        <f t="shared" si="86"/>
        <v>644</v>
      </c>
      <c r="BB14" s="41">
        <f t="shared" si="87"/>
        <v>650</v>
      </c>
      <c r="BC14" s="41">
        <f t="shared" si="88"/>
        <v>802</v>
      </c>
      <c r="BD14" s="41">
        <f t="shared" si="89"/>
        <v>934</v>
      </c>
      <c r="BE14" s="41">
        <f t="shared" si="90"/>
        <v>957</v>
      </c>
      <c r="BF14" s="41">
        <f t="shared" si="91"/>
        <v>1088</v>
      </c>
      <c r="BG14" s="41">
        <f t="shared" si="92"/>
        <v>1253</v>
      </c>
      <c r="BH14" s="41">
        <f t="shared" si="93"/>
        <v>1400</v>
      </c>
      <c r="BI14" s="42">
        <f t="shared" si="94"/>
        <v>1460</v>
      </c>
      <c r="BJ14" s="41">
        <f t="shared" si="95"/>
        <v>1517.3914129798395</v>
      </c>
      <c r="BK14" s="41">
        <f t="shared" si="96"/>
        <v>1628.7879518671702</v>
      </c>
      <c r="BL14" s="41">
        <f t="shared" si="97"/>
        <v>1699.0987062677323</v>
      </c>
      <c r="BM14" s="41">
        <f t="shared" si="98"/>
        <v>1724.1481060821543</v>
      </c>
      <c r="BN14" s="41">
        <f t="shared" si="99"/>
        <v>1717.3426668071056</v>
      </c>
    </row>
    <row r="15" spans="1:68" ht="12" customHeight="1" outlineLevel="1">
      <c r="A15" s="91" t="s">
        <v>1290</v>
      </c>
      <c r="B15" s="1" t="s">
        <v>32</v>
      </c>
      <c r="C15" s="21">
        <f>52-C16</f>
        <v>40</v>
      </c>
      <c r="D15" s="21">
        <f>5-D16</f>
        <v>5</v>
      </c>
      <c r="E15" s="21">
        <f>15-E16</f>
        <v>8</v>
      </c>
      <c r="F15" s="21">
        <f>36-E15-E16-F16</f>
        <v>16</v>
      </c>
      <c r="G15" s="21">
        <f>89-G16</f>
        <v>10</v>
      </c>
      <c r="H15" s="21">
        <f>130-G15-G16-H16</f>
        <v>20</v>
      </c>
      <c r="I15" s="21">
        <f>76-I16</f>
        <v>2</v>
      </c>
      <c r="J15" s="21">
        <f>88-J16</f>
        <v>23</v>
      </c>
      <c r="K15" s="21">
        <f>76-K16</f>
        <v>10</v>
      </c>
      <c r="L15" s="21">
        <f>143-L16</f>
        <v>47</v>
      </c>
      <c r="M15" s="21">
        <f>373-M16</f>
        <v>9</v>
      </c>
      <c r="N15" s="21">
        <f>294-N16</f>
        <v>78</v>
      </c>
      <c r="O15" s="21">
        <f>629-O16</f>
        <v>29</v>
      </c>
      <c r="P15" s="21">
        <f>85-P16</f>
        <v>25</v>
      </c>
      <c r="Q15" s="21">
        <f>170-Q16</f>
        <v>5</v>
      </c>
      <c r="R15" s="21">
        <f>94-R16</f>
        <v>5</v>
      </c>
      <c r="S15" s="21">
        <f>537-S16</f>
        <v>7</v>
      </c>
      <c r="T15" s="21">
        <f>58-T16</f>
        <v>21</v>
      </c>
      <c r="U15" s="21">
        <f>282-U16</f>
        <v>3</v>
      </c>
      <c r="V15" s="21">
        <f>577-V16</f>
        <v>97</v>
      </c>
      <c r="W15" s="21">
        <f>546-W16</f>
        <v>4</v>
      </c>
      <c r="X15" s="21">
        <f>275-X16</f>
        <v>2</v>
      </c>
      <c r="Y15" s="21">
        <v>2</v>
      </c>
      <c r="Z15" s="21">
        <v>11</v>
      </c>
      <c r="AA15" s="21">
        <v>1</v>
      </c>
      <c r="AB15" s="21">
        <v>4</v>
      </c>
      <c r="AC15" s="21">
        <v>0</v>
      </c>
      <c r="AD15" s="21">
        <v>1</v>
      </c>
      <c r="AE15" s="21">
        <v>0</v>
      </c>
      <c r="AF15" s="21">
        <v>1</v>
      </c>
      <c r="AG15" s="21">
        <v>0</v>
      </c>
      <c r="AH15" s="21">
        <v>0</v>
      </c>
      <c r="AI15" s="24">
        <v>0</v>
      </c>
      <c r="AJ15" s="19">
        <f t="shared" ref="AJ15:AR15" si="102">AJ83+AJ669+AJ161+AJ233+AJ313+AJ456</f>
        <v>0</v>
      </c>
      <c r="AK15" s="19">
        <f t="shared" si="102"/>
        <v>0</v>
      </c>
      <c r="AL15" s="19">
        <f t="shared" si="102"/>
        <v>0</v>
      </c>
      <c r="AM15" s="19">
        <f t="shared" si="102"/>
        <v>0</v>
      </c>
      <c r="AN15" s="19">
        <f t="shared" si="102"/>
        <v>0</v>
      </c>
      <c r="AO15" s="19">
        <f t="shared" si="102"/>
        <v>0</v>
      </c>
      <c r="AP15" s="19">
        <f t="shared" si="102"/>
        <v>0</v>
      </c>
      <c r="AQ15" s="19">
        <f t="shared" si="102"/>
        <v>0</v>
      </c>
      <c r="AR15" s="19">
        <f t="shared" si="102"/>
        <v>0</v>
      </c>
      <c r="AT15" s="41">
        <f t="shared" si="79"/>
        <v>45</v>
      </c>
      <c r="AU15" s="41">
        <f t="shared" si="80"/>
        <v>24</v>
      </c>
      <c r="AV15" s="41">
        <f t="shared" si="81"/>
        <v>30</v>
      </c>
      <c r="AW15" s="41">
        <f t="shared" si="82"/>
        <v>25</v>
      </c>
      <c r="AX15" s="41">
        <f t="shared" si="83"/>
        <v>57</v>
      </c>
      <c r="AY15" s="41">
        <f t="shared" si="84"/>
        <v>87</v>
      </c>
      <c r="AZ15" s="41">
        <f t="shared" si="85"/>
        <v>54</v>
      </c>
      <c r="BA15" s="41">
        <f t="shared" si="86"/>
        <v>10</v>
      </c>
      <c r="BB15" s="41">
        <f t="shared" si="87"/>
        <v>28</v>
      </c>
      <c r="BC15" s="41">
        <f t="shared" si="88"/>
        <v>100</v>
      </c>
      <c r="BD15" s="41">
        <f t="shared" si="89"/>
        <v>6</v>
      </c>
      <c r="BE15" s="41">
        <f t="shared" si="90"/>
        <v>13</v>
      </c>
      <c r="BF15" s="41">
        <f t="shared" si="91"/>
        <v>5</v>
      </c>
      <c r="BG15" s="41">
        <f t="shared" si="92"/>
        <v>1</v>
      </c>
      <c r="BH15" s="41">
        <f t="shared" si="93"/>
        <v>1</v>
      </c>
      <c r="BI15" s="42">
        <f t="shared" si="94"/>
        <v>0</v>
      </c>
      <c r="BJ15" s="41">
        <f t="shared" si="95"/>
        <v>0</v>
      </c>
      <c r="BK15" s="41">
        <f t="shared" si="96"/>
        <v>0</v>
      </c>
      <c r="BL15" s="41">
        <f t="shared" si="97"/>
        <v>0</v>
      </c>
      <c r="BM15" s="41">
        <f t="shared" si="98"/>
        <v>0</v>
      </c>
      <c r="BN15" s="41">
        <f t="shared" si="99"/>
        <v>0</v>
      </c>
    </row>
    <row r="16" spans="1:68" ht="12" customHeight="1" outlineLevel="1">
      <c r="A16" s="91" t="s">
        <v>1291</v>
      </c>
      <c r="B16" s="1" t="s">
        <v>33</v>
      </c>
      <c r="C16" s="21">
        <v>12</v>
      </c>
      <c r="D16" s="21">
        <f>12-C16</f>
        <v>0</v>
      </c>
      <c r="E16" s="21">
        <v>7</v>
      </c>
      <c r="F16" s="21">
        <f>12-E16</f>
        <v>5</v>
      </c>
      <c r="G16" s="21">
        <v>79</v>
      </c>
      <c r="H16" s="21">
        <f>100-G16</f>
        <v>21</v>
      </c>
      <c r="I16" s="21">
        <v>74</v>
      </c>
      <c r="J16" s="21">
        <v>65</v>
      </c>
      <c r="K16" s="21">
        <v>66</v>
      </c>
      <c r="L16" s="21">
        <v>96</v>
      </c>
      <c r="M16" s="21">
        <v>364</v>
      </c>
      <c r="N16" s="21">
        <v>216</v>
      </c>
      <c r="O16" s="21">
        <v>600</v>
      </c>
      <c r="P16" s="21">
        <v>60</v>
      </c>
      <c r="Q16" s="21">
        <v>165</v>
      </c>
      <c r="R16" s="21">
        <v>89</v>
      </c>
      <c r="S16" s="21">
        <v>530</v>
      </c>
      <c r="T16" s="21">
        <v>37</v>
      </c>
      <c r="U16" s="21">
        <v>279</v>
      </c>
      <c r="V16" s="21">
        <v>480</v>
      </c>
      <c r="W16" s="21">
        <v>542</v>
      </c>
      <c r="X16" s="21">
        <v>273</v>
      </c>
      <c r="Y16" s="21">
        <f>413-Y15</f>
        <v>411</v>
      </c>
      <c r="Z16" s="21">
        <f>247-Z15</f>
        <v>236</v>
      </c>
      <c r="AA16" s="21">
        <f>177-AA15</f>
        <v>176</v>
      </c>
      <c r="AB16" s="21">
        <f>218-AB15</f>
        <v>214</v>
      </c>
      <c r="AC16" s="21">
        <f>237-AC15</f>
        <v>237</v>
      </c>
      <c r="AD16" s="21">
        <f>455-AD15</f>
        <v>454</v>
      </c>
      <c r="AE16" s="21">
        <f>236-AE15</f>
        <v>236</v>
      </c>
      <c r="AF16" s="21">
        <f>396-AF15</f>
        <v>395</v>
      </c>
      <c r="AG16" s="21">
        <f>403-AG15</f>
        <v>403</v>
      </c>
      <c r="AH16" s="21">
        <f>434-AH15</f>
        <v>434</v>
      </c>
      <c r="AI16" s="24">
        <f>756-AI15</f>
        <v>756</v>
      </c>
      <c r="AJ16" s="19">
        <f t="shared" ref="AJ16:AR16" si="103">AJ84+AJ670+AJ162+AJ234+AJ314+AJ457</f>
        <v>737.27088942157832</v>
      </c>
      <c r="AK16" s="19">
        <f t="shared" si="103"/>
        <v>679.83598544359006</v>
      </c>
      <c r="AL16" s="19">
        <f t="shared" si="103"/>
        <v>672.10877660667211</v>
      </c>
      <c r="AM16" s="19">
        <f t="shared" si="103"/>
        <v>687.00819662123467</v>
      </c>
      <c r="AN16" s="19">
        <f t="shared" si="103"/>
        <v>692.46264692048828</v>
      </c>
      <c r="AO16" s="19">
        <f t="shared" si="103"/>
        <v>700.20332973494044</v>
      </c>
      <c r="AP16" s="19">
        <f t="shared" si="103"/>
        <v>699.60471762239763</v>
      </c>
      <c r="AQ16" s="19">
        <f t="shared" si="103"/>
        <v>701.27442266390869</v>
      </c>
      <c r="AR16" s="19">
        <f t="shared" si="103"/>
        <v>693.00839827615744</v>
      </c>
      <c r="AT16" s="41">
        <f t="shared" si="79"/>
        <v>12</v>
      </c>
      <c r="AU16" s="41">
        <f t="shared" si="80"/>
        <v>12</v>
      </c>
      <c r="AV16" s="41">
        <f t="shared" si="81"/>
        <v>100</v>
      </c>
      <c r="AW16" s="41">
        <f t="shared" si="82"/>
        <v>139</v>
      </c>
      <c r="AX16" s="41">
        <f t="shared" si="83"/>
        <v>162</v>
      </c>
      <c r="AY16" s="41">
        <f t="shared" si="84"/>
        <v>580</v>
      </c>
      <c r="AZ16" s="41">
        <f t="shared" si="85"/>
        <v>660</v>
      </c>
      <c r="BA16" s="41">
        <f t="shared" si="86"/>
        <v>254</v>
      </c>
      <c r="BB16" s="41">
        <f t="shared" si="87"/>
        <v>567</v>
      </c>
      <c r="BC16" s="41">
        <f t="shared" si="88"/>
        <v>759</v>
      </c>
      <c r="BD16" s="41">
        <f t="shared" si="89"/>
        <v>815</v>
      </c>
      <c r="BE16" s="41">
        <f t="shared" si="90"/>
        <v>647</v>
      </c>
      <c r="BF16" s="41">
        <f t="shared" si="91"/>
        <v>390</v>
      </c>
      <c r="BG16" s="41">
        <f t="shared" si="92"/>
        <v>691</v>
      </c>
      <c r="BH16" s="41">
        <f t="shared" si="93"/>
        <v>631</v>
      </c>
      <c r="BI16" s="42">
        <f t="shared" si="94"/>
        <v>837</v>
      </c>
      <c r="BJ16" s="41">
        <f t="shared" si="95"/>
        <v>1493.2708894215784</v>
      </c>
      <c r="BK16" s="41">
        <f t="shared" si="96"/>
        <v>1351.9447620502622</v>
      </c>
      <c r="BL16" s="41">
        <f t="shared" si="97"/>
        <v>1379.4708435417228</v>
      </c>
      <c r="BM16" s="41">
        <f t="shared" si="98"/>
        <v>1399.8080473573382</v>
      </c>
      <c r="BN16" s="41">
        <f t="shared" si="99"/>
        <v>1394.2828209400661</v>
      </c>
    </row>
    <row r="17" spans="1:68" ht="12" customHeight="1" outlineLevel="1">
      <c r="A17" s="91" t="s">
        <v>1292</v>
      </c>
      <c r="B17" s="1" t="s">
        <v>20</v>
      </c>
      <c r="C17" s="21">
        <v>596</v>
      </c>
      <c r="D17" s="21">
        <f>1085-C17</f>
        <v>489</v>
      </c>
      <c r="E17" s="21">
        <v>402</v>
      </c>
      <c r="F17" s="21">
        <f>931-E17</f>
        <v>529</v>
      </c>
      <c r="G17" s="21">
        <v>339</v>
      </c>
      <c r="H17" s="21">
        <f>682-G17</f>
        <v>343</v>
      </c>
      <c r="I17" s="21">
        <v>327</v>
      </c>
      <c r="J17" s="21">
        <v>332</v>
      </c>
      <c r="K17" s="21">
        <v>357</v>
      </c>
      <c r="L17" s="21">
        <v>452</v>
      </c>
      <c r="M17" s="21">
        <v>429</v>
      </c>
      <c r="N17" s="21">
        <v>544</v>
      </c>
      <c r="O17" s="21">
        <v>537</v>
      </c>
      <c r="P17" s="21">
        <v>425</v>
      </c>
      <c r="Q17" s="21">
        <v>471</v>
      </c>
      <c r="R17" s="21">
        <v>492</v>
      </c>
      <c r="S17" s="21">
        <v>458</v>
      </c>
      <c r="T17" s="21">
        <v>462</v>
      </c>
      <c r="U17" s="21">
        <v>573</v>
      </c>
      <c r="V17" s="21">
        <v>433</v>
      </c>
      <c r="W17" s="21">
        <v>482</v>
      </c>
      <c r="X17" s="21">
        <v>578</v>
      </c>
      <c r="Y17" s="21">
        <v>413</v>
      </c>
      <c r="Z17" s="21">
        <v>445</v>
      </c>
      <c r="AA17" s="21">
        <v>618</v>
      </c>
      <c r="AB17" s="21">
        <v>755</v>
      </c>
      <c r="AC17" s="21">
        <v>438</v>
      </c>
      <c r="AD17" s="21">
        <v>553</v>
      </c>
      <c r="AE17" s="21">
        <v>408</v>
      </c>
      <c r="AF17" s="21">
        <v>335</v>
      </c>
      <c r="AG17" s="21">
        <v>413</v>
      </c>
      <c r="AH17" s="21">
        <v>503</v>
      </c>
      <c r="AI17" s="24">
        <v>558</v>
      </c>
      <c r="AJ17" s="19">
        <f t="shared" ref="AJ17:AR17" si="104">AJ85+AJ671+AJ163+AJ235+AJ315+AJ458</f>
        <v>440.125</v>
      </c>
      <c r="AK17" s="19">
        <f t="shared" si="104"/>
        <v>513.36</v>
      </c>
      <c r="AL17" s="19">
        <f t="shared" si="104"/>
        <v>510.54499999999996</v>
      </c>
      <c r="AM17" s="19">
        <f t="shared" si="104"/>
        <v>528.76080000000002</v>
      </c>
      <c r="AN17" s="19">
        <f t="shared" si="104"/>
        <v>530.96679999999992</v>
      </c>
      <c r="AO17" s="19">
        <f t="shared" si="104"/>
        <v>549.91123200000004</v>
      </c>
      <c r="AP17" s="19">
        <f t="shared" si="104"/>
        <v>552.20547199999999</v>
      </c>
      <c r="AQ17" s="19">
        <f t="shared" si="104"/>
        <v>571.90768128000002</v>
      </c>
      <c r="AR17" s="19">
        <f t="shared" si="104"/>
        <v>574.29369087999999</v>
      </c>
      <c r="AT17" s="41">
        <f t="shared" si="79"/>
        <v>1085</v>
      </c>
      <c r="AU17" s="41">
        <f t="shared" si="80"/>
        <v>931</v>
      </c>
      <c r="AV17" s="41">
        <f t="shared" si="81"/>
        <v>682</v>
      </c>
      <c r="AW17" s="41">
        <f t="shared" si="82"/>
        <v>659</v>
      </c>
      <c r="AX17" s="41">
        <f t="shared" si="83"/>
        <v>809</v>
      </c>
      <c r="AY17" s="41">
        <f t="shared" si="84"/>
        <v>973</v>
      </c>
      <c r="AZ17" s="41">
        <f t="shared" si="85"/>
        <v>962</v>
      </c>
      <c r="BA17" s="41">
        <f t="shared" si="86"/>
        <v>963</v>
      </c>
      <c r="BB17" s="41">
        <f t="shared" si="87"/>
        <v>920</v>
      </c>
      <c r="BC17" s="41">
        <f t="shared" si="88"/>
        <v>1006</v>
      </c>
      <c r="BD17" s="41">
        <f t="shared" si="89"/>
        <v>1060</v>
      </c>
      <c r="BE17" s="41">
        <f t="shared" si="90"/>
        <v>858</v>
      </c>
      <c r="BF17" s="41">
        <f t="shared" si="91"/>
        <v>1373</v>
      </c>
      <c r="BG17" s="41">
        <f t="shared" si="92"/>
        <v>991</v>
      </c>
      <c r="BH17" s="41">
        <f t="shared" si="93"/>
        <v>743</v>
      </c>
      <c r="BI17" s="42">
        <f t="shared" si="94"/>
        <v>916</v>
      </c>
      <c r="BJ17" s="41">
        <f t="shared" si="95"/>
        <v>998.125</v>
      </c>
      <c r="BK17" s="41">
        <f t="shared" si="96"/>
        <v>1023.905</v>
      </c>
      <c r="BL17" s="41">
        <f t="shared" si="97"/>
        <v>1059.7275999999999</v>
      </c>
      <c r="BM17" s="41">
        <f t="shared" si="98"/>
        <v>1102.116704</v>
      </c>
      <c r="BN17" s="41">
        <f t="shared" si="99"/>
        <v>1146.2013721600001</v>
      </c>
    </row>
    <row r="18" spans="1:68" ht="12" customHeight="1" outlineLevel="1">
      <c r="A18" s="91" t="s">
        <v>1293</v>
      </c>
      <c r="B18" s="1" t="s">
        <v>19</v>
      </c>
      <c r="C18" s="21">
        <v>546</v>
      </c>
      <c r="D18" s="21">
        <f>1077-C18</f>
        <v>531</v>
      </c>
      <c r="E18" s="21">
        <v>582</v>
      </c>
      <c r="F18" s="21">
        <f>1137-E18</f>
        <v>555</v>
      </c>
      <c r="G18" s="21">
        <v>488</v>
      </c>
      <c r="H18" s="21">
        <f>910-G18</f>
        <v>422</v>
      </c>
      <c r="I18" s="21">
        <v>393</v>
      </c>
      <c r="J18" s="21">
        <v>418</v>
      </c>
      <c r="K18" s="21">
        <v>469</v>
      </c>
      <c r="L18" s="21">
        <v>434</v>
      </c>
      <c r="M18" s="21">
        <v>396</v>
      </c>
      <c r="N18" s="21">
        <v>440</v>
      </c>
      <c r="O18" s="21">
        <v>461</v>
      </c>
      <c r="P18" s="21">
        <v>427</v>
      </c>
      <c r="Q18" s="21">
        <v>419</v>
      </c>
      <c r="R18" s="21">
        <v>394</v>
      </c>
      <c r="S18" s="21">
        <v>386</v>
      </c>
      <c r="T18" s="21">
        <v>388</v>
      </c>
      <c r="U18" s="21">
        <v>473</v>
      </c>
      <c r="V18" s="21">
        <v>459</v>
      </c>
      <c r="W18" s="21">
        <v>412</v>
      </c>
      <c r="X18" s="21">
        <v>458</v>
      </c>
      <c r="Y18" s="21">
        <v>401</v>
      </c>
      <c r="Z18" s="21">
        <v>415</v>
      </c>
      <c r="AA18" s="21">
        <v>381</v>
      </c>
      <c r="AB18" s="21">
        <v>420</v>
      </c>
      <c r="AC18" s="21">
        <v>358</v>
      </c>
      <c r="AD18" s="21">
        <v>357</v>
      </c>
      <c r="AE18" s="21">
        <v>377</v>
      </c>
      <c r="AF18" s="21">
        <v>414</v>
      </c>
      <c r="AG18" s="21">
        <v>429</v>
      </c>
      <c r="AH18" s="21">
        <v>434</v>
      </c>
      <c r="AI18" s="24">
        <v>484</v>
      </c>
      <c r="AJ18" s="19">
        <f t="shared" ref="AJ18:AR18" si="105">AJ86+AJ672+AJ164+AJ236+AJ316+AJ459</f>
        <v>498.69000000000005</v>
      </c>
      <c r="AK18" s="19">
        <f t="shared" si="105"/>
        <v>507.98250000000007</v>
      </c>
      <c r="AL18" s="19">
        <f t="shared" si="105"/>
        <v>523.69642500000009</v>
      </c>
      <c r="AM18" s="19">
        <f t="shared" si="105"/>
        <v>542.87660625000012</v>
      </c>
      <c r="AN18" s="19">
        <f t="shared" si="105"/>
        <v>559.88847656250005</v>
      </c>
      <c r="AO18" s="19">
        <f t="shared" si="105"/>
        <v>580.5655283906251</v>
      </c>
      <c r="AP18" s="19">
        <f t="shared" si="105"/>
        <v>598.9927468101564</v>
      </c>
      <c r="AQ18" s="19">
        <f t="shared" si="105"/>
        <v>621.29664355066416</v>
      </c>
      <c r="AR18" s="19">
        <f t="shared" si="105"/>
        <v>641.26786482819739</v>
      </c>
      <c r="AT18" s="41">
        <f t="shared" si="79"/>
        <v>1077</v>
      </c>
      <c r="AU18" s="41">
        <f t="shared" si="80"/>
        <v>1137</v>
      </c>
      <c r="AV18" s="41">
        <f t="shared" si="81"/>
        <v>910</v>
      </c>
      <c r="AW18" s="41">
        <f t="shared" si="82"/>
        <v>811</v>
      </c>
      <c r="AX18" s="41">
        <f t="shared" si="83"/>
        <v>903</v>
      </c>
      <c r="AY18" s="41">
        <f t="shared" si="84"/>
        <v>836</v>
      </c>
      <c r="AZ18" s="41">
        <f t="shared" si="85"/>
        <v>888</v>
      </c>
      <c r="BA18" s="41">
        <f t="shared" si="86"/>
        <v>813</v>
      </c>
      <c r="BB18" s="41">
        <f t="shared" si="87"/>
        <v>774</v>
      </c>
      <c r="BC18" s="41">
        <f t="shared" si="88"/>
        <v>932</v>
      </c>
      <c r="BD18" s="41">
        <f t="shared" si="89"/>
        <v>870</v>
      </c>
      <c r="BE18" s="41">
        <f t="shared" si="90"/>
        <v>816</v>
      </c>
      <c r="BF18" s="41">
        <f t="shared" si="91"/>
        <v>801</v>
      </c>
      <c r="BG18" s="41">
        <f t="shared" si="92"/>
        <v>715</v>
      </c>
      <c r="BH18" s="41">
        <f t="shared" si="93"/>
        <v>791</v>
      </c>
      <c r="BI18" s="42">
        <f t="shared" si="94"/>
        <v>863</v>
      </c>
      <c r="BJ18" s="41">
        <f t="shared" si="95"/>
        <v>982.69</v>
      </c>
      <c r="BK18" s="41">
        <f t="shared" si="96"/>
        <v>1031.6789250000002</v>
      </c>
      <c r="BL18" s="41">
        <f t="shared" si="97"/>
        <v>1102.7650828125002</v>
      </c>
      <c r="BM18" s="41">
        <f t="shared" si="98"/>
        <v>1179.5582752007815</v>
      </c>
      <c r="BN18" s="41">
        <f t="shared" si="99"/>
        <v>1262.5645083788615</v>
      </c>
    </row>
    <row r="19" spans="1:68" ht="12" customHeight="1" outlineLevel="1">
      <c r="A19" s="91" t="s">
        <v>1294</v>
      </c>
      <c r="B19" s="1" t="s">
        <v>29</v>
      </c>
      <c r="C19" s="25">
        <f t="shared" ref="C19:H19" si="106">C20-C13-C14-C15-C16-C17-C18</f>
        <v>246</v>
      </c>
      <c r="D19" s="25">
        <f t="shared" si="106"/>
        <v>330</v>
      </c>
      <c r="E19" s="25">
        <f t="shared" si="106"/>
        <v>500</v>
      </c>
      <c r="F19" s="25">
        <f t="shared" si="106"/>
        <v>337</v>
      </c>
      <c r="G19" s="25">
        <f t="shared" si="106"/>
        <v>387</v>
      </c>
      <c r="H19" s="25">
        <f t="shared" si="106"/>
        <v>317</v>
      </c>
      <c r="I19" s="25">
        <f t="shared" ref="I19:N19" si="107">I20-I13-I14-I15-I16-I17-I18</f>
        <v>340</v>
      </c>
      <c r="J19" s="25">
        <f t="shared" si="107"/>
        <v>386</v>
      </c>
      <c r="K19" s="25">
        <f t="shared" si="107"/>
        <v>308</v>
      </c>
      <c r="L19" s="25">
        <f t="shared" si="107"/>
        <v>325</v>
      </c>
      <c r="M19" s="19">
        <f t="shared" si="107"/>
        <v>319</v>
      </c>
      <c r="N19" s="19">
        <f t="shared" si="107"/>
        <v>556</v>
      </c>
      <c r="O19" s="19">
        <f t="shared" ref="O19:P19" si="108">O20-O13-O14-O15-O16-O17-O18</f>
        <v>376</v>
      </c>
      <c r="P19" s="19">
        <f t="shared" si="108"/>
        <v>340</v>
      </c>
      <c r="Q19" s="19">
        <f t="shared" ref="Q19" si="109">Q20-Q13-Q14-Q15-Q16-Q17-Q18</f>
        <v>348</v>
      </c>
      <c r="R19" s="19">
        <f t="shared" ref="R19:S19" si="110">R20-R13-R14-R15-R16-R17-R18</f>
        <v>363</v>
      </c>
      <c r="S19" s="19">
        <f t="shared" si="110"/>
        <v>383</v>
      </c>
      <c r="T19" s="19">
        <f t="shared" ref="T19:U19" si="111">T20-T13-T14-T15-T16-T17-T18</f>
        <v>366</v>
      </c>
      <c r="U19" s="19">
        <f t="shared" si="111"/>
        <v>434</v>
      </c>
      <c r="V19" s="19">
        <f t="shared" ref="V19" si="112">V20-V13-V14-V15-V16-V17-V18</f>
        <v>480</v>
      </c>
      <c r="W19" s="19">
        <f t="shared" ref="W19:X19" si="113">W20-W13-W14-W15-W16-W17-W18</f>
        <v>467</v>
      </c>
      <c r="X19" s="19">
        <f t="shared" si="113"/>
        <v>566</v>
      </c>
      <c r="Y19" s="19">
        <f t="shared" ref="Y19:Z19" si="114">Y20-Y13-Y14-Y15-Y16-Y17-Y18</f>
        <v>401</v>
      </c>
      <c r="Z19" s="19">
        <f t="shared" si="114"/>
        <v>430</v>
      </c>
      <c r="AA19" s="19">
        <f t="shared" ref="AA19:AB19" si="115">AA20-AA13-AA14-AA15-AA16-AA17-AA18</f>
        <v>902</v>
      </c>
      <c r="AB19" s="19">
        <f t="shared" si="115"/>
        <v>620</v>
      </c>
      <c r="AC19" s="19">
        <f t="shared" ref="AC19:AD19" si="116">AC20-AC13-AC14-AC15-AC16-AC17-AC18</f>
        <v>633</v>
      </c>
      <c r="AD19" s="19">
        <f t="shared" si="116"/>
        <v>565</v>
      </c>
      <c r="AE19" s="19">
        <f t="shared" ref="AE19:AF19" si="117">AE20-AE13-AE14-AE15-AE16-AE17-AE18</f>
        <v>585</v>
      </c>
      <c r="AF19" s="19">
        <f t="shared" si="117"/>
        <v>603</v>
      </c>
      <c r="AG19" s="19">
        <f t="shared" ref="AG19:AI19" si="118">AG20-AG13-AG14-AG15-AG16-AG17-AG18</f>
        <v>607</v>
      </c>
      <c r="AH19" s="19">
        <f t="shared" si="118"/>
        <v>619</v>
      </c>
      <c r="AI19" s="20">
        <f t="shared" si="118"/>
        <v>626</v>
      </c>
      <c r="AJ19" s="19">
        <f t="shared" ref="AJ19:AR19" si="119">AJ87+AJ673+AJ165+AJ237+AJ317+AJ460</f>
        <v>726.85799999999995</v>
      </c>
      <c r="AK19" s="19">
        <f t="shared" si="119"/>
        <v>687.94123999999999</v>
      </c>
      <c r="AL19" s="19">
        <f t="shared" si="119"/>
        <v>761.30712719999997</v>
      </c>
      <c r="AM19" s="19">
        <f t="shared" si="119"/>
        <v>721.56043601600004</v>
      </c>
      <c r="AN19" s="19">
        <f t="shared" si="119"/>
        <v>797.47463199648018</v>
      </c>
      <c r="AO19" s="19">
        <f t="shared" si="119"/>
        <v>756.89291827437455</v>
      </c>
      <c r="AP19" s="19">
        <f t="shared" si="119"/>
        <v>835.45225826696583</v>
      </c>
      <c r="AQ19" s="19">
        <f t="shared" si="119"/>
        <v>794.03145377102192</v>
      </c>
      <c r="AR19" s="19">
        <f t="shared" si="119"/>
        <v>875.33688860072073</v>
      </c>
      <c r="AT19" s="41">
        <f t="shared" si="79"/>
        <v>576</v>
      </c>
      <c r="AU19" s="41">
        <f t="shared" si="80"/>
        <v>837</v>
      </c>
      <c r="AV19" s="41">
        <f t="shared" si="81"/>
        <v>704</v>
      </c>
      <c r="AW19" s="41">
        <f t="shared" si="82"/>
        <v>726</v>
      </c>
      <c r="AX19" s="41">
        <f t="shared" si="83"/>
        <v>633</v>
      </c>
      <c r="AY19" s="41">
        <f t="shared" si="84"/>
        <v>875</v>
      </c>
      <c r="AZ19" s="41">
        <f t="shared" si="85"/>
        <v>716</v>
      </c>
      <c r="BA19" s="41">
        <f t="shared" si="86"/>
        <v>711</v>
      </c>
      <c r="BB19" s="41">
        <f t="shared" si="87"/>
        <v>749</v>
      </c>
      <c r="BC19" s="41">
        <f t="shared" si="88"/>
        <v>914</v>
      </c>
      <c r="BD19" s="41">
        <f t="shared" si="89"/>
        <v>1033</v>
      </c>
      <c r="BE19" s="41">
        <f t="shared" si="90"/>
        <v>831</v>
      </c>
      <c r="BF19" s="41">
        <f t="shared" si="91"/>
        <v>1522</v>
      </c>
      <c r="BG19" s="41">
        <f t="shared" si="92"/>
        <v>1198</v>
      </c>
      <c r="BH19" s="41">
        <f t="shared" si="93"/>
        <v>1188</v>
      </c>
      <c r="BI19" s="42">
        <f t="shared" si="94"/>
        <v>1226</v>
      </c>
      <c r="BJ19" s="41">
        <f t="shared" si="95"/>
        <v>1352.8579999999999</v>
      </c>
      <c r="BK19" s="41">
        <f t="shared" si="96"/>
        <v>1449.2483671999998</v>
      </c>
      <c r="BL19" s="41">
        <f t="shared" si="97"/>
        <v>1519.0350680124802</v>
      </c>
      <c r="BM19" s="41">
        <f t="shared" si="98"/>
        <v>1592.3451765413404</v>
      </c>
      <c r="BN19" s="41">
        <f t="shared" si="99"/>
        <v>1669.3683423717425</v>
      </c>
    </row>
    <row r="20" spans="1:68" s="9" customFormat="1" ht="12" customHeight="1" outlineLevel="1">
      <c r="A20" s="91" t="s">
        <v>1295</v>
      </c>
      <c r="B20" s="9" t="s">
        <v>118</v>
      </c>
      <c r="C20" s="22">
        <v>1882</v>
      </c>
      <c r="D20" s="22">
        <f>3721-C20</f>
        <v>1839</v>
      </c>
      <c r="E20" s="22">
        <v>1995</v>
      </c>
      <c r="F20" s="22">
        <f>3891-E20</f>
        <v>1896</v>
      </c>
      <c r="G20" s="22">
        <v>1766</v>
      </c>
      <c r="H20" s="22">
        <f>3364-G20</f>
        <v>1598</v>
      </c>
      <c r="I20" s="22">
        <v>1636</v>
      </c>
      <c r="J20" s="22">
        <v>1743</v>
      </c>
      <c r="K20" s="22">
        <v>1838</v>
      </c>
      <c r="L20" s="22">
        <v>2015</v>
      </c>
      <c r="M20" s="22">
        <v>2167</v>
      </c>
      <c r="N20" s="22">
        <v>2572</v>
      </c>
      <c r="O20" s="22">
        <v>2794</v>
      </c>
      <c r="P20" s="22">
        <v>2068</v>
      </c>
      <c r="Q20" s="22">
        <v>2202</v>
      </c>
      <c r="R20" s="22">
        <v>2129</v>
      </c>
      <c r="S20" s="22">
        <v>2568</v>
      </c>
      <c r="T20" s="22">
        <v>2102</v>
      </c>
      <c r="U20" s="22">
        <v>2661</v>
      </c>
      <c r="V20" s="22">
        <v>2865</v>
      </c>
      <c r="W20" s="22">
        <v>2874</v>
      </c>
      <c r="X20" s="22">
        <v>2963</v>
      </c>
      <c r="Y20" s="22">
        <v>2613</v>
      </c>
      <c r="Z20" s="22">
        <v>2563</v>
      </c>
      <c r="AA20" s="22">
        <v>3452</v>
      </c>
      <c r="AB20" s="22">
        <v>3435</v>
      </c>
      <c r="AC20" s="22">
        <v>3055</v>
      </c>
      <c r="AD20" s="22">
        <f>6400-AC20</f>
        <v>3345</v>
      </c>
      <c r="AE20" s="22">
        <v>3023</v>
      </c>
      <c r="AF20" s="22">
        <v>3226</v>
      </c>
      <c r="AG20" s="22">
        <v>3300</v>
      </c>
      <c r="AH20" s="22">
        <v>3490</v>
      </c>
      <c r="AI20" s="23">
        <v>3901</v>
      </c>
      <c r="AJ20" s="17">
        <f t="shared" ref="AJ20" si="120">+AJ13+AJ14+AJ15+AJ16+AJ17+AJ18+AJ19</f>
        <v>3676.0337705250213</v>
      </c>
      <c r="AK20" s="17">
        <f t="shared" ref="AK20:AL20" si="121">+AK13+AK14+AK15+AK16+AK17+AK18+AK19</f>
        <v>3472.187215076789</v>
      </c>
      <c r="AL20" s="17">
        <f t="shared" si="121"/>
        <v>3575.8628179762336</v>
      </c>
      <c r="AM20" s="17">
        <f t="shared" ref="AM20:AN20" si="122">+AM13+AM14+AM15+AM16+AM17+AM18+AM19</f>
        <v>3608.096979727738</v>
      </c>
      <c r="AN20" s="17">
        <f t="shared" si="122"/>
        <v>3713.7602841337398</v>
      </c>
      <c r="AO20" s="17">
        <f t="shared" ref="AO20:AP20" si="123">+AO13+AO14+AO15+AO16+AO17+AO18+AO19</f>
        <v>3729.237750503718</v>
      </c>
      <c r="AP20" s="17">
        <f t="shared" si="123"/>
        <v>3823.8231215592277</v>
      </c>
      <c r="AQ20" s="17">
        <f t="shared" ref="AQ20:AR20" si="124">+AQ13+AQ14+AQ15+AQ16+AQ17+AQ18+AQ19</f>
        <v>3826.9676313166001</v>
      </c>
      <c r="AR20" s="17">
        <f t="shared" si="124"/>
        <v>3907.8956557870583</v>
      </c>
      <c r="AT20" s="17">
        <f t="shared" ref="AT20:BB20" si="125">+AT13+AT14+AT15+AT16+AT17+AT18+AT19</f>
        <v>3721</v>
      </c>
      <c r="AU20" s="17">
        <f t="shared" si="125"/>
        <v>3891</v>
      </c>
      <c r="AV20" s="17">
        <f t="shared" si="125"/>
        <v>3364</v>
      </c>
      <c r="AW20" s="17">
        <f t="shared" si="125"/>
        <v>3379</v>
      </c>
      <c r="AX20" s="17">
        <f t="shared" si="125"/>
        <v>3853</v>
      </c>
      <c r="AY20" s="17">
        <f t="shared" si="125"/>
        <v>4739</v>
      </c>
      <c r="AZ20" s="17">
        <f t="shared" si="125"/>
        <v>4862</v>
      </c>
      <c r="BA20" s="17">
        <f t="shared" si="125"/>
        <v>4331</v>
      </c>
      <c r="BB20" s="17">
        <f t="shared" si="125"/>
        <v>4670</v>
      </c>
      <c r="BC20" s="17">
        <f t="shared" ref="BC20" si="126">+BC13+BC14+BC15+BC16+BC17+BC18+BC19</f>
        <v>5526</v>
      </c>
      <c r="BD20" s="17">
        <f t="shared" ref="BD20:BI20" si="127">+BD13+BD14+BD15+BD16+BD17+BD18+BD19</f>
        <v>5837</v>
      </c>
      <c r="BE20" s="17">
        <f t="shared" si="127"/>
        <v>5176</v>
      </c>
      <c r="BF20" s="17">
        <f t="shared" si="127"/>
        <v>6887</v>
      </c>
      <c r="BG20" s="17">
        <f t="shared" si="127"/>
        <v>6400</v>
      </c>
      <c r="BH20" s="17">
        <f t="shared" si="127"/>
        <v>6249</v>
      </c>
      <c r="BI20" s="18">
        <f t="shared" si="127"/>
        <v>6790</v>
      </c>
      <c r="BJ20" s="17">
        <f t="shared" ref="BJ20:BK20" si="128">+BJ13+BJ14+BJ15+BJ16+BJ17+BJ18+BJ19</f>
        <v>7577.0337705250222</v>
      </c>
      <c r="BK20" s="17">
        <f t="shared" si="128"/>
        <v>7048.0500330530222</v>
      </c>
      <c r="BL20" s="17">
        <f t="shared" ref="BL20:BM20" si="129">+BL13+BL14+BL15+BL16+BL17+BL18+BL19</f>
        <v>7321.8572638614778</v>
      </c>
      <c r="BM20" s="17">
        <f t="shared" si="129"/>
        <v>7553.0608720629452</v>
      </c>
      <c r="BN20" s="17">
        <f>+BN13+BN14+BN15+BN16+BN17+BN18+BN19</f>
        <v>7734.8632871036571</v>
      </c>
    </row>
    <row r="21" spans="1:68" ht="12" customHeight="1" outlineLevel="1">
      <c r="A21" s="91" t="s">
        <v>1296</v>
      </c>
      <c r="B21" s="1" t="s">
        <v>8</v>
      </c>
      <c r="C21" s="21">
        <v>633</v>
      </c>
      <c r="D21" s="21">
        <f>1299-C21</f>
        <v>666</v>
      </c>
      <c r="E21" s="21">
        <v>606</v>
      </c>
      <c r="F21" s="21">
        <f>1389-E21</f>
        <v>783</v>
      </c>
      <c r="G21" s="21">
        <v>374</v>
      </c>
      <c r="H21" s="21">
        <f>1035-G21</f>
        <v>661</v>
      </c>
      <c r="I21" s="21">
        <v>555</v>
      </c>
      <c r="J21" s="21">
        <v>679</v>
      </c>
      <c r="K21" s="21">
        <v>591</v>
      </c>
      <c r="L21" s="21">
        <v>979</v>
      </c>
      <c r="M21" s="21">
        <v>687</v>
      </c>
      <c r="N21" s="21">
        <v>1040</v>
      </c>
      <c r="O21" s="21">
        <v>1108</v>
      </c>
      <c r="P21" s="21">
        <v>959</v>
      </c>
      <c r="Q21" s="21">
        <v>768</v>
      </c>
      <c r="R21" s="21">
        <v>1001</v>
      </c>
      <c r="S21" s="21">
        <v>881</v>
      </c>
      <c r="T21" s="21">
        <v>1076</v>
      </c>
      <c r="U21" s="21">
        <v>1231</v>
      </c>
      <c r="V21" s="21">
        <v>1560</v>
      </c>
      <c r="W21" s="21">
        <v>1627</v>
      </c>
      <c r="X21" s="21">
        <v>1234</v>
      </c>
      <c r="Y21" s="21">
        <v>1487</v>
      </c>
      <c r="Z21" s="21">
        <v>1995</v>
      </c>
      <c r="AA21" s="21">
        <v>1659</v>
      </c>
      <c r="AB21" s="21">
        <v>2337</v>
      </c>
      <c r="AC21" s="21">
        <v>2739</v>
      </c>
      <c r="AD21" s="21">
        <f>7573-AC21</f>
        <v>4834</v>
      </c>
      <c r="AE21" s="21">
        <v>2612</v>
      </c>
      <c r="AF21" s="21">
        <v>2836</v>
      </c>
      <c r="AG21" s="21">
        <v>2460</v>
      </c>
      <c r="AH21" s="21">
        <v>2910</v>
      </c>
      <c r="AI21" s="24">
        <v>2445</v>
      </c>
      <c r="AJ21" s="19">
        <f t="shared" ref="AJ21:AR21" si="130">AJ89+AJ675+AJ167+AJ242+AJ243+AJ319+AJ462</f>
        <v>3417.1929649698013</v>
      </c>
      <c r="AK21" s="19">
        <f t="shared" si="130"/>
        <v>3028.121159065653</v>
      </c>
      <c r="AL21" s="19">
        <f t="shared" si="130"/>
        <v>3324.2924602459016</v>
      </c>
      <c r="AM21" s="19">
        <f t="shared" si="130"/>
        <v>3224.121132186569</v>
      </c>
      <c r="AN21" s="19">
        <f t="shared" si="130"/>
        <v>3597.2791162960698</v>
      </c>
      <c r="AO21" s="19">
        <f t="shared" si="130"/>
        <v>3387.9885157736012</v>
      </c>
      <c r="AP21" s="19">
        <f t="shared" si="130"/>
        <v>3776.9536437207839</v>
      </c>
      <c r="AQ21" s="19">
        <f t="shared" si="130"/>
        <v>3593.1039829328065</v>
      </c>
      <c r="AR21" s="19">
        <f t="shared" si="130"/>
        <v>3917.1084841175057</v>
      </c>
      <c r="AT21" s="41">
        <f>C21+D21</f>
        <v>1299</v>
      </c>
      <c r="AU21" s="41">
        <f>E21+F21</f>
        <v>1389</v>
      </c>
      <c r="AV21" s="41">
        <f>G21+H21</f>
        <v>1035</v>
      </c>
      <c r="AW21" s="41">
        <f>I21+J21</f>
        <v>1234</v>
      </c>
      <c r="AX21" s="41">
        <f>K21+L21</f>
        <v>1570</v>
      </c>
      <c r="AY21" s="41">
        <f>M21+N21</f>
        <v>1727</v>
      </c>
      <c r="AZ21" s="41">
        <f>O21+P21</f>
        <v>2067</v>
      </c>
      <c r="BA21" s="41">
        <f>Q21+R21</f>
        <v>1769</v>
      </c>
      <c r="BB21" s="41">
        <f>S21+T21</f>
        <v>1957</v>
      </c>
      <c r="BC21" s="41">
        <f>U21+V21</f>
        <v>2791</v>
      </c>
      <c r="BD21" s="41">
        <f>W21+X21</f>
        <v>2861</v>
      </c>
      <c r="BE21" s="41">
        <f>Y21+Z21</f>
        <v>3482</v>
      </c>
      <c r="BF21" s="41">
        <f>AA21+AB21</f>
        <v>3996</v>
      </c>
      <c r="BG21" s="41">
        <f>AC21+AD21</f>
        <v>7573</v>
      </c>
      <c r="BH21" s="41">
        <f>AE21+AF21</f>
        <v>5448</v>
      </c>
      <c r="BI21" s="42">
        <f>AG21+AH21</f>
        <v>5370</v>
      </c>
      <c r="BJ21" s="41">
        <f>AI21+AJ21</f>
        <v>5862.1929649698013</v>
      </c>
      <c r="BK21" s="41">
        <f>AK21+AL21</f>
        <v>6352.4136193115546</v>
      </c>
      <c r="BL21" s="41">
        <f>AM21+AN21</f>
        <v>6821.4002484826387</v>
      </c>
      <c r="BM21" s="41">
        <f>AO21+AP21</f>
        <v>7164.9421594943851</v>
      </c>
      <c r="BN21" s="41">
        <f>AQ21+AR21</f>
        <v>7510.2124670503126</v>
      </c>
    </row>
    <row r="22" spans="1:68" ht="12" customHeight="1" outlineLevel="1">
      <c r="A22" s="91" t="s">
        <v>1297</v>
      </c>
      <c r="B22" s="1" t="s">
        <v>9</v>
      </c>
      <c r="C22" s="21">
        <v>-197</v>
      </c>
      <c r="D22" s="21">
        <f>-230-C22</f>
        <v>-33</v>
      </c>
      <c r="E22" s="21">
        <v>85</v>
      </c>
      <c r="F22" s="21">
        <f>179-E22</f>
        <v>94</v>
      </c>
      <c r="G22" s="21">
        <v>49</v>
      </c>
      <c r="H22" s="21">
        <f>108-G22</f>
        <v>59</v>
      </c>
      <c r="I22" s="21">
        <v>75</v>
      </c>
      <c r="J22" s="21">
        <v>17</v>
      </c>
      <c r="K22" s="21">
        <v>70</v>
      </c>
      <c r="L22" s="21">
        <v>79</v>
      </c>
      <c r="M22" s="21">
        <v>19</v>
      </c>
      <c r="N22" s="21">
        <v>-14</v>
      </c>
      <c r="O22" s="21">
        <v>-63</v>
      </c>
      <c r="P22" s="21">
        <v>67</v>
      </c>
      <c r="Q22" s="21">
        <v>-8</v>
      </c>
      <c r="R22" s="21">
        <v>59</v>
      </c>
      <c r="S22" s="21">
        <v>103</v>
      </c>
      <c r="T22" s="21">
        <v>138</v>
      </c>
      <c r="U22" s="21">
        <v>7</v>
      </c>
      <c r="V22" s="21">
        <v>-63</v>
      </c>
      <c r="W22" s="21">
        <v>-49</v>
      </c>
      <c r="X22" s="21">
        <v>144</v>
      </c>
      <c r="Y22" s="21">
        <v>-54</v>
      </c>
      <c r="Z22" s="21">
        <v>51</v>
      </c>
      <c r="AA22" s="21">
        <v>242</v>
      </c>
      <c r="AB22" s="21">
        <v>-2</v>
      </c>
      <c r="AC22" s="21">
        <v>-61</v>
      </c>
      <c r="AD22" s="21">
        <v>-52</v>
      </c>
      <c r="AE22" s="21">
        <v>-5</v>
      </c>
      <c r="AF22" s="21">
        <v>-44</v>
      </c>
      <c r="AG22" s="21">
        <v>1</v>
      </c>
      <c r="AH22" s="21">
        <v>166</v>
      </c>
      <c r="AI22" s="24">
        <v>-50</v>
      </c>
      <c r="AJ22" s="19">
        <f t="shared" ref="AJ22:AR22" si="131">AJ90+AJ676+AJ168+AJ244+AJ320+AJ463</f>
        <v>-8.7028571428571411</v>
      </c>
      <c r="AK22" s="19">
        <f t="shared" si="131"/>
        <v>-8.2584571428571394</v>
      </c>
      <c r="AL22" s="19">
        <f t="shared" si="131"/>
        <v>-7.8096131428571312</v>
      </c>
      <c r="AM22" s="19">
        <f t="shared" si="131"/>
        <v>-7.3562807028571342</v>
      </c>
      <c r="AN22" s="19">
        <f t="shared" si="131"/>
        <v>-6.8984149384571367</v>
      </c>
      <c r="AO22" s="19">
        <f t="shared" si="131"/>
        <v>-6.4359705164131356</v>
      </c>
      <c r="AP22" s="19">
        <f t="shared" si="131"/>
        <v>-5.9689016501486947</v>
      </c>
      <c r="AQ22" s="19">
        <f t="shared" si="131"/>
        <v>-5.4971620952216256</v>
      </c>
      <c r="AR22" s="19">
        <f t="shared" si="131"/>
        <v>-5.0207051447452642</v>
      </c>
      <c r="AT22" s="41">
        <f>C22+D22</f>
        <v>-230</v>
      </c>
      <c r="AU22" s="41">
        <f>E22+F22</f>
        <v>179</v>
      </c>
      <c r="AV22" s="41">
        <f>G22+H22</f>
        <v>108</v>
      </c>
      <c r="AW22" s="41">
        <f>I22+J22</f>
        <v>92</v>
      </c>
      <c r="AX22" s="41">
        <f>K22+L22</f>
        <v>149</v>
      </c>
      <c r="AY22" s="41">
        <f>M22+N22</f>
        <v>5</v>
      </c>
      <c r="AZ22" s="41">
        <f>O22+P22</f>
        <v>4</v>
      </c>
      <c r="BA22" s="41">
        <f>Q22+R22</f>
        <v>51</v>
      </c>
      <c r="BB22" s="41">
        <f>S22+T22</f>
        <v>241</v>
      </c>
      <c r="BC22" s="41">
        <f>U22+V22</f>
        <v>-56</v>
      </c>
      <c r="BD22" s="41">
        <f>W22+X22</f>
        <v>95</v>
      </c>
      <c r="BE22" s="41">
        <f>Y22+Z22</f>
        <v>-3</v>
      </c>
      <c r="BF22" s="41">
        <f>AA22+AB22</f>
        <v>240</v>
      </c>
      <c r="BG22" s="41">
        <f>AC22+AD22</f>
        <v>-113</v>
      </c>
      <c r="BH22" s="41">
        <f>AE22+AF22</f>
        <v>-49</v>
      </c>
      <c r="BI22" s="42">
        <f>AG22+AH22</f>
        <v>167</v>
      </c>
      <c r="BJ22" s="41">
        <f>AI22+AJ22</f>
        <v>-58.702857142857141</v>
      </c>
      <c r="BK22" s="41">
        <f>AK22+AL22</f>
        <v>-16.068070285714271</v>
      </c>
      <c r="BL22" s="41">
        <f>AM22+AN22</f>
        <v>-14.254695641314271</v>
      </c>
      <c r="BM22" s="41">
        <f>AO22+AP22</f>
        <v>-12.40487216656183</v>
      </c>
      <c r="BN22" s="41">
        <f>AQ22+AR22</f>
        <v>-10.51786723996689</v>
      </c>
    </row>
    <row r="23" spans="1:68" ht="12" customHeight="1" outlineLevel="1">
      <c r="A23" s="91" t="s">
        <v>1298</v>
      </c>
      <c r="B23" s="1" t="s">
        <v>1844</v>
      </c>
      <c r="C23" s="21">
        <f>-134+3</f>
        <v>-131</v>
      </c>
      <c r="D23" s="21">
        <f>-218+2-C23</f>
        <v>-85</v>
      </c>
      <c r="E23" s="21">
        <f>-86+9</f>
        <v>-77</v>
      </c>
      <c r="F23" s="21">
        <f>-133+5-E23</f>
        <v>-51</v>
      </c>
      <c r="G23" s="21">
        <f>-50-16</f>
        <v>-66</v>
      </c>
      <c r="H23" s="21">
        <f>-166-13-G23</f>
        <v>-113</v>
      </c>
      <c r="I23" s="21">
        <f>-89+1</f>
        <v>-88</v>
      </c>
      <c r="J23" s="21">
        <f>-97-4</f>
        <v>-101</v>
      </c>
      <c r="K23" s="21">
        <f>-74-21</f>
        <v>-95</v>
      </c>
      <c r="L23" s="21">
        <f>-104-37</f>
        <v>-141</v>
      </c>
      <c r="M23" s="21">
        <f>-78-26</f>
        <v>-104</v>
      </c>
      <c r="N23" s="21">
        <f>-285-78</f>
        <v>-363</v>
      </c>
      <c r="O23" s="21">
        <f>-316-20</f>
        <v>-336</v>
      </c>
      <c r="P23" s="21">
        <f>-232-6</f>
        <v>-238</v>
      </c>
      <c r="Q23" s="21">
        <f>-36-20-75-16-135</f>
        <v>-282</v>
      </c>
      <c r="R23" s="21">
        <f>-11-7-24-141+21</f>
        <v>-162</v>
      </c>
      <c r="S23" s="21">
        <f>-72-70</f>
        <v>-142</v>
      </c>
      <c r="T23" s="21">
        <f>9-233</f>
        <v>-224</v>
      </c>
      <c r="U23" s="21">
        <f>-44-32</f>
        <v>-76</v>
      </c>
      <c r="V23" s="21">
        <f>-276-200</f>
        <v>-476</v>
      </c>
      <c r="W23" s="21">
        <f>-144+5</f>
        <v>-139</v>
      </c>
      <c r="X23" s="21">
        <f>-661-240</f>
        <v>-901</v>
      </c>
      <c r="Y23" s="21">
        <f>-407-40</f>
        <v>-447</v>
      </c>
      <c r="Z23" s="21">
        <f>-27-50</f>
        <v>-77</v>
      </c>
      <c r="AA23" s="21">
        <f>-176-54</f>
        <v>-230</v>
      </c>
      <c r="AB23" s="21">
        <f>-74-205</f>
        <v>-279</v>
      </c>
      <c r="AC23" s="21">
        <f>-175-111</f>
        <v>-286</v>
      </c>
      <c r="AD23" s="21">
        <f>-213+45</f>
        <v>-168</v>
      </c>
      <c r="AE23" s="21">
        <f>-6+123</f>
        <v>117</v>
      </c>
      <c r="AF23" s="21">
        <f>140+112</f>
        <v>252</v>
      </c>
      <c r="AG23" s="21">
        <f>-54-21</f>
        <v>-75</v>
      </c>
      <c r="AH23" s="21">
        <f>-212-74</f>
        <v>-286</v>
      </c>
      <c r="AI23" s="24">
        <f>-17-12</f>
        <v>-29</v>
      </c>
      <c r="AJ23" s="19">
        <f>'Group Model'!AK562</f>
        <v>-164.87119267257026</v>
      </c>
      <c r="AK23" s="19">
        <f>'Group Model'!AL562</f>
        <v>-124.25747429866578</v>
      </c>
      <c r="AL23" s="19">
        <f>'Group Model'!AM562</f>
        <v>-160.65901897818094</v>
      </c>
      <c r="AM23" s="19">
        <f>'Group Model'!AN562</f>
        <v>-186.90154685566472</v>
      </c>
      <c r="AN23" s="19">
        <f>'Group Model'!AO562</f>
        <v>-182.33533336607593</v>
      </c>
      <c r="AO23" s="19">
        <f>'Group Model'!AP562</f>
        <v>-217.92324374838472</v>
      </c>
      <c r="AP23" s="19">
        <f>'Group Model'!AQ562</f>
        <v>-218.40664095713601</v>
      </c>
      <c r="AQ23" s="19">
        <f>'Group Model'!AR562</f>
        <v>-219.94294223402494</v>
      </c>
      <c r="AR23" s="19">
        <f>'Group Model'!AS562</f>
        <v>-221.00989022664908</v>
      </c>
      <c r="AT23" s="41">
        <f>C23+D23</f>
        <v>-216</v>
      </c>
      <c r="AU23" s="41">
        <f>E23+F23</f>
        <v>-128</v>
      </c>
      <c r="AV23" s="41">
        <f>G23+H23</f>
        <v>-179</v>
      </c>
      <c r="AW23" s="41">
        <f>I23+J23</f>
        <v>-189</v>
      </c>
      <c r="AX23" s="41">
        <f>K23+L23</f>
        <v>-236</v>
      </c>
      <c r="AY23" s="41">
        <f>M23+N23</f>
        <v>-467</v>
      </c>
      <c r="AZ23" s="41">
        <f>O23+P23</f>
        <v>-574</v>
      </c>
      <c r="BA23" s="41">
        <f>Q23+R23</f>
        <v>-444</v>
      </c>
      <c r="BB23" s="41">
        <f>S23+T23</f>
        <v>-366</v>
      </c>
      <c r="BC23" s="41">
        <f>U23+V23</f>
        <v>-552</v>
      </c>
      <c r="BD23" s="41">
        <f>W23+X23</f>
        <v>-1040</v>
      </c>
      <c r="BE23" s="41">
        <f>Y23+Z23</f>
        <v>-524</v>
      </c>
      <c r="BF23" s="41">
        <f>AA23+AB23</f>
        <v>-509</v>
      </c>
      <c r="BG23" s="41">
        <f>AC23+AD23</f>
        <v>-454</v>
      </c>
      <c r="BH23" s="41">
        <f>AE23+AF23</f>
        <v>369</v>
      </c>
      <c r="BI23" s="42">
        <f>AG23+AH23</f>
        <v>-361</v>
      </c>
      <c r="BJ23" s="41">
        <f>AI23+AJ23</f>
        <v>-193.87119267257026</v>
      </c>
      <c r="BK23" s="41">
        <f>AK23+AL23</f>
        <v>-284.91649327684672</v>
      </c>
      <c r="BL23" s="41">
        <f>AM23+AN23</f>
        <v>-369.23688022174065</v>
      </c>
      <c r="BM23" s="41">
        <f>AO23+AP23</f>
        <v>-436.32988470552073</v>
      </c>
      <c r="BN23" s="41">
        <f>AQ23+AR23</f>
        <v>-440.95283246067402</v>
      </c>
    </row>
    <row r="24" spans="1:68" ht="12" customHeight="1" outlineLevel="1">
      <c r="A24" s="91" t="s">
        <v>1843</v>
      </c>
      <c r="B24" s="1" t="s">
        <v>1842</v>
      </c>
      <c r="C24" s="21">
        <v>0</v>
      </c>
      <c r="D24" s="21">
        <v>0</v>
      </c>
      <c r="E24" s="21">
        <v>0</v>
      </c>
      <c r="F24" s="21">
        <v>0</v>
      </c>
      <c r="G24" s="21">
        <v>0</v>
      </c>
      <c r="H24" s="21">
        <v>0</v>
      </c>
      <c r="I24" s="21">
        <v>0</v>
      </c>
      <c r="J24" s="21">
        <v>0</v>
      </c>
      <c r="K24" s="21">
        <v>0</v>
      </c>
      <c r="L24" s="21">
        <v>0</v>
      </c>
      <c r="M24" s="21">
        <v>0</v>
      </c>
      <c r="N24" s="21">
        <v>0</v>
      </c>
      <c r="O24" s="21">
        <v>0</v>
      </c>
      <c r="P24" s="21">
        <v>0</v>
      </c>
      <c r="Q24" s="21">
        <f>345+256+15+239+45</f>
        <v>900</v>
      </c>
      <c r="R24" s="21">
        <f>74+30+1+374+50</f>
        <v>529</v>
      </c>
      <c r="S24" s="21">
        <v>446</v>
      </c>
      <c r="T24" s="21">
        <v>787</v>
      </c>
      <c r="U24" s="21">
        <v>485</v>
      </c>
      <c r="V24" s="21">
        <v>1617</v>
      </c>
      <c r="W24" s="21">
        <v>670</v>
      </c>
      <c r="X24" s="21">
        <v>1007</v>
      </c>
      <c r="Y24" s="21">
        <v>625</v>
      </c>
      <c r="Z24" s="21">
        <v>1398</v>
      </c>
      <c r="AA24" s="21">
        <v>994</v>
      </c>
      <c r="AB24" s="21">
        <v>2297</v>
      </c>
      <c r="AC24" s="21">
        <v>1549</v>
      </c>
      <c r="AD24" s="21">
        <v>588</v>
      </c>
      <c r="AE24" s="21">
        <v>366</v>
      </c>
      <c r="AF24" s="21">
        <v>744</v>
      </c>
      <c r="AG24" s="21">
        <v>517</v>
      </c>
      <c r="AH24" s="21">
        <f>798</f>
        <v>798</v>
      </c>
      <c r="AI24" s="24">
        <v>358</v>
      </c>
      <c r="AJ24" s="19">
        <f t="shared" ref="AJ24:AR24" si="132">AJ92+AJ678+AJ170+AJ246+AJ322+AJ465</f>
        <v>817.75</v>
      </c>
      <c r="AK24" s="19">
        <f t="shared" si="132"/>
        <v>402.22499999999997</v>
      </c>
      <c r="AL24" s="19">
        <f t="shared" si="132"/>
        <v>429.77749999999997</v>
      </c>
      <c r="AM24" s="19">
        <f t="shared" si="132"/>
        <v>459.49288999999999</v>
      </c>
      <c r="AN24" s="19">
        <f t="shared" si="132"/>
        <v>491.54337500000003</v>
      </c>
      <c r="AO24" s="19">
        <f t="shared" si="132"/>
        <v>526.11491987600004</v>
      </c>
      <c r="AP24" s="19">
        <f t="shared" si="132"/>
        <v>549.70278405656006</v>
      </c>
      <c r="AQ24" s="19">
        <f t="shared" si="132"/>
        <v>574.4476838098833</v>
      </c>
      <c r="AR24" s="19">
        <f t="shared" si="132"/>
        <v>590.33343291134815</v>
      </c>
      <c r="AT24" s="41">
        <f t="shared" ref="AT24:AT26" si="133">C24+D24</f>
        <v>0</v>
      </c>
      <c r="AU24" s="41">
        <f t="shared" ref="AU24:AU26" si="134">E24+F24</f>
        <v>0</v>
      </c>
      <c r="AV24" s="41">
        <f t="shared" ref="AV24:AV26" si="135">G24+H24</f>
        <v>0</v>
      </c>
      <c r="AW24" s="41">
        <f t="shared" ref="AW24:AW26" si="136">I24+J24</f>
        <v>0</v>
      </c>
      <c r="AX24" s="41">
        <f t="shared" ref="AX24:AX26" si="137">K24+L24</f>
        <v>0</v>
      </c>
      <c r="AY24" s="41">
        <f t="shared" ref="AY24:AY26" si="138">M24+N24</f>
        <v>0</v>
      </c>
      <c r="AZ24" s="41">
        <f t="shared" ref="AZ24:AZ26" si="139">O24+P24</f>
        <v>0</v>
      </c>
      <c r="BA24" s="41">
        <f t="shared" ref="BA24:BA26" si="140">Q24+R24</f>
        <v>1429</v>
      </c>
      <c r="BB24" s="41">
        <f t="shared" ref="BB24:BB26" si="141">S24+T24</f>
        <v>1233</v>
      </c>
      <c r="BC24" s="41">
        <f t="shared" ref="BC24:BC26" si="142">U24+V24</f>
        <v>2102</v>
      </c>
      <c r="BD24" s="41">
        <f t="shared" ref="BD24:BD26" si="143">W24+X24</f>
        <v>1677</v>
      </c>
      <c r="BE24" s="41">
        <f t="shared" ref="BE24:BE26" si="144">Y24+Z24</f>
        <v>2023</v>
      </c>
      <c r="BF24" s="41">
        <f t="shared" ref="BF24:BF26" si="145">AA24+AB24</f>
        <v>3291</v>
      </c>
      <c r="BG24" s="41">
        <f t="shared" ref="BG24:BG26" si="146">AC24+AD24</f>
        <v>2137</v>
      </c>
      <c r="BH24" s="41">
        <f t="shared" ref="BH24:BH26" si="147">AE24+AF24</f>
        <v>1110</v>
      </c>
      <c r="BI24" s="42">
        <f t="shared" ref="BI24:BI26" si="148">AG24+AH24</f>
        <v>1315</v>
      </c>
      <c r="BJ24" s="41">
        <f t="shared" ref="BJ24:BJ26" si="149">AI24+AJ24</f>
        <v>1175.75</v>
      </c>
      <c r="BK24" s="41">
        <f t="shared" ref="BK24:BK26" si="150">AK24+AL24</f>
        <v>832.00249999999994</v>
      </c>
      <c r="BL24" s="41">
        <f t="shared" ref="BL24:BL26" si="151">AM24+AN24</f>
        <v>951.03626499999996</v>
      </c>
      <c r="BM24" s="41">
        <f t="shared" ref="BM24:BM26" si="152">AO24+AP24</f>
        <v>1075.8177039325601</v>
      </c>
      <c r="BN24" s="41">
        <f t="shared" ref="BN24:BN26" si="153">AQ24+AR24</f>
        <v>1164.7811167212315</v>
      </c>
    </row>
    <row r="25" spans="1:68" ht="12" customHeight="1" outlineLevel="1">
      <c r="A25" s="91" t="s">
        <v>1841</v>
      </c>
      <c r="B25" s="1" t="s">
        <v>1838</v>
      </c>
      <c r="C25" s="21">
        <v>0</v>
      </c>
      <c r="D25" s="21">
        <v>0</v>
      </c>
      <c r="E25" s="21">
        <v>0</v>
      </c>
      <c r="F25" s="21">
        <v>0</v>
      </c>
      <c r="G25" s="21">
        <v>0</v>
      </c>
      <c r="H25" s="21">
        <v>0</v>
      </c>
      <c r="I25" s="21">
        <v>0</v>
      </c>
      <c r="J25" s="21">
        <v>0</v>
      </c>
      <c r="K25" s="21">
        <v>0</v>
      </c>
      <c r="L25" s="21">
        <v>0</v>
      </c>
      <c r="M25" s="21">
        <v>0</v>
      </c>
      <c r="N25" s="21">
        <v>0</v>
      </c>
      <c r="O25" s="21">
        <v>0</v>
      </c>
      <c r="P25" s="21">
        <v>0</v>
      </c>
      <c r="Q25" s="21">
        <v>0</v>
      </c>
      <c r="R25" s="21">
        <v>0</v>
      </c>
      <c r="S25" s="21">
        <v>0</v>
      </c>
      <c r="T25" s="21">
        <v>0</v>
      </c>
      <c r="U25" s="21">
        <v>0</v>
      </c>
      <c r="V25" s="21">
        <v>0</v>
      </c>
      <c r="W25" s="21">
        <v>0</v>
      </c>
      <c r="X25" s="21">
        <v>0</v>
      </c>
      <c r="Y25" s="21">
        <v>-72</v>
      </c>
      <c r="Z25" s="21">
        <v>-78</v>
      </c>
      <c r="AA25" s="21">
        <v>22</v>
      </c>
      <c r="AB25" s="21">
        <f>-48</f>
        <v>-48</v>
      </c>
      <c r="AC25" s="21">
        <v>-115</v>
      </c>
      <c r="AD25" s="21">
        <v>-74</v>
      </c>
      <c r="AE25" s="21">
        <v>-184</v>
      </c>
      <c r="AF25" s="21">
        <v>-198</v>
      </c>
      <c r="AG25" s="21">
        <v>-238</v>
      </c>
      <c r="AH25" s="21">
        <v>-331</v>
      </c>
      <c r="AI25" s="24">
        <v>-294</v>
      </c>
      <c r="AJ25" s="19">
        <f t="shared" ref="AJ25:AR25" si="154">AJ93+AJ679+AJ171+AJ247+AJ323+AJ466</f>
        <v>-88.2</v>
      </c>
      <c r="AK25" s="19">
        <f t="shared" si="154"/>
        <v>-79.38000000000001</v>
      </c>
      <c r="AL25" s="19">
        <f t="shared" si="154"/>
        <v>-75.411000000000001</v>
      </c>
      <c r="AM25" s="19">
        <f t="shared" si="154"/>
        <v>-71.640450000000001</v>
      </c>
      <c r="AN25" s="19">
        <f t="shared" si="154"/>
        <v>-68.058427499999993</v>
      </c>
      <c r="AO25" s="19">
        <f t="shared" si="154"/>
        <v>-64.655506124999988</v>
      </c>
      <c r="AP25" s="19">
        <f t="shared" si="154"/>
        <v>-61.422730818749983</v>
      </c>
      <c r="AQ25" s="19">
        <f t="shared" si="154"/>
        <v>-58.351594277812481</v>
      </c>
      <c r="AR25" s="19">
        <f t="shared" si="154"/>
        <v>-55.434014563921856</v>
      </c>
      <c r="AT25" s="41">
        <f t="shared" si="133"/>
        <v>0</v>
      </c>
      <c r="AU25" s="41">
        <f t="shared" si="134"/>
        <v>0</v>
      </c>
      <c r="AV25" s="41">
        <f t="shared" si="135"/>
        <v>0</v>
      </c>
      <c r="AW25" s="41">
        <f t="shared" si="136"/>
        <v>0</v>
      </c>
      <c r="AX25" s="41">
        <f t="shared" si="137"/>
        <v>0</v>
      </c>
      <c r="AY25" s="41">
        <f t="shared" si="138"/>
        <v>0</v>
      </c>
      <c r="AZ25" s="41">
        <f t="shared" si="139"/>
        <v>0</v>
      </c>
      <c r="BA25" s="41">
        <f t="shared" si="140"/>
        <v>0</v>
      </c>
      <c r="BB25" s="41">
        <f t="shared" si="141"/>
        <v>0</v>
      </c>
      <c r="BC25" s="41">
        <f t="shared" si="142"/>
        <v>0</v>
      </c>
      <c r="BD25" s="41">
        <f t="shared" si="143"/>
        <v>0</v>
      </c>
      <c r="BE25" s="41">
        <f t="shared" si="144"/>
        <v>-150</v>
      </c>
      <c r="BF25" s="41">
        <f t="shared" si="145"/>
        <v>-26</v>
      </c>
      <c r="BG25" s="41">
        <f t="shared" si="146"/>
        <v>-189</v>
      </c>
      <c r="BH25" s="41">
        <f t="shared" si="147"/>
        <v>-382</v>
      </c>
      <c r="BI25" s="42">
        <f t="shared" si="148"/>
        <v>-569</v>
      </c>
      <c r="BJ25" s="41">
        <f t="shared" si="149"/>
        <v>-382.2</v>
      </c>
      <c r="BK25" s="41">
        <f t="shared" si="150"/>
        <v>-154.791</v>
      </c>
      <c r="BL25" s="41">
        <f t="shared" si="151"/>
        <v>-139.69887749999998</v>
      </c>
      <c r="BM25" s="41">
        <f t="shared" si="152"/>
        <v>-126.07823694374997</v>
      </c>
      <c r="BN25" s="41">
        <f t="shared" si="153"/>
        <v>-113.78560884173433</v>
      </c>
    </row>
    <row r="26" spans="1:68" ht="12" customHeight="1" outlineLevel="1">
      <c r="A26" s="91" t="s">
        <v>1840</v>
      </c>
      <c r="B26" s="1" t="s">
        <v>1839</v>
      </c>
      <c r="C26" s="21">
        <v>0</v>
      </c>
      <c r="D26" s="21">
        <v>0</v>
      </c>
      <c r="E26" s="21">
        <v>0</v>
      </c>
      <c r="F26" s="21">
        <v>0</v>
      </c>
      <c r="G26" s="21">
        <v>0</v>
      </c>
      <c r="H26" s="21">
        <v>0</v>
      </c>
      <c r="I26" s="21">
        <v>0</v>
      </c>
      <c r="J26" s="21">
        <v>0</v>
      </c>
      <c r="K26" s="21">
        <v>0</v>
      </c>
      <c r="L26" s="21">
        <v>0</v>
      </c>
      <c r="M26" s="21">
        <v>0</v>
      </c>
      <c r="N26" s="21">
        <v>0</v>
      </c>
      <c r="O26" s="21">
        <v>0</v>
      </c>
      <c r="P26" s="21">
        <v>0</v>
      </c>
      <c r="Q26" s="21">
        <v>476</v>
      </c>
      <c r="R26" s="21">
        <v>445</v>
      </c>
      <c r="S26" s="21">
        <v>469</v>
      </c>
      <c r="T26" s="21">
        <v>466</v>
      </c>
      <c r="U26" s="21">
        <v>461</v>
      </c>
      <c r="V26" s="21">
        <v>489</v>
      </c>
      <c r="W26" s="21">
        <v>461</v>
      </c>
      <c r="X26" s="21">
        <v>284</v>
      </c>
      <c r="Y26" s="21">
        <v>245</v>
      </c>
      <c r="Z26" s="21">
        <v>221</v>
      </c>
      <c r="AA26" s="21">
        <v>186</v>
      </c>
      <c r="AB26" s="21">
        <v>216</v>
      </c>
      <c r="AC26" s="21">
        <v>211</v>
      </c>
      <c r="AD26" s="21">
        <v>254</v>
      </c>
      <c r="AE26" s="21">
        <v>267</v>
      </c>
      <c r="AF26" s="21">
        <v>286</v>
      </c>
      <c r="AG26" s="21">
        <v>279</v>
      </c>
      <c r="AH26" s="21">
        <v>282</v>
      </c>
      <c r="AI26" s="24">
        <v>219</v>
      </c>
      <c r="AJ26" s="19">
        <f t="shared" ref="AJ26:AR26" si="155">AJ94+AJ680+AJ172+AJ248+AJ324+AJ467</f>
        <v>220.32</v>
      </c>
      <c r="AK26" s="19">
        <f t="shared" si="155"/>
        <v>224.72639999999998</v>
      </c>
      <c r="AL26" s="19">
        <f t="shared" si="155"/>
        <v>229.22092799999999</v>
      </c>
      <c r="AM26" s="19">
        <f t="shared" si="155"/>
        <v>233.80534656</v>
      </c>
      <c r="AN26" s="19">
        <f t="shared" si="155"/>
        <v>238.4814534912</v>
      </c>
      <c r="AO26" s="19">
        <f t="shared" si="155"/>
        <v>243.25108256102399</v>
      </c>
      <c r="AP26" s="19">
        <f t="shared" si="155"/>
        <v>248.11610421224447</v>
      </c>
      <c r="AQ26" s="19">
        <f t="shared" si="155"/>
        <v>253.07842629648937</v>
      </c>
      <c r="AR26" s="19">
        <f t="shared" si="155"/>
        <v>258.13999482241917</v>
      </c>
      <c r="AT26" s="41">
        <f t="shared" si="133"/>
        <v>0</v>
      </c>
      <c r="AU26" s="41">
        <f t="shared" si="134"/>
        <v>0</v>
      </c>
      <c r="AV26" s="41">
        <f t="shared" si="135"/>
        <v>0</v>
      </c>
      <c r="AW26" s="41">
        <f t="shared" si="136"/>
        <v>0</v>
      </c>
      <c r="AX26" s="41">
        <f t="shared" si="137"/>
        <v>0</v>
      </c>
      <c r="AY26" s="41">
        <f t="shared" si="138"/>
        <v>0</v>
      </c>
      <c r="AZ26" s="41">
        <f t="shared" si="139"/>
        <v>0</v>
      </c>
      <c r="BA26" s="41">
        <f t="shared" si="140"/>
        <v>921</v>
      </c>
      <c r="BB26" s="41">
        <f t="shared" si="141"/>
        <v>935</v>
      </c>
      <c r="BC26" s="41">
        <f t="shared" si="142"/>
        <v>950</v>
      </c>
      <c r="BD26" s="41">
        <f t="shared" si="143"/>
        <v>745</v>
      </c>
      <c r="BE26" s="41">
        <f t="shared" si="144"/>
        <v>466</v>
      </c>
      <c r="BF26" s="41">
        <f t="shared" si="145"/>
        <v>402</v>
      </c>
      <c r="BG26" s="41">
        <f t="shared" si="146"/>
        <v>465</v>
      </c>
      <c r="BH26" s="41">
        <f t="shared" si="147"/>
        <v>553</v>
      </c>
      <c r="BI26" s="42">
        <f t="shared" si="148"/>
        <v>561</v>
      </c>
      <c r="BJ26" s="41">
        <f t="shared" si="149"/>
        <v>439.32</v>
      </c>
      <c r="BK26" s="41">
        <f t="shared" si="150"/>
        <v>453.94732799999997</v>
      </c>
      <c r="BL26" s="41">
        <f t="shared" si="151"/>
        <v>472.28680005119998</v>
      </c>
      <c r="BM26" s="41">
        <f t="shared" si="152"/>
        <v>491.36718677326849</v>
      </c>
      <c r="BN26" s="41">
        <f t="shared" si="153"/>
        <v>511.21842111890851</v>
      </c>
    </row>
    <row r="27" spans="1:68" ht="12" customHeight="1" outlineLevel="1">
      <c r="A27" s="91" t="s">
        <v>1299</v>
      </c>
      <c r="B27" s="1" t="s">
        <v>10</v>
      </c>
      <c r="C27" s="19">
        <f t="shared" ref="C27" si="156">C28-C12-C21-C20-C22-C23-C24-C25-C26</f>
        <v>493</v>
      </c>
      <c r="D27" s="19">
        <f t="shared" ref="D27" si="157">D28-D12-D21-D20-D22-D23-D24-D25-D26</f>
        <v>491</v>
      </c>
      <c r="E27" s="19">
        <f t="shared" ref="E27" si="158">E28-E12-E21-E20-E22-E23-E24-E25-E26</f>
        <v>447</v>
      </c>
      <c r="F27" s="19">
        <f t="shared" ref="F27" si="159">F28-F12-F21-F20-F22-F23-F24-F25-F26</f>
        <v>612</v>
      </c>
      <c r="G27" s="19">
        <f t="shared" ref="G27" si="160">G28-G12-G21-G20-G22-G23-G24-G25-G26</f>
        <v>422</v>
      </c>
      <c r="H27" s="19">
        <f t="shared" ref="H27" si="161">H28-H12-H21-H20-H22-H23-H24-H25-H26</f>
        <v>880</v>
      </c>
      <c r="I27" s="19">
        <f t="shared" ref="I27" si="162">I28-I12-I21-I20-I22-I23-I24-I25-I26</f>
        <v>232</v>
      </c>
      <c r="J27" s="19">
        <f t="shared" ref="J27" si="163">J28-J12-J21-J20-J22-J23-J24-J25-J26</f>
        <v>542</v>
      </c>
      <c r="K27" s="19">
        <f t="shared" ref="K27" si="164">K28-K12-K21-K20-K22-K23-K24-K25-K26</f>
        <v>415</v>
      </c>
      <c r="L27" s="19">
        <f t="shared" ref="L27" si="165">L28-L12-L21-L20-L22-L23-L24-L25-L26</f>
        <v>676</v>
      </c>
      <c r="M27" s="19">
        <f t="shared" ref="M27" si="166">M28-M12-M21-M20-M22-M23-M24-M25-M26</f>
        <v>559</v>
      </c>
      <c r="N27" s="19">
        <f t="shared" ref="N27" si="167">N28-N12-N21-N20-N22-N23-N24-N25-N26</f>
        <v>607</v>
      </c>
      <c r="O27" s="19">
        <f t="shared" ref="O27" si="168">O28-O12-O21-O20-O22-O23-O24-O25-O26</f>
        <v>650</v>
      </c>
      <c r="P27" s="19">
        <f t="shared" ref="P27" si="169">P28-P12-P21-P20-P22-P23-P24-P25-P26</f>
        <v>847</v>
      </c>
      <c r="Q27" s="19">
        <f t="shared" ref="Q27" si="170">Q28-Q12-Q21-Q20-Q22-Q23-Q24-Q25-Q26</f>
        <v>66</v>
      </c>
      <c r="R27" s="19">
        <f t="shared" ref="R27" si="171">R28-R12-R21-R20-R22-R23-R24-R25-R26</f>
        <v>56</v>
      </c>
      <c r="S27" s="19">
        <f t="shared" ref="S27" si="172">S28-S12-S21-S20-S22-S23-S24-S25-S26</f>
        <v>61</v>
      </c>
      <c r="T27" s="19">
        <f t="shared" ref="T27" si="173">T28-T12-T21-T20-T22-T23-T24-T25-T26</f>
        <v>203</v>
      </c>
      <c r="U27" s="19">
        <f t="shared" ref="U27" si="174">U28-U12-U21-U20-U22-U23-U24-U25-U26</f>
        <v>63</v>
      </c>
      <c r="V27" s="19">
        <f t="shared" ref="V27" si="175">V28-V12-V21-V20-V22-V23-V24-V25-V26</f>
        <v>170</v>
      </c>
      <c r="W27" s="19">
        <f t="shared" ref="W27:Y27" si="176">W28-W12-W21-W20-W22-W23-W24-W25-W26</f>
        <v>86</v>
      </c>
      <c r="X27" s="19">
        <f t="shared" si="176"/>
        <v>205</v>
      </c>
      <c r="Y27" s="19">
        <f t="shared" si="176"/>
        <v>89</v>
      </c>
      <c r="Z27" s="19">
        <f t="shared" ref="Z27" si="177">Z28-Z12-Z21-Z20-Z22-Z23-Z24-Z25-Z26</f>
        <v>20</v>
      </c>
      <c r="AA27" s="19">
        <f t="shared" ref="AA27:AD27" si="178">AA28-AA12-AA21-AA20-AA22-AA23-AA24-AA25-AA26</f>
        <v>106</v>
      </c>
      <c r="AB27" s="19">
        <f t="shared" si="178"/>
        <v>77</v>
      </c>
      <c r="AC27" s="19">
        <f t="shared" si="178"/>
        <v>101</v>
      </c>
      <c r="AD27" s="19">
        <f t="shared" si="178"/>
        <v>174</v>
      </c>
      <c r="AE27" s="19">
        <f>AE28-AE12-AE21-AE20-AE22-AE23-AE24-AE25-AE26</f>
        <v>81</v>
      </c>
      <c r="AF27" s="19">
        <f>AF28-AF12-AF21-AF20-AF22-AF23-AF24-AF25-AF26</f>
        <v>49</v>
      </c>
      <c r="AG27" s="19">
        <f>AG28-AG12-AG21-AG20-AG22-AG23-AG24-AG25-AG26</f>
        <v>303</v>
      </c>
      <c r="AH27" s="19">
        <f>AH28-AH12-AH21-AH20-AH22-AH23-AH24-AH25-AH26</f>
        <v>125</v>
      </c>
      <c r="AI27" s="20">
        <f>AI28-AI12-AI21-AI20-AI22-AI23-AI24-AI25-AI26</f>
        <v>75</v>
      </c>
      <c r="AJ27" s="19">
        <f t="shared" ref="AJ27:AR27" si="179">AJ95+AJ681+AJ173+AJ249+AJ325+AJ468</f>
        <v>60.859999999999985</v>
      </c>
      <c r="AK27" s="19">
        <f t="shared" si="179"/>
        <v>64.497799999999998</v>
      </c>
      <c r="AL27" s="19">
        <f t="shared" si="179"/>
        <v>68.241208999999998</v>
      </c>
      <c r="AM27" s="19">
        <f t="shared" si="179"/>
        <v>72.093228395000011</v>
      </c>
      <c r="AN27" s="19">
        <f t="shared" si="179"/>
        <v>76.056941512475021</v>
      </c>
      <c r="AO27" s="19">
        <f t="shared" si="179"/>
        <v>80.212092564489893</v>
      </c>
      <c r="AP27" s="19">
        <f t="shared" si="179"/>
        <v>84.491484218231193</v>
      </c>
      <c r="AQ27" s="19">
        <f t="shared" si="179"/>
        <v>88.898833343504975</v>
      </c>
      <c r="AR27" s="19">
        <f t="shared" si="179"/>
        <v>93.437968057505088</v>
      </c>
      <c r="AT27" s="41">
        <f>C27+D27</f>
        <v>984</v>
      </c>
      <c r="AU27" s="41">
        <f>E27+F27</f>
        <v>1059</v>
      </c>
      <c r="AV27" s="41">
        <f>G27+H27</f>
        <v>1302</v>
      </c>
      <c r="AW27" s="41">
        <f>I27+J27</f>
        <v>774</v>
      </c>
      <c r="AX27" s="41">
        <f>K27+L27</f>
        <v>1091</v>
      </c>
      <c r="AY27" s="41">
        <f>M27+N27</f>
        <v>1166</v>
      </c>
      <c r="AZ27" s="41">
        <f>O27+P27</f>
        <v>1497</v>
      </c>
      <c r="BA27" s="41">
        <f>Q27+R27</f>
        <v>122</v>
      </c>
      <c r="BB27" s="41">
        <f>S27+T27</f>
        <v>264</v>
      </c>
      <c r="BC27" s="41">
        <f>U27+V27</f>
        <v>233</v>
      </c>
      <c r="BD27" s="41">
        <f>W27+X27</f>
        <v>291</v>
      </c>
      <c r="BE27" s="41">
        <f>Y27+Z27</f>
        <v>109</v>
      </c>
      <c r="BF27" s="41">
        <f>AA27+AB27</f>
        <v>183</v>
      </c>
      <c r="BG27" s="41">
        <f>AC27+AD27</f>
        <v>275</v>
      </c>
      <c r="BH27" s="41">
        <f>AE27+AF27</f>
        <v>130</v>
      </c>
      <c r="BI27" s="42">
        <f>AG27+AH27</f>
        <v>428</v>
      </c>
      <c r="BJ27" s="41">
        <f>AI27+AJ27</f>
        <v>135.85999999999999</v>
      </c>
      <c r="BK27" s="41">
        <f>AK27+AL27</f>
        <v>132.73900900000001</v>
      </c>
      <c r="BL27" s="41">
        <f>AM27+AN27</f>
        <v>148.15016990747503</v>
      </c>
      <c r="BM27" s="41">
        <f>AO27+AP27</f>
        <v>164.70357678272109</v>
      </c>
      <c r="BN27" s="41">
        <f>AQ27+AR27</f>
        <v>182.33680140101006</v>
      </c>
    </row>
    <row r="28" spans="1:68" s="9" customFormat="1" ht="12" customHeight="1" outlineLevel="1">
      <c r="A28" s="91" t="s">
        <v>1300</v>
      </c>
      <c r="B28" s="9" t="s">
        <v>35</v>
      </c>
      <c r="C28" s="22">
        <v>3105</v>
      </c>
      <c r="D28" s="22">
        <f>6638-C28</f>
        <v>3533</v>
      </c>
      <c r="E28" s="22">
        <v>3661</v>
      </c>
      <c r="F28" s="22">
        <f>7665-E28</f>
        <v>4004</v>
      </c>
      <c r="G28" s="22">
        <v>3243</v>
      </c>
      <c r="H28" s="22">
        <f>6963-G28</f>
        <v>3720</v>
      </c>
      <c r="I28" s="22">
        <v>3054</v>
      </c>
      <c r="J28" s="22">
        <v>3603</v>
      </c>
      <c r="K28" s="22">
        <v>3679</v>
      </c>
      <c r="L28" s="22">
        <v>4453</v>
      </c>
      <c r="M28" s="22">
        <v>4284</v>
      </c>
      <c r="N28" s="22">
        <v>4978</v>
      </c>
      <c r="O28" s="22">
        <v>5318</v>
      </c>
      <c r="P28" s="22">
        <v>4817</v>
      </c>
      <c r="Q28" s="22">
        <v>5218</v>
      </c>
      <c r="R28" s="22">
        <v>5146</v>
      </c>
      <c r="S28" s="22">
        <v>5397</v>
      </c>
      <c r="T28" s="22">
        <v>5523</v>
      </c>
      <c r="U28" s="22">
        <v>5830</v>
      </c>
      <c r="V28" s="22">
        <v>6924</v>
      </c>
      <c r="W28" s="22">
        <v>6320</v>
      </c>
      <c r="X28" s="22">
        <v>6005</v>
      </c>
      <c r="Y28" s="22">
        <v>5519</v>
      </c>
      <c r="Z28" s="22">
        <v>7255</v>
      </c>
      <c r="AA28" s="22">
        <v>7804</v>
      </c>
      <c r="AB28" s="22">
        <v>9520</v>
      </c>
      <c r="AC28" s="22">
        <v>8624</v>
      </c>
      <c r="AD28" s="22">
        <v>10498</v>
      </c>
      <c r="AE28" s="22">
        <v>7910</v>
      </c>
      <c r="AF28" s="22">
        <v>8977</v>
      </c>
      <c r="AG28" s="22">
        <v>8216</v>
      </c>
      <c r="AH28" s="22">
        <v>8992</v>
      </c>
      <c r="AI28" s="23">
        <v>8691</v>
      </c>
      <c r="AJ28" s="17">
        <f t="shared" ref="AJ28:AR28" si="180">+AJ12+AJ20+AJ21+AJ22+AJ23+AJ27+AJ24+AJ25+AJ26</f>
        <v>9972.1915088020978</v>
      </c>
      <c r="AK28" s="17">
        <f t="shared" si="180"/>
        <v>9161.1574374384654</v>
      </c>
      <c r="AL28" s="17">
        <f t="shared" si="180"/>
        <v>9621.1345036601469</v>
      </c>
      <c r="AM28" s="17">
        <f t="shared" si="180"/>
        <v>9633.7862447486623</v>
      </c>
      <c r="AN28" s="17">
        <f t="shared" si="180"/>
        <v>10208.538467024999</v>
      </c>
      <c r="AO28" s="17">
        <f t="shared" si="180"/>
        <v>10071.008370174872</v>
      </c>
      <c r="AP28" s="17">
        <f t="shared" si="180"/>
        <v>10616.745571813393</v>
      </c>
      <c r="AQ28" s="17">
        <f t="shared" si="180"/>
        <v>10519.149956391295</v>
      </c>
      <c r="AR28" s="17">
        <f t="shared" si="180"/>
        <v>10978.63240979024</v>
      </c>
      <c r="AT28" s="17">
        <f t="shared" ref="AT28:BE28" si="181">+AT12+AT20+AT21+AT22+AT23+AT27+AT24+AT25+AT26</f>
        <v>6638</v>
      </c>
      <c r="AU28" s="17">
        <f t="shared" si="181"/>
        <v>7665</v>
      </c>
      <c r="AV28" s="17">
        <f t="shared" si="181"/>
        <v>6963</v>
      </c>
      <c r="AW28" s="17">
        <f t="shared" si="181"/>
        <v>6657</v>
      </c>
      <c r="AX28" s="17">
        <f t="shared" si="181"/>
        <v>8132</v>
      </c>
      <c r="AY28" s="17">
        <f t="shared" si="181"/>
        <v>9262</v>
      </c>
      <c r="AZ28" s="17">
        <f t="shared" si="181"/>
        <v>10135</v>
      </c>
      <c r="BA28" s="17">
        <f t="shared" si="181"/>
        <v>10364</v>
      </c>
      <c r="BB28" s="17">
        <f t="shared" si="181"/>
        <v>10920</v>
      </c>
      <c r="BC28" s="17">
        <f t="shared" si="181"/>
        <v>12754</v>
      </c>
      <c r="BD28" s="17">
        <f t="shared" si="181"/>
        <v>12325</v>
      </c>
      <c r="BE28" s="17">
        <f t="shared" si="181"/>
        <v>12774</v>
      </c>
      <c r="BF28" s="17">
        <f>+BF12+BF20+BF21+BF22+BF23+BF27+BF24+BF25+BF26</f>
        <v>17324</v>
      </c>
      <c r="BG28" s="17">
        <f t="shared" ref="BG28:BI28" si="182">+BG12+BG20+BG21+BG22+BG23+BG27+BG24+BG25+BG26</f>
        <v>19122</v>
      </c>
      <c r="BH28" s="17">
        <f t="shared" si="182"/>
        <v>16887</v>
      </c>
      <c r="BI28" s="18">
        <f t="shared" si="182"/>
        <v>17208</v>
      </c>
      <c r="BJ28" s="17">
        <f>+BJ12+BJ20+BJ21+BJ22+BJ23+BJ27+BJ24+BJ25+BJ26</f>
        <v>18663.191508802098</v>
      </c>
      <c r="BK28" s="17">
        <f t="shared" ref="BK28:BN28" si="183">+BK12+BK20+BK21+BK22+BK23+BK27+BK24+BK25+BK26</f>
        <v>18782.291941098607</v>
      </c>
      <c r="BL28" s="17">
        <f t="shared" si="183"/>
        <v>19842.324711773665</v>
      </c>
      <c r="BM28" s="17">
        <f t="shared" si="183"/>
        <v>20687.753941988271</v>
      </c>
      <c r="BN28" s="17">
        <f t="shared" si="183"/>
        <v>21497.782366181531</v>
      </c>
      <c r="BP28" s="17">
        <f>+BK28-BJ28</f>
        <v>119.1004322965091</v>
      </c>
    </row>
    <row r="29" spans="1:68" ht="12" customHeight="1" outlineLevel="1">
      <c r="A29" s="91" t="s">
        <v>1301</v>
      </c>
      <c r="B29" s="1" t="s">
        <v>14</v>
      </c>
      <c r="C29" s="21">
        <v>-1509</v>
      </c>
      <c r="D29" s="21">
        <f>-3101-C29</f>
        <v>-1592</v>
      </c>
      <c r="E29" s="21">
        <v>-1896</v>
      </c>
      <c r="F29" s="21">
        <f>-3890-E29</f>
        <v>-1994</v>
      </c>
      <c r="G29" s="21">
        <v>-1652</v>
      </c>
      <c r="H29" s="21">
        <f>-3560-G29</f>
        <v>-1908</v>
      </c>
      <c r="I29" s="21">
        <f>-1538</f>
        <v>-1538</v>
      </c>
      <c r="J29" s="21">
        <f>-1735</f>
        <v>-1735</v>
      </c>
      <c r="K29" s="21">
        <v>-1730</v>
      </c>
      <c r="L29" s="21">
        <v>-2006</v>
      </c>
      <c r="M29" s="21">
        <v>-1944</v>
      </c>
      <c r="N29" s="21">
        <v>-2199</v>
      </c>
      <c r="O29" s="21">
        <v>-2263</v>
      </c>
      <c r="P29" s="21">
        <v>-1981</v>
      </c>
      <c r="Q29" s="21">
        <v>-2290</v>
      </c>
      <c r="R29" s="21">
        <v>-2089</v>
      </c>
      <c r="S29" s="21">
        <v>-2261</v>
      </c>
      <c r="T29" s="21">
        <v>-2232</v>
      </c>
      <c r="U29" s="21">
        <v>-2454</v>
      </c>
      <c r="V29" s="21">
        <v>-2763</v>
      </c>
      <c r="W29" s="21">
        <v>-2776</v>
      </c>
      <c r="X29" s="21">
        <v>-2547</v>
      </c>
      <c r="Y29" s="21">
        <v>-2615</v>
      </c>
      <c r="Z29" s="21">
        <v>-2902</v>
      </c>
      <c r="AA29" s="21">
        <v>-3164</v>
      </c>
      <c r="AB29" s="21">
        <v>-3561</v>
      </c>
      <c r="AC29" s="21">
        <v>-3613</v>
      </c>
      <c r="AD29" s="21">
        <v>-4090</v>
      </c>
      <c r="AE29" s="21">
        <v>-3734</v>
      </c>
      <c r="AF29" s="21">
        <v>-3989</v>
      </c>
      <c r="AG29" s="21">
        <v>-3756</v>
      </c>
      <c r="AH29" s="21">
        <v>-3904</v>
      </c>
      <c r="AI29" s="24">
        <v>-3956</v>
      </c>
      <c r="AJ29" s="19">
        <f t="shared" ref="AJ29:AR29" si="184">AJ97+AJ683+AJ175+AJ251+AJ327+AJ470</f>
        <v>-3930.0358010918389</v>
      </c>
      <c r="AK29" s="19">
        <f t="shared" si="184"/>
        <v>-3843.0549475595499</v>
      </c>
      <c r="AL29" s="19">
        <f t="shared" si="184"/>
        <v>-3975.8540863760973</v>
      </c>
      <c r="AM29" s="19">
        <f t="shared" si="184"/>
        <v>-4003.7130181637058</v>
      </c>
      <c r="AN29" s="19">
        <f t="shared" si="184"/>
        <v>-4129.2307063784301</v>
      </c>
      <c r="AO29" s="19">
        <f t="shared" si="184"/>
        <v>-4133.9471606595853</v>
      </c>
      <c r="AP29" s="19">
        <f t="shared" si="184"/>
        <v>-4244.5084290408931</v>
      </c>
      <c r="AQ29" s="19">
        <f t="shared" si="184"/>
        <v>-4264.2625531303675</v>
      </c>
      <c r="AR29" s="19">
        <f t="shared" si="184"/>
        <v>-4360.3685298019136</v>
      </c>
      <c r="AT29" s="41">
        <f>C29+D29</f>
        <v>-3101</v>
      </c>
      <c r="AU29" s="41">
        <f>E29+F29</f>
        <v>-3890</v>
      </c>
      <c r="AV29" s="41">
        <f>G29+H29</f>
        <v>-3560</v>
      </c>
      <c r="AW29" s="41">
        <f>I29+J29</f>
        <v>-3273</v>
      </c>
      <c r="AX29" s="41">
        <f>K29+L29</f>
        <v>-3736</v>
      </c>
      <c r="AY29" s="41">
        <f>M29+N29</f>
        <v>-4143</v>
      </c>
      <c r="AZ29" s="41">
        <f>O29+P29</f>
        <v>-4244</v>
      </c>
      <c r="BA29" s="41">
        <f>Q29+R29</f>
        <v>-4379</v>
      </c>
      <c r="BB29" s="41">
        <f>S29+T29</f>
        <v>-4493</v>
      </c>
      <c r="BC29" s="41">
        <f>U29+V29</f>
        <v>-5217</v>
      </c>
      <c r="BD29" s="41">
        <f>W29+X29</f>
        <v>-5323</v>
      </c>
      <c r="BE29" s="41">
        <f>Y29+Z29</f>
        <v>-5517</v>
      </c>
      <c r="BF29" s="41">
        <f>AA29+AB29</f>
        <v>-6725</v>
      </c>
      <c r="BG29" s="41">
        <f>AC29+AD29</f>
        <v>-7703</v>
      </c>
      <c r="BH29" s="41">
        <f>AE29+AF29</f>
        <v>-7723</v>
      </c>
      <c r="BI29" s="42">
        <f>AG29+AH29</f>
        <v>-7660</v>
      </c>
      <c r="BJ29" s="41">
        <f>AI29+AJ29</f>
        <v>-7886.0358010918389</v>
      </c>
      <c r="BK29" s="41">
        <f>AL29+AK29</f>
        <v>-7818.9090339356471</v>
      </c>
      <c r="BL29" s="41">
        <f>AN29+AM29</f>
        <v>-8132.9437245421359</v>
      </c>
      <c r="BM29" s="41">
        <f>AP29+AO29</f>
        <v>-8378.4555897004793</v>
      </c>
      <c r="BN29" s="41">
        <f>AR29+AQ29</f>
        <v>-8624.6310829322811</v>
      </c>
    </row>
    <row r="30" spans="1:68" ht="12" customHeight="1" outlineLevel="1">
      <c r="A30" s="91" t="s">
        <v>1302</v>
      </c>
      <c r="B30" s="1" t="s">
        <v>21</v>
      </c>
      <c r="C30" s="21">
        <v>-329</v>
      </c>
      <c r="D30" s="21">
        <f>-645-C30</f>
        <v>-316</v>
      </c>
      <c r="E30" s="21">
        <v>-441</v>
      </c>
      <c r="F30" s="21">
        <f>-785-E30</f>
        <v>-344</v>
      </c>
      <c r="G30" s="21">
        <v>-386</v>
      </c>
      <c r="H30" s="21">
        <f>-724-G30</f>
        <v>-338</v>
      </c>
      <c r="I30" s="21">
        <v>-320</v>
      </c>
      <c r="J30" s="21">
        <v>-284</v>
      </c>
      <c r="K30" s="21">
        <v>-379</v>
      </c>
      <c r="L30" s="21">
        <v>-400</v>
      </c>
      <c r="M30" s="21">
        <v>-387</v>
      </c>
      <c r="N30" s="21">
        <v>-437</v>
      </c>
      <c r="O30" s="21">
        <v>-444</v>
      </c>
      <c r="P30" s="21">
        <v>-448</v>
      </c>
      <c r="Q30" s="21">
        <v>-418</v>
      </c>
      <c r="R30" s="21">
        <v>-434</v>
      </c>
      <c r="S30" s="21">
        <v>-422</v>
      </c>
      <c r="T30" s="21">
        <v>-408</v>
      </c>
      <c r="U30" s="21">
        <v>-579</v>
      </c>
      <c r="V30" s="21">
        <v>-561</v>
      </c>
      <c r="W30" s="21">
        <v>-482</v>
      </c>
      <c r="X30" s="21">
        <v>-482</v>
      </c>
      <c r="Y30" s="21">
        <v>-471</v>
      </c>
      <c r="Z30" s="21">
        <v>-408</v>
      </c>
      <c r="AA30" s="21">
        <v>-498</v>
      </c>
      <c r="AB30" s="21">
        <v>-531</v>
      </c>
      <c r="AC30" s="21">
        <v>-500</v>
      </c>
      <c r="AD30" s="21">
        <v>-528</v>
      </c>
      <c r="AE30" s="21">
        <v>-529</v>
      </c>
      <c r="AF30" s="21">
        <v>-542</v>
      </c>
      <c r="AG30" s="21">
        <v>-580</v>
      </c>
      <c r="AH30" s="21">
        <v>-626</v>
      </c>
      <c r="AI30" s="24">
        <v>-628</v>
      </c>
      <c r="AJ30" s="19">
        <f t="shared" ref="AJ30:AR30" si="185">AJ98+AJ684+AJ176+AJ252+AJ328+AJ471</f>
        <v>-644.96629976080544</v>
      </c>
      <c r="AK30" s="19">
        <f t="shared" si="185"/>
        <v>-653.34575925511217</v>
      </c>
      <c r="AL30" s="19">
        <f t="shared" si="185"/>
        <v>-623.82472620162173</v>
      </c>
      <c r="AM30" s="19">
        <f t="shared" si="185"/>
        <v>-655.67131284859454</v>
      </c>
      <c r="AN30" s="19">
        <f t="shared" si="185"/>
        <v>-632.11193937638575</v>
      </c>
      <c r="AO30" s="19">
        <f t="shared" si="185"/>
        <v>-656.09628719081343</v>
      </c>
      <c r="AP30" s="19">
        <f t="shared" si="185"/>
        <v>-634.90346000207262</v>
      </c>
      <c r="AQ30" s="19">
        <f t="shared" si="185"/>
        <v>-660.30000659528378</v>
      </c>
      <c r="AR30" s="19">
        <f t="shared" si="185"/>
        <v>-636.77117491658657</v>
      </c>
      <c r="AT30" s="41">
        <f>C30+D30</f>
        <v>-645</v>
      </c>
      <c r="AU30" s="41">
        <f>E30+F30</f>
        <v>-785</v>
      </c>
      <c r="AV30" s="41">
        <f>G30+H30</f>
        <v>-724</v>
      </c>
      <c r="AW30" s="41">
        <f>I30+J30</f>
        <v>-604</v>
      </c>
      <c r="AX30" s="41">
        <f>K30+L30</f>
        <v>-779</v>
      </c>
      <c r="AY30" s="41">
        <f>M30+N30</f>
        <v>-824</v>
      </c>
      <c r="AZ30" s="41">
        <f>O30+P30</f>
        <v>-892</v>
      </c>
      <c r="BA30" s="41">
        <f>Q30+R30</f>
        <v>-852</v>
      </c>
      <c r="BB30" s="41">
        <f>S30+T30</f>
        <v>-830</v>
      </c>
      <c r="BC30" s="41">
        <f>U30+V30</f>
        <v>-1140</v>
      </c>
      <c r="BD30" s="41">
        <f>W30+X30</f>
        <v>-964</v>
      </c>
      <c r="BE30" s="41">
        <f>Y30+Z30</f>
        <v>-879</v>
      </c>
      <c r="BF30" s="41">
        <f>AA30+AB30</f>
        <v>-1029</v>
      </c>
      <c r="BG30" s="41">
        <f>AC30+AD30</f>
        <v>-1028</v>
      </c>
      <c r="BH30" s="41">
        <f>AE30+AF30</f>
        <v>-1071</v>
      </c>
      <c r="BI30" s="42">
        <f>AG30+AH30</f>
        <v>-1206</v>
      </c>
      <c r="BJ30" s="41">
        <f>AI30+AJ30</f>
        <v>-1272.9662997608054</v>
      </c>
      <c r="BK30" s="41">
        <f>AK30+AL30</f>
        <v>-1277.1704854567338</v>
      </c>
      <c r="BL30" s="41">
        <f>AM30+AN30</f>
        <v>-1287.7832522249803</v>
      </c>
      <c r="BM30" s="41">
        <f>AO30+AP30</f>
        <v>-1290.9997471928859</v>
      </c>
      <c r="BN30" s="41">
        <f>AQ30+AR30</f>
        <v>-1297.0711815118702</v>
      </c>
    </row>
    <row r="31" spans="1:68" ht="12" customHeight="1" outlineLevel="1">
      <c r="A31" s="91" t="s">
        <v>1303</v>
      </c>
      <c r="B31" s="1" t="s">
        <v>11</v>
      </c>
      <c r="C31" s="21">
        <f>-2573-C29-C30</f>
        <v>-735</v>
      </c>
      <c r="D31" s="21">
        <f>-5344-D29-D30-C29-C30-C31</f>
        <v>-863</v>
      </c>
      <c r="E31" s="21">
        <f>-3165-E29-E30</f>
        <v>-828</v>
      </c>
      <c r="F31" s="21">
        <f>-6394-F29-F30-E31-E30-E29</f>
        <v>-891</v>
      </c>
      <c r="G31" s="21">
        <f>-2828-G29-G30</f>
        <v>-790</v>
      </c>
      <c r="H31" s="21">
        <f>-5914-H29-H30-G31-G30-G29</f>
        <v>-840</v>
      </c>
      <c r="I31" s="21">
        <f>-2537-I29-I30</f>
        <v>-679</v>
      </c>
      <c r="J31" s="21">
        <f>-2715-J29-J30</f>
        <v>-696</v>
      </c>
      <c r="K31" s="21">
        <f>-2869-K29-K30</f>
        <v>-760</v>
      </c>
      <c r="L31" s="21">
        <f>-3157-L29-L30</f>
        <v>-751</v>
      </c>
      <c r="M31" s="21">
        <f>-3163-M29-M30</f>
        <v>-832</v>
      </c>
      <c r="N31" s="21">
        <f>-3577-N29-N30</f>
        <v>-941</v>
      </c>
      <c r="O31" s="21">
        <f>-3699-O29-O30</f>
        <v>-992</v>
      </c>
      <c r="P31" s="21">
        <f>-3421-P29-P30</f>
        <v>-992</v>
      </c>
      <c r="Q31" s="21">
        <f>-3733-Q29-Q30</f>
        <v>-1025</v>
      </c>
      <c r="R31" s="21">
        <f>-3527-R29-R30</f>
        <v>-1004</v>
      </c>
      <c r="S31" s="21">
        <f>-3693-S29-S30</f>
        <v>-1010</v>
      </c>
      <c r="T31" s="21">
        <f>-3763-T29-T30</f>
        <v>-1123</v>
      </c>
      <c r="U31" s="21">
        <f>-4125-U29-U30</f>
        <v>-1092</v>
      </c>
      <c r="V31" s="21">
        <f>-4762-V29-V30</f>
        <v>-1438</v>
      </c>
      <c r="W31" s="21">
        <f>-4480-W29-W30</f>
        <v>-1222</v>
      </c>
      <c r="X31" s="21">
        <f>-4391-X29-X30</f>
        <v>-1362</v>
      </c>
      <c r="Y31" s="21">
        <f>-4266-Y29-Y30</f>
        <v>-1180</v>
      </c>
      <c r="Z31" s="21">
        <f>-186-386-719</f>
        <v>-1291</v>
      </c>
      <c r="AA31" s="21">
        <f>-417-990</f>
        <v>-1407</v>
      </c>
      <c r="AB31" s="21">
        <f>-509-1115</f>
        <v>-1624</v>
      </c>
      <c r="AC31" s="21">
        <f>-938-545</f>
        <v>-1483</v>
      </c>
      <c r="AD31" s="21">
        <f>-547-1369</f>
        <v>-1916</v>
      </c>
      <c r="AE31" s="21">
        <f>-594-1062</f>
        <v>-1656</v>
      </c>
      <c r="AF31" s="21">
        <f>-569-1042</f>
        <v>-1611</v>
      </c>
      <c r="AG31" s="21">
        <f>-575-1008</f>
        <v>-1583</v>
      </c>
      <c r="AH31" s="21">
        <f>-625-1066</f>
        <v>-1691</v>
      </c>
      <c r="AI31" s="24">
        <f>-634-1021</f>
        <v>-1655</v>
      </c>
      <c r="AJ31" s="19">
        <f t="shared" ref="AJ31:AR31" si="186">AJ99+AJ685+AJ177+AJ253+AJ329+AJ472</f>
        <v>-1788.7778991473542</v>
      </c>
      <c r="AK31" s="19">
        <f t="shared" si="186"/>
        <v>-1586.0567931853384</v>
      </c>
      <c r="AL31" s="19">
        <f t="shared" si="186"/>
        <v>-1791.2690374222789</v>
      </c>
      <c r="AM31" s="19">
        <f t="shared" si="186"/>
        <v>-1620.7530377377002</v>
      </c>
      <c r="AN31" s="19">
        <f t="shared" si="186"/>
        <v>-1837.311009370183</v>
      </c>
      <c r="AO31" s="19">
        <f t="shared" si="186"/>
        <v>-1694.1983853839752</v>
      </c>
      <c r="AP31" s="19">
        <f t="shared" si="186"/>
        <v>-1933.6980098735953</v>
      </c>
      <c r="AQ31" s="19">
        <f t="shared" si="186"/>
        <v>-1770.4171330888407</v>
      </c>
      <c r="AR31" s="19">
        <f t="shared" si="186"/>
        <v>-2037.3962659128479</v>
      </c>
      <c r="AT31" s="41">
        <f>C31+D31</f>
        <v>-1598</v>
      </c>
      <c r="AU31" s="41">
        <f>E31+F31</f>
        <v>-1719</v>
      </c>
      <c r="AV31" s="41">
        <f>G31+H31</f>
        <v>-1630</v>
      </c>
      <c r="AW31" s="41">
        <f>I31+J31</f>
        <v>-1375</v>
      </c>
      <c r="AX31" s="41">
        <f>K31+L31</f>
        <v>-1511</v>
      </c>
      <c r="AY31" s="41">
        <f>M31+N31</f>
        <v>-1773</v>
      </c>
      <c r="AZ31" s="41">
        <f>O31+P31</f>
        <v>-1984</v>
      </c>
      <c r="BA31" s="41">
        <f>Q31+R31</f>
        <v>-2029</v>
      </c>
      <c r="BB31" s="41">
        <f>S31+T31</f>
        <v>-2133</v>
      </c>
      <c r="BC31" s="41">
        <f>U31+V31</f>
        <v>-2530</v>
      </c>
      <c r="BD31" s="41">
        <f>W31+X31</f>
        <v>-2584</v>
      </c>
      <c r="BE31" s="41">
        <f>Y31+Z31</f>
        <v>-2471</v>
      </c>
      <c r="BF31" s="41">
        <f>AA31+AB31</f>
        <v>-3031</v>
      </c>
      <c r="BG31" s="41">
        <f>AC31+AD31</f>
        <v>-3399</v>
      </c>
      <c r="BH31" s="41">
        <f>AE31+AF31</f>
        <v>-3267</v>
      </c>
      <c r="BI31" s="42">
        <f>AG31+AH31</f>
        <v>-3274</v>
      </c>
      <c r="BJ31" s="41">
        <f>AI31+AJ31</f>
        <v>-3443.7778991473542</v>
      </c>
      <c r="BK31" s="41">
        <f>AK31+AL31</f>
        <v>-3377.3258306076173</v>
      </c>
      <c r="BL31" s="41">
        <f>AM31+AN31</f>
        <v>-3458.0640471078832</v>
      </c>
      <c r="BM31" s="41">
        <f>AO31+AP31</f>
        <v>-3627.8963952575705</v>
      </c>
      <c r="BN31" s="41">
        <f>AQ31+AR31</f>
        <v>-3807.8133990016886</v>
      </c>
    </row>
    <row r="32" spans="1:68" s="9" customFormat="1" ht="12" customHeight="1" outlineLevel="1">
      <c r="A32" s="91" t="s">
        <v>1304</v>
      </c>
      <c r="B32" s="9" t="s">
        <v>52</v>
      </c>
      <c r="C32" s="17">
        <f t="shared" ref="C32:H32" si="187">C28+C29+C30+C31</f>
        <v>532</v>
      </c>
      <c r="D32" s="17">
        <f t="shared" si="187"/>
        <v>762</v>
      </c>
      <c r="E32" s="17">
        <f t="shared" si="187"/>
        <v>496</v>
      </c>
      <c r="F32" s="17">
        <f t="shared" si="187"/>
        <v>775</v>
      </c>
      <c r="G32" s="17">
        <f t="shared" si="187"/>
        <v>415</v>
      </c>
      <c r="H32" s="17">
        <f t="shared" si="187"/>
        <v>634</v>
      </c>
      <c r="I32" s="17">
        <f>I28+I29+I30+I31</f>
        <v>517</v>
      </c>
      <c r="J32" s="17">
        <f>J28+J29+J30+J31</f>
        <v>888</v>
      </c>
      <c r="K32" s="17">
        <f>K28+K29+K30+K31</f>
        <v>810</v>
      </c>
      <c r="L32" s="17">
        <f t="shared" ref="L32:N32" si="188">L28+L29+L30+L31</f>
        <v>1296</v>
      </c>
      <c r="M32" s="17">
        <f t="shared" ref="M32" si="189">M28+M29+M30+M31</f>
        <v>1121</v>
      </c>
      <c r="N32" s="17">
        <f t="shared" si="188"/>
        <v>1401</v>
      </c>
      <c r="O32" s="17">
        <f t="shared" ref="O32" si="190">O28+O29+O30+O31</f>
        <v>1619</v>
      </c>
      <c r="P32" s="17">
        <f t="shared" ref="P32:Q32" si="191">SUM(P28:P31)</f>
        <v>1396</v>
      </c>
      <c r="Q32" s="17">
        <f t="shared" si="191"/>
        <v>1485</v>
      </c>
      <c r="R32" s="17">
        <f t="shared" ref="R32:S32" si="192">SUM(R28:R31)</f>
        <v>1619</v>
      </c>
      <c r="S32" s="17">
        <f t="shared" si="192"/>
        <v>1704</v>
      </c>
      <c r="T32" s="17">
        <f t="shared" ref="T32:U32" si="193">SUM(T28:T31)</f>
        <v>1760</v>
      </c>
      <c r="U32" s="17">
        <f t="shared" si="193"/>
        <v>1705</v>
      </c>
      <c r="V32" s="17">
        <f t="shared" ref="V32" si="194">SUM(V28:V31)</f>
        <v>2162</v>
      </c>
      <c r="W32" s="17">
        <f t="shared" ref="W32:X32" si="195">SUM(W28:W31)</f>
        <v>1840</v>
      </c>
      <c r="X32" s="17">
        <f t="shared" si="195"/>
        <v>1614</v>
      </c>
      <c r="Y32" s="17">
        <f t="shared" ref="Y32:Z32" si="196">SUM(Y28:Y31)</f>
        <v>1253</v>
      </c>
      <c r="Z32" s="17">
        <f t="shared" si="196"/>
        <v>2654</v>
      </c>
      <c r="AA32" s="17">
        <f t="shared" ref="AA32:AB32" si="197">SUM(AA28:AA31)</f>
        <v>2735</v>
      </c>
      <c r="AB32" s="17">
        <f t="shared" si="197"/>
        <v>3804</v>
      </c>
      <c r="AC32" s="17">
        <f t="shared" ref="AC32:AD32" si="198">SUM(AC28:AC31)</f>
        <v>3028</v>
      </c>
      <c r="AD32" s="17">
        <f t="shared" si="198"/>
        <v>3964</v>
      </c>
      <c r="AE32" s="17">
        <f t="shared" ref="AE32:AF32" si="199">SUM(AE28:AE31)</f>
        <v>1991</v>
      </c>
      <c r="AF32" s="17">
        <f t="shared" si="199"/>
        <v>2835</v>
      </c>
      <c r="AG32" s="17">
        <f t="shared" ref="AG32:AI32" si="200">SUM(AG28:AG31)</f>
        <v>2297</v>
      </c>
      <c r="AH32" s="17">
        <f t="shared" si="200"/>
        <v>2771</v>
      </c>
      <c r="AI32" s="18">
        <f t="shared" si="200"/>
        <v>2452</v>
      </c>
      <c r="AJ32" s="17">
        <f t="shared" ref="AJ32" si="201">AJ28+AJ29+AJ30+AJ31</f>
        <v>3608.411508802099</v>
      </c>
      <c r="AK32" s="17">
        <f t="shared" ref="AK32:AL32" si="202">AK28+AK29+AK30+AK31</f>
        <v>3078.699937438465</v>
      </c>
      <c r="AL32" s="17">
        <f t="shared" si="202"/>
        <v>3230.1866536601487</v>
      </c>
      <c r="AM32" s="17">
        <f t="shared" ref="AM32:AN32" si="203">AM28+AM29+AM30+AM31</f>
        <v>3353.6488759986619</v>
      </c>
      <c r="AN32" s="17">
        <f t="shared" si="203"/>
        <v>3609.8848118999999</v>
      </c>
      <c r="AO32" s="17">
        <f t="shared" ref="AO32:AP32" si="204">AO28+AO29+AO30+AO31</f>
        <v>3586.7665369404981</v>
      </c>
      <c r="AP32" s="17">
        <f t="shared" si="204"/>
        <v>3803.6356728968326</v>
      </c>
      <c r="AQ32" s="17">
        <f t="shared" ref="AQ32:AR32" si="205">AQ28+AQ29+AQ30+AQ31</f>
        <v>3824.1702635768029</v>
      </c>
      <c r="AR32" s="17">
        <f t="shared" si="205"/>
        <v>3944.0964391588918</v>
      </c>
      <c r="AT32" s="39">
        <f t="shared" ref="AT32:BB32" si="206">AT28+AT29+AT30+AT31</f>
        <v>1294</v>
      </c>
      <c r="AU32" s="39">
        <f t="shared" si="206"/>
        <v>1271</v>
      </c>
      <c r="AV32" s="39">
        <f t="shared" si="206"/>
        <v>1049</v>
      </c>
      <c r="AW32" s="39">
        <f t="shared" si="206"/>
        <v>1405</v>
      </c>
      <c r="AX32" s="39">
        <f t="shared" si="206"/>
        <v>2106</v>
      </c>
      <c r="AY32" s="39">
        <f t="shared" si="206"/>
        <v>2522</v>
      </c>
      <c r="AZ32" s="39">
        <f t="shared" si="206"/>
        <v>3015</v>
      </c>
      <c r="BA32" s="39">
        <f t="shared" si="206"/>
        <v>3104</v>
      </c>
      <c r="BB32" s="39">
        <f t="shared" si="206"/>
        <v>3464</v>
      </c>
      <c r="BC32" s="39">
        <f t="shared" ref="BC32" si="207">BC28+BC29+BC30+BC31</f>
        <v>3867</v>
      </c>
      <c r="BD32" s="39">
        <f t="shared" ref="BD32:BI32" si="208">BD28+BD29+BD30+BD31</f>
        <v>3454</v>
      </c>
      <c r="BE32" s="39">
        <f t="shared" si="208"/>
        <v>3907</v>
      </c>
      <c r="BF32" s="39">
        <f t="shared" si="208"/>
        <v>6539</v>
      </c>
      <c r="BG32" s="39">
        <f t="shared" si="208"/>
        <v>6992</v>
      </c>
      <c r="BH32" s="39">
        <f t="shared" si="208"/>
        <v>4826</v>
      </c>
      <c r="BI32" s="40">
        <f t="shared" si="208"/>
        <v>5068</v>
      </c>
      <c r="BJ32" s="39">
        <f t="shared" ref="BJ32:BK32" si="209">BJ28+BJ29+BJ30+BJ31</f>
        <v>6060.4115088020999</v>
      </c>
      <c r="BK32" s="39">
        <f t="shared" si="209"/>
        <v>6308.8865910986078</v>
      </c>
      <c r="BL32" s="39">
        <f t="shared" ref="BL32:BM32" si="210">BL28+BL29+BL30+BL31</f>
        <v>6963.5336878986645</v>
      </c>
      <c r="BM32" s="39">
        <f t="shared" si="210"/>
        <v>7390.4022098373352</v>
      </c>
      <c r="BN32" s="39">
        <f>BN28+BN29+BN30+BN31</f>
        <v>7768.2667027356911</v>
      </c>
      <c r="BP32" s="17">
        <f>+BK32-BJ32</f>
        <v>248.47508229650794</v>
      </c>
    </row>
    <row r="33" spans="1:68" ht="12" customHeight="1" outlineLevel="1">
      <c r="A33" s="91" t="s">
        <v>1305</v>
      </c>
      <c r="B33" s="1" t="s">
        <v>15</v>
      </c>
      <c r="C33" s="21">
        <v>-36</v>
      </c>
      <c r="D33" s="21">
        <f>-201-C33</f>
        <v>-165</v>
      </c>
      <c r="E33" s="21">
        <v>-85</v>
      </c>
      <c r="F33" s="21">
        <f>-282-E33</f>
        <v>-197</v>
      </c>
      <c r="G33" s="21">
        <v>-107</v>
      </c>
      <c r="H33" s="21">
        <f>-287-G33</f>
        <v>-180</v>
      </c>
      <c r="I33" s="21">
        <v>-156</v>
      </c>
      <c r="J33" s="21">
        <v>-377</v>
      </c>
      <c r="K33" s="21">
        <v>-307</v>
      </c>
      <c r="L33" s="21">
        <v>-520</v>
      </c>
      <c r="M33" s="21">
        <v>-432</v>
      </c>
      <c r="N33" s="21">
        <v>-467</v>
      </c>
      <c r="O33" s="21">
        <v>-530</v>
      </c>
      <c r="P33" s="21">
        <v>-397</v>
      </c>
      <c r="Q33" s="21">
        <v>-438</v>
      </c>
      <c r="R33" s="21">
        <v>-430</v>
      </c>
      <c r="S33" s="21">
        <v>-448</v>
      </c>
      <c r="T33" s="21">
        <v>-435</v>
      </c>
      <c r="U33" s="21">
        <v>-374</v>
      </c>
      <c r="V33" s="21">
        <v>-505</v>
      </c>
      <c r="W33" s="21">
        <v>-376</v>
      </c>
      <c r="X33" s="21">
        <v>-352</v>
      </c>
      <c r="Y33" s="21">
        <v>-275</v>
      </c>
      <c r="Z33" s="21">
        <v>-624</v>
      </c>
      <c r="AA33" s="21">
        <v>-603</v>
      </c>
      <c r="AB33" s="21">
        <v>-983</v>
      </c>
      <c r="AC33" s="21">
        <v>-735</v>
      </c>
      <c r="AD33" s="21">
        <v>-1089</v>
      </c>
      <c r="AE33" s="21">
        <v>-587</v>
      </c>
      <c r="AF33" s="21">
        <v>-704</v>
      </c>
      <c r="AG33" s="21">
        <v>-686</v>
      </c>
      <c r="AH33" s="21">
        <v>-640</v>
      </c>
      <c r="AI33" s="24">
        <v>-771</v>
      </c>
      <c r="AJ33" s="19">
        <f t="shared" ref="AJ33:AR33" si="211">-(AJ32)*AJ67</f>
        <v>-1082.5234526406296</v>
      </c>
      <c r="AK33" s="19">
        <f t="shared" si="211"/>
        <v>-923.60998123153945</v>
      </c>
      <c r="AL33" s="19">
        <f t="shared" si="211"/>
        <v>-742.9429303418342</v>
      </c>
      <c r="AM33" s="19">
        <f t="shared" si="211"/>
        <v>-1006.0946627995985</v>
      </c>
      <c r="AN33" s="19">
        <f t="shared" si="211"/>
        <v>-830.27350673700005</v>
      </c>
      <c r="AO33" s="19">
        <f t="shared" si="211"/>
        <v>-1076.0299610821494</v>
      </c>
      <c r="AP33" s="19">
        <f t="shared" si="211"/>
        <v>-874.83620476627152</v>
      </c>
      <c r="AQ33" s="19">
        <f t="shared" si="211"/>
        <v>-1147.2510790730407</v>
      </c>
      <c r="AR33" s="19">
        <f t="shared" si="211"/>
        <v>-907.14218100654512</v>
      </c>
      <c r="AT33" s="41">
        <f>C33+D33</f>
        <v>-201</v>
      </c>
      <c r="AU33" s="41">
        <f>E33+F33</f>
        <v>-282</v>
      </c>
      <c r="AV33" s="41">
        <f>G33+H33</f>
        <v>-287</v>
      </c>
      <c r="AW33" s="41">
        <f>I33+J33</f>
        <v>-533</v>
      </c>
      <c r="AX33" s="41">
        <f>K33+L33</f>
        <v>-827</v>
      </c>
      <c r="AY33" s="41">
        <f>M33+N33</f>
        <v>-899</v>
      </c>
      <c r="AZ33" s="41">
        <f>O33+P33</f>
        <v>-927</v>
      </c>
      <c r="BA33" s="41">
        <f>Q33+R33</f>
        <v>-868</v>
      </c>
      <c r="BB33" s="41">
        <f>S33+T33</f>
        <v>-883</v>
      </c>
      <c r="BC33" s="41">
        <f>U33+V33</f>
        <v>-879</v>
      </c>
      <c r="BD33" s="41">
        <f>W33+X33</f>
        <v>-728</v>
      </c>
      <c r="BE33" s="41">
        <f>Y33+Z33</f>
        <v>-899</v>
      </c>
      <c r="BF33" s="41">
        <f>AA33+AB33</f>
        <v>-1586</v>
      </c>
      <c r="BG33" s="41">
        <f>AC33+AD33</f>
        <v>-1824</v>
      </c>
      <c r="BH33" s="41">
        <f>AE33+AF33</f>
        <v>-1291</v>
      </c>
      <c r="BI33" s="42">
        <f>AG33+AH33</f>
        <v>-1326</v>
      </c>
      <c r="BJ33" s="41">
        <f>AI33+AJ33</f>
        <v>-1853.5234526406296</v>
      </c>
      <c r="BK33" s="41">
        <f>AL33+AK33</f>
        <v>-1666.5529115733736</v>
      </c>
      <c r="BL33" s="41">
        <f>AN33+AM33</f>
        <v>-1836.3681695365985</v>
      </c>
      <c r="BM33" s="41">
        <f>AP33+AO33</f>
        <v>-1950.8661658484209</v>
      </c>
      <c r="BN33" s="41">
        <f>AR33+AQ33</f>
        <v>-2054.3932600795861</v>
      </c>
      <c r="BP33" s="17">
        <f>+BK33-BJ33</f>
        <v>186.97054106725591</v>
      </c>
    </row>
    <row r="34" spans="1:68" ht="12" customHeight="1" outlineLevel="1">
      <c r="A34" s="91" t="s">
        <v>1306</v>
      </c>
      <c r="B34" s="1" t="s">
        <v>16</v>
      </c>
      <c r="C34" s="21">
        <v>-17</v>
      </c>
      <c r="D34" s="21">
        <f>-43-C34</f>
        <v>-26</v>
      </c>
      <c r="E34" s="21">
        <v>-8</v>
      </c>
      <c r="F34" s="21">
        <f>-33-E34</f>
        <v>-25</v>
      </c>
      <c r="G34" s="21">
        <v>-3</v>
      </c>
      <c r="H34" s="21">
        <f>-32-G34</f>
        <v>-29</v>
      </c>
      <c r="I34" s="21">
        <v>0</v>
      </c>
      <c r="J34" s="21">
        <v>-21</v>
      </c>
      <c r="K34" s="21">
        <v>-2</v>
      </c>
      <c r="L34" s="21">
        <v>-12</v>
      </c>
      <c r="M34" s="21">
        <v>-11</v>
      </c>
      <c r="N34" s="21">
        <v>-8</v>
      </c>
      <c r="O34" s="21">
        <v>-19</v>
      </c>
      <c r="P34" s="21">
        <v>-6</v>
      </c>
      <c r="Q34" s="21">
        <v>3</v>
      </c>
      <c r="R34" s="21">
        <v>-22</v>
      </c>
      <c r="S34" s="21">
        <v>-8</v>
      </c>
      <c r="T34" s="21">
        <v>-16</v>
      </c>
      <c r="U34" s="21">
        <v>-21</v>
      </c>
      <c r="V34" s="21">
        <v>15</v>
      </c>
      <c r="W34" s="21">
        <v>-7</v>
      </c>
      <c r="X34" s="21">
        <v>12</v>
      </c>
      <c r="Y34" s="21">
        <v>7</v>
      </c>
      <c r="Z34" s="21">
        <v>0</v>
      </c>
      <c r="AA34" s="21">
        <v>-89</v>
      </c>
      <c r="AB34" s="21">
        <v>-158</v>
      </c>
      <c r="AC34" s="21">
        <v>12</v>
      </c>
      <c r="AD34" s="21">
        <v>2</v>
      </c>
      <c r="AE34" s="21">
        <v>11</v>
      </c>
      <c r="AF34" s="21">
        <v>-24</v>
      </c>
      <c r="AG34" s="21">
        <v>1</v>
      </c>
      <c r="AH34" s="21">
        <v>-28</v>
      </c>
      <c r="AI34" s="24">
        <v>-26</v>
      </c>
      <c r="AJ34" s="19">
        <f t="shared" ref="AJ34:AR34" si="212">AJ101+AJ687+AJ179+AJ255+AJ331+AJ475</f>
        <v>-26</v>
      </c>
      <c r="AK34" s="19">
        <f t="shared" si="212"/>
        <v>-26</v>
      </c>
      <c r="AL34" s="19">
        <f t="shared" si="212"/>
        <v>-26</v>
      </c>
      <c r="AM34" s="19">
        <f t="shared" si="212"/>
        <v>-26</v>
      </c>
      <c r="AN34" s="19">
        <f t="shared" si="212"/>
        <v>-26</v>
      </c>
      <c r="AO34" s="19">
        <f t="shared" si="212"/>
        <v>-26</v>
      </c>
      <c r="AP34" s="19">
        <f t="shared" si="212"/>
        <v>-26</v>
      </c>
      <c r="AQ34" s="19">
        <f t="shared" si="212"/>
        <v>-26</v>
      </c>
      <c r="AR34" s="19">
        <f t="shared" si="212"/>
        <v>-26</v>
      </c>
      <c r="AT34" s="41">
        <f>C34+D34</f>
        <v>-43</v>
      </c>
      <c r="AU34" s="41">
        <f>E34+F34</f>
        <v>-33</v>
      </c>
      <c r="AV34" s="41">
        <f>G34+H34</f>
        <v>-32</v>
      </c>
      <c r="AW34" s="41">
        <f>I34+J34</f>
        <v>-21</v>
      </c>
      <c r="AX34" s="41">
        <f>K34+L34</f>
        <v>-14</v>
      </c>
      <c r="AY34" s="41">
        <f>M34+N34</f>
        <v>-19</v>
      </c>
      <c r="AZ34" s="41">
        <f>O34+P34</f>
        <v>-25</v>
      </c>
      <c r="BA34" s="41">
        <f>Q34+R34</f>
        <v>-19</v>
      </c>
      <c r="BB34" s="41">
        <f>S34+T34</f>
        <v>-24</v>
      </c>
      <c r="BC34" s="41">
        <f>U34+V34</f>
        <v>-6</v>
      </c>
      <c r="BD34" s="41">
        <f>W34+X34</f>
        <v>5</v>
      </c>
      <c r="BE34" s="41">
        <f>Y34+Z34</f>
        <v>7</v>
      </c>
      <c r="BF34" s="41">
        <f>AA34+AB34</f>
        <v>-247</v>
      </c>
      <c r="BG34" s="41">
        <f>AC34+AD34</f>
        <v>14</v>
      </c>
      <c r="BH34" s="41">
        <f>AE34+AF34</f>
        <v>-13</v>
      </c>
      <c r="BI34" s="42">
        <f>AG34+AH34</f>
        <v>-27</v>
      </c>
      <c r="BJ34" s="41">
        <f>AI34+AJ34</f>
        <v>-52</v>
      </c>
      <c r="BK34" s="41">
        <f>AL34+AK34</f>
        <v>-52</v>
      </c>
      <c r="BL34" s="41">
        <f>AN34+AM34</f>
        <v>-52</v>
      </c>
      <c r="BM34" s="41">
        <f>AP34+AO34</f>
        <v>-52</v>
      </c>
      <c r="BN34" s="41">
        <f>AR34+AQ34</f>
        <v>-52</v>
      </c>
      <c r="BP34" s="17">
        <f>+BK34-BJ34</f>
        <v>0</v>
      </c>
    </row>
    <row r="35" spans="1:68" ht="12" customHeight="1" outlineLevel="1">
      <c r="A35" s="91" t="s">
        <v>1307</v>
      </c>
      <c r="B35" s="1" t="s">
        <v>159</v>
      </c>
      <c r="C35" s="21">
        <v>0</v>
      </c>
      <c r="D35" s="21">
        <v>0</v>
      </c>
      <c r="E35" s="21">
        <v>0</v>
      </c>
      <c r="F35" s="21">
        <v>0</v>
      </c>
      <c r="G35" s="21">
        <v>0</v>
      </c>
      <c r="H35" s="21">
        <v>0</v>
      </c>
      <c r="I35" s="21">
        <v>0</v>
      </c>
      <c r="J35" s="21">
        <v>0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>
        <v>0</v>
      </c>
      <c r="AI35" s="24">
        <v>0</v>
      </c>
      <c r="AJ35" s="19">
        <f t="shared" ref="AJ35" si="213">AJ476</f>
        <v>0</v>
      </c>
      <c r="AK35" s="19">
        <f t="shared" ref="AK35:AL35" si="214">AK476</f>
        <v>0</v>
      </c>
      <c r="AL35" s="19">
        <f t="shared" si="214"/>
        <v>0</v>
      </c>
      <c r="AM35" s="19">
        <f t="shared" ref="AM35:AN35" si="215">AM476</f>
        <v>0</v>
      </c>
      <c r="AN35" s="19">
        <f t="shared" si="215"/>
        <v>0</v>
      </c>
      <c r="AO35" s="19">
        <f t="shared" ref="AO35:AP35" si="216">AO476</f>
        <v>0</v>
      </c>
      <c r="AP35" s="19">
        <f t="shared" si="216"/>
        <v>0</v>
      </c>
      <c r="AQ35" s="19">
        <f t="shared" ref="AQ35:AR35" si="217">AQ476</f>
        <v>0</v>
      </c>
      <c r="AR35" s="19">
        <f t="shared" si="217"/>
        <v>0</v>
      </c>
      <c r="AT35" s="41">
        <f>C35+D35</f>
        <v>0</v>
      </c>
      <c r="AU35" s="41">
        <f>E35+F35</f>
        <v>0</v>
      </c>
      <c r="AV35" s="41">
        <f>G35+H35</f>
        <v>0</v>
      </c>
      <c r="AW35" s="41">
        <f>I35+J35</f>
        <v>0</v>
      </c>
      <c r="AX35" s="41">
        <f>K35+L35</f>
        <v>0</v>
      </c>
      <c r="AY35" s="41">
        <f>M35+N35</f>
        <v>0</v>
      </c>
      <c r="AZ35" s="41">
        <f>O35+P35</f>
        <v>0</v>
      </c>
      <c r="BA35" s="41">
        <f>Q35+R35</f>
        <v>0</v>
      </c>
      <c r="BB35" s="41">
        <f>S35+T35</f>
        <v>0</v>
      </c>
      <c r="BC35" s="41">
        <f>U35+V35</f>
        <v>0</v>
      </c>
      <c r="BD35" s="41">
        <f>W35+X35</f>
        <v>0</v>
      </c>
      <c r="BE35" s="41">
        <f>Y35+Z35</f>
        <v>0</v>
      </c>
      <c r="BF35" s="41">
        <f>AA35+AB35</f>
        <v>0</v>
      </c>
      <c r="BG35" s="41">
        <f>AC35+AD35</f>
        <v>0</v>
      </c>
      <c r="BH35" s="41">
        <f>AE35+AF35</f>
        <v>0</v>
      </c>
      <c r="BI35" s="42">
        <f>AG35+AH35</f>
        <v>0</v>
      </c>
      <c r="BJ35" s="41">
        <f>AI35+AJ35</f>
        <v>0</v>
      </c>
      <c r="BK35" s="41">
        <f>AK35+AL35</f>
        <v>0</v>
      </c>
      <c r="BL35" s="41">
        <f>AM35+AN35</f>
        <v>0</v>
      </c>
      <c r="BM35" s="41">
        <f>AO35+AP35</f>
        <v>0</v>
      </c>
      <c r="BN35" s="41">
        <f>AQ35+AR35</f>
        <v>0</v>
      </c>
    </row>
    <row r="36" spans="1:68" s="9" customFormat="1" ht="12" customHeight="1" outlineLevel="1">
      <c r="A36" s="91" t="s">
        <v>516</v>
      </c>
      <c r="B36" s="16" t="s">
        <v>128</v>
      </c>
      <c r="C36" s="17">
        <f t="shared" ref="C36:H36" si="218">C32+C33+C34+C35</f>
        <v>479</v>
      </c>
      <c r="D36" s="17">
        <f t="shared" si="218"/>
        <v>571</v>
      </c>
      <c r="E36" s="17">
        <f t="shared" si="218"/>
        <v>403</v>
      </c>
      <c r="F36" s="17">
        <f t="shared" si="218"/>
        <v>553</v>
      </c>
      <c r="G36" s="17">
        <f t="shared" si="218"/>
        <v>305</v>
      </c>
      <c r="H36" s="17">
        <f t="shared" si="218"/>
        <v>425</v>
      </c>
      <c r="I36" s="17">
        <f>I32+I33+I34+I35</f>
        <v>361</v>
      </c>
      <c r="J36" s="17">
        <f t="shared" ref="J36:P36" si="219">J32+J33+J34+J35</f>
        <v>490</v>
      </c>
      <c r="K36" s="17">
        <f t="shared" si="219"/>
        <v>501</v>
      </c>
      <c r="L36" s="17">
        <f t="shared" si="219"/>
        <v>764</v>
      </c>
      <c r="M36" s="17">
        <f t="shared" ref="M36" si="220">M32+M33+M34+M35</f>
        <v>678</v>
      </c>
      <c r="N36" s="17">
        <f t="shared" si="219"/>
        <v>926</v>
      </c>
      <c r="O36" s="17">
        <f t="shared" ref="O36" si="221">O32+O33+O34+O35</f>
        <v>1070</v>
      </c>
      <c r="P36" s="17">
        <f t="shared" si="219"/>
        <v>993</v>
      </c>
      <c r="Q36" s="17">
        <f t="shared" ref="Q36" si="222">Q32+Q33+Q34+Q35</f>
        <v>1050</v>
      </c>
      <c r="R36" s="17">
        <f t="shared" ref="R36:S36" si="223">R32+R33+R34+R35</f>
        <v>1167</v>
      </c>
      <c r="S36" s="17">
        <f t="shared" si="223"/>
        <v>1248</v>
      </c>
      <c r="T36" s="17">
        <f t="shared" ref="T36:U36" si="224">T32+T33+T34+T35</f>
        <v>1309</v>
      </c>
      <c r="U36" s="17">
        <f t="shared" si="224"/>
        <v>1310</v>
      </c>
      <c r="V36" s="17">
        <f t="shared" ref="V36" si="225">V32+V33+V34+V35</f>
        <v>1672</v>
      </c>
      <c r="W36" s="17">
        <f t="shared" ref="W36:X36" si="226">W32+W33+W34+W35</f>
        <v>1457</v>
      </c>
      <c r="X36" s="17">
        <f t="shared" si="226"/>
        <v>1274</v>
      </c>
      <c r="Y36" s="17">
        <f t="shared" ref="Y36:Z36" si="227">Y32+Y33+Y34+Y35</f>
        <v>985</v>
      </c>
      <c r="Z36" s="17">
        <f t="shared" si="227"/>
        <v>2030</v>
      </c>
      <c r="AA36" s="17">
        <f t="shared" ref="AA36:AB36" si="228">AA32+AA33+AA34+AA35</f>
        <v>2043</v>
      </c>
      <c r="AB36" s="17">
        <f t="shared" si="228"/>
        <v>2663</v>
      </c>
      <c r="AC36" s="17">
        <f t="shared" ref="AC36:AD36" si="229">AC32+AC33+AC34+AC35</f>
        <v>2305</v>
      </c>
      <c r="AD36" s="17">
        <f t="shared" si="229"/>
        <v>2877</v>
      </c>
      <c r="AE36" s="17">
        <f t="shared" ref="AE36:AF36" si="230">AE32+AE33+AE34+AE35</f>
        <v>1415</v>
      </c>
      <c r="AF36" s="17">
        <f t="shared" si="230"/>
        <v>2107</v>
      </c>
      <c r="AG36" s="17">
        <f t="shared" ref="AG36:AI36" si="231">AG32+AG33+AG34+AG35</f>
        <v>1612</v>
      </c>
      <c r="AH36" s="17">
        <f t="shared" si="231"/>
        <v>2103</v>
      </c>
      <c r="AI36" s="18">
        <f t="shared" si="231"/>
        <v>1655</v>
      </c>
      <c r="AJ36" s="17">
        <f t="shared" ref="AJ36" si="232">AJ32+AJ33+AJ34+AJ35</f>
        <v>2499.8880561614696</v>
      </c>
      <c r="AK36" s="17">
        <f t="shared" ref="AK36:AL36" si="233">AK32+AK33+AK34+AK35</f>
        <v>2129.0899562069253</v>
      </c>
      <c r="AL36" s="17">
        <f t="shared" si="233"/>
        <v>2461.2437233183146</v>
      </c>
      <c r="AM36" s="17">
        <f t="shared" ref="AM36:AN36" si="234">AM32+AM33+AM34+AM35</f>
        <v>2321.5542131990633</v>
      </c>
      <c r="AN36" s="17">
        <f t="shared" si="234"/>
        <v>2753.611305163</v>
      </c>
      <c r="AO36" s="17">
        <f t="shared" ref="AO36:AP36" si="235">AO32+AO33+AO34+AO35</f>
        <v>2484.7365758583487</v>
      </c>
      <c r="AP36" s="17">
        <f t="shared" si="235"/>
        <v>2902.7994681305609</v>
      </c>
      <c r="AQ36" s="17">
        <f t="shared" ref="AQ36:AR36" si="236">AQ32+AQ33+AQ34+AQ35</f>
        <v>2650.9191845037622</v>
      </c>
      <c r="AR36" s="17">
        <f t="shared" si="236"/>
        <v>3010.9542581523465</v>
      </c>
      <c r="AT36" s="17">
        <f t="shared" ref="AT36:BB36" si="237">AT32+AT33+AT34+AT35</f>
        <v>1050</v>
      </c>
      <c r="AU36" s="17">
        <f t="shared" si="237"/>
        <v>956</v>
      </c>
      <c r="AV36" s="17">
        <f t="shared" si="237"/>
        <v>730</v>
      </c>
      <c r="AW36" s="17">
        <f t="shared" si="237"/>
        <v>851</v>
      </c>
      <c r="AX36" s="17">
        <f t="shared" si="237"/>
        <v>1265</v>
      </c>
      <c r="AY36" s="17">
        <f t="shared" si="237"/>
        <v>1604</v>
      </c>
      <c r="AZ36" s="17">
        <f t="shared" si="237"/>
        <v>2063</v>
      </c>
      <c r="BA36" s="17">
        <f t="shared" si="237"/>
        <v>2217</v>
      </c>
      <c r="BB36" s="17">
        <f t="shared" si="237"/>
        <v>2557</v>
      </c>
      <c r="BC36" s="17">
        <f t="shared" ref="BC36" si="238">BC32+BC33+BC34+BC35</f>
        <v>2982</v>
      </c>
      <c r="BD36" s="17">
        <f t="shared" ref="BD36:BI36" si="239">BD32+BD33+BD34+BD35</f>
        <v>2731</v>
      </c>
      <c r="BE36" s="17">
        <f t="shared" si="239"/>
        <v>3015</v>
      </c>
      <c r="BF36" s="17">
        <f t="shared" si="239"/>
        <v>4706</v>
      </c>
      <c r="BG36" s="17">
        <f t="shared" si="239"/>
        <v>5182</v>
      </c>
      <c r="BH36" s="17">
        <f t="shared" si="239"/>
        <v>3522</v>
      </c>
      <c r="BI36" s="18">
        <f t="shared" si="239"/>
        <v>3715</v>
      </c>
      <c r="BJ36" s="17">
        <f t="shared" ref="BJ36:BK36" si="240">BJ32+BJ33+BJ34+BJ35</f>
        <v>4154.8880561614706</v>
      </c>
      <c r="BK36" s="17">
        <f t="shared" si="240"/>
        <v>4590.3336795252344</v>
      </c>
      <c r="BL36" s="17">
        <f t="shared" ref="BL36:BM36" si="241">BL32+BL33+BL34+BL35</f>
        <v>5075.165518362066</v>
      </c>
      <c r="BM36" s="17">
        <f t="shared" si="241"/>
        <v>5387.5360439889146</v>
      </c>
      <c r="BN36" s="17">
        <f>BN32+BN33+BN34+BN35</f>
        <v>5661.873442656105</v>
      </c>
      <c r="BP36" s="17">
        <f>+BK36-BJ36</f>
        <v>435.44562336376384</v>
      </c>
    </row>
    <row r="37" spans="1:68" ht="12" customHeight="1" outlineLevel="1">
      <c r="C37" s="17"/>
      <c r="D37" s="17"/>
      <c r="E37" s="17"/>
      <c r="F37" s="17"/>
      <c r="G37" s="17"/>
      <c r="H37" s="17"/>
      <c r="I37" s="17"/>
      <c r="J37" s="17"/>
      <c r="K37" s="272"/>
      <c r="L37" s="272"/>
      <c r="M37" s="17"/>
      <c r="N37" s="17"/>
      <c r="O37" s="17"/>
      <c r="P37" s="412"/>
      <c r="Q37" s="412"/>
      <c r="R37" s="412"/>
      <c r="S37" s="412"/>
      <c r="T37" s="412"/>
      <c r="U37" s="412"/>
      <c r="V37" s="412"/>
      <c r="W37" s="412"/>
      <c r="X37" s="412"/>
      <c r="Y37" s="412"/>
      <c r="Z37" s="412"/>
      <c r="AA37" s="412"/>
      <c r="AB37" s="412"/>
      <c r="AC37" s="412"/>
      <c r="AD37" s="412"/>
      <c r="AE37" s="412"/>
      <c r="AF37" s="412"/>
      <c r="AG37" s="412"/>
      <c r="AH37" s="412"/>
      <c r="AI37" s="395"/>
      <c r="AJ37" s="17"/>
      <c r="AK37" s="17"/>
      <c r="AL37" s="17"/>
      <c r="AM37" s="17"/>
      <c r="AN37" s="17"/>
      <c r="AO37" s="17"/>
      <c r="AP37" s="17"/>
      <c r="AQ37" s="17"/>
      <c r="AR37" s="17"/>
      <c r="BD37" s="34"/>
    </row>
    <row r="38" spans="1:68" ht="12" customHeight="1" outlineLevel="1">
      <c r="B38" s="9" t="s">
        <v>41</v>
      </c>
      <c r="C38" s="95"/>
      <c r="D38" s="95"/>
      <c r="E38" s="95"/>
      <c r="F38" s="95"/>
      <c r="G38" s="95"/>
      <c r="H38" s="17"/>
      <c r="I38" s="95"/>
      <c r="J38" s="95"/>
      <c r="K38" s="95"/>
      <c r="L38" s="95"/>
      <c r="M38" s="95"/>
      <c r="N38" s="95"/>
      <c r="O38" s="95"/>
      <c r="P38" s="323"/>
      <c r="Q38" s="323"/>
      <c r="R38" s="323"/>
      <c r="S38" s="323"/>
      <c r="T38" s="323"/>
      <c r="U38" s="323"/>
      <c r="V38" s="323"/>
      <c r="W38" s="323"/>
      <c r="X38" s="323"/>
      <c r="Y38" s="323"/>
      <c r="Z38" s="323"/>
      <c r="AA38" s="323"/>
      <c r="AB38" s="323"/>
      <c r="AC38" s="21"/>
      <c r="AD38" s="323"/>
      <c r="AE38" s="323"/>
      <c r="AF38" s="323"/>
      <c r="AG38" s="323"/>
      <c r="AH38" s="323"/>
      <c r="AI38" s="396"/>
      <c r="AJ38" s="95"/>
      <c r="AK38" s="95"/>
      <c r="AL38" s="95"/>
      <c r="AM38" s="95"/>
      <c r="AN38" s="95"/>
      <c r="AO38" s="95"/>
      <c r="AP38" s="95"/>
      <c r="AQ38" s="95"/>
      <c r="AR38" s="95"/>
      <c r="AS38" s="95"/>
    </row>
    <row r="39" spans="1:68" ht="12" customHeight="1" outlineLevel="1">
      <c r="A39" s="91" t="s">
        <v>1508</v>
      </c>
      <c r="B39" s="1" t="s">
        <v>42</v>
      </c>
      <c r="C39" s="21">
        <v>42504</v>
      </c>
      <c r="D39" s="21">
        <v>44267</v>
      </c>
      <c r="E39" s="21">
        <v>45130</v>
      </c>
      <c r="F39" s="21">
        <v>46016</v>
      </c>
      <c r="G39" s="21">
        <v>45843</v>
      </c>
      <c r="H39" s="21">
        <v>45218</v>
      </c>
      <c r="I39" s="21">
        <v>47559</v>
      </c>
      <c r="J39" s="21">
        <v>49083</v>
      </c>
      <c r="K39" s="21">
        <v>50793</v>
      </c>
      <c r="L39" s="21">
        <v>58712</v>
      </c>
      <c r="M39" s="21">
        <v>64435</v>
      </c>
      <c r="N39" s="21">
        <v>72762</v>
      </c>
      <c r="O39" s="21">
        <v>76690</v>
      </c>
      <c r="P39" s="21">
        <v>80366</v>
      </c>
      <c r="Q39" s="21">
        <v>77976</v>
      </c>
      <c r="R39" s="21">
        <v>76663</v>
      </c>
      <c r="S39" s="21">
        <v>70387</v>
      </c>
      <c r="T39" s="21">
        <v>73509</v>
      </c>
      <c r="U39" s="21">
        <v>76953</v>
      </c>
      <c r="V39" s="21">
        <v>77811</v>
      </c>
      <c r="W39" s="21">
        <v>85066</v>
      </c>
      <c r="X39" s="21">
        <v>94117</v>
      </c>
      <c r="Y39" s="21">
        <v>93414</v>
      </c>
      <c r="Z39" s="21">
        <v>105026</v>
      </c>
      <c r="AA39" s="21">
        <v>118359</v>
      </c>
      <c r="AB39" s="21">
        <v>134744</v>
      </c>
      <c r="AC39" s="21">
        <v>148874</v>
      </c>
      <c r="AD39" s="21">
        <v>158572</v>
      </c>
      <c r="AE39" s="21">
        <v>167495</v>
      </c>
      <c r="AF39" s="21">
        <v>176371</v>
      </c>
      <c r="AG39" s="21">
        <v>187064</v>
      </c>
      <c r="AH39" s="21">
        <v>205648</v>
      </c>
      <c r="AI39" s="24">
        <v>224042</v>
      </c>
      <c r="AJ39" s="19">
        <f>AJ112+AJ698+AJ190+AJ266+AJ342+AJ488</f>
        <v>242927.20000000004</v>
      </c>
      <c r="AK39" s="19">
        <f t="shared" ref="AK39:AR39" si="242">AK112+AK698+AK190+AK266+AK342+AK488</f>
        <v>261149.26700000002</v>
      </c>
      <c r="AL39" s="19">
        <f t="shared" si="242"/>
        <v>279223.12067499995</v>
      </c>
      <c r="AM39" s="19">
        <f t="shared" si="242"/>
        <v>294899.84337050002</v>
      </c>
      <c r="AN39" s="19">
        <f t="shared" si="242"/>
        <v>309997.13012037257</v>
      </c>
      <c r="AO39" s="19">
        <f t="shared" si="242"/>
        <v>324316.95743989758</v>
      </c>
      <c r="AP39" s="19">
        <f t="shared" si="242"/>
        <v>339018.49411400117</v>
      </c>
      <c r="AQ39" s="19">
        <f t="shared" si="242"/>
        <v>354104.58352151711</v>
      </c>
      <c r="AR39" s="19">
        <f t="shared" si="242"/>
        <v>369916.64374498883</v>
      </c>
      <c r="AT39" s="19">
        <f t="shared" ref="AT39:AT46" si="243">D39</f>
        <v>44267</v>
      </c>
      <c r="AU39" s="19">
        <f t="shared" ref="AU39:AU46" si="244">F39</f>
        <v>46016</v>
      </c>
      <c r="AV39" s="19">
        <f t="shared" ref="AV39:AV46" si="245">H39</f>
        <v>45218</v>
      </c>
      <c r="AW39" s="19">
        <f t="shared" ref="AW39:AW46" si="246">J39</f>
        <v>49083</v>
      </c>
      <c r="AX39" s="19">
        <f t="shared" ref="AX39:AX46" si="247">L39</f>
        <v>58712</v>
      </c>
      <c r="AY39" s="19">
        <f t="shared" ref="AY39:AY46" si="248">N39</f>
        <v>72762</v>
      </c>
      <c r="AZ39" s="19">
        <f t="shared" ref="AZ39:AZ46" si="249">P39</f>
        <v>80366</v>
      </c>
      <c r="BA39" s="19">
        <f t="shared" ref="BA39:BA46" si="250">R39</f>
        <v>76663</v>
      </c>
      <c r="BB39" s="19">
        <f t="shared" ref="BB39:BB46" si="251">T39</f>
        <v>73509</v>
      </c>
      <c r="BC39" s="19">
        <f t="shared" ref="BC39:BC46" si="252">V39</f>
        <v>77811</v>
      </c>
      <c r="BD39" s="19">
        <f t="shared" ref="BD39:BD46" si="253">X39</f>
        <v>94117</v>
      </c>
      <c r="BE39" s="19">
        <f t="shared" ref="BE39:BE46" si="254">Z39</f>
        <v>105026</v>
      </c>
      <c r="BF39" s="19">
        <f t="shared" ref="BF39:BF46" si="255">AB39</f>
        <v>134744</v>
      </c>
      <c r="BG39" s="19">
        <f t="shared" ref="BG39:BG46" si="256">AD39</f>
        <v>158572</v>
      </c>
      <c r="BH39" s="19">
        <f t="shared" ref="BH39:BH46" si="257">AF39</f>
        <v>176371</v>
      </c>
      <c r="BI39" s="20">
        <f t="shared" ref="BI39:BI46" si="258">AH39</f>
        <v>205648</v>
      </c>
      <c r="BJ39" s="19">
        <f t="shared" ref="BJ39:BJ46" si="259">AJ39</f>
        <v>242927.20000000004</v>
      </c>
      <c r="BK39" s="19">
        <f t="shared" ref="BK39:BK46" si="260">AL39</f>
        <v>279223.12067499995</v>
      </c>
      <c r="BL39" s="19">
        <f t="shared" ref="BL39:BL46" si="261">AN39</f>
        <v>309997.13012037257</v>
      </c>
      <c r="BM39" s="19">
        <f t="shared" ref="BM39:BM46" si="262">AP39</f>
        <v>339018.49411400117</v>
      </c>
      <c r="BN39" s="19">
        <f t="shared" ref="BN39:BN46" si="263">AR39</f>
        <v>369916.64374498883</v>
      </c>
    </row>
    <row r="40" spans="1:68" ht="12" customHeight="1" outlineLevel="1">
      <c r="A40" s="91" t="s">
        <v>1776</v>
      </c>
      <c r="B40" s="1" t="s">
        <v>43</v>
      </c>
      <c r="C40" s="19">
        <f>'Group Model'!D402</f>
        <v>146931</v>
      </c>
      <c r="D40" s="19">
        <f>'Group Model'!E402</f>
        <v>145940</v>
      </c>
      <c r="E40" s="19">
        <f>'Group Model'!F402</f>
        <v>158060</v>
      </c>
      <c r="F40" s="19">
        <f>'Group Model'!G402</f>
        <v>157568</v>
      </c>
      <c r="G40" s="19">
        <f>'Group Model'!H402</f>
        <v>174688</v>
      </c>
      <c r="H40" s="19">
        <f>'Group Model'!I402</f>
        <v>153626</v>
      </c>
      <c r="I40" s="19">
        <f>'Group Model'!J402</f>
        <v>152180</v>
      </c>
      <c r="J40" s="19">
        <f>'Group Model'!K402</f>
        <v>144748</v>
      </c>
      <c r="K40" s="19">
        <f>'Group Model'!L402</f>
        <v>154600</v>
      </c>
      <c r="L40" s="19">
        <f>'Group Model'!M402</f>
        <v>153904</v>
      </c>
      <c r="M40" s="19">
        <f>'Group Model'!N402</f>
        <v>162332</v>
      </c>
      <c r="N40" s="19">
        <f>'Group Model'!O402</f>
        <v>187976</v>
      </c>
      <c r="O40" s="19">
        <f>'Group Model'!P402</f>
        <v>209090</v>
      </c>
      <c r="P40" s="19">
        <f>'Group Model'!Q402</f>
        <v>196755</v>
      </c>
      <c r="Q40" s="19">
        <f>'Group Model'!R402</f>
        <v>193093</v>
      </c>
      <c r="R40" s="19">
        <f>'Group Model'!S402</f>
        <v>182877</v>
      </c>
      <c r="S40" s="19">
        <f>'Group Model'!T402</f>
        <v>189760</v>
      </c>
      <c r="T40" s="19">
        <f>'Group Model'!U402</f>
        <v>191325</v>
      </c>
      <c r="U40" s="19">
        <f>'Group Model'!V402</f>
        <v>205598</v>
      </c>
      <c r="V40" s="19">
        <f>'Group Model'!W402</f>
        <v>197757</v>
      </c>
      <c r="W40" s="19">
        <f>'Group Model'!X402</f>
        <v>219495</v>
      </c>
      <c r="X40" s="19">
        <f>'Group Model'!Y402</f>
        <v>255802</v>
      </c>
      <c r="Y40" s="19">
        <f>'Group Model'!Z402</f>
        <v>230735</v>
      </c>
      <c r="Z40" s="19">
        <f>'Group Model'!AA402</f>
        <v>245653</v>
      </c>
      <c r="AA40" s="19">
        <f>'Group Model'!AB402</f>
        <v>348567</v>
      </c>
      <c r="AB40" s="19">
        <f>'Group Model'!AC402</f>
        <v>399176</v>
      </c>
      <c r="AC40" s="19">
        <f>'Group Model'!AD402</f>
        <v>486574</v>
      </c>
      <c r="AD40" s="19">
        <f>'Group Model'!AE402</f>
        <v>387872</v>
      </c>
      <c r="AE40" s="19">
        <f>'Group Model'!AF402</f>
        <v>394594</v>
      </c>
      <c r="AF40" s="19">
        <f>'Group Model'!AG402</f>
        <v>403404</v>
      </c>
      <c r="AG40" s="19">
        <f>'Group Model'!AH402</f>
        <v>414315</v>
      </c>
      <c r="AH40" s="19">
        <f>'Group Model'!AI402</f>
        <v>445221</v>
      </c>
      <c r="AI40" s="20">
        <f>'Group Model'!AJ402</f>
        <v>484216</v>
      </c>
      <c r="AJ40" s="19">
        <f>'Group Model'!AK402</f>
        <v>513802.11176721903</v>
      </c>
      <c r="AK40" s="19">
        <f>'Group Model'!AL402</f>
        <v>542567.36905739084</v>
      </c>
      <c r="AL40" s="19">
        <f>'Group Model'!AM402</f>
        <v>570500.5610841692</v>
      </c>
      <c r="AM40" s="19">
        <f>'Group Model'!AN402</f>
        <v>594053.05549979967</v>
      </c>
      <c r="AN40" s="19">
        <f>'Group Model'!AO402</f>
        <v>616593.56907000206</v>
      </c>
      <c r="AO40" s="19">
        <f>'Group Model'!AP402</f>
        <v>637860.11043283204</v>
      </c>
      <c r="AP40" s="19">
        <f>'Group Model'!AQ402</f>
        <v>659361.91855729115</v>
      </c>
      <c r="AQ40" s="19">
        <f>'Group Model'!AR402</f>
        <v>681112.38284421328</v>
      </c>
      <c r="AR40" s="19">
        <f>'Group Model'!AS402</f>
        <v>703819.6983754437</v>
      </c>
      <c r="AT40" s="19">
        <f t="shared" si="243"/>
        <v>145940</v>
      </c>
      <c r="AU40" s="19">
        <f t="shared" si="244"/>
        <v>157568</v>
      </c>
      <c r="AV40" s="19">
        <f t="shared" si="245"/>
        <v>153626</v>
      </c>
      <c r="AW40" s="19">
        <f t="shared" si="246"/>
        <v>144748</v>
      </c>
      <c r="AX40" s="19">
        <f t="shared" si="247"/>
        <v>153904</v>
      </c>
      <c r="AY40" s="19">
        <f t="shared" si="248"/>
        <v>187976</v>
      </c>
      <c r="AZ40" s="19">
        <f t="shared" si="249"/>
        <v>196755</v>
      </c>
      <c r="BA40" s="19">
        <f t="shared" si="250"/>
        <v>182877</v>
      </c>
      <c r="BB40" s="19">
        <f t="shared" si="251"/>
        <v>191325</v>
      </c>
      <c r="BC40" s="19">
        <f t="shared" si="252"/>
        <v>197757</v>
      </c>
      <c r="BD40" s="19">
        <f t="shared" si="253"/>
        <v>255802</v>
      </c>
      <c r="BE40" s="19">
        <f t="shared" si="254"/>
        <v>245653</v>
      </c>
      <c r="BF40" s="19">
        <f t="shared" si="255"/>
        <v>399176</v>
      </c>
      <c r="BG40" s="19">
        <f t="shared" si="256"/>
        <v>387872</v>
      </c>
      <c r="BH40" s="19">
        <f t="shared" si="257"/>
        <v>403404</v>
      </c>
      <c r="BI40" s="20">
        <f t="shared" si="258"/>
        <v>445221</v>
      </c>
      <c r="BJ40" s="19">
        <f t="shared" si="259"/>
        <v>513802.11176721903</v>
      </c>
      <c r="BK40" s="19">
        <f t="shared" si="260"/>
        <v>570500.5610841692</v>
      </c>
      <c r="BL40" s="19">
        <f t="shared" si="261"/>
        <v>616593.56907000206</v>
      </c>
      <c r="BM40" s="19">
        <f t="shared" si="262"/>
        <v>659361.91855729115</v>
      </c>
      <c r="BN40" s="19">
        <f t="shared" si="263"/>
        <v>703819.6983754437</v>
      </c>
    </row>
    <row r="41" spans="1:68" ht="12" customHeight="1" outlineLevel="1">
      <c r="A41" s="91" t="s">
        <v>517</v>
      </c>
      <c r="B41" s="1" t="s">
        <v>49</v>
      </c>
      <c r="C41" s="25">
        <f>'Group Model'!D98</f>
        <v>10684</v>
      </c>
      <c r="D41" s="25">
        <f>'Group Model'!E98</f>
        <v>11232</v>
      </c>
      <c r="E41" s="25">
        <f>'Group Model'!F98</f>
        <v>11061</v>
      </c>
      <c r="F41" s="25">
        <f>'Group Model'!G98</f>
        <v>11404</v>
      </c>
      <c r="G41" s="25">
        <f>'Group Model'!H98</f>
        <v>11251</v>
      </c>
      <c r="H41" s="25">
        <f>'Group Model'!I98</f>
        <v>11203</v>
      </c>
      <c r="I41" s="25">
        <f>'Group Model'!J98</f>
        <v>10987</v>
      </c>
      <c r="J41" s="25">
        <f>'Group Model'!K98</f>
        <v>11403</v>
      </c>
      <c r="K41" s="25">
        <f>'Group Model'!L98</f>
        <v>12229</v>
      </c>
      <c r="L41" s="25">
        <f>'Group Model'!M98</f>
        <v>11418</v>
      </c>
      <c r="M41" s="25">
        <f>'Group Model'!N98</f>
        <v>11690</v>
      </c>
      <c r="N41" s="25">
        <f>'Group Model'!O98</f>
        <v>13909</v>
      </c>
      <c r="O41" s="25">
        <f>'Group Model'!P98</f>
        <v>14631</v>
      </c>
      <c r="P41" s="25">
        <f>'Group Model'!Q98</f>
        <v>15116</v>
      </c>
      <c r="Q41" s="25">
        <f>'Group Model'!R98</f>
        <v>14921</v>
      </c>
      <c r="R41" s="25">
        <f>'Group Model'!S98</f>
        <v>15563</v>
      </c>
      <c r="S41" s="25">
        <f>'Group Model'!T98</f>
        <v>15357</v>
      </c>
      <c r="T41" s="25">
        <f>'Group Model'!U98</f>
        <v>16357</v>
      </c>
      <c r="U41" s="25">
        <f>'Group Model'!V98</f>
        <v>16560</v>
      </c>
      <c r="V41" s="25">
        <f>'Group Model'!W98</f>
        <v>17761</v>
      </c>
      <c r="W41" s="25">
        <f>'Group Model'!X98</f>
        <v>19617</v>
      </c>
      <c r="X41" s="25">
        <f>'Group Model'!Y98</f>
        <v>21063</v>
      </c>
      <c r="Y41" s="25">
        <f>'Group Model'!Z98</f>
        <v>20508</v>
      </c>
      <c r="Z41" s="25">
        <f>'Group Model'!AA98</f>
        <v>22048</v>
      </c>
      <c r="AA41" s="25">
        <f>'Group Model'!AB98</f>
        <v>24064</v>
      </c>
      <c r="AB41" s="25">
        <f>'Group Model'!AC98</f>
        <v>28561</v>
      </c>
      <c r="AC41" s="25">
        <f>'Group Model'!AD98</f>
        <v>31337</v>
      </c>
      <c r="AD41" s="25">
        <f>'Group Model'!AE98</f>
        <v>33155</v>
      </c>
      <c r="AE41" s="25">
        <f>'Group Model'!AF98</f>
        <v>32651</v>
      </c>
      <c r="AF41" s="25">
        <f>'Group Model'!AG98</f>
        <v>33481</v>
      </c>
      <c r="AG41" s="25">
        <f>'Group Model'!AH98</f>
        <v>32299</v>
      </c>
      <c r="AH41" s="25">
        <f>'Group Model'!AI98</f>
        <v>35356</v>
      </c>
      <c r="AI41" s="26">
        <f>'Group Model'!AJ98</f>
        <v>34561</v>
      </c>
      <c r="AJ41" s="25">
        <f>'Group Model'!AK98</f>
        <v>35667.542368671689</v>
      </c>
      <c r="AK41" s="25">
        <f>'Group Model'!AL98</f>
        <v>35951.737945446301</v>
      </c>
      <c r="AL41" s="25">
        <f>'Group Model'!AM98</f>
        <v>36800.629642974913</v>
      </c>
      <c r="AM41" s="25">
        <f>'Group Model'!AN98</f>
        <v>37538.949756650603</v>
      </c>
      <c r="AN41" s="25">
        <f>'Group Model'!AO98</f>
        <v>38860.111162244837</v>
      </c>
      <c r="AO41" s="25">
        <f>'Group Model'!AP98</f>
        <v>39497.741288659243</v>
      </c>
      <c r="AP41" s="25">
        <f>'Group Model'!AQ98</f>
        <v>40930.394807232384</v>
      </c>
      <c r="AQ41" s="25">
        <f>'Group Model'!AR98</f>
        <v>41847.295692258165</v>
      </c>
      <c r="AR41" s="25">
        <f>'Group Model'!AS98</f>
        <v>43275.015850887139</v>
      </c>
      <c r="AT41" s="19">
        <f t="shared" si="243"/>
        <v>11232</v>
      </c>
      <c r="AU41" s="19">
        <f t="shared" si="244"/>
        <v>11404</v>
      </c>
      <c r="AV41" s="19">
        <f t="shared" si="245"/>
        <v>11203</v>
      </c>
      <c r="AW41" s="19">
        <f t="shared" si="246"/>
        <v>11403</v>
      </c>
      <c r="AX41" s="19">
        <f t="shared" si="247"/>
        <v>11418</v>
      </c>
      <c r="AY41" s="19">
        <f t="shared" si="248"/>
        <v>13909</v>
      </c>
      <c r="AZ41" s="19">
        <f t="shared" si="249"/>
        <v>15116</v>
      </c>
      <c r="BA41" s="19">
        <f t="shared" si="250"/>
        <v>15563</v>
      </c>
      <c r="BB41" s="19">
        <f t="shared" si="251"/>
        <v>16357</v>
      </c>
      <c r="BC41" s="19">
        <f t="shared" si="252"/>
        <v>17761</v>
      </c>
      <c r="BD41" s="19">
        <f t="shared" si="253"/>
        <v>21063</v>
      </c>
      <c r="BE41" s="19">
        <f t="shared" si="254"/>
        <v>22048</v>
      </c>
      <c r="BF41" s="19">
        <f t="shared" si="255"/>
        <v>28561</v>
      </c>
      <c r="BG41" s="19">
        <f t="shared" si="256"/>
        <v>33155</v>
      </c>
      <c r="BH41" s="19">
        <f t="shared" si="257"/>
        <v>33481</v>
      </c>
      <c r="BI41" s="20">
        <f t="shared" si="258"/>
        <v>35356</v>
      </c>
      <c r="BJ41" s="19">
        <f t="shared" si="259"/>
        <v>35667.542368671689</v>
      </c>
      <c r="BK41" s="19">
        <f t="shared" si="260"/>
        <v>36800.629642974913</v>
      </c>
      <c r="BL41" s="19">
        <f t="shared" si="261"/>
        <v>38860.111162244837</v>
      </c>
      <c r="BM41" s="19">
        <f t="shared" si="262"/>
        <v>40930.394807232384</v>
      </c>
      <c r="BN41" s="19">
        <f t="shared" si="263"/>
        <v>43275.015850887139</v>
      </c>
    </row>
    <row r="42" spans="1:68" ht="12" customHeight="1" outlineLevel="1">
      <c r="A42" s="91" t="s">
        <v>1354</v>
      </c>
      <c r="B42" s="1" t="s">
        <v>24</v>
      </c>
      <c r="C42" s="25">
        <f t="shared" ref="C42:H42" si="264">C44-C43</f>
        <v>85611</v>
      </c>
      <c r="D42" s="25">
        <f t="shared" si="264"/>
        <v>229257</v>
      </c>
      <c r="E42" s="25">
        <f t="shared" si="264"/>
        <v>215864</v>
      </c>
      <c r="F42" s="25">
        <f t="shared" si="264"/>
        <v>212483</v>
      </c>
      <c r="G42" s="25">
        <f t="shared" si="264"/>
        <v>225000</v>
      </c>
      <c r="H42" s="25">
        <f t="shared" si="264"/>
        <v>226700</v>
      </c>
      <c r="I42" s="25">
        <f t="shared" ref="I42:M42" si="265">I44-I43</f>
        <v>234800</v>
      </c>
      <c r="J42" s="25">
        <f t="shared" si="265"/>
        <v>245100</v>
      </c>
      <c r="K42" s="25">
        <f t="shared" si="265"/>
        <v>270500</v>
      </c>
      <c r="L42" s="25">
        <f t="shared" si="265"/>
        <v>314100</v>
      </c>
      <c r="M42" s="19">
        <f t="shared" si="265"/>
        <v>311200</v>
      </c>
      <c r="N42" s="19">
        <f t="shared" ref="N42:P42" si="266">N44-N43</f>
        <v>352600</v>
      </c>
      <c r="O42" s="19">
        <f t="shared" si="266"/>
        <v>356500</v>
      </c>
      <c r="P42" s="19">
        <f t="shared" si="266"/>
        <v>342400</v>
      </c>
      <c r="Q42" s="19">
        <f t="shared" ref="Q42:R42" si="267">Q44-Q43</f>
        <v>357100</v>
      </c>
      <c r="R42" s="19">
        <f t="shared" si="267"/>
        <v>327500</v>
      </c>
      <c r="S42" s="19">
        <f t="shared" ref="S42:T42" si="268">S44-S43</f>
        <v>332200</v>
      </c>
      <c r="T42" s="19">
        <f t="shared" si="268"/>
        <v>341500</v>
      </c>
      <c r="U42" s="19">
        <f t="shared" ref="U42:V42" si="269">U44-U43</f>
        <v>365900</v>
      </c>
      <c r="V42" s="19">
        <f t="shared" si="269"/>
        <v>362300</v>
      </c>
      <c r="W42" s="19">
        <f t="shared" ref="W42:X42" si="270">W44-W43</f>
        <v>362500</v>
      </c>
      <c r="X42" s="19">
        <f t="shared" si="270"/>
        <v>383800</v>
      </c>
      <c r="Y42" s="19">
        <f t="shared" ref="Y42:Z42" si="271">Y44-Y43</f>
        <v>352300</v>
      </c>
      <c r="Z42" s="19">
        <f t="shared" si="271"/>
        <v>368400</v>
      </c>
      <c r="AA42" s="19">
        <f t="shared" ref="AA42:AB42" si="272">AA44-AA43</f>
        <v>516100</v>
      </c>
      <c r="AB42" s="19">
        <f t="shared" si="272"/>
        <v>535100</v>
      </c>
      <c r="AC42" s="19">
        <f t="shared" ref="AC42:AD42" si="273">AC44-AC43</f>
        <v>520700</v>
      </c>
      <c r="AD42" s="19">
        <f t="shared" si="273"/>
        <v>534500</v>
      </c>
      <c r="AE42" s="19">
        <f t="shared" ref="AE42:AF42" si="274">AE44-AE43</f>
        <v>546900</v>
      </c>
      <c r="AF42" s="19">
        <f t="shared" si="274"/>
        <v>567400</v>
      </c>
      <c r="AG42" s="19">
        <f t="shared" ref="AG42:AH42" si="275">AG44-AG43</f>
        <v>543200</v>
      </c>
      <c r="AH42" s="19">
        <f t="shared" si="275"/>
        <v>552000</v>
      </c>
      <c r="AI42" s="20">
        <f t="shared" ref="AI42" si="276">AI44-AI43</f>
        <v>542500</v>
      </c>
      <c r="AJ42" s="19">
        <f t="shared" ref="AJ42:AR42" si="277">AJ115+AJ702+AJ193+AJ269+AJ345+AJ491</f>
        <v>263130.32212962961</v>
      </c>
      <c r="AK42" s="19">
        <f t="shared" si="277"/>
        <v>259806.57069220272</v>
      </c>
      <c r="AL42" s="19">
        <f t="shared" si="277"/>
        <v>262594.79900314845</v>
      </c>
      <c r="AM42" s="19">
        <f t="shared" si="277"/>
        <v>260964.56363387243</v>
      </c>
      <c r="AN42" s="19">
        <f t="shared" si="277"/>
        <v>259408.26587256487</v>
      </c>
      <c r="AO42" s="19">
        <f t="shared" si="277"/>
        <v>257921.9765200566</v>
      </c>
      <c r="AP42" s="19">
        <f t="shared" si="277"/>
        <v>255711.15292976773</v>
      </c>
      <c r="AQ42" s="19">
        <f t="shared" si="277"/>
        <v>252855.82598083344</v>
      </c>
      <c r="AR42" s="19">
        <f t="shared" si="277"/>
        <v>250159.79178433647</v>
      </c>
      <c r="AT42" s="19">
        <f t="shared" si="243"/>
        <v>229257</v>
      </c>
      <c r="AU42" s="19">
        <f t="shared" si="244"/>
        <v>212483</v>
      </c>
      <c r="AV42" s="19">
        <f t="shared" si="245"/>
        <v>226700</v>
      </c>
      <c r="AW42" s="19">
        <f t="shared" si="246"/>
        <v>245100</v>
      </c>
      <c r="AX42" s="19">
        <f t="shared" si="247"/>
        <v>314100</v>
      </c>
      <c r="AY42" s="19">
        <f t="shared" si="248"/>
        <v>352600</v>
      </c>
      <c r="AZ42" s="19">
        <f t="shared" si="249"/>
        <v>342400</v>
      </c>
      <c r="BA42" s="19">
        <f t="shared" si="250"/>
        <v>327500</v>
      </c>
      <c r="BB42" s="19">
        <f t="shared" si="251"/>
        <v>341500</v>
      </c>
      <c r="BC42" s="19">
        <f t="shared" si="252"/>
        <v>362300</v>
      </c>
      <c r="BD42" s="19">
        <f t="shared" si="253"/>
        <v>383800</v>
      </c>
      <c r="BE42" s="19">
        <f t="shared" si="254"/>
        <v>368400</v>
      </c>
      <c r="BF42" s="19">
        <f t="shared" si="255"/>
        <v>535100</v>
      </c>
      <c r="BG42" s="19">
        <f t="shared" si="256"/>
        <v>534500</v>
      </c>
      <c r="BH42" s="19">
        <f t="shared" si="257"/>
        <v>567400</v>
      </c>
      <c r="BI42" s="20">
        <f t="shared" si="258"/>
        <v>552000</v>
      </c>
      <c r="BJ42" s="19">
        <f t="shared" si="259"/>
        <v>263130.32212962961</v>
      </c>
      <c r="BK42" s="19">
        <f t="shared" si="260"/>
        <v>262594.79900314845</v>
      </c>
      <c r="BL42" s="19">
        <f t="shared" si="261"/>
        <v>259408.26587256487</v>
      </c>
      <c r="BM42" s="19">
        <f t="shared" si="262"/>
        <v>255711.15292976773</v>
      </c>
      <c r="BN42" s="19">
        <f t="shared" si="263"/>
        <v>250159.79178433647</v>
      </c>
    </row>
    <row r="43" spans="1:68" ht="12" customHeight="1" outlineLevel="1">
      <c r="B43" s="1" t="s">
        <v>23</v>
      </c>
      <c r="C43" s="21">
        <v>130677</v>
      </c>
      <c r="D43" s="21">
        <v>96452</v>
      </c>
      <c r="E43" s="21">
        <v>101116</v>
      </c>
      <c r="F43" s="21">
        <v>97328</v>
      </c>
      <c r="G43" s="21">
        <v>102300</v>
      </c>
      <c r="H43" s="21">
        <v>100200</v>
      </c>
      <c r="I43" s="21">
        <v>105700</v>
      </c>
      <c r="J43" s="21">
        <v>102300</v>
      </c>
      <c r="K43" s="21">
        <v>114300</v>
      </c>
      <c r="L43" s="21">
        <v>112800</v>
      </c>
      <c r="M43" s="21">
        <v>114200</v>
      </c>
      <c r="N43" s="21">
        <v>133700</v>
      </c>
      <c r="O43" s="21">
        <v>147800</v>
      </c>
      <c r="P43" s="21">
        <v>136200</v>
      </c>
      <c r="Q43" s="21">
        <v>136000</v>
      </c>
      <c r="R43" s="21">
        <v>154200</v>
      </c>
      <c r="S43" s="21">
        <v>141400</v>
      </c>
      <c r="T43" s="21">
        <v>155200</v>
      </c>
      <c r="U43" s="21">
        <v>185100</v>
      </c>
      <c r="V43" s="21">
        <v>189000</v>
      </c>
      <c r="W43" s="21">
        <v>200900</v>
      </c>
      <c r="X43" s="21">
        <v>215100</v>
      </c>
      <c r="Y43" s="21">
        <v>204000</v>
      </c>
      <c r="Z43" s="21">
        <v>195100</v>
      </c>
      <c r="AA43" s="21">
        <v>220900</v>
      </c>
      <c r="AB43" s="21">
        <v>257900</v>
      </c>
      <c r="AC43" s="21">
        <v>312200</v>
      </c>
      <c r="AD43" s="21">
        <v>344100</v>
      </c>
      <c r="AE43" s="21">
        <v>345100</v>
      </c>
      <c r="AF43" s="21">
        <v>370900</v>
      </c>
      <c r="AG43" s="21">
        <v>373600</v>
      </c>
      <c r="AH43" s="21">
        <v>389000</v>
      </c>
      <c r="AI43" s="24">
        <v>416600</v>
      </c>
      <c r="AJ43" s="19">
        <f t="shared" ref="AJ43:AR43" si="278">AJ116+AJ703+AJ194+AJ270+AJ346+AJ492</f>
        <v>427268.38308627013</v>
      </c>
      <c r="AK43" s="19">
        <f t="shared" si="278"/>
        <v>447549.37152019795</v>
      </c>
      <c r="AL43" s="19">
        <f t="shared" si="278"/>
        <v>461605.48486147868</v>
      </c>
      <c r="AM43" s="19">
        <f t="shared" si="278"/>
        <v>465157.61628773645</v>
      </c>
      <c r="AN43" s="19">
        <f t="shared" si="278"/>
        <v>468963.45133009052</v>
      </c>
      <c r="AO43" s="19">
        <f t="shared" si="278"/>
        <v>473018.9003931944</v>
      </c>
      <c r="AP43" s="19">
        <f t="shared" si="278"/>
        <v>473329.44188735803</v>
      </c>
      <c r="AQ43" s="19">
        <f t="shared" si="278"/>
        <v>470093.84933635115</v>
      </c>
      <c r="AR43" s="19">
        <f t="shared" si="278"/>
        <v>467331.71738076262</v>
      </c>
      <c r="AT43" s="19">
        <f t="shared" si="243"/>
        <v>96452</v>
      </c>
      <c r="AU43" s="19">
        <f t="shared" si="244"/>
        <v>97328</v>
      </c>
      <c r="AV43" s="19">
        <f t="shared" si="245"/>
        <v>100200</v>
      </c>
      <c r="AW43" s="19">
        <f t="shared" si="246"/>
        <v>102300</v>
      </c>
      <c r="AX43" s="19">
        <f t="shared" si="247"/>
        <v>112800</v>
      </c>
      <c r="AY43" s="19">
        <f t="shared" si="248"/>
        <v>133700</v>
      </c>
      <c r="AZ43" s="19">
        <f t="shared" si="249"/>
        <v>136200</v>
      </c>
      <c r="BA43" s="19">
        <f t="shared" si="250"/>
        <v>154200</v>
      </c>
      <c r="BB43" s="19">
        <f t="shared" si="251"/>
        <v>155200</v>
      </c>
      <c r="BC43" s="19">
        <f t="shared" si="252"/>
        <v>189000</v>
      </c>
      <c r="BD43" s="19">
        <f t="shared" si="253"/>
        <v>215100</v>
      </c>
      <c r="BE43" s="19">
        <f t="shared" si="254"/>
        <v>195100</v>
      </c>
      <c r="BF43" s="19">
        <f t="shared" si="255"/>
        <v>257900</v>
      </c>
      <c r="BG43" s="19">
        <f t="shared" si="256"/>
        <v>344100</v>
      </c>
      <c r="BH43" s="19">
        <f t="shared" si="257"/>
        <v>370900</v>
      </c>
      <c r="BI43" s="20">
        <f t="shared" si="258"/>
        <v>389000</v>
      </c>
      <c r="BJ43" s="19">
        <f t="shared" si="259"/>
        <v>427268.38308627013</v>
      </c>
      <c r="BK43" s="19">
        <f t="shared" si="260"/>
        <v>461605.48486147868</v>
      </c>
      <c r="BL43" s="19">
        <f t="shared" si="261"/>
        <v>468963.45133009052</v>
      </c>
      <c r="BM43" s="19">
        <f t="shared" si="262"/>
        <v>473329.44188735803</v>
      </c>
      <c r="BN43" s="19">
        <f t="shared" si="263"/>
        <v>467331.71738076262</v>
      </c>
    </row>
    <row r="44" spans="1:68" ht="12" customHeight="1" outlineLevel="1">
      <c r="A44" s="91" t="s">
        <v>581</v>
      </c>
      <c r="B44" s="1" t="s">
        <v>22</v>
      </c>
      <c r="C44" s="21">
        <v>216288</v>
      </c>
      <c r="D44" s="21">
        <v>325709</v>
      </c>
      <c r="E44" s="21">
        <v>316980</v>
      </c>
      <c r="F44" s="21">
        <v>309811</v>
      </c>
      <c r="G44" s="21">
        <v>327300</v>
      </c>
      <c r="H44" s="21">
        <v>326900</v>
      </c>
      <c r="I44" s="21">
        <v>340500</v>
      </c>
      <c r="J44" s="21">
        <v>347400</v>
      </c>
      <c r="K44" s="21">
        <v>384800</v>
      </c>
      <c r="L44" s="21">
        <v>426900</v>
      </c>
      <c r="M44" s="21">
        <v>425400</v>
      </c>
      <c r="N44" s="21">
        <v>486300</v>
      </c>
      <c r="O44" s="21">
        <v>504300</v>
      </c>
      <c r="P44" s="21">
        <v>478600</v>
      </c>
      <c r="Q44" s="21">
        <v>493100</v>
      </c>
      <c r="R44" s="21">
        <v>481700</v>
      </c>
      <c r="S44" s="21">
        <v>473600</v>
      </c>
      <c r="T44" s="21">
        <v>496700</v>
      </c>
      <c r="U44" s="21">
        <v>551000</v>
      </c>
      <c r="V44" s="21">
        <v>551300</v>
      </c>
      <c r="W44" s="21">
        <v>563400</v>
      </c>
      <c r="X44" s="21">
        <v>598900</v>
      </c>
      <c r="Y44" s="21">
        <v>556300</v>
      </c>
      <c r="Z44" s="21">
        <v>563500</v>
      </c>
      <c r="AA44" s="21">
        <v>737000</v>
      </c>
      <c r="AB44" s="21">
        <v>793000</v>
      </c>
      <c r="AC44" s="21">
        <v>832900</v>
      </c>
      <c r="AD44" s="21">
        <v>878600</v>
      </c>
      <c r="AE44" s="21">
        <v>892000</v>
      </c>
      <c r="AF44" s="21">
        <v>938300</v>
      </c>
      <c r="AG44" s="21">
        <v>916800</v>
      </c>
      <c r="AH44" s="21">
        <v>941000</v>
      </c>
      <c r="AI44" s="24">
        <v>959100</v>
      </c>
      <c r="AJ44" s="19">
        <f t="shared" ref="AJ44:AR44" si="279">AJ117+AJ704+AJ195+AJ271+AJ347+AJ493</f>
        <v>690398.70521589974</v>
      </c>
      <c r="AK44" s="19">
        <f t="shared" si="279"/>
        <v>707355.94221240073</v>
      </c>
      <c r="AL44" s="19">
        <f t="shared" si="279"/>
        <v>724200.28386462713</v>
      </c>
      <c r="AM44" s="19">
        <f t="shared" si="279"/>
        <v>726122.17992160888</v>
      </c>
      <c r="AN44" s="19">
        <f t="shared" si="279"/>
        <v>728371.71720265539</v>
      </c>
      <c r="AO44" s="19">
        <f t="shared" si="279"/>
        <v>730940.87691325101</v>
      </c>
      <c r="AP44" s="19">
        <f t="shared" si="279"/>
        <v>729040.5948171257</v>
      </c>
      <c r="AQ44" s="19">
        <f t="shared" si="279"/>
        <v>722949.67531718453</v>
      </c>
      <c r="AR44" s="19">
        <f t="shared" si="279"/>
        <v>717491.50916509912</v>
      </c>
      <c r="AT44" s="19">
        <f t="shared" si="243"/>
        <v>325709</v>
      </c>
      <c r="AU44" s="19">
        <f t="shared" si="244"/>
        <v>309811</v>
      </c>
      <c r="AV44" s="19">
        <f t="shared" si="245"/>
        <v>326900</v>
      </c>
      <c r="AW44" s="19">
        <f t="shared" si="246"/>
        <v>347400</v>
      </c>
      <c r="AX44" s="19">
        <f t="shared" si="247"/>
        <v>426900</v>
      </c>
      <c r="AY44" s="19">
        <f t="shared" si="248"/>
        <v>486300</v>
      </c>
      <c r="AZ44" s="19">
        <f t="shared" si="249"/>
        <v>478600</v>
      </c>
      <c r="BA44" s="19">
        <f t="shared" si="250"/>
        <v>481700</v>
      </c>
      <c r="BB44" s="19">
        <f t="shared" si="251"/>
        <v>496700</v>
      </c>
      <c r="BC44" s="19">
        <f t="shared" si="252"/>
        <v>551300</v>
      </c>
      <c r="BD44" s="19">
        <f t="shared" si="253"/>
        <v>598900</v>
      </c>
      <c r="BE44" s="19">
        <f t="shared" si="254"/>
        <v>563500</v>
      </c>
      <c r="BF44" s="19">
        <f t="shared" si="255"/>
        <v>793000</v>
      </c>
      <c r="BG44" s="19">
        <f t="shared" si="256"/>
        <v>878600</v>
      </c>
      <c r="BH44" s="19">
        <f t="shared" si="257"/>
        <v>938300</v>
      </c>
      <c r="BI44" s="20">
        <f t="shared" si="258"/>
        <v>941000</v>
      </c>
      <c r="BJ44" s="19">
        <f t="shared" si="259"/>
        <v>690398.70521589974</v>
      </c>
      <c r="BK44" s="19">
        <f t="shared" si="260"/>
        <v>724200.28386462713</v>
      </c>
      <c r="BL44" s="19">
        <f t="shared" si="261"/>
        <v>728371.71720265539</v>
      </c>
      <c r="BM44" s="19">
        <f t="shared" si="262"/>
        <v>729040.5948171257</v>
      </c>
      <c r="BN44" s="19">
        <f t="shared" si="263"/>
        <v>717491.50916509912</v>
      </c>
    </row>
    <row r="45" spans="1:68" ht="12" customHeight="1" outlineLevel="1">
      <c r="A45" s="91" t="s">
        <v>582</v>
      </c>
      <c r="B45" s="1" t="s">
        <v>44</v>
      </c>
      <c r="C45" s="21">
        <v>50025</v>
      </c>
      <c r="D45" s="21">
        <v>38577</v>
      </c>
      <c r="E45" s="21">
        <v>37822</v>
      </c>
      <c r="F45" s="21">
        <v>36393</v>
      </c>
      <c r="G45" s="21">
        <v>37900</v>
      </c>
      <c r="H45" s="21">
        <v>37900</v>
      </c>
      <c r="I45" s="21">
        <v>39500</v>
      </c>
      <c r="J45" s="21">
        <v>41000</v>
      </c>
      <c r="K45" s="21">
        <v>49600</v>
      </c>
      <c r="L45" s="21">
        <v>52500</v>
      </c>
      <c r="M45" s="21">
        <v>58500</v>
      </c>
      <c r="N45" s="21">
        <v>66200</v>
      </c>
      <c r="O45" s="21">
        <v>71600</v>
      </c>
      <c r="P45" s="21">
        <v>66500</v>
      </c>
      <c r="Q45" s="21">
        <v>72000</v>
      </c>
      <c r="R45" s="21">
        <v>77200</v>
      </c>
      <c r="S45" s="21">
        <v>79500</v>
      </c>
      <c r="T45" s="21">
        <v>86200</v>
      </c>
      <c r="U45" s="21">
        <v>115600</v>
      </c>
      <c r="V45" s="21">
        <v>127900</v>
      </c>
      <c r="W45" s="21">
        <v>134400</v>
      </c>
      <c r="X45" s="21">
        <v>149300</v>
      </c>
      <c r="Y45" s="21">
        <v>139800</v>
      </c>
      <c r="Z45" s="21">
        <v>142000</v>
      </c>
      <c r="AA45" s="21">
        <v>158800</v>
      </c>
      <c r="AB45" s="21">
        <v>158300</v>
      </c>
      <c r="AC45" s="21">
        <v>188500</v>
      </c>
      <c r="AD45" s="21">
        <v>205800</v>
      </c>
      <c r="AE45" s="21">
        <v>210000</v>
      </c>
      <c r="AF45" s="21">
        <v>222300</v>
      </c>
      <c r="AG45" s="21">
        <v>217500</v>
      </c>
      <c r="AH45" s="21">
        <v>221100</v>
      </c>
      <c r="AI45" s="24">
        <v>224600</v>
      </c>
      <c r="AJ45" s="19">
        <f t="shared" ref="AJ45:AR45" si="280">AJ118+AJ705+AJ196+AJ272+AJ348+AJ494</f>
        <v>230351.60547569915</v>
      </c>
      <c r="AK45" s="19">
        <f t="shared" si="280"/>
        <v>241285.61892327521</v>
      </c>
      <c r="AL45" s="19">
        <f t="shared" si="280"/>
        <v>248863.63874193016</v>
      </c>
      <c r="AM45" s="19">
        <f t="shared" si="280"/>
        <v>250778.68607351321</v>
      </c>
      <c r="AN45" s="19">
        <f t="shared" si="280"/>
        <v>252830.51168684187</v>
      </c>
      <c r="AO45" s="19">
        <f t="shared" si="280"/>
        <v>255016.91077367129</v>
      </c>
      <c r="AP45" s="19">
        <f t="shared" si="280"/>
        <v>255184.33184805716</v>
      </c>
      <c r="AQ45" s="19">
        <f t="shared" si="280"/>
        <v>253439.93893649656</v>
      </c>
      <c r="AR45" s="19">
        <f t="shared" si="280"/>
        <v>251950.80106509669</v>
      </c>
      <c r="AT45" s="19">
        <f t="shared" si="243"/>
        <v>38577</v>
      </c>
      <c r="AU45" s="19">
        <f t="shared" si="244"/>
        <v>36393</v>
      </c>
      <c r="AV45" s="19">
        <f t="shared" si="245"/>
        <v>37900</v>
      </c>
      <c r="AW45" s="19">
        <f t="shared" si="246"/>
        <v>41000</v>
      </c>
      <c r="AX45" s="19">
        <f t="shared" si="247"/>
        <v>52500</v>
      </c>
      <c r="AY45" s="19">
        <f t="shared" si="248"/>
        <v>66200</v>
      </c>
      <c r="AZ45" s="19">
        <f t="shared" si="249"/>
        <v>66500</v>
      </c>
      <c r="BA45" s="19">
        <f t="shared" si="250"/>
        <v>77200</v>
      </c>
      <c r="BB45" s="19">
        <f t="shared" si="251"/>
        <v>86200</v>
      </c>
      <c r="BC45" s="19">
        <f t="shared" si="252"/>
        <v>127900</v>
      </c>
      <c r="BD45" s="19">
        <f t="shared" si="253"/>
        <v>149300</v>
      </c>
      <c r="BE45" s="19">
        <f t="shared" si="254"/>
        <v>142000</v>
      </c>
      <c r="BF45" s="19">
        <f t="shared" si="255"/>
        <v>158300</v>
      </c>
      <c r="BG45" s="19">
        <f t="shared" si="256"/>
        <v>205800</v>
      </c>
      <c r="BH45" s="19">
        <f t="shared" si="257"/>
        <v>222300</v>
      </c>
      <c r="BI45" s="20">
        <f t="shared" si="258"/>
        <v>221100</v>
      </c>
      <c r="BJ45" s="19">
        <f t="shared" si="259"/>
        <v>230351.60547569915</v>
      </c>
      <c r="BK45" s="19">
        <f t="shared" si="260"/>
        <v>248863.63874193016</v>
      </c>
      <c r="BL45" s="19">
        <f t="shared" si="261"/>
        <v>252830.51168684187</v>
      </c>
      <c r="BM45" s="19">
        <f t="shared" si="262"/>
        <v>255184.33184805716</v>
      </c>
      <c r="BN45" s="19">
        <f t="shared" si="263"/>
        <v>251950.80106509669</v>
      </c>
    </row>
    <row r="46" spans="1:68" ht="12" customHeight="1" outlineLevel="1">
      <c r="A46" s="91" t="s">
        <v>1314</v>
      </c>
      <c r="B46" s="1" t="s">
        <v>25</v>
      </c>
      <c r="C46" s="21">
        <v>12758</v>
      </c>
      <c r="D46" s="21">
        <v>14657</v>
      </c>
      <c r="E46" s="21">
        <v>15533</v>
      </c>
      <c r="F46" s="21">
        <v>15556</v>
      </c>
      <c r="G46" s="21">
        <v>15088</v>
      </c>
      <c r="H46" s="21">
        <v>14202</v>
      </c>
      <c r="I46" s="21">
        <v>13463</v>
      </c>
      <c r="J46" s="21">
        <v>13663</v>
      </c>
      <c r="K46" s="21">
        <v>13901</v>
      </c>
      <c r="L46" s="21">
        <v>13913</v>
      </c>
      <c r="M46" s="21">
        <v>14138</v>
      </c>
      <c r="N46" s="21">
        <v>14085</v>
      </c>
      <c r="O46" s="21">
        <v>13582</v>
      </c>
      <c r="P46" s="21">
        <v>14372</v>
      </c>
      <c r="Q46" s="21">
        <v>13816</v>
      </c>
      <c r="R46" s="21">
        <v>13597</v>
      </c>
      <c r="S46" s="21">
        <v>13966</v>
      </c>
      <c r="T46" s="21">
        <v>14810</v>
      </c>
      <c r="U46" s="21">
        <v>15221</v>
      </c>
      <c r="V46" s="21">
        <v>15602</v>
      </c>
      <c r="W46" s="21">
        <v>15704</v>
      </c>
      <c r="X46" s="21">
        <v>15849</v>
      </c>
      <c r="Y46" s="21">
        <v>16356</v>
      </c>
      <c r="Z46" s="21">
        <v>16459</v>
      </c>
      <c r="AA46" s="21">
        <v>17209</v>
      </c>
      <c r="AB46" s="21">
        <v>18133</v>
      </c>
      <c r="AC46" s="21">
        <v>19266</v>
      </c>
      <c r="AD46" s="21">
        <v>20509</v>
      </c>
      <c r="AE46" s="21">
        <v>21270</v>
      </c>
      <c r="AF46" s="21">
        <v>20666</v>
      </c>
      <c r="AG46" s="21">
        <v>20053</v>
      </c>
      <c r="AH46" s="21">
        <v>19735</v>
      </c>
      <c r="AI46" s="24">
        <v>19821</v>
      </c>
      <c r="AJ46" s="19">
        <f t="shared" ref="AJ46:AR46" si="281">AJ120+AJ706+AJ197+AJ273+AJ349+AJ495</f>
        <v>19117.791729999997</v>
      </c>
      <c r="AK46" s="19">
        <f t="shared" si="281"/>
        <v>19187.641347299999</v>
      </c>
      <c r="AL46" s="19">
        <f t="shared" si="281"/>
        <v>19258.049969273001</v>
      </c>
      <c r="AM46" s="19">
        <f t="shared" si="281"/>
        <v>19329.022488508228</v>
      </c>
      <c r="AN46" s="19">
        <f t="shared" si="281"/>
        <v>19400.563843033524</v>
      </c>
      <c r="AO46" s="19">
        <f t="shared" si="281"/>
        <v>19472.67901675227</v>
      </c>
      <c r="AP46" s="19">
        <f t="shared" si="281"/>
        <v>19545.373039884646</v>
      </c>
      <c r="AQ46" s="19">
        <f t="shared" si="281"/>
        <v>19618.650989413174</v>
      </c>
      <c r="AR46" s="19">
        <f t="shared" si="281"/>
        <v>19692.517989532633</v>
      </c>
      <c r="AT46" s="19">
        <f t="shared" si="243"/>
        <v>14657</v>
      </c>
      <c r="AU46" s="19">
        <f t="shared" si="244"/>
        <v>15556</v>
      </c>
      <c r="AV46" s="19">
        <f t="shared" si="245"/>
        <v>14202</v>
      </c>
      <c r="AW46" s="19">
        <f t="shared" si="246"/>
        <v>13663</v>
      </c>
      <c r="AX46" s="19">
        <f t="shared" si="247"/>
        <v>13913</v>
      </c>
      <c r="AY46" s="19">
        <f t="shared" si="248"/>
        <v>14085</v>
      </c>
      <c r="AZ46" s="19">
        <f t="shared" si="249"/>
        <v>14372</v>
      </c>
      <c r="BA46" s="19">
        <f t="shared" si="250"/>
        <v>13597</v>
      </c>
      <c r="BB46" s="19">
        <f t="shared" si="251"/>
        <v>14810</v>
      </c>
      <c r="BC46" s="19">
        <f t="shared" si="252"/>
        <v>15602</v>
      </c>
      <c r="BD46" s="19">
        <f t="shared" si="253"/>
        <v>15849</v>
      </c>
      <c r="BE46" s="19">
        <f t="shared" si="254"/>
        <v>16459</v>
      </c>
      <c r="BF46" s="19">
        <f t="shared" si="255"/>
        <v>18133</v>
      </c>
      <c r="BG46" s="19">
        <f t="shared" si="256"/>
        <v>20509</v>
      </c>
      <c r="BH46" s="19">
        <f t="shared" si="257"/>
        <v>20666</v>
      </c>
      <c r="BI46" s="20">
        <f t="shared" si="258"/>
        <v>19735</v>
      </c>
      <c r="BJ46" s="19">
        <f t="shared" si="259"/>
        <v>19117.791729999997</v>
      </c>
      <c r="BK46" s="19">
        <f t="shared" si="260"/>
        <v>19258.049969273001</v>
      </c>
      <c r="BL46" s="19">
        <f t="shared" si="261"/>
        <v>19400.563843033524</v>
      </c>
      <c r="BM46" s="19">
        <f t="shared" si="262"/>
        <v>19545.373039884646</v>
      </c>
      <c r="BN46" s="19">
        <f t="shared" si="263"/>
        <v>19692.517989532633</v>
      </c>
    </row>
    <row r="47" spans="1:68" ht="12" customHeight="1" outlineLevel="1"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20"/>
      <c r="AJ47" s="19"/>
      <c r="AK47" s="19"/>
      <c r="AL47" s="19"/>
      <c r="AM47" s="19"/>
      <c r="AN47" s="19"/>
      <c r="AO47" s="19"/>
      <c r="AP47" s="19"/>
      <c r="AQ47" s="19"/>
      <c r="AR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20"/>
      <c r="BJ47" s="19"/>
      <c r="BK47" s="19"/>
      <c r="BL47" s="19"/>
      <c r="BM47" s="19"/>
      <c r="BN47" s="19"/>
    </row>
    <row r="48" spans="1:68" ht="12" customHeight="1" outlineLevel="1">
      <c r="B48" s="9" t="s">
        <v>158</v>
      </c>
      <c r="C48" s="21"/>
      <c r="D48" s="21"/>
      <c r="E48" s="21"/>
      <c r="F48" s="21"/>
      <c r="G48" s="21"/>
      <c r="H48" s="21"/>
      <c r="I48" s="21"/>
      <c r="J48" s="21"/>
      <c r="K48" s="367"/>
      <c r="L48" s="367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20"/>
      <c r="AJ48" s="19"/>
      <c r="AK48" s="19"/>
      <c r="AL48" s="19"/>
      <c r="AM48" s="19"/>
      <c r="AN48" s="19"/>
      <c r="AO48" s="19"/>
      <c r="AP48" s="19"/>
      <c r="AQ48" s="19"/>
      <c r="AR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20"/>
      <c r="BJ48" s="19"/>
      <c r="BK48" s="19"/>
      <c r="BL48" s="19"/>
      <c r="BM48" s="19"/>
      <c r="BN48" s="19"/>
    </row>
    <row r="49" spans="2:66" ht="12" customHeight="1" outlineLevel="1">
      <c r="B49" s="1" t="s">
        <v>58</v>
      </c>
      <c r="C49" s="50" t="str">
        <f>IF(ISERROR(C39/B39),"n.a.",C39/B39-1)</f>
        <v>n.a.</v>
      </c>
      <c r="D49" s="50">
        <f>IF(ISERROR(D39/C39),"n.a.",D39/C39-1)</f>
        <v>4.1478449087144709E-2</v>
      </c>
      <c r="E49" s="50">
        <f t="shared" ref="E49:M49" si="282">IF(ISERROR(E39/D39),"n.a.",E39/D39-1)</f>
        <v>1.9495335125488511E-2</v>
      </c>
      <c r="F49" s="50">
        <f t="shared" si="282"/>
        <v>1.96321737203633E-2</v>
      </c>
      <c r="G49" s="50">
        <f t="shared" si="282"/>
        <v>-3.759561891515939E-3</v>
      </c>
      <c r="H49" s="50">
        <f t="shared" si="282"/>
        <v>-1.3633488209759403E-2</v>
      </c>
      <c r="I49" s="50">
        <f t="shared" si="282"/>
        <v>5.1771418461674656E-2</v>
      </c>
      <c r="J49" s="50">
        <f t="shared" si="282"/>
        <v>3.2044407998486069E-2</v>
      </c>
      <c r="K49" s="50">
        <f t="shared" si="282"/>
        <v>3.4838946274677651E-2</v>
      </c>
      <c r="L49" s="50">
        <f t="shared" si="282"/>
        <v>0.15590731006241021</v>
      </c>
      <c r="M49" s="50">
        <f t="shared" si="282"/>
        <v>9.7475814143616279E-2</v>
      </c>
      <c r="N49" s="50">
        <f t="shared" ref="N49" si="283">IF(ISERROR(N39/M39),"n.a.",N39/M39-1)</f>
        <v>0.12923100799255072</v>
      </c>
      <c r="O49" s="50">
        <f t="shared" ref="O49" si="284">IF(ISERROR(O39/N39),"n.a.",O39/N39-1)</f>
        <v>5.3984222533740134E-2</v>
      </c>
      <c r="P49" s="50">
        <f t="shared" ref="P49:AI49" si="285">IF(ISERROR(P39/O39),"n.a.",P39/O39-1)</f>
        <v>4.7933237710262144E-2</v>
      </c>
      <c r="Q49" s="50">
        <f t="shared" si="285"/>
        <v>-2.9738944329691708E-2</v>
      </c>
      <c r="R49" s="50">
        <f t="shared" si="285"/>
        <v>-1.6838514414691752E-2</v>
      </c>
      <c r="S49" s="50">
        <f t="shared" si="285"/>
        <v>-8.1864784837535676E-2</v>
      </c>
      <c r="T49" s="50">
        <f t="shared" si="285"/>
        <v>4.435478142270588E-2</v>
      </c>
      <c r="U49" s="50">
        <f t="shared" si="285"/>
        <v>4.6851405950291802E-2</v>
      </c>
      <c r="V49" s="50">
        <f t="shared" si="285"/>
        <v>1.1149662781178016E-2</v>
      </c>
      <c r="W49" s="50">
        <f t="shared" si="285"/>
        <v>9.3238745164565318E-2</v>
      </c>
      <c r="X49" s="50">
        <f t="shared" si="285"/>
        <v>0.1063997366750522</v>
      </c>
      <c r="Y49" s="50">
        <f t="shared" si="285"/>
        <v>-7.4694263523061855E-3</v>
      </c>
      <c r="Z49" s="50">
        <f t="shared" si="285"/>
        <v>0.12430684908043754</v>
      </c>
      <c r="AA49" s="50">
        <f t="shared" si="285"/>
        <v>0.12694951726239223</v>
      </c>
      <c r="AB49" s="50">
        <f t="shared" si="285"/>
        <v>0.13843476203752991</v>
      </c>
      <c r="AC49" s="50">
        <f t="shared" si="285"/>
        <v>0.10486552276910288</v>
      </c>
      <c r="AD49" s="50">
        <f t="shared" si="285"/>
        <v>6.5142335129035223E-2</v>
      </c>
      <c r="AE49" s="50">
        <f t="shared" si="285"/>
        <v>5.6270968392906795E-2</v>
      </c>
      <c r="AF49" s="50">
        <f t="shared" si="285"/>
        <v>5.2992626645571583E-2</v>
      </c>
      <c r="AG49" s="50">
        <f t="shared" si="285"/>
        <v>6.0627881000844708E-2</v>
      </c>
      <c r="AH49" s="50">
        <f t="shared" si="285"/>
        <v>9.9345678484368927E-2</v>
      </c>
      <c r="AI49" s="51">
        <f t="shared" si="285"/>
        <v>8.9444098654010817E-2</v>
      </c>
      <c r="AJ49" s="50">
        <f t="shared" ref="AJ49" si="286">IF(ISERROR(AJ39/AI39),"n.a.",AJ39/AI39-1)</f>
        <v>8.4293123610751808E-2</v>
      </c>
      <c r="AK49" s="50">
        <f t="shared" ref="AK49" si="287">IF(ISERROR(AK39/AJ39),"n.a.",AK39/AJ39-1)</f>
        <v>7.5010402293361977E-2</v>
      </c>
      <c r="AL49" s="50">
        <f t="shared" ref="AL49" si="288">IF(ISERROR(AL39/AK39),"n.a.",AL39/AK39-1)</f>
        <v>6.9208900651442029E-2</v>
      </c>
      <c r="AM49" s="50">
        <f t="shared" ref="AM49" si="289">IF(ISERROR(AM39/AL39),"n.a.",AM39/AL39-1)</f>
        <v>5.6144070940840507E-2</v>
      </c>
      <c r="AN49" s="50">
        <f t="shared" ref="AN49" si="290">IF(ISERROR(AN39/AM39),"n.a.",AN39/AM39-1)</f>
        <v>5.1194624511566644E-2</v>
      </c>
      <c r="AO49" s="50">
        <f t="shared" ref="AO49" si="291">IF(ISERROR(AO39/AN39),"n.a.",AO39/AN39-1)</f>
        <v>4.6193418997023006E-2</v>
      </c>
      <c r="AP49" s="50">
        <f t="shared" ref="AP49" si="292">IF(ISERROR(AP39/AO39),"n.a.",AP39/AO39-1)</f>
        <v>4.5330767746944112E-2</v>
      </c>
      <c r="AQ49" s="50">
        <f t="shared" ref="AQ49" si="293">IF(ISERROR(AQ39/AP39),"n.a.",AQ39/AP39-1)</f>
        <v>4.4499311009395859E-2</v>
      </c>
      <c r="AR49" s="50">
        <f t="shared" ref="AR49" si="294">IF(ISERROR(AR39/AQ39),"n.a.",AR39/AQ39-1)</f>
        <v>4.4653644599070619E-2</v>
      </c>
      <c r="AT49" s="50">
        <f>IF(ISERROR(AT39/T39),"n.a.",AT39/T39-1)</f>
        <v>-0.39780162973241373</v>
      </c>
      <c r="AU49" s="50">
        <f>IF(ISERROR(AU39/AT39),"n.a.",AU39/AT39-1)</f>
        <v>3.9510244651772108E-2</v>
      </c>
      <c r="AV49" s="50">
        <f>IF(ISERROR(AV39/AU39),"n.a.",AV39/AU39-1)</f>
        <v>-1.7341794158553525E-2</v>
      </c>
      <c r="AW49" s="50">
        <f>IF(ISERROR(AW39/AV39),"n.a.",AW39/AV39-1)</f>
        <v>8.5474810916006838E-2</v>
      </c>
      <c r="AX49" s="50">
        <f t="shared" ref="AX49:BB49" si="295">IF(ISERROR(AX39/AW39),"n.a.",AX39/AW39-1)</f>
        <v>0.19617790273618163</v>
      </c>
      <c r="AY49" s="50">
        <f t="shared" si="295"/>
        <v>0.23930371985284093</v>
      </c>
      <c r="AZ49" s="50">
        <f t="shared" si="295"/>
        <v>0.10450509881531578</v>
      </c>
      <c r="BA49" s="50">
        <f t="shared" si="295"/>
        <v>-4.6076699101610163E-2</v>
      </c>
      <c r="BB49" s="50">
        <f t="shared" si="295"/>
        <v>-4.1141098052515535E-2</v>
      </c>
      <c r="BC49" s="50">
        <f t="shared" ref="BC49" si="296">IF(ISERROR(BC39/BB39),"n.a.",BC39/BB39-1)</f>
        <v>5.8523446108639687E-2</v>
      </c>
      <c r="BD49" s="50">
        <f t="shared" ref="BD49" si="297">IF(ISERROR(BD39/BC39),"n.a.",BD39/BC39-1)</f>
        <v>0.2095590597730399</v>
      </c>
      <c r="BE49" s="50">
        <f t="shared" ref="BE49" si="298">IF(ISERROR(BE39/BD39),"n.a.",BE39/BD39-1)</f>
        <v>0.11590892187383783</v>
      </c>
      <c r="BF49" s="50">
        <f t="shared" ref="BF49" si="299">IF(ISERROR(BF39/BE39),"n.a.",BF39/BE39-1)</f>
        <v>0.28295850551292068</v>
      </c>
      <c r="BG49" s="50">
        <f t="shared" ref="BG49" si="300">IF(ISERROR(BG39/BF39),"n.a.",BG39/BF39-1)</f>
        <v>0.17683904292584463</v>
      </c>
      <c r="BH49" s="50">
        <f t="shared" ref="BH49:BN49" si="301">IF(ISERROR(BH39/BG39),"n.a.",BH39/BG39-1)</f>
        <v>0.11224554145750831</v>
      </c>
      <c r="BI49" s="51">
        <f t="shared" si="301"/>
        <v>0.16599667745831237</v>
      </c>
      <c r="BJ49" s="50">
        <f t="shared" si="301"/>
        <v>0.18127674472885724</v>
      </c>
      <c r="BK49" s="50">
        <f t="shared" si="301"/>
        <v>0.14941069042494992</v>
      </c>
      <c r="BL49" s="50">
        <f t="shared" si="301"/>
        <v>0.11021297008277431</v>
      </c>
      <c r="BM49" s="50">
        <f t="shared" si="301"/>
        <v>9.361816989195848E-2</v>
      </c>
      <c r="BN49" s="50">
        <f t="shared" si="301"/>
        <v>9.114001202718347E-2</v>
      </c>
    </row>
    <row r="50" spans="2:66" ht="12" customHeight="1" outlineLevel="1">
      <c r="B50" s="1" t="s">
        <v>59</v>
      </c>
      <c r="C50" s="78" t="str">
        <f t="shared" ref="C50:G50" si="302">IF(ISERROR(C11-B11),"n.a.",C11-B11)</f>
        <v>n.a.</v>
      </c>
      <c r="D50" s="78">
        <f t="shared" si="302"/>
        <v>9.5720504024821365E-3</v>
      </c>
      <c r="E50" s="78">
        <f t="shared" si="302"/>
        <v>-2.6226863772324076E-3</v>
      </c>
      <c r="F50" s="78">
        <f t="shared" si="302"/>
        <v>2.5738684682327512E-3</v>
      </c>
      <c r="G50" s="78">
        <f t="shared" si="302"/>
        <v>1.0328812241208983E-3</v>
      </c>
      <c r="H50" s="78">
        <f>IF(ISERROR(H11-G11),"n.a.",H11-G11)</f>
        <v>-3.1209739599736344E-3</v>
      </c>
      <c r="I50" s="78">
        <f t="shared" ref="I50:M50" si="303">IF(ISERROR(I11-H11),"n.a.",I11-H11)</f>
        <v>4.667971161912525E-4</v>
      </c>
      <c r="J50" s="78">
        <f t="shared" si="303"/>
        <v>2.8206861714218656E-3</v>
      </c>
      <c r="K50" s="78">
        <f t="shared" si="303"/>
        <v>3.5701455106390279E-3</v>
      </c>
      <c r="L50" s="78">
        <f t="shared" si="303"/>
        <v>-2.8000799902432143E-3</v>
      </c>
      <c r="M50" s="78">
        <f t="shared" si="303"/>
        <v>1.3812576075295686E-3</v>
      </c>
      <c r="N50" s="78">
        <f t="shared" ref="N50" si="304">IF(ISERROR(N11-M11),"n.a.",N11-M11)</f>
        <v>2.5696516177634438E-3</v>
      </c>
      <c r="O50" s="78">
        <f t="shared" ref="O50" si="305">IF(ISERROR(O11-N11),"n.a.",O11-N11)</f>
        <v>-1.9614361829545235E-3</v>
      </c>
      <c r="P50" s="78">
        <f t="shared" ref="P50:AI50" si="306">IF(ISERROR(P11-O11),"n.a.",P11-O11)</f>
        <v>-3.3820472356628009E-3</v>
      </c>
      <c r="Q50" s="78">
        <f t="shared" si="306"/>
        <v>-1.2626792501552429E-3</v>
      </c>
      <c r="R50" s="78">
        <f t="shared" si="306"/>
        <v>4.8477438750523655E-4</v>
      </c>
      <c r="S50" s="78">
        <f t="shared" si="306"/>
        <v>-2.0685447595644793E-3</v>
      </c>
      <c r="T50" s="78">
        <f t="shared" si="306"/>
        <v>-2.7014948896017972E-3</v>
      </c>
      <c r="U50" s="78">
        <f t="shared" si="306"/>
        <v>5.827234372176443E-4</v>
      </c>
      <c r="V50" s="78">
        <f t="shared" si="306"/>
        <v>-5.3210506868181691E-3</v>
      </c>
      <c r="W50" s="78">
        <f t="shared" si="306"/>
        <v>7.2933738739246537E-4</v>
      </c>
      <c r="X50" s="78">
        <f t="shared" si="306"/>
        <v>6.2012972647712099E-3</v>
      </c>
      <c r="Y50" s="78">
        <f t="shared" si="306"/>
        <v>-3.0933122713007292E-3</v>
      </c>
      <c r="Z50" s="78">
        <f t="shared" si="306"/>
        <v>3.383765348326899E-4</v>
      </c>
      <c r="AA50" s="78">
        <f t="shared" si="306"/>
        <v>9.8434406665591848E-4</v>
      </c>
      <c r="AB50" s="78">
        <f t="shared" si="306"/>
        <v>-9.8672326125747931E-4</v>
      </c>
      <c r="AC50" s="78">
        <f t="shared" si="306"/>
        <v>-3.3088909172024339E-3</v>
      </c>
      <c r="AD50" s="78">
        <f t="shared" si="306"/>
        <v>6.6302457178308433E-4</v>
      </c>
      <c r="AE50" s="78">
        <f t="shared" si="306"/>
        <v>-7.9761827428994833E-4</v>
      </c>
      <c r="AF50" s="78">
        <f t="shared" si="306"/>
        <v>1.1980763056461882E-3</v>
      </c>
      <c r="AG50" s="78">
        <f t="shared" si="306"/>
        <v>-2.797891418529333E-3</v>
      </c>
      <c r="AH50" s="78">
        <f t="shared" si="306"/>
        <v>7.1153262222490091E-4</v>
      </c>
      <c r="AI50" s="88">
        <f t="shared" si="306"/>
        <v>6.3753076299840131E-4</v>
      </c>
      <c r="AJ50" s="78">
        <f t="shared" ref="AJ50" si="307">IF(ISERROR(AJ11-AI11),"n.a.",AJ11-AI11)</f>
        <v>-1.64269801581177E-3</v>
      </c>
      <c r="AK50" s="78">
        <f t="shared" ref="AK50" si="308">IF(ISERROR(AK11-AJ11),"n.a.",AK11-AJ11)</f>
        <v>-2.7599078757855125E-4</v>
      </c>
      <c r="AL50" s="78">
        <f t="shared" ref="AL50" si="309">IF(ISERROR(AL11-AK11),"n.a.",AL11-AK11)</f>
        <v>-6.5301484055152459E-4</v>
      </c>
      <c r="AM50" s="78">
        <f t="shared" ref="AM50" si="310">IF(ISERROR(AM11-AL11),"n.a.",AM11-AL11)</f>
        <v>-5.7023676332238968E-4</v>
      </c>
      <c r="AN50" s="78">
        <f t="shared" ref="AN50" si="311">IF(ISERROR(AN11-AM11),"n.a.",AN11-AM11)</f>
        <v>-5.0768294586273251E-4</v>
      </c>
      <c r="AO50" s="78">
        <f t="shared" ref="AO50" si="312">IF(ISERROR(AO11-AN11),"n.a.",AO11-AN11)</f>
        <v>-4.8092412233421283E-4</v>
      </c>
      <c r="AP50" s="78">
        <f t="shared" ref="AP50" si="313">IF(ISERROR(AP11-AO11),"n.a.",AP11-AO11)</f>
        <v>-4.2080797900070389E-4</v>
      </c>
      <c r="AQ50" s="78">
        <f t="shared" ref="AQ50" si="314">IF(ISERROR(AQ11-AP11),"n.a.",AQ11-AP11)</f>
        <v>-4.3487782446848498E-4</v>
      </c>
      <c r="AR50" s="78">
        <f t="shared" ref="AR50" si="315">IF(ISERROR(AR11-AQ11),"n.a.",AR11-AQ11)</f>
        <v>-3.830580264052915E-4</v>
      </c>
      <c r="AT50" s="78">
        <f>IF(ISERROR(AT11-T11),"n.a.",AT11-T11)</f>
        <v>2.8616826443858198E-4</v>
      </c>
      <c r="AU50" s="78">
        <f>IF(ISERROR(AU11-AT11),"n.a.",AU11-AT11)</f>
        <v>3.4015919191390728E-3</v>
      </c>
      <c r="AV50" s="78">
        <f>IF(ISERROR(AV11-AU11),"n.a.",AV11-AU11)</f>
        <v>7.4209007195637916E-4</v>
      </c>
      <c r="AW50" s="78">
        <f>IF(ISERROR(AW11-AV11),"n.a.",AW11-AV11)</f>
        <v>3.3963998627699679E-4</v>
      </c>
      <c r="AX50" s="78">
        <f t="shared" ref="AX50:BB50" si="316">IF(ISERROR(AX11-AW11),"n.a.",AX11-AW11)</f>
        <v>3.5150889326336435E-3</v>
      </c>
      <c r="AY50" s="78">
        <f t="shared" si="316"/>
        <v>1.3737465014721992E-3</v>
      </c>
      <c r="AZ50" s="78">
        <f t="shared" si="316"/>
        <v>-2.47478326799834E-3</v>
      </c>
      <c r="BA50" s="78">
        <f t="shared" si="316"/>
        <v>-2.6573677164836995E-3</v>
      </c>
      <c r="BB50" s="78">
        <f t="shared" si="316"/>
        <v>-3.2298823903199984E-3</v>
      </c>
      <c r="BC50" s="78">
        <f t="shared" ref="BC50" si="317">IF(ISERROR(BC11-BB11),"n.a.",BC11-BB11)</f>
        <v>-3.3473926419039235E-3</v>
      </c>
      <c r="BD50" s="78">
        <f t="shared" ref="BD50" si="318">IF(ISERROR(BD11-BC11),"n.a.",BD11-BC11)</f>
        <v>1.1822937929824792E-3</v>
      </c>
      <c r="BE50" s="78">
        <f t="shared" ref="BE50" si="319">IF(ISERROR(BE11-BD11),"n.a.",BE11-BD11)</f>
        <v>1.3894557493313031E-4</v>
      </c>
      <c r="BF50" s="78">
        <f t="shared" ref="BF50" si="320">IF(ISERROR(BF11-BE11),"n.a.",BF11-BE11)</f>
        <v>6.2002127809925728E-4</v>
      </c>
      <c r="BG50" s="78">
        <f t="shared" ref="BG50" si="321">IF(ISERROR(BG11-BF11),"n.a.",BG11-BF11)</f>
        <v>-3.4243492361469181E-3</v>
      </c>
      <c r="BH50" s="78">
        <f t="shared" ref="BH50:BN50" si="322">IF(ISERROR(BH11-BG11),"n.a.",BH11-BG11)</f>
        <v>1.4027294876647195E-4</v>
      </c>
      <c r="BI50" s="88">
        <f t="shared" si="322"/>
        <v>-1.8515600395640971E-3</v>
      </c>
      <c r="BJ50" s="78">
        <f t="shared" si="322"/>
        <v>1.2879670534797841E-4</v>
      </c>
      <c r="BK50" s="78">
        <f t="shared" si="322"/>
        <v>-1.4014366358612272E-3</v>
      </c>
      <c r="BL50" s="78">
        <f t="shared" si="322"/>
        <v>-1.1435353193523061E-3</v>
      </c>
      <c r="BM50" s="78">
        <f t="shared" si="322"/>
        <v>-9.4449167551807246E-4</v>
      </c>
      <c r="BN50" s="78">
        <f t="shared" si="322"/>
        <v>-8.3618726199112189E-4</v>
      </c>
    </row>
    <row r="51" spans="2:66" ht="12" customHeight="1" outlineLevel="1">
      <c r="B51" s="1" t="s">
        <v>60</v>
      </c>
      <c r="C51" s="50" t="str">
        <f>IF(ISERROR(C42/B42),"n.a.",C42/B42-1)</f>
        <v>n.a.</v>
      </c>
      <c r="D51" s="50">
        <f>IF(ISERROR(D42/C42),"n.a.",D42/C42-1)</f>
        <v>1.6778918596909276</v>
      </c>
      <c r="E51" s="50">
        <f t="shared" ref="E51:M51" si="323">IF(ISERROR(E42/D42),"n.a.",E42/D42-1)</f>
        <v>-5.8419154049821787E-2</v>
      </c>
      <c r="F51" s="50">
        <f t="shared" si="323"/>
        <v>-1.5662639439647186E-2</v>
      </c>
      <c r="G51" s="50">
        <f t="shared" si="323"/>
        <v>5.8908242071130434E-2</v>
      </c>
      <c r="H51" s="50">
        <f t="shared" si="323"/>
        <v>7.5555555555555376E-3</v>
      </c>
      <c r="I51" s="50">
        <f t="shared" si="323"/>
        <v>3.5730039700044181E-2</v>
      </c>
      <c r="J51" s="50">
        <f t="shared" si="323"/>
        <v>4.3867120954003358E-2</v>
      </c>
      <c r="K51" s="50">
        <f t="shared" si="323"/>
        <v>0.10363117095063235</v>
      </c>
      <c r="L51" s="50">
        <f t="shared" si="323"/>
        <v>0.1611829944547134</v>
      </c>
      <c r="M51" s="50">
        <f t="shared" si="323"/>
        <v>-9.2327284304362101E-3</v>
      </c>
      <c r="N51" s="50">
        <f t="shared" ref="N51" si="324">IF(ISERROR(N42/M42),"n.a.",N42/M42-1)</f>
        <v>0.13303341902313615</v>
      </c>
      <c r="O51" s="50">
        <f t="shared" ref="O51" si="325">IF(ISERROR(O42/N42),"n.a.",O42/N42-1)</f>
        <v>1.106069200226889E-2</v>
      </c>
      <c r="P51" s="50">
        <f t="shared" ref="P51:AI51" si="326">IF(ISERROR(P42/O42),"n.a.",P42/O42-1)</f>
        <v>-3.9551192145862557E-2</v>
      </c>
      <c r="Q51" s="50">
        <f t="shared" si="326"/>
        <v>4.2932242990654235E-2</v>
      </c>
      <c r="R51" s="50">
        <f t="shared" si="326"/>
        <v>-8.2889946793615277E-2</v>
      </c>
      <c r="S51" s="50">
        <f t="shared" si="326"/>
        <v>1.4351145038167923E-2</v>
      </c>
      <c r="T51" s="50">
        <f t="shared" si="326"/>
        <v>2.7995183624322628E-2</v>
      </c>
      <c r="U51" s="50">
        <f t="shared" si="326"/>
        <v>7.1449487554904767E-2</v>
      </c>
      <c r="V51" s="50">
        <f t="shared" si="326"/>
        <v>-9.8387537578573658E-3</v>
      </c>
      <c r="W51" s="50">
        <f t="shared" si="326"/>
        <v>5.5202870549275751E-4</v>
      </c>
      <c r="X51" s="50">
        <f t="shared" si="326"/>
        <v>5.8758620689655094E-2</v>
      </c>
      <c r="Y51" s="50">
        <f t="shared" si="326"/>
        <v>-8.207399687337158E-2</v>
      </c>
      <c r="Z51" s="50">
        <f t="shared" si="326"/>
        <v>4.5699687766108443E-2</v>
      </c>
      <c r="AA51" s="50">
        <f t="shared" si="326"/>
        <v>0.40092290988056467</v>
      </c>
      <c r="AB51" s="50">
        <f t="shared" si="326"/>
        <v>3.6814570819608594E-2</v>
      </c>
      <c r="AC51" s="50">
        <f t="shared" si="326"/>
        <v>-2.6910857783591813E-2</v>
      </c>
      <c r="AD51" s="50">
        <f t="shared" si="326"/>
        <v>2.6502784712886474E-2</v>
      </c>
      <c r="AE51" s="50">
        <f t="shared" si="326"/>
        <v>2.319925163704406E-2</v>
      </c>
      <c r="AF51" s="50">
        <f t="shared" si="326"/>
        <v>3.7484000731395239E-2</v>
      </c>
      <c r="AG51" s="50">
        <f t="shared" si="326"/>
        <v>-4.2650687345787808E-2</v>
      </c>
      <c r="AH51" s="50">
        <f t="shared" si="326"/>
        <v>1.6200294550809957E-2</v>
      </c>
      <c r="AI51" s="51">
        <f t="shared" si="326"/>
        <v>-1.7210144927536253E-2</v>
      </c>
      <c r="AJ51" s="50">
        <f t="shared" ref="AJ51" si="327">IF(ISERROR(AJ42/AI42),"n.a.",AJ42/AI42-1)</f>
        <v>-0.51496714814814815</v>
      </c>
      <c r="AK51" s="50">
        <f t="shared" ref="AK51" si="328">IF(ISERROR(AK42/AJ42),"n.a.",AK42/AJ42-1)</f>
        <v>-1.2631578947368438E-2</v>
      </c>
      <c r="AL51" s="50">
        <f t="shared" ref="AL51" si="329">IF(ISERROR(AL42/AK42),"n.a.",AL42/AK42-1)</f>
        <v>1.0731939163497906E-2</v>
      </c>
      <c r="AM51" s="50">
        <f t="shared" ref="AM51" si="330">IF(ISERROR(AM42/AL42),"n.a.",AM42/AL42-1)</f>
        <v>-6.2081784386616157E-3</v>
      </c>
      <c r="AN51" s="50">
        <f t="shared" ref="AN51" si="331">IF(ISERROR(AN42/AM42),"n.a.",AN42/AM42-1)</f>
        <v>-5.9636363636367262E-3</v>
      </c>
      <c r="AO51" s="50">
        <f t="shared" ref="AO51" si="332">IF(ISERROR(AO42/AN42),"n.a.",AO42/AN42-1)</f>
        <v>-5.7295373665479099E-3</v>
      </c>
      <c r="AP51" s="50">
        <f t="shared" ref="AP51" si="333">IF(ISERROR(AP42/AO42),"n.a.",AP42/AO42-1)</f>
        <v>-8.571675900277298E-3</v>
      </c>
      <c r="AQ51" s="50">
        <f t="shared" ref="AQ51" si="334">IF(ISERROR(AQ42/AP42),"n.a.",AQ42/AP42-1)</f>
        <v>-1.1166219839142233E-2</v>
      </c>
      <c r="AR51" s="50">
        <f t="shared" ref="AR51" si="335">IF(ISERROR(AR42/AQ42),"n.a.",AR42/AQ42-1)</f>
        <v>-1.0662337662337817E-2</v>
      </c>
      <c r="AT51" s="50">
        <f>IF(ISERROR(AT42/T42),"n.a.",AT42/T42-1)</f>
        <v>-0.32867642752562221</v>
      </c>
      <c r="AU51" s="50">
        <f>IF(ISERROR(AU42/AT42),"n.a.",AU42/AT42-1)</f>
        <v>-7.3166795343217461E-2</v>
      </c>
      <c r="AV51" s="50">
        <f>IF(ISERROR(AV42/AU42),"n.a.",AV42/AU42-1)</f>
        <v>6.6908882122334479E-2</v>
      </c>
      <c r="AW51" s="50">
        <f>IF(ISERROR(AW42/AV42),"n.a.",AW42/AV42-1)</f>
        <v>8.1164534627260698E-2</v>
      </c>
      <c r="AX51" s="50">
        <f t="shared" ref="AX51:BB51" si="336">IF(ISERROR(AX42/AW42),"n.a.",AX42/AW42-1)</f>
        <v>0.28151774785801709</v>
      </c>
      <c r="AY51" s="50">
        <f t="shared" si="336"/>
        <v>0.12257242916268707</v>
      </c>
      <c r="AZ51" s="50">
        <f t="shared" si="336"/>
        <v>-2.8927963698241688E-2</v>
      </c>
      <c r="BA51" s="50">
        <f t="shared" si="336"/>
        <v>-4.3516355140186924E-2</v>
      </c>
      <c r="BB51" s="50">
        <f t="shared" si="336"/>
        <v>4.2748091603053373E-2</v>
      </c>
      <c r="BC51" s="50">
        <f t="shared" ref="BC51" si="337">IF(ISERROR(BC42/BB42),"n.a.",BC42/BB42-1)</f>
        <v>6.0907759882869783E-2</v>
      </c>
      <c r="BD51" s="50">
        <f t="shared" ref="BD51" si="338">IF(ISERROR(BD42/BC42),"n.a.",BD42/BC42-1)</f>
        <v>5.9343085840463772E-2</v>
      </c>
      <c r="BE51" s="50">
        <f t="shared" ref="BE51" si="339">IF(ISERROR(BE42/BD42),"n.a.",BE42/BD42-1)</f>
        <v>-4.0125065138092775E-2</v>
      </c>
      <c r="BF51" s="50">
        <f t="shared" ref="BF51" si="340">IF(ISERROR(BF42/BE42),"n.a.",BF42/BE42-1)</f>
        <v>0.4524972855591749</v>
      </c>
      <c r="BG51" s="50">
        <f t="shared" ref="BG51" si="341">IF(ISERROR(BG42/BF42),"n.a.",BG42/BF42-1)</f>
        <v>-1.1212857409830246E-3</v>
      </c>
      <c r="BH51" s="50">
        <f t="shared" ref="BH51:BN51" si="342">IF(ISERROR(BH42/BG42),"n.a.",BH42/BG42-1)</f>
        <v>6.1552853133769903E-2</v>
      </c>
      <c r="BI51" s="51">
        <f t="shared" si="342"/>
        <v>-2.714134649277411E-2</v>
      </c>
      <c r="BJ51" s="50">
        <f t="shared" si="342"/>
        <v>-0.5233146338231347</v>
      </c>
      <c r="BK51" s="50">
        <f t="shared" si="342"/>
        <v>-2.0352011206725695E-3</v>
      </c>
      <c r="BL51" s="50">
        <f t="shared" si="342"/>
        <v>-1.213479148360963E-2</v>
      </c>
      <c r="BM51" s="50">
        <f t="shared" si="342"/>
        <v>-1.4252101529460659E-2</v>
      </c>
      <c r="BN51" s="50">
        <f t="shared" si="342"/>
        <v>-2.1709499495143114E-2</v>
      </c>
    </row>
    <row r="52" spans="2:66" ht="12" customHeight="1" outlineLevel="1">
      <c r="B52" s="1" t="s">
        <v>61</v>
      </c>
      <c r="C52" s="50" t="str">
        <f>IF(ISERROR(C45/B45),"n.a.",C45/B45-1)</f>
        <v>n.a.</v>
      </c>
      <c r="D52" s="50">
        <f>IF(ISERROR(D45/C45),"n.a.",D45/C45-1)</f>
        <v>-0.22884557721139431</v>
      </c>
      <c r="E52" s="50">
        <f t="shared" ref="E52:M52" si="343">IF(ISERROR(E45/D45),"n.a.",E45/D45-1)</f>
        <v>-1.957124711615732E-2</v>
      </c>
      <c r="F52" s="50">
        <f t="shared" si="343"/>
        <v>-3.7782243138913874E-2</v>
      </c>
      <c r="G52" s="50">
        <f t="shared" si="343"/>
        <v>4.1409062182287792E-2</v>
      </c>
      <c r="H52" s="50">
        <f t="shared" si="343"/>
        <v>0</v>
      </c>
      <c r="I52" s="50">
        <f t="shared" si="343"/>
        <v>4.2216358839050061E-2</v>
      </c>
      <c r="J52" s="50">
        <f t="shared" si="343"/>
        <v>3.7974683544303778E-2</v>
      </c>
      <c r="K52" s="50">
        <f t="shared" si="343"/>
        <v>0.20975609756097557</v>
      </c>
      <c r="L52" s="50">
        <f t="shared" si="343"/>
        <v>5.8467741935483764E-2</v>
      </c>
      <c r="M52" s="50">
        <f t="shared" si="343"/>
        <v>0.11428571428571432</v>
      </c>
      <c r="N52" s="50">
        <f t="shared" ref="N52" si="344">IF(ISERROR(N45/M45),"n.a.",N45/M45-1)</f>
        <v>0.1316239316239316</v>
      </c>
      <c r="O52" s="50">
        <f t="shared" ref="O52" si="345">IF(ISERROR(O45/N45),"n.a.",O45/N45-1)</f>
        <v>8.1570996978852062E-2</v>
      </c>
      <c r="P52" s="50">
        <f t="shared" ref="P52:AI52" si="346">IF(ISERROR(P45/O45),"n.a.",P45/O45-1)</f>
        <v>-7.1229050279329575E-2</v>
      </c>
      <c r="Q52" s="50">
        <f t="shared" si="346"/>
        <v>8.2706766917293173E-2</v>
      </c>
      <c r="R52" s="50">
        <f t="shared" si="346"/>
        <v>7.2222222222222188E-2</v>
      </c>
      <c r="S52" s="50">
        <f t="shared" si="346"/>
        <v>2.9792746113989743E-2</v>
      </c>
      <c r="T52" s="50">
        <f t="shared" si="346"/>
        <v>8.4276729559748409E-2</v>
      </c>
      <c r="U52" s="50">
        <f t="shared" si="346"/>
        <v>0.34106728538283071</v>
      </c>
      <c r="V52" s="50">
        <f t="shared" si="346"/>
        <v>0.10640138408304489</v>
      </c>
      <c r="W52" s="50">
        <f t="shared" si="346"/>
        <v>5.0820953870211127E-2</v>
      </c>
      <c r="X52" s="50">
        <f t="shared" si="346"/>
        <v>0.11086309523809534</v>
      </c>
      <c r="Y52" s="50">
        <f t="shared" si="346"/>
        <v>-6.3630274614869364E-2</v>
      </c>
      <c r="Z52" s="50">
        <f t="shared" si="346"/>
        <v>1.5736766809728131E-2</v>
      </c>
      <c r="AA52" s="50">
        <f t="shared" si="346"/>
        <v>0.11830985915492964</v>
      </c>
      <c r="AB52" s="50">
        <f t="shared" si="346"/>
        <v>-3.1486146095718315E-3</v>
      </c>
      <c r="AC52" s="50">
        <f t="shared" si="346"/>
        <v>0.19077700568540745</v>
      </c>
      <c r="AD52" s="50">
        <f t="shared" si="346"/>
        <v>9.1777188328912462E-2</v>
      </c>
      <c r="AE52" s="50">
        <f t="shared" si="346"/>
        <v>2.0408163265306145E-2</v>
      </c>
      <c r="AF52" s="50">
        <f t="shared" si="346"/>
        <v>5.8571428571428497E-2</v>
      </c>
      <c r="AG52" s="50">
        <f t="shared" si="346"/>
        <v>-2.1592442645074206E-2</v>
      </c>
      <c r="AH52" s="50">
        <f t="shared" si="346"/>
        <v>1.6551724137930934E-2</v>
      </c>
      <c r="AI52" s="51">
        <f t="shared" si="346"/>
        <v>1.582994120307557E-2</v>
      </c>
      <c r="AJ52" s="50">
        <f t="shared" ref="AJ52" si="347">IF(ISERROR(AJ45/AI45),"n.a.",AJ45/AI45-1)</f>
        <v>2.5608216721723753E-2</v>
      </c>
      <c r="AK52" s="50">
        <f t="shared" ref="AK52" si="348">IF(ISERROR(AK45/AJ45),"n.a.",AK45/AJ45-1)</f>
        <v>4.7466625748043834E-2</v>
      </c>
      <c r="AL52" s="50">
        <f t="shared" ref="AL52" si="349">IF(ISERROR(AL45/AK45),"n.a.",AL45/AK45-1)</f>
        <v>3.1406844106463883E-2</v>
      </c>
      <c r="AM52" s="50">
        <f t="shared" ref="AM52" si="350">IF(ISERROR(AM45/AL45),"n.a.",AM45/AL45-1)</f>
        <v>7.6951672862459741E-3</v>
      </c>
      <c r="AN52" s="50">
        <f t="shared" ref="AN52" si="351">IF(ISERROR(AN45/AM45),"n.a.",AN45/AM45-1)</f>
        <v>8.1818181818178459E-3</v>
      </c>
      <c r="AO52" s="50">
        <f t="shared" ref="AO52" si="352">IF(ISERROR(AO45/AN45),"n.a.",AO45/AN45-1)</f>
        <v>8.647686832740753E-3</v>
      </c>
      <c r="AP52" s="50">
        <f t="shared" ref="AP52" si="353">IF(ISERROR(AP45/AO45),"n.a.",AP45/AO45-1)</f>
        <v>6.565096952901861E-4</v>
      </c>
      <c r="AQ52" s="50">
        <f t="shared" ref="AQ52" si="354">IF(ISERROR(AQ45/AP45),"n.a.",AQ45/AP45-1)</f>
        <v>-6.8358151103071751E-3</v>
      </c>
      <c r="AR52" s="50">
        <f t="shared" ref="AR52" si="355">IF(ISERROR(AR45/AQ45),"n.a.",AR45/AQ45-1)</f>
        <v>-5.8757032441244528E-3</v>
      </c>
      <c r="AT52" s="50">
        <f>IF(ISERROR(AT45/T45),"n.a.",AT45/T45-1)</f>
        <v>-0.55247099767981434</v>
      </c>
      <c r="AU52" s="50">
        <f>IF(ISERROR(AU45/AT45),"n.a.",AU45/AT45-1)</f>
        <v>-5.6614044637996686E-2</v>
      </c>
      <c r="AV52" s="50">
        <f>IF(ISERROR(AV45/AU45),"n.a.",AV45/AU45-1)</f>
        <v>4.1409062182287792E-2</v>
      </c>
      <c r="AW52" s="50">
        <f>IF(ISERROR(AW45/AV45),"n.a.",AW45/AV45-1)</f>
        <v>8.1794195250659563E-2</v>
      </c>
      <c r="AX52" s="50">
        <f t="shared" ref="AX52:BB52" si="356">IF(ISERROR(AX45/AW45),"n.a.",AX45/AW45-1)</f>
        <v>0.28048780487804881</v>
      </c>
      <c r="AY52" s="50">
        <f t="shared" si="356"/>
        <v>0.26095238095238105</v>
      </c>
      <c r="AZ52" s="50">
        <f t="shared" si="356"/>
        <v>4.5317220543805714E-3</v>
      </c>
      <c r="BA52" s="50">
        <f t="shared" si="356"/>
        <v>0.16090225563909777</v>
      </c>
      <c r="BB52" s="50">
        <f t="shared" si="356"/>
        <v>0.11658031088082899</v>
      </c>
      <c r="BC52" s="50">
        <f t="shared" ref="BC52" si="357">IF(ISERROR(BC45/BB45),"n.a.",BC45/BB45-1)</f>
        <v>0.48375870069605575</v>
      </c>
      <c r="BD52" s="50">
        <f t="shared" ref="BD52" si="358">IF(ISERROR(BD45/BC45),"n.a.",BD45/BC45-1)</f>
        <v>0.16731821735731045</v>
      </c>
      <c r="BE52" s="50">
        <f t="shared" ref="BE52" si="359">IF(ISERROR(BE45/BD45),"n.a.",BE45/BD45-1)</f>
        <v>-4.8894842598794397E-2</v>
      </c>
      <c r="BF52" s="50">
        <f t="shared" ref="BF52" si="360">IF(ISERROR(BF45/BE45),"n.a.",BF45/BE45-1)</f>
        <v>0.11478873239436616</v>
      </c>
      <c r="BG52" s="50">
        <f t="shared" ref="BG52" si="361">IF(ISERROR(BG45/BF45),"n.a.",BG45/BF45-1)</f>
        <v>0.30006317119393566</v>
      </c>
      <c r="BH52" s="50">
        <f t="shared" ref="BH52:BN52" si="362">IF(ISERROR(BH45/BG45),"n.a.",BH45/BG45-1)</f>
        <v>8.0174927113702665E-2</v>
      </c>
      <c r="BI52" s="51">
        <f t="shared" si="362"/>
        <v>-5.3981106612686069E-3</v>
      </c>
      <c r="BJ52" s="50">
        <f t="shared" si="362"/>
        <v>4.1843534489819811E-2</v>
      </c>
      <c r="BK52" s="50">
        <f t="shared" si="362"/>
        <v>8.0364246769636383E-2</v>
      </c>
      <c r="BL52" s="50">
        <f t="shared" si="362"/>
        <v>1.5939945927678556E-2</v>
      </c>
      <c r="BM52" s="50">
        <f t="shared" si="362"/>
        <v>9.3098738182784135E-3</v>
      </c>
      <c r="BN52" s="50">
        <f t="shared" si="362"/>
        <v>-1.2671353133411833E-2</v>
      </c>
    </row>
    <row r="53" spans="2:66" ht="12" customHeight="1" outlineLevel="1">
      <c r="B53" s="1" t="s">
        <v>75</v>
      </c>
      <c r="C53" s="78">
        <f t="shared" ref="C53:I53" si="363">IF(ISERROR(C13/AVERAGE(B42:C42)),"n.a.",C13*C$5/AVERAGE(B42:C42))</f>
        <v>4.6362332913528741E-3</v>
      </c>
      <c r="D53" s="78">
        <f t="shared" si="363"/>
        <v>3.3630000473249076E-3</v>
      </c>
      <c r="E53" s="78">
        <f t="shared" si="363"/>
        <v>2.8229568522922539E-3</v>
      </c>
      <c r="F53" s="78">
        <f t="shared" si="363"/>
        <v>2.6593413263566201E-3</v>
      </c>
      <c r="G53" s="78">
        <f t="shared" si="363"/>
        <v>2.6332451775268983E-3</v>
      </c>
      <c r="H53" s="78">
        <f t="shared" si="363"/>
        <v>2.6300642019039186E-3</v>
      </c>
      <c r="I53" s="78">
        <f t="shared" si="363"/>
        <v>2.6795493431374293E-3</v>
      </c>
      <c r="J53" s="78">
        <f>IF(ISERROR(J13/AVERAGE(I42:J42)),"n.a.",J13*J$5/AVERAGE(I42:J42))</f>
        <v>2.724697681980449E-3</v>
      </c>
      <c r="K53" s="78">
        <f t="shared" ref="K53:M53" si="364">IF(ISERROR(K13/AVERAGE(J42:K42)),"n.a.",K13*K$5/AVERAGE(J42:K42))</f>
        <v>2.9554405287277384E-3</v>
      </c>
      <c r="L53" s="78">
        <f t="shared" si="364"/>
        <v>2.840488283526258E-3</v>
      </c>
      <c r="M53" s="78">
        <f t="shared" si="364"/>
        <v>2.5645395128371172E-3</v>
      </c>
      <c r="N53" s="78">
        <f t="shared" ref="N53" si="365">IF(ISERROR(N13/AVERAGE(M42:N42)),"n.a.",N13*N$5/AVERAGE(M42:N42))</f>
        <v>2.8037042800525777E-3</v>
      </c>
      <c r="O53" s="78">
        <f t="shared" ref="O53" si="366">IF(ISERROR(O13/AVERAGE(N42:O42)),"n.a.",O13*O$5/AVERAGE(N42:O42))</f>
        <v>2.7527852207022987E-3</v>
      </c>
      <c r="P53" s="78">
        <f t="shared" ref="P53:AI53" si="367">IF(ISERROR(P13/AVERAGE(O42:P42)),"n.a.",P13*P$5/AVERAGE(O42:P42))</f>
        <v>2.7300042924595794E-3</v>
      </c>
      <c r="Q53" s="78">
        <f t="shared" si="367"/>
        <v>2.6745880156395863E-3</v>
      </c>
      <c r="R53" s="78">
        <f t="shared" si="367"/>
        <v>2.7360967983229155E-3</v>
      </c>
      <c r="S53" s="78">
        <f t="shared" si="367"/>
        <v>2.8964150785545013E-3</v>
      </c>
      <c r="T53" s="78">
        <f t="shared" si="367"/>
        <v>2.9946971538184243E-3</v>
      </c>
      <c r="U53" s="78">
        <f t="shared" si="367"/>
        <v>2.8984768358230168E-3</v>
      </c>
      <c r="V53" s="78">
        <f t="shared" si="367"/>
        <v>2.748535452462945E-3</v>
      </c>
      <c r="W53" s="78">
        <f t="shared" si="367"/>
        <v>2.9304635761589403E-3</v>
      </c>
      <c r="X53" s="78">
        <f t="shared" si="367"/>
        <v>3.1515476349993302E-3</v>
      </c>
      <c r="Y53" s="78">
        <f t="shared" si="367"/>
        <v>2.7854673463676163E-3</v>
      </c>
      <c r="Z53" s="78">
        <f t="shared" si="367"/>
        <v>3.0053199194312002E-3</v>
      </c>
      <c r="AA53" s="78">
        <f t="shared" si="367"/>
        <v>3.8109271083351095E-3</v>
      </c>
      <c r="AB53" s="78">
        <f t="shared" si="367"/>
        <v>3.2928876678876679E-3</v>
      </c>
      <c r="AC53" s="78">
        <f t="shared" si="367"/>
        <v>3.0150394852477649E-3</v>
      </c>
      <c r="AD53" s="78">
        <f t="shared" si="367"/>
        <v>2.8622770330503462E-3</v>
      </c>
      <c r="AE53" s="78">
        <f t="shared" si="367"/>
        <v>2.7778805252450527E-3</v>
      </c>
      <c r="AF53" s="78">
        <f t="shared" si="367"/>
        <v>2.6707349905770437E-3</v>
      </c>
      <c r="AG53" s="78">
        <f t="shared" si="367"/>
        <v>2.6328012525105812E-3</v>
      </c>
      <c r="AH53" s="78">
        <f t="shared" si="367"/>
        <v>2.7650627312789471E-3</v>
      </c>
      <c r="AI53" s="88">
        <f t="shared" si="367"/>
        <v>2.6533062730443075E-3</v>
      </c>
      <c r="AJ53" s="78">
        <f t="shared" ref="AJ53" si="368">IF(ISERROR(AJ13/AVERAGE(AI42:AJ42)),"n.a.",AJ13*AJ$5/AVERAGE(AI42:AJ42))</f>
        <v>2.5127405882086882E-3</v>
      </c>
      <c r="AK53" s="78">
        <f t="shared" ref="AK53" si="369">IF(ISERROR(AK13/AVERAGE(AJ42:AK42)),"n.a.",AK13*AK$5/AVERAGE(AJ42:AK42))</f>
        <v>2.1520553194936476E-3</v>
      </c>
      <c r="AL53" s="78">
        <f t="shared" ref="AL53" si="370">IF(ISERROR(AL13/AVERAGE(AK42:AL42)),"n.a.",AL13*AL$5/AVERAGE(AK42:AL42))</f>
        <v>2.1526526315762923E-3</v>
      </c>
      <c r="AM53" s="78">
        <f t="shared" ref="AM53" si="371">IF(ISERROR(AM13/AVERAGE(AL42:AM42)),"n.a.",AM13*AM$5/AVERAGE(AL42:AM42))</f>
        <v>2.152196979829807E-3</v>
      </c>
      <c r="AN53" s="78">
        <f t="shared" ref="AN53" si="372">IF(ISERROR(AN13/AVERAGE(AM42:AN42)),"n.a.",AN13*AN$5/AVERAGE(AM42:AN42))</f>
        <v>2.1527583885224714E-3</v>
      </c>
      <c r="AO53" s="78">
        <f t="shared" ref="AO53" si="373">IF(ISERROR(AO13/AVERAGE(AN42:AO42)),"n.a.",AO13*AO$5/AVERAGE(AN42:AO42))</f>
        <v>2.1530473827071697E-3</v>
      </c>
      <c r="AP53" s="78">
        <f t="shared" ref="AP53" si="374">IF(ISERROR(AP13/AVERAGE(AO42:AP42)),"n.a.",AP13*AP$5/AVERAGE(AO42:AP42))</f>
        <v>2.1542254834495973E-3</v>
      </c>
      <c r="AQ53" s="78">
        <f t="shared" ref="AQ53" si="375">IF(ISERROR(AQ13/AVERAGE(AP42:AQ42)),"n.a.",AQ13*AQ$5/AVERAGE(AP42:AQ42))</f>
        <v>2.1546418031740009E-3</v>
      </c>
      <c r="AR53" s="78">
        <f t="shared" ref="AR53" si="376">IF(ISERROR(AR13/AVERAGE(AQ42:AR42)),"n.a.",AR13*AR$5/AVERAGE(AQ42:AR42))</f>
        <v>2.1562034592248242E-3</v>
      </c>
      <c r="AT53" s="78">
        <f>IF(ISERROR(AT13/AVERAGE(T42:AT42)),"n.a.",AT13*AT$5/AVERAGE(T42:AT42))</f>
        <v>1.2102250523025146E-3</v>
      </c>
      <c r="AU53" s="78">
        <f>IF(ISERROR(AU13/AVERAGE(AT42:AU42)),"n.a.",AU13*AU$5/AVERAGE(AT42:AU42))</f>
        <v>2.7120025354280797E-3</v>
      </c>
      <c r="AV53" s="78">
        <f>IF(ISERROR(AV13/AVERAGE(AU42:AV42)),"n.a.",AV13*AV$5/AVERAGE(AU42:AV42))</f>
        <v>2.6640375424367519E-3</v>
      </c>
      <c r="AW53" s="78">
        <f>IF(ISERROR(AW13/AVERAGE(AV42:AW42)),"n.a.",AW13*AW$5/AVERAGE(AV42:AW42))</f>
        <v>2.6960576515472658E-3</v>
      </c>
      <c r="AX53" s="78">
        <f t="shared" ref="AX53:BB53" si="377">IF(ISERROR(AX13/AVERAGE(AW42:AX42)),"n.a.",AX13*AX$5/AVERAGE(AW42:AX42))</f>
        <v>2.8469241773962802E-3</v>
      </c>
      <c r="AY53" s="78">
        <f t="shared" si="377"/>
        <v>2.5978701064946754E-3</v>
      </c>
      <c r="AZ53" s="78">
        <f t="shared" si="377"/>
        <v>2.7769784172661871E-3</v>
      </c>
      <c r="BA53" s="78">
        <f t="shared" si="377"/>
        <v>2.7944469323779668E-3</v>
      </c>
      <c r="BB53" s="78">
        <f t="shared" si="377"/>
        <v>2.9357249626307922E-3</v>
      </c>
      <c r="BC53" s="78">
        <f t="shared" ref="BC53" si="378">IF(ISERROR(BC13/AVERAGE(BB42:BC42)),"n.a.",BC13*BC$5/AVERAGE(BB42:BC42))</f>
        <v>2.8786587098607558E-3</v>
      </c>
      <c r="BD53" s="78">
        <f t="shared" ref="BD53" si="379">IF(ISERROR(BD13/AVERAGE(BC42:BD42)),"n.a.",BD13*BD$5/AVERAGE(BC42:BD42))</f>
        <v>2.9995979091274627E-3</v>
      </c>
      <c r="BE53" s="78">
        <f t="shared" ref="BE53" si="380">IF(ISERROR(BE13/AVERAGE(BD42:BE42)),"n.a.",BE13*BE$5/AVERAGE(BD42:BE42))</f>
        <v>2.8024461579367189E-3</v>
      </c>
      <c r="BF53" s="78">
        <f t="shared" ref="BF53" si="381">IF(ISERROR(BF13/AVERAGE(BE42:BF42)),"n.a.",BF13*BF$5/AVERAGE(BE42:BF42))</f>
        <v>3.780852241283896E-3</v>
      </c>
      <c r="BG53" s="78">
        <f t="shared" ref="BG53" si="382">IF(ISERROR(BG13/AVERAGE(BF42:BG42)),"n.a.",BG13*BG$5/AVERAGE(BF42:BG42))</f>
        <v>2.9001495886312638E-3</v>
      </c>
      <c r="BH53" s="78">
        <f t="shared" ref="BH53:BJ53" si="383">IF(ISERROR(BH13/AVERAGE(BG42:BH42)),"n.a.",BH13*BH$5/AVERAGE(BG42:BH42))</f>
        <v>2.7134948724929667E-3</v>
      </c>
      <c r="BI53" s="88">
        <f t="shared" si="383"/>
        <v>2.6585670895122389E-3</v>
      </c>
      <c r="BJ53" s="78">
        <f t="shared" si="383"/>
        <v>3.0245432777007354E-3</v>
      </c>
      <c r="BK53" s="78">
        <f>IF(ISERROR(BK13/AVERAGE(BK42:BK42)),"n.a.",BK13*BK$5/AVERAGE(BK42:BK42))</f>
        <v>2.1420265331639175E-3</v>
      </c>
      <c r="BL53" s="78">
        <f>IF(ISERROR(BL13/AVERAGE(BL42:BL42)),"n.a.",BL13*BL$5/AVERAGE(BL42:BL42))</f>
        <v>2.1655438053890283E-3</v>
      </c>
      <c r="BM53" s="78">
        <f>IF(ISERROR(BM13/AVERAGE(BM42:BM42)),"n.a.",BM13*BM$5/AVERAGE(BM42:BM42))</f>
        <v>2.1707483483670632E-3</v>
      </c>
      <c r="BN53" s="78">
        <f>IF(ISERROR(BN13/AVERAGE(BN42:BN42)),"n.a.",BN13*BN$5/AVERAGE(BN42:BN42))</f>
        <v>2.1790215468192346E-3</v>
      </c>
    </row>
    <row r="54" spans="2:66" ht="12" customHeight="1" outlineLevel="1">
      <c r="B54" s="1" t="s">
        <v>76</v>
      </c>
      <c r="C54" s="78">
        <f t="shared" ref="C54:I54" si="384">IF(ISERROR(C14/AVERAGE(B45:C45)),"n.a.",C14*C$5/AVERAGE(B45:C45))</f>
        <v>9.6885983237889259E-3</v>
      </c>
      <c r="D54" s="78">
        <f t="shared" si="384"/>
        <v>9.9593415771380145E-3</v>
      </c>
      <c r="E54" s="78">
        <f t="shared" si="384"/>
        <v>9.4506715784695768E-3</v>
      </c>
      <c r="F54" s="78">
        <f t="shared" si="384"/>
        <v>9.1877401046706435E-3</v>
      </c>
      <c r="G54" s="78">
        <f t="shared" si="384"/>
        <v>9.4221528273188589E-3</v>
      </c>
      <c r="H54" s="78">
        <f t="shared" si="384"/>
        <v>9.3931398416886545E-3</v>
      </c>
      <c r="I54" s="78">
        <f t="shared" si="384"/>
        <v>9.7922932463534833E-3</v>
      </c>
      <c r="J54" s="78">
        <f>IF(ISERROR(J14/AVERAGE(I45:J45)),"n.a.",J14*J$5/AVERAGE(I45:J45))</f>
        <v>9.6164084362842118E-3</v>
      </c>
      <c r="K54" s="78">
        <f t="shared" ref="K54:M54" si="385">IF(ISERROR(K14/AVERAGE(J45:K45)),"n.a.",K14*K$5/AVERAGE(J45:K45))</f>
        <v>1.0831252487967284E-2</v>
      </c>
      <c r="L54" s="78">
        <f t="shared" si="385"/>
        <v>9.7033720442143544E-3</v>
      </c>
      <c r="M54" s="78">
        <f t="shared" si="385"/>
        <v>8.9125190764535022E-3</v>
      </c>
      <c r="N54" s="78">
        <f t="shared" ref="N54" si="386">IF(ISERROR(N14/AVERAGE(M45:N45)),"n.a.",N14*N$5/AVERAGE(M45:N45))</f>
        <v>8.8132396873375225E-3</v>
      </c>
      <c r="O54" s="78">
        <f t="shared" ref="O54" si="387">IF(ISERROR(O14/AVERAGE(N45:O45)),"n.a.",O14*O$5/AVERAGE(N45:O45))</f>
        <v>8.7953555878084178E-3</v>
      </c>
      <c r="P54" s="78">
        <f t="shared" ref="P54:AI54" si="388">IF(ISERROR(P14/AVERAGE(O45:P45)),"n.a.",P14*P$5/AVERAGE(O45:P45))</f>
        <v>9.094858797972484E-3</v>
      </c>
      <c r="Q54" s="78">
        <f t="shared" si="388"/>
        <v>9.3606360103371394E-3</v>
      </c>
      <c r="R54" s="78">
        <f t="shared" si="388"/>
        <v>8.5757740918598821E-3</v>
      </c>
      <c r="S54" s="78">
        <f t="shared" si="388"/>
        <v>8.2734402516381235E-3</v>
      </c>
      <c r="T54" s="78">
        <f t="shared" si="388"/>
        <v>7.8670575049573244E-3</v>
      </c>
      <c r="U54" s="78">
        <f t="shared" si="388"/>
        <v>7.6104675407669764E-3</v>
      </c>
      <c r="V54" s="78">
        <f t="shared" si="388"/>
        <v>6.8689216327820022E-3</v>
      </c>
      <c r="W54" s="78">
        <f t="shared" si="388"/>
        <v>6.6488753335874956E-3</v>
      </c>
      <c r="X54" s="78">
        <f t="shared" si="388"/>
        <v>7.0215015861825871E-3</v>
      </c>
      <c r="Y54" s="78">
        <f t="shared" si="388"/>
        <v>6.4989708025471925E-3</v>
      </c>
      <c r="Z54" s="78">
        <f t="shared" si="388"/>
        <v>6.9174615306623827E-3</v>
      </c>
      <c r="AA54" s="78">
        <f t="shared" si="388"/>
        <v>7.0153543192652025E-3</v>
      </c>
      <c r="AB54" s="78">
        <f t="shared" si="388"/>
        <v>7.0707753299995499E-3</v>
      </c>
      <c r="AC54" s="78">
        <f t="shared" si="388"/>
        <v>6.7979843817951484E-3</v>
      </c>
      <c r="AD54" s="78">
        <f t="shared" si="388"/>
        <v>6.7341484282899449E-3</v>
      </c>
      <c r="AE54" s="78">
        <f t="shared" si="388"/>
        <v>6.4069264069264069E-3</v>
      </c>
      <c r="AF54" s="78">
        <f t="shared" si="388"/>
        <v>6.7915799213509138E-3</v>
      </c>
      <c r="AG54" s="78">
        <f t="shared" si="388"/>
        <v>6.4851882499993791E-3</v>
      </c>
      <c r="AH54" s="78">
        <f t="shared" si="388"/>
        <v>6.8130114299744943E-3</v>
      </c>
      <c r="AI54" s="88">
        <f t="shared" si="388"/>
        <v>6.7036441724260109E-3</v>
      </c>
      <c r="AJ54" s="78">
        <f t="shared" ref="AJ54" si="389">IF(ISERROR(AJ14/AVERAGE(AI45:AJ45)),"n.a.",AJ14*AJ$5/AVERAGE(AI45:AJ45))</f>
        <v>6.774367815183098E-3</v>
      </c>
      <c r="AK54" s="78">
        <f t="shared" ref="AK54" si="390">IF(ISERROR(AK14/AVERAGE(AJ45:AK45)),"n.a.",AK14*AK$5/AVERAGE(AJ45:AK45))</f>
        <v>6.7743678151830989E-3</v>
      </c>
      <c r="AL54" s="78">
        <f t="shared" ref="AL54" si="391">IF(ISERROR(AL14/AVERAGE(AK45:AL45)),"n.a.",AL14*AL$5/AVERAGE(AK45:AL45))</f>
        <v>6.774367815183098E-3</v>
      </c>
      <c r="AM54" s="78">
        <f t="shared" ref="AM54" si="392">IF(ISERROR(AM14/AVERAGE(AL45:AM45)),"n.a.",AM14*AM$5/AVERAGE(AL45:AM45))</f>
        <v>6.774367815183098E-3</v>
      </c>
      <c r="AN54" s="78">
        <f t="shared" ref="AN54" si="393">IF(ISERROR(AN14/AVERAGE(AM45:AN45)),"n.a.",AN14*AN$5/AVERAGE(AM45:AN45))</f>
        <v>6.7743678151830989E-3</v>
      </c>
      <c r="AO54" s="78">
        <f t="shared" ref="AO54" si="394">IF(ISERROR(AO14/AVERAGE(AN45:AO45)),"n.a.",AO14*AO$5/AVERAGE(AN45:AO45))</f>
        <v>6.774367815183098E-3</v>
      </c>
      <c r="AP54" s="78">
        <f t="shared" ref="AP54" si="395">IF(ISERROR(AP14/AVERAGE(AO45:AP45)),"n.a.",AP14*AP$5/AVERAGE(AO45:AP45))</f>
        <v>6.7743678151830989E-3</v>
      </c>
      <c r="AQ54" s="78">
        <f t="shared" ref="AQ54" si="396">IF(ISERROR(AQ14/AVERAGE(AP45:AQ45)),"n.a.",AQ14*AQ$5/AVERAGE(AP45:AQ45))</f>
        <v>6.774367815183098E-3</v>
      </c>
      <c r="AR54" s="78">
        <f t="shared" ref="AR54" si="397">IF(ISERROR(AR14/AVERAGE(AQ45:AR45)),"n.a.",AR14*AR$5/AVERAGE(AQ45:AR45))</f>
        <v>6.774367815183098E-3</v>
      </c>
      <c r="AT54" s="78">
        <f>IF(ISERROR(AT14/AVERAGE(T45:AT45)),"n.a.",AT14*AT$5/AVERAGE(T45:AT45))</f>
        <v>2.417085104325872E-3</v>
      </c>
      <c r="AU54" s="78">
        <f>IF(ISERROR(AU14/AVERAGE(AT45:AU45)),"n.a.",AU14*AU$5/AVERAGE(AT45:AU45))</f>
        <v>9.3637454981992801E-3</v>
      </c>
      <c r="AV54" s="78">
        <f>IF(ISERROR(AV14/AVERAGE(AU45:AV45)),"n.a.",AV14*AV$5/AVERAGE(AU45:AV45))</f>
        <v>9.5029141372673064E-3</v>
      </c>
      <c r="AW54" s="78">
        <f>IF(ISERROR(AW14/AVERAGE(AV45:AW45)),"n.a.",AW14*AW$5/AVERAGE(AV45:AW45))</f>
        <v>9.7084917617237011E-3</v>
      </c>
      <c r="AX54" s="78">
        <f t="shared" ref="AX54:BB54" si="398">IF(ISERROR(AX14/AVERAGE(AW45:AX45)),"n.a.",AX14*AX$5/AVERAGE(AW45:AX45))</f>
        <v>1.0545454545454545E-2</v>
      </c>
      <c r="AY54" s="78">
        <f t="shared" si="398"/>
        <v>8.7952822240943557E-3</v>
      </c>
      <c r="AZ54" s="78">
        <f t="shared" si="398"/>
        <v>9.2991710625470979E-3</v>
      </c>
      <c r="BA54" s="78">
        <f t="shared" si="398"/>
        <v>8.9631176061238695E-3</v>
      </c>
      <c r="BB54" s="78">
        <f t="shared" si="398"/>
        <v>7.9559363525091801E-3</v>
      </c>
      <c r="BC54" s="78">
        <f t="shared" ref="BC54" si="399">IF(ISERROR(BC14/AVERAGE(BB45:BC45)),"n.a.",BC14*BC$5/AVERAGE(BB45:BC45))</f>
        <v>7.4918262494161605E-3</v>
      </c>
      <c r="BD54" s="78">
        <f t="shared" ref="BD54" si="400">IF(ISERROR(BD14/AVERAGE(BC45:BD45)),"n.a.",BD14*BD$5/AVERAGE(BC45:BD45))</f>
        <v>6.7388167388167386E-3</v>
      </c>
      <c r="BE54" s="78">
        <f t="shared" ref="BE54" si="401">IF(ISERROR(BE14/AVERAGE(BD45:BE45)),"n.a.",BE14*BE$5/AVERAGE(BD45:BE45))</f>
        <v>6.5705458290422243E-3</v>
      </c>
      <c r="BF54" s="78">
        <f t="shared" ref="BF54" si="402">IF(ISERROR(BF14/AVERAGE(BE45:BF45)),"n.a.",BF14*BF$5/AVERAGE(BE45:BF45))</f>
        <v>7.2460872460872461E-3</v>
      </c>
      <c r="BG54" s="78">
        <f t="shared" ref="BG54" si="403">IF(ISERROR(BG14/AVERAGE(BF45:BG45)),"n.a.",BG14*BG$5/AVERAGE(BF45:BG45))</f>
        <v>6.8827245262290584E-3</v>
      </c>
      <c r="BH54" s="78">
        <f t="shared" ref="BH54:BJ54" si="404">IF(ISERROR(BH14/AVERAGE(BG45:BH45)),"n.a.",BH14*BH$5/AVERAGE(BG45:BH45))</f>
        <v>6.5405279140387761E-3</v>
      </c>
      <c r="BI54" s="88">
        <f t="shared" si="404"/>
        <v>6.5854758682904824E-3</v>
      </c>
      <c r="BJ54" s="78">
        <f t="shared" si="404"/>
        <v>6.7222771813202379E-3</v>
      </c>
      <c r="BK54" s="78">
        <f>IF(ISERROR(BK14/AVERAGE(BK45:BK45)),"n.a.",BK14*BK$5/AVERAGE(BK45:BK45))</f>
        <v>6.5449012965538601E-3</v>
      </c>
      <c r="BL54" s="78">
        <f>IF(ISERROR(BL14/AVERAGE(BL45:BL45)),"n.a.",BL14*BL$5/AVERAGE(BL45:BL45))</f>
        <v>6.7203071928765117E-3</v>
      </c>
      <c r="BM54" s="78">
        <f>IF(ISERROR(BM14/AVERAGE(BM45:BM45)),"n.a.",BM14*BM$5/AVERAGE(BM45:BM45))</f>
        <v>6.7564810644752012E-3</v>
      </c>
      <c r="BN54" s="78">
        <f>IF(ISERROR(BN14/AVERAGE(BN45:BN45)),"n.a.",BN14*BN$5/AVERAGE(BN45:BN45))</f>
        <v>6.8161826021080783E-3</v>
      </c>
    </row>
    <row r="55" spans="2:66" ht="12" customHeight="1" outlineLevel="1">
      <c r="B55" s="1" t="s">
        <v>62</v>
      </c>
      <c r="C55" s="69" t="str">
        <f t="shared" ref="C55:AR55" si="405">IF(ISERROR(C17/B17),"n.a.",C17/B17-1)</f>
        <v>n.a.</v>
      </c>
      <c r="D55" s="69">
        <f t="shared" si="405"/>
        <v>-0.17953020134228193</v>
      </c>
      <c r="E55" s="69">
        <f t="shared" si="405"/>
        <v>-0.17791411042944782</v>
      </c>
      <c r="F55" s="69">
        <f t="shared" si="405"/>
        <v>0.31592039800995031</v>
      </c>
      <c r="G55" s="69">
        <f t="shared" si="405"/>
        <v>-0.35916824196597352</v>
      </c>
      <c r="H55" s="69">
        <f t="shared" si="405"/>
        <v>1.1799410029498469E-2</v>
      </c>
      <c r="I55" s="69">
        <f t="shared" si="405"/>
        <v>-4.6647230320699729E-2</v>
      </c>
      <c r="J55" s="69">
        <f t="shared" si="405"/>
        <v>1.5290519877675823E-2</v>
      </c>
      <c r="K55" s="69">
        <f t="shared" si="405"/>
        <v>7.5301204819277157E-2</v>
      </c>
      <c r="L55" s="69">
        <f t="shared" si="405"/>
        <v>0.26610644257703076</v>
      </c>
      <c r="M55" s="69">
        <f t="shared" si="405"/>
        <v>-5.0884955752212413E-2</v>
      </c>
      <c r="N55" s="69">
        <f t="shared" si="405"/>
        <v>0.26806526806526798</v>
      </c>
      <c r="O55" s="69">
        <f t="shared" si="405"/>
        <v>-1.2867647058823484E-2</v>
      </c>
      <c r="P55" s="69">
        <f t="shared" si="405"/>
        <v>-0.20856610800744879</v>
      </c>
      <c r="Q55" s="69">
        <f t="shared" si="405"/>
        <v>0.10823529411764699</v>
      </c>
      <c r="R55" s="69">
        <f t="shared" si="405"/>
        <v>4.4585987261146487E-2</v>
      </c>
      <c r="S55" s="69">
        <f t="shared" si="405"/>
        <v>-6.9105691056910556E-2</v>
      </c>
      <c r="T55" s="69">
        <f t="shared" si="405"/>
        <v>8.733624454148492E-3</v>
      </c>
      <c r="U55" s="69">
        <f t="shared" si="405"/>
        <v>0.24025974025974017</v>
      </c>
      <c r="V55" s="69">
        <f t="shared" si="405"/>
        <v>-0.24432809773123909</v>
      </c>
      <c r="W55" s="69">
        <f t="shared" si="405"/>
        <v>0.1131639722863742</v>
      </c>
      <c r="X55" s="69">
        <f t="shared" si="405"/>
        <v>0.19917012448132776</v>
      </c>
      <c r="Y55" s="69">
        <f t="shared" si="405"/>
        <v>-0.2854671280276817</v>
      </c>
      <c r="Z55" s="69">
        <f t="shared" si="405"/>
        <v>7.7481840193704521E-2</v>
      </c>
      <c r="AA55" s="69">
        <f t="shared" si="405"/>
        <v>0.38876404494382033</v>
      </c>
      <c r="AB55" s="69">
        <f t="shared" si="405"/>
        <v>0.22168284789644011</v>
      </c>
      <c r="AC55" s="69">
        <f t="shared" si="405"/>
        <v>-0.41986754966887418</v>
      </c>
      <c r="AD55" s="69">
        <f t="shared" si="405"/>
        <v>0.26255707762557079</v>
      </c>
      <c r="AE55" s="69">
        <f t="shared" si="405"/>
        <v>-0.26220614828209765</v>
      </c>
      <c r="AF55" s="69">
        <f t="shared" si="405"/>
        <v>-0.17892156862745101</v>
      </c>
      <c r="AG55" s="69">
        <f t="shared" si="405"/>
        <v>0.23283582089552235</v>
      </c>
      <c r="AH55" s="69">
        <f t="shared" si="405"/>
        <v>0.21791767554479424</v>
      </c>
      <c r="AI55" s="89">
        <f t="shared" si="405"/>
        <v>0.10934393638170969</v>
      </c>
      <c r="AJ55" s="69">
        <f t="shared" si="405"/>
        <v>-0.21124551971326166</v>
      </c>
      <c r="AK55" s="69">
        <f t="shared" si="405"/>
        <v>0.16639591025276923</v>
      </c>
      <c r="AL55" s="69">
        <f t="shared" si="405"/>
        <v>-5.4834813775909153E-3</v>
      </c>
      <c r="AM55" s="69">
        <f t="shared" si="405"/>
        <v>3.5679127207200345E-2</v>
      </c>
      <c r="AN55" s="69">
        <f t="shared" si="405"/>
        <v>4.1720188032090544E-3</v>
      </c>
      <c r="AO55" s="69">
        <f t="shared" si="405"/>
        <v>3.5679127207200345E-2</v>
      </c>
      <c r="AP55" s="69">
        <f t="shared" si="405"/>
        <v>4.1720188032092764E-3</v>
      </c>
      <c r="AQ55" s="69">
        <f t="shared" si="405"/>
        <v>3.5679127207200123E-2</v>
      </c>
      <c r="AR55" s="69">
        <f t="shared" si="405"/>
        <v>4.1720188032092764E-3</v>
      </c>
      <c r="AT55" s="69">
        <f>IF(ISERROR(AT17/T17),"n.a.",AT17/T17-1)</f>
        <v>1.3484848484848486</v>
      </c>
      <c r="AU55" s="69">
        <f t="shared" ref="AU55:BN55" si="406">IF(ISERROR(AU17/AT17),"n.a.",AU17/AT17-1)</f>
        <v>-0.14193548387096777</v>
      </c>
      <c r="AV55" s="69">
        <f t="shared" si="406"/>
        <v>-0.26745435016111707</v>
      </c>
      <c r="AW55" s="69">
        <f t="shared" si="406"/>
        <v>-3.3724340175953049E-2</v>
      </c>
      <c r="AX55" s="69">
        <f t="shared" si="406"/>
        <v>0.22761760242792106</v>
      </c>
      <c r="AY55" s="69">
        <f t="shared" si="406"/>
        <v>0.2027194066749074</v>
      </c>
      <c r="AZ55" s="69">
        <f t="shared" si="406"/>
        <v>-1.1305241521068821E-2</v>
      </c>
      <c r="BA55" s="69">
        <f t="shared" si="406"/>
        <v>1.0395010395010118E-3</v>
      </c>
      <c r="BB55" s="69">
        <f t="shared" si="406"/>
        <v>-4.4652128764278265E-2</v>
      </c>
      <c r="BC55" s="69">
        <f t="shared" si="406"/>
        <v>9.3478260869565233E-2</v>
      </c>
      <c r="BD55" s="69">
        <f t="shared" si="406"/>
        <v>5.3677932405566509E-2</v>
      </c>
      <c r="BE55" s="69">
        <f t="shared" si="406"/>
        <v>-0.19056603773584901</v>
      </c>
      <c r="BF55" s="69">
        <f t="shared" si="406"/>
        <v>0.60023310023310028</v>
      </c>
      <c r="BG55" s="69">
        <f t="shared" si="406"/>
        <v>-0.27822286962855058</v>
      </c>
      <c r="BH55" s="69">
        <f t="shared" si="406"/>
        <v>-0.25025227043390519</v>
      </c>
      <c r="BI55" s="89">
        <f t="shared" si="406"/>
        <v>0.2328398384925976</v>
      </c>
      <c r="BJ55" s="69">
        <f t="shared" si="406"/>
        <v>8.9656113537117887E-2</v>
      </c>
      <c r="BK55" s="69">
        <f t="shared" si="406"/>
        <v>2.5828428303068307E-2</v>
      </c>
      <c r="BL55" s="69">
        <f t="shared" si="406"/>
        <v>3.4986253607512285E-2</v>
      </c>
      <c r="BM55" s="69">
        <f t="shared" si="406"/>
        <v>4.0000000000000036E-2</v>
      </c>
      <c r="BN55" s="69">
        <f t="shared" si="406"/>
        <v>4.0000000000000036E-2</v>
      </c>
    </row>
    <row r="56" spans="2:66" ht="12" customHeight="1" outlineLevel="1">
      <c r="B56" s="1" t="s">
        <v>63</v>
      </c>
      <c r="C56" s="69" t="str">
        <f t="shared" ref="C56:AR56" si="407">IF(ISERROR(C18/B18),"n.a.",C18/B18-1)</f>
        <v>n.a.</v>
      </c>
      <c r="D56" s="69">
        <f t="shared" si="407"/>
        <v>-2.7472527472527486E-2</v>
      </c>
      <c r="E56" s="69">
        <f t="shared" si="407"/>
        <v>9.6045197740112886E-2</v>
      </c>
      <c r="F56" s="69">
        <f t="shared" si="407"/>
        <v>-4.6391752577319534E-2</v>
      </c>
      <c r="G56" s="69">
        <f t="shared" si="407"/>
        <v>-0.12072072072072071</v>
      </c>
      <c r="H56" s="69">
        <f t="shared" si="407"/>
        <v>-0.13524590163934425</v>
      </c>
      <c r="I56" s="69">
        <f t="shared" si="407"/>
        <v>-6.8720379146919419E-2</v>
      </c>
      <c r="J56" s="69">
        <f t="shared" si="407"/>
        <v>6.3613231552162919E-2</v>
      </c>
      <c r="K56" s="69">
        <f t="shared" si="407"/>
        <v>0.12200956937799035</v>
      </c>
      <c r="L56" s="69">
        <f t="shared" si="407"/>
        <v>-7.4626865671641784E-2</v>
      </c>
      <c r="M56" s="69">
        <f t="shared" si="407"/>
        <v>-8.7557603686635899E-2</v>
      </c>
      <c r="N56" s="69">
        <f t="shared" si="407"/>
        <v>0.11111111111111116</v>
      </c>
      <c r="O56" s="69">
        <f t="shared" si="407"/>
        <v>4.7727272727272618E-2</v>
      </c>
      <c r="P56" s="69">
        <f t="shared" si="407"/>
        <v>-7.3752711496746226E-2</v>
      </c>
      <c r="Q56" s="69">
        <f t="shared" si="407"/>
        <v>-1.87353629976581E-2</v>
      </c>
      <c r="R56" s="69">
        <f t="shared" si="407"/>
        <v>-5.9665871121718395E-2</v>
      </c>
      <c r="S56" s="69">
        <f t="shared" si="407"/>
        <v>-2.0304568527918732E-2</v>
      </c>
      <c r="T56" s="69">
        <f t="shared" si="407"/>
        <v>5.1813471502590858E-3</v>
      </c>
      <c r="U56" s="69">
        <f t="shared" si="407"/>
        <v>0.21907216494845372</v>
      </c>
      <c r="V56" s="69">
        <f t="shared" si="407"/>
        <v>-2.9598308668076112E-2</v>
      </c>
      <c r="W56" s="69">
        <f t="shared" si="407"/>
        <v>-0.10239651416122009</v>
      </c>
      <c r="X56" s="69">
        <f t="shared" si="407"/>
        <v>0.11165048543689315</v>
      </c>
      <c r="Y56" s="69">
        <f t="shared" si="407"/>
        <v>-0.12445414847161573</v>
      </c>
      <c r="Z56" s="69">
        <f t="shared" si="407"/>
        <v>3.4912718204488824E-2</v>
      </c>
      <c r="AA56" s="69">
        <f t="shared" si="407"/>
        <v>-8.1927710843373469E-2</v>
      </c>
      <c r="AB56" s="69">
        <f t="shared" si="407"/>
        <v>0.10236220472440949</v>
      </c>
      <c r="AC56" s="69">
        <f t="shared" si="407"/>
        <v>-0.14761904761904765</v>
      </c>
      <c r="AD56" s="69">
        <f t="shared" si="407"/>
        <v>-2.7932960893854997E-3</v>
      </c>
      <c r="AE56" s="69">
        <f t="shared" si="407"/>
        <v>5.6022408963585457E-2</v>
      </c>
      <c r="AF56" s="69">
        <f t="shared" si="407"/>
        <v>9.8143236074270668E-2</v>
      </c>
      <c r="AG56" s="69">
        <f t="shared" si="407"/>
        <v>3.6231884057970953E-2</v>
      </c>
      <c r="AH56" s="69">
        <f t="shared" si="407"/>
        <v>1.1655011655011593E-2</v>
      </c>
      <c r="AI56" s="89">
        <f t="shared" si="407"/>
        <v>0.11520737327188946</v>
      </c>
      <c r="AJ56" s="69">
        <f t="shared" si="407"/>
        <v>3.0351239669421659E-2</v>
      </c>
      <c r="AK56" s="69">
        <f t="shared" si="407"/>
        <v>1.8633820609998297E-2</v>
      </c>
      <c r="AL56" s="69">
        <f t="shared" si="407"/>
        <v>3.0933988867726692E-2</v>
      </c>
      <c r="AM56" s="69">
        <f t="shared" si="407"/>
        <v>3.6624617496672895E-2</v>
      </c>
      <c r="AN56" s="69">
        <f t="shared" si="407"/>
        <v>3.1336532310743515E-2</v>
      </c>
      <c r="AO56" s="69">
        <f t="shared" si="407"/>
        <v>3.6930661540087728E-2</v>
      </c>
      <c r="AP56" s="69">
        <f t="shared" si="407"/>
        <v>3.1740118071792889E-2</v>
      </c>
      <c r="AQ56" s="69">
        <f t="shared" si="407"/>
        <v>3.7235670814519395E-2</v>
      </c>
      <c r="AR56" s="69">
        <f t="shared" si="407"/>
        <v>3.2144421645993848E-2</v>
      </c>
      <c r="AT56" s="69">
        <f>IF(ISERROR(AT18/T18),"n.a.",AT18/T18-1)</f>
        <v>1.7757731958762886</v>
      </c>
      <c r="AU56" s="69">
        <f t="shared" ref="AU56:BN56" si="408">IF(ISERROR(AU18/AT18),"n.a.",AU18/AT18-1)</f>
        <v>5.5710306406685284E-2</v>
      </c>
      <c r="AV56" s="69">
        <f t="shared" si="408"/>
        <v>-0.19964819700967462</v>
      </c>
      <c r="AW56" s="69">
        <f t="shared" si="408"/>
        <v>-0.10879120879120874</v>
      </c>
      <c r="AX56" s="69">
        <f t="shared" si="408"/>
        <v>0.11344019728729959</v>
      </c>
      <c r="AY56" s="69">
        <f t="shared" si="408"/>
        <v>-7.4197120708748621E-2</v>
      </c>
      <c r="AZ56" s="69">
        <f t="shared" si="408"/>
        <v>6.2200956937799035E-2</v>
      </c>
      <c r="BA56" s="69">
        <f t="shared" si="408"/>
        <v>-8.4459459459459429E-2</v>
      </c>
      <c r="BB56" s="69">
        <f t="shared" si="408"/>
        <v>-4.7970479704797064E-2</v>
      </c>
      <c r="BC56" s="69">
        <f t="shared" si="408"/>
        <v>0.20413436692506459</v>
      </c>
      <c r="BD56" s="69">
        <f t="shared" si="408"/>
        <v>-6.6523605150214604E-2</v>
      </c>
      <c r="BE56" s="69">
        <f t="shared" si="408"/>
        <v>-6.2068965517241392E-2</v>
      </c>
      <c r="BF56" s="69">
        <f t="shared" si="408"/>
        <v>-1.8382352941176516E-2</v>
      </c>
      <c r="BG56" s="69">
        <f t="shared" si="408"/>
        <v>-0.10736579275905123</v>
      </c>
      <c r="BH56" s="69">
        <f t="shared" si="408"/>
        <v>0.10629370629370638</v>
      </c>
      <c r="BI56" s="89">
        <f t="shared" si="408"/>
        <v>9.1024020227560065E-2</v>
      </c>
      <c r="BJ56" s="69">
        <f t="shared" si="408"/>
        <v>0.13869061413673234</v>
      </c>
      <c r="BK56" s="69">
        <f t="shared" si="408"/>
        <v>4.985186070887071E-2</v>
      </c>
      <c r="BL56" s="69">
        <f t="shared" si="408"/>
        <v>6.8903373026157233E-2</v>
      </c>
      <c r="BM56" s="69">
        <f t="shared" si="408"/>
        <v>6.963694587828928E-2</v>
      </c>
      <c r="BN56" s="69">
        <f t="shared" si="408"/>
        <v>7.0370608153252023E-2</v>
      </c>
    </row>
    <row r="57" spans="2:66" ht="12" customHeight="1" outlineLevel="1">
      <c r="B57" s="1" t="s">
        <v>64</v>
      </c>
      <c r="C57" s="69" t="str">
        <f t="shared" ref="C57:AR57" si="409">IF(ISERROR(C19/B19),"n.a.",C19/B19-1)</f>
        <v>n.a.</v>
      </c>
      <c r="D57" s="69">
        <f t="shared" si="409"/>
        <v>0.34146341463414642</v>
      </c>
      <c r="E57" s="69">
        <f t="shared" si="409"/>
        <v>0.51515151515151514</v>
      </c>
      <c r="F57" s="69">
        <f t="shared" si="409"/>
        <v>-0.32599999999999996</v>
      </c>
      <c r="G57" s="69">
        <f t="shared" si="409"/>
        <v>0.14836795252225521</v>
      </c>
      <c r="H57" s="69">
        <f t="shared" si="409"/>
        <v>-0.18087855297157618</v>
      </c>
      <c r="I57" s="69">
        <f t="shared" si="409"/>
        <v>7.2555205047318605E-2</v>
      </c>
      <c r="J57" s="69">
        <f t="shared" si="409"/>
        <v>0.13529411764705879</v>
      </c>
      <c r="K57" s="69">
        <f t="shared" si="409"/>
        <v>-0.20207253886010368</v>
      </c>
      <c r="L57" s="69">
        <f t="shared" si="409"/>
        <v>5.5194805194805241E-2</v>
      </c>
      <c r="M57" s="69">
        <f t="shared" si="409"/>
        <v>-1.8461538461538418E-2</v>
      </c>
      <c r="N57" s="69">
        <f t="shared" si="409"/>
        <v>0.74294670846394983</v>
      </c>
      <c r="O57" s="69">
        <f t="shared" si="409"/>
        <v>-0.32374100719424459</v>
      </c>
      <c r="P57" s="69">
        <f t="shared" si="409"/>
        <v>-9.5744680851063801E-2</v>
      </c>
      <c r="Q57" s="69">
        <f t="shared" si="409"/>
        <v>2.3529411764705799E-2</v>
      </c>
      <c r="R57" s="69">
        <f t="shared" si="409"/>
        <v>4.31034482758621E-2</v>
      </c>
      <c r="S57" s="69">
        <f t="shared" si="409"/>
        <v>5.509641873278226E-2</v>
      </c>
      <c r="T57" s="69">
        <f t="shared" si="409"/>
        <v>-4.4386422976501305E-2</v>
      </c>
      <c r="U57" s="69">
        <f t="shared" si="409"/>
        <v>0.18579234972677594</v>
      </c>
      <c r="V57" s="69">
        <f t="shared" si="409"/>
        <v>0.10599078341013835</v>
      </c>
      <c r="W57" s="69">
        <f t="shared" si="409"/>
        <v>-2.7083333333333348E-2</v>
      </c>
      <c r="X57" s="69">
        <f t="shared" si="409"/>
        <v>0.21199143468950754</v>
      </c>
      <c r="Y57" s="69">
        <f t="shared" si="409"/>
        <v>-0.29151943462897523</v>
      </c>
      <c r="Z57" s="69">
        <f t="shared" si="409"/>
        <v>7.2319201995012516E-2</v>
      </c>
      <c r="AA57" s="69">
        <f t="shared" si="409"/>
        <v>1.097674418604651</v>
      </c>
      <c r="AB57" s="69">
        <f t="shared" si="409"/>
        <v>-0.31263858093126384</v>
      </c>
      <c r="AC57" s="69">
        <f t="shared" si="409"/>
        <v>2.0967741935483897E-2</v>
      </c>
      <c r="AD57" s="69">
        <f t="shared" si="409"/>
        <v>-0.10742496050552919</v>
      </c>
      <c r="AE57" s="69">
        <f t="shared" si="409"/>
        <v>3.539823008849563E-2</v>
      </c>
      <c r="AF57" s="69">
        <f t="shared" si="409"/>
        <v>3.076923076923066E-2</v>
      </c>
      <c r="AG57" s="69">
        <f t="shared" si="409"/>
        <v>6.6334991708125735E-3</v>
      </c>
      <c r="AH57" s="69">
        <f t="shared" si="409"/>
        <v>1.976935749588149E-2</v>
      </c>
      <c r="AI57" s="89">
        <f t="shared" si="409"/>
        <v>1.1308562197092087E-2</v>
      </c>
      <c r="AJ57" s="69">
        <f t="shared" si="409"/>
        <v>0.16111501597444078</v>
      </c>
      <c r="AK57" s="69">
        <f t="shared" si="409"/>
        <v>-5.3541076799044629E-2</v>
      </c>
      <c r="AL57" s="69">
        <f t="shared" si="409"/>
        <v>0.10664557222939552</v>
      </c>
      <c r="AM57" s="69">
        <f t="shared" si="409"/>
        <v>-5.220848428174274E-2</v>
      </c>
      <c r="AN57" s="69">
        <f t="shared" si="409"/>
        <v>0.10520836813009082</v>
      </c>
      <c r="AO57" s="69">
        <f t="shared" si="409"/>
        <v>-5.0887780117229831E-2</v>
      </c>
      <c r="AP57" s="69">
        <f t="shared" si="409"/>
        <v>0.10379188138223983</v>
      </c>
      <c r="AQ57" s="69">
        <f t="shared" si="409"/>
        <v>-4.9578900632653577E-2</v>
      </c>
      <c r="AR57" s="69">
        <f t="shared" si="409"/>
        <v>0.10239573563939097</v>
      </c>
      <c r="AT57" s="69">
        <f>IF(ISERROR(AT19/T19),"n.a.",AT19/T19-1)</f>
        <v>0.57377049180327866</v>
      </c>
      <c r="AU57" s="69">
        <f t="shared" ref="AU57:BN57" si="410">IF(ISERROR(AU19/AT19),"n.a.",AU19/AT19-1)</f>
        <v>0.453125</v>
      </c>
      <c r="AV57" s="69">
        <f t="shared" si="410"/>
        <v>-0.15890083632019114</v>
      </c>
      <c r="AW57" s="69">
        <f t="shared" si="410"/>
        <v>3.125E-2</v>
      </c>
      <c r="AX57" s="69">
        <f t="shared" si="410"/>
        <v>-0.12809917355371903</v>
      </c>
      <c r="AY57" s="69">
        <f t="shared" si="410"/>
        <v>0.38230647709320698</v>
      </c>
      <c r="AZ57" s="69">
        <f t="shared" si="410"/>
        <v>-0.18171428571428572</v>
      </c>
      <c r="BA57" s="69">
        <f t="shared" si="410"/>
        <v>-6.9832402234636382E-3</v>
      </c>
      <c r="BB57" s="69">
        <f t="shared" si="410"/>
        <v>5.3445850914205284E-2</v>
      </c>
      <c r="BC57" s="69">
        <f t="shared" si="410"/>
        <v>0.22029372496662214</v>
      </c>
      <c r="BD57" s="69">
        <f t="shared" si="410"/>
        <v>0.13019693654266962</v>
      </c>
      <c r="BE57" s="69">
        <f t="shared" si="410"/>
        <v>-0.19554695062923522</v>
      </c>
      <c r="BF57" s="69">
        <f t="shared" si="410"/>
        <v>0.83152827918170868</v>
      </c>
      <c r="BG57" s="69">
        <f t="shared" si="410"/>
        <v>-0.21287779237844939</v>
      </c>
      <c r="BH57" s="69">
        <f t="shared" si="410"/>
        <v>-8.3472454090149917E-3</v>
      </c>
      <c r="BI57" s="89">
        <f t="shared" si="410"/>
        <v>3.1986531986532007E-2</v>
      </c>
      <c r="BJ57" s="69">
        <f t="shared" si="410"/>
        <v>0.10347308319738979</v>
      </c>
      <c r="BK57" s="69">
        <f t="shared" si="410"/>
        <v>7.1249434308700454E-2</v>
      </c>
      <c r="BL57" s="69">
        <f t="shared" si="410"/>
        <v>4.8153720502242647E-2</v>
      </c>
      <c r="BM57" s="69">
        <f t="shared" si="410"/>
        <v>4.8260971765964333E-2</v>
      </c>
      <c r="BN57" s="69">
        <f t="shared" si="410"/>
        <v>4.8370897821099712E-2</v>
      </c>
    </row>
    <row r="58" spans="2:66" ht="12" customHeight="1" outlineLevel="1">
      <c r="B58" s="1" t="s">
        <v>65</v>
      </c>
      <c r="C58" s="69" t="str">
        <f t="shared" ref="C58:I58" si="411">IF(ISERROR(C21/B21),"n.a.",C21/B21-1)</f>
        <v>n.a.</v>
      </c>
      <c r="D58" s="69">
        <f t="shared" si="411"/>
        <v>5.2132701421800931E-2</v>
      </c>
      <c r="E58" s="69">
        <f t="shared" si="411"/>
        <v>-9.0090090090090058E-2</v>
      </c>
      <c r="F58" s="69">
        <f t="shared" si="411"/>
        <v>0.29207920792079212</v>
      </c>
      <c r="G58" s="69">
        <f t="shared" si="411"/>
        <v>-0.52234993614303959</v>
      </c>
      <c r="H58" s="69">
        <f t="shared" si="411"/>
        <v>0.76737967914438499</v>
      </c>
      <c r="I58" s="69">
        <f t="shared" si="411"/>
        <v>-0.16036308623298035</v>
      </c>
      <c r="J58" s="69">
        <f>IF(ISERROR(J21/I21),"n.a.",J21/I21-1)</f>
        <v>0.22342342342342336</v>
      </c>
      <c r="K58" s="69">
        <f t="shared" ref="K58:M58" si="412">IF(ISERROR(K21/J21),"n.a.",K21/J21-1)</f>
        <v>-0.1296023564064801</v>
      </c>
      <c r="L58" s="69">
        <f t="shared" si="412"/>
        <v>0.65651438240270732</v>
      </c>
      <c r="M58" s="69">
        <f t="shared" si="412"/>
        <v>-0.29826353421859042</v>
      </c>
      <c r="N58" s="69">
        <f t="shared" ref="N58" si="413">IF(ISERROR(N21/M21),"n.a.",N21/M21-1)</f>
        <v>0.51382823871906846</v>
      </c>
      <c r="O58" s="69">
        <f t="shared" ref="O58" si="414">IF(ISERROR(O21/N21),"n.a.",O21/N21-1)</f>
        <v>6.5384615384615374E-2</v>
      </c>
      <c r="P58" s="69">
        <f t="shared" ref="P58:AI58" si="415">IF(ISERROR(P21/O21),"n.a.",P21/O21-1)</f>
        <v>-0.1344765342960289</v>
      </c>
      <c r="Q58" s="69">
        <f t="shared" si="415"/>
        <v>-0.19916579770594367</v>
      </c>
      <c r="R58" s="69">
        <f t="shared" si="415"/>
        <v>0.30338541666666674</v>
      </c>
      <c r="S58" s="69">
        <f t="shared" si="415"/>
        <v>-0.11988011988011993</v>
      </c>
      <c r="T58" s="69">
        <f t="shared" si="415"/>
        <v>0.22133938706015899</v>
      </c>
      <c r="U58" s="69">
        <f t="shared" si="415"/>
        <v>0.14405204460966536</v>
      </c>
      <c r="V58" s="69">
        <f t="shared" si="415"/>
        <v>0.2672623883021934</v>
      </c>
      <c r="W58" s="69">
        <f t="shared" si="415"/>
        <v>4.2948717948718018E-2</v>
      </c>
      <c r="X58" s="69">
        <f t="shared" si="415"/>
        <v>-0.24154886293792255</v>
      </c>
      <c r="Y58" s="69">
        <f t="shared" si="415"/>
        <v>0.20502431118314424</v>
      </c>
      <c r="Z58" s="69">
        <f t="shared" si="415"/>
        <v>0.34162743779421656</v>
      </c>
      <c r="AA58" s="69">
        <f t="shared" si="415"/>
        <v>-0.16842105263157892</v>
      </c>
      <c r="AB58" s="69">
        <f t="shared" si="415"/>
        <v>0.40867992766726946</v>
      </c>
      <c r="AC58" s="69">
        <f t="shared" si="415"/>
        <v>0.17201540436456986</v>
      </c>
      <c r="AD58" s="69">
        <f t="shared" si="415"/>
        <v>0.76487769258853588</v>
      </c>
      <c r="AE58" s="69">
        <f t="shared" si="415"/>
        <v>-0.45966073645014482</v>
      </c>
      <c r="AF58" s="69">
        <f t="shared" si="415"/>
        <v>8.5758039816232756E-2</v>
      </c>
      <c r="AG58" s="69">
        <f t="shared" si="415"/>
        <v>-0.13258110014104374</v>
      </c>
      <c r="AH58" s="69">
        <f t="shared" si="415"/>
        <v>0.18292682926829262</v>
      </c>
      <c r="AI58" s="89">
        <f t="shared" si="415"/>
        <v>-0.15979381443298968</v>
      </c>
      <c r="AJ58" s="69">
        <f t="shared" ref="AJ58" si="416">IF(ISERROR(AJ21/AI21),"n.a.",AJ21/AI21-1)</f>
        <v>0.39762493454797609</v>
      </c>
      <c r="AK58" s="69">
        <f t="shared" ref="AK58" si="417">IF(ISERROR(AK21/AJ21),"n.a.",AK21/AJ21-1)</f>
        <v>-0.11385713651309315</v>
      </c>
      <c r="AL58" s="69">
        <f t="shared" ref="AL58" si="418">IF(ISERROR(AL21/AK21),"n.a.",AL21/AK21-1)</f>
        <v>9.7806952107436285E-2</v>
      </c>
      <c r="AM58" s="69">
        <f t="shared" ref="AM58" si="419">IF(ISERROR(AM21/AL21),"n.a.",AM21/AL21-1)</f>
        <v>-3.0133127351834377E-2</v>
      </c>
      <c r="AN58" s="69">
        <f t="shared" ref="AN58" si="420">IF(ISERROR(AN21/AM21),"n.a.",AN21/AM21-1)</f>
        <v>0.11573944303278361</v>
      </c>
      <c r="AO58" s="69">
        <f t="shared" ref="AO58" si="421">IF(ISERROR(AO21/AN21),"n.a.",AO21/AN21-1)</f>
        <v>-5.8180250616183593E-2</v>
      </c>
      <c r="AP58" s="69">
        <f t="shared" ref="AP58" si="422">IF(ISERROR(AP21/AO21),"n.a.",AP21/AO21-1)</f>
        <v>0.11480709752593943</v>
      </c>
      <c r="AQ58" s="69">
        <f t="shared" ref="AQ58" si="423">IF(ISERROR(AQ21/AP21),"n.a.",AQ21/AP21-1)</f>
        <v>-4.8676705655000263E-2</v>
      </c>
      <c r="AR58" s="69">
        <f t="shared" ref="AR58" si="424">IF(ISERROR(AR21/AQ21),"n.a.",AR21/AQ21-1)</f>
        <v>9.0173984032668075E-2</v>
      </c>
      <c r="AT58" s="69">
        <f>IF(ISERROR(AT21/T21),"n.a.",AT21/T21-1)</f>
        <v>0.20724907063197029</v>
      </c>
      <c r="AU58" s="69">
        <f>IF(ISERROR(AU21/AT21),"n.a.",AU21/AT21-1)</f>
        <v>6.9284064665126932E-2</v>
      </c>
      <c r="AV58" s="69">
        <f>IF(ISERROR(AV21/AU21),"n.a.",AV21/AU21-1)</f>
        <v>-0.25485961123110146</v>
      </c>
      <c r="AW58" s="69">
        <f>IF(ISERROR(AW21/AV21),"n.a.",AW21/AV21-1)</f>
        <v>0.19227053140096628</v>
      </c>
      <c r="AX58" s="69">
        <f t="shared" ref="AX58:BB58" si="425">IF(ISERROR(AX21/AW21),"n.a.",AX21/AW21-1)</f>
        <v>0.27228525121555913</v>
      </c>
      <c r="AY58" s="69">
        <f t="shared" si="425"/>
        <v>0.10000000000000009</v>
      </c>
      <c r="AZ58" s="69">
        <f t="shared" si="425"/>
        <v>0.19687319050376373</v>
      </c>
      <c r="BA58" s="69">
        <f t="shared" si="425"/>
        <v>-0.14417029511369139</v>
      </c>
      <c r="BB58" s="69">
        <f t="shared" si="425"/>
        <v>0.10627473148671562</v>
      </c>
      <c r="BC58" s="69">
        <f t="shared" ref="BC58" si="426">IF(ISERROR(BC21/BB21),"n.a.",BC21/BB21-1)</f>
        <v>0.42616249361267244</v>
      </c>
      <c r="BD58" s="69">
        <f t="shared" ref="BD58" si="427">IF(ISERROR(BD21/BC21),"n.a.",BD21/BC21-1)</f>
        <v>2.5080616266571099E-2</v>
      </c>
      <c r="BE58" s="69">
        <f t="shared" ref="BE58" si="428">IF(ISERROR(BE21/BD21),"n.a.",BE21/BD21-1)</f>
        <v>0.21705697308633343</v>
      </c>
      <c r="BF58" s="69">
        <f t="shared" ref="BF58" si="429">IF(ISERROR(BF21/BE21),"n.a.",BF21/BE21-1)</f>
        <v>0.14761631246410101</v>
      </c>
      <c r="BG58" s="69">
        <f t="shared" ref="BG58" si="430">IF(ISERROR(BG21/BF21),"n.a.",BG21/BF21-1)</f>
        <v>0.89514514514514509</v>
      </c>
      <c r="BH58" s="69">
        <f t="shared" ref="BH58:BN58" si="431">IF(ISERROR(BH21/BG21),"n.a.",BH21/BG21-1)</f>
        <v>-0.28060213917866106</v>
      </c>
      <c r="BI58" s="89">
        <f t="shared" si="431"/>
        <v>-1.4317180616740033E-2</v>
      </c>
      <c r="BJ58" s="69">
        <f t="shared" si="431"/>
        <v>9.1656045618212501E-2</v>
      </c>
      <c r="BK58" s="69">
        <f t="shared" si="431"/>
        <v>8.3624107440871009E-2</v>
      </c>
      <c r="BL58" s="69">
        <f t="shared" si="431"/>
        <v>7.3828100195703295E-2</v>
      </c>
      <c r="BM58" s="69">
        <f t="shared" si="431"/>
        <v>5.0362374072414839E-2</v>
      </c>
      <c r="BN58" s="69">
        <f t="shared" si="431"/>
        <v>4.8188847846929894E-2</v>
      </c>
    </row>
    <row r="59" spans="2:66" ht="12" customHeight="1" outlineLevel="1">
      <c r="B59" s="1" t="s">
        <v>77</v>
      </c>
      <c r="C59" s="78">
        <f>IF(ISERROR(-C23/AVERAGE(B39:C39)),"n.a.",-C23*C$5/AVERAGE(B39:C39))</f>
        <v>6.1472838557656805E-3</v>
      </c>
      <c r="D59" s="78">
        <f t="shared" ref="D59:BB59" si="432">IF(ISERROR(-D23/AVERAGE(C39:D39)),"n.a.",-D23*D$5/AVERAGE(C39:D39))</f>
        <v>3.9291245454594961E-3</v>
      </c>
      <c r="E59" s="78">
        <f t="shared" si="432"/>
        <v>3.4358923671415731E-3</v>
      </c>
      <c r="F59" s="78">
        <f t="shared" si="432"/>
        <v>2.2443161472850102E-3</v>
      </c>
      <c r="G59" s="78">
        <f t="shared" si="432"/>
        <v>2.8739698886336667E-3</v>
      </c>
      <c r="H59" s="78">
        <f t="shared" si="432"/>
        <v>4.9637056478624222E-3</v>
      </c>
      <c r="I59" s="78">
        <f t="shared" si="432"/>
        <v>3.7836775425603352E-3</v>
      </c>
      <c r="J59" s="78">
        <f t="shared" si="432"/>
        <v>4.1918616141003919E-3</v>
      </c>
      <c r="K59" s="78">
        <f t="shared" si="432"/>
        <v>3.7943224461720513E-3</v>
      </c>
      <c r="L59" s="78">
        <f t="shared" si="432"/>
        <v>5.1645993383813574E-3</v>
      </c>
      <c r="M59" s="78">
        <f t="shared" si="432"/>
        <v>3.3688468901243401E-3</v>
      </c>
      <c r="N59" s="78">
        <f t="shared" ref="N59" si="433">IF(ISERROR(-N23/AVERAGE(M39:N39)),"n.a.",-N23*N$5/AVERAGE(M39:N39))</f>
        <v>1.0612396852620764E-2</v>
      </c>
      <c r="O59" s="78">
        <f t="shared" ref="O59" si="434">IF(ISERROR(-O23/AVERAGE(N39:O39)),"n.a.",-O23*O$5/AVERAGE(N39:O39))</f>
        <v>8.9928538928886869E-3</v>
      </c>
      <c r="P59" s="78">
        <f t="shared" ref="P59:AI59" si="435">IF(ISERROR(-P23/AVERAGE(O39:P39)),"n.a.",-P23*P$5/AVERAGE(O39:P39))</f>
        <v>6.0615321923390385E-3</v>
      </c>
      <c r="Q59" s="78">
        <f t="shared" si="435"/>
        <v>7.1043566001874761E-3</v>
      </c>
      <c r="R59" s="78">
        <f t="shared" si="435"/>
        <v>4.2019168500845184E-3</v>
      </c>
      <c r="S59" s="78">
        <f t="shared" si="435"/>
        <v>3.8520781192226726E-3</v>
      </c>
      <c r="T59" s="78">
        <f t="shared" si="435"/>
        <v>6.2438256689660481E-3</v>
      </c>
      <c r="U59" s="78">
        <f t="shared" si="435"/>
        <v>2.014923362092115E-3</v>
      </c>
      <c r="V59" s="78">
        <f t="shared" si="435"/>
        <v>1.2336401031446391E-2</v>
      </c>
      <c r="W59" s="78">
        <f t="shared" si="435"/>
        <v>3.4136188657698753E-3</v>
      </c>
      <c r="X59" s="78">
        <f t="shared" si="435"/>
        <v>2.011351523302992E-2</v>
      </c>
      <c r="Y59" s="78">
        <f t="shared" si="435"/>
        <v>9.5083733041383053E-3</v>
      </c>
      <c r="Z59" s="78">
        <f t="shared" si="435"/>
        <v>1.5563704588094833E-3</v>
      </c>
      <c r="AA59" s="78">
        <f t="shared" si="435"/>
        <v>4.1071976130797241E-3</v>
      </c>
      <c r="AB59" s="78">
        <f t="shared" si="435"/>
        <v>4.4213854994446296E-3</v>
      </c>
      <c r="AC59" s="78">
        <f t="shared" si="435"/>
        <v>4.0225737327669276E-3</v>
      </c>
      <c r="AD59" s="78">
        <f t="shared" si="435"/>
        <v>2.1917544994768312E-3</v>
      </c>
      <c r="AE59" s="78">
        <f t="shared" si="435"/>
        <v>-1.4352878396157844E-3</v>
      </c>
      <c r="AF59" s="78">
        <f t="shared" si="435"/>
        <v>-2.9313744307375546E-3</v>
      </c>
      <c r="AG59" s="78">
        <f t="shared" si="435"/>
        <v>8.2320174960818972E-4</v>
      </c>
      <c r="AH59" s="78">
        <f t="shared" si="435"/>
        <v>2.9210792059902856E-3</v>
      </c>
      <c r="AI59" s="88">
        <f t="shared" si="435"/>
        <v>2.6922446440291747E-4</v>
      </c>
      <c r="AJ59" s="78">
        <f t="shared" ref="AJ59" si="436">IF(ISERROR(-AJ23/AVERAGE(AI39:AJ39)),"n.a.",-AJ23*AJ$5/AVERAGE(AI39:AJ39))</f>
        <v>1.4161459514638892E-3</v>
      </c>
      <c r="AK59" s="78">
        <f t="shared" ref="AK59" si="437">IF(ISERROR(-AK23/AVERAGE(AJ39:AK39)),"n.a.",-AK23*AK$5/AVERAGE(AJ39:AK39))</f>
        <v>9.8332678563840012E-4</v>
      </c>
      <c r="AL59" s="78">
        <f t="shared" ref="AL59" si="438">IF(ISERROR(-AL23/AVERAGE(AK39:AL39)),"n.a.",-AL23*AL$5/AVERAGE(AK39:AL39))</f>
        <v>1.1925138558806705E-3</v>
      </c>
      <c r="AM59" s="78">
        <f t="shared" ref="AM59" si="439">IF(ISERROR(-AM23/AVERAGE(AL39:AM39)),"n.a.",-AM23*AM$5/AVERAGE(AL39:AM39))</f>
        <v>1.3021708488277961E-3</v>
      </c>
      <c r="AN59" s="78">
        <f t="shared" ref="AN59" si="440">IF(ISERROR(-AN23/AVERAGE(AM39:AN39)),"n.a.",-AN23*AN$5/AVERAGE(AM39:AN39))</f>
        <v>1.2057281907946408E-3</v>
      </c>
      <c r="AO59" s="78">
        <f t="shared" ref="AO59" si="441">IF(ISERROR(-AO23/AVERAGE(AN39:AO39)),"n.a.",-AO23*AO$5/AVERAGE(AN39:AO39))</f>
        <v>1.3704745287024321E-3</v>
      </c>
      <c r="AP59" s="78">
        <f t="shared" ref="AP59" si="442">IF(ISERROR(-AP23/AVERAGE(AO39:AP39)),"n.a.",-AP23*AP$5/AVERAGE(AO39:AP39))</f>
        <v>1.3206389538716133E-3</v>
      </c>
      <c r="AQ59" s="78">
        <f t="shared" ref="AQ59" si="443">IF(ISERROR(-AQ23/AVERAGE(AP39:AQ39)),"n.a.",-AQ23*AQ$5/AVERAGE(AP39:AQ39))</f>
        <v>1.2658185093570205E-3</v>
      </c>
      <c r="AR59" s="78">
        <f t="shared" ref="AR59" si="444">IF(ISERROR(-AR23/AVERAGE(AQ39:AR39)),"n.a.",-AR23*AR$5/AVERAGE(AQ39:AR39))</f>
        <v>1.2243677500531015E-3</v>
      </c>
      <c r="AS59" s="78"/>
      <c r="AT59" s="78">
        <f t="shared" si="432"/>
        <v>4.8794813292068586E-3</v>
      </c>
      <c r="AU59" s="78">
        <f t="shared" si="432"/>
        <v>2.8355282832869975E-3</v>
      </c>
      <c r="AV59" s="78">
        <f t="shared" si="432"/>
        <v>3.9239757108095663E-3</v>
      </c>
      <c r="AW59" s="78">
        <f t="shared" si="432"/>
        <v>4.0084410557682318E-3</v>
      </c>
      <c r="AX59" s="78">
        <f t="shared" si="432"/>
        <v>4.3786817570388237E-3</v>
      </c>
      <c r="AY59" s="78">
        <f t="shared" si="432"/>
        <v>7.1040662032036753E-3</v>
      </c>
      <c r="AZ59" s="78">
        <f t="shared" si="432"/>
        <v>7.496995977221671E-3</v>
      </c>
      <c r="BA59" s="78">
        <f t="shared" si="432"/>
        <v>5.6550064000917026E-3</v>
      </c>
      <c r="BB59" s="78">
        <f t="shared" si="432"/>
        <v>4.874410675758464E-3</v>
      </c>
      <c r="BC59" s="78">
        <f t="shared" ref="BC59" si="445">IF(ISERROR(-BC23/AVERAGE(BB39:BC39)),"n.a.",-BC23*BC$5/AVERAGE(BB39:BC39))</f>
        <v>7.2957969865186361E-3</v>
      </c>
      <c r="BD59" s="78">
        <f t="shared" ref="BD59" si="446">IF(ISERROR(-BD23/AVERAGE(BC39:BD39)),"n.a.",-BD23*BD$5/AVERAGE(BC39:BD39))</f>
        <v>1.2098087571541575E-2</v>
      </c>
      <c r="BE59" s="78">
        <f t="shared" ref="BE59" si="447">IF(ISERROR(-BE23/AVERAGE(BD39:BE39)),"n.a.",-BE23*BE$5/AVERAGE(BD39:BE39))</f>
        <v>5.2625500268651173E-3</v>
      </c>
      <c r="BF59" s="78">
        <f t="shared" ref="BF59" si="448">IF(ISERROR(-BF23/AVERAGE(BE39:BF39)),"n.a.",-BF23*BF$5/AVERAGE(BE39:BF39))</f>
        <v>4.245735496517496E-3</v>
      </c>
      <c r="BG59" s="78">
        <f t="shared" ref="BG59" si="449">IF(ISERROR(-BG23/AVERAGE(BF39:BG39)),"n.a.",-BG23*BG$5/AVERAGE(BF39:BG39))</f>
        <v>3.0956374694868331E-3</v>
      </c>
      <c r="BH59" s="78">
        <f t="shared" ref="BH59:BJ59" si="450">IF(ISERROR(-BH23/AVERAGE(BG39:BH39)),"n.a.",-BH23*BH$5/AVERAGE(BG39:BH39))</f>
        <v>-2.2033599746822592E-3</v>
      </c>
      <c r="BI59" s="88">
        <f t="shared" si="450"/>
        <v>1.8899583528567952E-3</v>
      </c>
      <c r="BJ59" s="78">
        <f t="shared" si="450"/>
        <v>8.6438658522615711E-4</v>
      </c>
      <c r="BK59" s="78">
        <f>IF(ISERROR(-BK23/AVERAGE(BK39:BK39)),"n.a.",-BK23*BK$5/AVERAGE(BK39:BK39))</f>
        <v>1.0203900471711779E-3</v>
      </c>
      <c r="BL59" s="78">
        <f>IF(ISERROR(-BL23/AVERAGE(BL39:BL39)),"n.a.",-BL23*BL$5/AVERAGE(BL39:BL39))</f>
        <v>1.191097737189906E-3</v>
      </c>
      <c r="BM59" s="78">
        <f>IF(ISERROR(-BM23/AVERAGE(BM39:BM39)),"n.a.",-BM23*BM$5/AVERAGE(BM39:BM39))</f>
        <v>1.2870385901684667E-3</v>
      </c>
      <c r="BN59" s="78">
        <f>IF(ISERROR(-BN23/AVERAGE(BN39:BN39)),"n.a.",-BN23*BN$5/AVERAGE(BN39:BN39))</f>
        <v>1.1920329617951869E-3</v>
      </c>
    </row>
    <row r="60" spans="2:66" ht="12" customHeight="1" outlineLevel="1">
      <c r="B60" s="1" t="s">
        <v>66</v>
      </c>
      <c r="C60" s="69" t="str">
        <f t="shared" ref="C60:I60" si="451">IF(ISERROR(C27/B27),"n.a.",C27/B27-1)</f>
        <v>n.a.</v>
      </c>
      <c r="D60" s="69">
        <f t="shared" si="451"/>
        <v>-4.0567951318458695E-3</v>
      </c>
      <c r="E60" s="69">
        <f t="shared" si="451"/>
        <v>-8.9613034623217902E-2</v>
      </c>
      <c r="F60" s="69">
        <f t="shared" si="451"/>
        <v>0.36912751677852351</v>
      </c>
      <c r="G60" s="69">
        <f t="shared" si="451"/>
        <v>-0.31045751633986929</v>
      </c>
      <c r="H60" s="69">
        <f t="shared" si="451"/>
        <v>1.0853080568720381</v>
      </c>
      <c r="I60" s="69">
        <f t="shared" si="451"/>
        <v>-0.73636363636363633</v>
      </c>
      <c r="J60" s="69">
        <f>IF(ISERROR(J27/I27),"n.a.",J27/I27-1)</f>
        <v>1.3362068965517242</v>
      </c>
      <c r="K60" s="69">
        <f t="shared" ref="K60:M60" si="452">IF(ISERROR(K27/J27),"n.a.",K27/J27-1)</f>
        <v>-0.23431734317343178</v>
      </c>
      <c r="L60" s="69">
        <f t="shared" si="452"/>
        <v>0.6289156626506025</v>
      </c>
      <c r="M60" s="69">
        <f t="shared" si="452"/>
        <v>-0.17307692307692313</v>
      </c>
      <c r="N60" s="69">
        <f t="shared" ref="N60" si="453">IF(ISERROR(N27/M27),"n.a.",N27/M27-1)</f>
        <v>8.5867620751341578E-2</v>
      </c>
      <c r="O60" s="69">
        <f t="shared" ref="O60" si="454">IF(ISERROR(O27/N27),"n.a.",O27/N27-1)</f>
        <v>7.0840197693574858E-2</v>
      </c>
      <c r="P60" s="69">
        <f t="shared" ref="P60:AI60" si="455">IF(ISERROR(P27/O27),"n.a.",P27/O27-1)</f>
        <v>0.30307692307692302</v>
      </c>
      <c r="Q60" s="69">
        <f t="shared" si="455"/>
        <v>-0.92207792207792205</v>
      </c>
      <c r="R60" s="69">
        <f t="shared" si="455"/>
        <v>-0.15151515151515149</v>
      </c>
      <c r="S60" s="69">
        <f t="shared" si="455"/>
        <v>8.9285714285714191E-2</v>
      </c>
      <c r="T60" s="69">
        <f t="shared" si="455"/>
        <v>2.3278688524590163</v>
      </c>
      <c r="U60" s="69">
        <f t="shared" si="455"/>
        <v>-0.68965517241379315</v>
      </c>
      <c r="V60" s="69">
        <f t="shared" si="455"/>
        <v>1.6984126984126986</v>
      </c>
      <c r="W60" s="69">
        <f t="shared" si="455"/>
        <v>-0.49411764705882355</v>
      </c>
      <c r="X60" s="69">
        <f t="shared" si="455"/>
        <v>1.3837209302325579</v>
      </c>
      <c r="Y60" s="69">
        <f t="shared" si="455"/>
        <v>-0.56585365853658542</v>
      </c>
      <c r="Z60" s="69">
        <f t="shared" si="455"/>
        <v>-0.7752808988764045</v>
      </c>
      <c r="AA60" s="69">
        <f t="shared" si="455"/>
        <v>4.3</v>
      </c>
      <c r="AB60" s="69">
        <f t="shared" si="455"/>
        <v>-0.27358490566037741</v>
      </c>
      <c r="AC60" s="69">
        <f t="shared" si="455"/>
        <v>0.31168831168831179</v>
      </c>
      <c r="AD60" s="69">
        <f t="shared" si="455"/>
        <v>0.72277227722772275</v>
      </c>
      <c r="AE60" s="69">
        <f t="shared" si="455"/>
        <v>-0.53448275862068972</v>
      </c>
      <c r="AF60" s="69">
        <f t="shared" si="455"/>
        <v>-0.39506172839506171</v>
      </c>
      <c r="AG60" s="69">
        <f t="shared" si="455"/>
        <v>5.1836734693877551</v>
      </c>
      <c r="AH60" s="69">
        <f t="shared" si="455"/>
        <v>-0.58745874587458746</v>
      </c>
      <c r="AI60" s="89">
        <f t="shared" si="455"/>
        <v>-0.4</v>
      </c>
      <c r="AJ60" s="69">
        <f t="shared" ref="AJ60" si="456">IF(ISERROR(AJ27/AI27),"n.a.",AJ27/AI27-1)</f>
        <v>-0.18853333333333355</v>
      </c>
      <c r="AK60" s="69">
        <f t="shared" ref="AK60" si="457">IF(ISERROR(AK27/AJ27),"n.a.",AK27/AJ27-1)</f>
        <v>5.9773250082155949E-2</v>
      </c>
      <c r="AL60" s="69">
        <f t="shared" ref="AL60" si="458">IF(ISERROR(AL27/AK27),"n.a.",AL27/AK27-1)</f>
        <v>5.8039328473219243E-2</v>
      </c>
      <c r="AM60" s="69">
        <f t="shared" ref="AM60" si="459">IF(ISERROR(AM27/AL27),"n.a.",AM27/AL27-1)</f>
        <v>5.644711533466551E-2</v>
      </c>
      <c r="AN60" s="69">
        <f t="shared" ref="AN60" si="460">IF(ISERROR(AN27/AM27),"n.a.",AN27/AM27-1)</f>
        <v>5.4980380345262869E-2</v>
      </c>
      <c r="AO60" s="69">
        <f t="shared" ref="AO60" si="461">IF(ISERROR(AO27/AN27),"n.a.",AO27/AN27-1)</f>
        <v>5.4632108120378886E-2</v>
      </c>
      <c r="AP60" s="69">
        <f t="shared" ref="AP60" si="462">IF(ISERROR(AP27/AO27),"n.a.",AP27/AO27-1)</f>
        <v>5.3350953913846588E-2</v>
      </c>
      <c r="AQ60" s="69">
        <f t="shared" ref="AQ60" si="463">IF(ISERROR(AQ27/AP27),"n.a.",AQ27/AP27-1)</f>
        <v>5.2163234745529419E-2</v>
      </c>
      <c r="AR60" s="69">
        <f t="shared" ref="AR60" si="464">IF(ISERROR(AR27/AQ27),"n.a.",AR27/AQ27-1)</f>
        <v>5.1059553239139799E-2</v>
      </c>
      <c r="AT60" s="69">
        <f>IF(ISERROR(AT27/T27),"n.a.",AT27/T27-1)</f>
        <v>3.847290640394089</v>
      </c>
      <c r="AU60" s="69">
        <f>IF(ISERROR(AU27/AT27),"n.a.",AU27/AT27-1)</f>
        <v>7.6219512195121908E-2</v>
      </c>
      <c r="AV60" s="69">
        <f>IF(ISERROR(AV27/AU27),"n.a.",AV27/AU27-1)</f>
        <v>0.22946175637393762</v>
      </c>
      <c r="AW60" s="69">
        <f>IF(ISERROR(AW27/AV27),"n.a.",AW27/AV27-1)</f>
        <v>-0.40552995391705071</v>
      </c>
      <c r="AX60" s="69">
        <f t="shared" ref="AX60:BB60" si="465">IF(ISERROR(AX27/AW27),"n.a.",AX27/AW27-1)</f>
        <v>0.4095607235142118</v>
      </c>
      <c r="AY60" s="69">
        <f t="shared" si="465"/>
        <v>6.8744271310724026E-2</v>
      </c>
      <c r="AZ60" s="69">
        <f t="shared" si="465"/>
        <v>0.28387650085763294</v>
      </c>
      <c r="BA60" s="69">
        <f t="shared" si="465"/>
        <v>-0.91850367401469601</v>
      </c>
      <c r="BB60" s="69">
        <f t="shared" si="465"/>
        <v>1.1639344262295084</v>
      </c>
      <c r="BC60" s="69">
        <f t="shared" ref="BC60" si="466">IF(ISERROR(BC27/BB27),"n.a.",BC27/BB27-1)</f>
        <v>-0.11742424242424243</v>
      </c>
      <c r="BD60" s="69">
        <f t="shared" ref="BD60" si="467">IF(ISERROR(BD27/BC27),"n.a.",BD27/BC27-1)</f>
        <v>0.24892703862660936</v>
      </c>
      <c r="BE60" s="69">
        <f t="shared" ref="BE60" si="468">IF(ISERROR(BE27/BD27),"n.a.",BE27/BD27-1)</f>
        <v>-0.62542955326460481</v>
      </c>
      <c r="BF60" s="69">
        <f t="shared" ref="BF60" si="469">IF(ISERROR(BF27/BE27),"n.a.",BF27/BE27-1)</f>
        <v>0.67889908256880727</v>
      </c>
      <c r="BG60" s="69">
        <f t="shared" ref="BG60" si="470">IF(ISERROR(BG27/BF27),"n.a.",BG27/BF27-1)</f>
        <v>0.50273224043715836</v>
      </c>
      <c r="BH60" s="69">
        <f t="shared" ref="BH60:BN60" si="471">IF(ISERROR(BH27/BG27),"n.a.",BH27/BG27-1)</f>
        <v>-0.52727272727272734</v>
      </c>
      <c r="BI60" s="89">
        <f t="shared" si="471"/>
        <v>2.2923076923076922</v>
      </c>
      <c r="BJ60" s="69">
        <f t="shared" si="471"/>
        <v>-0.68257009345794395</v>
      </c>
      <c r="BK60" s="69">
        <f t="shared" si="471"/>
        <v>-2.2972110996614004E-2</v>
      </c>
      <c r="BL60" s="69">
        <f t="shared" si="471"/>
        <v>0.11610122015808488</v>
      </c>
      <c r="BM60" s="69">
        <f t="shared" si="471"/>
        <v>0.11173397158831633</v>
      </c>
      <c r="BN60" s="69">
        <f t="shared" si="471"/>
        <v>0.10706036239608174</v>
      </c>
    </row>
    <row r="61" spans="2:66" ht="12" customHeight="1" outlineLevel="1">
      <c r="B61" s="1" t="s">
        <v>589</v>
      </c>
      <c r="C61" s="79">
        <f t="shared" ref="C61:I61" si="472">IF(ISERROR(-C29/AVERAGE(B46:C46)*1000000),"n.a.",-C29*C$5/AVERAGE(B46:C46)*1000000)</f>
        <v>235911.12230448786</v>
      </c>
      <c r="D61" s="79">
        <f t="shared" si="472"/>
        <v>232919.73392283442</v>
      </c>
      <c r="E61" s="79">
        <f t="shared" si="472"/>
        <v>250522.64619160618</v>
      </c>
      <c r="F61" s="79">
        <f t="shared" si="472"/>
        <v>257258.58303297273</v>
      </c>
      <c r="G61" s="79">
        <f t="shared" si="472"/>
        <v>215637.64521602922</v>
      </c>
      <c r="H61" s="79">
        <f t="shared" si="472"/>
        <v>260566.74632980544</v>
      </c>
      <c r="I61" s="79">
        <f t="shared" si="472"/>
        <v>221767.26032281225</v>
      </c>
      <c r="J61" s="79">
        <f>IF(ISERROR(-J29/AVERAGE(I46:J46)*1000000),"n.a.",-J29*J$5/AVERAGE(I46:J46)*1000000)</f>
        <v>256545.96822480037</v>
      </c>
      <c r="K61" s="79">
        <f t="shared" ref="K61:M61" si="473">IF(ISERROR(-K29/AVERAGE(J46:K46)*1000000),"n.a.",-K29*K$5/AVERAGE(J46:K46)*1000000)</f>
        <v>250366.16224694758</v>
      </c>
      <c r="L61" s="79">
        <f t="shared" si="473"/>
        <v>289280.36082706391</v>
      </c>
      <c r="M61" s="79">
        <f t="shared" si="473"/>
        <v>276451.96600337443</v>
      </c>
      <c r="N61" s="79">
        <f t="shared" ref="N61" si="474">IF(ISERROR(-N29/AVERAGE(M46:N46)*1000000),"n.a.",-N29*N$5/AVERAGE(M46:N46)*1000000)</f>
        <v>312516.91298461659</v>
      </c>
      <c r="O61" s="79">
        <f t="shared" ref="O61" si="475">IF(ISERROR(-O29/AVERAGE(N46:O46)*1000000),"n.a.",-O29*O$5/AVERAGE(N46:O46)*1000000)</f>
        <v>327176.78100263851</v>
      </c>
      <c r="P61" s="79">
        <f t="shared" ref="P61:AI61" si="476">IF(ISERROR(-P29/AVERAGE(O46:P46)*1000000),"n.a.",-P29*P$5/AVERAGE(O46:P46)*1000000)</f>
        <v>283465.69363955071</v>
      </c>
      <c r="Q61" s="79">
        <f t="shared" si="476"/>
        <v>324073.10478202172</v>
      </c>
      <c r="R61" s="79">
        <f t="shared" si="476"/>
        <v>305656.29606230784</v>
      </c>
      <c r="S61" s="79">
        <f t="shared" si="476"/>
        <v>327224.52626660152</v>
      </c>
      <c r="T61" s="79">
        <f t="shared" si="476"/>
        <v>311110.90744118264</v>
      </c>
      <c r="U61" s="79">
        <f t="shared" si="476"/>
        <v>325969.17611364432</v>
      </c>
      <c r="V61" s="79">
        <f t="shared" si="476"/>
        <v>359548.47475465195</v>
      </c>
      <c r="W61" s="79">
        <f t="shared" si="476"/>
        <v>354692.39123490703</v>
      </c>
      <c r="X61" s="79">
        <f t="shared" si="476"/>
        <v>322885.30409152852</v>
      </c>
      <c r="Y61" s="79">
        <f t="shared" si="476"/>
        <v>323906.87051784882</v>
      </c>
      <c r="Z61" s="79">
        <f t="shared" si="476"/>
        <v>354712.48239799211</v>
      </c>
      <c r="AA61" s="79">
        <f t="shared" si="476"/>
        <v>374878.83940321143</v>
      </c>
      <c r="AB61" s="79">
        <f t="shared" si="476"/>
        <v>404140.4523833362</v>
      </c>
      <c r="AC61" s="79">
        <f t="shared" si="476"/>
        <v>385371.63189395936</v>
      </c>
      <c r="AD61" s="79">
        <f t="shared" si="476"/>
        <v>412443.62174594734</v>
      </c>
      <c r="AE61" s="79">
        <f t="shared" si="476"/>
        <v>357500.17951602483</v>
      </c>
      <c r="AF61" s="79">
        <f t="shared" si="476"/>
        <v>380484.54788248759</v>
      </c>
      <c r="AG61" s="79">
        <f t="shared" si="476"/>
        <v>367959.69497463421</v>
      </c>
      <c r="AH61" s="79">
        <f t="shared" si="476"/>
        <v>393558.38692322053</v>
      </c>
      <c r="AI61" s="90">
        <f t="shared" si="476"/>
        <v>398947.44229250692</v>
      </c>
      <c r="AJ61" s="79">
        <f t="shared" ref="AJ61" si="477">IF(ISERROR(-AJ29/AVERAGE(AI46:AJ46)*1000000),"n.a.",-AJ29*AJ$5/AVERAGE(AI46:AJ46)*1000000)</f>
        <v>404823.30628734076</v>
      </c>
      <c r="AK61" s="79">
        <f t="shared" ref="AK61" si="478">IF(ISERROR(-AK29/AVERAGE(AJ46:AK46)*1000000),"n.a.",-AK29*AK$5/AVERAGE(AJ46:AK46)*1000000)</f>
        <v>400210.04745677166</v>
      </c>
      <c r="AL61" s="79">
        <f t="shared" ref="AL61" si="479">IF(ISERROR(-AL29/AVERAGE(AK46:AL46)*1000000),"n.a.",-AL29*AL$5/AVERAGE(AK46:AL46)*1000000)</f>
        <v>414795.68980662007</v>
      </c>
      <c r="AM61" s="79">
        <f t="shared" ref="AM61" si="480">IF(ISERROR(-AM29/AVERAGE(AL46:AM46)*1000000),"n.a.",-AM29*AM$5/AVERAGE(AL46:AM46)*1000000)</f>
        <v>415031.53912950883</v>
      </c>
      <c r="AN61" s="79">
        <f t="shared" ref="AN61" si="481">IF(ISERROR(-AN29/AVERAGE(AM46:AN46)*1000000),"n.a.",-AN29*AN$5/AVERAGE(AM46:AN46)*1000000)</f>
        <v>426467.83480003703</v>
      </c>
      <c r="AO61" s="79">
        <f t="shared" ref="AO61" si="482">IF(ISERROR(-AO29/AVERAGE(AN46:AO46)*1000000),"n.a.",-AO29*AO$5/AVERAGE(AN46:AO46)*1000000)</f>
        <v>424214.90153856151</v>
      </c>
      <c r="AP61" s="79">
        <f t="shared" ref="AP61" si="483">IF(ISERROR(-AP29/AVERAGE(AO46:AP46)*1000000),"n.a.",-AP29*AP$5/AVERAGE(AO46:AP46)*1000000)</f>
        <v>436328.20626772882</v>
      </c>
      <c r="AQ61" s="79">
        <f t="shared" ref="AQ61" si="484">IF(ISERROR(-AQ29/AVERAGE(AP46:AQ46)*1000000),"n.a.",-AQ29*AQ$5/AVERAGE(AP46:AQ46)*1000000)</f>
        <v>434338.57147741003</v>
      </c>
      <c r="AR61" s="79">
        <f t="shared" ref="AR61" si="485">IF(ISERROR(-AR29/AVERAGE(AQ46:AR46)*1000000),"n.a.",-AR29*AR$5/AVERAGE(AQ46:AR46)*1000000)</f>
        <v>444896.21426075423</v>
      </c>
      <c r="AT61" s="79">
        <f>IF(ISERROR(-AT29/AVERAGE(T46:AT46)*1000000),"n.a.",-AT29*AT$5/AVERAGE(T46:AT46)*1000000)</f>
        <v>169402.8911150519</v>
      </c>
      <c r="AU61" s="79">
        <f>IF(ISERROR(-AU29/AVERAGE(AT46:AU46)*1000000),"n.a.",-AU29*AU$5/AVERAGE(AT46:AU46)*1000000)</f>
        <v>257505.04749611099</v>
      </c>
      <c r="AV61" s="79">
        <f>IF(ISERROR(-AV29/AVERAGE(AU46:AV46)*1000000),"n.a.",-AV29*AV$5/AVERAGE(AU46:AV46)*1000000)</f>
        <v>239263.39135694603</v>
      </c>
      <c r="AW61" s="79">
        <f>IF(ISERROR(-AW29/AVERAGE(AV46:AW46)*1000000),"n.a.",-AW29*AW$5/AVERAGE(AV46:AW46)*1000000)</f>
        <v>234918.35636102638</v>
      </c>
      <c r="AX61" s="79">
        <f t="shared" ref="AX61:BB61" si="486">IF(ISERROR(-AX29/AVERAGE(AW46:AX46)*1000000),"n.a.",-AX29*AX$5/AVERAGE(AW46:AX46)*1000000)</f>
        <v>270960.25529445894</v>
      </c>
      <c r="AY61" s="79">
        <f t="shared" si="486"/>
        <v>295949.71069362096</v>
      </c>
      <c r="AZ61" s="79">
        <f t="shared" si="486"/>
        <v>298274.58973187616</v>
      </c>
      <c r="BA61" s="79">
        <f t="shared" si="486"/>
        <v>313132.39658192999</v>
      </c>
      <c r="BB61" s="79">
        <f t="shared" si="486"/>
        <v>316330.48192346958</v>
      </c>
      <c r="BC61" s="79">
        <f t="shared" ref="BC61" si="487">IF(ISERROR(-BC29/AVERAGE(BB46:BC46)*1000000),"n.a.",-BC29*BC$5/AVERAGE(BB46:BC46)*1000000)</f>
        <v>343088.25463632774</v>
      </c>
      <c r="BD61" s="79">
        <f t="shared" ref="BD61" si="488">IF(ISERROR(-BD29/AVERAGE(BC46:BD46)*1000000),"n.a.",-BD29*BD$5/AVERAGE(BC46:BD46)*1000000)</f>
        <v>338494.80143715622</v>
      </c>
      <c r="BE61" s="79">
        <f t="shared" ref="BE61" si="489">IF(ISERROR(-BE29/AVERAGE(BD46:BE46)*1000000),"n.a.",-BE29*BE$5/AVERAGE(BD46:BE46)*1000000)</f>
        <v>341525.31880648754</v>
      </c>
      <c r="BF61" s="79">
        <f t="shared" ref="BF61" si="490">IF(ISERROR(-BF29/AVERAGE(BE46:BF46)*1000000),"n.a.",-BF29*BF$5/AVERAGE(BE46:BF46)*1000000)</f>
        <v>388818.22386679001</v>
      </c>
      <c r="BG61" s="79">
        <f t="shared" ref="BG61" si="491">IF(ISERROR(-BG29/AVERAGE(BF46:BG46)*1000000),"n.a.",-BG29*BG$5/AVERAGE(BF46:BG46)*1000000)</f>
        <v>398685.3682521609</v>
      </c>
      <c r="BH61" s="79">
        <f t="shared" ref="BH61:BJ61" si="492">IF(ISERROR(-BH29/AVERAGE(BG46:BH46)*1000000),"n.a.",-BH29*BH$5/AVERAGE(BG46:BH46)*1000000)</f>
        <v>375130.54037644202</v>
      </c>
      <c r="BI61" s="90">
        <f t="shared" si="492"/>
        <v>379198.53468973539</v>
      </c>
      <c r="BJ61" s="79">
        <f t="shared" si="492"/>
        <v>405944.35817607795</v>
      </c>
      <c r="BK61" s="79">
        <f>IF(ISERROR(-BK29/AVERAGE(BK46:BK46)*1000000),"n.a.",-BK29*BK$5/AVERAGE(BK46:BK46)*1000000)</f>
        <v>406007.30844561278</v>
      </c>
      <c r="BL61" s="79">
        <f>IF(ISERROR(-BL29/AVERAGE(BL46:BL46)*1000000),"n.a.",-BL29*BL$5/AVERAGE(BL46:BL46)*1000000)</f>
        <v>419211.71932652692</v>
      </c>
      <c r="BM61" s="79">
        <f>IF(ISERROR(-BM29/AVERAGE(BM46:BM46)*1000000),"n.a.",-BM29*BM$5/AVERAGE(BM46:BM46)*1000000)</f>
        <v>428666.95726928569</v>
      </c>
      <c r="BN61" s="79">
        <f>IF(ISERROR(-BN29/AVERAGE(BN46:BN46)*1000000),"n.a.",-BN29*BN$5/AVERAGE(BN46:BN46)*1000000)</f>
        <v>437964.87008500489</v>
      </c>
    </row>
    <row r="62" spans="2:66" ht="12" customHeight="1" outlineLevel="1">
      <c r="B62" s="1" t="s">
        <v>1110</v>
      </c>
      <c r="C62" s="69">
        <f t="shared" ref="C62:I62" si="493">IF(ISERROR(-C29/C28),"n.a.",-C29/C28)</f>
        <v>0.48599033816425119</v>
      </c>
      <c r="D62" s="69">
        <f t="shared" si="493"/>
        <v>0.45060854797622418</v>
      </c>
      <c r="E62" s="69">
        <f t="shared" si="493"/>
        <v>0.51789128653373395</v>
      </c>
      <c r="F62" s="69">
        <f t="shared" si="493"/>
        <v>0.49800199800199801</v>
      </c>
      <c r="G62" s="69">
        <f t="shared" si="493"/>
        <v>0.50940487203206908</v>
      </c>
      <c r="H62" s="69">
        <f t="shared" si="493"/>
        <v>0.51290322580645165</v>
      </c>
      <c r="I62" s="69">
        <f t="shared" si="493"/>
        <v>0.50360183366077271</v>
      </c>
      <c r="J62" s="69">
        <f>IF(ISERROR(-J29/J28),"n.a.",-J29/J28)</f>
        <v>0.48154315847904522</v>
      </c>
      <c r="K62" s="69">
        <f t="shared" ref="K62:P62" si="494">IF(ISERROR(-K29/K28),"n.a.",-K29/K28)</f>
        <v>0.47023647730361512</v>
      </c>
      <c r="L62" s="69">
        <f t="shared" ref="L62:M62" si="495">IF(ISERROR(-L29/L28),"n.a.",-L29/L28)</f>
        <v>0.45048282057040195</v>
      </c>
      <c r="M62" s="69">
        <f t="shared" si="495"/>
        <v>0.45378151260504201</v>
      </c>
      <c r="N62" s="69">
        <f t="shared" ref="N62" si="496">IF(ISERROR(-N29/N28),"n.a.",-N29/N28)</f>
        <v>0.44174367215749299</v>
      </c>
      <c r="O62" s="69">
        <f t="shared" si="494"/>
        <v>0.4255359157578037</v>
      </c>
      <c r="P62" s="69">
        <f t="shared" si="494"/>
        <v>0.41125181648328835</v>
      </c>
      <c r="Q62" s="69">
        <f t="shared" ref="Q62:R62" si="497">IF(ISERROR(-Q29/Q28),"n.a.",-Q29/Q28)</f>
        <v>0.43886546569566887</v>
      </c>
      <c r="R62" s="69">
        <f t="shared" si="497"/>
        <v>0.40594636610959967</v>
      </c>
      <c r="S62" s="69">
        <f t="shared" ref="S62:T62" si="498">IF(ISERROR(-S29/S28),"n.a.",-S29/S28)</f>
        <v>0.41893644617380027</v>
      </c>
      <c r="T62" s="69">
        <f t="shared" si="498"/>
        <v>0.40412819120043453</v>
      </c>
      <c r="U62" s="69">
        <f t="shared" ref="U62:V62" si="499">IF(ISERROR(-U29/U28),"n.a.",-U29/U28)</f>
        <v>0.42092624356775299</v>
      </c>
      <c r="V62" s="69">
        <f t="shared" si="499"/>
        <v>0.39904679376083191</v>
      </c>
      <c r="W62" s="69">
        <f t="shared" ref="W62:X62" si="500">IF(ISERROR(-W29/W28),"n.a.",-W29/W28)</f>
        <v>0.43924050632911393</v>
      </c>
      <c r="X62" s="69">
        <f t="shared" si="500"/>
        <v>0.42414654454621148</v>
      </c>
      <c r="Y62" s="69">
        <f t="shared" ref="Y62:Z62" si="501">IF(ISERROR(-Y29/Y28),"n.a.",-Y29/Y28)</f>
        <v>0.47381772060155825</v>
      </c>
      <c r="Z62" s="69">
        <f t="shared" si="501"/>
        <v>0.4</v>
      </c>
      <c r="AA62" s="69">
        <f t="shared" ref="AA62:AB62" si="502">IF(ISERROR(-AA29/AA28),"n.a.",-AA29/AA28)</f>
        <v>0.4054331112250128</v>
      </c>
      <c r="AB62" s="69">
        <f t="shared" si="502"/>
        <v>0.3740546218487395</v>
      </c>
      <c r="AC62" s="69">
        <f t="shared" ref="AC62:AD62" si="503">IF(ISERROR(-AC29/AC28),"n.a.",-AC29/AC28)</f>
        <v>0.41894712430426717</v>
      </c>
      <c r="AD62" s="69">
        <f t="shared" si="503"/>
        <v>0.38959801867022292</v>
      </c>
      <c r="AE62" s="69">
        <f t="shared" ref="AE62:AF62" si="504">IF(ISERROR(-AE29/AE28),"n.a.",-AE29/AE28)</f>
        <v>0.47206068268015172</v>
      </c>
      <c r="AF62" s="69">
        <f t="shared" si="504"/>
        <v>0.44435780327503621</v>
      </c>
      <c r="AG62" s="69">
        <f t="shared" ref="AG62:AH62" si="505">IF(ISERROR(-AG29/AG28),"n.a.",-AG29/AG28)</f>
        <v>0.45715676728334959</v>
      </c>
      <c r="AH62" s="69">
        <f t="shared" si="505"/>
        <v>0.43416370106761565</v>
      </c>
      <c r="AI62" s="89">
        <f t="shared" ref="AI62" si="506">IF(ISERROR(-AI29/AI28),"n.a.",-AI29/AI28)</f>
        <v>0.4551835231849039</v>
      </c>
      <c r="AJ62" s="69">
        <f t="shared" ref="AJ62" si="507">IF(ISERROR(-AJ29/AJ28),"n.a.",-AJ29/AJ28)</f>
        <v>0.39409951138853849</v>
      </c>
      <c r="AK62" s="69">
        <f t="shared" ref="AK62:AL62" si="508">IF(ISERROR(-AK29/AK28),"n.a.",-AK29/AK28)</f>
        <v>0.41949447695924541</v>
      </c>
      <c r="AL62" s="69">
        <f t="shared" si="508"/>
        <v>0.41324171124138964</v>
      </c>
      <c r="AM62" s="69">
        <f t="shared" ref="AM62:AN62" si="509">IF(ISERROR(-AM29/AM28),"n.a.",-AM29/AM28)</f>
        <v>0.4155908088936594</v>
      </c>
      <c r="AN62" s="69">
        <f t="shared" si="509"/>
        <v>0.40448794112070208</v>
      </c>
      <c r="AO62" s="69">
        <f t="shared" ref="AO62:AP62" si="510">IF(ISERROR(-AO29/AO28),"n.a.",-AO29/AO28)</f>
        <v>0.41047996473741427</v>
      </c>
      <c r="AP62" s="69">
        <f t="shared" si="510"/>
        <v>0.39979374096613202</v>
      </c>
      <c r="AQ62" s="69">
        <f t="shared" ref="AQ62:AR62" si="511">IF(ISERROR(-AQ29/AQ28),"n.a.",-AQ29/AQ28)</f>
        <v>0.40538090727943837</v>
      </c>
      <c r="AR62" s="69">
        <f t="shared" si="511"/>
        <v>0.39716864241793337</v>
      </c>
      <c r="AT62" s="69">
        <f>IF(ISERROR(-AT29/AT28),"n.a.",-AT29/AT28)</f>
        <v>0.46715878276589334</v>
      </c>
      <c r="AU62" s="69">
        <f>IF(ISERROR(-AU29/AU28),"n.a.",-AU29/AU28)</f>
        <v>0.50750163078930199</v>
      </c>
      <c r="AV62" s="69">
        <f>IF(ISERROR(-AV29/AV28),"n.a.",-AV29/AV28)</f>
        <v>0.51127387620278619</v>
      </c>
      <c r="AW62" s="69">
        <f>IF(ISERROR(-AW29/AW28),"n.a.",-AW29/AW28)</f>
        <v>0.49166291122127082</v>
      </c>
      <c r="AX62" s="69">
        <f t="shared" ref="AX62:BB62" si="512">IF(ISERROR(-AX29/AX28),"n.a.",-AX29/AX28)</f>
        <v>0.45941957697983277</v>
      </c>
      <c r="AY62" s="69">
        <f t="shared" si="512"/>
        <v>0.44731159576765278</v>
      </c>
      <c r="AZ62" s="69">
        <f t="shared" si="512"/>
        <v>0.41874691662555502</v>
      </c>
      <c r="BA62" s="69">
        <f t="shared" si="512"/>
        <v>0.42252026244693169</v>
      </c>
      <c r="BB62" s="69">
        <f t="shared" si="512"/>
        <v>0.41144688644688643</v>
      </c>
      <c r="BC62" s="69">
        <f t="shared" ref="BC62:BH62" si="513">IF(ISERROR(-BC29/BC28),"n.a.",-BC29/BC28)</f>
        <v>0.40904814175944804</v>
      </c>
      <c r="BD62" s="69">
        <f t="shared" si="513"/>
        <v>0.43188640973630832</v>
      </c>
      <c r="BE62" s="69">
        <f t="shared" si="513"/>
        <v>0.43189290746829495</v>
      </c>
      <c r="BF62" s="69">
        <f t="shared" si="513"/>
        <v>0.38818979450473334</v>
      </c>
      <c r="BG62" s="69">
        <f t="shared" si="513"/>
        <v>0.40283443154481746</v>
      </c>
      <c r="BH62" s="69">
        <f t="shared" si="513"/>
        <v>0.45733404393912475</v>
      </c>
      <c r="BI62" s="89">
        <f t="shared" ref="BI62" si="514">IF(ISERROR(-BI29/BI28),"n.a.",-BI29/BI28)</f>
        <v>0.44514179451417946</v>
      </c>
      <c r="BJ62" s="69">
        <f t="shared" ref="BJ62:BK62" si="515">IF(ISERROR(-BJ29/BJ28),"n.a.",-BJ29/BJ28)</f>
        <v>0.42254486845792466</v>
      </c>
      <c r="BK62" s="69">
        <f t="shared" si="515"/>
        <v>0.41629152919440282</v>
      </c>
      <c r="BL62" s="69">
        <f t="shared" ref="BL62" si="516">IF(ISERROR(-BL29/BL28),"n.a.",-BL29/BL28)</f>
        <v>0.40987857232859226</v>
      </c>
      <c r="BM62" s="69">
        <f t="shared" ref="BM62" si="517">IF(ISERROR(-BM29/BM28),"n.a.",-BM29/BM28)</f>
        <v>0.40499590304462207</v>
      </c>
      <c r="BN62" s="69">
        <f t="shared" ref="BN62" si="518">IF(ISERROR(-BN29/BN28),"n.a.",-BN29/BN28)</f>
        <v>0.40118701250319716</v>
      </c>
    </row>
    <row r="63" spans="2:66" ht="12" customHeight="1" outlineLevel="1">
      <c r="B63" s="1" t="s">
        <v>79</v>
      </c>
      <c r="C63" s="78">
        <f t="shared" ref="C63:I63" si="519">IF(ISERROR(-C31*C$5/AVERAGE(B40:C40)),"n.a.",-C31*C$5/AVERAGE(B40:C40))</f>
        <v>9.9773608466380611E-3</v>
      </c>
      <c r="D63" s="78">
        <f t="shared" si="519"/>
        <v>1.1819140565243798E-2</v>
      </c>
      <c r="E63" s="78">
        <f t="shared" si="519"/>
        <v>1.0864969801553064E-2</v>
      </c>
      <c r="F63" s="78">
        <f t="shared" si="519"/>
        <v>1.1322795217126518E-2</v>
      </c>
      <c r="G63" s="78">
        <f t="shared" si="519"/>
        <v>9.510738707502648E-3</v>
      </c>
      <c r="H63" s="78">
        <f t="shared" si="519"/>
        <v>1.0234105155430473E-2</v>
      </c>
      <c r="I63" s="78">
        <f t="shared" si="519"/>
        <v>8.8571814646301178E-3</v>
      </c>
      <c r="J63" s="78">
        <f>IF(ISERROR(-J31*J$5/AVERAGE(I40:J40)),"n.a.",-J31*J$5/AVERAGE(I40:J40))</f>
        <v>9.4017686161236118E-3</v>
      </c>
      <c r="K63" s="78">
        <f t="shared" ref="K63:M63" si="520">IF(ISERROR(-K31*K$5/AVERAGE(J40:K40)),"n.a.",-K31*K$5/AVERAGE(J40:K40))</f>
        <v>1.0127657405665106E-2</v>
      </c>
      <c r="L63" s="78">
        <f t="shared" si="520"/>
        <v>9.7640638281926567E-3</v>
      </c>
      <c r="M63" s="78">
        <f t="shared" si="520"/>
        <v>1.0495032519463744E-2</v>
      </c>
      <c r="N63" s="78">
        <f t="shared" ref="N63" si="521">IF(ISERROR(-N31*N$5/AVERAGE(M40:N40)),"n.a.",-N31*N$5/AVERAGE(M40:N40))</f>
        <v>1.0774349028114286E-2</v>
      </c>
      <c r="O63" s="78">
        <f t="shared" ref="O63" si="522">IF(ISERROR(-O31*O$5/AVERAGE(N40:O40)),"n.a.",-O31*O$5/AVERAGE(N40:O40))</f>
        <v>9.9933008618214598E-3</v>
      </c>
      <c r="P63" s="78">
        <f t="shared" ref="P63:AI63" si="523">IF(ISERROR(-P31*P$5/AVERAGE(O40:P40)),"n.a.",-P31*P$5/AVERAGE(O40:P40))</f>
        <v>9.7771316635661392E-3</v>
      </c>
      <c r="Q63" s="78">
        <f t="shared" si="523"/>
        <v>1.0488184662246953E-2</v>
      </c>
      <c r="R63" s="78">
        <f t="shared" si="523"/>
        <v>1.0711048666204663E-2</v>
      </c>
      <c r="S63" s="78">
        <f t="shared" si="523"/>
        <v>1.0812028189991546E-2</v>
      </c>
      <c r="T63" s="78">
        <f t="shared" si="523"/>
        <v>1.1819779470041222E-2</v>
      </c>
      <c r="U63" s="78">
        <f t="shared" si="523"/>
        <v>1.0974585936744639E-2</v>
      </c>
      <c r="V63" s="78">
        <f t="shared" si="523"/>
        <v>1.4299567869004222E-2</v>
      </c>
      <c r="W63" s="78">
        <f t="shared" si="523"/>
        <v>1.1714743128852588E-2</v>
      </c>
      <c r="X63" s="78">
        <f t="shared" si="523"/>
        <v>1.14623067261102E-2</v>
      </c>
      <c r="Y63" s="78">
        <f t="shared" si="523"/>
        <v>9.6747088610662953E-3</v>
      </c>
      <c r="Z63" s="78">
        <f t="shared" si="523"/>
        <v>1.0869683562950396E-2</v>
      </c>
      <c r="AA63" s="78">
        <f t="shared" si="523"/>
        <v>9.4453619043782973E-3</v>
      </c>
      <c r="AB63" s="78">
        <f t="shared" si="523"/>
        <v>8.7113435416261379E-3</v>
      </c>
      <c r="AC63" s="78">
        <f t="shared" si="523"/>
        <v>6.6788510863412653E-3</v>
      </c>
      <c r="AD63" s="78">
        <f t="shared" si="523"/>
        <v>8.7884843032673774E-3</v>
      </c>
      <c r="AE63" s="78">
        <f t="shared" si="523"/>
        <v>8.465543550774092E-3</v>
      </c>
      <c r="AF63" s="78">
        <f t="shared" si="523"/>
        <v>8.0752082085418769E-3</v>
      </c>
      <c r="AG63" s="78">
        <f t="shared" si="523"/>
        <v>7.7223342658687306E-3</v>
      </c>
      <c r="AH63" s="78">
        <f t="shared" si="523"/>
        <v>7.8909812009996284E-3</v>
      </c>
      <c r="AI63" s="88">
        <f t="shared" si="523"/>
        <v>7.1031307859553807E-3</v>
      </c>
      <c r="AJ63" s="78">
        <f t="shared" ref="AJ63" si="524">IF(ISERROR(-AJ31*AJ$5/AVERAGE(AI40:AJ40)),"n.a.",-AJ31*AJ$5/AVERAGE(AI40:AJ40))</f>
        <v>7.1890163234367369E-3</v>
      </c>
      <c r="AK63" s="78">
        <f t="shared" ref="AK63" si="525">IF(ISERROR(-AK31*AK$5/AVERAGE(AJ40:AK40)),"n.a.",-AK31*AK$5/AVERAGE(AJ40:AK40))</f>
        <v>5.9892805818080354E-3</v>
      </c>
      <c r="AL63" s="78">
        <f t="shared" ref="AL63" si="526">IF(ISERROR(-AL31*AL$5/AVERAGE(AK40:AL40)),"n.a.",-AL31*AL$5/AVERAGE(AK40:AL40))</f>
        <v>6.4549163894353379E-3</v>
      </c>
      <c r="AM63" s="78">
        <f t="shared" ref="AM63" si="527">IF(ISERROR(-AM31*AM$5/AVERAGE(AL40:AM40)),"n.a.",-AM31*AM$5/AVERAGE(AL40:AM40))</f>
        <v>5.5669503392790755E-3</v>
      </c>
      <c r="AN63" s="78">
        <f t="shared" ref="AN63" si="528">IF(ISERROR(-AN31*AN$5/AVERAGE(AM40:AN40)),"n.a.",-AN31*AN$5/AVERAGE(AM40:AN40))</f>
        <v>6.0705113187692209E-3</v>
      </c>
      <c r="AO63" s="78">
        <f t="shared" ref="AO63" si="529">IF(ISERROR(-AO31*AO$5/AVERAGE(AN40:AO40)),"n.a.",-AO31*AO$5/AVERAGE(AN40:AO40))</f>
        <v>5.387427070934884E-3</v>
      </c>
      <c r="AP63" s="78">
        <f t="shared" ref="AP63" si="530">IF(ISERROR(-AP31*AP$5/AVERAGE(AO40:AP40)),"n.a.",-AP31*AP$5/AVERAGE(AO40:AP40))</f>
        <v>5.9789621937058265E-3</v>
      </c>
      <c r="AQ63" s="78">
        <f t="shared" ref="AQ63" si="531">IF(ISERROR(-AQ31*AQ$5/AVERAGE(AP40:AQ40)),"n.a.",-AQ31*AQ$5/AVERAGE(AP40:AQ40))</f>
        <v>5.268523017446027E-3</v>
      </c>
      <c r="AR63" s="78">
        <f t="shared" ref="AR63" si="532">IF(ISERROR(-AR31*AR$5/AVERAGE(AQ40:AR40)),"n.a.",-AR31*AR$5/AVERAGE(AQ40:AR40))</f>
        <v>5.9006316226061653E-3</v>
      </c>
      <c r="AT63" s="78">
        <f>IF(ISERROR(-AT31*AT$5/AVERAGE(T40:AT40)),"n.a.",-AT31*AT$5/AVERAGE(T40:AT40))</f>
        <v>3.7853792458596154E-3</v>
      </c>
      <c r="AU63" s="78">
        <f>IF(ISERROR(-AU31*AU$5/AVERAGE(AT40:AU40)),"n.a.",-AU31*AU$5/AVERAGE(AT40:AU40))</f>
        <v>1.1327543260803669E-2</v>
      </c>
      <c r="AV63" s="78">
        <f>IF(ISERROR(-AV31*AV$5/AVERAGE(AU40:AV40)),"n.a.",-AV31*AV$5/AVERAGE(AU40:AV40))</f>
        <v>1.047578038136982E-2</v>
      </c>
      <c r="AW63" s="78">
        <f>IF(ISERROR(-AW31*AW$5/AVERAGE(AV40:AW40)),"n.a.",-AW31*AW$5/AVERAGE(AV40:AW40))</f>
        <v>9.2166207511378342E-3</v>
      </c>
      <c r="AX63" s="78">
        <f t="shared" ref="AX63:BB63" si="533">IF(ISERROR(-AX31*AX$5/AVERAGE(AW40:AX40)),"n.a.",-AX31*AX$5/AVERAGE(AW40:AX40))</f>
        <v>1.0118800476809129E-2</v>
      </c>
      <c r="AY63" s="78">
        <f t="shared" si="533"/>
        <v>1.0372060372060373E-2</v>
      </c>
      <c r="AZ63" s="78">
        <f t="shared" si="533"/>
        <v>1.0313699701869619E-2</v>
      </c>
      <c r="BA63" s="78">
        <f t="shared" si="533"/>
        <v>1.0689299110717749E-2</v>
      </c>
      <c r="BB63" s="78">
        <f t="shared" si="533"/>
        <v>1.140025975275386E-2</v>
      </c>
      <c r="BC63" s="78">
        <f t="shared" ref="BC63" si="534">IF(ISERROR(-BC31*BC$5/AVERAGE(BB40:BC40)),"n.a.",-BC31*BC$5/AVERAGE(BB40:BC40))</f>
        <v>1.3004970674562175E-2</v>
      </c>
      <c r="BD63" s="78">
        <f t="shared" ref="BD63" si="535">IF(ISERROR(-BD31*BD$5/AVERAGE(BC40:BD40)),"n.a.",-BD31*BD$5/AVERAGE(BC40:BD40))</f>
        <v>1.1394327970561714E-2</v>
      </c>
      <c r="BE63" s="78">
        <f t="shared" ref="BE63" si="536">IF(ISERROR(-BE31*BE$5/AVERAGE(BD40:BE40)),"n.a.",-BE31*BE$5/AVERAGE(BD40:BE40))</f>
        <v>9.8553210158438941E-3</v>
      </c>
      <c r="BF63" s="78">
        <f t="shared" ref="BF63" si="537">IF(ISERROR(-BF31*BF$5/AVERAGE(BE40:BF40)),"n.a.",-BF31*BF$5/AVERAGE(BE40:BF40))</f>
        <v>9.4009419551540022E-3</v>
      </c>
      <c r="BG63" s="78">
        <f t="shared" ref="BG63" si="538">IF(ISERROR(-BG31*BG$5/AVERAGE(BF40:BG40)),"n.a.",-BG31*BG$5/AVERAGE(BF40:BG40))</f>
        <v>8.6373385104847478E-3</v>
      </c>
      <c r="BH63" s="78">
        <f t="shared" ref="BH63:BJ63" si="539">IF(ISERROR(-BH31*BH$5/AVERAGE(BG40:BH40)),"n.a.",-BH31*BH$5/AVERAGE(BG40:BH40))</f>
        <v>8.2575485671244932E-3</v>
      </c>
      <c r="BI63" s="88">
        <f t="shared" si="539"/>
        <v>7.7160111945794672E-3</v>
      </c>
      <c r="BJ63" s="78">
        <f t="shared" si="539"/>
        <v>7.1818454777412138E-3</v>
      </c>
      <c r="BK63" s="78">
        <f>IF(ISERROR(-BK31*BK$5/AVERAGE(BK40:BK40)),"n.a.",-BK31*BK$5/AVERAGE(BK40:BK40))</f>
        <v>5.9199342840073757E-3</v>
      </c>
      <c r="BL63" s="78">
        <f>IF(ISERROR(-BL31*BL$5/AVERAGE(BL40:BL40)),"n.a.",-BL31*BL$5/AVERAGE(BL40:BL40))</f>
        <v>5.6083362210923226E-3</v>
      </c>
      <c r="BM63" s="78">
        <f>IF(ISERROR(-BM31*BM$5/AVERAGE(BM40:BM40)),"n.a.",-BM31*BM$5/AVERAGE(BM40:BM40))</f>
        <v>5.502132126762105E-3</v>
      </c>
      <c r="BN63" s="78">
        <f>IF(ISERROR(-BN31*BN$5/AVERAGE(BN40:BN40)),"n.a.",-BN31*BN$5/AVERAGE(BN40:BN40))</f>
        <v>5.4102114615303919E-3</v>
      </c>
    </row>
    <row r="64" spans="2:66" ht="12" customHeight="1" outlineLevel="1">
      <c r="B64" s="1" t="s">
        <v>68</v>
      </c>
      <c r="C64" s="69" t="str">
        <f t="shared" ref="C64:I64" si="540">IF(ISERROR(C31/B31),"n.a.",C31/B31-1)</f>
        <v>n.a.</v>
      </c>
      <c r="D64" s="69">
        <f t="shared" si="540"/>
        <v>0.17414965986394559</v>
      </c>
      <c r="E64" s="69">
        <f t="shared" si="540"/>
        <v>-4.0556199304750851E-2</v>
      </c>
      <c r="F64" s="69">
        <f t="shared" si="540"/>
        <v>7.6086956521739024E-2</v>
      </c>
      <c r="G64" s="69">
        <f t="shared" si="540"/>
        <v>-0.11335578002244673</v>
      </c>
      <c r="H64" s="69">
        <f t="shared" si="540"/>
        <v>6.3291139240506222E-2</v>
      </c>
      <c r="I64" s="69">
        <f t="shared" si="540"/>
        <v>-0.19166666666666665</v>
      </c>
      <c r="J64" s="69">
        <f>IF(ISERROR(J31/I31),"n.a.",J31/I31-1)</f>
        <v>2.5036818851251752E-2</v>
      </c>
      <c r="K64" s="69">
        <f t="shared" ref="K64:M64" si="541">IF(ISERROR(K31/J31),"n.a.",K31/J31-1)</f>
        <v>9.1954022988505857E-2</v>
      </c>
      <c r="L64" s="69">
        <f t="shared" si="541"/>
        <v>-1.1842105263157876E-2</v>
      </c>
      <c r="M64" s="69">
        <f t="shared" si="541"/>
        <v>0.1078561917443408</v>
      </c>
      <c r="N64" s="69">
        <f t="shared" ref="N64" si="542">IF(ISERROR(N31/M31),"n.a.",N31/M31-1)</f>
        <v>0.13100961538461542</v>
      </c>
      <c r="O64" s="69">
        <f t="shared" ref="O64" si="543">IF(ISERROR(O31/N31),"n.a.",O31/N31-1)</f>
        <v>5.4197662061636454E-2</v>
      </c>
      <c r="P64" s="69">
        <f t="shared" ref="P64:AI64" si="544">IF(ISERROR(P31/O31),"n.a.",P31/O31-1)</f>
        <v>0</v>
      </c>
      <c r="Q64" s="69">
        <f t="shared" si="544"/>
        <v>3.3266129032258007E-2</v>
      </c>
      <c r="R64" s="69">
        <f t="shared" si="544"/>
        <v>-2.0487804878048799E-2</v>
      </c>
      <c r="S64" s="69">
        <f t="shared" si="544"/>
        <v>5.9760956175298752E-3</v>
      </c>
      <c r="T64" s="69">
        <f t="shared" si="544"/>
        <v>0.11188118811881198</v>
      </c>
      <c r="U64" s="69">
        <f t="shared" si="544"/>
        <v>-2.7604630454140744E-2</v>
      </c>
      <c r="V64" s="69">
        <f t="shared" si="544"/>
        <v>0.31684981684981683</v>
      </c>
      <c r="W64" s="69">
        <f t="shared" si="544"/>
        <v>-0.15020862308762173</v>
      </c>
      <c r="X64" s="69">
        <f t="shared" si="544"/>
        <v>0.11456628477905073</v>
      </c>
      <c r="Y64" s="69">
        <f t="shared" si="544"/>
        <v>-0.13362701908957419</v>
      </c>
      <c r="Z64" s="69">
        <f t="shared" si="544"/>
        <v>9.4067796610169507E-2</v>
      </c>
      <c r="AA64" s="69">
        <f t="shared" si="544"/>
        <v>8.9852827265685553E-2</v>
      </c>
      <c r="AB64" s="69">
        <f t="shared" si="544"/>
        <v>0.15422885572139311</v>
      </c>
      <c r="AC64" s="69">
        <f t="shared" si="544"/>
        <v>-8.6822660098522131E-2</v>
      </c>
      <c r="AD64" s="69">
        <f t="shared" si="544"/>
        <v>0.29197572488199586</v>
      </c>
      <c r="AE64" s="69">
        <f t="shared" si="544"/>
        <v>-0.13569937369519836</v>
      </c>
      <c r="AF64" s="69">
        <f t="shared" si="544"/>
        <v>-2.7173913043478271E-2</v>
      </c>
      <c r="AG64" s="69">
        <f t="shared" si="544"/>
        <v>-1.7380509000620714E-2</v>
      </c>
      <c r="AH64" s="69">
        <f t="shared" si="544"/>
        <v>6.822488945041072E-2</v>
      </c>
      <c r="AI64" s="89">
        <f t="shared" si="544"/>
        <v>-2.1289178001182685E-2</v>
      </c>
      <c r="AJ64" s="69">
        <f t="shared" ref="AJ64" si="545">IF(ISERROR(AJ31/AI31),"n.a.",AJ31/AI31-1)</f>
        <v>8.0832567460636939E-2</v>
      </c>
      <c r="AK64" s="69">
        <f t="shared" ref="AK64" si="546">IF(ISERROR(AK31/AJ31),"n.a.",AK31/AJ31-1)</f>
        <v>-0.11332938877355636</v>
      </c>
      <c r="AL64" s="69">
        <f t="shared" ref="AL64" si="547">IF(ISERROR(AL31/AK31),"n.a.",AL31/AK31-1)</f>
        <v>0.12938518035334967</v>
      </c>
      <c r="AM64" s="69">
        <f t="shared" ref="AM64" si="548">IF(ISERROR(AM31/AL31),"n.a.",AM31/AL31-1)</f>
        <v>-9.5192847150397553E-2</v>
      </c>
      <c r="AN64" s="69">
        <f t="shared" ref="AN64" si="549">IF(ISERROR(AN31/AM31),"n.a.",AN31/AM31-1)</f>
        <v>0.13361565062050507</v>
      </c>
      <c r="AO64" s="69">
        <f t="shared" ref="AO64" si="550">IF(ISERROR(AO31/AN31),"n.a.",AO31/AN31-1)</f>
        <v>-7.7892432612846396E-2</v>
      </c>
      <c r="AP64" s="69">
        <f t="shared" ref="AP64" si="551">IF(ISERROR(AP31/AO31),"n.a.",AP31/AO31-1)</f>
        <v>0.14136456896418292</v>
      </c>
      <c r="AQ64" s="69">
        <f t="shared" ref="AQ64" si="552">IF(ISERROR(AQ31/AP31),"n.a.",AQ31/AP31-1)</f>
        <v>-8.4439698417762887E-2</v>
      </c>
      <c r="AR64" s="69">
        <f t="shared" ref="AR64" si="553">IF(ISERROR(AR31/AQ31),"n.a.",AR31/AQ31-1)</f>
        <v>0.15080012943515153</v>
      </c>
      <c r="AT64" s="69">
        <f>IF(ISERROR(AT31/T31),"n.a.",AT31/T31-1)</f>
        <v>0.42297417631344603</v>
      </c>
      <c r="AU64" s="69">
        <f>IF(ISERROR(AU31/AT31),"n.a.",AU31/AT31-1)</f>
        <v>7.571964956195254E-2</v>
      </c>
      <c r="AV64" s="69">
        <f>IF(ISERROR(AV31/AU31),"n.a.",AV31/AU31-1)</f>
        <v>-5.1774287376381567E-2</v>
      </c>
      <c r="AW64" s="69">
        <f>IF(ISERROR(AW31/AV31),"n.a.",AW31/AV31-1)</f>
        <v>-0.15644171779141103</v>
      </c>
      <c r="AX64" s="69">
        <f t="shared" ref="AX64:BB64" si="554">IF(ISERROR(AX31/AW31),"n.a.",AX31/AW31-1)</f>
        <v>9.8909090909090835E-2</v>
      </c>
      <c r="AY64" s="69">
        <f t="shared" si="554"/>
        <v>0.17339510258107205</v>
      </c>
      <c r="AZ64" s="69">
        <f t="shared" si="554"/>
        <v>0.1190073322053018</v>
      </c>
      <c r="BA64" s="69">
        <f t="shared" si="554"/>
        <v>2.2681451612903247E-2</v>
      </c>
      <c r="BB64" s="69">
        <f t="shared" si="554"/>
        <v>5.1256776737309107E-2</v>
      </c>
      <c r="BC64" s="69">
        <f t="shared" ref="BC64" si="555">IF(ISERROR(BC31/BB31),"n.a.",BC31/BB31-1)</f>
        <v>0.18612283169245192</v>
      </c>
      <c r="BD64" s="69">
        <f t="shared" ref="BD64" si="556">IF(ISERROR(BD31/BC31),"n.a.",BD31/BC31-1)</f>
        <v>2.134387351778666E-2</v>
      </c>
      <c r="BE64" s="69">
        <f t="shared" ref="BE64" si="557">IF(ISERROR(BE31/BD31),"n.a.",BE31/BD31-1)</f>
        <v>-4.3730650154798711E-2</v>
      </c>
      <c r="BF64" s="69">
        <f t="shared" ref="BF64" si="558">IF(ISERROR(BF31/BE31),"n.a.",BF31/BE31-1)</f>
        <v>0.22662889518413598</v>
      </c>
      <c r="BG64" s="69">
        <f t="shared" ref="BG64" si="559">IF(ISERROR(BG31/BF31),"n.a.",BG31/BF31-1)</f>
        <v>0.12141207522269881</v>
      </c>
      <c r="BH64" s="69">
        <f t="shared" ref="BH64:BN64" si="560">IF(ISERROR(BH31/BG31),"n.a.",BH31/BG31-1)</f>
        <v>-3.8834951456310662E-2</v>
      </c>
      <c r="BI64" s="89">
        <f t="shared" si="560"/>
        <v>2.1426385062748299E-3</v>
      </c>
      <c r="BJ64" s="69">
        <f t="shared" si="560"/>
        <v>5.1856413911836929E-2</v>
      </c>
      <c r="BK64" s="69">
        <f t="shared" si="560"/>
        <v>-1.9296270109692593E-2</v>
      </c>
      <c r="BL64" s="69">
        <f t="shared" si="560"/>
        <v>2.390596008491741E-2</v>
      </c>
      <c r="BM64" s="69">
        <f t="shared" si="560"/>
        <v>4.9111973010368182E-2</v>
      </c>
      <c r="BN64" s="69">
        <f t="shared" si="560"/>
        <v>4.9592652088771727E-2</v>
      </c>
    </row>
    <row r="65" spans="1:66" ht="12" customHeight="1" outlineLevel="1">
      <c r="B65" s="1" t="s">
        <v>80</v>
      </c>
      <c r="C65" s="69">
        <f t="shared" ref="C65" si="561">IF(ISERROR(-SUM(C29:C31)/C28),"n.a.",-SUM(C29:C31)/C28)</f>
        <v>0.8286634460547504</v>
      </c>
      <c r="D65" s="69">
        <f t="shared" ref="D65:I65" si="562">IF(ISERROR(-SUM(D29:D31)/D28),"n.a.",-SUM(D29:D31)/D28)</f>
        <v>0.7843192754033399</v>
      </c>
      <c r="E65" s="69">
        <f t="shared" si="562"/>
        <v>0.86451789128653378</v>
      </c>
      <c r="F65" s="69">
        <f t="shared" si="562"/>
        <v>0.80644355644355648</v>
      </c>
      <c r="G65" s="69">
        <f t="shared" si="562"/>
        <v>0.87203206907184705</v>
      </c>
      <c r="H65" s="69">
        <f t="shared" si="562"/>
        <v>0.8295698924731183</v>
      </c>
      <c r="I65" s="69">
        <f t="shared" si="562"/>
        <v>0.83071381794368038</v>
      </c>
      <c r="J65" s="69">
        <f>IF(ISERROR(-SUM(J29:J31)/J28),"n.a.",-SUM(J29:J31)/J28)</f>
        <v>0.75353871773522063</v>
      </c>
      <c r="K65" s="69">
        <f t="shared" ref="K65" si="563">IF(ISERROR(-SUM(K29:K31)/K28),"n.a.",-SUM(K29:K31)/K28)</f>
        <v>0.77983147594455016</v>
      </c>
      <c r="L65" s="69">
        <f t="shared" ref="L65:M65" si="564">IF(ISERROR(-SUM(L29:L31)/L28),"n.a.",-SUM(L29:L31)/L28)</f>
        <v>0.70896025151583197</v>
      </c>
      <c r="M65" s="69">
        <f t="shared" si="564"/>
        <v>0.73832866479925308</v>
      </c>
      <c r="N65" s="69">
        <f t="shared" ref="N65" si="565">IF(ISERROR(-SUM(N29:N31)/N28),"n.a.",-SUM(N29:N31)/N28)</f>
        <v>0.71856167135395743</v>
      </c>
      <c r="O65" s="69">
        <f t="shared" ref="O65:P65" si="566">IF(ISERROR(-SUM(O29:O31)/O28),"n.a.",-SUM(O29:O31)/O28)</f>
        <v>0.69556224144415191</v>
      </c>
      <c r="P65" s="69">
        <f t="shared" si="566"/>
        <v>0.71019306622379075</v>
      </c>
      <c r="Q65" s="69">
        <f t="shared" ref="Q65:R65" si="567">IF(ISERROR(-SUM(Q29:Q31)/Q28),"n.a.",-SUM(Q29:Q31)/Q28)</f>
        <v>0.71540820237638947</v>
      </c>
      <c r="R65" s="69">
        <f t="shared" si="567"/>
        <v>0.68538670812281388</v>
      </c>
      <c r="S65" s="69">
        <f t="shared" ref="S65:T65" si="568">IF(ISERROR(-SUM(S29:S31)/S28),"n.a.",-SUM(S29:S31)/S28)</f>
        <v>0.68426903835464148</v>
      </c>
      <c r="T65" s="69">
        <f t="shared" si="568"/>
        <v>0.68133260908926307</v>
      </c>
      <c r="U65" s="69">
        <f t="shared" ref="U65:V65" si="569">IF(ISERROR(-SUM(U29:U31)/U28),"n.a.",-SUM(U29:U31)/U28)</f>
        <v>0.70754716981132071</v>
      </c>
      <c r="V65" s="69">
        <f t="shared" si="569"/>
        <v>0.68775274407856735</v>
      </c>
      <c r="W65" s="69">
        <f t="shared" ref="W65:X65" si="570">IF(ISERROR(-SUM(W29:W31)/W28),"n.a.",-SUM(W29:W31)/W28)</f>
        <v>0.70886075949367089</v>
      </c>
      <c r="X65" s="69">
        <f t="shared" si="570"/>
        <v>0.73122398001665279</v>
      </c>
      <c r="Y65" s="69">
        <f t="shared" ref="Y65:Z65" si="571">IF(ISERROR(-SUM(Y29:Y31)/Y28),"n.a.",-SUM(Y29:Y31)/Y28)</f>
        <v>0.77296611705019025</v>
      </c>
      <c r="Z65" s="69">
        <f t="shared" si="571"/>
        <v>0.6341833218470021</v>
      </c>
      <c r="AA65" s="69">
        <f t="shared" ref="AA65:AB65" si="572">IF(ISERROR(-SUM(AA29:AA31)/AA28),"n.a.",-SUM(AA29:AA31)/AA28)</f>
        <v>0.64953869810353659</v>
      </c>
      <c r="AB65" s="69">
        <f t="shared" si="572"/>
        <v>0.60042016806722687</v>
      </c>
      <c r="AC65" s="69">
        <f t="shared" ref="AC65:AD65" si="573">IF(ISERROR(-SUM(AC29:AC31)/AC28),"n.a.",-SUM(AC29:AC31)/AC28)</f>
        <v>0.64888682745825599</v>
      </c>
      <c r="AD65" s="69">
        <f t="shared" si="573"/>
        <v>0.62240426747951993</v>
      </c>
      <c r="AE65" s="69">
        <f t="shared" ref="AE65:AF65" si="574">IF(ISERROR(-SUM(AE29:AE31)/AE28),"n.a.",-SUM(AE29:AE31)/AE28)</f>
        <v>0.74829329962073321</v>
      </c>
      <c r="AF65" s="69">
        <f t="shared" si="574"/>
        <v>0.6841929375069622</v>
      </c>
      <c r="AG65" s="69">
        <f t="shared" ref="AG65:AH65" si="575">IF(ISERROR(-SUM(AG29:AG31)/AG28),"n.a.",-SUM(AG29:AG31)/AG28)</f>
        <v>0.7204235637779941</v>
      </c>
      <c r="AH65" s="69">
        <f t="shared" si="575"/>
        <v>0.69183718861209964</v>
      </c>
      <c r="AI65" s="89">
        <f t="shared" ref="AI65" si="576">IF(ISERROR(-SUM(AI29:AI31)/AI28),"n.a.",-SUM(AI29:AI31)/AI28)</f>
        <v>0.71786905994707173</v>
      </c>
      <c r="AJ65" s="69">
        <f t="shared" ref="AJ65" si="577">IF(ISERROR(-SUM(AJ29:AJ31)/AJ28),"n.a.",-SUM(AJ29:AJ31)/AJ28)</f>
        <v>0.63815260611300106</v>
      </c>
      <c r="AK65" s="69">
        <f t="shared" ref="AK65:AL65" si="578">IF(ISERROR(-SUM(AK29:AK31)/AK28),"n.a.",-SUM(AK29:AK31)/AK28)</f>
        <v>0.66393985056332638</v>
      </c>
      <c r="AL65" s="69">
        <f t="shared" si="578"/>
        <v>0.66426135582749668</v>
      </c>
      <c r="AM65" s="69">
        <f t="shared" ref="AM65:AN65" si="579">IF(ISERROR(-SUM(AM29:AM31)/AM28),"n.a.",-SUM(AM29:AM31)/AM28)</f>
        <v>0.65188672544746129</v>
      </c>
      <c r="AN65" s="69">
        <f t="shared" si="579"/>
        <v>0.6463857364538097</v>
      </c>
      <c r="AO65" s="69">
        <f t="shared" ref="AO65:AP65" si="580">IF(ISERROR(-SUM(AO29:AO31)/AO28),"n.a.",-SUM(AO29:AO31)/AO28)</f>
        <v>0.64385229312660985</v>
      </c>
      <c r="AP65" s="69">
        <f t="shared" si="580"/>
        <v>0.64173242664916264</v>
      </c>
      <c r="AQ65" s="69">
        <f t="shared" ref="AQ65:AR65" si="581">IF(ISERROR(-SUM(AQ29:AQ31)/AQ28),"n.a.",-SUM(AQ29:AQ31)/AQ28)</f>
        <v>0.63645634110831473</v>
      </c>
      <c r="AR65" s="69">
        <f t="shared" si="581"/>
        <v>0.64074792816255266</v>
      </c>
      <c r="AT65" s="69">
        <f>IF(ISERROR(-SUM(AT29:AT31)/AT28),"n.a.",-SUM(AT29:AT31)/AT28)</f>
        <v>0.80506176559204579</v>
      </c>
      <c r="AU65" s="69">
        <f>IF(ISERROR(-SUM(AU29:AU31)/AU28),"n.a.",-SUM(AU29:AU31)/AU28)</f>
        <v>0.83418134377038489</v>
      </c>
      <c r="AV65" s="69">
        <f>IF(ISERROR(-SUM(AV29:AV31)/AV28),"n.a.",-SUM(AV29:AV31)/AV28)</f>
        <v>0.8493465460290105</v>
      </c>
      <c r="AW65" s="69">
        <f>IF(ISERROR(-SUM(AW29:AW31)/AW28),"n.a.",-SUM(AW29:AW31)/AW28)</f>
        <v>0.7889439687546943</v>
      </c>
      <c r="AX65" s="69">
        <f t="shared" ref="AX65:BB65" si="582">IF(ISERROR(-SUM(AX29:AX31)/AX28),"n.a.",-SUM(AX29:AX31)/AX28)</f>
        <v>0.74102311854402358</v>
      </c>
      <c r="AY65" s="69">
        <f t="shared" si="582"/>
        <v>0.72770459943856614</v>
      </c>
      <c r="AZ65" s="69">
        <f t="shared" si="582"/>
        <v>0.702516033547114</v>
      </c>
      <c r="BA65" s="69">
        <f t="shared" si="582"/>
        <v>0.70050173678116556</v>
      </c>
      <c r="BB65" s="69">
        <f t="shared" si="582"/>
        <v>0.6827838827838828</v>
      </c>
      <c r="BC65" s="69">
        <f t="shared" ref="BC65:BH65" si="583">IF(ISERROR(-SUM(BC29:BC31)/BC28),"n.a.",-SUM(BC29:BC31)/BC28)</f>
        <v>0.6968010036067116</v>
      </c>
      <c r="BD65" s="69">
        <f t="shared" si="583"/>
        <v>0.71975659229208921</v>
      </c>
      <c r="BE65" s="69">
        <f t="shared" si="583"/>
        <v>0.6941443557225615</v>
      </c>
      <c r="BF65" s="69">
        <f t="shared" si="583"/>
        <v>0.62254675594550912</v>
      </c>
      <c r="BG65" s="69">
        <f t="shared" si="583"/>
        <v>0.63434787156155215</v>
      </c>
      <c r="BH65" s="69">
        <f t="shared" si="583"/>
        <v>0.71421803754367263</v>
      </c>
      <c r="BI65" s="89">
        <f t="shared" ref="BI65" si="584">IF(ISERROR(-SUM(BI29:BI31)/BI28),"n.a.",-SUM(BI29:BI31)/BI28)</f>
        <v>0.70548582054858211</v>
      </c>
      <c r="BJ65" s="69">
        <f t="shared" ref="BJ65:BK65" si="585">IF(ISERROR(-SUM(BJ29:BJ31)/BJ28),"n.a.",-SUM(BJ29:BJ31)/BJ28)</f>
        <v>0.67527464389229275</v>
      </c>
      <c r="BK65" s="69">
        <f t="shared" si="585"/>
        <v>0.66410454001655816</v>
      </c>
      <c r="BL65" s="69">
        <f t="shared" ref="BL65" si="586">IF(ISERROR(-SUM(BL29:BL31)/BL28),"n.a.",-SUM(BL29:BL31)/BL28)</f>
        <v>0.64905656020401814</v>
      </c>
      <c r="BM65" s="69">
        <f t="shared" ref="BM65" si="587">IF(ISERROR(-SUM(BM29:BM31)/BM28),"n.a.",-SUM(BM29:BM31)/BM28)</f>
        <v>0.64276439914351313</v>
      </c>
      <c r="BN65" s="69">
        <f t="shared" ref="BN65" si="588">IF(ISERROR(-SUM(BN29:BN31)/BN28),"n.a.",-SUM(BN29:BN31)/BN28)</f>
        <v>0.63864799771365899</v>
      </c>
    </row>
    <row r="66" spans="1:66" ht="12" customHeight="1" outlineLevel="1">
      <c r="B66" s="1" t="s">
        <v>81</v>
      </c>
      <c r="C66" s="70">
        <f t="shared" ref="C66:I66" si="589">IF(ISERROR(C40/C41),"n.a.",C40/C41)</f>
        <v>13.75243354548858</v>
      </c>
      <c r="D66" s="70">
        <f t="shared" si="589"/>
        <v>12.993233618233619</v>
      </c>
      <c r="E66" s="70">
        <f t="shared" si="589"/>
        <v>14.289847210921256</v>
      </c>
      <c r="F66" s="70">
        <f t="shared" si="589"/>
        <v>13.816906348649596</v>
      </c>
      <c r="G66" s="70">
        <f t="shared" si="589"/>
        <v>15.526442094036085</v>
      </c>
      <c r="H66" s="70">
        <f t="shared" si="589"/>
        <v>13.712934035526198</v>
      </c>
      <c r="I66" s="70">
        <f t="shared" si="589"/>
        <v>13.850914717393284</v>
      </c>
      <c r="J66" s="70">
        <f>IF(ISERROR(J40/J41),"n.a.",J40/J41)</f>
        <v>12.693852494957467</v>
      </c>
      <c r="K66" s="70">
        <f t="shared" ref="K66:P66" si="590">IF(ISERROR(K40/K41),"n.a.",K40/K41)</f>
        <v>12.642080300924032</v>
      </c>
      <c r="L66" s="70">
        <f t="shared" ref="L66:M66" si="591">IF(ISERROR(L40/L41),"n.a.",L40/L41)</f>
        <v>13.479068138027676</v>
      </c>
      <c r="M66" s="70">
        <f t="shared" si="591"/>
        <v>13.886398631308811</v>
      </c>
      <c r="N66" s="70">
        <f t="shared" ref="N66" si="592">IF(ISERROR(N40/N41),"n.a.",N40/N41)</f>
        <v>13.514702710475232</v>
      </c>
      <c r="O66" s="70">
        <f t="shared" si="590"/>
        <v>14.290889207846353</v>
      </c>
      <c r="P66" s="70">
        <f t="shared" si="590"/>
        <v>13.016340301667107</v>
      </c>
      <c r="Q66" s="70">
        <f t="shared" ref="Q66:R66" si="593">IF(ISERROR(Q40/Q41),"n.a.",Q40/Q41)</f>
        <v>12.941022719656859</v>
      </c>
      <c r="R66" s="70">
        <f t="shared" si="593"/>
        <v>11.750754995823428</v>
      </c>
      <c r="S66" s="70">
        <f t="shared" ref="S66:T66" si="594">IF(ISERROR(S40/S41),"n.a.",S40/S41)</f>
        <v>12.356580061209872</v>
      </c>
      <c r="T66" s="70">
        <f t="shared" si="594"/>
        <v>11.696827046524424</v>
      </c>
      <c r="U66" s="70">
        <f t="shared" ref="U66:V66" si="595">IF(ISERROR(U40/U41),"n.a.",U40/U41)</f>
        <v>12.415338164251208</v>
      </c>
      <c r="V66" s="70">
        <f t="shared" si="595"/>
        <v>11.134339282698047</v>
      </c>
      <c r="W66" s="70">
        <f t="shared" ref="W66:X66" si="596">IF(ISERROR(W40/W41),"n.a.",W40/W41)</f>
        <v>11.189019727787123</v>
      </c>
      <c r="X66" s="70">
        <f t="shared" si="596"/>
        <v>12.144613777714476</v>
      </c>
      <c r="Y66" s="70">
        <f t="shared" ref="Y66:Z66" si="597">IF(ISERROR(Y40/Y41),"n.a.",Y40/Y41)</f>
        <v>11.250975229178858</v>
      </c>
      <c r="Z66" s="70">
        <f t="shared" si="597"/>
        <v>11.141736211901307</v>
      </c>
      <c r="AA66" s="70">
        <f t="shared" ref="AA66:AB66" si="598">IF(ISERROR(AA40/AA41),"n.a.",AA40/AA41)</f>
        <v>14.484998337765957</v>
      </c>
      <c r="AB66" s="70">
        <f t="shared" si="598"/>
        <v>13.976261335387417</v>
      </c>
      <c r="AC66" s="70">
        <f t="shared" ref="AC66:AD66" si="599">IF(ISERROR(AC40/AC41),"n.a.",AC40/AC41)</f>
        <v>15.527140441012222</v>
      </c>
      <c r="AD66" s="70">
        <f t="shared" si="599"/>
        <v>11.698748303423315</v>
      </c>
      <c r="AE66" s="70">
        <f t="shared" ref="AE66:AF66" si="600">IF(ISERROR(AE40/AE41),"n.a.",AE40/AE41)</f>
        <v>12.085204128510613</v>
      </c>
      <c r="AF66" s="70">
        <f t="shared" si="600"/>
        <v>12.048744063797377</v>
      </c>
      <c r="AG66" s="70">
        <f t="shared" ref="AG66:AH66" si="601">IF(ISERROR(AG40/AG41),"n.a.",AG40/AG41)</f>
        <v>12.827486919099663</v>
      </c>
      <c r="AH66" s="70">
        <f t="shared" si="601"/>
        <v>12.592516121733228</v>
      </c>
      <c r="AI66" s="71">
        <f t="shared" ref="AI66" si="602">IF(ISERROR(AI40/AI41),"n.a.",AI40/AI41)</f>
        <v>14.010474233963137</v>
      </c>
      <c r="AJ66" s="70">
        <f t="shared" ref="AJ66" si="603">IF(ISERROR(AJ40/AJ41),"n.a.",AJ40/AJ41)</f>
        <v>14.405313000160985</v>
      </c>
      <c r="AK66" s="70">
        <f t="shared" ref="AK66:AL66" si="604">IF(ISERROR(AK40/AK41),"n.a.",AK40/AK41)</f>
        <v>15.091547726585308</v>
      </c>
      <c r="AL66" s="70">
        <f t="shared" si="604"/>
        <v>15.502467393056559</v>
      </c>
      <c r="AM66" s="70">
        <f t="shared" ref="AM66:AN66" si="605">IF(ISERROR(AM40/AM41),"n.a.",AM40/AM41)</f>
        <v>15.824978038831627</v>
      </c>
      <c r="AN66" s="70">
        <f t="shared" si="605"/>
        <v>15.86700476732201</v>
      </c>
      <c r="AO66" s="70">
        <f t="shared" ref="AO66:AP66" si="606">IF(ISERROR(AO40/AO41),"n.a.",AO40/AO41)</f>
        <v>16.14928068344954</v>
      </c>
      <c r="AP66" s="70">
        <f t="shared" si="606"/>
        <v>16.10934665210662</v>
      </c>
      <c r="AQ66" s="70">
        <f t="shared" ref="AQ66:AR66" si="607">IF(ISERROR(AQ40/AQ41),"n.a.",AQ40/AQ41)</f>
        <v>16.276138555118639</v>
      </c>
      <c r="AR66" s="70">
        <f t="shared" si="607"/>
        <v>16.263880775933103</v>
      </c>
      <c r="AT66" s="70">
        <f>IF(ISERROR(AT40/AT41),"n.a.",AT40/AT41)</f>
        <v>12.993233618233619</v>
      </c>
      <c r="AU66" s="70">
        <f>IF(ISERROR(AU40/AU41),"n.a.",AU40/AU41)</f>
        <v>13.816906348649596</v>
      </c>
      <c r="AV66" s="70">
        <f>IF(ISERROR(AV40/AV41),"n.a.",AV40/AV41)</f>
        <v>13.712934035526198</v>
      </c>
      <c r="AW66" s="70">
        <f>IF(ISERROR(AW40/AW41),"n.a.",AW40/AW41)</f>
        <v>12.693852494957467</v>
      </c>
      <c r="AX66" s="70">
        <f t="shared" ref="AX66:BB66" si="608">IF(ISERROR(AX40/AX41),"n.a.",AX40/AX41)</f>
        <v>13.479068138027676</v>
      </c>
      <c r="AY66" s="70">
        <f t="shared" si="608"/>
        <v>13.514702710475232</v>
      </c>
      <c r="AZ66" s="70">
        <f t="shared" si="608"/>
        <v>13.016340301667107</v>
      </c>
      <c r="BA66" s="70">
        <f t="shared" si="608"/>
        <v>11.750754995823428</v>
      </c>
      <c r="BB66" s="70">
        <f t="shared" si="608"/>
        <v>11.696827046524424</v>
      </c>
      <c r="BC66" s="70">
        <f t="shared" ref="BC66:BH66" si="609">IF(ISERROR(BC40/BC41),"n.a.",BC40/BC41)</f>
        <v>11.134339282698047</v>
      </c>
      <c r="BD66" s="70">
        <f t="shared" si="609"/>
        <v>12.144613777714476</v>
      </c>
      <c r="BE66" s="70">
        <f t="shared" si="609"/>
        <v>11.141736211901307</v>
      </c>
      <c r="BF66" s="70">
        <f t="shared" si="609"/>
        <v>13.976261335387417</v>
      </c>
      <c r="BG66" s="70">
        <f t="shared" si="609"/>
        <v>11.698748303423315</v>
      </c>
      <c r="BH66" s="70">
        <f t="shared" si="609"/>
        <v>12.048744063797377</v>
      </c>
      <c r="BI66" s="71">
        <f t="shared" ref="BI66" si="610">IF(ISERROR(BI40/BI41),"n.a.",BI40/BI41)</f>
        <v>12.592516121733228</v>
      </c>
      <c r="BJ66" s="70">
        <f t="shared" ref="BJ66:BK66" si="611">IF(ISERROR(BJ40/BJ41),"n.a.",BJ40/BJ41)</f>
        <v>14.405313000160985</v>
      </c>
      <c r="BK66" s="70">
        <f t="shared" si="611"/>
        <v>15.502467393056559</v>
      </c>
      <c r="BL66" s="70">
        <f t="shared" ref="BL66" si="612">IF(ISERROR(BL40/BL41),"n.a.",BL40/BL41)</f>
        <v>15.86700476732201</v>
      </c>
      <c r="BM66" s="70">
        <f t="shared" ref="BM66" si="613">IF(ISERROR(BM40/BM41),"n.a.",BM40/BM41)</f>
        <v>16.10934665210662</v>
      </c>
      <c r="BN66" s="70">
        <f t="shared" ref="BN66" si="614">IF(ISERROR(BN40/BN41),"n.a.",BN40/BN41)</f>
        <v>16.263880775933103</v>
      </c>
    </row>
    <row r="67" spans="1:66" ht="12" customHeight="1" outlineLevel="1">
      <c r="B67" s="1" t="s">
        <v>1111</v>
      </c>
      <c r="C67" s="34">
        <f t="shared" ref="C67:I67" si="615">-C33/(C32+C34)</f>
        <v>6.9902912621359226E-2</v>
      </c>
      <c r="D67" s="34">
        <f t="shared" si="615"/>
        <v>0.22418478260869565</v>
      </c>
      <c r="E67" s="34">
        <f t="shared" si="615"/>
        <v>0.17418032786885246</v>
      </c>
      <c r="F67" s="34">
        <f t="shared" si="615"/>
        <v>0.26266666666666666</v>
      </c>
      <c r="G67" s="34">
        <f t="shared" si="615"/>
        <v>0.25970873786407767</v>
      </c>
      <c r="H67" s="34">
        <f t="shared" si="615"/>
        <v>0.2975206611570248</v>
      </c>
      <c r="I67" s="34">
        <f t="shared" si="615"/>
        <v>0.30174081237911027</v>
      </c>
      <c r="J67" s="34">
        <f t="shared" ref="J67:N67" si="616">-J33/(J32+J34)</f>
        <v>0.43483275663206461</v>
      </c>
      <c r="K67" s="34">
        <f t="shared" si="616"/>
        <v>0.37995049504950495</v>
      </c>
      <c r="L67" s="34">
        <f t="shared" si="616"/>
        <v>0.40498442367601245</v>
      </c>
      <c r="M67" s="394">
        <f t="shared" si="616"/>
        <v>0.38918918918918921</v>
      </c>
      <c r="N67" s="394">
        <f t="shared" si="616"/>
        <v>0.33524766690595836</v>
      </c>
      <c r="O67" s="394">
        <f t="shared" ref="O67:Q67" si="617">-O33/(O32+O34)</f>
        <v>0.33124999999999999</v>
      </c>
      <c r="P67" s="394">
        <f t="shared" si="617"/>
        <v>0.28561151079136693</v>
      </c>
      <c r="Q67" s="394">
        <f t="shared" si="617"/>
        <v>0.29435483870967744</v>
      </c>
      <c r="R67" s="394">
        <f t="shared" ref="R67:T67" si="618">-R33/(R32+R34)</f>
        <v>0.26925485284909206</v>
      </c>
      <c r="S67" s="394">
        <f t="shared" si="618"/>
        <v>0.26415094339622641</v>
      </c>
      <c r="T67" s="394">
        <f t="shared" si="618"/>
        <v>0.24942660550458715</v>
      </c>
      <c r="U67" s="394">
        <f t="shared" ref="U67:V67" si="619">-U33/(U32+U34)</f>
        <v>0.22209026128266032</v>
      </c>
      <c r="V67" s="394">
        <f t="shared" si="619"/>
        <v>0.23197060174552137</v>
      </c>
      <c r="W67" s="394">
        <f t="shared" ref="W67:X67" si="620">-W33/(W32+W34)</f>
        <v>0.20512820512820512</v>
      </c>
      <c r="X67" s="394">
        <f t="shared" si="620"/>
        <v>0.21648216482164823</v>
      </c>
      <c r="Y67" s="394">
        <f t="shared" ref="Y67:Z67" si="621">-Y33/(Y32+Y34)</f>
        <v>0.21825396825396826</v>
      </c>
      <c r="Z67" s="394">
        <f t="shared" si="621"/>
        <v>0.23511680482290881</v>
      </c>
      <c r="AA67" s="394">
        <f t="shared" ref="AA67:AB67" si="622">-AA33/(AA32+AA34)</f>
        <v>0.22789115646258504</v>
      </c>
      <c r="AB67" s="394">
        <f t="shared" si="622"/>
        <v>0.26961053208996161</v>
      </c>
      <c r="AC67" s="394">
        <f t="shared" ref="AC67:AE67" si="623">-AC33/(AC32+AC34)</f>
        <v>0.24177631578947367</v>
      </c>
      <c r="AD67" s="394">
        <f t="shared" si="623"/>
        <v>0.27458396369137672</v>
      </c>
      <c r="AE67" s="394">
        <f t="shared" si="623"/>
        <v>0.29320679320679321</v>
      </c>
      <c r="AF67" s="394">
        <f t="shared" ref="AF67:AG67" si="624">-AF33/(AF32+AF34)</f>
        <v>0.25044468160796868</v>
      </c>
      <c r="AG67" s="394">
        <f t="shared" si="624"/>
        <v>0.29852045256744997</v>
      </c>
      <c r="AH67" s="394">
        <f t="shared" ref="AH67:AI67" si="625">-AH33/(AH32+AH34)</f>
        <v>0.23332118118847978</v>
      </c>
      <c r="AI67" s="578">
        <f t="shared" si="625"/>
        <v>0.31780708985985162</v>
      </c>
      <c r="AJ67" s="46">
        <v>0.3</v>
      </c>
      <c r="AK67" s="46">
        <v>0.3</v>
      </c>
      <c r="AL67" s="46">
        <v>0.23</v>
      </c>
      <c r="AM67" s="46">
        <f t="shared" ref="AM67" si="626">AK67</f>
        <v>0.3</v>
      </c>
      <c r="AN67" s="46">
        <f t="shared" ref="AN67" si="627">AL67</f>
        <v>0.23</v>
      </c>
      <c r="AO67" s="46">
        <f t="shared" ref="AO67" si="628">AM67</f>
        <v>0.3</v>
      </c>
      <c r="AP67" s="46">
        <f t="shared" ref="AP67" si="629">AN67</f>
        <v>0.23</v>
      </c>
      <c r="AQ67" s="46">
        <f t="shared" ref="AQ67" si="630">AO67</f>
        <v>0.3</v>
      </c>
      <c r="AR67" s="46">
        <f t="shared" ref="AR67" si="631">AP67</f>
        <v>0.23</v>
      </c>
      <c r="AT67" s="34">
        <f t="shared" ref="AT67:BB67" si="632">-AT33/(AT32+AT34)</f>
        <v>0.16067146282973621</v>
      </c>
      <c r="AU67" s="34">
        <f t="shared" si="632"/>
        <v>0.22778675282714056</v>
      </c>
      <c r="AV67" s="34">
        <f t="shared" si="632"/>
        <v>0.28220255653883974</v>
      </c>
      <c r="AW67" s="34">
        <f t="shared" si="632"/>
        <v>0.38511560693641617</v>
      </c>
      <c r="AX67" s="34">
        <f t="shared" si="632"/>
        <v>0.39531548757170171</v>
      </c>
      <c r="AY67" s="34">
        <f t="shared" si="632"/>
        <v>0.35916899720335599</v>
      </c>
      <c r="AZ67" s="34">
        <f t="shared" si="632"/>
        <v>0.31003344481605349</v>
      </c>
      <c r="BA67" s="34">
        <f t="shared" si="632"/>
        <v>0.2813614262560778</v>
      </c>
      <c r="BB67" s="34">
        <f t="shared" si="632"/>
        <v>0.25668604651162791</v>
      </c>
      <c r="BC67" s="34">
        <f t="shared" ref="BC67:BH67" si="633">-BC33/(BC32+BC34)</f>
        <v>0.22766122766122765</v>
      </c>
      <c r="BD67" s="34">
        <f t="shared" si="633"/>
        <v>0.21046545244290257</v>
      </c>
      <c r="BE67" s="34">
        <f t="shared" si="633"/>
        <v>0.22968829841594277</v>
      </c>
      <c r="BF67" s="34">
        <f t="shared" si="633"/>
        <v>0.25206611570247933</v>
      </c>
      <c r="BG67" s="34">
        <f t="shared" si="633"/>
        <v>0.2603482729089352</v>
      </c>
      <c r="BH67" s="34">
        <f t="shared" si="633"/>
        <v>0.26823187201329735</v>
      </c>
      <c r="BI67" s="35">
        <f t="shared" ref="BI67" si="634">-BI33/(BI32+BI34)</f>
        <v>0.26304304701448128</v>
      </c>
      <c r="BJ67" s="34">
        <f t="shared" ref="BJ67:BK67" si="635">-BJ33/(BJ32+BJ34)</f>
        <v>0.30848810037815927</v>
      </c>
      <c r="BK67" s="34">
        <f t="shared" si="635"/>
        <v>0.26635498139670677</v>
      </c>
      <c r="BL67" s="34">
        <f t="shared" ref="BL67" si="636">-BL33/(BL32+BL34)</f>
        <v>0.26569619023226021</v>
      </c>
      <c r="BM67" s="34">
        <f t="shared" ref="BM67" si="637">-BM33/(BM32+BM34)</f>
        <v>0.26584345066739867</v>
      </c>
      <c r="BN67" s="34">
        <f t="shared" ref="BN67" si="638">-BN33/(BN32+BN34)</f>
        <v>0.26624186789075482</v>
      </c>
    </row>
    <row r="68" spans="1:66" ht="12" customHeight="1" outlineLevel="1">
      <c r="B68" s="1" t="s">
        <v>56</v>
      </c>
      <c r="C68" s="318"/>
      <c r="D68" s="318"/>
      <c r="E68" s="318"/>
      <c r="F68" s="318"/>
      <c r="G68" s="34">
        <f t="shared" ref="G68:H68" si="639">G442-G443</f>
        <v>6.7452051163914256E-2</v>
      </c>
      <c r="H68" s="34">
        <f t="shared" si="639"/>
        <v>2.9920880011830797E-2</v>
      </c>
      <c r="I68" s="34">
        <f>I442-I443</f>
        <v>1.8171217723945865E-2</v>
      </c>
      <c r="J68" s="34">
        <f>J442-J443</f>
        <v>-0.10355903944053385</v>
      </c>
      <c r="K68" s="34">
        <f t="shared" ref="K68:L68" si="640">K442-K443</f>
        <v>-0.68579535366114663</v>
      </c>
      <c r="L68" s="34">
        <f t="shared" si="640"/>
        <v>-0.67522089503914551</v>
      </c>
      <c r="M68" s="34">
        <f t="shared" ref="M68:N68" si="641">M442-M443</f>
        <v>-7.3133876249772523E-2</v>
      </c>
      <c r="N68" s="34">
        <f t="shared" si="641"/>
        <v>8.2071010815411571E-3</v>
      </c>
      <c r="O68" s="34">
        <f t="shared" ref="O68:P68" si="642">O442-O443</f>
        <v>-2.4466713290272502E-2</v>
      </c>
      <c r="P68" s="34">
        <f t="shared" si="642"/>
        <v>3.3471912141649907E-3</v>
      </c>
      <c r="Q68" s="34">
        <f t="shared" ref="Q68:U68" si="643">Q442-Q443</f>
        <v>0.42984811117468558</v>
      </c>
      <c r="R68" s="34">
        <f t="shared" si="643"/>
        <v>0.5296226818085672</v>
      </c>
      <c r="S68" s="34">
        <f t="shared" si="643"/>
        <v>0.46751222044385826</v>
      </c>
      <c r="T68" s="34">
        <f t="shared" si="643"/>
        <v>0.55048295205691711</v>
      </c>
      <c r="U68" s="34">
        <f t="shared" si="643"/>
        <v>1.4253496291043999E-2</v>
      </c>
      <c r="V68" s="34">
        <f t="shared" ref="V68:AA68" si="644">V442-V443</f>
        <v>6.7511416391671797E-4</v>
      </c>
      <c r="W68" s="34">
        <f t="shared" si="644"/>
        <v>-0.69146283937973685</v>
      </c>
      <c r="X68" s="34">
        <f t="shared" si="644"/>
        <v>0.54240504549158608</v>
      </c>
      <c r="Y68" s="34">
        <f t="shared" si="644"/>
        <v>-0.31061778821948</v>
      </c>
      <c r="Z68" s="34">
        <f t="shared" si="644"/>
        <v>-0.83411402516831012</v>
      </c>
      <c r="AA68" s="34">
        <f t="shared" si="644"/>
        <v>-0.35367020593226828</v>
      </c>
      <c r="AB68" s="34">
        <f t="shared" ref="AB68:AD68" si="645">AB442-AB443</f>
        <v>-1.6224654032214625E-2</v>
      </c>
      <c r="AC68" s="34">
        <f t="shared" si="645"/>
        <v>1.9920901316896555E-2</v>
      </c>
      <c r="AD68" s="34">
        <f t="shared" si="645"/>
        <v>2.6513309619751402E-2</v>
      </c>
      <c r="AE68" s="34">
        <f t="shared" ref="AE68" si="646">AE442-AE443</f>
        <v>1.9725308957388443E-4</v>
      </c>
      <c r="AF68" s="34">
        <f>AF442-AF443</f>
        <v>1.0101740318910868E-2</v>
      </c>
      <c r="AG68" s="34">
        <f>AG442-AG443</f>
        <v>3.8794713271575798E-2</v>
      </c>
      <c r="AH68" s="34">
        <f>AH442-AH443</f>
        <v>6.8082011568930345E-2</v>
      </c>
      <c r="AI68" s="35">
        <f>AI442-AI443</f>
        <v>-2.7423251566316864E-2</v>
      </c>
      <c r="AJ68" s="34">
        <f t="shared" ref="AJ68" si="647">AJ442-AJ443</f>
        <v>5.9311423982577355E-2</v>
      </c>
      <c r="AK68" s="34">
        <f t="shared" ref="AK68:AL68" si="648">AK442-AK443</f>
        <v>4.5783143839991491E-2</v>
      </c>
      <c r="AL68" s="34">
        <f t="shared" si="648"/>
        <v>5.0371755469594132E-2</v>
      </c>
      <c r="AM68" s="34">
        <f t="shared" ref="AM68:AN68" si="649">AM442-AM443</f>
        <v>4.3148775479359414E-2</v>
      </c>
      <c r="AN68" s="34">
        <f t="shared" si="649"/>
        <v>4.9374712261901904E-2</v>
      </c>
      <c r="AO68" s="34">
        <f t="shared" ref="AO68:AP68" si="650">AO442-AO443</f>
        <v>4.0220943834999023E-2</v>
      </c>
      <c r="AP68" s="34">
        <f t="shared" si="650"/>
        <v>4.6951618344322404E-2</v>
      </c>
      <c r="AQ68" s="34">
        <f t="shared" ref="AQ68:AR68" si="651">AQ442-AQ443</f>
        <v>3.9375104761327218E-2</v>
      </c>
      <c r="AR68" s="34">
        <f t="shared" si="651"/>
        <v>4.4686319624615473E-2</v>
      </c>
      <c r="AT68" s="34">
        <f>AT442-AT443</f>
        <v>0.35673322240709932</v>
      </c>
      <c r="AU68" s="34">
        <f>AU442-AU443</f>
        <v>0.29214578214578213</v>
      </c>
      <c r="AV68" s="34">
        <f>AV442-AV443</f>
        <v>7.2523096879513943E-2</v>
      </c>
      <c r="AW68" s="34">
        <f>AW442-AW443</f>
        <v>0.15427167542664277</v>
      </c>
      <c r="AX68" s="34">
        <f t="shared" ref="AX68:BB68" si="652">AX442-AX443</f>
        <v>-0.68394115431204305</v>
      </c>
      <c r="AY68" s="34">
        <f t="shared" si="652"/>
        <v>-1.7813759168539611E-2</v>
      </c>
      <c r="AZ68" s="34">
        <f t="shared" si="652"/>
        <v>-1.222203333323868E-2</v>
      </c>
      <c r="BA68" s="34">
        <f t="shared" si="652"/>
        <v>0.46870401964701258</v>
      </c>
      <c r="BB68" s="34">
        <f t="shared" si="652"/>
        <v>0.50866620833982978</v>
      </c>
      <c r="BC68" s="34">
        <f t="shared" ref="BC68:BH68" si="653">BC442-BC443</f>
        <v>7.0246660479851286E-3</v>
      </c>
      <c r="BD68" s="34">
        <f t="shared" si="653"/>
        <v>5.1408918611918014E-2</v>
      </c>
      <c r="BE68" s="34">
        <f t="shared" si="653"/>
        <v>3.3734036965620967E-2</v>
      </c>
      <c r="BF68" s="34">
        <f t="shared" si="653"/>
        <v>3.5434113295555902E-2</v>
      </c>
      <c r="BG68" s="34">
        <f t="shared" si="653"/>
        <v>2.4733471800484769E-2</v>
      </c>
      <c r="BH68" s="34">
        <f t="shared" si="653"/>
        <v>5.6664241850004071E-3</v>
      </c>
      <c r="BI68" s="35">
        <f t="shared" ref="BI68" si="654">BI442-BI443</f>
        <v>5.6559519942147946E-2</v>
      </c>
      <c r="BJ68" s="34">
        <f t="shared" ref="BJ68:BK68" si="655">BJ442-BJ443</f>
        <v>-8.5091960363695374E-2</v>
      </c>
      <c r="BK68" s="34">
        <f t="shared" si="655"/>
        <v>-6.5363944247737837E-2</v>
      </c>
      <c r="BL68" s="34">
        <f t="shared" ref="BL68" si="656">BL442-BL443</f>
        <v>-6.6132190485238884E-2</v>
      </c>
      <c r="BM68" s="34">
        <f t="shared" ref="BM68" si="657">BM442-BM443</f>
        <v>-8.1549920981373814E-2</v>
      </c>
      <c r="BN68" s="34">
        <f t="shared" ref="BN68" si="658">BN442-BN443</f>
        <v>-7.2716113976631025E-2</v>
      </c>
    </row>
    <row r="69" spans="1:66" ht="12" customHeight="1" outlineLevel="1">
      <c r="B69" s="1" t="s">
        <v>57</v>
      </c>
      <c r="C69" s="284"/>
      <c r="D69" s="284"/>
      <c r="E69" s="284"/>
      <c r="F69" s="284"/>
      <c r="G69" s="284">
        <v>6.7004687500000049E-2</v>
      </c>
      <c r="H69" s="284">
        <v>3.0377140755757422E-2</v>
      </c>
      <c r="I69" s="284">
        <v>1.8315609114399816E-2</v>
      </c>
      <c r="J69" s="284">
        <v>-0.10351159253246754</v>
      </c>
      <c r="K69" s="368">
        <v>-0.68601780701754178</v>
      </c>
      <c r="L69" s="368">
        <v>-0.67502305314009448</v>
      </c>
      <c r="M69" s="284">
        <v>-7.3349999999999999E-2</v>
      </c>
      <c r="N69" s="284">
        <v>7.6440000000000024E-3</v>
      </c>
      <c r="O69" s="284">
        <v>-2.4204999999999973E-2</v>
      </c>
      <c r="P69" s="284">
        <v>2.9600000000000017E-3</v>
      </c>
      <c r="Q69" s="284">
        <v>-1E-3</v>
      </c>
      <c r="R69" s="284">
        <v>3.3300000000000003E-2</v>
      </c>
      <c r="S69" s="284">
        <v>3.5000000000000003E-2</v>
      </c>
      <c r="T69" s="284">
        <v>2.75E-2</v>
      </c>
      <c r="U69" s="284">
        <v>1.4171666666666669E-2</v>
      </c>
      <c r="V69" s="284">
        <v>1.0749999999999996E-3</v>
      </c>
      <c r="W69" s="284">
        <v>5.6500000000000002E-2</v>
      </c>
      <c r="X69" s="284">
        <v>4.2500000000000003E-2</v>
      </c>
      <c r="Y69" s="284">
        <v>4.5499999999999999E-2</v>
      </c>
      <c r="Z69" s="284">
        <v>0.03</v>
      </c>
      <c r="AA69" s="284">
        <v>4.2499990000000001E-2</v>
      </c>
      <c r="AB69" s="284">
        <v>4.7500000000000001E-2</v>
      </c>
      <c r="AC69" s="284">
        <v>2.0500000000000001E-2</v>
      </c>
      <c r="AD69" s="284">
        <v>-1.2999999999999999E-2</v>
      </c>
      <c r="AE69" s="284">
        <v>-0.03</v>
      </c>
      <c r="AF69" s="284">
        <v>1.44E-2</v>
      </c>
      <c r="AG69" s="284">
        <v>1.44E-2</v>
      </c>
      <c r="AH69" s="284">
        <v>1.44E-2</v>
      </c>
      <c r="AI69" s="515">
        <v>1.44E-2</v>
      </c>
      <c r="AJ69" s="399">
        <f t="shared" ref="AJ69:AR69" si="659">AI69</f>
        <v>1.44E-2</v>
      </c>
      <c r="AK69" s="399">
        <f t="shared" si="659"/>
        <v>1.44E-2</v>
      </c>
      <c r="AL69" s="399">
        <f t="shared" si="659"/>
        <v>1.44E-2</v>
      </c>
      <c r="AM69" s="399">
        <f t="shared" si="659"/>
        <v>1.44E-2</v>
      </c>
      <c r="AN69" s="399">
        <f t="shared" si="659"/>
        <v>1.44E-2</v>
      </c>
      <c r="AO69" s="399">
        <f t="shared" si="659"/>
        <v>1.44E-2</v>
      </c>
      <c r="AP69" s="399">
        <f t="shared" si="659"/>
        <v>1.44E-2</v>
      </c>
      <c r="AQ69" s="399">
        <f t="shared" si="659"/>
        <v>1.44E-2</v>
      </c>
      <c r="AR69" s="399">
        <f t="shared" si="659"/>
        <v>1.44E-2</v>
      </c>
      <c r="AT69" s="34">
        <f>AT442-AT443</f>
        <v>0.35673322240709932</v>
      </c>
      <c r="AU69" s="34">
        <f>AU442-AU443</f>
        <v>0.29214578214578213</v>
      </c>
      <c r="AV69" s="34">
        <f>AV442-AV443</f>
        <v>7.2523096879513943E-2</v>
      </c>
      <c r="AW69" s="34">
        <f>AW442-AW443</f>
        <v>0.15427167542664277</v>
      </c>
      <c r="AX69" s="34">
        <f t="shared" ref="AX69:BB69" si="660">AX442-AX443</f>
        <v>-0.68394115431204305</v>
      </c>
      <c r="AY69" s="34">
        <f t="shared" si="660"/>
        <v>-1.7813759168539611E-2</v>
      </c>
      <c r="AZ69" s="34">
        <f t="shared" si="660"/>
        <v>-1.222203333323868E-2</v>
      </c>
      <c r="BA69" s="34">
        <f t="shared" si="660"/>
        <v>0.46870401964701258</v>
      </c>
      <c r="BB69" s="34">
        <f t="shared" si="660"/>
        <v>0.50866620833982978</v>
      </c>
      <c r="BC69" s="34">
        <f t="shared" ref="BC69:BH69" si="661">BC442-BC443</f>
        <v>7.0246660479851286E-3</v>
      </c>
      <c r="BD69" s="34">
        <f t="shared" si="661"/>
        <v>5.1408918611918014E-2</v>
      </c>
      <c r="BE69" s="34">
        <f t="shared" si="661"/>
        <v>3.3734036965620967E-2</v>
      </c>
      <c r="BF69" s="34">
        <f t="shared" si="661"/>
        <v>3.5434113295555902E-2</v>
      </c>
      <c r="BG69" s="34">
        <f t="shared" si="661"/>
        <v>2.4733471800484769E-2</v>
      </c>
      <c r="BH69" s="34">
        <f t="shared" si="661"/>
        <v>5.6664241850004071E-3</v>
      </c>
      <c r="BI69" s="35">
        <f t="shared" ref="BI69" si="662">BI442-BI443</f>
        <v>5.6559519942147946E-2</v>
      </c>
      <c r="BJ69" s="34">
        <f t="shared" ref="BJ69:BK69" si="663">BJ442-BJ443</f>
        <v>-8.5091960363695374E-2</v>
      </c>
      <c r="BK69" s="34">
        <f t="shared" si="663"/>
        <v>-6.5363944247737837E-2</v>
      </c>
      <c r="BL69" s="34">
        <f t="shared" ref="BL69" si="664">BL442-BL443</f>
        <v>-6.6132190485238884E-2</v>
      </c>
      <c r="BM69" s="34">
        <f t="shared" ref="BM69" si="665">BM442-BM443</f>
        <v>-8.1549920981373814E-2</v>
      </c>
      <c r="BN69" s="34">
        <f t="shared" ref="BN69" si="666">BN442-BN443</f>
        <v>-7.2716113976631025E-2</v>
      </c>
    </row>
    <row r="70" spans="1:66" ht="12" customHeight="1" outlineLevel="1">
      <c r="B70" s="1" t="s">
        <v>1391</v>
      </c>
      <c r="C70" s="285"/>
      <c r="D70" s="285"/>
      <c r="E70" s="285"/>
      <c r="F70" s="285"/>
      <c r="G70" s="176">
        <f t="shared" ref="G70:P70" si="667">ROUND(G69,3)-ROUND(G68,3)</f>
        <v>0</v>
      </c>
      <c r="H70" s="176">
        <f t="shared" si="667"/>
        <v>0</v>
      </c>
      <c r="I70" s="176">
        <f t="shared" si="667"/>
        <v>0</v>
      </c>
      <c r="J70" s="176">
        <f t="shared" si="667"/>
        <v>0</v>
      </c>
      <c r="K70" s="176">
        <f t="shared" si="667"/>
        <v>0</v>
      </c>
      <c r="L70" s="176">
        <f t="shared" si="667"/>
        <v>0</v>
      </c>
      <c r="M70" s="176">
        <f t="shared" si="667"/>
        <v>0</v>
      </c>
      <c r="N70" s="176">
        <f t="shared" si="667"/>
        <v>0</v>
      </c>
      <c r="O70" s="176">
        <f t="shared" si="667"/>
        <v>0</v>
      </c>
      <c r="P70" s="34">
        <f t="shared" si="667"/>
        <v>0</v>
      </c>
      <c r="Q70" s="34">
        <f t="shared" ref="Q70:V70" si="668">ROUND(Q69,3)-ROUND(Q68,3)</f>
        <v>-0.43099999999999999</v>
      </c>
      <c r="R70" s="34">
        <f t="shared" si="668"/>
        <v>-0.497</v>
      </c>
      <c r="S70" s="34">
        <f t="shared" si="668"/>
        <v>-0.43300000000000005</v>
      </c>
      <c r="T70" s="34">
        <f t="shared" si="668"/>
        <v>-0.52200000000000002</v>
      </c>
      <c r="U70" s="34">
        <f t="shared" si="668"/>
        <v>0</v>
      </c>
      <c r="V70" s="34">
        <f t="shared" si="668"/>
        <v>0</v>
      </c>
      <c r="W70" s="34">
        <f t="shared" ref="W70:Y70" si="669">ROUND(W69,3)-ROUND(W68,3)</f>
        <v>0.748</v>
      </c>
      <c r="X70" s="34">
        <f t="shared" si="669"/>
        <v>-0.49900000000000005</v>
      </c>
      <c r="Y70" s="34">
        <f t="shared" si="669"/>
        <v>0.35699999999999998</v>
      </c>
      <c r="Z70" s="34">
        <f t="shared" ref="Z70:AA70" si="670">ROUND(Z69,3)-ROUND(Z68,3)</f>
        <v>0.86399999999999999</v>
      </c>
      <c r="AA70" s="34">
        <f t="shared" si="670"/>
        <v>0.39599999999999996</v>
      </c>
      <c r="AB70" s="34">
        <f t="shared" ref="AB70:AC70" si="671">ROUND(AB69,3)-ROUND(AB68,3)</f>
        <v>6.4000000000000001E-2</v>
      </c>
      <c r="AC70" s="34">
        <f t="shared" si="671"/>
        <v>1.0000000000000009E-3</v>
      </c>
      <c r="AD70" s="34">
        <f t="shared" ref="AD70:AE70" si="672">ROUND(AD69,3)-ROUND(AD68,3)</f>
        <v>-0.04</v>
      </c>
      <c r="AE70" s="34">
        <f t="shared" si="672"/>
        <v>-0.03</v>
      </c>
      <c r="AF70" s="34">
        <f t="shared" ref="AF70:AG70" si="673">ROUND(AF69,3)-ROUND(AF68,3)</f>
        <v>4.0000000000000001E-3</v>
      </c>
      <c r="AG70" s="34">
        <f t="shared" si="673"/>
        <v>-2.5000000000000001E-2</v>
      </c>
      <c r="AH70" s="34">
        <f t="shared" ref="AH70:AI70" si="674">ROUND(AH69,3)-ROUND(AH68,3)</f>
        <v>-5.4000000000000006E-2</v>
      </c>
      <c r="AI70" s="35">
        <f t="shared" si="674"/>
        <v>4.1000000000000002E-2</v>
      </c>
      <c r="AJ70" s="176">
        <f t="shared" ref="AJ70" si="675">ROUND(AJ69,3)-ROUND(AJ68,3)</f>
        <v>-4.4999999999999998E-2</v>
      </c>
      <c r="AK70" s="176">
        <f t="shared" ref="AK70:AL70" si="676">ROUND(AK69,3)-ROUND(AK68,3)</f>
        <v>-3.2000000000000001E-2</v>
      </c>
      <c r="AL70" s="176">
        <f t="shared" si="676"/>
        <v>-3.6000000000000004E-2</v>
      </c>
      <c r="AM70" s="176">
        <f t="shared" ref="AM70:AN70" si="677">ROUND(AM69,3)-ROUND(AM68,3)</f>
        <v>-2.8999999999999998E-2</v>
      </c>
      <c r="AN70" s="176">
        <f t="shared" si="677"/>
        <v>-3.5000000000000003E-2</v>
      </c>
      <c r="AO70" s="176">
        <f t="shared" ref="AO70:AP70" si="678">ROUND(AO69,3)-ROUND(AO68,3)</f>
        <v>-2.6000000000000002E-2</v>
      </c>
      <c r="AP70" s="176">
        <f t="shared" si="678"/>
        <v>-3.3000000000000002E-2</v>
      </c>
      <c r="AQ70" s="176">
        <f t="shared" ref="AQ70:AR70" si="679">ROUND(AQ69,3)-ROUND(AQ68,3)</f>
        <v>-2.5000000000000001E-2</v>
      </c>
      <c r="AR70" s="176">
        <f t="shared" si="679"/>
        <v>-3.1E-2</v>
      </c>
    </row>
    <row r="71" spans="1:66" ht="12" customHeight="1" outlineLevel="1">
      <c r="A71" s="91" t="s">
        <v>519</v>
      </c>
      <c r="B71" s="1" t="s">
        <v>26</v>
      </c>
      <c r="C71" s="154"/>
      <c r="D71" s="154"/>
      <c r="E71" s="154"/>
      <c r="F71" s="154"/>
      <c r="G71" s="154">
        <f t="shared" ref="G71:AI71" si="680">IF(ISERROR(G36/AVERAGE(F41:G41)*G$5),"n.a.",G36/AVERAGE(F41:G41)*G$5)</f>
        <v>5.3851246965349812E-2</v>
      </c>
      <c r="H71" s="154">
        <f t="shared" si="680"/>
        <v>7.5710341141890083E-2</v>
      </c>
      <c r="I71" s="154">
        <f t="shared" si="680"/>
        <v>6.4896559026982575E-2</v>
      </c>
      <c r="J71" s="154">
        <f t="shared" si="680"/>
        <v>8.7779571924279376E-2</v>
      </c>
      <c r="K71" s="154">
        <f t="shared" si="680"/>
        <v>8.4568576090213884E-2</v>
      </c>
      <c r="L71" s="154">
        <f t="shared" si="680"/>
        <v>0.12958919120377235</v>
      </c>
      <c r="M71" s="154">
        <f t="shared" si="680"/>
        <v>0.11704129149794125</v>
      </c>
      <c r="N71" s="154">
        <f t="shared" si="680"/>
        <v>0.14509066073580312</v>
      </c>
      <c r="O71" s="154">
        <f t="shared" si="680"/>
        <v>0.14996496145760335</v>
      </c>
      <c r="P71" s="154">
        <f t="shared" si="680"/>
        <v>0.13352606985578377</v>
      </c>
      <c r="Q71" s="154">
        <f t="shared" si="680"/>
        <v>0.13944550355108482</v>
      </c>
      <c r="R71" s="154">
        <f t="shared" si="680"/>
        <v>0.15355019603149772</v>
      </c>
      <c r="S71" s="154">
        <f t="shared" si="680"/>
        <v>0.16100778317392317</v>
      </c>
      <c r="T71" s="154">
        <f t="shared" si="680"/>
        <v>0.16555415953158276</v>
      </c>
      <c r="U71" s="154">
        <f t="shared" si="680"/>
        <v>0.1587533207798186</v>
      </c>
      <c r="V71" s="154">
        <f t="shared" si="680"/>
        <v>0.19540146342978429</v>
      </c>
      <c r="W71" s="154">
        <f t="shared" si="680"/>
        <v>0.15592059500240785</v>
      </c>
      <c r="X71" s="154">
        <f t="shared" si="680"/>
        <v>0.12527040314650933</v>
      </c>
      <c r="Y71" s="154">
        <f t="shared" si="680"/>
        <v>9.4518654174246361E-2</v>
      </c>
      <c r="Z71" s="154">
        <f t="shared" si="680"/>
        <v>0.19133160288344045</v>
      </c>
      <c r="AA71" s="154">
        <f t="shared" si="680"/>
        <v>0.17673647057485126</v>
      </c>
      <c r="AB71" s="154">
        <f t="shared" si="680"/>
        <v>0.20296938216178123</v>
      </c>
      <c r="AC71" s="154">
        <f t="shared" si="680"/>
        <v>0.15350777560468462</v>
      </c>
      <c r="AD71" s="154">
        <f t="shared" si="680"/>
        <v>0.17893095864006986</v>
      </c>
      <c r="AE71" s="154">
        <f t="shared" si="680"/>
        <v>8.6010394188979725E-2</v>
      </c>
      <c r="AF71" s="154">
        <f t="shared" si="680"/>
        <v>0.12744208552591785</v>
      </c>
      <c r="AG71" s="154">
        <f t="shared" si="680"/>
        <v>9.775589105596233E-2</v>
      </c>
      <c r="AH71" s="154">
        <f t="shared" si="680"/>
        <v>0.12467829266292056</v>
      </c>
      <c r="AI71" s="76">
        <f t="shared" si="680"/>
        <v>9.4424997758857085E-2</v>
      </c>
      <c r="AJ71" s="154">
        <f t="shared" ref="AJ71" si="681">IF(ISERROR(AJ36/AVERAGE(AI41:AJ41)*AJ$5),"n.a.",AJ36/AVERAGE(AI41:AJ41)*AJ$5)</f>
        <v>0.1427770416952196</v>
      </c>
      <c r="AK71" s="154">
        <f t="shared" ref="AK71" si="682">IF(ISERROR(AK36/AVERAGE(AJ41:AK41)*AK$5),"n.a.",AK36/AVERAGE(AJ41:AK41)*AK$5)</f>
        <v>0.11858665773918296</v>
      </c>
      <c r="AL71" s="154">
        <f t="shared" ref="AL71" si="683">IF(ISERROR(AL36/AVERAGE(AK41:AL41)*AL$5),"n.a.",AL36/AVERAGE(AK41:AL41)*AL$5)</f>
        <v>0.13569347438208462</v>
      </c>
      <c r="AM71" s="154">
        <f t="shared" ref="AM71" si="684">IF(ISERROR(AM36/AVERAGE(AL41:AM41)*AM$5),"n.a.",AM36/AVERAGE(AL41:AM41)*AM$5)</f>
        <v>0.12491618768619281</v>
      </c>
      <c r="AN71" s="154">
        <f t="shared" ref="AN71" si="685">IF(ISERROR(AN36/AVERAGE(AM41:AN41)*AN$5),"n.a.",AN36/AVERAGE(AM41:AN41)*AN$5)</f>
        <v>0.14416990324455475</v>
      </c>
      <c r="AO71" s="154">
        <f t="shared" ref="AO71" si="686">IF(ISERROR(AO36/AVERAGE(AN41:AO41)*AO$5),"n.a.",AO36/AVERAGE(AN41:AO41)*AO$5)</f>
        <v>0.12649390459814785</v>
      </c>
      <c r="AP71" s="154">
        <f t="shared" ref="AP71" si="687">IF(ISERROR(AP36/AVERAGE(AO41:AP41)*AP$5),"n.a.",AP36/AVERAGE(AO41:AP41)*AP$5)</f>
        <v>0.14476397605304162</v>
      </c>
      <c r="AQ71" s="154">
        <f t="shared" ref="AQ71" si="688">IF(ISERROR(AQ36/AVERAGE(AP41:AQ41)*AQ$5),"n.a.",AQ36/AVERAGE(AP41:AQ41)*AQ$5)</f>
        <v>0.12774824810694579</v>
      </c>
      <c r="AR71" s="154">
        <f t="shared" ref="AR71" si="689">IF(ISERROR(AR36/AVERAGE(AQ41:AR41)*AR$5),"n.a.",AR36/AVERAGE(AQ41:AR41)*AR$5)</f>
        <v>0.1418770733912495</v>
      </c>
      <c r="AT71" s="154">
        <f>IF(ISERROR(AT36/AVERAGE(T41:AT41)*AT$5),"n.a.",AT36/AVERAGE(T41:AT41)*AT$5)</f>
        <v>3.4956062089122372E-2</v>
      </c>
      <c r="AU71" s="154">
        <f t="shared" ref="AU71:BB71" si="690">IF(ISERROR(AU36/AVERAGE(AT41:AU41)*AU$5),"n.a.",AU36/AVERAGE(AT41:AU41)*AU$5)</f>
        <v>8.4467220356953532E-2</v>
      </c>
      <c r="AV71" s="154">
        <f t="shared" si="690"/>
        <v>6.458176670942628E-2</v>
      </c>
      <c r="AW71" s="154">
        <f t="shared" si="690"/>
        <v>7.5289746085110146E-2</v>
      </c>
      <c r="AX71" s="154">
        <f t="shared" si="690"/>
        <v>0.11086280180535471</v>
      </c>
      <c r="AY71" s="154">
        <f t="shared" si="690"/>
        <v>0.12666324475855806</v>
      </c>
      <c r="AZ71" s="154">
        <f t="shared" si="690"/>
        <v>0.14215331610680448</v>
      </c>
      <c r="BA71" s="154">
        <f t="shared" si="690"/>
        <v>0.14452883079631018</v>
      </c>
      <c r="BB71" s="154">
        <f t="shared" si="690"/>
        <v>0.16021303258145364</v>
      </c>
      <c r="BC71" s="154">
        <f t="shared" ref="BC71" si="691">IF(ISERROR(BC36/AVERAGE(BB41:BC41)*BC$5),"n.a.",BC36/AVERAGE(BB41:BC41)*BC$5)</f>
        <v>0.17480508822322527</v>
      </c>
      <c r="BD71" s="154">
        <f t="shared" ref="BD71" si="692">IF(ISERROR(BD36/AVERAGE(BC41:BD41)*BD$5),"n.a.",BD36/AVERAGE(BC41:BD41)*BD$5)</f>
        <v>0.14068617350092727</v>
      </c>
      <c r="BE71" s="154">
        <f t="shared" ref="BE71" si="693">IF(ISERROR(BE36/AVERAGE(BD41:BE41)*BE$5),"n.a.",BE36/AVERAGE(BD41:BE41)*BE$5)</f>
        <v>0.13987149451416112</v>
      </c>
      <c r="BF71" s="154">
        <f t="shared" ref="BF71" si="694">IF(ISERROR(BF36/AVERAGE(BE41:BF41)*BF$5),"n.a.",BF36/AVERAGE(BE41:BF41)*BF$5)</f>
        <v>0.18597482661186746</v>
      </c>
      <c r="BG71" s="154">
        <f t="shared" ref="BG71" si="695">IF(ISERROR(BG36/AVERAGE(BF41:BG41)*BG$5),"n.a.",BG36/AVERAGE(BF41:BG41)*BG$5)</f>
        <v>0.16793052044850607</v>
      </c>
      <c r="BH71" s="154">
        <f t="shared" ref="BH71:BJ71" si="696">IF(ISERROR(BH36/AVERAGE(BG41:BH41)*BH$5),"n.a.",BH36/AVERAGE(BG41:BH41)*BH$5)</f>
        <v>0.10570862596794525</v>
      </c>
      <c r="BI71" s="76">
        <f t="shared" si="696"/>
        <v>0.10793613899501721</v>
      </c>
      <c r="BJ71" s="154">
        <f t="shared" si="696"/>
        <v>0.1170003049015528</v>
      </c>
      <c r="BK71" s="154">
        <f>IF(ISERROR(BK36/AVERAGE(BK41:BK41)*BK$5),"n.a.",BK36/AVERAGE(BK41:BK41)*BK$5)</f>
        <v>0.12473519404583096</v>
      </c>
      <c r="BL71" s="154">
        <f>IF(ISERROR(BL36/AVERAGE(BL41:BL41)*BL$5),"n.a.",BL36/AVERAGE(BL41:BL41)*BL$5)</f>
        <v>0.13060090068123439</v>
      </c>
      <c r="BM71" s="154">
        <f>IF(ISERROR(BM36/AVERAGE(BM41:BM41)*BM$5),"n.a.",BM36/AVERAGE(BM41:BM41)*BM$5)</f>
        <v>0.13162677930086664</v>
      </c>
      <c r="BN71" s="154">
        <f>IF(ISERROR(BN36/AVERAGE(BN41:BN41)*BN$5),"n.a.",BN36/AVERAGE(BN41:BN41)*BN$5)</f>
        <v>0.13083469367556652</v>
      </c>
    </row>
    <row r="72" spans="1:66" ht="12" customHeight="1" outlineLevel="1"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154"/>
      <c r="Z72" s="154"/>
      <c r="AA72" s="154"/>
      <c r="AB72" s="154"/>
      <c r="AC72" s="154"/>
      <c r="AD72" s="154"/>
      <c r="AE72" s="154"/>
      <c r="AF72" s="154"/>
      <c r="AG72" s="154"/>
      <c r="AH72" s="154"/>
      <c r="AI72" s="76"/>
      <c r="AJ72" s="154"/>
      <c r="AK72" s="154"/>
      <c r="AL72" s="154"/>
      <c r="AM72" s="154"/>
      <c r="AN72" s="154"/>
      <c r="AO72" s="154"/>
      <c r="AP72" s="154"/>
      <c r="AQ72" s="154"/>
      <c r="AR72" s="154"/>
      <c r="AT72" s="154"/>
      <c r="AU72" s="154"/>
      <c r="AV72" s="154"/>
      <c r="AW72" s="154"/>
      <c r="AX72" s="154"/>
      <c r="AY72" s="154"/>
      <c r="AZ72" s="154"/>
      <c r="BA72" s="154"/>
      <c r="BB72" s="154"/>
      <c r="BC72" s="154"/>
      <c r="BD72" s="154"/>
      <c r="BE72" s="154"/>
      <c r="BF72" s="154"/>
      <c r="BG72" s="154"/>
      <c r="BH72" s="154"/>
      <c r="BI72" s="76"/>
      <c r="BJ72" s="154"/>
      <c r="BK72" s="154"/>
      <c r="BL72" s="154"/>
      <c r="BM72" s="154"/>
      <c r="BN72" s="154"/>
    </row>
    <row r="73" spans="1:66" ht="12" customHeight="1" outlineLevel="1">
      <c r="B73" s="3" t="s">
        <v>124</v>
      </c>
      <c r="C73" s="96" t="str">
        <f t="shared" ref="C73:AR73" si="697">IF(ISNUMBER(C109),IF(ROUND(C36,5)=ROUND(C109+C695+C187+C410+C485,5),"Ok","Error"),"Ok")</f>
        <v>Ok</v>
      </c>
      <c r="D73" s="96" t="str">
        <f t="shared" si="697"/>
        <v>Ok</v>
      </c>
      <c r="E73" s="96" t="str">
        <f t="shared" si="697"/>
        <v>Ok</v>
      </c>
      <c r="F73" s="96" t="str">
        <f t="shared" si="697"/>
        <v>Ok</v>
      </c>
      <c r="G73" s="96" t="str">
        <f t="shared" si="697"/>
        <v>Ok</v>
      </c>
      <c r="H73" s="96" t="str">
        <f t="shared" si="697"/>
        <v>Ok</v>
      </c>
      <c r="I73" s="96" t="str">
        <f t="shared" si="697"/>
        <v>Ok</v>
      </c>
      <c r="J73" s="100" t="str">
        <f t="shared" si="697"/>
        <v>Ok</v>
      </c>
      <c r="K73" s="100" t="str">
        <f t="shared" si="697"/>
        <v>Ok</v>
      </c>
      <c r="L73" s="100" t="str">
        <f t="shared" si="697"/>
        <v>Ok</v>
      </c>
      <c r="M73" s="100" t="str">
        <f t="shared" si="697"/>
        <v>Ok</v>
      </c>
      <c r="N73" s="100" t="str">
        <f t="shared" si="697"/>
        <v>Ok</v>
      </c>
      <c r="O73" s="100" t="str">
        <f t="shared" si="697"/>
        <v>Ok</v>
      </c>
      <c r="P73" s="100" t="str">
        <f t="shared" si="697"/>
        <v>Ok</v>
      </c>
      <c r="Q73" s="100" t="str">
        <f t="shared" si="697"/>
        <v>Ok</v>
      </c>
      <c r="R73" s="100" t="str">
        <f t="shared" si="697"/>
        <v>Ok</v>
      </c>
      <c r="S73" s="100" t="str">
        <f t="shared" si="697"/>
        <v>Ok</v>
      </c>
      <c r="T73" s="100" t="str">
        <f t="shared" si="697"/>
        <v>Ok</v>
      </c>
      <c r="U73" s="100" t="str">
        <f t="shared" si="697"/>
        <v>Ok</v>
      </c>
      <c r="V73" s="100" t="str">
        <f t="shared" si="697"/>
        <v>Ok</v>
      </c>
      <c r="W73" s="100" t="str">
        <f t="shared" si="697"/>
        <v>Ok</v>
      </c>
      <c r="X73" s="100" t="str">
        <f t="shared" si="697"/>
        <v>Ok</v>
      </c>
      <c r="Y73" s="100" t="str">
        <f t="shared" si="697"/>
        <v>Ok</v>
      </c>
      <c r="Z73" s="100" t="str">
        <f t="shared" si="697"/>
        <v>Ok</v>
      </c>
      <c r="AA73" s="100" t="str">
        <f t="shared" si="697"/>
        <v>Ok</v>
      </c>
      <c r="AB73" s="100" t="str">
        <f t="shared" si="697"/>
        <v>Ok</v>
      </c>
      <c r="AC73" s="100" t="str">
        <f t="shared" si="697"/>
        <v>Error</v>
      </c>
      <c r="AD73" s="100" t="str">
        <f t="shared" si="697"/>
        <v>Ok</v>
      </c>
      <c r="AE73" s="100" t="str">
        <f t="shared" si="697"/>
        <v>Ok</v>
      </c>
      <c r="AF73" s="100" t="str">
        <f t="shared" si="697"/>
        <v>Ok</v>
      </c>
      <c r="AG73" s="100" t="str">
        <f t="shared" si="697"/>
        <v>Ok</v>
      </c>
      <c r="AH73" s="100" t="str">
        <f>IF(ISNUMBER(AH109),IF(ROUND(AH36,5)=ROUND(AH109+AH695+AH187+AH410+AH485,5),"Ok","Error"),"Ok")</f>
        <v>Ok</v>
      </c>
      <c r="AI73" s="97" t="str">
        <f>IF(ISNUMBER(AI109),IF(ROUND(AI36,1)=ROUND(AI109+AI695+AI187+AI410+AI485,1),"Ok","Error"),"Ok")</f>
        <v>Ok</v>
      </c>
      <c r="AJ73" s="96" t="str">
        <f t="shared" si="697"/>
        <v>Ok</v>
      </c>
      <c r="AK73" s="96" t="str">
        <f t="shared" si="697"/>
        <v>Ok</v>
      </c>
      <c r="AL73" s="96" t="str">
        <f t="shared" si="697"/>
        <v>Ok</v>
      </c>
      <c r="AM73" s="96" t="str">
        <f t="shared" si="697"/>
        <v>Ok</v>
      </c>
      <c r="AN73" s="96" t="str">
        <f t="shared" si="697"/>
        <v>Ok</v>
      </c>
      <c r="AO73" s="96" t="str">
        <f t="shared" si="697"/>
        <v>Ok</v>
      </c>
      <c r="AP73" s="96" t="str">
        <f t="shared" si="697"/>
        <v>Ok</v>
      </c>
      <c r="AQ73" s="96" t="str">
        <f t="shared" si="697"/>
        <v>Ok</v>
      </c>
      <c r="AR73" s="96" t="str">
        <f t="shared" si="697"/>
        <v>Ok</v>
      </c>
      <c r="AT73" s="96" t="str">
        <f t="shared" ref="AT73:BN73" si="698">IF(ISNUMBER(AT109),IF(ROUND(AT36,5)=ROUND(AT109+AT695+AT187+AT410+AT485,5),"Ok","Error"),"Ok")</f>
        <v>Ok</v>
      </c>
      <c r="AU73" s="96" t="str">
        <f t="shared" si="698"/>
        <v>Ok</v>
      </c>
      <c r="AV73" s="96" t="str">
        <f t="shared" si="698"/>
        <v>Ok</v>
      </c>
      <c r="AW73" s="96" t="str">
        <f t="shared" si="698"/>
        <v>Ok</v>
      </c>
      <c r="AX73" s="100" t="str">
        <f t="shared" si="698"/>
        <v>Ok</v>
      </c>
      <c r="AY73" s="100" t="str">
        <f t="shared" si="698"/>
        <v>Ok</v>
      </c>
      <c r="AZ73" s="100" t="str">
        <f t="shared" si="698"/>
        <v>Ok</v>
      </c>
      <c r="BA73" s="100" t="str">
        <f t="shared" si="698"/>
        <v>Error</v>
      </c>
      <c r="BB73" s="100" t="str">
        <f t="shared" si="698"/>
        <v>Error</v>
      </c>
      <c r="BC73" s="100" t="str">
        <f t="shared" si="698"/>
        <v>Ok</v>
      </c>
      <c r="BD73" s="100" t="str">
        <f t="shared" si="698"/>
        <v>Ok</v>
      </c>
      <c r="BE73" s="100" t="str">
        <f t="shared" si="698"/>
        <v>Ok</v>
      </c>
      <c r="BF73" s="100" t="str">
        <f t="shared" si="698"/>
        <v>Ok</v>
      </c>
      <c r="BG73" s="100" t="str">
        <f t="shared" si="698"/>
        <v>Ok</v>
      </c>
      <c r="BH73" s="100" t="str">
        <f t="shared" si="698"/>
        <v>Ok</v>
      </c>
      <c r="BI73" s="97" t="str">
        <f>IF(ISNUMBER(BI109),IF(ROUND(BI36,5)=ROUND(BI109+BI695+BI187+BI410+BI485,5),"Ok","Error"),"Ok")</f>
        <v>Ok</v>
      </c>
      <c r="BJ73" s="96" t="str">
        <f>IF(ISNUMBER(BJ109),IF(ROUND(BJ36,5)=ROUND(BJ109+BJ695+BJ187+BJ410+BJ485,5),"Ok","Error"),"Ok")</f>
        <v>Ok</v>
      </c>
      <c r="BK73" s="96" t="str">
        <f t="shared" si="698"/>
        <v>Ok</v>
      </c>
      <c r="BL73" s="96" t="str">
        <f t="shared" si="698"/>
        <v>Ok</v>
      </c>
      <c r="BM73" s="96" t="str">
        <f t="shared" si="698"/>
        <v>Ok</v>
      </c>
      <c r="BN73" s="96" t="str">
        <f t="shared" si="698"/>
        <v>Ok</v>
      </c>
    </row>
    <row r="74" spans="1:66" ht="12" customHeight="1">
      <c r="C74" s="285"/>
      <c r="D74" s="285"/>
      <c r="E74" s="285"/>
      <c r="F74" s="285"/>
      <c r="G74" s="285"/>
      <c r="H74" s="285"/>
      <c r="I74" s="285"/>
      <c r="J74" s="285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20"/>
      <c r="AJ74" s="19"/>
      <c r="AK74" s="19"/>
      <c r="AL74" s="19"/>
      <c r="AM74" s="19"/>
      <c r="AN74" s="19"/>
      <c r="AO74" s="19"/>
      <c r="AP74" s="19"/>
      <c r="AQ74" s="19"/>
      <c r="AR74" s="19"/>
    </row>
    <row r="75" spans="1:66" s="9" customFormat="1" ht="12" customHeight="1">
      <c r="A75" s="91"/>
      <c r="B75" s="2" t="s">
        <v>1511</v>
      </c>
      <c r="C75" s="93">
        <f>C102</f>
        <v>492</v>
      </c>
      <c r="D75" s="93">
        <f t="shared" ref="D75:BB75" si="699">D102</f>
        <v>321</v>
      </c>
      <c r="E75" s="93">
        <f t="shared" si="699"/>
        <v>228</v>
      </c>
      <c r="F75" s="93">
        <f t="shared" si="699"/>
        <v>254</v>
      </c>
      <c r="G75" s="93">
        <f t="shared" si="699"/>
        <v>401</v>
      </c>
      <c r="H75" s="93">
        <f t="shared" si="699"/>
        <v>244</v>
      </c>
      <c r="I75" s="93">
        <f t="shared" si="699"/>
        <v>356</v>
      </c>
      <c r="J75" s="93">
        <f t="shared" si="699"/>
        <v>399</v>
      </c>
      <c r="K75" s="93">
        <f t="shared" si="699"/>
        <v>500</v>
      </c>
      <c r="L75" s="93">
        <f t="shared" si="699"/>
        <v>551</v>
      </c>
      <c r="M75" s="93">
        <f t="shared" ref="M75" si="700">M102</f>
        <v>785</v>
      </c>
      <c r="N75" s="93">
        <f t="shared" si="699"/>
        <v>665</v>
      </c>
      <c r="O75" s="93">
        <f t="shared" ref="O75:P75" si="701">O102</f>
        <v>1139</v>
      </c>
      <c r="P75" s="93">
        <f t="shared" si="701"/>
        <v>505</v>
      </c>
      <c r="Q75" s="93">
        <f t="shared" ref="Q75:R75" si="702">Q102</f>
        <v>857</v>
      </c>
      <c r="R75" s="93">
        <f t="shared" si="702"/>
        <v>681</v>
      </c>
      <c r="S75" s="93">
        <f t="shared" ref="S75:T75" si="703">S102</f>
        <v>1143</v>
      </c>
      <c r="T75" s="93">
        <f t="shared" si="703"/>
        <v>415</v>
      </c>
      <c r="U75" s="93">
        <f t="shared" ref="U75:V75" si="704">U102</f>
        <v>850</v>
      </c>
      <c r="V75" s="93">
        <f t="shared" si="704"/>
        <v>1022</v>
      </c>
      <c r="W75" s="93">
        <f t="shared" ref="W75:X75" si="705">W102</f>
        <v>1122</v>
      </c>
      <c r="X75" s="93">
        <f t="shared" si="705"/>
        <v>1055</v>
      </c>
      <c r="Y75" s="93">
        <f t="shared" ref="Y75:Z75" si="706">Y102</f>
        <v>1062</v>
      </c>
      <c r="Z75" s="93">
        <f t="shared" si="706"/>
        <v>1012</v>
      </c>
      <c r="AA75" s="93">
        <f t="shared" ref="AA75:AB75" si="707">AA102</f>
        <v>1097</v>
      </c>
      <c r="AB75" s="93">
        <f t="shared" si="707"/>
        <v>1932</v>
      </c>
      <c r="AC75" s="93">
        <f t="shared" ref="AC75:AD75" si="708">AC102</f>
        <v>1402</v>
      </c>
      <c r="AD75" s="93">
        <f t="shared" si="708"/>
        <v>940</v>
      </c>
      <c r="AE75" s="93">
        <f t="shared" ref="AE75:AF75" si="709">AE102</f>
        <v>407</v>
      </c>
      <c r="AF75" s="93">
        <f t="shared" si="709"/>
        <v>801</v>
      </c>
      <c r="AG75" s="93">
        <f t="shared" ref="AG75:AH75" si="710">AG102</f>
        <v>684</v>
      </c>
      <c r="AH75" s="93">
        <f t="shared" si="710"/>
        <v>926</v>
      </c>
      <c r="AI75" s="94">
        <f t="shared" ref="AI75:AJ75" si="711">AI102</f>
        <v>1175</v>
      </c>
      <c r="AJ75" s="93">
        <f t="shared" si="711"/>
        <v>1520.8317105388146</v>
      </c>
      <c r="AK75" s="93">
        <f t="shared" ref="AK75:AL75" si="712">AK102</f>
        <v>957.81852891530036</v>
      </c>
      <c r="AL75" s="93">
        <f t="shared" si="712"/>
        <v>1028.4959621758512</v>
      </c>
      <c r="AM75" s="93">
        <f t="shared" ref="AM75:AN75" si="713">AM102</f>
        <v>1006.0407876733886</v>
      </c>
      <c r="AN75" s="93">
        <f t="shared" si="713"/>
        <v>1073.919023349456</v>
      </c>
      <c r="AO75" s="93">
        <f t="shared" ref="AO75:AP75" si="714">AO102</f>
        <v>1035.7320967968731</v>
      </c>
      <c r="AP75" s="93">
        <f t="shared" si="714"/>
        <v>1095.8981291154562</v>
      </c>
      <c r="AQ75" s="93">
        <f t="shared" ref="AQ75:AR75" si="715">AQ102</f>
        <v>1041.392582569656</v>
      </c>
      <c r="AR75" s="93">
        <f t="shared" si="715"/>
        <v>1085.25545090634</v>
      </c>
      <c r="AS75" s="93"/>
      <c r="AT75" s="93">
        <f t="shared" ref="AT75:AV75" si="716">AT102</f>
        <v>813</v>
      </c>
      <c r="AU75" s="93">
        <f t="shared" si="716"/>
        <v>482</v>
      </c>
      <c r="AV75" s="93">
        <f t="shared" si="716"/>
        <v>645</v>
      </c>
      <c r="AW75" s="93">
        <f t="shared" ref="AW75:AX75" si="717">AW102</f>
        <v>755</v>
      </c>
      <c r="AX75" s="93">
        <f t="shared" si="717"/>
        <v>1051</v>
      </c>
      <c r="AY75" s="93">
        <f t="shared" si="699"/>
        <v>1450</v>
      </c>
      <c r="AZ75" s="93">
        <f t="shared" si="699"/>
        <v>1644</v>
      </c>
      <c r="BA75" s="93">
        <f t="shared" si="699"/>
        <v>1538</v>
      </c>
      <c r="BB75" s="93">
        <f t="shared" si="699"/>
        <v>1558</v>
      </c>
      <c r="BC75" s="93">
        <f t="shared" ref="BC75" si="718">BC102</f>
        <v>1872</v>
      </c>
      <c r="BD75" s="93">
        <f t="shared" ref="BD75:BI75" si="719">BD102</f>
        <v>2177</v>
      </c>
      <c r="BE75" s="93">
        <f t="shared" si="719"/>
        <v>2074</v>
      </c>
      <c r="BF75" s="93">
        <f t="shared" si="719"/>
        <v>3029</v>
      </c>
      <c r="BG75" s="93">
        <f t="shared" si="719"/>
        <v>2342</v>
      </c>
      <c r="BH75" s="93">
        <f t="shared" si="719"/>
        <v>1208</v>
      </c>
      <c r="BI75" s="94">
        <f t="shared" si="719"/>
        <v>1610</v>
      </c>
      <c r="BJ75" s="93">
        <f t="shared" ref="BJ75:BK75" si="720">BJ102</f>
        <v>2695.8317105388146</v>
      </c>
      <c r="BK75" s="93">
        <f t="shared" si="720"/>
        <v>1986.3144910911521</v>
      </c>
      <c r="BL75" s="93">
        <f t="shared" ref="BL75:BM75" si="721">BL102</f>
        <v>2079.9598110228444</v>
      </c>
      <c r="BM75" s="93">
        <f t="shared" si="721"/>
        <v>2131.6302259123286</v>
      </c>
      <c r="BN75" s="93">
        <f>BN102</f>
        <v>2126.6480334759954</v>
      </c>
    </row>
    <row r="76" spans="1:66" ht="12" customHeight="1" outlineLevel="1"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285"/>
      <c r="AI76" s="507"/>
      <c r="AJ76" s="19"/>
      <c r="AK76" s="19"/>
      <c r="AL76" s="19"/>
      <c r="AM76" s="19"/>
      <c r="AN76" s="19"/>
      <c r="AO76" s="19"/>
      <c r="AP76" s="19"/>
      <c r="AQ76" s="19"/>
      <c r="AR76" s="19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2"/>
      <c r="BJ76" s="33"/>
      <c r="BK76" s="33"/>
      <c r="BL76" s="33"/>
      <c r="BM76" s="33"/>
      <c r="BN76" s="33"/>
    </row>
    <row r="77" spans="1:66" ht="12" customHeight="1" outlineLevel="1">
      <c r="B77" s="9" t="s">
        <v>40</v>
      </c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63"/>
      <c r="N77" s="63"/>
      <c r="O77" s="63"/>
      <c r="P77" s="285"/>
      <c r="Q77" s="285"/>
      <c r="R77" s="285"/>
      <c r="S77" s="285"/>
      <c r="T77" s="285"/>
      <c r="U77" s="285"/>
      <c r="V77" s="285"/>
      <c r="W77" s="285"/>
      <c r="X77" s="285"/>
      <c r="Y77" s="285"/>
      <c r="Z77" s="285"/>
      <c r="AA77" s="285"/>
      <c r="AB77" s="19"/>
      <c r="AC77" s="285"/>
      <c r="AD77" s="19"/>
      <c r="AE77" s="19"/>
      <c r="AF77" s="19"/>
      <c r="AG77" s="19"/>
      <c r="AH77" s="19"/>
      <c r="AI77" s="20"/>
      <c r="AJ77" s="19"/>
      <c r="AK77" s="19"/>
      <c r="AL77" s="19"/>
      <c r="AM77" s="19"/>
      <c r="AN77" s="19"/>
      <c r="AO77" s="19"/>
      <c r="AP77" s="19"/>
      <c r="AQ77" s="19"/>
      <c r="AR77" s="19"/>
      <c r="BI77" s="32"/>
    </row>
    <row r="78" spans="1:66" s="9" customFormat="1" ht="12" customHeight="1" outlineLevel="2">
      <c r="A78" s="91" t="s">
        <v>1115</v>
      </c>
      <c r="B78" s="16" t="s">
        <v>6</v>
      </c>
      <c r="C78" s="61">
        <v>0</v>
      </c>
      <c r="D78" s="61">
        <v>0</v>
      </c>
      <c r="E78" s="61">
        <v>0</v>
      </c>
      <c r="F78" s="61">
        <v>0</v>
      </c>
      <c r="G78" s="61">
        <v>0</v>
      </c>
      <c r="H78" s="61">
        <v>0</v>
      </c>
      <c r="I78" s="61">
        <v>0</v>
      </c>
      <c r="J78" s="61">
        <v>0</v>
      </c>
      <c r="K78" s="61">
        <v>0</v>
      </c>
      <c r="L78" s="61">
        <f t="shared" ref="L78:T78" si="722">IF(ISERROR(K78/AVERAGE(J112:K112)*AVERAGE(K112:L112)),0,K78/AVERAGE(J112:K112)*AVERAGE(K112:L112))</f>
        <v>0</v>
      </c>
      <c r="M78" s="61">
        <f t="shared" si="722"/>
        <v>0</v>
      </c>
      <c r="N78" s="61">
        <f t="shared" si="722"/>
        <v>0</v>
      </c>
      <c r="O78" s="61">
        <f t="shared" si="722"/>
        <v>0</v>
      </c>
      <c r="P78" s="61">
        <f t="shared" si="722"/>
        <v>0</v>
      </c>
      <c r="Q78" s="61">
        <f t="shared" si="722"/>
        <v>0</v>
      </c>
      <c r="R78" s="61">
        <f t="shared" si="722"/>
        <v>0</v>
      </c>
      <c r="S78" s="61">
        <f t="shared" si="722"/>
        <v>0</v>
      </c>
      <c r="T78" s="61">
        <f t="shared" si="722"/>
        <v>0</v>
      </c>
      <c r="U78" s="63">
        <f>U112</f>
        <v>9400</v>
      </c>
      <c r="V78" s="63">
        <f>AVERAGE(U112:V112)</f>
        <v>9400</v>
      </c>
      <c r="W78" s="63">
        <f t="shared" ref="W78:AR78" si="723">IF(ISERROR(V78/AVERAGE(U112:V112)*AVERAGE(V112:W112)),0,V78/AVERAGE(U112:V112)*AVERAGE(V112:W112))</f>
        <v>5800</v>
      </c>
      <c r="X78" s="63">
        <f t="shared" si="723"/>
        <v>2100</v>
      </c>
      <c r="Y78" s="63">
        <f t="shared" si="723"/>
        <v>1600</v>
      </c>
      <c r="Z78" s="63">
        <f t="shared" si="723"/>
        <v>1000</v>
      </c>
      <c r="AA78" s="63">
        <f t="shared" si="723"/>
        <v>850</v>
      </c>
      <c r="AB78" s="63">
        <f t="shared" si="723"/>
        <v>900</v>
      </c>
      <c r="AC78" s="63">
        <f t="shared" si="723"/>
        <v>950</v>
      </c>
      <c r="AD78" s="63">
        <f t="shared" si="723"/>
        <v>1050</v>
      </c>
      <c r="AE78" s="63">
        <f t="shared" si="723"/>
        <v>1300</v>
      </c>
      <c r="AF78" s="63">
        <f t="shared" si="723"/>
        <v>1500</v>
      </c>
      <c r="AG78" s="63">
        <f t="shared" si="723"/>
        <v>1400</v>
      </c>
      <c r="AH78" s="63">
        <f t="shared" si="723"/>
        <v>750</v>
      </c>
      <c r="AI78" s="64">
        <f t="shared" si="723"/>
        <v>450</v>
      </c>
      <c r="AJ78" s="39">
        <f t="shared" si="723"/>
        <v>703.5</v>
      </c>
      <c r="AK78" s="39">
        <f t="shared" si="723"/>
        <v>710.53500000000008</v>
      </c>
      <c r="AL78" s="39">
        <f t="shared" si="723"/>
        <v>717.64035000000013</v>
      </c>
      <c r="AM78" s="39">
        <f t="shared" si="723"/>
        <v>724.81675350000012</v>
      </c>
      <c r="AN78" s="39">
        <f t="shared" si="723"/>
        <v>732.06492103500022</v>
      </c>
      <c r="AO78" s="39">
        <f t="shared" si="723"/>
        <v>739.38557024535021</v>
      </c>
      <c r="AP78" s="39">
        <f t="shared" si="723"/>
        <v>746.7794259478037</v>
      </c>
      <c r="AQ78" s="39">
        <f t="shared" si="723"/>
        <v>754.24722020728177</v>
      </c>
      <c r="AR78" s="39">
        <f t="shared" si="723"/>
        <v>761.78969240935464</v>
      </c>
      <c r="AS78" s="74"/>
      <c r="AT78" s="63">
        <f>SUMPRODUCT(C78:D78,C$5:D$5)/SUM(C$5:D$5)</f>
        <v>0</v>
      </c>
      <c r="AU78" s="63">
        <f>SUMPRODUCT(E78:F78,E$5:F$5)/SUM(E$5:F$5)</f>
        <v>0</v>
      </c>
      <c r="AV78" s="63">
        <f>SUMPRODUCT(G78:H78,G$5:H$5)/SUM(G$5:H$5)</f>
        <v>0</v>
      </c>
      <c r="AW78" s="63">
        <f>SUMPRODUCT(I78:J78,I$5:J$5)/SUM(I$5:J$5)</f>
        <v>0</v>
      </c>
      <c r="AX78" s="63">
        <f>SUMPRODUCT(K78:L78,K$5:L$5)/SUM(K$5:L$5)</f>
        <v>0</v>
      </c>
      <c r="AY78" s="63">
        <f>SUMPRODUCT(M78:N78,M$5:N$5)/SUM(M$5:N$5)</f>
        <v>0</v>
      </c>
      <c r="AZ78" s="63">
        <f>SUMPRODUCT(O78:P78,O$5:P$5)/SUM(O$5:P$5)</f>
        <v>0</v>
      </c>
      <c r="BA78" s="63">
        <f>SUMPRODUCT(Q78:R78,Q$5:R$5)/SUM(Q$5:R$5)</f>
        <v>0</v>
      </c>
      <c r="BB78" s="63">
        <f>SUMPRODUCT(S78:T78,S$5:T$5)/SUM(S$5:T$5)</f>
        <v>0</v>
      </c>
      <c r="BC78" s="63">
        <f>SUMPRODUCT(U78:V78,U$5:V$5)/SUM(U$5:V$5)</f>
        <v>9400</v>
      </c>
      <c r="BD78" s="63">
        <f>SUMPRODUCT(W78:X78,W$5:X$5)/SUM(W$5:X$5)</f>
        <v>3950</v>
      </c>
      <c r="BE78" s="63">
        <f>SUMPRODUCT(Y78:Z78,Y$5:Z$5)/SUM(Y$5:Z$5)</f>
        <v>1299.178082191781</v>
      </c>
      <c r="BF78" s="63">
        <f>SUMPRODUCT(AA78:AB78,AA$5:AB$5)/SUM(AA$5:AB$5)</f>
        <v>875.06849315068496</v>
      </c>
      <c r="BG78" s="63">
        <f>SUMPRODUCT(AC78:AD78,AC$5:AD$5)/SUM(AC$5:AD$5)</f>
        <v>1000.1369863013699</v>
      </c>
      <c r="BH78" s="63">
        <f>SUMPRODUCT(AE78:AF78,AE$5:AF$5)/SUM(AE$5:AF$5)</f>
        <v>1400</v>
      </c>
      <c r="BI78" s="64">
        <f>SUMPRODUCT(AG78:AH78,AG$5:AH$5)/SUM(AG$5:AH$5)</f>
        <v>1074.1095890410959</v>
      </c>
      <c r="BJ78" s="63">
        <f>SUMPRODUCT(AI78:AJ78,AI$5:AJ$5)/SUM(AI$5:AJ$5)</f>
        <v>577.09726027397267</v>
      </c>
      <c r="BK78" s="63">
        <f>SUMPRODUCT(AK78:AL78,AK$5:AL$5)/SUM(AK$5:AL$5)</f>
        <v>714.09740835616446</v>
      </c>
      <c r="BL78" s="63">
        <f>SUMPRODUCT(AM78:AN78,AM$5:AN$5)/SUM(AM$5:AN$5)</f>
        <v>728.44083726750023</v>
      </c>
      <c r="BM78" s="63">
        <f>SUMPRODUCT(AO78:AP78,AO$5:AP$5)/SUM(AO$5:AP$5)</f>
        <v>743.09262666603252</v>
      </c>
      <c r="BN78" s="63">
        <f>SUMPRODUCT(AQ78:AR78,AQ$5:AR$5)/SUM(AQ$5:AR$5)</f>
        <v>758.02878846201963</v>
      </c>
    </row>
    <row r="79" spans="1:66" ht="12" customHeight="1" outlineLevel="2">
      <c r="A79" s="91" t="s">
        <v>1116</v>
      </c>
      <c r="B79" s="1" t="s">
        <v>5</v>
      </c>
      <c r="C79" s="37" t="str">
        <f>IF(ISERROR(C80/C78),"n.a.",C80/C78*C$5)</f>
        <v>n.a.</v>
      </c>
      <c r="D79" s="37" t="str">
        <f t="shared" ref="D79:J79" si="724">IF(ISERROR(D80/D78),"n.a.",D80/D78*D$5)</f>
        <v>n.a.</v>
      </c>
      <c r="E79" s="37" t="str">
        <f t="shared" si="724"/>
        <v>n.a.</v>
      </c>
      <c r="F79" s="37" t="str">
        <f t="shared" si="724"/>
        <v>n.a.</v>
      </c>
      <c r="G79" s="37" t="str">
        <f t="shared" si="724"/>
        <v>n.a.</v>
      </c>
      <c r="H79" s="37" t="str">
        <f t="shared" si="724"/>
        <v>n.a.</v>
      </c>
      <c r="I79" s="37" t="str">
        <f t="shared" si="724"/>
        <v>n.a.</v>
      </c>
      <c r="J79" s="37" t="str">
        <f t="shared" si="724"/>
        <v>n.a.</v>
      </c>
      <c r="K79" s="37" t="str">
        <f t="shared" ref="K79:L79" si="725">IF(ISERROR(K80/K78),"n.a.",K80/K78*K$5)</f>
        <v>n.a.</v>
      </c>
      <c r="L79" s="37" t="str">
        <f t="shared" si="725"/>
        <v>n.a.</v>
      </c>
      <c r="M79" s="37" t="str">
        <f t="shared" ref="M79" si="726">IF(ISERROR(M80/M78),"n.a.",M80/M78*M$5)</f>
        <v>n.a.</v>
      </c>
      <c r="N79" s="37" t="str">
        <f t="shared" ref="N79:O79" si="727">IF(ISERROR(N80/N78),"n.a.",N80/N78*N$5)</f>
        <v>n.a.</v>
      </c>
      <c r="O79" s="37" t="str">
        <f t="shared" si="727"/>
        <v>n.a.</v>
      </c>
      <c r="P79" s="37" t="str">
        <f t="shared" ref="P79:Q79" si="728">IF(ISERROR(P80/P78),"n.a.",P80/P78*P$5)</f>
        <v>n.a.</v>
      </c>
      <c r="Q79" s="37" t="str">
        <f t="shared" si="728"/>
        <v>n.a.</v>
      </c>
      <c r="R79" s="37" t="str">
        <f t="shared" ref="R79:S79" si="729">IF(ISERROR(R80/R78),"n.a.",R80/R78*R$5)</f>
        <v>n.a.</v>
      </c>
      <c r="S79" s="37" t="str">
        <f t="shared" si="729"/>
        <v>n.a.</v>
      </c>
      <c r="T79" s="37" t="str">
        <f t="shared" ref="T79:U79" si="730">IF(ISERROR(T80/T78),"n.a.",T80/T78*T$5)</f>
        <v>n.a.</v>
      </c>
      <c r="U79" s="470">
        <f t="shared" si="730"/>
        <v>0</v>
      </c>
      <c r="V79" s="470">
        <f t="shared" ref="V79:W79" si="731">IF(ISERROR(V80/V78),"n.a.",V80/V78*V$5)</f>
        <v>0</v>
      </c>
      <c r="W79" s="470">
        <f t="shared" si="731"/>
        <v>0</v>
      </c>
      <c r="X79" s="470">
        <f t="shared" ref="X79:Y79" si="732">IF(ISERROR(X80/X78),"n.a.",X80/X78*X$5)</f>
        <v>0</v>
      </c>
      <c r="Y79" s="470">
        <f t="shared" si="732"/>
        <v>0</v>
      </c>
      <c r="Z79" s="470">
        <f t="shared" ref="Z79:AA79" si="733">IF(ISERROR(Z80/Z78),"n.a.",Z80/Z78*Z$5)</f>
        <v>0</v>
      </c>
      <c r="AA79" s="470">
        <f t="shared" si="733"/>
        <v>0</v>
      </c>
      <c r="AB79" s="470">
        <f t="shared" ref="AB79:AC79" si="734">IF(ISERROR(AB80/AB78),"n.a.",AB80/AB78*AB$5)</f>
        <v>0</v>
      </c>
      <c r="AC79" s="470">
        <f t="shared" si="734"/>
        <v>0</v>
      </c>
      <c r="AD79" s="470">
        <f t="shared" ref="AD79:AE79" si="735">IF(ISERROR(AD80/AD78),"n.a.",AD80/AD78*AD$5)</f>
        <v>0</v>
      </c>
      <c r="AE79" s="470">
        <f t="shared" si="735"/>
        <v>0</v>
      </c>
      <c r="AF79" s="470">
        <f t="shared" ref="AF79:AG79" si="736">IF(ISERROR(AF80/AF78),"n.a.",AF80/AF78*AF$5)</f>
        <v>0</v>
      </c>
      <c r="AG79" s="470">
        <f t="shared" si="736"/>
        <v>0</v>
      </c>
      <c r="AH79" s="470">
        <f t="shared" ref="AH79:AI79" si="737">IF(ISERROR(AH80/AH78),"n.a.",AH80/AH78*AH$5)</f>
        <v>0</v>
      </c>
      <c r="AI79" s="471">
        <f t="shared" si="737"/>
        <v>0</v>
      </c>
      <c r="AJ79" s="48">
        <f t="shared" ref="AJ79:AR79" si="738">IF(ISERROR(AI79+AJ124),"n.a.",AI79+AJ124)</f>
        <v>0</v>
      </c>
      <c r="AK79" s="48">
        <f t="shared" si="738"/>
        <v>0</v>
      </c>
      <c r="AL79" s="48">
        <f t="shared" si="738"/>
        <v>0</v>
      </c>
      <c r="AM79" s="48">
        <f t="shared" si="738"/>
        <v>0</v>
      </c>
      <c r="AN79" s="48">
        <f t="shared" si="738"/>
        <v>0</v>
      </c>
      <c r="AO79" s="48">
        <f t="shared" si="738"/>
        <v>0</v>
      </c>
      <c r="AP79" s="48">
        <f t="shared" si="738"/>
        <v>0</v>
      </c>
      <c r="AQ79" s="48">
        <f t="shared" si="738"/>
        <v>0</v>
      </c>
      <c r="AR79" s="48">
        <f t="shared" si="738"/>
        <v>0</v>
      </c>
      <c r="AS79" s="8"/>
      <c r="AT79" s="37" t="str">
        <f t="shared" ref="AT79:AW79" si="739">IF(ISERROR(AT80/AT78),"n.a.",AT80/AT78*AT$5)</f>
        <v>n.a.</v>
      </c>
      <c r="AU79" s="37" t="str">
        <f t="shared" si="739"/>
        <v>n.a.</v>
      </c>
      <c r="AV79" s="37" t="str">
        <f t="shared" si="739"/>
        <v>n.a.</v>
      </c>
      <c r="AW79" s="37" t="str">
        <f t="shared" si="739"/>
        <v>n.a.</v>
      </c>
      <c r="AX79" s="37" t="str">
        <f t="shared" ref="AX79:BC79" si="740">IF(ISERROR(AX80/AX78),"n.a.",AX80/AX78*AX$5)</f>
        <v>n.a.</v>
      </c>
      <c r="AY79" s="37" t="str">
        <f t="shared" si="740"/>
        <v>n.a.</v>
      </c>
      <c r="AZ79" s="37" t="str">
        <f t="shared" si="740"/>
        <v>n.a.</v>
      </c>
      <c r="BA79" s="37" t="str">
        <f t="shared" si="740"/>
        <v>n.a.</v>
      </c>
      <c r="BB79" s="37" t="str">
        <f t="shared" si="740"/>
        <v>n.a.</v>
      </c>
      <c r="BC79" s="37">
        <f t="shared" si="740"/>
        <v>0</v>
      </c>
      <c r="BD79" s="37">
        <f>IF(ISERROR(BD80/BD78),"n.a.",BD80/BD78*BD$5)</f>
        <v>0</v>
      </c>
      <c r="BE79" s="37">
        <f>IF(ISERROR(BE80/BE78),"n.a.",BE80/BE78*BE$5)</f>
        <v>0</v>
      </c>
      <c r="BF79" s="37">
        <f>IF(ISERROR(BF80/BF78),"n.a.",BF80/BF78*BF$5)</f>
        <v>0</v>
      </c>
      <c r="BG79" s="37">
        <f t="shared" ref="BG79:BH79" si="741">IF(ISERROR(BG80/BG78),"n.a.",BG80/BG78*BG$5)</f>
        <v>0</v>
      </c>
      <c r="BH79" s="37">
        <f t="shared" si="741"/>
        <v>0</v>
      </c>
      <c r="BI79" s="38">
        <f t="shared" ref="BI79:BJ79" si="742">IF(ISERROR(BI80/BI78),"n.a.",BI80/BI78*BI$5)</f>
        <v>0</v>
      </c>
      <c r="BJ79" s="37">
        <f t="shared" si="742"/>
        <v>0</v>
      </c>
      <c r="BK79" s="37">
        <f t="shared" ref="BK79:BL79" si="743">IF(ISERROR(BK80/BK78),"n.a.",BK80/BK78*BK$5)</f>
        <v>0</v>
      </c>
      <c r="BL79" s="37">
        <f t="shared" si="743"/>
        <v>0</v>
      </c>
      <c r="BM79" s="37">
        <f t="shared" ref="BM79" si="744">IF(ISERROR(BM80/BM78),"n.a.",BM80/BM78*BM$5)</f>
        <v>0</v>
      </c>
      <c r="BN79" s="37">
        <f>IF(ISERROR(BN80/BN78),"n.a.",BN80/BN78*BO$5)</f>
        <v>0</v>
      </c>
    </row>
    <row r="80" spans="1:66" s="9" customFormat="1" ht="12" customHeight="1" outlineLevel="1">
      <c r="A80" s="91" t="s">
        <v>1117</v>
      </c>
      <c r="B80" s="9" t="s">
        <v>7</v>
      </c>
      <c r="C80" s="61">
        <v>-44</v>
      </c>
      <c r="D80" s="61">
        <f>-103-C80</f>
        <v>-59</v>
      </c>
      <c r="E80" s="61">
        <v>-24</v>
      </c>
      <c r="F80" s="61">
        <f>1-E80</f>
        <v>25</v>
      </c>
      <c r="G80" s="61">
        <v>57</v>
      </c>
      <c r="H80" s="61">
        <v>9</v>
      </c>
      <c r="I80" s="61">
        <v>0</v>
      </c>
      <c r="J80" s="61">
        <v>0</v>
      </c>
      <c r="K80" s="61">
        <v>0</v>
      </c>
      <c r="L80" s="61">
        <v>0</v>
      </c>
      <c r="M80" s="61">
        <v>0</v>
      </c>
      <c r="N80" s="61">
        <v>0</v>
      </c>
      <c r="O80" s="61">
        <v>0</v>
      </c>
      <c r="P80" s="61">
        <v>0</v>
      </c>
      <c r="Q80" s="61">
        <v>0</v>
      </c>
      <c r="R80" s="61">
        <v>0</v>
      </c>
      <c r="S80" s="61">
        <v>0</v>
      </c>
      <c r="T80" s="61">
        <v>0</v>
      </c>
      <c r="U80" s="61">
        <v>0</v>
      </c>
      <c r="V80" s="61">
        <v>0</v>
      </c>
      <c r="W80" s="61">
        <v>0</v>
      </c>
      <c r="X80" s="61">
        <v>0</v>
      </c>
      <c r="Y80" s="61">
        <v>0</v>
      </c>
      <c r="Z80" s="61">
        <v>0</v>
      </c>
      <c r="AA80" s="61">
        <v>0</v>
      </c>
      <c r="AB80" s="61">
        <v>0</v>
      </c>
      <c r="AC80" s="61">
        <v>0</v>
      </c>
      <c r="AD80" s="61">
        <v>0</v>
      </c>
      <c r="AE80" s="61">
        <v>0</v>
      </c>
      <c r="AF80" s="61">
        <v>0</v>
      </c>
      <c r="AG80" s="61">
        <v>0</v>
      </c>
      <c r="AH80" s="61">
        <v>0</v>
      </c>
      <c r="AI80" s="338">
        <v>0</v>
      </c>
      <c r="AJ80" s="39">
        <f t="shared" ref="AJ80" si="745">IF(ISERROR(AJ78*AJ79),0,AJ78*AJ79/AJ$5)</f>
        <v>0</v>
      </c>
      <c r="AK80" s="39">
        <f t="shared" ref="AK80:AL80" si="746">IF(ISERROR(AK78*AK79),0,AK78*AK79/AK$5)</f>
        <v>0</v>
      </c>
      <c r="AL80" s="39">
        <f t="shared" si="746"/>
        <v>0</v>
      </c>
      <c r="AM80" s="39">
        <f t="shared" ref="AM80:AN80" si="747">IF(ISERROR(AM78*AM79),0,AM78*AM79/AM$5)</f>
        <v>0</v>
      </c>
      <c r="AN80" s="39">
        <f t="shared" si="747"/>
        <v>0</v>
      </c>
      <c r="AO80" s="39">
        <f t="shared" ref="AO80:AP80" si="748">IF(ISERROR(AO78*AO79),0,AO78*AO79/AO$5)</f>
        <v>0</v>
      </c>
      <c r="AP80" s="39">
        <f t="shared" si="748"/>
        <v>0</v>
      </c>
      <c r="AQ80" s="39">
        <f t="shared" ref="AQ80:AR80" si="749">IF(ISERROR(AQ78*AQ79),0,AQ78*AQ79/AQ$5)</f>
        <v>0</v>
      </c>
      <c r="AR80" s="39">
        <f t="shared" si="749"/>
        <v>0</v>
      </c>
      <c r="AS80" s="74"/>
      <c r="AT80" s="39">
        <f t="shared" ref="AT80:AT87" si="750">C80+D80</f>
        <v>-103</v>
      </c>
      <c r="AU80" s="39">
        <f t="shared" ref="AU80:AU87" si="751">E80+F80</f>
        <v>1</v>
      </c>
      <c r="AV80" s="39">
        <f t="shared" ref="AV80:AV87" si="752">G80+H80</f>
        <v>66</v>
      </c>
      <c r="AW80" s="39">
        <f t="shared" ref="AW80:AW87" si="753">I80+J80</f>
        <v>0</v>
      </c>
      <c r="AX80" s="39">
        <f t="shared" ref="AX80:AX87" si="754">K80+L80</f>
        <v>0</v>
      </c>
      <c r="AY80" s="39">
        <f t="shared" ref="AY80:AY87" si="755">M80+N80</f>
        <v>0</v>
      </c>
      <c r="AZ80" s="39">
        <f t="shared" ref="AZ80:AZ87" si="756">O80+P80</f>
        <v>0</v>
      </c>
      <c r="BA80" s="39">
        <f t="shared" ref="BA80:BA87" si="757">Q80+R80</f>
        <v>0</v>
      </c>
      <c r="BB80" s="39">
        <f t="shared" ref="BB80:BB87" si="758">S80+T80</f>
        <v>0</v>
      </c>
      <c r="BC80" s="39">
        <f t="shared" ref="BC80:BC87" si="759">U80+V80</f>
        <v>0</v>
      </c>
      <c r="BD80" s="39">
        <f t="shared" ref="BD80:BD87" si="760">W80+X80</f>
        <v>0</v>
      </c>
      <c r="BE80" s="39">
        <f t="shared" ref="BE80:BE87" si="761">Y80+Z80</f>
        <v>0</v>
      </c>
      <c r="BF80" s="39">
        <f t="shared" ref="BF80:BF87" si="762">AA80+AB80</f>
        <v>0</v>
      </c>
      <c r="BG80" s="39">
        <f t="shared" ref="BG80:BG87" si="763">AC80+AD80</f>
        <v>0</v>
      </c>
      <c r="BH80" s="39">
        <f t="shared" ref="BH80:BH87" si="764">AE80+AF80</f>
        <v>0</v>
      </c>
      <c r="BI80" s="40">
        <f t="shared" ref="BI80:BI87" si="765">AG80+AH80</f>
        <v>0</v>
      </c>
      <c r="BJ80" s="39">
        <f t="shared" ref="BJ80:BJ87" si="766">AI80+AJ80</f>
        <v>0</v>
      </c>
      <c r="BK80" s="39">
        <f t="shared" ref="BK80:BK87" si="767">AK80+AL80</f>
        <v>0</v>
      </c>
      <c r="BL80" s="39">
        <f t="shared" ref="BL80:BL87" si="768">AM80+AN80</f>
        <v>0</v>
      </c>
      <c r="BM80" s="39">
        <f t="shared" ref="BM80:BM87" si="769">AO80+AP80</f>
        <v>0</v>
      </c>
      <c r="BN80" s="39">
        <f t="shared" ref="BN80:BN87" si="770">AQ80+AR80</f>
        <v>0</v>
      </c>
    </row>
    <row r="81" spans="1:66" ht="12" customHeight="1" outlineLevel="1">
      <c r="A81" s="91" t="s">
        <v>1118</v>
      </c>
      <c r="B81" s="1" t="s">
        <v>31</v>
      </c>
      <c r="C81" s="62">
        <f>315-C82</f>
        <v>72</v>
      </c>
      <c r="D81" s="62">
        <f>697-C81-C82-D82</f>
        <v>162</v>
      </c>
      <c r="E81" s="62">
        <f>441-E82</f>
        <v>260</v>
      </c>
      <c r="F81" s="62">
        <f>874-E81-E82-F82</f>
        <v>263</v>
      </c>
      <c r="G81" s="62">
        <f>446-G82</f>
        <v>271</v>
      </c>
      <c r="H81" s="62">
        <f>905-G81-G82-H82</f>
        <v>281</v>
      </c>
      <c r="I81" s="62">
        <f>480-I82</f>
        <v>290</v>
      </c>
      <c r="J81" s="62">
        <f>509-J82</f>
        <v>316</v>
      </c>
      <c r="K81" s="62">
        <f>610-K82</f>
        <v>364</v>
      </c>
      <c r="L81" s="62">
        <f>652-L82</f>
        <v>405</v>
      </c>
      <c r="M81" s="62">
        <f>641-M82</f>
        <v>393</v>
      </c>
      <c r="N81" s="62">
        <f>731-N82</f>
        <v>457</v>
      </c>
      <c r="O81" s="62">
        <f>784-O82</f>
        <v>481</v>
      </c>
      <c r="P81" s="62">
        <f>785-P82</f>
        <v>471</v>
      </c>
      <c r="Q81" s="62">
        <f>790-Q82</f>
        <v>465</v>
      </c>
      <c r="R81" s="62">
        <f>784-R82</f>
        <v>465</v>
      </c>
      <c r="S81" s="62">
        <f>775-S82</f>
        <v>450</v>
      </c>
      <c r="T81" s="62">
        <f>793-T82</f>
        <v>468</v>
      </c>
      <c r="U81" s="62">
        <f>879-U82</f>
        <v>494</v>
      </c>
      <c r="V81" s="62">
        <f>899-V82</f>
        <v>482</v>
      </c>
      <c r="W81" s="62">
        <f>950-W82</f>
        <v>514</v>
      </c>
      <c r="X81" s="62">
        <f>1071-X82</f>
        <v>573</v>
      </c>
      <c r="Y81" s="62">
        <f>971-Y82</f>
        <v>500</v>
      </c>
      <c r="Z81" s="62">
        <f>1014-Z82</f>
        <v>528</v>
      </c>
      <c r="AA81" s="62">
        <f>1362-AA82</f>
        <v>833</v>
      </c>
      <c r="AB81" s="62">
        <v>850</v>
      </c>
      <c r="AC81" s="62">
        <v>787</v>
      </c>
      <c r="AD81" s="62">
        <v>742</v>
      </c>
      <c r="AE81" s="62">
        <v>741</v>
      </c>
      <c r="AF81" s="62">
        <v>733</v>
      </c>
      <c r="AG81" s="62">
        <v>721</v>
      </c>
      <c r="AH81" s="62">
        <v>744</v>
      </c>
      <c r="AI81" s="57">
        <v>716</v>
      </c>
      <c r="AJ81" s="41">
        <f t="shared" ref="AJ81:AR81" si="771">AJ127*AVERAGE(AI115:AJ115)/AJ$5</f>
        <v>492.69846812360322</v>
      </c>
      <c r="AK81" s="41">
        <f t="shared" si="771"/>
        <v>270.1180949562696</v>
      </c>
      <c r="AL81" s="41">
        <f t="shared" si="771"/>
        <v>268.36693197932027</v>
      </c>
      <c r="AM81" s="41">
        <f t="shared" si="771"/>
        <v>269.70071975725375</v>
      </c>
      <c r="AN81" s="41">
        <f t="shared" si="771"/>
        <v>268.05924346978918</v>
      </c>
      <c r="AO81" s="41">
        <f t="shared" si="771"/>
        <v>267.22203282370134</v>
      </c>
      <c r="AP81" s="41">
        <f t="shared" si="771"/>
        <v>263.86253005762944</v>
      </c>
      <c r="AQ81" s="41">
        <f t="shared" si="771"/>
        <v>262.6954521409159</v>
      </c>
      <c r="AR81" s="41">
        <f t="shared" si="771"/>
        <v>258.40812430496658</v>
      </c>
      <c r="AS81" s="8"/>
      <c r="AT81" s="41">
        <f t="shared" si="750"/>
        <v>234</v>
      </c>
      <c r="AU81" s="41">
        <f t="shared" si="751"/>
        <v>523</v>
      </c>
      <c r="AV81" s="41">
        <f t="shared" si="752"/>
        <v>552</v>
      </c>
      <c r="AW81" s="41">
        <f t="shared" si="753"/>
        <v>606</v>
      </c>
      <c r="AX81" s="41">
        <f t="shared" si="754"/>
        <v>769</v>
      </c>
      <c r="AY81" s="41">
        <f t="shared" si="755"/>
        <v>850</v>
      </c>
      <c r="AZ81" s="41">
        <f t="shared" si="756"/>
        <v>952</v>
      </c>
      <c r="BA81" s="41">
        <f t="shared" si="757"/>
        <v>930</v>
      </c>
      <c r="BB81" s="41">
        <f t="shared" si="758"/>
        <v>918</v>
      </c>
      <c r="BC81" s="41">
        <f t="shared" si="759"/>
        <v>976</v>
      </c>
      <c r="BD81" s="41">
        <f t="shared" si="760"/>
        <v>1087</v>
      </c>
      <c r="BE81" s="41">
        <f t="shared" si="761"/>
        <v>1028</v>
      </c>
      <c r="BF81" s="41">
        <f t="shared" si="762"/>
        <v>1683</v>
      </c>
      <c r="BG81" s="41">
        <f t="shared" si="763"/>
        <v>1529</v>
      </c>
      <c r="BH81" s="41">
        <f t="shared" si="764"/>
        <v>1474</v>
      </c>
      <c r="BI81" s="42">
        <f t="shared" si="765"/>
        <v>1465</v>
      </c>
      <c r="BJ81" s="41">
        <f t="shared" si="766"/>
        <v>1208.6984681236031</v>
      </c>
      <c r="BK81" s="41">
        <f t="shared" si="767"/>
        <v>538.48502693558987</v>
      </c>
      <c r="BL81" s="41">
        <f t="shared" si="768"/>
        <v>537.75996322704293</v>
      </c>
      <c r="BM81" s="41">
        <f t="shared" si="769"/>
        <v>531.08456288133084</v>
      </c>
      <c r="BN81" s="41">
        <f t="shared" si="770"/>
        <v>521.10357644588248</v>
      </c>
    </row>
    <row r="82" spans="1:66" ht="12" customHeight="1" outlineLevel="1">
      <c r="A82" s="91" t="s">
        <v>1119</v>
      </c>
      <c r="B82" s="1" t="s">
        <v>30</v>
      </c>
      <c r="C82" s="62">
        <v>243</v>
      </c>
      <c r="D82" s="62">
        <f>463-C82</f>
        <v>220</v>
      </c>
      <c r="E82" s="62">
        <v>181</v>
      </c>
      <c r="F82" s="62">
        <f>351-E82</f>
        <v>170</v>
      </c>
      <c r="G82" s="62">
        <v>175</v>
      </c>
      <c r="H82" s="62">
        <f>353-G82</f>
        <v>178</v>
      </c>
      <c r="I82" s="62">
        <v>190</v>
      </c>
      <c r="J82" s="62">
        <v>193</v>
      </c>
      <c r="K82" s="62">
        <v>246</v>
      </c>
      <c r="L82" s="62">
        <v>247</v>
      </c>
      <c r="M82" s="62">
        <v>248</v>
      </c>
      <c r="N82" s="62">
        <v>274</v>
      </c>
      <c r="O82" s="62">
        <v>303</v>
      </c>
      <c r="P82" s="62">
        <v>314</v>
      </c>
      <c r="Q82" s="62">
        <v>325</v>
      </c>
      <c r="R82" s="62">
        <v>319</v>
      </c>
      <c r="S82" s="62">
        <v>325</v>
      </c>
      <c r="T82" s="62">
        <v>325</v>
      </c>
      <c r="U82" s="62">
        <v>385</v>
      </c>
      <c r="V82" s="62">
        <v>417</v>
      </c>
      <c r="W82" s="62">
        <v>436</v>
      </c>
      <c r="X82" s="62">
        <v>498</v>
      </c>
      <c r="Y82" s="62">
        <v>471</v>
      </c>
      <c r="Z82" s="62">
        <v>486</v>
      </c>
      <c r="AA82" s="62">
        <v>529</v>
      </c>
      <c r="AB82" s="62">
        <v>559</v>
      </c>
      <c r="AC82" s="62">
        <v>591</v>
      </c>
      <c r="AD82" s="62">
        <v>662</v>
      </c>
      <c r="AE82" s="62">
        <v>666</v>
      </c>
      <c r="AF82" s="62">
        <v>734</v>
      </c>
      <c r="AG82" s="62">
        <v>715</v>
      </c>
      <c r="AH82" s="62">
        <v>745</v>
      </c>
      <c r="AI82" s="57">
        <v>749</v>
      </c>
      <c r="AJ82" s="41">
        <f t="shared" ref="AJ82:AR82" si="772">AJ128*(AVERAGE(AI118:AJ118)-AVERAGE(AI119:AJ119))/AJ$5</f>
        <v>768.39141297983952</v>
      </c>
      <c r="AK82" s="41">
        <f t="shared" si="772"/>
        <v>800.94939467692905</v>
      </c>
      <c r="AL82" s="41">
        <f t="shared" si="772"/>
        <v>827.83855719024109</v>
      </c>
      <c r="AM82" s="41">
        <f t="shared" si="772"/>
        <v>846.19022108324975</v>
      </c>
      <c r="AN82" s="41">
        <f t="shared" si="772"/>
        <v>852.9084851844824</v>
      </c>
      <c r="AO82" s="41">
        <f t="shared" si="772"/>
        <v>862.4427092800762</v>
      </c>
      <c r="AP82" s="41">
        <f t="shared" si="772"/>
        <v>861.7053968020781</v>
      </c>
      <c r="AQ82" s="41">
        <f t="shared" si="772"/>
        <v>863.76197791008929</v>
      </c>
      <c r="AR82" s="41">
        <f t="shared" si="772"/>
        <v>853.58068889701633</v>
      </c>
      <c r="AS82" s="8"/>
      <c r="AT82" s="41">
        <f t="shared" si="750"/>
        <v>463</v>
      </c>
      <c r="AU82" s="41">
        <f t="shared" si="751"/>
        <v>351</v>
      </c>
      <c r="AV82" s="41">
        <f t="shared" si="752"/>
        <v>353</v>
      </c>
      <c r="AW82" s="41">
        <f t="shared" si="753"/>
        <v>383</v>
      </c>
      <c r="AX82" s="41">
        <f t="shared" si="754"/>
        <v>493</v>
      </c>
      <c r="AY82" s="41">
        <f t="shared" si="755"/>
        <v>522</v>
      </c>
      <c r="AZ82" s="41">
        <f t="shared" si="756"/>
        <v>617</v>
      </c>
      <c r="BA82" s="41">
        <f t="shared" si="757"/>
        <v>644</v>
      </c>
      <c r="BB82" s="41">
        <f t="shared" si="758"/>
        <v>650</v>
      </c>
      <c r="BC82" s="41">
        <f t="shared" si="759"/>
        <v>802</v>
      </c>
      <c r="BD82" s="41">
        <f t="shared" si="760"/>
        <v>934</v>
      </c>
      <c r="BE82" s="41">
        <f t="shared" si="761"/>
        <v>957</v>
      </c>
      <c r="BF82" s="41">
        <f t="shared" si="762"/>
        <v>1088</v>
      </c>
      <c r="BG82" s="41">
        <f t="shared" si="763"/>
        <v>1253</v>
      </c>
      <c r="BH82" s="41">
        <f t="shared" si="764"/>
        <v>1400</v>
      </c>
      <c r="BI82" s="42">
        <f t="shared" si="765"/>
        <v>1460</v>
      </c>
      <c r="BJ82" s="41">
        <f t="shared" si="766"/>
        <v>1517.3914129798395</v>
      </c>
      <c r="BK82" s="41">
        <f t="shared" si="767"/>
        <v>1628.7879518671702</v>
      </c>
      <c r="BL82" s="41">
        <f t="shared" si="768"/>
        <v>1699.0987062677323</v>
      </c>
      <c r="BM82" s="41">
        <f t="shared" si="769"/>
        <v>1724.1481060821543</v>
      </c>
      <c r="BN82" s="41">
        <f t="shared" si="770"/>
        <v>1717.3426668071056</v>
      </c>
    </row>
    <row r="83" spans="1:66" ht="12" customHeight="1" outlineLevel="1">
      <c r="A83" s="91" t="s">
        <v>1120</v>
      </c>
      <c r="B83" s="1" t="s">
        <v>32</v>
      </c>
      <c r="C83" s="62">
        <f>17-C84</f>
        <v>5</v>
      </c>
      <c r="D83" s="62">
        <f>22-C83-C84-D84</f>
        <v>5</v>
      </c>
      <c r="E83" s="62">
        <f>14-E84</f>
        <v>7</v>
      </c>
      <c r="F83" s="62">
        <f>30-E83-E84-F84</f>
        <v>11</v>
      </c>
      <c r="G83" s="62">
        <f>89-G84</f>
        <v>10</v>
      </c>
      <c r="H83" s="62">
        <f>125-G83-G84-H84</f>
        <v>15</v>
      </c>
      <c r="I83" s="62">
        <f>76-I84</f>
        <v>2</v>
      </c>
      <c r="J83" s="62">
        <f>88-J84</f>
        <v>23</v>
      </c>
      <c r="K83" s="62">
        <f>75-K84</f>
        <v>9</v>
      </c>
      <c r="L83" s="62">
        <f>142-L84</f>
        <v>46</v>
      </c>
      <c r="M83" s="62">
        <f>373-M84</f>
        <v>9</v>
      </c>
      <c r="N83" s="62">
        <f>294-N84</f>
        <v>78</v>
      </c>
      <c r="O83" s="62">
        <f>609-O84</f>
        <v>9</v>
      </c>
      <c r="P83" s="62">
        <f>84-P84</f>
        <v>24</v>
      </c>
      <c r="Q83" s="62">
        <f>170-Q84</f>
        <v>5</v>
      </c>
      <c r="R83" s="62">
        <f>94-R84</f>
        <v>5</v>
      </c>
      <c r="S83" s="62">
        <f>537-S84</f>
        <v>7</v>
      </c>
      <c r="T83" s="62">
        <f>58-T84</f>
        <v>21</v>
      </c>
      <c r="U83" s="62">
        <f>282-U84</f>
        <v>3</v>
      </c>
      <c r="V83" s="62">
        <f>483-V84</f>
        <v>3</v>
      </c>
      <c r="W83" s="62">
        <f>546-W84</f>
        <v>4</v>
      </c>
      <c r="X83" s="62">
        <f>275-X84</f>
        <v>2</v>
      </c>
      <c r="Y83" s="62">
        <f>413-Y84</f>
        <v>2</v>
      </c>
      <c r="Z83" s="62">
        <f>240-Z84</f>
        <v>11</v>
      </c>
      <c r="AA83" s="62">
        <f>177-AA84</f>
        <v>1</v>
      </c>
      <c r="AB83" s="62">
        <v>4</v>
      </c>
      <c r="AC83" s="62">
        <v>0</v>
      </c>
      <c r="AD83" s="62">
        <v>1</v>
      </c>
      <c r="AE83" s="62">
        <v>0</v>
      </c>
      <c r="AF83" s="62">
        <v>0</v>
      </c>
      <c r="AG83" s="62">
        <v>0</v>
      </c>
      <c r="AH83" s="62">
        <v>0</v>
      </c>
      <c r="AI83" s="57">
        <f t="shared" ref="AI83" si="773">AI84/AH84*AH83</f>
        <v>0</v>
      </c>
      <c r="AJ83" s="58">
        <f t="shared" ref="AJ83" si="774">AJ84/AI84*AI83</f>
        <v>0</v>
      </c>
      <c r="AK83" s="58">
        <f t="shared" ref="AK83" si="775">AK84/AJ84*AJ83</f>
        <v>0</v>
      </c>
      <c r="AL83" s="58">
        <f t="shared" ref="AL83" si="776">AL84/AK84*AK83</f>
        <v>0</v>
      </c>
      <c r="AM83" s="58">
        <f t="shared" ref="AM83" si="777">AM84/AL84*AL83</f>
        <v>0</v>
      </c>
      <c r="AN83" s="58">
        <f t="shared" ref="AN83" si="778">AN84/AM84*AM83</f>
        <v>0</v>
      </c>
      <c r="AO83" s="58">
        <f t="shared" ref="AO83" si="779">AO84/AN84*AN83</f>
        <v>0</v>
      </c>
      <c r="AP83" s="58">
        <f t="shared" ref="AP83" si="780">AP84/AO84*AO83</f>
        <v>0</v>
      </c>
      <c r="AQ83" s="58">
        <f t="shared" ref="AQ83" si="781">AQ84/AP84*AP83</f>
        <v>0</v>
      </c>
      <c r="AR83" s="58">
        <f t="shared" ref="AR83" si="782">AR84/AQ84*AQ83</f>
        <v>0</v>
      </c>
      <c r="AS83" s="8"/>
      <c r="AT83" s="41">
        <f t="shared" si="750"/>
        <v>10</v>
      </c>
      <c r="AU83" s="41">
        <f t="shared" si="751"/>
        <v>18</v>
      </c>
      <c r="AV83" s="41">
        <f t="shared" si="752"/>
        <v>25</v>
      </c>
      <c r="AW83" s="41">
        <f t="shared" si="753"/>
        <v>25</v>
      </c>
      <c r="AX83" s="41">
        <f t="shared" si="754"/>
        <v>55</v>
      </c>
      <c r="AY83" s="41">
        <f t="shared" si="755"/>
        <v>87</v>
      </c>
      <c r="AZ83" s="41">
        <f t="shared" si="756"/>
        <v>33</v>
      </c>
      <c r="BA83" s="41">
        <f t="shared" si="757"/>
        <v>10</v>
      </c>
      <c r="BB83" s="41">
        <f t="shared" si="758"/>
        <v>28</v>
      </c>
      <c r="BC83" s="41">
        <f t="shared" si="759"/>
        <v>6</v>
      </c>
      <c r="BD83" s="41">
        <f t="shared" si="760"/>
        <v>6</v>
      </c>
      <c r="BE83" s="41">
        <f t="shared" si="761"/>
        <v>13</v>
      </c>
      <c r="BF83" s="41">
        <f t="shared" si="762"/>
        <v>5</v>
      </c>
      <c r="BG83" s="41">
        <f t="shared" si="763"/>
        <v>1</v>
      </c>
      <c r="BH83" s="41">
        <f t="shared" si="764"/>
        <v>0</v>
      </c>
      <c r="BI83" s="42">
        <f t="shared" si="765"/>
        <v>0</v>
      </c>
      <c r="BJ83" s="41">
        <f t="shared" si="766"/>
        <v>0</v>
      </c>
      <c r="BK83" s="41">
        <f t="shared" si="767"/>
        <v>0</v>
      </c>
      <c r="BL83" s="41">
        <f t="shared" si="768"/>
        <v>0</v>
      </c>
      <c r="BM83" s="41">
        <f t="shared" si="769"/>
        <v>0</v>
      </c>
      <c r="BN83" s="41">
        <f t="shared" si="770"/>
        <v>0</v>
      </c>
    </row>
    <row r="84" spans="1:66" ht="12" customHeight="1" outlineLevel="1">
      <c r="A84" s="91" t="s">
        <v>1121</v>
      </c>
      <c r="B84" s="1" t="s">
        <v>33</v>
      </c>
      <c r="C84" s="62">
        <v>12</v>
      </c>
      <c r="D84" s="62">
        <f>12-C84</f>
        <v>0</v>
      </c>
      <c r="E84" s="62">
        <v>7</v>
      </c>
      <c r="F84" s="62">
        <f>12-E84</f>
        <v>5</v>
      </c>
      <c r="G84" s="62">
        <v>79</v>
      </c>
      <c r="H84" s="62">
        <f>100-G84</f>
        <v>21</v>
      </c>
      <c r="I84" s="62">
        <v>74</v>
      </c>
      <c r="J84" s="62">
        <v>65</v>
      </c>
      <c r="K84" s="62">
        <v>66</v>
      </c>
      <c r="L84" s="62">
        <v>96</v>
      </c>
      <c r="M84" s="62">
        <v>364</v>
      </c>
      <c r="N84" s="62">
        <v>216</v>
      </c>
      <c r="O84" s="62">
        <v>600</v>
      </c>
      <c r="P84" s="62">
        <v>60</v>
      </c>
      <c r="Q84" s="62">
        <v>165</v>
      </c>
      <c r="R84" s="62">
        <v>89</v>
      </c>
      <c r="S84" s="62">
        <v>530</v>
      </c>
      <c r="T84" s="62">
        <v>37</v>
      </c>
      <c r="U84" s="62">
        <v>279</v>
      </c>
      <c r="V84" s="62">
        <v>480</v>
      </c>
      <c r="W84" s="62">
        <v>542</v>
      </c>
      <c r="X84" s="62">
        <v>273</v>
      </c>
      <c r="Y84" s="62">
        <v>411</v>
      </c>
      <c r="Z84" s="62">
        <v>229</v>
      </c>
      <c r="AA84" s="62">
        <v>176</v>
      </c>
      <c r="AB84" s="62">
        <v>213</v>
      </c>
      <c r="AC84" s="62">
        <v>237</v>
      </c>
      <c r="AD84" s="62">
        <v>454</v>
      </c>
      <c r="AE84" s="62">
        <v>236</v>
      </c>
      <c r="AF84" s="62">
        <v>395</v>
      </c>
      <c r="AG84" s="62">
        <v>403</v>
      </c>
      <c r="AH84" s="62">
        <v>434</v>
      </c>
      <c r="AI84" s="57">
        <v>756</v>
      </c>
      <c r="AJ84" s="58">
        <f>0.65%*AVERAGE(AI118:AJ118)/AJ$5</f>
        <v>737.27088942157832</v>
      </c>
      <c r="AK84" s="58">
        <f>0.575%*AVERAGE(AJ118:AK118)/AK$5</f>
        <v>679.83598544359006</v>
      </c>
      <c r="AL84" s="58">
        <f>0.55%*AVERAGE(AK118:AL118)/AL$5</f>
        <v>672.10877660667211</v>
      </c>
      <c r="AM84" s="58">
        <f t="shared" ref="AM84:AR84" si="783">0.55%*AVERAGE(AL118:AM118)/AM$5</f>
        <v>687.00819662123467</v>
      </c>
      <c r="AN84" s="58">
        <f t="shared" si="783"/>
        <v>692.46264692048828</v>
      </c>
      <c r="AO84" s="58">
        <f t="shared" si="783"/>
        <v>700.20332973494044</v>
      </c>
      <c r="AP84" s="58">
        <f t="shared" si="783"/>
        <v>699.60471762239763</v>
      </c>
      <c r="AQ84" s="58">
        <f t="shared" si="783"/>
        <v>701.27442266390869</v>
      </c>
      <c r="AR84" s="58">
        <f t="shared" si="783"/>
        <v>693.00839827615744</v>
      </c>
      <c r="AS84" s="8"/>
      <c r="AT84" s="41">
        <f t="shared" si="750"/>
        <v>12</v>
      </c>
      <c r="AU84" s="41">
        <f t="shared" si="751"/>
        <v>12</v>
      </c>
      <c r="AV84" s="41">
        <f t="shared" si="752"/>
        <v>100</v>
      </c>
      <c r="AW84" s="41">
        <f t="shared" si="753"/>
        <v>139</v>
      </c>
      <c r="AX84" s="41">
        <f t="shared" si="754"/>
        <v>162</v>
      </c>
      <c r="AY84" s="41">
        <f t="shared" si="755"/>
        <v>580</v>
      </c>
      <c r="AZ84" s="41">
        <f t="shared" si="756"/>
        <v>660</v>
      </c>
      <c r="BA84" s="41">
        <f t="shared" si="757"/>
        <v>254</v>
      </c>
      <c r="BB84" s="41">
        <f t="shared" si="758"/>
        <v>567</v>
      </c>
      <c r="BC84" s="41">
        <f t="shared" si="759"/>
        <v>759</v>
      </c>
      <c r="BD84" s="41">
        <f t="shared" si="760"/>
        <v>815</v>
      </c>
      <c r="BE84" s="41">
        <f t="shared" si="761"/>
        <v>640</v>
      </c>
      <c r="BF84" s="41">
        <f t="shared" si="762"/>
        <v>389</v>
      </c>
      <c r="BG84" s="41">
        <f t="shared" si="763"/>
        <v>691</v>
      </c>
      <c r="BH84" s="41">
        <f t="shared" si="764"/>
        <v>631</v>
      </c>
      <c r="BI84" s="42">
        <f t="shared" si="765"/>
        <v>837</v>
      </c>
      <c r="BJ84" s="41">
        <f t="shared" si="766"/>
        <v>1493.2708894215784</v>
      </c>
      <c r="BK84" s="41">
        <f t="shared" si="767"/>
        <v>1351.9447620502622</v>
      </c>
      <c r="BL84" s="41">
        <f t="shared" si="768"/>
        <v>1379.4708435417228</v>
      </c>
      <c r="BM84" s="41">
        <f t="shared" si="769"/>
        <v>1399.8080473573382</v>
      </c>
      <c r="BN84" s="41">
        <f t="shared" si="770"/>
        <v>1394.2828209400661</v>
      </c>
    </row>
    <row r="85" spans="1:66" ht="12" customHeight="1" outlineLevel="1">
      <c r="A85" s="91" t="s">
        <v>1122</v>
      </c>
      <c r="B85" s="1" t="s">
        <v>20</v>
      </c>
      <c r="C85" s="62">
        <v>20</v>
      </c>
      <c r="D85" s="62">
        <f>39-C85</f>
        <v>19</v>
      </c>
      <c r="E85" s="62">
        <v>3</v>
      </c>
      <c r="F85" s="62">
        <f>21-E85</f>
        <v>18</v>
      </c>
      <c r="G85" s="62">
        <v>2</v>
      </c>
      <c r="H85" s="62">
        <f>7-G85</f>
        <v>5</v>
      </c>
      <c r="I85" s="62">
        <v>0</v>
      </c>
      <c r="J85" s="62">
        <v>1</v>
      </c>
      <c r="K85" s="62">
        <v>0</v>
      </c>
      <c r="L85" s="62">
        <v>0</v>
      </c>
      <c r="M85" s="62">
        <v>0</v>
      </c>
      <c r="N85" s="62">
        <v>0</v>
      </c>
      <c r="O85" s="62">
        <v>0</v>
      </c>
      <c r="P85" s="62">
        <v>0</v>
      </c>
      <c r="Q85" s="62">
        <v>0</v>
      </c>
      <c r="R85" s="62">
        <v>0</v>
      </c>
      <c r="S85" s="62">
        <v>0</v>
      </c>
      <c r="T85" s="62">
        <v>0</v>
      </c>
      <c r="U85" s="62">
        <v>0</v>
      </c>
      <c r="V85" s="62">
        <v>0</v>
      </c>
      <c r="W85" s="62">
        <v>0</v>
      </c>
      <c r="X85" s="62">
        <v>0</v>
      </c>
      <c r="Y85" s="62">
        <v>0</v>
      </c>
      <c r="Z85" s="62">
        <v>0</v>
      </c>
      <c r="AA85" s="62">
        <v>0</v>
      </c>
      <c r="AB85" s="62">
        <v>0</v>
      </c>
      <c r="AC85" s="62">
        <v>0</v>
      </c>
      <c r="AD85" s="62">
        <v>0</v>
      </c>
      <c r="AE85" s="62">
        <v>0</v>
      </c>
      <c r="AF85" s="62">
        <v>0</v>
      </c>
      <c r="AG85" s="62">
        <v>0</v>
      </c>
      <c r="AH85" s="62">
        <v>0</v>
      </c>
      <c r="AI85" s="57">
        <v>0</v>
      </c>
      <c r="AJ85" s="41">
        <f t="shared" ref="AJ85:AR85" si="784">IF(ISERROR(AI85*(1+AJ129)),0,AI85*(1+AJ129))</f>
        <v>0</v>
      </c>
      <c r="AK85" s="41">
        <f t="shared" si="784"/>
        <v>0</v>
      </c>
      <c r="AL85" s="41">
        <f t="shared" si="784"/>
        <v>0</v>
      </c>
      <c r="AM85" s="41">
        <f t="shared" si="784"/>
        <v>0</v>
      </c>
      <c r="AN85" s="41">
        <f t="shared" si="784"/>
        <v>0</v>
      </c>
      <c r="AO85" s="41">
        <f t="shared" si="784"/>
        <v>0</v>
      </c>
      <c r="AP85" s="41">
        <f t="shared" si="784"/>
        <v>0</v>
      </c>
      <c r="AQ85" s="41">
        <f t="shared" si="784"/>
        <v>0</v>
      </c>
      <c r="AR85" s="41">
        <f t="shared" si="784"/>
        <v>0</v>
      </c>
      <c r="AS85" s="8"/>
      <c r="AT85" s="41">
        <f t="shared" si="750"/>
        <v>39</v>
      </c>
      <c r="AU85" s="41">
        <f t="shared" si="751"/>
        <v>21</v>
      </c>
      <c r="AV85" s="41">
        <f t="shared" si="752"/>
        <v>7</v>
      </c>
      <c r="AW85" s="41">
        <f t="shared" si="753"/>
        <v>1</v>
      </c>
      <c r="AX85" s="41">
        <f t="shared" si="754"/>
        <v>0</v>
      </c>
      <c r="AY85" s="41">
        <f t="shared" si="755"/>
        <v>0</v>
      </c>
      <c r="AZ85" s="41">
        <f t="shared" si="756"/>
        <v>0</v>
      </c>
      <c r="BA85" s="41">
        <f t="shared" si="757"/>
        <v>0</v>
      </c>
      <c r="BB85" s="41">
        <f t="shared" si="758"/>
        <v>0</v>
      </c>
      <c r="BC85" s="41">
        <f t="shared" si="759"/>
        <v>0</v>
      </c>
      <c r="BD85" s="41">
        <f t="shared" si="760"/>
        <v>0</v>
      </c>
      <c r="BE85" s="41">
        <f t="shared" si="761"/>
        <v>0</v>
      </c>
      <c r="BF85" s="41">
        <f t="shared" si="762"/>
        <v>0</v>
      </c>
      <c r="BG85" s="41">
        <f t="shared" si="763"/>
        <v>0</v>
      </c>
      <c r="BH85" s="41">
        <f t="shared" si="764"/>
        <v>0</v>
      </c>
      <c r="BI85" s="42">
        <f t="shared" si="765"/>
        <v>0</v>
      </c>
      <c r="BJ85" s="41">
        <f t="shared" si="766"/>
        <v>0</v>
      </c>
      <c r="BK85" s="41">
        <f t="shared" si="767"/>
        <v>0</v>
      </c>
      <c r="BL85" s="41">
        <f t="shared" si="768"/>
        <v>0</v>
      </c>
      <c r="BM85" s="41">
        <f t="shared" si="769"/>
        <v>0</v>
      </c>
      <c r="BN85" s="41">
        <f t="shared" si="770"/>
        <v>0</v>
      </c>
    </row>
    <row r="86" spans="1:66" ht="12" customHeight="1" outlineLevel="1">
      <c r="A86" s="91" t="s">
        <v>1131</v>
      </c>
      <c r="B86" s="1" t="s">
        <v>19</v>
      </c>
      <c r="C86" s="62">
        <v>16</v>
      </c>
      <c r="D86" s="62">
        <f>33-C86</f>
        <v>17</v>
      </c>
      <c r="E86" s="62">
        <v>18</v>
      </c>
      <c r="F86" s="62">
        <f>33-E86</f>
        <v>15</v>
      </c>
      <c r="G86" s="62">
        <v>14</v>
      </c>
      <c r="H86" s="62">
        <f>26-G86</f>
        <v>12</v>
      </c>
      <c r="I86" s="62">
        <v>15</v>
      </c>
      <c r="J86" s="62">
        <v>12</v>
      </c>
      <c r="K86" s="62">
        <v>16</v>
      </c>
      <c r="L86" s="62">
        <v>16</v>
      </c>
      <c r="M86" s="62">
        <v>15</v>
      </c>
      <c r="N86" s="62">
        <v>0</v>
      </c>
      <c r="O86" s="62">
        <v>0</v>
      </c>
      <c r="P86" s="62">
        <v>0</v>
      </c>
      <c r="Q86" s="62">
        <v>0</v>
      </c>
      <c r="R86" s="62">
        <v>0</v>
      </c>
      <c r="S86" s="62">
        <v>0</v>
      </c>
      <c r="T86" s="62">
        <v>0</v>
      </c>
      <c r="U86" s="62">
        <v>0</v>
      </c>
      <c r="V86" s="62">
        <v>0</v>
      </c>
      <c r="W86" s="62">
        <v>0</v>
      </c>
      <c r="X86" s="62">
        <v>0</v>
      </c>
      <c r="Y86" s="62">
        <v>0</v>
      </c>
      <c r="Z86" s="62">
        <v>0</v>
      </c>
      <c r="AA86" s="62">
        <v>0</v>
      </c>
      <c r="AB86" s="62">
        <v>0</v>
      </c>
      <c r="AC86" s="62">
        <v>0</v>
      </c>
      <c r="AD86" s="62">
        <v>0</v>
      </c>
      <c r="AE86" s="62">
        <v>0</v>
      </c>
      <c r="AF86" s="62">
        <v>0</v>
      </c>
      <c r="AG86" s="62">
        <v>0</v>
      </c>
      <c r="AH86" s="62">
        <v>0</v>
      </c>
      <c r="AI86" s="57">
        <v>0</v>
      </c>
      <c r="AJ86" s="41">
        <f t="shared" ref="AJ86:AR86" si="785">IF(ISERROR(AI86*(1+AJ130)),0,AI86*(1+AJ130))</f>
        <v>0</v>
      </c>
      <c r="AK86" s="41">
        <f t="shared" si="785"/>
        <v>0</v>
      </c>
      <c r="AL86" s="41">
        <f t="shared" si="785"/>
        <v>0</v>
      </c>
      <c r="AM86" s="41">
        <f t="shared" si="785"/>
        <v>0</v>
      </c>
      <c r="AN86" s="41">
        <f t="shared" si="785"/>
        <v>0</v>
      </c>
      <c r="AO86" s="41">
        <f t="shared" si="785"/>
        <v>0</v>
      </c>
      <c r="AP86" s="41">
        <f t="shared" si="785"/>
        <v>0</v>
      </c>
      <c r="AQ86" s="41">
        <f t="shared" si="785"/>
        <v>0</v>
      </c>
      <c r="AR86" s="41">
        <f t="shared" si="785"/>
        <v>0</v>
      </c>
      <c r="AS86" s="8"/>
      <c r="AT86" s="41">
        <f t="shared" si="750"/>
        <v>33</v>
      </c>
      <c r="AU86" s="41">
        <f t="shared" si="751"/>
        <v>33</v>
      </c>
      <c r="AV86" s="41">
        <f t="shared" si="752"/>
        <v>26</v>
      </c>
      <c r="AW86" s="41">
        <f t="shared" si="753"/>
        <v>27</v>
      </c>
      <c r="AX86" s="41">
        <f t="shared" si="754"/>
        <v>32</v>
      </c>
      <c r="AY86" s="41">
        <f t="shared" si="755"/>
        <v>15</v>
      </c>
      <c r="AZ86" s="41">
        <f t="shared" si="756"/>
        <v>0</v>
      </c>
      <c r="BA86" s="41">
        <f t="shared" si="757"/>
        <v>0</v>
      </c>
      <c r="BB86" s="41">
        <f t="shared" si="758"/>
        <v>0</v>
      </c>
      <c r="BC86" s="41">
        <f t="shared" si="759"/>
        <v>0</v>
      </c>
      <c r="BD86" s="41">
        <f t="shared" si="760"/>
        <v>0</v>
      </c>
      <c r="BE86" s="41">
        <f t="shared" si="761"/>
        <v>0</v>
      </c>
      <c r="BF86" s="41">
        <f t="shared" si="762"/>
        <v>0</v>
      </c>
      <c r="BG86" s="41">
        <f t="shared" si="763"/>
        <v>0</v>
      </c>
      <c r="BH86" s="41">
        <f t="shared" si="764"/>
        <v>0</v>
      </c>
      <c r="BI86" s="42">
        <f t="shared" si="765"/>
        <v>0</v>
      </c>
      <c r="BJ86" s="41">
        <f t="shared" si="766"/>
        <v>0</v>
      </c>
      <c r="BK86" s="41">
        <f t="shared" si="767"/>
        <v>0</v>
      </c>
      <c r="BL86" s="41">
        <f t="shared" si="768"/>
        <v>0</v>
      </c>
      <c r="BM86" s="41">
        <f t="shared" si="769"/>
        <v>0</v>
      </c>
      <c r="BN86" s="41">
        <f t="shared" si="770"/>
        <v>0</v>
      </c>
    </row>
    <row r="87" spans="1:66" ht="12" customHeight="1" outlineLevel="1">
      <c r="A87" s="91" t="s">
        <v>1123</v>
      </c>
      <c r="B87" s="1" t="s">
        <v>29</v>
      </c>
      <c r="C87" s="59">
        <f t="shared" ref="C87:H87" si="786">C88-C81-C82-C83-C84-C85-C86</f>
        <v>45</v>
      </c>
      <c r="D87" s="59">
        <f t="shared" si="786"/>
        <v>75</v>
      </c>
      <c r="E87" s="59">
        <f t="shared" si="786"/>
        <v>152</v>
      </c>
      <c r="F87" s="59">
        <f t="shared" si="786"/>
        <v>51</v>
      </c>
      <c r="G87" s="59">
        <f t="shared" si="786"/>
        <v>97</v>
      </c>
      <c r="H87" s="59">
        <f t="shared" si="786"/>
        <v>93</v>
      </c>
      <c r="I87" s="59">
        <f t="shared" ref="I87:O87" si="787">I88-I81-I82-I83-I84-I85-I86</f>
        <v>93</v>
      </c>
      <c r="J87" s="59">
        <f t="shared" si="787"/>
        <v>168</v>
      </c>
      <c r="K87" s="59">
        <f t="shared" si="787"/>
        <v>104</v>
      </c>
      <c r="L87" s="59">
        <f t="shared" si="787"/>
        <v>105</v>
      </c>
      <c r="M87" s="41">
        <f t="shared" si="787"/>
        <v>90</v>
      </c>
      <c r="N87" s="41">
        <f t="shared" si="787"/>
        <v>128</v>
      </c>
      <c r="O87" s="41">
        <f t="shared" si="787"/>
        <v>124</v>
      </c>
      <c r="P87" s="41">
        <f t="shared" ref="P87:Q87" si="788">P88-P81-P82-P83-P84-P85-P86</f>
        <v>118</v>
      </c>
      <c r="Q87" s="41">
        <f t="shared" si="788"/>
        <v>105</v>
      </c>
      <c r="R87" s="41">
        <f t="shared" ref="R87:S87" si="789">R88-R81-R82-R83-R84-R85-R86</f>
        <v>124</v>
      </c>
      <c r="S87" s="41">
        <f t="shared" si="789"/>
        <v>104</v>
      </c>
      <c r="T87" s="41">
        <f t="shared" ref="T87:U87" si="790">T88-T81-T82-T83-T84-T85-T86</f>
        <v>108</v>
      </c>
      <c r="U87" s="41">
        <f t="shared" si="790"/>
        <v>131</v>
      </c>
      <c r="V87" s="41">
        <f t="shared" ref="V87:W87" si="791">V88-V81-V82-V83-V84-V85-V86</f>
        <v>156</v>
      </c>
      <c r="W87" s="41">
        <f t="shared" si="791"/>
        <v>152</v>
      </c>
      <c r="X87" s="41">
        <f t="shared" ref="X87:Y87" si="792">X88-X81-X82-X83-X84-X85-X86</f>
        <v>213</v>
      </c>
      <c r="Y87" s="41">
        <f t="shared" si="792"/>
        <v>121</v>
      </c>
      <c r="Z87" s="41">
        <f t="shared" ref="Z87:AA87" si="793">Z88-Z81-Z82-Z83-Z84-Z85-Z86</f>
        <v>162</v>
      </c>
      <c r="AA87" s="41">
        <f t="shared" si="793"/>
        <v>604</v>
      </c>
      <c r="AB87" s="41">
        <f t="shared" ref="AB87:AC87" si="794">AB88-AB81-AB82-AB83-AB84-AB85-AB86</f>
        <v>294</v>
      </c>
      <c r="AC87" s="41">
        <f t="shared" si="794"/>
        <v>267</v>
      </c>
      <c r="AD87" s="41">
        <f t="shared" ref="AD87:AE87" si="795">AD88-AD81-AD82-AD83-AD84-AD85-AD86</f>
        <v>367</v>
      </c>
      <c r="AE87" s="41">
        <f t="shared" si="795"/>
        <v>212</v>
      </c>
      <c r="AF87" s="41">
        <f t="shared" ref="AF87:AG87" si="796">AF88-AF81-AF82-AF83-AF84-AF85-AF86</f>
        <v>224</v>
      </c>
      <c r="AG87" s="41">
        <f t="shared" si="796"/>
        <v>208</v>
      </c>
      <c r="AH87" s="41">
        <f t="shared" ref="AH87:AI87" si="797">AH88-AH81-AH82-AH83-AH84-AH85-AH86</f>
        <v>240</v>
      </c>
      <c r="AI87" s="42">
        <f t="shared" si="797"/>
        <v>194</v>
      </c>
      <c r="AJ87" s="41">
        <f t="shared" ref="AJ87:AR87" si="798">IF(ISERROR(AH87*(1+AJ131)),0,AH87*(1+AJ131))</f>
        <v>252</v>
      </c>
      <c r="AK87" s="41">
        <f t="shared" si="798"/>
        <v>199.82</v>
      </c>
      <c r="AL87" s="41">
        <f t="shared" si="798"/>
        <v>259.56</v>
      </c>
      <c r="AM87" s="41">
        <f t="shared" si="798"/>
        <v>205.81459999999998</v>
      </c>
      <c r="AN87" s="41">
        <f t="shared" si="798"/>
        <v>267.34680000000003</v>
      </c>
      <c r="AO87" s="41">
        <f t="shared" si="798"/>
        <v>211.98903799999999</v>
      </c>
      <c r="AP87" s="41">
        <f t="shared" si="798"/>
        <v>275.36720400000002</v>
      </c>
      <c r="AQ87" s="41">
        <f t="shared" si="798"/>
        <v>218.34870914000001</v>
      </c>
      <c r="AR87" s="41">
        <f t="shared" si="798"/>
        <v>283.62822012000004</v>
      </c>
      <c r="AS87" s="8"/>
      <c r="AT87" s="41">
        <f t="shared" si="750"/>
        <v>120</v>
      </c>
      <c r="AU87" s="41">
        <f t="shared" si="751"/>
        <v>203</v>
      </c>
      <c r="AV87" s="41">
        <f t="shared" si="752"/>
        <v>190</v>
      </c>
      <c r="AW87" s="41">
        <f t="shared" si="753"/>
        <v>261</v>
      </c>
      <c r="AX87" s="41">
        <f t="shared" si="754"/>
        <v>209</v>
      </c>
      <c r="AY87" s="41">
        <f t="shared" si="755"/>
        <v>218</v>
      </c>
      <c r="AZ87" s="41">
        <f t="shared" si="756"/>
        <v>242</v>
      </c>
      <c r="BA87" s="41">
        <f t="shared" si="757"/>
        <v>229</v>
      </c>
      <c r="BB87" s="41">
        <f t="shared" si="758"/>
        <v>212</v>
      </c>
      <c r="BC87" s="41">
        <f t="shared" si="759"/>
        <v>287</v>
      </c>
      <c r="BD87" s="41">
        <f t="shared" si="760"/>
        <v>365</v>
      </c>
      <c r="BE87" s="41">
        <f t="shared" si="761"/>
        <v>283</v>
      </c>
      <c r="BF87" s="41">
        <f t="shared" si="762"/>
        <v>898</v>
      </c>
      <c r="BG87" s="41">
        <f t="shared" si="763"/>
        <v>634</v>
      </c>
      <c r="BH87" s="41">
        <f t="shared" si="764"/>
        <v>436</v>
      </c>
      <c r="BI87" s="42">
        <f t="shared" si="765"/>
        <v>448</v>
      </c>
      <c r="BJ87" s="41">
        <f t="shared" si="766"/>
        <v>446</v>
      </c>
      <c r="BK87" s="41">
        <f t="shared" si="767"/>
        <v>459.38</v>
      </c>
      <c r="BL87" s="41">
        <f t="shared" si="768"/>
        <v>473.16140000000001</v>
      </c>
      <c r="BM87" s="41">
        <f t="shared" si="769"/>
        <v>487.35624200000001</v>
      </c>
      <c r="BN87" s="41">
        <f t="shared" si="770"/>
        <v>501.97692926000002</v>
      </c>
    </row>
    <row r="88" spans="1:66" ht="12" customHeight="1" outlineLevel="1">
      <c r="A88" s="91" t="s">
        <v>1124</v>
      </c>
      <c r="B88" s="9" t="s">
        <v>118</v>
      </c>
      <c r="C88" s="61">
        <v>413</v>
      </c>
      <c r="D88" s="61">
        <f>911-C88</f>
        <v>498</v>
      </c>
      <c r="E88" s="61">
        <v>628</v>
      </c>
      <c r="F88" s="61">
        <f>1161-E88</f>
        <v>533</v>
      </c>
      <c r="G88" s="61">
        <v>648</v>
      </c>
      <c r="H88" s="61">
        <f>1253-G88</f>
        <v>605</v>
      </c>
      <c r="I88" s="61">
        <v>664</v>
      </c>
      <c r="J88" s="61">
        <v>778</v>
      </c>
      <c r="K88" s="61">
        <v>805</v>
      </c>
      <c r="L88" s="61">
        <v>915</v>
      </c>
      <c r="M88" s="61">
        <v>1119</v>
      </c>
      <c r="N88" s="61">
        <v>1153</v>
      </c>
      <c r="O88" s="61">
        <v>1517</v>
      </c>
      <c r="P88" s="61">
        <v>987</v>
      </c>
      <c r="Q88" s="61">
        <v>1065</v>
      </c>
      <c r="R88" s="61">
        <v>1002</v>
      </c>
      <c r="S88" s="61">
        <v>1416</v>
      </c>
      <c r="T88" s="61">
        <v>959</v>
      </c>
      <c r="U88" s="61">
        <v>1292</v>
      </c>
      <c r="V88" s="61">
        <v>1538</v>
      </c>
      <c r="W88" s="61">
        <v>1648</v>
      </c>
      <c r="X88" s="61">
        <v>1559</v>
      </c>
      <c r="Y88" s="61">
        <v>1505</v>
      </c>
      <c r="Z88" s="61">
        <v>1416</v>
      </c>
      <c r="AA88" s="61">
        <v>2143</v>
      </c>
      <c r="AB88" s="61">
        <v>1920</v>
      </c>
      <c r="AC88" s="61">
        <v>1882</v>
      </c>
      <c r="AD88" s="61">
        <v>2226</v>
      </c>
      <c r="AE88" s="61">
        <v>1855</v>
      </c>
      <c r="AF88" s="61">
        <v>2086</v>
      </c>
      <c r="AG88" s="61">
        <v>2047</v>
      </c>
      <c r="AH88" s="61">
        <v>2163</v>
      </c>
      <c r="AI88" s="338">
        <v>2415</v>
      </c>
      <c r="AJ88" s="39">
        <f t="shared" ref="AJ88" si="799">AJ81+AJ82+AJ83+AJ84+AJ85+AJ86+AJ87</f>
        <v>2250.3607705250211</v>
      </c>
      <c r="AK88" s="39">
        <f t="shared" ref="AK88:AL88" si="800">AK81+AK82+AK83+AK84+AK85+AK86+AK87</f>
        <v>1950.7234750767886</v>
      </c>
      <c r="AL88" s="39">
        <f t="shared" si="800"/>
        <v>2027.8742657762334</v>
      </c>
      <c r="AM88" s="39">
        <f t="shared" ref="AM88:AN88" si="801">AM81+AM82+AM83+AM84+AM85+AM86+AM87</f>
        <v>2008.713737461738</v>
      </c>
      <c r="AN88" s="39">
        <f t="shared" si="801"/>
        <v>2080.7771755747599</v>
      </c>
      <c r="AO88" s="39">
        <f t="shared" ref="AO88:AP88" si="802">AO81+AO82+AO83+AO84+AO85+AO86+AO87</f>
        <v>2041.8571098387181</v>
      </c>
      <c r="AP88" s="39">
        <f t="shared" si="802"/>
        <v>2100.5398484821053</v>
      </c>
      <c r="AQ88" s="39">
        <f t="shared" ref="AQ88:AR88" si="803">AQ81+AQ82+AQ83+AQ84+AQ85+AQ86+AQ87</f>
        <v>2046.0805618549141</v>
      </c>
      <c r="AR88" s="39">
        <f t="shared" si="803"/>
        <v>2088.6254315981405</v>
      </c>
      <c r="AS88" s="8"/>
      <c r="AT88" s="39">
        <f t="shared" ref="AT88:BB88" si="804">AT81+AT82+AT83+AT84+AT85+AT86+AT87</f>
        <v>911</v>
      </c>
      <c r="AU88" s="39">
        <f t="shared" si="804"/>
        <v>1161</v>
      </c>
      <c r="AV88" s="39">
        <f t="shared" si="804"/>
        <v>1253</v>
      </c>
      <c r="AW88" s="39">
        <f t="shared" si="804"/>
        <v>1442</v>
      </c>
      <c r="AX88" s="39">
        <f t="shared" si="804"/>
        <v>1720</v>
      </c>
      <c r="AY88" s="39">
        <f t="shared" si="804"/>
        <v>2272</v>
      </c>
      <c r="AZ88" s="39">
        <f t="shared" si="804"/>
        <v>2504</v>
      </c>
      <c r="BA88" s="39">
        <f t="shared" si="804"/>
        <v>2067</v>
      </c>
      <c r="BB88" s="39">
        <f t="shared" si="804"/>
        <v>2375</v>
      </c>
      <c r="BC88" s="39">
        <f t="shared" ref="BC88" si="805">BC81+BC82+BC83+BC84+BC85+BC86+BC87</f>
        <v>2830</v>
      </c>
      <c r="BD88" s="39">
        <f t="shared" ref="BD88:BI88" si="806">BD81+BD82+BD83+BD84+BD85+BD86+BD87</f>
        <v>3207</v>
      </c>
      <c r="BE88" s="39">
        <f t="shared" si="806"/>
        <v>2921</v>
      </c>
      <c r="BF88" s="39">
        <f t="shared" si="806"/>
        <v>4063</v>
      </c>
      <c r="BG88" s="39">
        <f t="shared" si="806"/>
        <v>4108</v>
      </c>
      <c r="BH88" s="39">
        <f t="shared" si="806"/>
        <v>3941</v>
      </c>
      <c r="BI88" s="40">
        <f t="shared" si="806"/>
        <v>4210</v>
      </c>
      <c r="BJ88" s="39">
        <f t="shared" ref="BJ88:BK88" si="807">BJ81+BJ82+BJ83+BJ84+BJ85+BJ86+BJ87</f>
        <v>4665.3607705250215</v>
      </c>
      <c r="BK88" s="39">
        <f t="shared" si="807"/>
        <v>3978.5977408530225</v>
      </c>
      <c r="BL88" s="39">
        <f t="shared" ref="BL88:BM88" si="808">BL81+BL82+BL83+BL84+BL85+BL86+BL87</f>
        <v>4089.4909130364981</v>
      </c>
      <c r="BM88" s="39">
        <f t="shared" si="808"/>
        <v>4142.3969583208236</v>
      </c>
      <c r="BN88" s="39">
        <f>BN81+BN82+BN83+BN84+BN85+BN86+BN87</f>
        <v>4134.7059934530544</v>
      </c>
    </row>
    <row r="89" spans="1:66" ht="12" customHeight="1" outlineLevel="1">
      <c r="A89" s="91" t="s">
        <v>1125</v>
      </c>
      <c r="B89" s="1" t="s">
        <v>8</v>
      </c>
      <c r="C89" s="62">
        <v>3</v>
      </c>
      <c r="D89" s="62">
        <f>2-C89</f>
        <v>-1</v>
      </c>
      <c r="E89" s="62">
        <v>-1</v>
      </c>
      <c r="F89" s="62">
        <f>12-E89</f>
        <v>13</v>
      </c>
      <c r="G89" s="62">
        <f>92-G80</f>
        <v>35</v>
      </c>
      <c r="H89" s="62">
        <f>110-G89-G80-H80</f>
        <v>9</v>
      </c>
      <c r="I89" s="62">
        <v>7</v>
      </c>
      <c r="J89" s="62">
        <v>-7</v>
      </c>
      <c r="K89" s="62">
        <f>-5-K80</f>
        <v>-5</v>
      </c>
      <c r="L89" s="62">
        <f>-18-L80</f>
        <v>-18</v>
      </c>
      <c r="M89" s="62">
        <f>11-M80</f>
        <v>11</v>
      </c>
      <c r="N89" s="62">
        <v>0</v>
      </c>
      <c r="O89" s="62">
        <v>9</v>
      </c>
      <c r="P89" s="62">
        <v>-24</v>
      </c>
      <c r="Q89" s="62">
        <v>-22</v>
      </c>
      <c r="R89" s="62">
        <v>-20</v>
      </c>
      <c r="S89" s="62">
        <v>-81</v>
      </c>
      <c r="T89" s="62">
        <v>-87</v>
      </c>
      <c r="U89" s="62">
        <v>-217</v>
      </c>
      <c r="V89" s="62">
        <v>-252</v>
      </c>
      <c r="W89" s="62">
        <v>-258</v>
      </c>
      <c r="X89" s="62">
        <v>-144</v>
      </c>
      <c r="Y89" s="62">
        <v>-123</v>
      </c>
      <c r="Z89" s="62">
        <v>-126</v>
      </c>
      <c r="AA89" s="62">
        <v>-135</v>
      </c>
      <c r="AB89" s="62">
        <v>-106</v>
      </c>
      <c r="AC89" s="62">
        <v>-143</v>
      </c>
      <c r="AD89" s="62">
        <v>-253</v>
      </c>
      <c r="AE89" s="62">
        <v>-265</v>
      </c>
      <c r="AF89" s="62">
        <v>-292</v>
      </c>
      <c r="AG89" s="62">
        <v>-293</v>
      </c>
      <c r="AH89" s="62">
        <v>-283</v>
      </c>
      <c r="AI89" s="57">
        <v>-193</v>
      </c>
      <c r="AJ89" s="41">
        <f>IF(ISERROR(AI89*(1+AJ132)),0,AI89*(1+AJ132))*0.9</f>
        <v>-175.43700000000001</v>
      </c>
      <c r="AK89" s="41">
        <f t="shared" ref="AK89:AR89" si="809">IF(ISERROR(AJ89*(1+AK132)),0,AJ89*(1+AK132))</f>
        <v>-177.19137000000001</v>
      </c>
      <c r="AL89" s="41">
        <f t="shared" si="809"/>
        <v>-178.96328370000001</v>
      </c>
      <c r="AM89" s="41">
        <f t="shared" si="809"/>
        <v>-180.752916537</v>
      </c>
      <c r="AN89" s="41">
        <f t="shared" si="809"/>
        <v>-182.56044570237</v>
      </c>
      <c r="AO89" s="41">
        <f t="shared" si="809"/>
        <v>-184.3860501593937</v>
      </c>
      <c r="AP89" s="41">
        <f t="shared" si="809"/>
        <v>-186.22991066098766</v>
      </c>
      <c r="AQ89" s="41">
        <f t="shared" si="809"/>
        <v>-188.09220976759752</v>
      </c>
      <c r="AR89" s="41">
        <f t="shared" si="809"/>
        <v>-189.9731318652735</v>
      </c>
      <c r="AS89" s="8"/>
      <c r="AT89" s="41">
        <f>C89+D89</f>
        <v>2</v>
      </c>
      <c r="AU89" s="41">
        <f>E89+F89</f>
        <v>12</v>
      </c>
      <c r="AV89" s="41">
        <f>G89+H89</f>
        <v>44</v>
      </c>
      <c r="AW89" s="41">
        <f>I89+J89</f>
        <v>0</v>
      </c>
      <c r="AX89" s="41">
        <f>K89+L89</f>
        <v>-23</v>
      </c>
      <c r="AY89" s="41">
        <f>M89+N89</f>
        <v>11</v>
      </c>
      <c r="AZ89" s="41">
        <f>O89+P89</f>
        <v>-15</v>
      </c>
      <c r="BA89" s="41">
        <f>Q89+R89</f>
        <v>-42</v>
      </c>
      <c r="BB89" s="41">
        <f>S89+T89</f>
        <v>-168</v>
      </c>
      <c r="BC89" s="41">
        <f>U89+V89</f>
        <v>-469</v>
      </c>
      <c r="BD89" s="41">
        <f>W89+X89</f>
        <v>-402</v>
      </c>
      <c r="BE89" s="41">
        <f>Y89+Z89</f>
        <v>-249</v>
      </c>
      <c r="BF89" s="41">
        <f>AA89+AB89</f>
        <v>-241</v>
      </c>
      <c r="BG89" s="41">
        <f>AC89+AD89</f>
        <v>-396</v>
      </c>
      <c r="BH89" s="41">
        <f>AE89+AF89</f>
        <v>-557</v>
      </c>
      <c r="BI89" s="42">
        <f>AG89+AH89</f>
        <v>-576</v>
      </c>
      <c r="BJ89" s="41">
        <f>AI89+AJ89</f>
        <v>-368.43700000000001</v>
      </c>
      <c r="BK89" s="41">
        <f>AK89+AL89</f>
        <v>-356.15465370000004</v>
      </c>
      <c r="BL89" s="41">
        <f>AM89+AN89</f>
        <v>-363.31336223937001</v>
      </c>
      <c r="BM89" s="41">
        <f>AO89+AP89</f>
        <v>-370.61596082038136</v>
      </c>
      <c r="BN89" s="41">
        <f>AQ89+AR89</f>
        <v>-378.06534163287103</v>
      </c>
    </row>
    <row r="90" spans="1:66" ht="12" customHeight="1" outlineLevel="1">
      <c r="A90" s="91" t="s">
        <v>1126</v>
      </c>
      <c r="B90" s="1" t="s">
        <v>9</v>
      </c>
      <c r="C90" s="62">
        <v>-153</v>
      </c>
      <c r="D90" s="62">
        <f>-170-C90</f>
        <v>-17</v>
      </c>
      <c r="E90" s="62">
        <v>6</v>
      </c>
      <c r="F90" s="62">
        <f>67-E90</f>
        <v>61</v>
      </c>
      <c r="G90" s="62">
        <v>15</v>
      </c>
      <c r="H90" s="62">
        <f>-13-G90</f>
        <v>-28</v>
      </c>
      <c r="I90" s="62">
        <v>48</v>
      </c>
      <c r="J90" s="62">
        <v>-12</v>
      </c>
      <c r="K90" s="62">
        <v>47</v>
      </c>
      <c r="L90" s="62">
        <v>56</v>
      </c>
      <c r="M90" s="62">
        <v>38</v>
      </c>
      <c r="N90" s="62">
        <v>-25</v>
      </c>
      <c r="O90" s="62">
        <v>-38</v>
      </c>
      <c r="P90" s="62">
        <v>22</v>
      </c>
      <c r="Q90" s="62">
        <v>41</v>
      </c>
      <c r="R90" s="62">
        <v>4</v>
      </c>
      <c r="S90" s="62">
        <v>49</v>
      </c>
      <c r="T90" s="62">
        <v>122</v>
      </c>
      <c r="U90" s="62">
        <v>87</v>
      </c>
      <c r="V90" s="62">
        <v>27</v>
      </c>
      <c r="W90" s="62">
        <v>83</v>
      </c>
      <c r="X90" s="62">
        <v>141</v>
      </c>
      <c r="Y90" s="62">
        <v>-55</v>
      </c>
      <c r="Z90" s="62">
        <v>43</v>
      </c>
      <c r="AA90" s="62">
        <v>185</v>
      </c>
      <c r="AB90" s="62">
        <v>83</v>
      </c>
      <c r="AC90" s="62">
        <v>-33</v>
      </c>
      <c r="AD90" s="62">
        <v>32</v>
      </c>
      <c r="AE90" s="62">
        <v>29</v>
      </c>
      <c r="AF90" s="62">
        <v>25</v>
      </c>
      <c r="AG90" s="62">
        <v>79</v>
      </c>
      <c r="AH90" s="62">
        <v>178</v>
      </c>
      <c r="AI90" s="57">
        <v>44</v>
      </c>
      <c r="AJ90" s="58">
        <f>AI90*(1+1%)</f>
        <v>44.44</v>
      </c>
      <c r="AK90" s="58">
        <f t="shared" ref="AK90:AR90" si="810">AJ90*(1+1%)</f>
        <v>44.884399999999999</v>
      </c>
      <c r="AL90" s="58">
        <f t="shared" si="810"/>
        <v>45.333244000000001</v>
      </c>
      <c r="AM90" s="58">
        <f t="shared" si="810"/>
        <v>45.786576439999997</v>
      </c>
      <c r="AN90" s="58">
        <f t="shared" si="810"/>
        <v>46.244442204399995</v>
      </c>
      <c r="AO90" s="58">
        <f t="shared" si="810"/>
        <v>46.706886626443996</v>
      </c>
      <c r="AP90" s="58">
        <f t="shared" si="810"/>
        <v>47.173955492708437</v>
      </c>
      <c r="AQ90" s="58">
        <f t="shared" si="810"/>
        <v>47.64569504763552</v>
      </c>
      <c r="AR90" s="58">
        <f t="shared" si="810"/>
        <v>48.122151998111875</v>
      </c>
      <c r="AS90" s="8"/>
      <c r="AT90" s="41">
        <f>C90+D90</f>
        <v>-170</v>
      </c>
      <c r="AU90" s="41">
        <f>E90+F90</f>
        <v>67</v>
      </c>
      <c r="AV90" s="41">
        <f>G90+H90</f>
        <v>-13</v>
      </c>
      <c r="AW90" s="41">
        <f>I90+J90</f>
        <v>36</v>
      </c>
      <c r="AX90" s="41">
        <f>K90+L90</f>
        <v>103</v>
      </c>
      <c r="AY90" s="41">
        <f>M90+N90</f>
        <v>13</v>
      </c>
      <c r="AZ90" s="41">
        <f>O90+P90</f>
        <v>-16</v>
      </c>
      <c r="BA90" s="41">
        <f>Q90+R90</f>
        <v>45</v>
      </c>
      <c r="BB90" s="41">
        <f>S90+T90</f>
        <v>171</v>
      </c>
      <c r="BC90" s="41">
        <f>U90+V90</f>
        <v>114</v>
      </c>
      <c r="BD90" s="41">
        <f>W90+X90</f>
        <v>224</v>
      </c>
      <c r="BE90" s="41">
        <f>Y90+Z90</f>
        <v>-12</v>
      </c>
      <c r="BF90" s="41">
        <f>AA90+AB90</f>
        <v>268</v>
      </c>
      <c r="BG90" s="41">
        <f>AC90+AD90</f>
        <v>-1</v>
      </c>
      <c r="BH90" s="41">
        <f>AE90+AF90</f>
        <v>54</v>
      </c>
      <c r="BI90" s="42">
        <f>AG90+AH90</f>
        <v>257</v>
      </c>
      <c r="BJ90" s="41">
        <f>AI90+AJ90</f>
        <v>88.44</v>
      </c>
      <c r="BK90" s="41">
        <f>AK90+AL90</f>
        <v>90.217644000000007</v>
      </c>
      <c r="BL90" s="41">
        <f>AM90+AN90</f>
        <v>92.031018644399992</v>
      </c>
      <c r="BM90" s="41">
        <f>AO90+AP90</f>
        <v>93.880842119152433</v>
      </c>
      <c r="BN90" s="41">
        <f>AQ90+AR90</f>
        <v>95.767847045747402</v>
      </c>
    </row>
    <row r="91" spans="1:66" ht="12" customHeight="1" outlineLevel="1">
      <c r="A91" s="91" t="s">
        <v>1127</v>
      </c>
      <c r="B91" s="1" t="s">
        <v>1844</v>
      </c>
      <c r="C91" s="62">
        <v>-7</v>
      </c>
      <c r="D91" s="62">
        <f>-9-C91</f>
        <v>-2</v>
      </c>
      <c r="E91" s="62">
        <v>-5</v>
      </c>
      <c r="F91" s="62">
        <f>-7-E91</f>
        <v>-2</v>
      </c>
      <c r="G91" s="62">
        <v>-7</v>
      </c>
      <c r="H91" s="62">
        <f>-20-G91</f>
        <v>-13</v>
      </c>
      <c r="I91" s="62">
        <v>-3</v>
      </c>
      <c r="J91" s="62">
        <v>-8</v>
      </c>
      <c r="K91" s="62">
        <v>4</v>
      </c>
      <c r="L91" s="62">
        <v>1</v>
      </c>
      <c r="M91" s="62">
        <v>0</v>
      </c>
      <c r="N91" s="62">
        <v>0</v>
      </c>
      <c r="O91" s="62">
        <v>0</v>
      </c>
      <c r="P91" s="62">
        <v>0</v>
      </c>
      <c r="Q91" s="62">
        <v>0</v>
      </c>
      <c r="R91" s="62">
        <v>0</v>
      </c>
      <c r="S91" s="62">
        <v>0</v>
      </c>
      <c r="T91" s="62">
        <v>0</v>
      </c>
      <c r="U91" s="62">
        <v>0</v>
      </c>
      <c r="V91" s="62">
        <v>0</v>
      </c>
      <c r="W91" s="62">
        <v>-5</v>
      </c>
      <c r="X91" s="62">
        <v>-226</v>
      </c>
      <c r="Y91" s="62">
        <v>-11</v>
      </c>
      <c r="Z91" s="62">
        <v>96</v>
      </c>
      <c r="AA91" s="62">
        <v>44</v>
      </c>
      <c r="AB91" s="62">
        <v>-143</v>
      </c>
      <c r="AC91" s="62">
        <v>-3</v>
      </c>
      <c r="AD91" s="62">
        <v>-11</v>
      </c>
      <c r="AE91" s="62">
        <v>110</v>
      </c>
      <c r="AF91" s="62">
        <v>12</v>
      </c>
      <c r="AG91" s="62">
        <v>4</v>
      </c>
      <c r="AH91" s="62">
        <v>-12</v>
      </c>
      <c r="AI91" s="57">
        <v>3</v>
      </c>
      <c r="AJ91" s="41">
        <v>-1.3</v>
      </c>
      <c r="AK91" s="41">
        <f t="shared" ref="AK91" si="811">AJ91*AK$23/AJ$23</f>
        <v>-0.97976313490416189</v>
      </c>
      <c r="AL91" s="41">
        <f>AK91*AL$23/AK$23</f>
        <v>-1.2667872494039578</v>
      </c>
      <c r="AM91" s="41">
        <f t="shared" ref="AM91:AN91" si="812">AL91*AM$23/AL$23</f>
        <v>-1.4737080928073349</v>
      </c>
      <c r="AN91" s="41">
        <f t="shared" si="812"/>
        <v>-1.4377037585131425</v>
      </c>
      <c r="AO91" s="41">
        <f t="shared" ref="AO91" si="813">AN91*AO$23/AN$23</f>
        <v>-1.7183124127422718</v>
      </c>
      <c r="AP91" s="41">
        <f t="shared" ref="AP91" si="814">AO91*AP$23/AO$23</f>
        <v>-1.7221239723069841</v>
      </c>
      <c r="AQ91" s="41">
        <f t="shared" ref="AQ91" si="815">AP91*AQ$23/AP$23</f>
        <v>-1.7342376207108141</v>
      </c>
      <c r="AR91" s="41">
        <f t="shared" ref="AR91" si="816">AQ91*AR$23/AQ$23</f>
        <v>-1.7426504450977036</v>
      </c>
      <c r="AS91" s="8"/>
      <c r="AT91" s="41">
        <f>C91+D91</f>
        <v>-9</v>
      </c>
      <c r="AU91" s="41">
        <f>E91+F91</f>
        <v>-7</v>
      </c>
      <c r="AV91" s="41">
        <f>G91+H91</f>
        <v>-20</v>
      </c>
      <c r="AW91" s="41">
        <f>I91+J91</f>
        <v>-11</v>
      </c>
      <c r="AX91" s="41">
        <f>K91+L91</f>
        <v>5</v>
      </c>
      <c r="AY91" s="41">
        <f>M91+N91</f>
        <v>0</v>
      </c>
      <c r="AZ91" s="41">
        <f>O91+P91</f>
        <v>0</v>
      </c>
      <c r="BA91" s="41">
        <f>Q91+R91</f>
        <v>0</v>
      </c>
      <c r="BB91" s="41">
        <f>S91+T91</f>
        <v>0</v>
      </c>
      <c r="BC91" s="41">
        <f>U91+V91</f>
        <v>0</v>
      </c>
      <c r="BD91" s="41">
        <f>W91+X91</f>
        <v>-231</v>
      </c>
      <c r="BE91" s="41">
        <f>Y91+Z91</f>
        <v>85</v>
      </c>
      <c r="BF91" s="41">
        <f>AA91+AB91</f>
        <v>-99</v>
      </c>
      <c r="BG91" s="41">
        <f>AC91+AD91</f>
        <v>-14</v>
      </c>
      <c r="BH91" s="41">
        <f>AE91+AF91</f>
        <v>122</v>
      </c>
      <c r="BI91" s="42">
        <f>AG91+AH91</f>
        <v>-8</v>
      </c>
      <c r="BJ91" s="41">
        <f>AI91+AJ91</f>
        <v>1.7</v>
      </c>
      <c r="BK91" s="41">
        <f>AK91+AL91</f>
        <v>-2.2465503843081196</v>
      </c>
      <c r="BL91" s="41">
        <f>AM91+AN91</f>
        <v>-2.9114118513204774</v>
      </c>
      <c r="BM91" s="41">
        <f>AO91+AP91</f>
        <v>-3.4404363850492556</v>
      </c>
      <c r="BN91" s="41">
        <f>AQ91+AR91</f>
        <v>-3.4768880658085175</v>
      </c>
    </row>
    <row r="92" spans="1:66" ht="12" customHeight="1" outlineLevel="1">
      <c r="A92" s="91" t="s">
        <v>1845</v>
      </c>
      <c r="B92" s="1" t="s">
        <v>1842</v>
      </c>
      <c r="C92" s="62"/>
      <c r="D92" s="62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>
        <v>52</v>
      </c>
      <c r="X92" s="62">
        <v>201</v>
      </c>
      <c r="Y92" s="62">
        <v>371</v>
      </c>
      <c r="Z92" s="62">
        <v>240</v>
      </c>
      <c r="AA92" s="62">
        <v>62</v>
      </c>
      <c r="AB92" s="62">
        <v>1498</v>
      </c>
      <c r="AC92" s="62">
        <v>877</v>
      </c>
      <c r="AD92" s="62">
        <v>271</v>
      </c>
      <c r="AE92" s="62">
        <v>49</v>
      </c>
      <c r="AF92" s="62">
        <v>298</v>
      </c>
      <c r="AG92" s="62">
        <v>171</v>
      </c>
      <c r="AH92" s="62">
        <v>435</v>
      </c>
      <c r="AI92" s="57">
        <v>7</v>
      </c>
      <c r="AJ92" s="58">
        <v>402</v>
      </c>
      <c r="AK92" s="58">
        <v>0</v>
      </c>
      <c r="AL92" s="58">
        <v>0</v>
      </c>
      <c r="AM92" s="58">
        <f t="shared" ref="AM92:AP92" si="817">AK92*0.8</f>
        <v>0</v>
      </c>
      <c r="AN92" s="58">
        <f t="shared" si="817"/>
        <v>0</v>
      </c>
      <c r="AO92" s="58">
        <f t="shared" si="817"/>
        <v>0</v>
      </c>
      <c r="AP92" s="58">
        <f t="shared" si="817"/>
        <v>0</v>
      </c>
      <c r="AQ92" s="58">
        <f>AO92</f>
        <v>0</v>
      </c>
      <c r="AR92" s="58">
        <f>AP92</f>
        <v>0</v>
      </c>
      <c r="AS92" s="8"/>
      <c r="AT92" s="41">
        <f t="shared" ref="AT92:AT95" si="818">C92+D92</f>
        <v>0</v>
      </c>
      <c r="AU92" s="41">
        <f t="shared" ref="AU92:AU95" si="819">E92+F92</f>
        <v>0</v>
      </c>
      <c r="AV92" s="41">
        <f t="shared" ref="AV92:AV95" si="820">G92+H92</f>
        <v>0</v>
      </c>
      <c r="AW92" s="41">
        <f t="shared" ref="AW92:AW95" si="821">I92+J92</f>
        <v>0</v>
      </c>
      <c r="AX92" s="41">
        <f t="shared" ref="AX92:AX95" si="822">K92+L92</f>
        <v>0</v>
      </c>
      <c r="AY92" s="41">
        <f t="shared" ref="AY92:AY95" si="823">M92+N92</f>
        <v>0</v>
      </c>
      <c r="AZ92" s="41">
        <f t="shared" ref="AZ92:AZ95" si="824">O92+P92</f>
        <v>0</v>
      </c>
      <c r="BA92" s="41">
        <f t="shared" ref="BA92:BA95" si="825">Q92+R92</f>
        <v>0</v>
      </c>
      <c r="BB92" s="41">
        <f t="shared" ref="BB92:BB95" si="826">S92+T92</f>
        <v>0</v>
      </c>
      <c r="BC92" s="41">
        <f t="shared" ref="BC92:BC95" si="827">U92+V92</f>
        <v>0</v>
      </c>
      <c r="BD92" s="41">
        <f>W92+X92</f>
        <v>253</v>
      </c>
      <c r="BE92" s="41">
        <f>Y92+Z92</f>
        <v>611</v>
      </c>
      <c r="BF92" s="41">
        <f>AA92+AB92</f>
        <v>1560</v>
      </c>
      <c r="BG92" s="41">
        <f>AC92+AD92</f>
        <v>1148</v>
      </c>
      <c r="BH92" s="41">
        <f>AE92+AF92</f>
        <v>347</v>
      </c>
      <c r="BI92" s="42">
        <f>AG92+AH92</f>
        <v>606</v>
      </c>
      <c r="BJ92" s="41">
        <f>AI92+AJ92</f>
        <v>409</v>
      </c>
      <c r="BK92" s="41">
        <f>AK92+AL92</f>
        <v>0</v>
      </c>
      <c r="BL92" s="41">
        <f>AM92+AN92</f>
        <v>0</v>
      </c>
      <c r="BM92" s="41">
        <f>AO92+AP92</f>
        <v>0</v>
      </c>
      <c r="BN92" s="41">
        <f>AQ92+AR92</f>
        <v>0</v>
      </c>
    </row>
    <row r="93" spans="1:66" ht="12" customHeight="1" outlineLevel="1">
      <c r="A93" s="91" t="s">
        <v>1846</v>
      </c>
      <c r="B93" s="1" t="s">
        <v>1838</v>
      </c>
      <c r="C93" s="62"/>
      <c r="D93" s="62"/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>
        <f t="shared" ref="W93:AA93" si="828">W25</f>
        <v>0</v>
      </c>
      <c r="X93" s="62">
        <f t="shared" si="828"/>
        <v>0</v>
      </c>
      <c r="Y93" s="62">
        <f t="shared" si="828"/>
        <v>-72</v>
      </c>
      <c r="Z93" s="62">
        <f t="shared" si="828"/>
        <v>-78</v>
      </c>
      <c r="AA93" s="62">
        <f t="shared" si="828"/>
        <v>22</v>
      </c>
      <c r="AB93" s="62">
        <f t="shared" ref="AB93:AF93" si="829">AB25</f>
        <v>-48</v>
      </c>
      <c r="AC93" s="62">
        <f t="shared" si="829"/>
        <v>-115</v>
      </c>
      <c r="AD93" s="62">
        <f t="shared" si="829"/>
        <v>-74</v>
      </c>
      <c r="AE93" s="62">
        <f t="shared" si="829"/>
        <v>-184</v>
      </c>
      <c r="AF93" s="62">
        <f t="shared" si="829"/>
        <v>-198</v>
      </c>
      <c r="AG93" s="62">
        <f>AG25</f>
        <v>-238</v>
      </c>
      <c r="AH93" s="62">
        <f>AH25</f>
        <v>-331</v>
      </c>
      <c r="AI93" s="57">
        <v>0</v>
      </c>
      <c r="AJ93" s="58">
        <f>AI93*0.725</f>
        <v>0</v>
      </c>
      <c r="AK93" s="58">
        <f>AJ93*0.8</f>
        <v>0</v>
      </c>
      <c r="AL93" s="58">
        <f>AK93*0.8</f>
        <v>0</v>
      </c>
      <c r="AM93" s="58">
        <f t="shared" ref="AM93:AR93" si="830">AL93*1.02</f>
        <v>0</v>
      </c>
      <c r="AN93" s="58">
        <f t="shared" si="830"/>
        <v>0</v>
      </c>
      <c r="AO93" s="58">
        <f t="shared" si="830"/>
        <v>0</v>
      </c>
      <c r="AP93" s="58">
        <f t="shared" si="830"/>
        <v>0</v>
      </c>
      <c r="AQ93" s="58">
        <f t="shared" si="830"/>
        <v>0</v>
      </c>
      <c r="AR93" s="58">
        <f t="shared" si="830"/>
        <v>0</v>
      </c>
      <c r="AS93" s="8"/>
      <c r="AT93" s="41">
        <f t="shared" si="818"/>
        <v>0</v>
      </c>
      <c r="AU93" s="41">
        <f t="shared" si="819"/>
        <v>0</v>
      </c>
      <c r="AV93" s="41">
        <f t="shared" si="820"/>
        <v>0</v>
      </c>
      <c r="AW93" s="41">
        <f t="shared" si="821"/>
        <v>0</v>
      </c>
      <c r="AX93" s="41">
        <f t="shared" si="822"/>
        <v>0</v>
      </c>
      <c r="AY93" s="41">
        <f t="shared" si="823"/>
        <v>0</v>
      </c>
      <c r="AZ93" s="41">
        <f t="shared" si="824"/>
        <v>0</v>
      </c>
      <c r="BA93" s="41">
        <f t="shared" si="825"/>
        <v>0</v>
      </c>
      <c r="BB93" s="41">
        <f t="shared" si="826"/>
        <v>0</v>
      </c>
      <c r="BC93" s="41">
        <f t="shared" si="827"/>
        <v>0</v>
      </c>
      <c r="BD93" s="41">
        <f t="shared" ref="BD93:BD94" si="831">W93+X93</f>
        <v>0</v>
      </c>
      <c r="BE93" s="41">
        <f t="shared" ref="BE93:BE94" si="832">Y93+Z93</f>
        <v>-150</v>
      </c>
      <c r="BF93" s="41">
        <f t="shared" ref="BF93:BF94" si="833">AA93+AB93</f>
        <v>-26</v>
      </c>
      <c r="BG93" s="41">
        <f t="shared" ref="BG93:BG94" si="834">AC93+AD93</f>
        <v>-189</v>
      </c>
      <c r="BH93" s="41">
        <f t="shared" ref="BH93:BH95" si="835">AE93+AF93</f>
        <v>-382</v>
      </c>
      <c r="BI93" s="42">
        <f t="shared" ref="BI93:BI95" si="836">AG93+AH93</f>
        <v>-569</v>
      </c>
      <c r="BJ93" s="41">
        <f t="shared" ref="BJ93:BJ95" si="837">AI93+AJ93</f>
        <v>0</v>
      </c>
      <c r="BK93" s="41">
        <f t="shared" ref="BK93:BK95" si="838">AK93+AL93</f>
        <v>0</v>
      </c>
      <c r="BL93" s="41">
        <f t="shared" ref="BL93:BL95" si="839">AM93+AN93</f>
        <v>0</v>
      </c>
      <c r="BM93" s="41">
        <f t="shared" ref="BM93:BM95" si="840">AO93+AP93</f>
        <v>0</v>
      </c>
      <c r="BN93" s="41">
        <f t="shared" ref="BN93:BN95" si="841">AQ93+AR93</f>
        <v>0</v>
      </c>
    </row>
    <row r="94" spans="1:66" ht="12" customHeight="1" outlineLevel="1">
      <c r="A94" s="91" t="s">
        <v>1840</v>
      </c>
      <c r="B94" s="1" t="s">
        <v>1839</v>
      </c>
      <c r="C94" s="62"/>
      <c r="D94" s="62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>
        <f>W26-W248-1</f>
        <v>303</v>
      </c>
      <c r="X94" s="62">
        <f>X26-X248-4</f>
        <v>77</v>
      </c>
      <c r="Y94" s="62">
        <f>Y26-Y248-1</f>
        <v>46</v>
      </c>
      <c r="Z94" s="62">
        <f>Z26-Z248-3</f>
        <v>33</v>
      </c>
      <c r="AA94" s="62">
        <f t="shared" ref="AA94:AG94" si="842">AA26-AA248</f>
        <v>34</v>
      </c>
      <c r="AB94" s="62">
        <f t="shared" si="842"/>
        <v>33</v>
      </c>
      <c r="AC94" s="62">
        <f t="shared" si="842"/>
        <v>37</v>
      </c>
      <c r="AD94" s="62">
        <f t="shared" si="842"/>
        <v>51</v>
      </c>
      <c r="AE94" s="62">
        <f t="shared" si="842"/>
        <v>54</v>
      </c>
      <c r="AF94" s="62">
        <f t="shared" si="842"/>
        <v>68</v>
      </c>
      <c r="AG94" s="62">
        <f t="shared" si="842"/>
        <v>68</v>
      </c>
      <c r="AH94" s="62">
        <f>AH26-AH248</f>
        <v>75</v>
      </c>
      <c r="AI94" s="57">
        <f>AI26-AI248</f>
        <v>3</v>
      </c>
      <c r="AJ94" s="58">
        <v>0</v>
      </c>
      <c r="AK94" s="58">
        <f>AJ94*0.2</f>
        <v>0</v>
      </c>
      <c r="AL94" s="58">
        <f t="shared" ref="AL94:AR94" si="843">AK94*1.03</f>
        <v>0</v>
      </c>
      <c r="AM94" s="58">
        <f t="shared" si="843"/>
        <v>0</v>
      </c>
      <c r="AN94" s="58">
        <f t="shared" si="843"/>
        <v>0</v>
      </c>
      <c r="AO94" s="58">
        <f t="shared" si="843"/>
        <v>0</v>
      </c>
      <c r="AP94" s="58">
        <f t="shared" si="843"/>
        <v>0</v>
      </c>
      <c r="AQ94" s="58">
        <f t="shared" si="843"/>
        <v>0</v>
      </c>
      <c r="AR94" s="58">
        <f t="shared" si="843"/>
        <v>0</v>
      </c>
      <c r="AS94" s="8"/>
      <c r="AT94" s="41">
        <f t="shared" si="818"/>
        <v>0</v>
      </c>
      <c r="AU94" s="41">
        <f t="shared" si="819"/>
        <v>0</v>
      </c>
      <c r="AV94" s="41">
        <f t="shared" si="820"/>
        <v>0</v>
      </c>
      <c r="AW94" s="41">
        <f t="shared" si="821"/>
        <v>0</v>
      </c>
      <c r="AX94" s="41">
        <f t="shared" si="822"/>
        <v>0</v>
      </c>
      <c r="AY94" s="41">
        <f t="shared" si="823"/>
        <v>0</v>
      </c>
      <c r="AZ94" s="41">
        <f t="shared" si="824"/>
        <v>0</v>
      </c>
      <c r="BA94" s="41">
        <f t="shared" si="825"/>
        <v>0</v>
      </c>
      <c r="BB94" s="41">
        <f t="shared" si="826"/>
        <v>0</v>
      </c>
      <c r="BC94" s="41">
        <f t="shared" si="827"/>
        <v>0</v>
      </c>
      <c r="BD94" s="41">
        <f t="shared" si="831"/>
        <v>380</v>
      </c>
      <c r="BE94" s="41">
        <f t="shared" si="832"/>
        <v>79</v>
      </c>
      <c r="BF94" s="41">
        <f t="shared" si="833"/>
        <v>67</v>
      </c>
      <c r="BG94" s="41">
        <f t="shared" si="834"/>
        <v>88</v>
      </c>
      <c r="BH94" s="41">
        <f t="shared" si="835"/>
        <v>122</v>
      </c>
      <c r="BI94" s="42">
        <f t="shared" si="836"/>
        <v>143</v>
      </c>
      <c r="BJ94" s="41">
        <f t="shared" si="837"/>
        <v>3</v>
      </c>
      <c r="BK94" s="41">
        <f t="shared" si="838"/>
        <v>0</v>
      </c>
      <c r="BL94" s="41">
        <f t="shared" si="839"/>
        <v>0</v>
      </c>
      <c r="BM94" s="41">
        <f t="shared" si="840"/>
        <v>0</v>
      </c>
      <c r="BN94" s="41">
        <f t="shared" si="841"/>
        <v>0</v>
      </c>
    </row>
    <row r="95" spans="1:66" ht="12" customHeight="1" outlineLevel="1">
      <c r="A95" s="91" t="s">
        <v>1128</v>
      </c>
      <c r="B95" s="1" t="s">
        <v>10</v>
      </c>
      <c r="C95" s="41">
        <f t="shared" ref="C95:H95" si="844">C96-C80-C89-C88-C90-C91</f>
        <v>544</v>
      </c>
      <c r="D95" s="41">
        <f t="shared" si="844"/>
        <v>261</v>
      </c>
      <c r="E95" s="41">
        <f t="shared" si="844"/>
        <v>35</v>
      </c>
      <c r="F95" s="41">
        <f t="shared" si="844"/>
        <v>24</v>
      </c>
      <c r="G95" s="41">
        <f t="shared" si="844"/>
        <v>35</v>
      </c>
      <c r="H95" s="41">
        <f t="shared" si="844"/>
        <v>44</v>
      </c>
      <c r="I95" s="41">
        <f t="shared" ref="I95:N95" si="845">I96-I80-I89-I88-I90-I91</f>
        <v>9</v>
      </c>
      <c r="J95" s="41">
        <f t="shared" si="845"/>
        <v>38</v>
      </c>
      <c r="K95" s="41">
        <f t="shared" si="845"/>
        <v>56</v>
      </c>
      <c r="L95" s="41">
        <f t="shared" si="845"/>
        <v>67</v>
      </c>
      <c r="M95" s="41">
        <f t="shared" si="845"/>
        <v>57</v>
      </c>
      <c r="N95" s="41">
        <f t="shared" si="845"/>
        <v>63</v>
      </c>
      <c r="O95" s="41">
        <f t="shared" ref="O95:P95" si="846">O96-O80-O89-O88-O90-O91</f>
        <v>181</v>
      </c>
      <c r="P95" s="41">
        <f t="shared" si="846"/>
        <v>56</v>
      </c>
      <c r="Q95" s="41">
        <f t="shared" ref="Q95:R95" si="847">Q96-Q80-Q89-Q88-Q90-Q91</f>
        <v>289</v>
      </c>
      <c r="R95" s="41">
        <f t="shared" si="847"/>
        <v>237</v>
      </c>
      <c r="S95" s="41">
        <f t="shared" ref="S95:T95" si="848">S96-S80-S89-S88-S90-S91</f>
        <v>239</v>
      </c>
      <c r="T95" s="41">
        <f t="shared" si="848"/>
        <v>-55</v>
      </c>
      <c r="U95" s="41">
        <f t="shared" ref="U95" si="849">U96-U80-U89-U88-U90-U91-U92-U93-U94</f>
        <v>372</v>
      </c>
      <c r="V95" s="41">
        <f t="shared" ref="V95" si="850">V96-V80-V89-V88-V90-V91-V92-V93-V94</f>
        <v>480</v>
      </c>
      <c r="W95" s="41">
        <f t="shared" ref="W95" si="851">W96-W80-W89-W88-W90-W91-W92-W93-W94</f>
        <v>56</v>
      </c>
      <c r="X95" s="41">
        <f t="shared" ref="X95" si="852">X96-X80-X89-X88-X90-X91-X92-X93-X94</f>
        <v>245</v>
      </c>
      <c r="Y95" s="41">
        <f t="shared" ref="Y95" si="853">Y96-Y80-Y89-Y88-Y90-Y91-Y92-Y93-Y94</f>
        <v>128</v>
      </c>
      <c r="Z95" s="41">
        <f t="shared" ref="Z95" si="854">Z96-Z80-Z89-Z88-Z90-Z91-Z92-Z93-Z94</f>
        <v>141</v>
      </c>
      <c r="AA95" s="41">
        <f t="shared" ref="AA95" si="855">AA96-AA80-AA89-AA88-AA90-AA91-AA92-AA93-AA94</f>
        <v>19</v>
      </c>
      <c r="AB95" s="41">
        <f t="shared" ref="AB95" si="856">AB96-AB80-AB89-AB88-AB90-AB91-AB92-AB93-AB94</f>
        <v>46</v>
      </c>
      <c r="AC95" s="41">
        <f t="shared" ref="AC95" si="857">AC96-AC80-AC89-AC88-AC90-AC91-AC92-AC93-AC94</f>
        <v>103</v>
      </c>
      <c r="AD95" s="41">
        <f t="shared" ref="AD95" si="858">AD96-AD80-AD89-AD88-AD90-AD91-AD92-AD93-AD94</f>
        <v>104</v>
      </c>
      <c r="AE95" s="41">
        <f t="shared" ref="AE95" si="859">AE96-AE80-AE89-AE88-AE90-AE91-AE92-AE93-AE94</f>
        <v>45</v>
      </c>
      <c r="AF95" s="41">
        <f t="shared" ref="AF95" si="860">AF96-AF80-AF89-AF88-AF90-AF91-AF92-AF93-AF94</f>
        <v>62</v>
      </c>
      <c r="AG95" s="41">
        <f>AG96-AG80-AG89-AG88-AG90-AG91-AG92-AG93-AG94</f>
        <v>97</v>
      </c>
      <c r="AH95" s="41">
        <f>AH96-AH80-AH89-AH88-AH90-AH91-AH92-AH93-AH94</f>
        <v>58</v>
      </c>
      <c r="AI95" s="42">
        <f>AI96-AI80-AI89-AI88-AI90-AI91-AI92-AI93-AI94</f>
        <v>108</v>
      </c>
      <c r="AJ95" s="41">
        <f t="shared" ref="AJ95:AR95" si="861">IF(ISERROR(AI95*(1+AJ134)),0,AI95*(1+AJ134))</f>
        <v>75.599999999999994</v>
      </c>
      <c r="AK95" s="41">
        <f t="shared" si="861"/>
        <v>77.867999999999995</v>
      </c>
      <c r="AL95" s="41">
        <f t="shared" si="861"/>
        <v>80.204039999999992</v>
      </c>
      <c r="AM95" s="41">
        <f t="shared" si="861"/>
        <v>82.610161199999993</v>
      </c>
      <c r="AN95" s="41">
        <f t="shared" si="861"/>
        <v>85.088466036</v>
      </c>
      <c r="AO95" s="41">
        <f t="shared" si="861"/>
        <v>87.641120017079999</v>
      </c>
      <c r="AP95" s="41">
        <f t="shared" si="861"/>
        <v>90.270353617592406</v>
      </c>
      <c r="AQ95" s="41">
        <f t="shared" si="861"/>
        <v>92.978464226120181</v>
      </c>
      <c r="AR95" s="41">
        <f t="shared" si="861"/>
        <v>95.767818152903786</v>
      </c>
      <c r="AS95" s="8"/>
      <c r="AT95" s="41">
        <f t="shared" si="818"/>
        <v>805</v>
      </c>
      <c r="AU95" s="41">
        <f t="shared" si="819"/>
        <v>59</v>
      </c>
      <c r="AV95" s="41">
        <f t="shared" si="820"/>
        <v>79</v>
      </c>
      <c r="AW95" s="41">
        <f t="shared" si="821"/>
        <v>47</v>
      </c>
      <c r="AX95" s="41">
        <f t="shared" si="822"/>
        <v>123</v>
      </c>
      <c r="AY95" s="41">
        <f t="shared" si="823"/>
        <v>120</v>
      </c>
      <c r="AZ95" s="41">
        <f t="shared" si="824"/>
        <v>237</v>
      </c>
      <c r="BA95" s="41">
        <f t="shared" si="825"/>
        <v>526</v>
      </c>
      <c r="BB95" s="41">
        <f t="shared" si="826"/>
        <v>184</v>
      </c>
      <c r="BC95" s="41">
        <f t="shared" si="827"/>
        <v>852</v>
      </c>
      <c r="BD95" s="41">
        <f>W95+X95</f>
        <v>301</v>
      </c>
      <c r="BE95" s="41">
        <f>Y95+Z95</f>
        <v>269</v>
      </c>
      <c r="BF95" s="41">
        <f>AA95+AB95</f>
        <v>65</v>
      </c>
      <c r="BG95" s="41">
        <f>AC95+AD95</f>
        <v>207</v>
      </c>
      <c r="BH95" s="41">
        <f t="shared" si="835"/>
        <v>107</v>
      </c>
      <c r="BI95" s="42">
        <f t="shared" si="836"/>
        <v>155</v>
      </c>
      <c r="BJ95" s="41">
        <f t="shared" si="837"/>
        <v>183.6</v>
      </c>
      <c r="BK95" s="41">
        <f t="shared" si="838"/>
        <v>158.07203999999999</v>
      </c>
      <c r="BL95" s="41">
        <f t="shared" si="839"/>
        <v>167.69862723599999</v>
      </c>
      <c r="BM95" s="41">
        <f t="shared" si="840"/>
        <v>177.9114736346724</v>
      </c>
      <c r="BN95" s="41">
        <f t="shared" si="841"/>
        <v>188.74628237902397</v>
      </c>
    </row>
    <row r="96" spans="1:66" s="9" customFormat="1" ht="12" customHeight="1" outlineLevel="1">
      <c r="A96" s="91" t="s">
        <v>1129</v>
      </c>
      <c r="B96" s="9" t="s">
        <v>35</v>
      </c>
      <c r="C96" s="61">
        <v>756</v>
      </c>
      <c r="D96" s="61">
        <f>1436-C96</f>
        <v>680</v>
      </c>
      <c r="E96" s="61">
        <v>639</v>
      </c>
      <c r="F96" s="61">
        <f>1293-E96</f>
        <v>654</v>
      </c>
      <c r="G96" s="61">
        <v>783</v>
      </c>
      <c r="H96" s="61">
        <f>1409-G96</f>
        <v>626</v>
      </c>
      <c r="I96" s="61">
        <v>725</v>
      </c>
      <c r="J96" s="61">
        <v>789</v>
      </c>
      <c r="K96" s="61">
        <v>907</v>
      </c>
      <c r="L96" s="61">
        <v>1021</v>
      </c>
      <c r="M96" s="61">
        <v>1225</v>
      </c>
      <c r="N96" s="61">
        <v>1191</v>
      </c>
      <c r="O96" s="61">
        <v>1669</v>
      </c>
      <c r="P96" s="61">
        <v>1041</v>
      </c>
      <c r="Q96" s="61">
        <v>1373</v>
      </c>
      <c r="R96" s="61">
        <v>1223</v>
      </c>
      <c r="S96" s="61">
        <v>1623</v>
      </c>
      <c r="T96" s="61">
        <v>939</v>
      </c>
      <c r="U96" s="61">
        <v>1534</v>
      </c>
      <c r="V96" s="61">
        <v>1793</v>
      </c>
      <c r="W96" s="61">
        <v>1879</v>
      </c>
      <c r="X96" s="61">
        <v>1853</v>
      </c>
      <c r="Y96" s="61">
        <v>1789</v>
      </c>
      <c r="Z96" s="61">
        <v>1765</v>
      </c>
      <c r="AA96" s="61">
        <v>2374</v>
      </c>
      <c r="AB96" s="61">
        <v>3283</v>
      </c>
      <c r="AC96" s="61">
        <v>2605</v>
      </c>
      <c r="AD96" s="61">
        <v>2346</v>
      </c>
      <c r="AE96" s="61">
        <v>1693</v>
      </c>
      <c r="AF96" s="61">
        <v>2061</v>
      </c>
      <c r="AG96" s="61">
        <v>1935</v>
      </c>
      <c r="AH96" s="61">
        <v>2283</v>
      </c>
      <c r="AI96" s="338">
        <v>2387</v>
      </c>
      <c r="AJ96" s="39">
        <f t="shared" ref="AJ96:AR96" si="862">AJ80+AJ88+AJ89+AJ90+AJ91+AJ95+AJ92+AJ93+AJ94</f>
        <v>2595.6637705250209</v>
      </c>
      <c r="AK96" s="39">
        <f t="shared" si="862"/>
        <v>1895.3047419418842</v>
      </c>
      <c r="AL96" s="39">
        <f t="shared" si="862"/>
        <v>1973.1814788268296</v>
      </c>
      <c r="AM96" s="39">
        <f t="shared" si="862"/>
        <v>1954.8838504719308</v>
      </c>
      <c r="AN96" s="39">
        <f t="shared" si="862"/>
        <v>2028.1119343542766</v>
      </c>
      <c r="AO96" s="39">
        <f t="shared" si="862"/>
        <v>1990.1007539101061</v>
      </c>
      <c r="AP96" s="39">
        <f t="shared" si="862"/>
        <v>2050.0321229591118</v>
      </c>
      <c r="AQ96" s="39">
        <f t="shared" si="862"/>
        <v>1996.8782737403617</v>
      </c>
      <c r="AR96" s="39">
        <f t="shared" si="862"/>
        <v>2040.7996194387849</v>
      </c>
      <c r="AS96" s="74"/>
      <c r="AT96" s="39">
        <f t="shared" ref="AT96:BG96" si="863">AT80+AT88+AT89+AT90+AT91+AT95+AT92+AT93+AT94</f>
        <v>1436</v>
      </c>
      <c r="AU96" s="39">
        <f t="shared" si="863"/>
        <v>1293</v>
      </c>
      <c r="AV96" s="39">
        <f t="shared" si="863"/>
        <v>1409</v>
      </c>
      <c r="AW96" s="39">
        <f t="shared" si="863"/>
        <v>1514</v>
      </c>
      <c r="AX96" s="39">
        <f t="shared" si="863"/>
        <v>1928</v>
      </c>
      <c r="AY96" s="39">
        <f t="shared" si="863"/>
        <v>2416</v>
      </c>
      <c r="AZ96" s="39">
        <f t="shared" si="863"/>
        <v>2710</v>
      </c>
      <c r="BA96" s="39">
        <f t="shared" si="863"/>
        <v>2596</v>
      </c>
      <c r="BB96" s="39">
        <f t="shared" si="863"/>
        <v>2562</v>
      </c>
      <c r="BC96" s="39">
        <f t="shared" si="863"/>
        <v>3327</v>
      </c>
      <c r="BD96" s="39">
        <f t="shared" si="863"/>
        <v>3732</v>
      </c>
      <c r="BE96" s="39">
        <f t="shared" si="863"/>
        <v>3554</v>
      </c>
      <c r="BF96" s="39">
        <f t="shared" si="863"/>
        <v>5657</v>
      </c>
      <c r="BG96" s="39">
        <f t="shared" si="863"/>
        <v>4951</v>
      </c>
      <c r="BH96" s="39">
        <f>BH80+BH88+BH89+BH90+BH91+BH95+BH92+BH93+BH94</f>
        <v>3754</v>
      </c>
      <c r="BI96" s="40">
        <f>BI80+BI88+BI89+BI90+BI91+BI95+BI92+BI93+BI94</f>
        <v>4218</v>
      </c>
      <c r="BJ96" s="39">
        <f>BJ80+BJ88+BJ89+BJ90+BJ91+BJ95+BJ92+BJ93+BJ94</f>
        <v>4982.6637705250214</v>
      </c>
      <c r="BK96" s="39">
        <f>BK80+BK88+BK89+BK90+BK91+BK95+BK92+BK93+BK94</f>
        <v>3868.4862207687142</v>
      </c>
      <c r="BL96" s="39">
        <f t="shared" ref="BL96:BN96" si="864">BL80+BL88+BL89+BL90+BL91+BL95+BL92+BL93+BL94</f>
        <v>3982.9957848262075</v>
      </c>
      <c r="BM96" s="39">
        <f t="shared" si="864"/>
        <v>4040.1328768692174</v>
      </c>
      <c r="BN96" s="39">
        <f t="shared" si="864"/>
        <v>4037.6778931791459</v>
      </c>
    </row>
    <row r="97" spans="1:66" ht="12" customHeight="1" outlineLevel="1">
      <c r="A97" s="91" t="s">
        <v>1130</v>
      </c>
      <c r="B97" s="1" t="s">
        <v>14</v>
      </c>
      <c r="C97" s="62">
        <v>-114</v>
      </c>
      <c r="D97" s="62">
        <f>-248-C97</f>
        <v>-134</v>
      </c>
      <c r="E97" s="62">
        <v>-153</v>
      </c>
      <c r="F97" s="62">
        <f>-313-E97</f>
        <v>-160</v>
      </c>
      <c r="G97" s="62">
        <v>-130</v>
      </c>
      <c r="H97" s="62">
        <f>-265-G97</f>
        <v>-135</v>
      </c>
      <c r="I97" s="62">
        <v>-130</v>
      </c>
      <c r="J97" s="62">
        <v>-137</v>
      </c>
      <c r="K97" s="62">
        <v>-143</v>
      </c>
      <c r="L97" s="62">
        <v>-163</v>
      </c>
      <c r="M97" s="62">
        <v>-147</v>
      </c>
      <c r="N97" s="62">
        <v>-190</v>
      </c>
      <c r="O97" s="62">
        <v>-175</v>
      </c>
      <c r="P97" s="62">
        <v>-180</v>
      </c>
      <c r="Q97" s="62">
        <v>-182</v>
      </c>
      <c r="R97" s="62">
        <v>-190</v>
      </c>
      <c r="S97" s="62">
        <v>-184</v>
      </c>
      <c r="T97" s="62">
        <v>-197</v>
      </c>
      <c r="U97" s="62">
        <v>-236</v>
      </c>
      <c r="V97" s="62">
        <v>-283</v>
      </c>
      <c r="W97" s="62">
        <v>-243</v>
      </c>
      <c r="X97" s="62">
        <v>-262</v>
      </c>
      <c r="Y97" s="62">
        <v>-257</v>
      </c>
      <c r="Z97" s="62">
        <v>-230</v>
      </c>
      <c r="AA97" s="62">
        <v>-406</v>
      </c>
      <c r="AB97" s="62">
        <v>-422</v>
      </c>
      <c r="AC97" s="62">
        <v>-381</v>
      </c>
      <c r="AD97" s="62">
        <v>-457</v>
      </c>
      <c r="AE97" s="62">
        <v>-415</v>
      </c>
      <c r="AF97" s="62">
        <v>-420</v>
      </c>
      <c r="AG97" s="62">
        <v>-420</v>
      </c>
      <c r="AH97" s="62">
        <v>-403</v>
      </c>
      <c r="AI97" s="57">
        <v>-401</v>
      </c>
      <c r="AJ97" s="41">
        <f t="shared" ref="AJ97:AR97" si="865">-AJ135*AVERAGE(AI120:AJ120)/AJ$5/1000000</f>
        <v>-321.01159152983934</v>
      </c>
      <c r="AK97" s="41">
        <f t="shared" si="865"/>
        <v>-243.30294515782552</v>
      </c>
      <c r="AL97" s="41">
        <f t="shared" si="865"/>
        <v>-246.8370866267793</v>
      </c>
      <c r="AM97" s="41">
        <f t="shared" si="865"/>
        <v>-252.49026622201046</v>
      </c>
      <c r="AN97" s="41">
        <f t="shared" si="865"/>
        <v>-257.56532057307294</v>
      </c>
      <c r="AO97" s="41">
        <f t="shared" si="865"/>
        <v>-263.46222566321245</v>
      </c>
      <c r="AP97" s="41">
        <f t="shared" si="865"/>
        <v>-267.28919445150729</v>
      </c>
      <c r="AQ97" s="41">
        <f t="shared" si="865"/>
        <v>-274.1598485086638</v>
      </c>
      <c r="AR97" s="41">
        <f t="shared" si="865"/>
        <v>-278.14220757590823</v>
      </c>
      <c r="AS97" s="8"/>
      <c r="AT97" s="41">
        <f>C97+D97</f>
        <v>-248</v>
      </c>
      <c r="AU97" s="41">
        <f>E97+F97</f>
        <v>-313</v>
      </c>
      <c r="AV97" s="41">
        <f>G97+H97</f>
        <v>-265</v>
      </c>
      <c r="AW97" s="41">
        <f>I97+J97</f>
        <v>-267</v>
      </c>
      <c r="AX97" s="41">
        <f>K97+L97</f>
        <v>-306</v>
      </c>
      <c r="AY97" s="41">
        <f>M97+N97</f>
        <v>-337</v>
      </c>
      <c r="AZ97" s="41">
        <f>O97+P97</f>
        <v>-355</v>
      </c>
      <c r="BA97" s="41">
        <f>Q97+R97</f>
        <v>-372</v>
      </c>
      <c r="BB97" s="41">
        <f>S97+T97</f>
        <v>-381</v>
      </c>
      <c r="BC97" s="41">
        <f>U97+V97</f>
        <v>-519</v>
      </c>
      <c r="BD97" s="41">
        <f>W97+X97</f>
        <v>-505</v>
      </c>
      <c r="BE97" s="41">
        <f>Y97+Z97</f>
        <v>-487</v>
      </c>
      <c r="BF97" s="41">
        <f>AA97+AB97</f>
        <v>-828</v>
      </c>
      <c r="BG97" s="41">
        <f>AC97+AD97</f>
        <v>-838</v>
      </c>
      <c r="BH97" s="41">
        <f>AE97+AF97</f>
        <v>-835</v>
      </c>
      <c r="BI97" s="42">
        <f>AG97+AH97</f>
        <v>-823</v>
      </c>
      <c r="BJ97" s="41">
        <f>AI97+AJ97</f>
        <v>-722.01159152983928</v>
      </c>
      <c r="BK97" s="41">
        <f>AK97+AL97</f>
        <v>-490.14003178460484</v>
      </c>
      <c r="BL97" s="41">
        <f>AM97+AN97</f>
        <v>-510.0555867950834</v>
      </c>
      <c r="BM97" s="41">
        <f>AO97+AP97</f>
        <v>-530.75142011471974</v>
      </c>
      <c r="BN97" s="41">
        <f>AQ97+AR97</f>
        <v>-552.30205608457209</v>
      </c>
    </row>
    <row r="98" spans="1:66" ht="12" customHeight="1" outlineLevel="1">
      <c r="A98" s="91" t="s">
        <v>1133</v>
      </c>
      <c r="B98" s="1" t="s">
        <v>21</v>
      </c>
      <c r="C98" s="62">
        <v>-43</v>
      </c>
      <c r="D98" s="62">
        <f>-101-C98</f>
        <v>-58</v>
      </c>
      <c r="E98" s="62">
        <v>-67</v>
      </c>
      <c r="F98" s="62">
        <f>-136-E98</f>
        <v>-69</v>
      </c>
      <c r="G98" s="62">
        <v>-74</v>
      </c>
      <c r="H98" s="62">
        <f>-143-G98</f>
        <v>-69</v>
      </c>
      <c r="I98" s="62">
        <v>-77</v>
      </c>
      <c r="J98" s="62">
        <v>-73</v>
      </c>
      <c r="K98" s="62">
        <v>-87</v>
      </c>
      <c r="L98" s="62">
        <v>-86</v>
      </c>
      <c r="M98" s="62">
        <v>-88</v>
      </c>
      <c r="N98" s="62">
        <v>-100</v>
      </c>
      <c r="O98" s="62">
        <v>-104</v>
      </c>
      <c r="P98" s="62">
        <v>-115</v>
      </c>
      <c r="Q98" s="62">
        <v>-97</v>
      </c>
      <c r="R98" s="62">
        <v>-103</v>
      </c>
      <c r="S98" s="62">
        <v>-83</v>
      </c>
      <c r="T98" s="62">
        <v>-74</v>
      </c>
      <c r="U98" s="62">
        <v>-128</v>
      </c>
      <c r="V98" s="62">
        <v>-120</v>
      </c>
      <c r="W98" s="62">
        <v>-127</v>
      </c>
      <c r="X98" s="62">
        <v>-140</v>
      </c>
      <c r="Y98" s="62">
        <v>-123</v>
      </c>
      <c r="Z98" s="62">
        <v>-126</v>
      </c>
      <c r="AA98" s="62">
        <v>-207</v>
      </c>
      <c r="AB98" s="62">
        <v>-225</v>
      </c>
      <c r="AC98" s="62">
        <v>-193</v>
      </c>
      <c r="AD98" s="62">
        <v>-206</v>
      </c>
      <c r="AE98" s="62">
        <v>-194</v>
      </c>
      <c r="AF98" s="62">
        <v>-191</v>
      </c>
      <c r="AG98" s="62">
        <v>-193</v>
      </c>
      <c r="AH98" s="62">
        <v>-229</v>
      </c>
      <c r="AI98" s="57">
        <v>-222</v>
      </c>
      <c r="AJ98" s="58">
        <f>AI98*1.025</f>
        <v>-227.54999999999998</v>
      </c>
      <c r="AK98" s="58">
        <f t="shared" ref="AK98" si="866">AI98*1.025</f>
        <v>-227.54999999999998</v>
      </c>
      <c r="AL98" s="58">
        <f t="shared" ref="AL98" si="867">AJ98*1.025</f>
        <v>-233.23874999999995</v>
      </c>
      <c r="AM98" s="58">
        <f t="shared" ref="AM98" si="868">AK98*1.025</f>
        <v>-233.23874999999995</v>
      </c>
      <c r="AN98" s="58">
        <f t="shared" ref="AN98" si="869">AL98*1.025</f>
        <v>-239.06971874999994</v>
      </c>
      <c r="AO98" s="58">
        <f t="shared" ref="AO98" si="870">AM98*1.025</f>
        <v>-239.06971874999994</v>
      </c>
      <c r="AP98" s="58">
        <f t="shared" ref="AP98" si="871">AN98*1.025</f>
        <v>-245.04646171874992</v>
      </c>
      <c r="AQ98" s="58">
        <f t="shared" ref="AQ98" si="872">AO98*1.025</f>
        <v>-245.04646171874992</v>
      </c>
      <c r="AR98" s="58">
        <f t="shared" ref="AR98" si="873">AP98*1.025</f>
        <v>-251.17262326171866</v>
      </c>
      <c r="AS98" s="8"/>
      <c r="AT98" s="41">
        <f>C98+D98</f>
        <v>-101</v>
      </c>
      <c r="AU98" s="41">
        <f>E98+F98</f>
        <v>-136</v>
      </c>
      <c r="AV98" s="41">
        <f>G98+H98</f>
        <v>-143</v>
      </c>
      <c r="AW98" s="41">
        <f>I98+J98</f>
        <v>-150</v>
      </c>
      <c r="AX98" s="41">
        <f>K98+L98</f>
        <v>-173</v>
      </c>
      <c r="AY98" s="41">
        <f>M98+N98</f>
        <v>-188</v>
      </c>
      <c r="AZ98" s="41">
        <f>O98+P98</f>
        <v>-219</v>
      </c>
      <c r="BA98" s="41">
        <f>Q98+R98</f>
        <v>-200</v>
      </c>
      <c r="BB98" s="41">
        <f>S98+T98</f>
        <v>-157</v>
      </c>
      <c r="BC98" s="41">
        <f>U98+V98</f>
        <v>-248</v>
      </c>
      <c r="BD98" s="41">
        <f>W98+X98</f>
        <v>-267</v>
      </c>
      <c r="BE98" s="41">
        <f>Y98+Z98</f>
        <v>-249</v>
      </c>
      <c r="BF98" s="41">
        <f>AA98+AB98</f>
        <v>-432</v>
      </c>
      <c r="BG98" s="41">
        <f>AC98+AD98</f>
        <v>-399</v>
      </c>
      <c r="BH98" s="41">
        <f>AE98+AF98</f>
        <v>-385</v>
      </c>
      <c r="BI98" s="42">
        <f>AG98+AH98</f>
        <v>-422</v>
      </c>
      <c r="BJ98" s="41">
        <f>AI98+AJ98</f>
        <v>-449.54999999999995</v>
      </c>
      <c r="BK98" s="41">
        <f>AK98+AL98</f>
        <v>-460.78874999999994</v>
      </c>
      <c r="BL98" s="41">
        <f>AM98+AN98</f>
        <v>-472.30846874999986</v>
      </c>
      <c r="BM98" s="41">
        <f>AO98+AP98</f>
        <v>-484.11618046874986</v>
      </c>
      <c r="BN98" s="41">
        <f>AQ98+AR98</f>
        <v>-496.21908498046855</v>
      </c>
    </row>
    <row r="99" spans="1:66" ht="12" customHeight="1" outlineLevel="1">
      <c r="A99" s="91" t="s">
        <v>1132</v>
      </c>
      <c r="B99" s="1" t="s">
        <v>11</v>
      </c>
      <c r="C99" s="62">
        <f>-265-C97-C98</f>
        <v>-108</v>
      </c>
      <c r="D99" s="62">
        <f>-624-C97-C98-C99-D97-D98</f>
        <v>-167</v>
      </c>
      <c r="E99" s="62">
        <f>-412-E97-E98</f>
        <v>-192</v>
      </c>
      <c r="F99" s="62">
        <f>-817-E97-E98-E99-F97-F98</f>
        <v>-176</v>
      </c>
      <c r="G99" s="62">
        <f>-384-G97-G98</f>
        <v>-180</v>
      </c>
      <c r="H99" s="62">
        <f>-767-G97-G98-G99-H97-H98</f>
        <v>-179</v>
      </c>
      <c r="I99" s="62">
        <f>-370-I97-I98</f>
        <v>-163</v>
      </c>
      <c r="J99" s="62">
        <f>-390-J97-J98</f>
        <v>-180</v>
      </c>
      <c r="K99" s="62">
        <v>-177</v>
      </c>
      <c r="L99" s="62">
        <v>-221</v>
      </c>
      <c r="M99" s="62">
        <v>-205</v>
      </c>
      <c r="N99" s="62">
        <v>-236</v>
      </c>
      <c r="O99" s="62">
        <v>-238</v>
      </c>
      <c r="P99" s="62">
        <v>-241</v>
      </c>
      <c r="Q99" s="62">
        <v>-237</v>
      </c>
      <c r="R99" s="62">
        <v>-248</v>
      </c>
      <c r="S99" s="62">
        <v>-215</v>
      </c>
      <c r="T99" s="62">
        <v>-250</v>
      </c>
      <c r="U99" s="62">
        <v>-319</v>
      </c>
      <c r="V99" s="62">
        <v>-367</v>
      </c>
      <c r="W99" s="62">
        <v>-385</v>
      </c>
      <c r="X99" s="62">
        <v>-397</v>
      </c>
      <c r="Y99" s="62">
        <v>-341</v>
      </c>
      <c r="Z99" s="62">
        <v>-397</v>
      </c>
      <c r="AA99" s="62">
        <v>-669</v>
      </c>
      <c r="AB99" s="62">
        <v>-702</v>
      </c>
      <c r="AC99" s="62">
        <v>-623</v>
      </c>
      <c r="AD99" s="62">
        <v>-735</v>
      </c>
      <c r="AE99" s="62">
        <v>-691</v>
      </c>
      <c r="AF99" s="62">
        <v>-648</v>
      </c>
      <c r="AG99" s="62">
        <v>-645</v>
      </c>
      <c r="AH99" s="62">
        <v>-704</v>
      </c>
      <c r="AI99" s="57">
        <v>-574</v>
      </c>
      <c r="AJ99" s="41">
        <f t="shared" ref="AJ99:AR99" si="874">-AJ138*AVERAGE(AI113:AJ113)/AJ$5</f>
        <v>-511.27046845636721</v>
      </c>
      <c r="AK99" s="41">
        <f t="shared" si="874"/>
        <v>-451.63326786875848</v>
      </c>
      <c r="AL99" s="41">
        <f t="shared" si="874"/>
        <v>-449.60968002419884</v>
      </c>
      <c r="AM99" s="41">
        <f t="shared" si="874"/>
        <v>-448.11404657653185</v>
      </c>
      <c r="AN99" s="41">
        <f t="shared" si="874"/>
        <v>-442.55787168174777</v>
      </c>
      <c r="AO99" s="41">
        <f t="shared" si="874"/>
        <v>-436.8367127000206</v>
      </c>
      <c r="AP99" s="41">
        <f t="shared" si="874"/>
        <v>-426.79833767339841</v>
      </c>
      <c r="AQ99" s="41">
        <f t="shared" si="874"/>
        <v>-421.27938094329187</v>
      </c>
      <c r="AR99" s="41">
        <f t="shared" si="874"/>
        <v>-411.22933769481801</v>
      </c>
      <c r="AS99" s="8"/>
      <c r="AT99" s="41">
        <f>C99+D99</f>
        <v>-275</v>
      </c>
      <c r="AU99" s="41">
        <f>E99+F99</f>
        <v>-368</v>
      </c>
      <c r="AV99" s="41">
        <f>G99+H99</f>
        <v>-359</v>
      </c>
      <c r="AW99" s="41">
        <f>I99+J99</f>
        <v>-343</v>
      </c>
      <c r="AX99" s="41">
        <f>K99+L99</f>
        <v>-398</v>
      </c>
      <c r="AY99" s="41">
        <f>M99+N99</f>
        <v>-441</v>
      </c>
      <c r="AZ99" s="41">
        <f>O99+P99</f>
        <v>-479</v>
      </c>
      <c r="BA99" s="41">
        <f>Q99+R99</f>
        <v>-485</v>
      </c>
      <c r="BB99" s="41">
        <f>S99+T99</f>
        <v>-465</v>
      </c>
      <c r="BC99" s="41">
        <f>U99+V99</f>
        <v>-686</v>
      </c>
      <c r="BD99" s="41">
        <f>W99+X99</f>
        <v>-782</v>
      </c>
      <c r="BE99" s="41">
        <f>Y99+Z99</f>
        <v>-738</v>
      </c>
      <c r="BF99" s="41">
        <f>AA99+AB99</f>
        <v>-1371</v>
      </c>
      <c r="BG99" s="41">
        <f>AC99+AD99</f>
        <v>-1358</v>
      </c>
      <c r="BH99" s="41">
        <f>AE99+AF99</f>
        <v>-1339</v>
      </c>
      <c r="BI99" s="42">
        <f>AG99+AH99</f>
        <v>-1349</v>
      </c>
      <c r="BJ99" s="41">
        <f>AI99+AJ99</f>
        <v>-1085.2704684563673</v>
      </c>
      <c r="BK99" s="41">
        <f>AK99+AL99</f>
        <v>-901.24294789295732</v>
      </c>
      <c r="BL99" s="41">
        <f>AM99+AN99</f>
        <v>-890.67191825827967</v>
      </c>
      <c r="BM99" s="41">
        <f>AO99+AP99</f>
        <v>-863.63505037341906</v>
      </c>
      <c r="BN99" s="41">
        <f>AQ99+AR99</f>
        <v>-832.50871863810994</v>
      </c>
    </row>
    <row r="100" spans="1:66" s="9" customFormat="1" ht="12" customHeight="1" outlineLevel="1">
      <c r="A100" s="91" t="s">
        <v>1134</v>
      </c>
      <c r="B100" s="9" t="s">
        <v>52</v>
      </c>
      <c r="C100" s="39">
        <f t="shared" ref="C100:H100" si="875">C96+C97+C98+C99</f>
        <v>491</v>
      </c>
      <c r="D100" s="39">
        <f t="shared" si="875"/>
        <v>321</v>
      </c>
      <c r="E100" s="39">
        <f t="shared" si="875"/>
        <v>227</v>
      </c>
      <c r="F100" s="39">
        <f t="shared" si="875"/>
        <v>249</v>
      </c>
      <c r="G100" s="39">
        <f t="shared" si="875"/>
        <v>399</v>
      </c>
      <c r="H100" s="39">
        <f t="shared" si="875"/>
        <v>243</v>
      </c>
      <c r="I100" s="39">
        <f>I96+I97+I98+I99</f>
        <v>355</v>
      </c>
      <c r="J100" s="39">
        <f>J96+J97+J98+J99</f>
        <v>399</v>
      </c>
      <c r="K100" s="39">
        <f>K96+K97+K98+K99</f>
        <v>500</v>
      </c>
      <c r="L100" s="39">
        <f t="shared" ref="L100:N100" si="876">L96+L97+L98+L99</f>
        <v>551</v>
      </c>
      <c r="M100" s="39">
        <f t="shared" ref="M100" si="877">M96+M97+M98+M99</f>
        <v>785</v>
      </c>
      <c r="N100" s="39">
        <f t="shared" si="876"/>
        <v>665</v>
      </c>
      <c r="O100" s="39">
        <f t="shared" ref="O100:P100" si="878">O96+O97+O98+O99</f>
        <v>1152</v>
      </c>
      <c r="P100" s="39">
        <f t="shared" si="878"/>
        <v>505</v>
      </c>
      <c r="Q100" s="39">
        <f t="shared" ref="Q100:R100" si="879">Q96+Q97+Q98+Q99</f>
        <v>857</v>
      </c>
      <c r="R100" s="39">
        <f t="shared" si="879"/>
        <v>682</v>
      </c>
      <c r="S100" s="39">
        <f t="shared" ref="S100:T100" si="880">S96+S97+S98+S99</f>
        <v>1141</v>
      </c>
      <c r="T100" s="39">
        <f t="shared" si="880"/>
        <v>418</v>
      </c>
      <c r="U100" s="39">
        <f t="shared" ref="U100:V100" si="881">U96+U97+U98+U99</f>
        <v>851</v>
      </c>
      <c r="V100" s="39">
        <f t="shared" si="881"/>
        <v>1023</v>
      </c>
      <c r="W100" s="39">
        <f t="shared" ref="W100:X100" si="882">W96+W97+W98+W99</f>
        <v>1124</v>
      </c>
      <c r="X100" s="39">
        <f t="shared" si="882"/>
        <v>1054</v>
      </c>
      <c r="Y100" s="39">
        <f t="shared" ref="Y100:Z100" si="883">Y96+Y97+Y98+Y99</f>
        <v>1068</v>
      </c>
      <c r="Z100" s="39">
        <f t="shared" si="883"/>
        <v>1012</v>
      </c>
      <c r="AA100" s="39">
        <f t="shared" ref="AA100" si="884">AA96+AA97+AA98+AA99</f>
        <v>1092</v>
      </c>
      <c r="AB100" s="39">
        <f t="shared" ref="AB100:AC100" si="885">AB96+AB97+AB98+AB99</f>
        <v>1934</v>
      </c>
      <c r="AC100" s="39">
        <f t="shared" si="885"/>
        <v>1408</v>
      </c>
      <c r="AD100" s="39">
        <f t="shared" ref="AD100:AE100" si="886">AD96+AD97+AD98+AD99</f>
        <v>948</v>
      </c>
      <c r="AE100" s="39">
        <f t="shared" si="886"/>
        <v>393</v>
      </c>
      <c r="AF100" s="39">
        <f t="shared" ref="AF100:AG100" si="887">AF96+AF97+AF98+AF99</f>
        <v>802</v>
      </c>
      <c r="AG100" s="39">
        <f t="shared" si="887"/>
        <v>677</v>
      </c>
      <c r="AH100" s="39">
        <f t="shared" ref="AH100:AI100" si="888">AH96+AH97+AH98+AH99</f>
        <v>947</v>
      </c>
      <c r="AI100" s="40">
        <f t="shared" si="888"/>
        <v>1190</v>
      </c>
      <c r="AJ100" s="39">
        <f t="shared" ref="AJ100" si="889">AJ96+AJ97+AJ98+AJ99</f>
        <v>1535.8317105388146</v>
      </c>
      <c r="AK100" s="39">
        <f t="shared" ref="AK100:AL100" si="890">AK96+AK97+AK98+AK99</f>
        <v>972.81852891530036</v>
      </c>
      <c r="AL100" s="39">
        <f t="shared" si="890"/>
        <v>1043.4959621758512</v>
      </c>
      <c r="AM100" s="39">
        <f t="shared" ref="AM100:AN100" si="891">AM96+AM97+AM98+AM99</f>
        <v>1021.0407876733886</v>
      </c>
      <c r="AN100" s="39">
        <f t="shared" si="891"/>
        <v>1088.919023349456</v>
      </c>
      <c r="AO100" s="39">
        <f t="shared" ref="AO100:AP100" si="892">AO96+AO97+AO98+AO99</f>
        <v>1050.7320967968731</v>
      </c>
      <c r="AP100" s="39">
        <f t="shared" si="892"/>
        <v>1110.8981291154562</v>
      </c>
      <c r="AQ100" s="39">
        <f t="shared" ref="AQ100:AR100" si="893">AQ96+AQ97+AQ98+AQ99</f>
        <v>1056.392582569656</v>
      </c>
      <c r="AR100" s="39">
        <f t="shared" si="893"/>
        <v>1100.25545090634</v>
      </c>
      <c r="AS100" s="74"/>
      <c r="AT100" s="39">
        <f t="shared" ref="AT100:BB100" si="894">AT96+AT97+AT98+AT99</f>
        <v>812</v>
      </c>
      <c r="AU100" s="39">
        <f t="shared" si="894"/>
        <v>476</v>
      </c>
      <c r="AV100" s="39">
        <f t="shared" si="894"/>
        <v>642</v>
      </c>
      <c r="AW100" s="39">
        <f t="shared" si="894"/>
        <v>754</v>
      </c>
      <c r="AX100" s="39">
        <f t="shared" si="894"/>
        <v>1051</v>
      </c>
      <c r="AY100" s="39">
        <f t="shared" si="894"/>
        <v>1450</v>
      </c>
      <c r="AZ100" s="39">
        <f t="shared" si="894"/>
        <v>1657</v>
      </c>
      <c r="BA100" s="39">
        <f t="shared" si="894"/>
        <v>1539</v>
      </c>
      <c r="BB100" s="39">
        <f t="shared" si="894"/>
        <v>1559</v>
      </c>
      <c r="BC100" s="39">
        <f t="shared" ref="BC100" si="895">BC96+BC97+BC98+BC99</f>
        <v>1874</v>
      </c>
      <c r="BD100" s="39">
        <f t="shared" ref="BD100:BI100" si="896">BD96+BD97+BD98+BD99</f>
        <v>2178</v>
      </c>
      <c r="BE100" s="39">
        <f t="shared" si="896"/>
        <v>2080</v>
      </c>
      <c r="BF100" s="39">
        <f t="shared" si="896"/>
        <v>3026</v>
      </c>
      <c r="BG100" s="39">
        <f t="shared" si="896"/>
        <v>2356</v>
      </c>
      <c r="BH100" s="39">
        <f t="shared" si="896"/>
        <v>1195</v>
      </c>
      <c r="BI100" s="40">
        <f t="shared" si="896"/>
        <v>1624</v>
      </c>
      <c r="BJ100" s="39">
        <f t="shared" ref="BJ100:BK100" si="897">BJ96+BJ97+BJ98+BJ99</f>
        <v>2725.8317105388146</v>
      </c>
      <c r="BK100" s="39">
        <f t="shared" si="897"/>
        <v>2016.3144910911521</v>
      </c>
      <c r="BL100" s="39">
        <f t="shared" ref="BL100:BM100" si="898">BL96+BL97+BL98+BL99</f>
        <v>2109.9598110228444</v>
      </c>
      <c r="BM100" s="39">
        <f t="shared" si="898"/>
        <v>2161.6302259123286</v>
      </c>
      <c r="BN100" s="39">
        <f>BN96+BN97+BN98+BN99</f>
        <v>2156.6480334759954</v>
      </c>
    </row>
    <row r="101" spans="1:66" ht="12" customHeight="1" outlineLevel="1">
      <c r="A101" s="91" t="s">
        <v>1135</v>
      </c>
      <c r="B101" s="1" t="s">
        <v>16</v>
      </c>
      <c r="C101" s="62">
        <v>1</v>
      </c>
      <c r="D101" s="62">
        <f>1-C101</f>
        <v>0</v>
      </c>
      <c r="E101" s="62">
        <v>1</v>
      </c>
      <c r="F101" s="62">
        <f>6-E101</f>
        <v>5</v>
      </c>
      <c r="G101" s="62">
        <v>2</v>
      </c>
      <c r="H101" s="62">
        <f>3-G101</f>
        <v>1</v>
      </c>
      <c r="I101" s="62">
        <v>1</v>
      </c>
      <c r="J101" s="62">
        <v>0</v>
      </c>
      <c r="K101" s="62">
        <v>0</v>
      </c>
      <c r="L101" s="62">
        <v>0</v>
      </c>
      <c r="M101" s="62">
        <v>0</v>
      </c>
      <c r="N101" s="62">
        <v>0</v>
      </c>
      <c r="O101" s="62">
        <v>-13</v>
      </c>
      <c r="P101" s="62">
        <v>0</v>
      </c>
      <c r="Q101" s="62">
        <v>0</v>
      </c>
      <c r="R101" s="62">
        <v>-1</v>
      </c>
      <c r="S101" s="62">
        <v>2</v>
      </c>
      <c r="T101" s="62">
        <v>-3</v>
      </c>
      <c r="U101" s="62">
        <v>-1</v>
      </c>
      <c r="V101" s="62">
        <v>-1</v>
      </c>
      <c r="W101" s="62">
        <v>-2</v>
      </c>
      <c r="X101" s="62">
        <v>1</v>
      </c>
      <c r="Y101" s="62">
        <v>-6</v>
      </c>
      <c r="Z101" s="62">
        <v>0</v>
      </c>
      <c r="AA101" s="62">
        <v>5</v>
      </c>
      <c r="AB101" s="62">
        <v>-2</v>
      </c>
      <c r="AC101" s="62">
        <v>-6</v>
      </c>
      <c r="AD101" s="62">
        <v>-8</v>
      </c>
      <c r="AE101" s="62">
        <v>14</v>
      </c>
      <c r="AF101" s="62">
        <v>-1</v>
      </c>
      <c r="AG101" s="62">
        <v>7</v>
      </c>
      <c r="AH101" s="62">
        <v>-21</v>
      </c>
      <c r="AI101" s="57">
        <v>-15</v>
      </c>
      <c r="AJ101" s="58">
        <f t="shared" ref="AJ101" si="899">AI101</f>
        <v>-15</v>
      </c>
      <c r="AK101" s="58">
        <f t="shared" ref="AK101" si="900">AJ101</f>
        <v>-15</v>
      </c>
      <c r="AL101" s="58">
        <f t="shared" ref="AL101" si="901">AK101</f>
        <v>-15</v>
      </c>
      <c r="AM101" s="58">
        <f t="shared" ref="AM101" si="902">AL101</f>
        <v>-15</v>
      </c>
      <c r="AN101" s="58">
        <f t="shared" ref="AN101" si="903">AM101</f>
        <v>-15</v>
      </c>
      <c r="AO101" s="58">
        <f t="shared" ref="AO101" si="904">AN101</f>
        <v>-15</v>
      </c>
      <c r="AP101" s="58">
        <f t="shared" ref="AP101" si="905">AO101</f>
        <v>-15</v>
      </c>
      <c r="AQ101" s="58">
        <f t="shared" ref="AQ101" si="906">AP101</f>
        <v>-15</v>
      </c>
      <c r="AR101" s="58">
        <f t="shared" ref="AR101" si="907">AQ101</f>
        <v>-15</v>
      </c>
      <c r="AS101" s="8"/>
      <c r="AT101" s="41">
        <f>C101+D101</f>
        <v>1</v>
      </c>
      <c r="AU101" s="41">
        <f>E101+F101</f>
        <v>6</v>
      </c>
      <c r="AV101" s="41">
        <f>G101+H101</f>
        <v>3</v>
      </c>
      <c r="AW101" s="41">
        <f>I101+J101</f>
        <v>1</v>
      </c>
      <c r="AX101" s="41">
        <f>K101+L101</f>
        <v>0</v>
      </c>
      <c r="AY101" s="41">
        <f>M101+N101</f>
        <v>0</v>
      </c>
      <c r="AZ101" s="41">
        <f>O101+P101</f>
        <v>-13</v>
      </c>
      <c r="BA101" s="41">
        <f>Q101+R101</f>
        <v>-1</v>
      </c>
      <c r="BB101" s="41">
        <f>S101+T101</f>
        <v>-1</v>
      </c>
      <c r="BC101" s="41">
        <f>U101+V101</f>
        <v>-2</v>
      </c>
      <c r="BD101" s="41">
        <f>W101+X101</f>
        <v>-1</v>
      </c>
      <c r="BE101" s="41">
        <f>Y101+Z101</f>
        <v>-6</v>
      </c>
      <c r="BF101" s="41">
        <f>AA101+AB101</f>
        <v>3</v>
      </c>
      <c r="BG101" s="41">
        <f>AC101+AD101</f>
        <v>-14</v>
      </c>
      <c r="BH101" s="41">
        <f>AE101+AF101</f>
        <v>13</v>
      </c>
      <c r="BI101" s="42">
        <f>AG101+AH101</f>
        <v>-14</v>
      </c>
      <c r="BJ101" s="41">
        <f>AI101+AJ101</f>
        <v>-30</v>
      </c>
      <c r="BK101" s="41">
        <f>AK101+AL101</f>
        <v>-30</v>
      </c>
      <c r="BL101" s="41">
        <f>AM101+AN101</f>
        <v>-30</v>
      </c>
      <c r="BM101" s="41">
        <f>AO101+AP101</f>
        <v>-30</v>
      </c>
      <c r="BN101" s="41">
        <f>AQ101+AR101</f>
        <v>-30</v>
      </c>
    </row>
    <row r="102" spans="1:66" s="16" customFormat="1" ht="12" customHeight="1" outlineLevel="1">
      <c r="A102" s="91" t="s">
        <v>556</v>
      </c>
      <c r="B102" s="16" t="s">
        <v>51</v>
      </c>
      <c r="C102" s="63">
        <f t="shared" ref="C102:H102" si="908">C100+C101</f>
        <v>492</v>
      </c>
      <c r="D102" s="63">
        <f t="shared" si="908"/>
        <v>321</v>
      </c>
      <c r="E102" s="63">
        <f t="shared" si="908"/>
        <v>228</v>
      </c>
      <c r="F102" s="63">
        <f t="shared" si="908"/>
        <v>254</v>
      </c>
      <c r="G102" s="63">
        <f t="shared" si="908"/>
        <v>401</v>
      </c>
      <c r="H102" s="63">
        <f t="shared" si="908"/>
        <v>244</v>
      </c>
      <c r="I102" s="63">
        <f>I100+I101</f>
        <v>356</v>
      </c>
      <c r="J102" s="63">
        <f>J100+J101</f>
        <v>399</v>
      </c>
      <c r="K102" s="63">
        <f>K100+K101</f>
        <v>500</v>
      </c>
      <c r="L102" s="63">
        <f t="shared" ref="L102:N102" si="909">L100+L101</f>
        <v>551</v>
      </c>
      <c r="M102" s="63">
        <f t="shared" ref="M102" si="910">M100+M101</f>
        <v>785</v>
      </c>
      <c r="N102" s="63">
        <f t="shared" si="909"/>
        <v>665</v>
      </c>
      <c r="O102" s="63">
        <f t="shared" ref="O102:P102" si="911">O100+O101</f>
        <v>1139</v>
      </c>
      <c r="P102" s="63">
        <f t="shared" si="911"/>
        <v>505</v>
      </c>
      <c r="Q102" s="63">
        <f t="shared" ref="Q102:R102" si="912">Q100+Q101</f>
        <v>857</v>
      </c>
      <c r="R102" s="63">
        <f t="shared" si="912"/>
        <v>681</v>
      </c>
      <c r="S102" s="63">
        <f t="shared" ref="S102:T102" si="913">S100+S101</f>
        <v>1143</v>
      </c>
      <c r="T102" s="63">
        <f t="shared" si="913"/>
        <v>415</v>
      </c>
      <c r="U102" s="63">
        <f t="shared" ref="U102:V102" si="914">U100+U101</f>
        <v>850</v>
      </c>
      <c r="V102" s="63">
        <f t="shared" si="914"/>
        <v>1022</v>
      </c>
      <c r="W102" s="63">
        <f t="shared" ref="W102:X102" si="915">W100+W101</f>
        <v>1122</v>
      </c>
      <c r="X102" s="63">
        <f t="shared" si="915"/>
        <v>1055</v>
      </c>
      <c r="Y102" s="63">
        <f t="shared" ref="Y102:Z102" si="916">Y100+Y101</f>
        <v>1062</v>
      </c>
      <c r="Z102" s="63">
        <f t="shared" si="916"/>
        <v>1012</v>
      </c>
      <c r="AA102" s="63">
        <f t="shared" ref="AA102" si="917">AA100+AA101</f>
        <v>1097</v>
      </c>
      <c r="AB102" s="63">
        <f t="shared" ref="AB102:AC102" si="918">AB100+AB101</f>
        <v>1932</v>
      </c>
      <c r="AC102" s="63">
        <f t="shared" si="918"/>
        <v>1402</v>
      </c>
      <c r="AD102" s="63">
        <f t="shared" ref="AD102:AE102" si="919">AD100+AD101</f>
        <v>940</v>
      </c>
      <c r="AE102" s="63">
        <f t="shared" si="919"/>
        <v>407</v>
      </c>
      <c r="AF102" s="63">
        <f t="shared" ref="AF102:AG102" si="920">AF100+AF101</f>
        <v>801</v>
      </c>
      <c r="AG102" s="63">
        <f t="shared" si="920"/>
        <v>684</v>
      </c>
      <c r="AH102" s="63">
        <f t="shared" ref="AH102:AI102" si="921">AH100+AH101</f>
        <v>926</v>
      </c>
      <c r="AI102" s="64">
        <f t="shared" si="921"/>
        <v>1175</v>
      </c>
      <c r="AJ102" s="63">
        <f t="shared" ref="AJ102" si="922">AJ100+AJ101</f>
        <v>1520.8317105388146</v>
      </c>
      <c r="AK102" s="63">
        <f t="shared" ref="AK102:AL102" si="923">AK100+AK101</f>
        <v>957.81852891530036</v>
      </c>
      <c r="AL102" s="63">
        <f t="shared" si="923"/>
        <v>1028.4959621758512</v>
      </c>
      <c r="AM102" s="63">
        <f t="shared" ref="AM102:AN102" si="924">AM100+AM101</f>
        <v>1006.0407876733886</v>
      </c>
      <c r="AN102" s="63">
        <f t="shared" si="924"/>
        <v>1073.919023349456</v>
      </c>
      <c r="AO102" s="63">
        <f t="shared" ref="AO102:AP102" si="925">AO100+AO101</f>
        <v>1035.7320967968731</v>
      </c>
      <c r="AP102" s="63">
        <f t="shared" si="925"/>
        <v>1095.8981291154562</v>
      </c>
      <c r="AQ102" s="63">
        <f t="shared" ref="AQ102:AR102" si="926">AQ100+AQ101</f>
        <v>1041.392582569656</v>
      </c>
      <c r="AR102" s="63">
        <f t="shared" si="926"/>
        <v>1085.25545090634</v>
      </c>
      <c r="AS102" s="75"/>
      <c r="AT102" s="63">
        <f t="shared" ref="AT102:BB102" si="927">AT100+AT101</f>
        <v>813</v>
      </c>
      <c r="AU102" s="63">
        <f t="shared" si="927"/>
        <v>482</v>
      </c>
      <c r="AV102" s="63">
        <f t="shared" si="927"/>
        <v>645</v>
      </c>
      <c r="AW102" s="63">
        <f t="shared" si="927"/>
        <v>755</v>
      </c>
      <c r="AX102" s="63">
        <f t="shared" si="927"/>
        <v>1051</v>
      </c>
      <c r="AY102" s="63">
        <f t="shared" si="927"/>
        <v>1450</v>
      </c>
      <c r="AZ102" s="63">
        <f t="shared" si="927"/>
        <v>1644</v>
      </c>
      <c r="BA102" s="63">
        <f t="shared" si="927"/>
        <v>1538</v>
      </c>
      <c r="BB102" s="63">
        <f t="shared" si="927"/>
        <v>1558</v>
      </c>
      <c r="BC102" s="63">
        <f t="shared" ref="BC102" si="928">BC100+BC101</f>
        <v>1872</v>
      </c>
      <c r="BD102" s="63">
        <f t="shared" ref="BD102:BI102" si="929">BD100+BD101</f>
        <v>2177</v>
      </c>
      <c r="BE102" s="63">
        <f t="shared" si="929"/>
        <v>2074</v>
      </c>
      <c r="BF102" s="63">
        <f t="shared" si="929"/>
        <v>3029</v>
      </c>
      <c r="BG102" s="63">
        <f t="shared" si="929"/>
        <v>2342</v>
      </c>
      <c r="BH102" s="63">
        <f t="shared" si="929"/>
        <v>1208</v>
      </c>
      <c r="BI102" s="64">
        <f t="shared" si="929"/>
        <v>1610</v>
      </c>
      <c r="BJ102" s="63">
        <f t="shared" ref="BJ102:BK102" si="930">BJ100+BJ101</f>
        <v>2695.8317105388146</v>
      </c>
      <c r="BK102" s="63">
        <f t="shared" si="930"/>
        <v>1986.3144910911521</v>
      </c>
      <c r="BL102" s="63">
        <f t="shared" ref="BL102:BM102" si="931">BL100+BL101</f>
        <v>2079.9598110228444</v>
      </c>
      <c r="BM102" s="63">
        <f t="shared" si="931"/>
        <v>2131.6302259123286</v>
      </c>
      <c r="BN102" s="63">
        <f>BN100+BN101</f>
        <v>2126.6480334759954</v>
      </c>
    </row>
    <row r="103" spans="1:66" s="9" customFormat="1" ht="12" customHeight="1" outlineLevel="1">
      <c r="A103" s="91"/>
      <c r="C103" s="63"/>
      <c r="D103" s="63"/>
      <c r="E103" s="63"/>
      <c r="F103" s="63"/>
      <c r="G103" s="63"/>
      <c r="H103" s="63"/>
      <c r="I103" s="63"/>
      <c r="J103" s="63"/>
      <c r="K103" s="63"/>
      <c r="L103" s="63"/>
      <c r="M103" s="44"/>
      <c r="N103" s="44"/>
      <c r="O103" s="33"/>
      <c r="P103" s="59">
        <f>P102+O102</f>
        <v>1644</v>
      </c>
      <c r="Q103" s="59"/>
      <c r="R103" s="59">
        <f>R102+Q102</f>
        <v>1538</v>
      </c>
      <c r="S103" s="59"/>
      <c r="T103" s="59">
        <f>T102+S102</f>
        <v>1558</v>
      </c>
      <c r="U103" s="59"/>
      <c r="V103" s="59">
        <f>V102+U102</f>
        <v>1872</v>
      </c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  <c r="AG103" s="59"/>
      <c r="AH103" s="59"/>
      <c r="AI103" s="60"/>
      <c r="AJ103" s="59">
        <f>+SUM(AJ97:AJ99)-SUM(AI97:AI99)</f>
        <v>137.16794001379344</v>
      </c>
      <c r="AK103" s="63"/>
      <c r="AL103" s="59"/>
      <c r="AM103" s="63"/>
      <c r="AN103" s="59"/>
      <c r="AO103" s="63"/>
      <c r="AP103" s="59"/>
      <c r="AQ103" s="63"/>
      <c r="AR103" s="59"/>
      <c r="AS103" s="74"/>
      <c r="AT103" s="39"/>
      <c r="AU103" s="39"/>
      <c r="AV103" s="39"/>
      <c r="AW103" s="39"/>
      <c r="AX103" s="63"/>
      <c r="AY103" s="271"/>
      <c r="AZ103" s="271"/>
      <c r="BA103" s="271"/>
      <c r="BB103" s="271"/>
      <c r="BC103" s="271"/>
      <c r="BD103" s="271"/>
      <c r="BE103" s="468"/>
      <c r="BF103" s="271"/>
      <c r="BG103" s="270"/>
      <c r="BH103" s="270"/>
      <c r="BI103" s="500"/>
      <c r="BJ103" s="271"/>
      <c r="BK103" s="271"/>
      <c r="BL103" s="271"/>
      <c r="BM103" s="271"/>
      <c r="BN103" s="271"/>
    </row>
    <row r="104" spans="1:66" s="9" customFormat="1" ht="12" customHeight="1" outlineLevel="1">
      <c r="A104" s="91"/>
      <c r="B104" s="9" t="s">
        <v>50</v>
      </c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50">
        <f>R103/P103-1</f>
        <v>-6.4476885644768833E-2</v>
      </c>
      <c r="S104" s="50"/>
      <c r="T104" s="50">
        <f>T103/R103-1</f>
        <v>1.3003901170351106E-2</v>
      </c>
      <c r="U104" s="50"/>
      <c r="V104" s="44">
        <f>V103/T103-1</f>
        <v>0.20154043645699615</v>
      </c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9"/>
      <c r="AJ104" s="39"/>
      <c r="AK104" s="39"/>
      <c r="AL104" s="39"/>
      <c r="AM104" s="39"/>
      <c r="AN104" s="39"/>
      <c r="AO104" s="39"/>
      <c r="AP104" s="39"/>
      <c r="AQ104" s="39"/>
      <c r="AR104" s="39"/>
      <c r="AS104" s="74"/>
      <c r="AT104" s="39"/>
      <c r="AU104" s="39"/>
      <c r="AV104" s="39"/>
      <c r="AW104" s="39"/>
      <c r="AX104" s="39"/>
      <c r="AY104" s="270"/>
      <c r="AZ104" s="270"/>
      <c r="BA104" s="270"/>
      <c r="BB104" s="270"/>
      <c r="BC104" s="270"/>
      <c r="BD104" s="270"/>
      <c r="BE104" s="270"/>
      <c r="BF104" s="44"/>
      <c r="BG104" s="44"/>
      <c r="BH104" s="44"/>
      <c r="BI104" s="49"/>
      <c r="BJ104" s="44"/>
      <c r="BK104" s="44"/>
      <c r="BL104" s="44"/>
      <c r="BM104" s="44"/>
      <c r="BN104" s="44"/>
    </row>
    <row r="105" spans="1:66" ht="12" customHeight="1" outlineLevel="1">
      <c r="A105" s="91" t="str">
        <f>LEFT(A102,3)&amp;"_CapEarnings"</f>
        <v>MFG_CapEarnings</v>
      </c>
      <c r="B105" s="1" t="s">
        <v>53</v>
      </c>
      <c r="C105" s="62">
        <f>3105-(C682+C174+C541+C611+C326+C96)-(C691+C183+C550+C620+C335)</f>
        <v>-104</v>
      </c>
      <c r="D105" s="62">
        <f>6638-3105-(D682+D174+D541+D611+D326+D96)-(D691+D183+D550+D620+D335)</f>
        <v>-102</v>
      </c>
      <c r="E105" s="62">
        <f>3661-(E682+E174+E541+E611+E326+E96)-(E691+E183+E550+E620+E335)</f>
        <v>282</v>
      </c>
      <c r="F105" s="62">
        <f>7665-3661-(F682+F174+F541+F611+F326+F96)-(F691+F183+F550+F620+F335)</f>
        <v>149</v>
      </c>
      <c r="G105" s="62">
        <f>3243-(G682+G174+G541+G611+G326+G96)-(G691+G183+G550+G620+G335)</f>
        <v>-18</v>
      </c>
      <c r="H105" s="62">
        <f>6963-3243-(H682+H174+H541+H611+H326+H96)-(H691+H183+H550+H620+H335)</f>
        <v>79</v>
      </c>
      <c r="I105" s="62">
        <f>2995-(I682+I174+I541+I611+I326+I96)-(I691+I183+I550+I620+I335)</f>
        <v>-98</v>
      </c>
      <c r="J105" s="62">
        <f>3427-(J682+J174+J541+J611+J326+J96)-(J691+J183+J550+J620+J335)</f>
        <v>-54</v>
      </c>
      <c r="K105" s="62">
        <f>3592-(K682+K174+K541+K611+K326+K96)-(K691+K183+K550+K620+K335)</f>
        <v>-6</v>
      </c>
      <c r="L105" s="62">
        <f>4190-(L682+L174+L541+L611+L326+L96)-(L691+L183+L550+L620+L335)</f>
        <v>14</v>
      </c>
      <c r="M105" s="62">
        <f>4177-(M682+M174+M541+M611+M326+M96)-(M691+M183+M550+M620+M335)</f>
        <v>3</v>
      </c>
      <c r="N105" s="62">
        <f>4994-(N682+N174+N541+N611+N326+N96)-(N691+N183+N550+N620+N335)</f>
        <v>-5</v>
      </c>
      <c r="O105" s="62">
        <f>5315-(O682+O174+O541+O611+O326+O96)-(O691+O183+O550+O620+O335)</f>
        <v>0</v>
      </c>
      <c r="P105" s="62">
        <f>4576-(P682+P174+P541+P611+P326+P96)-(P691+P183+P550+P620+P335)</f>
        <v>0</v>
      </c>
      <c r="Q105" s="62">
        <v>-14</v>
      </c>
      <c r="R105" s="62">
        <v>-30</v>
      </c>
      <c r="S105" s="62">
        <v>0</v>
      </c>
      <c r="T105" s="62">
        <v>-33</v>
      </c>
      <c r="U105" s="62">
        <v>0</v>
      </c>
      <c r="V105" s="62">
        <v>-107</v>
      </c>
      <c r="W105" s="62">
        <v>0</v>
      </c>
      <c r="X105" s="62">
        <v>-89</v>
      </c>
      <c r="Y105" s="62">
        <v>-2</v>
      </c>
      <c r="Z105" s="62">
        <v>-29</v>
      </c>
      <c r="AA105" s="62">
        <v>-3</v>
      </c>
      <c r="AB105" s="62">
        <v>-15</v>
      </c>
      <c r="AC105" s="62">
        <v>-63</v>
      </c>
      <c r="AD105" s="62">
        <v>-29</v>
      </c>
      <c r="AE105" s="62">
        <v>0</v>
      </c>
      <c r="AF105" s="62">
        <v>-2</v>
      </c>
      <c r="AG105" s="62">
        <v>-3</v>
      </c>
      <c r="AH105" s="62">
        <v>-20</v>
      </c>
      <c r="AI105" s="57">
        <v>40</v>
      </c>
      <c r="AJ105" s="41">
        <f t="shared" ref="AJ105:AR105" si="932">AI105*AJ$480/AI$480</f>
        <v>40</v>
      </c>
      <c r="AK105" s="41">
        <f t="shared" si="932"/>
        <v>40</v>
      </c>
      <c r="AL105" s="41">
        <f t="shared" si="932"/>
        <v>40</v>
      </c>
      <c r="AM105" s="41">
        <f t="shared" si="932"/>
        <v>40</v>
      </c>
      <c r="AN105" s="41">
        <f t="shared" si="932"/>
        <v>40</v>
      </c>
      <c r="AO105" s="41">
        <f t="shared" si="932"/>
        <v>40</v>
      </c>
      <c r="AP105" s="41">
        <f t="shared" si="932"/>
        <v>40</v>
      </c>
      <c r="AQ105" s="41">
        <f t="shared" si="932"/>
        <v>40</v>
      </c>
      <c r="AR105" s="41">
        <f t="shared" si="932"/>
        <v>40</v>
      </c>
      <c r="AS105" s="8"/>
      <c r="AT105" s="41">
        <f>C105+D105</f>
        <v>-206</v>
      </c>
      <c r="AU105" s="41">
        <f>E105+F105</f>
        <v>431</v>
      </c>
      <c r="AV105" s="41">
        <f>G105+H105</f>
        <v>61</v>
      </c>
      <c r="AW105" s="41">
        <f>I105+J105</f>
        <v>-152</v>
      </c>
      <c r="AX105" s="41">
        <f>K105+L105</f>
        <v>8</v>
      </c>
      <c r="AY105" s="41">
        <f>M105+N105</f>
        <v>-2</v>
      </c>
      <c r="AZ105" s="41">
        <f>O105+P105</f>
        <v>0</v>
      </c>
      <c r="BA105" s="41">
        <f>Q105+R105</f>
        <v>-44</v>
      </c>
      <c r="BB105" s="41">
        <f>S105+T105</f>
        <v>-33</v>
      </c>
      <c r="BC105" s="41">
        <f>U105+V105</f>
        <v>-107</v>
      </c>
      <c r="BD105" s="41">
        <f>W105+X105</f>
        <v>-89</v>
      </c>
      <c r="BE105" s="41">
        <f>Y105+Z105</f>
        <v>-31</v>
      </c>
      <c r="BF105" s="41">
        <f>AA105+AB105</f>
        <v>-18</v>
      </c>
      <c r="BG105" s="41">
        <f>AC105+AD105</f>
        <v>-92</v>
      </c>
      <c r="BH105" s="41">
        <f>AE105+AF105</f>
        <v>-2</v>
      </c>
      <c r="BI105" s="42">
        <f>AG105+AH105</f>
        <v>-23</v>
      </c>
      <c r="BJ105" s="41">
        <f>AI105+AJ105</f>
        <v>80</v>
      </c>
      <c r="BK105" s="41">
        <f>AK105+AL105</f>
        <v>80</v>
      </c>
      <c r="BL105" s="41">
        <f>AM105+AN105</f>
        <v>80</v>
      </c>
      <c r="BM105" s="41">
        <f>AO105+AP105</f>
        <v>80</v>
      </c>
      <c r="BN105" s="41">
        <f>AQ105+AR105</f>
        <v>80</v>
      </c>
    </row>
    <row r="106" spans="1:66" ht="12" customHeight="1" outlineLevel="1">
      <c r="A106" s="91" t="str">
        <f>LEFT(A102,3)&amp;"_CenCosts"</f>
        <v>MFG_CenCosts</v>
      </c>
      <c r="B106" s="1" t="s">
        <v>12</v>
      </c>
      <c r="C106" s="41"/>
      <c r="D106" s="41"/>
      <c r="E106" s="41"/>
      <c r="F106" s="41"/>
      <c r="G106" s="41">
        <f t="shared" ref="G106:AB106" si="933">G$472*(G96)/(G$28-G$469)</f>
        <v>77.598950293300405</v>
      </c>
      <c r="H106" s="41">
        <f t="shared" si="933"/>
        <v>52.80158505519389</v>
      </c>
      <c r="I106" s="41">
        <f t="shared" si="933"/>
        <v>68.545454545454547</v>
      </c>
      <c r="J106" s="41">
        <f t="shared" si="933"/>
        <v>73.13572047357782</v>
      </c>
      <c r="K106" s="41">
        <f t="shared" si="933"/>
        <v>73.554110157763631</v>
      </c>
      <c r="L106" s="41">
        <f t="shared" si="933"/>
        <v>82.777223014740841</v>
      </c>
      <c r="M106" s="41">
        <f t="shared" si="933"/>
        <v>91.882338844955669</v>
      </c>
      <c r="N106" s="41">
        <f t="shared" si="933"/>
        <v>76.453360080240728</v>
      </c>
      <c r="O106" s="41">
        <f t="shared" si="933"/>
        <v>107.12008281573499</v>
      </c>
      <c r="P106" s="41">
        <f t="shared" si="933"/>
        <v>99.313278899871079</v>
      </c>
      <c r="Q106" s="41">
        <f t="shared" si="933"/>
        <v>88.906858984195182</v>
      </c>
      <c r="R106" s="41">
        <f t="shared" si="933"/>
        <v>73.839986803035302</v>
      </c>
      <c r="S106" s="41">
        <f t="shared" si="933"/>
        <v>93.758451039517539</v>
      </c>
      <c r="T106" s="41">
        <f t="shared" si="933"/>
        <v>54.84147451456311</v>
      </c>
      <c r="U106" s="41">
        <f t="shared" si="933"/>
        <v>118</v>
      </c>
      <c r="V106" s="41">
        <f t="shared" si="933"/>
        <v>64.857039919296724</v>
      </c>
      <c r="W106" s="41">
        <f t="shared" si="933"/>
        <v>161.16120174446777</v>
      </c>
      <c r="X106" s="41">
        <f t="shared" si="933"/>
        <v>135.0136616630123</v>
      </c>
      <c r="Y106" s="41">
        <f t="shared" si="933"/>
        <v>158.86371873867344</v>
      </c>
      <c r="Z106" s="41">
        <f t="shared" si="933"/>
        <v>128.11292613636363</v>
      </c>
      <c r="AA106" s="41">
        <f t="shared" si="933"/>
        <v>164.84392912975508</v>
      </c>
      <c r="AB106" s="41">
        <f t="shared" si="933"/>
        <v>222.58203084566816</v>
      </c>
      <c r="AC106" s="41">
        <v>0</v>
      </c>
      <c r="AD106" s="41">
        <v>0</v>
      </c>
      <c r="AE106" s="41">
        <v>0</v>
      </c>
      <c r="AF106" s="41">
        <v>0</v>
      </c>
      <c r="AG106" s="41">
        <v>0</v>
      </c>
      <c r="AH106" s="41">
        <v>0</v>
      </c>
      <c r="AI106" s="42">
        <v>0</v>
      </c>
      <c r="AJ106" s="41">
        <f>AI106</f>
        <v>0</v>
      </c>
      <c r="AK106" s="41">
        <f t="shared" ref="AK106:AR106" si="934">AJ106</f>
        <v>0</v>
      </c>
      <c r="AL106" s="41">
        <f t="shared" si="934"/>
        <v>0</v>
      </c>
      <c r="AM106" s="41">
        <f t="shared" si="934"/>
        <v>0</v>
      </c>
      <c r="AN106" s="41">
        <f t="shared" si="934"/>
        <v>0</v>
      </c>
      <c r="AO106" s="41">
        <f t="shared" si="934"/>
        <v>0</v>
      </c>
      <c r="AP106" s="41">
        <f t="shared" si="934"/>
        <v>0</v>
      </c>
      <c r="AQ106" s="41">
        <f t="shared" si="934"/>
        <v>0</v>
      </c>
      <c r="AR106" s="41">
        <f t="shared" si="934"/>
        <v>0</v>
      </c>
      <c r="AS106" s="8"/>
      <c r="AT106" s="41"/>
      <c r="AU106" s="41"/>
      <c r="AV106" s="41">
        <f>G106+H106</f>
        <v>130.40053534849429</v>
      </c>
      <c r="AW106" s="41">
        <f>I106+J106</f>
        <v>141.68117501903237</v>
      </c>
      <c r="AX106" s="41">
        <f>K106+L106</f>
        <v>156.33133317250446</v>
      </c>
      <c r="AY106" s="41">
        <f>M106+N106</f>
        <v>168.3356989251964</v>
      </c>
      <c r="AZ106" s="41">
        <f>O106+P106</f>
        <v>206.43336171560605</v>
      </c>
      <c r="BA106" s="41">
        <f>Q106+R106</f>
        <v>162.74684578723048</v>
      </c>
      <c r="BB106" s="41">
        <f>S106+T106</f>
        <v>148.59992555408064</v>
      </c>
      <c r="BC106" s="41">
        <f>U106+V106</f>
        <v>182.85703991929671</v>
      </c>
      <c r="BD106" s="41">
        <f>W106+X106</f>
        <v>296.17486340748007</v>
      </c>
      <c r="BE106" s="41">
        <f>Y106+Z106</f>
        <v>286.9766448750371</v>
      </c>
      <c r="BF106" s="41">
        <f>AA106+AB106</f>
        <v>387.42595997542321</v>
      </c>
      <c r="BG106" s="41">
        <f>AC106+AD106</f>
        <v>0</v>
      </c>
      <c r="BH106" s="41">
        <f>AE106+AF106</f>
        <v>0</v>
      </c>
      <c r="BI106" s="42">
        <f>AG106+AH106</f>
        <v>0</v>
      </c>
      <c r="BJ106" s="41">
        <f>AI106+AJ106</f>
        <v>0</v>
      </c>
      <c r="BK106" s="41">
        <f>AK106+AL106</f>
        <v>0</v>
      </c>
      <c r="BL106" s="41">
        <f>AM106+AN106</f>
        <v>0</v>
      </c>
      <c r="BM106" s="41">
        <f>AO106+AP106</f>
        <v>0</v>
      </c>
      <c r="BN106" s="41">
        <f>AQ106+AR106</f>
        <v>0</v>
      </c>
    </row>
    <row r="107" spans="1:66" ht="12" customHeight="1" outlineLevel="1">
      <c r="A107" s="91" t="str">
        <f>LEFT(A102,3)&amp;"_ProfitShare"</f>
        <v>MFG_ProfitShare</v>
      </c>
      <c r="B107" s="1" t="s">
        <v>13</v>
      </c>
      <c r="C107" s="41"/>
      <c r="D107" s="41"/>
      <c r="E107" s="41"/>
      <c r="F107" s="41"/>
      <c r="G107" s="41">
        <f t="shared" ref="G107:AB107" si="935">(G109-(G100+G106+G105)*(1-G143)-G101)/(1-G143)</f>
        <v>-231.45055411184188</v>
      </c>
      <c r="H107" s="41">
        <f t="shared" si="935"/>
        <v>-139.9727418382914</v>
      </c>
      <c r="I107" s="41">
        <f t="shared" si="935"/>
        <v>-70.493750790077755</v>
      </c>
      <c r="J107" s="41">
        <f t="shared" si="935"/>
        <v>-121.88151896337673</v>
      </c>
      <c r="K107" s="41">
        <f t="shared" si="935"/>
        <v>-9209.2196908146252</v>
      </c>
      <c r="L107" s="41">
        <f t="shared" si="935"/>
        <v>-66968.628456311257</v>
      </c>
      <c r="M107" s="41">
        <f t="shared" si="935"/>
        <v>-305.06261389291103</v>
      </c>
      <c r="N107" s="41">
        <f t="shared" si="935"/>
        <v>-170.34671190706257</v>
      </c>
      <c r="O107" s="41">
        <f t="shared" si="935"/>
        <v>-291.40012716438764</v>
      </c>
      <c r="P107" s="41">
        <f t="shared" si="935"/>
        <v>-328.91699494773042</v>
      </c>
      <c r="Q107" s="41">
        <f t="shared" si="935"/>
        <v>-378.57345939771409</v>
      </c>
      <c r="R107" s="41">
        <f t="shared" si="935"/>
        <v>-288.8188003061731</v>
      </c>
      <c r="S107" s="41">
        <f t="shared" si="935"/>
        <v>-509.52291160626424</v>
      </c>
      <c r="T107" s="41">
        <f t="shared" si="935"/>
        <v>-285.24689762095414</v>
      </c>
      <c r="U107" s="41">
        <f t="shared" si="935"/>
        <v>-351.41022036325722</v>
      </c>
      <c r="V107" s="41">
        <f t="shared" si="935"/>
        <v>-33.888928709181371</v>
      </c>
      <c r="W107" s="41">
        <f t="shared" si="935"/>
        <v>-592.92684130047371</v>
      </c>
      <c r="X107" s="41">
        <f t="shared" si="935"/>
        <v>-544.86188278481529</v>
      </c>
      <c r="Y107" s="41">
        <f t="shared" si="935"/>
        <v>-590.47524904213276</v>
      </c>
      <c r="Z107" s="41">
        <f t="shared" si="935"/>
        <v>-413.30595808785921</v>
      </c>
      <c r="AA107" s="41">
        <f t="shared" si="935"/>
        <v>-509.87679634854624</v>
      </c>
      <c r="AB107" s="41">
        <f t="shared" si="935"/>
        <v>-1544.1912817064003</v>
      </c>
      <c r="AC107" s="41">
        <f>'[2]MQG - Divisional ROE Reco'!C255</f>
        <v>-519.40506329113941</v>
      </c>
      <c r="AD107" s="41">
        <f>'[2]MQG - Divisional ROE Reco'!C228</f>
        <v>-506.85637461735723</v>
      </c>
      <c r="AE107" s="41">
        <f>'[2]MQG - Divisional ROE Reco'!C173</f>
        <v>-80.355263157894797</v>
      </c>
      <c r="AF107" s="41">
        <f>'[2]MQG - Divisional ROE Reco'!C146</f>
        <v>-333.06578947368439</v>
      </c>
      <c r="AG107" s="41">
        <f>'[2]MQG - Divisional ROE Reco'!C91</f>
        <v>-133.31506849315065</v>
      </c>
      <c r="AH107" s="558">
        <f>'[2]MQG - Divisional ROE Reco'!C64</f>
        <v>-242.94299602297815</v>
      </c>
      <c r="AI107" s="568">
        <f>'[2]MQG - Divisional ROE Reco'!$C$9</f>
        <v>-126.85810810810835</v>
      </c>
      <c r="AJ107" s="41">
        <f>AH107/AH88*AJ88</f>
        <v>-252.7551492020001</v>
      </c>
      <c r="AK107" s="41">
        <f>AJ107/AJ96*AK96*1.25</f>
        <v>-230.69630506105713</v>
      </c>
      <c r="AL107" s="41">
        <f>AK107/AK96*AL96*1.05</f>
        <v>-252.18422643187327</v>
      </c>
      <c r="AM107" s="41">
        <f t="shared" ref="AM107:AR107" si="936">AL107/AL96*AM96</f>
        <v>-249.84568164938241</v>
      </c>
      <c r="AN107" s="41">
        <f t="shared" si="936"/>
        <v>-259.20466250599242</v>
      </c>
      <c r="AO107" s="41">
        <f t="shared" si="936"/>
        <v>-254.34660953978738</v>
      </c>
      <c r="AP107" s="41">
        <f t="shared" si="936"/>
        <v>-262.00619184623218</v>
      </c>
      <c r="AQ107" s="41">
        <f t="shared" si="936"/>
        <v>-255.21281653283899</v>
      </c>
      <c r="AR107" s="41">
        <f t="shared" si="936"/>
        <v>-260.82622346355333</v>
      </c>
      <c r="AS107" s="8"/>
      <c r="AT107" s="41"/>
      <c r="AU107" s="41"/>
      <c r="AV107" s="41">
        <f>G107+H107</f>
        <v>-371.42329595013325</v>
      </c>
      <c r="AW107" s="41">
        <f>I107+J107</f>
        <v>-192.37526975345449</v>
      </c>
      <c r="AX107" s="41">
        <f>K107+L107</f>
        <v>-76177.848147125886</v>
      </c>
      <c r="AY107" s="41">
        <f>M107+N107</f>
        <v>-475.4093257999736</v>
      </c>
      <c r="AZ107" s="41">
        <f>O107+P107</f>
        <v>-620.31712211211811</v>
      </c>
      <c r="BA107" s="41">
        <f>Q107+R107</f>
        <v>-667.39225970388725</v>
      </c>
      <c r="BB107" s="41">
        <f>S107+T107</f>
        <v>-794.76980922721839</v>
      </c>
      <c r="BC107" s="41">
        <f>U107+V107</f>
        <v>-385.29914907243858</v>
      </c>
      <c r="BD107" s="41">
        <f>W107+X107</f>
        <v>-1137.788724085289</v>
      </c>
      <c r="BE107" s="41">
        <f>Y107+Z107</f>
        <v>-1003.781207129992</v>
      </c>
      <c r="BF107" s="41">
        <f>AA107+AB107</f>
        <v>-2054.0680780549465</v>
      </c>
      <c r="BG107" s="41">
        <f>AC107+AD107</f>
        <v>-1026.2614379084966</v>
      </c>
      <c r="BH107" s="41">
        <f>AE107+AF107</f>
        <v>-413.42105263157919</v>
      </c>
      <c r="BI107" s="42">
        <f>AG107+AH107</f>
        <v>-376.2580645161288</v>
      </c>
      <c r="BJ107" s="41">
        <f>AI107+AJ107</f>
        <v>-379.61325731010845</v>
      </c>
      <c r="BK107" s="41">
        <f>AK107+AL107</f>
        <v>-482.8805314929304</v>
      </c>
      <c r="BL107" s="41">
        <f>AM107+AN107</f>
        <v>-509.05034415537483</v>
      </c>
      <c r="BM107" s="41">
        <f>AO107+AP107</f>
        <v>-516.35280138601956</v>
      </c>
      <c r="BN107" s="41">
        <f>AQ107+AR107</f>
        <v>-516.03903999639238</v>
      </c>
    </row>
    <row r="108" spans="1:66" ht="12" customHeight="1" outlineLevel="1">
      <c r="A108" s="91" t="str">
        <f>LEFT(A102,3)&amp;"_Tax"</f>
        <v>MFG_Tax</v>
      </c>
      <c r="B108" s="1" t="s">
        <v>15</v>
      </c>
      <c r="C108" s="41"/>
      <c r="D108" s="41"/>
      <c r="E108" s="41"/>
      <c r="F108" s="41"/>
      <c r="G108" s="41">
        <f t="shared" ref="G108:H108" si="937">G109-(G102+G105+G106+G107)</f>
        <v>-57.371746435265635</v>
      </c>
      <c r="H108" s="41">
        <f t="shared" si="937"/>
        <v>-67.989293448639387</v>
      </c>
      <c r="I108" s="41">
        <f t="shared" ref="I108:N108" si="938">I109-(I102+I105+I106+I107)</f>
        <v>-79.569511974554899</v>
      </c>
      <c r="J108" s="41">
        <f t="shared" si="938"/>
        <v>-132.73639329102301</v>
      </c>
      <c r="K108" s="41">
        <f t="shared" si="938"/>
        <v>8831.8217727704432</v>
      </c>
      <c r="L108" s="41">
        <f t="shared" si="938"/>
        <v>66542.908334954773</v>
      </c>
      <c r="M108" s="41">
        <f t="shared" si="938"/>
        <v>-235.89369755478435</v>
      </c>
      <c r="N108" s="41">
        <f t="shared" si="938"/>
        <v>-227.29157968002755</v>
      </c>
      <c r="O108" s="41">
        <f t="shared" ref="O108" si="939">O109-(O102+O105+O106+O107)</f>
        <v>-335.96995565134739</v>
      </c>
      <c r="P108" s="41">
        <f t="shared" ref="P108:Q108" si="940">P109-(P102+P105+P106+P107)</f>
        <v>-92.396283952140664</v>
      </c>
      <c r="Q108" s="41">
        <f t="shared" si="940"/>
        <v>-182.35531739470036</v>
      </c>
      <c r="R108" s="41">
        <f t="shared" ref="R108:S108" si="941">R109-(R102+R105+R106+R107)</f>
        <v>-125.40474814069785</v>
      </c>
      <c r="S108" s="41">
        <f t="shared" si="941"/>
        <v>-211.32595039215744</v>
      </c>
      <c r="T108" s="41">
        <f t="shared" ref="T108:U108" si="942">T109-(T102+T105+T106+T107)</f>
        <v>-43.956220729225322</v>
      </c>
      <c r="U108" s="41">
        <f t="shared" si="942"/>
        <v>-128.2890436435041</v>
      </c>
      <c r="V108" s="41">
        <f t="shared" ref="V108:W108" si="943">V109-(V102+V105+V106+V107)</f>
        <v>-211.81955142870595</v>
      </c>
      <c r="W108" s="41">
        <f t="shared" si="943"/>
        <v>-137.88929002145869</v>
      </c>
      <c r="X108" s="41">
        <f t="shared" ref="X108:Y108" si="944">X109-(X102+X105+X106+X107)</f>
        <v>-112.55670845566169</v>
      </c>
      <c r="Y108" s="41">
        <f t="shared" si="944"/>
        <v>-131.28025051845856</v>
      </c>
      <c r="Z108" s="41">
        <f t="shared" ref="Z108:AA108" si="945">Z109-(Z102+Z105+Z106+Z107)</f>
        <v>-164.39463928138105</v>
      </c>
      <c r="AA108" s="41">
        <f t="shared" si="945"/>
        <v>-178.15754374011283</v>
      </c>
      <c r="AB108" s="41">
        <f t="shared" ref="AB108" si="946">AB109-(AB102+AB105+AB106+AB107)</f>
        <v>-69.734584755706237</v>
      </c>
      <c r="AC108" s="41">
        <f>'[2]MQG - Divisional ROE Reco'!C262</f>
        <v>-185.34493670886073</v>
      </c>
      <c r="AD108" s="41">
        <f>'[2]MQG - Divisional ROE Reco'!C235</f>
        <v>-127.14362538264257</v>
      </c>
      <c r="AE108" s="41">
        <f>'[2]MQG - Divisional ROE Reco'!C180</f>
        <v>-78.394736842105246</v>
      </c>
      <c r="AF108" s="41">
        <f>'[2]MQG - Divisional ROE Reco'!C153</f>
        <v>-109.18421052631579</v>
      </c>
      <c r="AG108" s="41">
        <f>'[2]MQG - Divisional ROE Reco'!C98</f>
        <v>-148.68493150684935</v>
      </c>
      <c r="AH108" s="558">
        <f>'[2]MQG - Divisional ROE Reco'!C71</f>
        <v>-132.05700397702162</v>
      </c>
      <c r="AI108" s="568">
        <f>'[2]MQG - Divisional ROE Reco'!$C$16</f>
        <v>-272.51689189189187</v>
      </c>
      <c r="AJ108" s="41">
        <f t="shared" ref="AJ108:AR108" si="947">(AJ102+AJ105+AJ106+AJ107)*AJ143</f>
        <v>-271.72979549619271</v>
      </c>
      <c r="AK108" s="41">
        <f t="shared" si="947"/>
        <v>-159.35608906214827</v>
      </c>
      <c r="AL108" s="41">
        <f t="shared" si="947"/>
        <v>-169.57434111361476</v>
      </c>
      <c r="AM108" s="41">
        <f t="shared" si="947"/>
        <v>-165.39546669490784</v>
      </c>
      <c r="AN108" s="41">
        <f t="shared" si="947"/>
        <v>-177.55180800908133</v>
      </c>
      <c r="AO108" s="41">
        <f t="shared" si="947"/>
        <v>-170.62832335120362</v>
      </c>
      <c r="AP108" s="41">
        <f t="shared" si="947"/>
        <v>-181.53561069640944</v>
      </c>
      <c r="AQ108" s="41">
        <f t="shared" si="947"/>
        <v>-171.62425006594938</v>
      </c>
      <c r="AR108" s="41">
        <f t="shared" si="947"/>
        <v>-179.56989991006998</v>
      </c>
      <c r="AS108" s="8"/>
      <c r="AT108" s="41"/>
      <c r="AU108" s="41"/>
      <c r="AV108" s="41">
        <f>G108+H108</f>
        <v>-125.36103988390502</v>
      </c>
      <c r="AW108" s="41">
        <f>I108+J108</f>
        <v>-212.30590526557791</v>
      </c>
      <c r="AX108" s="41">
        <f>K108+L108</f>
        <v>75374.73010772522</v>
      </c>
      <c r="AY108" s="41">
        <f>M108+N108</f>
        <v>-463.18527723481191</v>
      </c>
      <c r="AZ108" s="41">
        <f>O108+P108</f>
        <v>-428.36623960348805</v>
      </c>
      <c r="BA108" s="41">
        <f>Q108+R108</f>
        <v>-307.76006553539821</v>
      </c>
      <c r="BB108" s="41">
        <f>S108+T108</f>
        <v>-255.28217112138276</v>
      </c>
      <c r="BC108" s="41">
        <f>U108+V108</f>
        <v>-340.10859507221005</v>
      </c>
      <c r="BD108" s="41">
        <f>W108+X108</f>
        <v>-250.44599847712038</v>
      </c>
      <c r="BE108" s="41">
        <f>Y108+Z108</f>
        <v>-295.6748897998396</v>
      </c>
      <c r="BF108" s="41">
        <f>AA108+AB108</f>
        <v>-247.89212849581907</v>
      </c>
      <c r="BG108" s="41">
        <f>AC108+AD108</f>
        <v>-312.4885620915033</v>
      </c>
      <c r="BH108" s="41">
        <f>AE108+AF108</f>
        <v>-187.57894736842104</v>
      </c>
      <c r="BI108" s="42">
        <f>AG108+AH108</f>
        <v>-280.74193548387098</v>
      </c>
      <c r="BJ108" s="41">
        <f>AI108+AJ108</f>
        <v>-544.24668738808464</v>
      </c>
      <c r="BK108" s="41">
        <f>AK108+AL108</f>
        <v>-328.93043017576304</v>
      </c>
      <c r="BL108" s="41">
        <f>AM108+AN108</f>
        <v>-342.94727470398914</v>
      </c>
      <c r="BM108" s="41">
        <f>AO108+AP108</f>
        <v>-352.16393404761305</v>
      </c>
      <c r="BN108" s="41">
        <f>AQ108+AR108</f>
        <v>-351.19414997601939</v>
      </c>
    </row>
    <row r="109" spans="1:66" s="9" customFormat="1" ht="12" customHeight="1" outlineLevel="1">
      <c r="A109" s="92" t="str">
        <f>LEFT(A102,3)&amp;"_CE"</f>
        <v>MFG_CE</v>
      </c>
      <c r="B109" s="9" t="s">
        <v>54</v>
      </c>
      <c r="C109" s="39"/>
      <c r="D109" s="39"/>
      <c r="E109" s="39"/>
      <c r="F109" s="39"/>
      <c r="G109" s="39">
        <f>AVERAGE(F114:G114)*G146/G$5</f>
        <v>171.77664974619287</v>
      </c>
      <c r="H109" s="39">
        <f>AVERAGE(G114:H114)*H146/H$5</f>
        <v>167.83954976826308</v>
      </c>
      <c r="I109" s="39">
        <f>AVERAGE(H114:I114)*I146/I$5</f>
        <v>176.48219178082192</v>
      </c>
      <c r="J109" s="39">
        <f>AVERAGE(I114:J114)*J146/J$5</f>
        <v>163.51780821917808</v>
      </c>
      <c r="K109" s="61">
        <f>19%*SUM(AVERAGE(J114:K114),AVERAGE(J701:K701),AVERAGE(J192:K192))/K$5-K695-K187</f>
        <v>190.15619211358222</v>
      </c>
      <c r="L109" s="61">
        <f>((20%*SUM(AVERAGE(AW114:AX114),AVERAGE(AW701:AX701),AVERAGE(AW192:AX192))/AW$5-19%*SUM(AVERAGE(J114:K114),AVERAGE(J701:K701),AVERAGE(J192:K192))/K$5) * L$5 / SUM(AVERAGE(K114:L114),AVERAGE(K701:L701),AVERAGE(K192:L192)))*SUM(AVERAGE(K114:L114),AVERAGE(K701:L701),AVERAGE(K192:L192))/L$5-L695-L187</f>
        <v>222.05710165825519</v>
      </c>
      <c r="M109" s="61">
        <f>24%*SUM(AVERAGE(L114:M114),AVERAGE(L701:M701),AVERAGE(L192:M192))/M$5-M695-M187</f>
        <v>338.92602739726033</v>
      </c>
      <c r="N109" s="61">
        <f>((23%*SUM(AVERAGE(AX114:AY114),AVERAGE(AX701:AY701),AVERAGE(AX192:AY192))/AY$5-24%*SUM(AVERAGE(L114:M114),AVERAGE(L701:M701),AVERAGE(L192:M192))/M$5) * N$5 / SUM(AVERAGE(M114:N114),AVERAGE(M701:N701),AVERAGE(M192:N192)))*SUM(AVERAGE(M114:N114),AVERAGE(M701:N701),AVERAGE(M192:N192))/N$5-N695-N187</f>
        <v>338.81506849315065</v>
      </c>
      <c r="O109" s="61">
        <f>30%*SUM(AVERAGE(N114:O114),AVERAGE(N701:O701),AVERAGE(N192:O192))/O$5-O695-O187</f>
        <v>618.75</v>
      </c>
      <c r="P109" s="61">
        <f>((23%*SUM(AVERAGE(AY114:AZ114),AVERAGE(AY701:AZ701),AVERAGE(AY192:AZ192))/AZ$5-30%*SUM(AVERAGE(N114:O114),AVERAGE(N701:O701),AVERAGE(N192:O192))/O$5) * P$5 / SUM(AVERAGE(O114:P114),AVERAGE(O701:P701),AVERAGE(O192:P192)))*SUM(AVERAGE(O114:P114),AVERAGE(O701:P701),AVERAGE(O192:P192))/P$5-P695-P187</f>
        <v>183</v>
      </c>
      <c r="Q109" s="61">
        <f>22%*SUM(AVERAGE(P114:Q114),AVERAGE(P701:Q701),AVERAGE(P192:Q192))/Q$5-Q695-Q187</f>
        <v>370.9780821917808</v>
      </c>
      <c r="R109" s="61">
        <f>((22%*SUM(AVERAGE(AZ114:BA114),AVERAGE(BA701:BB701),AVERAGE(BA192:BB192))/BA$5-22%*SUM(AVERAGE(P114:Q114),AVERAGE(P701:Q701),AVERAGE(P192:Q192))/Q$5) * R$5 / SUM(AVERAGE(Q114:R114),AVERAGE(Q701:R701),AVERAGE(Q192:R192)))*SUM(AVERAGE(Q114:R114),AVERAGE(Q701:R701),AVERAGE(Q192:R192))/R$5-R695-R187</f>
        <v>310.61643835616439</v>
      </c>
      <c r="S109" s="61">
        <f>28%*SUM(AVERAGE(R114:S114),AVERAGE(R701:S701),AVERAGE(R192:S192))/S$5-S695-S187</f>
        <v>515.90958904109584</v>
      </c>
      <c r="T109" s="61">
        <f>((23%*SUM(AVERAGE(BA114:BB114),AVERAGE(BA701:BB701),AVERAGE(BA192:BB192))/BB$5-28%*SUM(AVERAGE(R114:S114),AVERAGE(R701:S701),AVERAGE(R192:S192))/S$5) * T$5 / SUM(AVERAGE(S114:T114),AVERAGE(S701:T701),AVERAGE(S192:T192)))*SUM(AVERAGE(S114:T114),AVERAGE(S701:T701),AVERAGE(S192:T192))/T$5-T695-T187</f>
        <v>107.63835616438365</v>
      </c>
      <c r="U109" s="61">
        <f>19%*SUM(AVERAGE(T114:U114),AVERAGE(T701:U701),AVERAGE(T192:U192))/U$5-U695-U187</f>
        <v>488.30073599323873</v>
      </c>
      <c r="V109" s="61">
        <f>((22%*SUM(AVERAGE(BB114:BC114),AVERAGE(BB701:BC701),AVERAGE(BB192:BC192))/BD$5-19%*SUM(AVERAGE(T114:U114),AVERAGE(T701:U701),AVERAGE(T192:U192))/U$5) * V$5 / SUM(AVERAGE(U114:V114),AVERAGE(U701:V701),AVERAGE(U192:V192)))*SUM(AVERAGE(U114:V114),AVERAGE(U701:V701),AVERAGE(U192:V192))/V$5-V695-V187</f>
        <v>734.1485597814094</v>
      </c>
      <c r="W109" s="61">
        <f>24%*SUM(AVERAGE(V114:W114),AVERAGE(V701:W701),AVERAGE(V192:W192))/W$5-W695-W187</f>
        <v>552.34507042253529</v>
      </c>
      <c r="X109" s="61">
        <f>((24%*SUM(AVERAGE(BC114:BD114),AVERAGE(BC701:BD701),AVERAGE(BC192:BD192))/BD$5-24%*SUM(AVERAGE(V114:W114),AVERAGE(V701:W701),AVERAGE(V192:W192))/W$5) * X$5 / SUM(AVERAGE(W114:X114),AVERAGE(W701:X701),AVERAGE(W192:X192)))*SUM(AVERAGE(W114:X114),AVERAGE(W701:X701),AVERAGE(W192:X192))/X$5-X695-X187</f>
        <v>443.59507042253529</v>
      </c>
      <c r="Y109" s="61">
        <f>24%*SUM(AVERAGE(X114:Y114),AVERAGE(X701:Y701),AVERAGE(X192:Y192))/Y$5-Y695-Y187</f>
        <v>497.10821917808215</v>
      </c>
      <c r="Z109" s="61">
        <f>((23%*SUM(AVERAGE(BD114:BE114),AVERAGE(BD701:BE701),AVERAGE(BD192:BE192))/BE$5-24%*SUM(AVERAGE(X114:Y114),AVERAGE(X701:Y701),AVERAGE(X192:Y192))/Y$5) * Z$5 / SUM(AVERAGE(Y114:Z114),AVERAGE(Y701:Z701),AVERAGE(Y192:Z192)))*SUM(AVERAGE(Y114:Z114),AVERAGE(Y701:Z701),AVERAGE(Y192:Z192))/Z$5-Z695-Z187</f>
        <v>533.41232876712331</v>
      </c>
      <c r="AA109" s="61">
        <f>24%*SUM(AVERAGE(Z114:AA114),AVERAGE(Z701:AA701),AVERAGE(Z192:AA192))/AA$5-AA695-AA187</f>
        <v>570.80958904109593</v>
      </c>
      <c r="AB109" s="61">
        <f>((21%*SUM(AVERAGE(BE114:BF114),AVERAGE(BE701:BF701),AVERAGE(BE192:BF192))/BF$5-24%*SUM(AVERAGE(Z114:AA114),AVERAGE(Z701:AA701),AVERAGE(Z192:AA192))/AA$5) * AB$5 / SUM(AVERAGE(AA114:AB114),AVERAGE(AA701:AB701),AVERAGE(AA192:AB192)))*SUM(AVERAGE(AA114:AB114),AVERAGE(AA701:AB701),AVERAGE(AA192:AB192))/AB$5-AB695-AB187</f>
        <v>525.65616438356165</v>
      </c>
      <c r="AC109" s="61">
        <f>22%*SUM(AVERAGE(AB114:AC114),AVERAGE(AB701:AC701),AVERAGE(AB192:AC192))/AC$5-AC695-AC187</f>
        <v>700.17328767123286</v>
      </c>
      <c r="AD109" s="61">
        <f t="shared" ref="AD109:AI109" si="948">SUM(AD102,AD106,AD107,AD108)</f>
        <v>306.00000000000023</v>
      </c>
      <c r="AE109" s="61">
        <f t="shared" si="948"/>
        <v>248.24999999999994</v>
      </c>
      <c r="AF109" s="61">
        <f t="shared" si="948"/>
        <v>358.74999999999983</v>
      </c>
      <c r="AG109" s="61">
        <f t="shared" si="948"/>
        <v>402</v>
      </c>
      <c r="AH109" s="61">
        <f t="shared" si="948"/>
        <v>551.00000000000023</v>
      </c>
      <c r="AI109" s="338">
        <f t="shared" si="948"/>
        <v>775.62499999999977</v>
      </c>
      <c r="AJ109" s="39">
        <f t="shared" ref="AJ109:AR109" si="949">AJ102+AJ106+AJ107+AJ108</f>
        <v>996.34676584062163</v>
      </c>
      <c r="AK109" s="39">
        <f t="shared" si="949"/>
        <v>567.76613479209493</v>
      </c>
      <c r="AL109" s="39">
        <f t="shared" si="949"/>
        <v>606.73739463036316</v>
      </c>
      <c r="AM109" s="39">
        <f t="shared" si="949"/>
        <v>590.79963932909845</v>
      </c>
      <c r="AN109" s="39">
        <f t="shared" si="949"/>
        <v>637.16255283438215</v>
      </c>
      <c r="AO109" s="39">
        <f t="shared" si="949"/>
        <v>610.75716390588218</v>
      </c>
      <c r="AP109" s="39">
        <f t="shared" si="949"/>
        <v>652.35632657281451</v>
      </c>
      <c r="AQ109" s="39">
        <f t="shared" si="949"/>
        <v>614.55551597086765</v>
      </c>
      <c r="AR109" s="39">
        <f t="shared" si="949"/>
        <v>644.85932753271663</v>
      </c>
      <c r="AS109" s="74"/>
      <c r="AT109" s="39"/>
      <c r="AU109" s="39"/>
      <c r="AV109" s="39">
        <f t="shared" ref="AV109:BB109" si="950">AV102+AV105+AV106+AV107+AV108</f>
        <v>339.61619951445596</v>
      </c>
      <c r="AW109" s="39">
        <f t="shared" si="950"/>
        <v>339.99999999999994</v>
      </c>
      <c r="AX109" s="39">
        <f t="shared" si="950"/>
        <v>412.21329377184156</v>
      </c>
      <c r="AY109" s="39">
        <f t="shared" si="950"/>
        <v>677.74109589041075</v>
      </c>
      <c r="AZ109" s="39">
        <f t="shared" si="950"/>
        <v>801.74999999999977</v>
      </c>
      <c r="BA109" s="39">
        <f t="shared" si="950"/>
        <v>681.59452054794508</v>
      </c>
      <c r="BB109" s="39">
        <f t="shared" si="950"/>
        <v>623.54794520547944</v>
      </c>
      <c r="BC109" s="39">
        <f t="shared" ref="BC109" si="951">BC102+BC105+BC106+BC107+BC108</f>
        <v>1222.4492957746484</v>
      </c>
      <c r="BD109" s="39">
        <f t="shared" ref="BD109:BF109" si="952">BD102+BD105+BD106+BD107+BD108</f>
        <v>995.9401408450708</v>
      </c>
      <c r="BE109" s="39">
        <f t="shared" si="952"/>
        <v>1030.5205479452054</v>
      </c>
      <c r="BF109" s="39">
        <f t="shared" si="952"/>
        <v>1096.4657534246576</v>
      </c>
      <c r="BG109" s="39">
        <f>BG102+BG106+BG107+BG108</f>
        <v>1003.25</v>
      </c>
      <c r="BH109" s="39">
        <f>BH102+BH106+BH107+BH108</f>
        <v>606.99999999999977</v>
      </c>
      <c r="BI109" s="40">
        <f>BI102+BI106+BI107+BI108</f>
        <v>953.00000000000023</v>
      </c>
      <c r="BJ109" s="39">
        <f>BJ102+BJ106+BJ107+BJ108</f>
        <v>1771.9717658406214</v>
      </c>
      <c r="BK109" s="39">
        <f>BK102+BK106+BK107+BK108</f>
        <v>1174.5035294224585</v>
      </c>
      <c r="BL109" s="39">
        <f t="shared" ref="BL109:BN109" si="953">BL102+BL106+BL107+BL108</f>
        <v>1227.9621921634803</v>
      </c>
      <c r="BM109" s="39">
        <f t="shared" si="953"/>
        <v>1263.1134904786959</v>
      </c>
      <c r="BN109" s="39">
        <f t="shared" si="953"/>
        <v>1259.4148435035836</v>
      </c>
    </row>
    <row r="110" spans="1:66" ht="12" customHeight="1" outlineLevel="1"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62"/>
      <c r="N110" s="62"/>
      <c r="O110" s="62"/>
      <c r="P110" s="319"/>
      <c r="Q110" s="319"/>
      <c r="R110" s="319"/>
      <c r="S110" s="319"/>
      <c r="T110" s="319"/>
      <c r="U110" s="319"/>
      <c r="V110" s="319"/>
      <c r="W110" s="319"/>
      <c r="X110" s="319"/>
      <c r="Y110" s="319"/>
      <c r="Z110" s="319"/>
      <c r="AA110" s="319"/>
      <c r="AB110" s="319"/>
      <c r="AC110" s="604">
        <f t="shared" ref="AC110:AF110" si="954">AC84/AVERAGE(AB118:AC118)*AC5</f>
        <v>2.7260952597046532E-3</v>
      </c>
      <c r="AD110" s="604">
        <f t="shared" si="954"/>
        <v>4.6182830610931036E-3</v>
      </c>
      <c r="AE110" s="604">
        <f t="shared" si="954"/>
        <v>2.2703222703222702E-3</v>
      </c>
      <c r="AF110" s="604">
        <f t="shared" si="954"/>
        <v>3.6548693037242656E-3</v>
      </c>
      <c r="AG110" s="604">
        <f t="shared" ref="AG110:AH110" si="955">AG84/AVERAGE(AF118:AG118)*AG5</f>
        <v>3.6552879227269223E-3</v>
      </c>
      <c r="AH110" s="365">
        <f t="shared" si="955"/>
        <v>3.9689220947770878E-3</v>
      </c>
      <c r="AI110" s="602">
        <f>AI84/AVERAGE(AH118:AI118)*AI5</f>
        <v>6.7662950525421419E-3</v>
      </c>
      <c r="AJ110" s="604">
        <f t="shared" ref="AJ110:AN110" si="956">AJ84/AVERAGE(AI118:AJ118)*AJ5</f>
        <v>6.5000000000000006E-3</v>
      </c>
      <c r="AK110" s="604">
        <f t="shared" si="956"/>
        <v>5.7499999999999999E-3</v>
      </c>
      <c r="AL110" s="604">
        <f t="shared" si="956"/>
        <v>5.5000000000000005E-3</v>
      </c>
      <c r="AM110" s="604">
        <f t="shared" si="956"/>
        <v>5.5000000000000005E-3</v>
      </c>
      <c r="AN110" s="604">
        <f t="shared" si="956"/>
        <v>5.5000000000000005E-3</v>
      </c>
      <c r="AO110" s="41"/>
      <c r="AP110" s="41"/>
      <c r="AQ110" s="41"/>
      <c r="AR110" s="41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604">
        <f t="shared" ref="BG110:BH110" si="957">BG84/AVERAGE(BF118:BG118)*BG5</f>
        <v>3.7956605328206537E-3</v>
      </c>
      <c r="BH110" s="604">
        <f t="shared" si="957"/>
        <v>2.9479093669703342E-3</v>
      </c>
      <c r="BI110" s="603">
        <f>BI84/AVERAGE(BH118:BI118)*BI5</f>
        <v>3.7753721244925577E-3</v>
      </c>
      <c r="BJ110" s="604">
        <f>BJ84/AVERAGE(BI118:BJ118)*BJ5</f>
        <v>6.6154195546523908E-3</v>
      </c>
      <c r="BK110" s="604">
        <f>BK84/AVERAGE(BJ118:BK118)*BK5</f>
        <v>5.6423278614913773E-3</v>
      </c>
      <c r="BL110" s="8"/>
      <c r="BM110" s="8"/>
      <c r="BN110" s="8"/>
    </row>
    <row r="111" spans="1:66" ht="12" customHeight="1" outlineLevel="1">
      <c r="B111" s="9" t="s">
        <v>41</v>
      </c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4"/>
      <c r="X111" s="163"/>
      <c r="Y111" s="62"/>
      <c r="Z111" s="62"/>
      <c r="AA111" s="62"/>
      <c r="AB111" s="41"/>
      <c r="AC111" s="467"/>
      <c r="AD111" s="272"/>
      <c r="AE111" s="272"/>
      <c r="AF111" s="272"/>
      <c r="AG111" s="272"/>
      <c r="AH111" s="272"/>
      <c r="AI111" s="461"/>
      <c r="AJ111" s="41"/>
      <c r="AK111" s="41"/>
      <c r="AL111" s="41"/>
      <c r="AM111" s="41"/>
      <c r="AN111" s="41"/>
      <c r="AO111" s="41"/>
      <c r="AP111" s="41"/>
      <c r="AQ111" s="41"/>
      <c r="AR111" s="41"/>
      <c r="AS111" s="8"/>
      <c r="AT111" s="8"/>
      <c r="AU111" s="8"/>
      <c r="AV111" s="8"/>
      <c r="AW111" s="8"/>
      <c r="AX111" s="8"/>
      <c r="AY111" s="8"/>
      <c r="AZ111" s="41"/>
      <c r="BA111" s="8"/>
      <c r="BB111" s="8"/>
      <c r="BC111" s="8"/>
      <c r="BD111" s="8"/>
      <c r="BE111" s="8"/>
      <c r="BF111" s="8"/>
      <c r="BG111" s="8"/>
      <c r="BH111" s="8"/>
      <c r="BI111" s="43"/>
      <c r="BJ111" s="8"/>
      <c r="BK111" s="8"/>
      <c r="BL111" s="8"/>
      <c r="BM111" s="8"/>
      <c r="BN111" s="8"/>
    </row>
    <row r="112" spans="1:66" ht="12" customHeight="1" outlineLevel="1">
      <c r="B112" s="1" t="s">
        <v>42</v>
      </c>
      <c r="C112" s="62">
        <v>0</v>
      </c>
      <c r="D112" s="62">
        <v>0</v>
      </c>
      <c r="E112" s="62">
        <v>0</v>
      </c>
      <c r="F112" s="62">
        <v>0</v>
      </c>
      <c r="G112" s="62">
        <v>0</v>
      </c>
      <c r="H112" s="62">
        <v>0</v>
      </c>
      <c r="I112" s="62">
        <v>0</v>
      </c>
      <c r="J112" s="62">
        <v>0</v>
      </c>
      <c r="K112" s="62">
        <v>0</v>
      </c>
      <c r="L112" s="62">
        <v>0</v>
      </c>
      <c r="M112" s="62">
        <v>0</v>
      </c>
      <c r="N112" s="62">
        <v>0</v>
      </c>
      <c r="O112" s="62">
        <v>0</v>
      </c>
      <c r="P112" s="62">
        <v>0</v>
      </c>
      <c r="Q112" s="62">
        <v>0</v>
      </c>
      <c r="R112" s="62">
        <v>0</v>
      </c>
      <c r="S112" s="62">
        <v>0</v>
      </c>
      <c r="T112" s="62">
        <v>0</v>
      </c>
      <c r="U112" s="62">
        <v>9400</v>
      </c>
      <c r="V112" s="62">
        <v>9400</v>
      </c>
      <c r="W112" s="62">
        <v>2200</v>
      </c>
      <c r="X112" s="62">
        <v>2000</v>
      </c>
      <c r="Y112" s="62">
        <v>1200</v>
      </c>
      <c r="Z112" s="62">
        <v>800</v>
      </c>
      <c r="AA112" s="62">
        <v>900</v>
      </c>
      <c r="AB112" s="62">
        <v>900</v>
      </c>
      <c r="AC112" s="62">
        <v>1000</v>
      </c>
      <c r="AD112" s="62">
        <v>1100</v>
      </c>
      <c r="AE112" s="62">
        <v>1500</v>
      </c>
      <c r="AF112" s="62">
        <v>1500</v>
      </c>
      <c r="AG112" s="62">
        <v>1300</v>
      </c>
      <c r="AH112" s="62">
        <v>200</v>
      </c>
      <c r="AI112" s="57">
        <v>700</v>
      </c>
      <c r="AJ112" s="59">
        <f t="shared" ref="AJ112:AR112" si="958">AI112*(1+AJ123)</f>
        <v>707</v>
      </c>
      <c r="AK112" s="59">
        <f t="shared" si="958"/>
        <v>714.07</v>
      </c>
      <c r="AL112" s="59">
        <f t="shared" si="958"/>
        <v>721.21070000000009</v>
      </c>
      <c r="AM112" s="59">
        <f t="shared" si="958"/>
        <v>728.42280700000015</v>
      </c>
      <c r="AN112" s="59">
        <f t="shared" si="958"/>
        <v>735.70703507000019</v>
      </c>
      <c r="AO112" s="59">
        <f t="shared" si="958"/>
        <v>743.06410542070023</v>
      </c>
      <c r="AP112" s="59">
        <f t="shared" si="958"/>
        <v>750.49474647490729</v>
      </c>
      <c r="AQ112" s="59">
        <f t="shared" si="958"/>
        <v>757.99969393965637</v>
      </c>
      <c r="AR112" s="59">
        <f t="shared" si="958"/>
        <v>765.57969087905292</v>
      </c>
      <c r="AS112" s="8"/>
      <c r="AT112" s="41">
        <f t="shared" ref="AT112:AT120" si="959">D112</f>
        <v>0</v>
      </c>
      <c r="AU112" s="41">
        <f t="shared" ref="AU112:AU120" si="960">F112</f>
        <v>0</v>
      </c>
      <c r="AV112" s="41">
        <f t="shared" ref="AV112:AV120" si="961">H112</f>
        <v>0</v>
      </c>
      <c r="AW112" s="41">
        <f t="shared" ref="AW112:AW120" si="962">J112</f>
        <v>0</v>
      </c>
      <c r="AX112" s="41">
        <f t="shared" ref="AX112:AX120" si="963">L112</f>
        <v>0</v>
      </c>
      <c r="AY112" s="41">
        <f t="shared" ref="AY112:AY120" si="964">N112</f>
        <v>0</v>
      </c>
      <c r="AZ112" s="41">
        <f t="shared" ref="AZ112:AZ120" si="965">P112</f>
        <v>0</v>
      </c>
      <c r="BA112" s="41">
        <f t="shared" ref="BA112:BA120" si="966">R112</f>
        <v>0</v>
      </c>
      <c r="BB112" s="41">
        <f t="shared" ref="BB112:BB120" si="967">T112</f>
        <v>0</v>
      </c>
      <c r="BC112" s="41">
        <f t="shared" ref="BC112:BC120" si="968">V112</f>
        <v>9400</v>
      </c>
      <c r="BD112" s="41">
        <f t="shared" ref="BD112:BD120" si="969">X112</f>
        <v>2000</v>
      </c>
      <c r="BE112" s="41">
        <f t="shared" ref="BE112:BE120" si="970">Z112</f>
        <v>800</v>
      </c>
      <c r="BF112" s="41">
        <f t="shared" ref="BF112:BF120" si="971">AB112</f>
        <v>900</v>
      </c>
      <c r="BG112" s="41">
        <f t="shared" ref="BG112:BG120" si="972">AD112</f>
        <v>1100</v>
      </c>
      <c r="BH112" s="41">
        <f t="shared" ref="BH112:BH120" si="973">AF112</f>
        <v>1500</v>
      </c>
      <c r="BI112" s="42">
        <f t="shared" ref="BI112:BI120" si="974">AH112</f>
        <v>200</v>
      </c>
      <c r="BJ112" s="41">
        <f t="shared" ref="BJ112:BJ120" si="975">AJ112</f>
        <v>707</v>
      </c>
      <c r="BK112" s="41">
        <f t="shared" ref="BK112:BK120" si="976">AL112</f>
        <v>721.21070000000009</v>
      </c>
      <c r="BL112" s="41">
        <f t="shared" ref="BL112:BL120" si="977">AN112</f>
        <v>735.70703507000019</v>
      </c>
      <c r="BM112" s="41">
        <f t="shared" ref="BM112:BM120" si="978">AP112</f>
        <v>750.49474647490729</v>
      </c>
      <c r="BN112" s="41">
        <f t="shared" ref="BN112:BN120" si="979">AR112</f>
        <v>765.57969087905292</v>
      </c>
    </row>
    <row r="113" spans="1:66" ht="12" customHeight="1" outlineLevel="1">
      <c r="A113" s="91" t="str">
        <f>LEFT(A114,3)&amp;"_PEAssetsTotal"</f>
        <v>MFG_PEAssetsTotal</v>
      </c>
      <c r="B113" s="1" t="s">
        <v>43</v>
      </c>
      <c r="C113" s="62">
        <v>10885</v>
      </c>
      <c r="D113" s="62">
        <v>10909</v>
      </c>
      <c r="E113" s="62">
        <v>11353</v>
      </c>
      <c r="F113" s="62">
        <v>11146</v>
      </c>
      <c r="G113" s="62">
        <v>12265</v>
      </c>
      <c r="H113" s="62">
        <v>12759</v>
      </c>
      <c r="I113" s="62">
        <v>8720</v>
      </c>
      <c r="J113" s="62">
        <v>9137</v>
      </c>
      <c r="K113" s="62">
        <v>9010</v>
      </c>
      <c r="L113" s="62">
        <v>8582</v>
      </c>
      <c r="M113" s="62">
        <v>7203</v>
      </c>
      <c r="N113" s="62">
        <v>7341</v>
      </c>
      <c r="O113" s="62">
        <v>7824</v>
      </c>
      <c r="P113" s="62">
        <v>6726</v>
      </c>
      <c r="Q113" s="62">
        <v>6086</v>
      </c>
      <c r="R113" s="62">
        <v>8017</v>
      </c>
      <c r="S113" s="62">
        <v>9351</v>
      </c>
      <c r="T113" s="62">
        <v>6120</v>
      </c>
      <c r="U113" s="62">
        <v>15491</v>
      </c>
      <c r="V113" s="62">
        <v>16315</v>
      </c>
      <c r="W113" s="62">
        <v>10368</v>
      </c>
      <c r="X113" s="62">
        <v>8434</v>
      </c>
      <c r="Y113" s="62">
        <v>6882</v>
      </c>
      <c r="Z113" s="62">
        <v>5927</v>
      </c>
      <c r="AA113" s="62">
        <v>8924</v>
      </c>
      <c r="AB113" s="62">
        <f>9678/9678*11866</f>
        <v>11866</v>
      </c>
      <c r="AC113" s="62">
        <v>14060</v>
      </c>
      <c r="AD113" s="62">
        <v>14328</v>
      </c>
      <c r="AE113" s="62">
        <v>15183</v>
      </c>
      <c r="AF113" s="62">
        <v>15523</v>
      </c>
      <c r="AG113" s="62">
        <v>14253</v>
      </c>
      <c r="AH113" s="62">
        <v>17875</v>
      </c>
      <c r="AI113" s="57">
        <v>15684</v>
      </c>
      <c r="AJ113" s="41">
        <f>AI113*AJ$40/AI$40</f>
        <v>16642.309054135065</v>
      </c>
      <c r="AK113" s="41">
        <f t="shared" ref="AK113" si="980">AJ113*AK$40/AJ$40</f>
        <v>17574.030218530821</v>
      </c>
      <c r="AL113" s="41">
        <f t="shared" ref="AL113" si="981">AK113*AL$40/AK$40</f>
        <v>18478.800370173874</v>
      </c>
      <c r="AM113" s="41">
        <f t="shared" ref="AM113" si="982">AL113*AM$40/AL$40</f>
        <v>19241.677520897414</v>
      </c>
      <c r="AN113" s="41">
        <f t="shared" ref="AN113" si="983">AM113*AN$40/AM$40</f>
        <v>19971.776102594536</v>
      </c>
      <c r="AO113" s="41">
        <f t="shared" ref="AO113" si="984">AN113*AO$40/AN$40</f>
        <v>20660.610083162352</v>
      </c>
      <c r="AP113" s="41">
        <f t="shared" ref="AP113" si="985">AO113*AP$40/AO$40</f>
        <v>21357.064472575377</v>
      </c>
      <c r="AQ113" s="41">
        <f t="shared" ref="AQ113" si="986">AP113*AQ$40/AP$40</f>
        <v>22061.572960267</v>
      </c>
      <c r="AR113" s="41">
        <f t="shared" ref="AR113" si="987">AQ113*AR$40/AQ$40</f>
        <v>22797.07434145188</v>
      </c>
      <c r="AS113" s="8"/>
      <c r="AT113" s="41">
        <f t="shared" si="959"/>
        <v>10909</v>
      </c>
      <c r="AU113" s="41">
        <f t="shared" si="960"/>
        <v>11146</v>
      </c>
      <c r="AV113" s="41">
        <f t="shared" si="961"/>
        <v>12759</v>
      </c>
      <c r="AW113" s="41">
        <f t="shared" si="962"/>
        <v>9137</v>
      </c>
      <c r="AX113" s="41">
        <f t="shared" si="963"/>
        <v>8582</v>
      </c>
      <c r="AY113" s="41">
        <f t="shared" si="964"/>
        <v>7341</v>
      </c>
      <c r="AZ113" s="41">
        <f t="shared" si="965"/>
        <v>6726</v>
      </c>
      <c r="BA113" s="41">
        <f t="shared" si="966"/>
        <v>8017</v>
      </c>
      <c r="BB113" s="41">
        <f t="shared" si="967"/>
        <v>6120</v>
      </c>
      <c r="BC113" s="41">
        <f t="shared" si="968"/>
        <v>16315</v>
      </c>
      <c r="BD113" s="41">
        <f t="shared" si="969"/>
        <v>8434</v>
      </c>
      <c r="BE113" s="41">
        <f t="shared" si="970"/>
        <v>5927</v>
      </c>
      <c r="BF113" s="41">
        <f t="shared" si="971"/>
        <v>11866</v>
      </c>
      <c r="BG113" s="41">
        <f t="shared" si="972"/>
        <v>14328</v>
      </c>
      <c r="BH113" s="41">
        <f t="shared" si="973"/>
        <v>15523</v>
      </c>
      <c r="BI113" s="42">
        <f t="shared" si="974"/>
        <v>17875</v>
      </c>
      <c r="BJ113" s="41">
        <f t="shared" si="975"/>
        <v>16642.309054135065</v>
      </c>
      <c r="BK113" s="41">
        <f t="shared" si="976"/>
        <v>18478.800370173874</v>
      </c>
      <c r="BL113" s="41">
        <f t="shared" si="977"/>
        <v>19971.776102594536</v>
      </c>
      <c r="BM113" s="41">
        <f t="shared" si="978"/>
        <v>21357.064472575377</v>
      </c>
      <c r="BN113" s="41">
        <f t="shared" si="979"/>
        <v>22797.07434145188</v>
      </c>
    </row>
    <row r="114" spans="1:66" ht="12" customHeight="1" outlineLevel="1">
      <c r="A114" s="91" t="s">
        <v>510</v>
      </c>
      <c r="B114" s="1" t="s">
        <v>49</v>
      </c>
      <c r="C114" s="62">
        <f t="shared" ref="C114:E114" si="988">D114*AVERAGE(B$41:C$41)/AVERAGE(C$41:D$41)</f>
        <v>1414.7870227322885</v>
      </c>
      <c r="D114" s="62">
        <f t="shared" si="988"/>
        <v>1451.0704038843521</v>
      </c>
      <c r="E114" s="62">
        <f t="shared" si="988"/>
        <v>1476.0317810637828</v>
      </c>
      <c r="F114" s="62">
        <f>G114*AVERAGE(E$41:F$41)/AVERAGE(F$41:G$41)</f>
        <v>1487.4199955859633</v>
      </c>
      <c r="G114" s="62">
        <v>1500</v>
      </c>
      <c r="H114" s="62">
        <v>1600</v>
      </c>
      <c r="I114" s="62">
        <v>1600</v>
      </c>
      <c r="J114" s="62">
        <v>1800</v>
      </c>
      <c r="K114" s="62">
        <v>2000</v>
      </c>
      <c r="L114" s="62">
        <v>1900</v>
      </c>
      <c r="M114" s="62">
        <v>1900</v>
      </c>
      <c r="N114" s="62">
        <v>2000</v>
      </c>
      <c r="O114" s="62">
        <v>1600</v>
      </c>
      <c r="P114" s="62">
        <v>1400</v>
      </c>
      <c r="Q114" s="62">
        <v>1500</v>
      </c>
      <c r="R114" s="62">
        <v>1700</v>
      </c>
      <c r="S114" s="62">
        <v>2000</v>
      </c>
      <c r="T114" s="62">
        <v>2200</v>
      </c>
      <c r="U114" s="62">
        <f>2200+4200*153/389</f>
        <v>3851.9280205655527</v>
      </c>
      <c r="V114" s="62">
        <f>2100+3000*216/639</f>
        <v>3114.0845070422538</v>
      </c>
      <c r="W114" s="62">
        <v>3700</v>
      </c>
      <c r="X114" s="62">
        <v>2800</v>
      </c>
      <c r="Y114" s="62">
        <v>2200</v>
      </c>
      <c r="Z114" s="62">
        <v>3100</v>
      </c>
      <c r="AA114" s="62">
        <v>2900</v>
      </c>
      <c r="AB114" s="62">
        <v>3500</v>
      </c>
      <c r="AC114" s="62">
        <v>5700</v>
      </c>
      <c r="AD114" s="62">
        <v>5800</v>
      </c>
      <c r="AE114" s="62">
        <v>6200</v>
      </c>
      <c r="AF114" s="62">
        <v>5500</v>
      </c>
      <c r="AG114" s="62">
        <v>5100</v>
      </c>
      <c r="AH114" s="62">
        <v>5900</v>
      </c>
      <c r="AI114" s="57">
        <v>4900</v>
      </c>
      <c r="AJ114" s="41">
        <f>AJ113/AJ141</f>
        <v>2521.5619778992523</v>
      </c>
      <c r="AK114" s="41">
        <f t="shared" ref="AK114:AR114" si="989">AK113/AK141</f>
        <v>2622.9895848553465</v>
      </c>
      <c r="AL114" s="41">
        <f t="shared" si="989"/>
        <v>2717.4706426726289</v>
      </c>
      <c r="AM114" s="41">
        <f t="shared" si="989"/>
        <v>2788.6489160720894</v>
      </c>
      <c r="AN114" s="41">
        <f t="shared" si="989"/>
        <v>2853.1108717992201</v>
      </c>
      <c r="AO114" s="41">
        <f t="shared" si="989"/>
        <v>2909.9450821355435</v>
      </c>
      <c r="AP114" s="41">
        <f t="shared" si="989"/>
        <v>2966.2589545243591</v>
      </c>
      <c r="AQ114" s="41">
        <f t="shared" si="989"/>
        <v>3022.1332822283575</v>
      </c>
      <c r="AR114" s="41">
        <f t="shared" si="989"/>
        <v>3080.6857218178229</v>
      </c>
      <c r="AS114" s="8"/>
      <c r="AT114" s="41">
        <f t="shared" si="959"/>
        <v>1451.0704038843521</v>
      </c>
      <c r="AU114" s="41">
        <f t="shared" si="960"/>
        <v>1487.4199955859633</v>
      </c>
      <c r="AV114" s="41">
        <f t="shared" si="961"/>
        <v>1600</v>
      </c>
      <c r="AW114" s="41">
        <f t="shared" si="962"/>
        <v>1800</v>
      </c>
      <c r="AX114" s="41">
        <f t="shared" si="963"/>
        <v>1900</v>
      </c>
      <c r="AY114" s="41">
        <f t="shared" si="964"/>
        <v>2000</v>
      </c>
      <c r="AZ114" s="41">
        <f t="shared" si="965"/>
        <v>1400</v>
      </c>
      <c r="BA114" s="41">
        <f t="shared" si="966"/>
        <v>1700</v>
      </c>
      <c r="BB114" s="41">
        <f t="shared" si="967"/>
        <v>2200</v>
      </c>
      <c r="BC114" s="41">
        <f t="shared" si="968"/>
        <v>3114.0845070422538</v>
      </c>
      <c r="BD114" s="41">
        <f t="shared" si="969"/>
        <v>2800</v>
      </c>
      <c r="BE114" s="41">
        <f t="shared" si="970"/>
        <v>3100</v>
      </c>
      <c r="BF114" s="41">
        <f t="shared" si="971"/>
        <v>3500</v>
      </c>
      <c r="BG114" s="41">
        <f t="shared" si="972"/>
        <v>5800</v>
      </c>
      <c r="BH114" s="41">
        <f t="shared" si="973"/>
        <v>5500</v>
      </c>
      <c r="BI114" s="42">
        <f t="shared" si="974"/>
        <v>5900</v>
      </c>
      <c r="BJ114" s="41">
        <f t="shared" si="975"/>
        <v>2521.5619778992523</v>
      </c>
      <c r="BK114" s="41">
        <f t="shared" si="976"/>
        <v>2717.4706426726289</v>
      </c>
      <c r="BL114" s="41">
        <f t="shared" si="977"/>
        <v>2853.1108717992201</v>
      </c>
      <c r="BM114" s="41">
        <f t="shared" si="978"/>
        <v>2966.2589545243591</v>
      </c>
      <c r="BN114" s="41">
        <f t="shared" si="979"/>
        <v>3080.6857218178229</v>
      </c>
    </row>
    <row r="115" spans="1:66" ht="12" customHeight="1" outlineLevel="1">
      <c r="A115" s="91" t="s">
        <v>1506</v>
      </c>
      <c r="B115" s="1" t="s">
        <v>24</v>
      </c>
      <c r="C115" s="59">
        <f t="shared" ref="C115:H115" si="990">C117-C116</f>
        <v>57923</v>
      </c>
      <c r="D115" s="59">
        <f t="shared" si="990"/>
        <v>209848</v>
      </c>
      <c r="E115" s="59">
        <f t="shared" si="990"/>
        <v>211384</v>
      </c>
      <c r="F115" s="59">
        <f t="shared" si="990"/>
        <v>207772</v>
      </c>
      <c r="G115" s="59">
        <f t="shared" si="990"/>
        <v>222700</v>
      </c>
      <c r="H115" s="59">
        <f t="shared" si="990"/>
        <v>224600</v>
      </c>
      <c r="I115" s="59">
        <f t="shared" ref="I115:N115" si="991">I117-I116</f>
        <v>231100</v>
      </c>
      <c r="J115" s="59">
        <f t="shared" si="991"/>
        <v>241200</v>
      </c>
      <c r="K115" s="59">
        <f t="shared" si="991"/>
        <v>266400</v>
      </c>
      <c r="L115" s="59">
        <f t="shared" si="991"/>
        <v>312000</v>
      </c>
      <c r="M115" s="41">
        <f t="shared" si="991"/>
        <v>309100</v>
      </c>
      <c r="N115" s="41">
        <f t="shared" si="991"/>
        <v>350300</v>
      </c>
      <c r="O115" s="41">
        <f t="shared" ref="O115:P115" si="992">O117-O116</f>
        <v>354500</v>
      </c>
      <c r="P115" s="41">
        <f t="shared" si="992"/>
        <v>340700</v>
      </c>
      <c r="Q115" s="41">
        <f t="shared" ref="Q115:R115" si="993">Q117-Q116</f>
        <v>355300</v>
      </c>
      <c r="R115" s="41">
        <f t="shared" si="993"/>
        <v>325800</v>
      </c>
      <c r="S115" s="41">
        <f t="shared" ref="S115:T115" si="994">S117-S116</f>
        <v>330500</v>
      </c>
      <c r="T115" s="41">
        <f t="shared" si="994"/>
        <v>333500</v>
      </c>
      <c r="U115" s="41">
        <f t="shared" ref="U115:V115" si="995">U117-U116</f>
        <v>363600</v>
      </c>
      <c r="V115" s="41">
        <f t="shared" si="995"/>
        <v>361000</v>
      </c>
      <c r="W115" s="41">
        <f t="shared" ref="W115:X115" si="996">W117-W116</f>
        <v>361100</v>
      </c>
      <c r="X115" s="41">
        <f t="shared" si="996"/>
        <v>382600</v>
      </c>
      <c r="Y115" s="41">
        <f t="shared" ref="Y115:Z115" si="997">Y117-Y116</f>
        <v>350900</v>
      </c>
      <c r="Z115" s="41">
        <f t="shared" si="997"/>
        <v>367100</v>
      </c>
      <c r="AA115" s="41">
        <f t="shared" ref="AA115" si="998">AA117-AA116</f>
        <v>514600</v>
      </c>
      <c r="AB115" s="41">
        <f t="shared" ref="AB115" si="999">AB117-AB116</f>
        <v>535100</v>
      </c>
      <c r="AC115" s="41">
        <f t="shared" ref="AC115:AD115" si="1000">AC117-AC116</f>
        <v>520700</v>
      </c>
      <c r="AD115" s="41">
        <f t="shared" si="1000"/>
        <v>534500</v>
      </c>
      <c r="AE115" s="41">
        <f t="shared" ref="AE115:AF115" si="1001">AE117-AE116</f>
        <v>546900</v>
      </c>
      <c r="AF115" s="41">
        <f t="shared" si="1001"/>
        <v>567400</v>
      </c>
      <c r="AG115" s="41">
        <f t="shared" ref="AG115:AH115" si="1002">AG117-AG116</f>
        <v>543200</v>
      </c>
      <c r="AH115" s="41">
        <f t="shared" si="1002"/>
        <v>552000</v>
      </c>
      <c r="AI115" s="42">
        <f t="shared" ref="AI115" si="1003">AI117-AI116</f>
        <v>542500</v>
      </c>
      <c r="AJ115" s="41">
        <f>IF(ISERROR(50%*AI115*(1+AJ125)+50%*AI115*(1+AJ125)/'Group Model'!AK11*'Group Model'!AJ11),AI115,50%*AI115*(1+AJ125)+50%*AI115*(1+AJ125)/'Group Model'!AK11*'Group Model'!AJ11)*50%</f>
        <v>263130.32212962961</v>
      </c>
      <c r="AK115" s="41">
        <f>IF(ISERROR(50%*AJ115*(1+AK125)+50%*AJ115*(1+AK125)/'Group Model'!AL11*'Group Model'!AK11),AJ115,50%*AJ115*(1+AK125)+50%*AJ115*(1+AK125)/'Group Model'!AL11*'Group Model'!AK11)</f>
        <v>259806.57069220272</v>
      </c>
      <c r="AL115" s="41">
        <f>IF(ISERROR(50%*AK115*(1+AL125)+50%*AK115*(1+AL125)/'Group Model'!AM11*'Group Model'!AL11),AK115,50%*AK115*(1+AL125)+50%*AK115*(1+AL125)/'Group Model'!AM11*'Group Model'!AL11)</f>
        <v>262594.79900314845</v>
      </c>
      <c r="AM115" s="41">
        <f>IF(ISERROR(50%*AL115*(1+AM125)+50%*AL115*(1+AM125)/'Group Model'!AN11*'Group Model'!AM11),AL115,50%*AL115*(1+AM125)+50%*AL115*(1+AM125)/'Group Model'!AN11*'Group Model'!AM11)</f>
        <v>260964.56363387243</v>
      </c>
      <c r="AN115" s="41">
        <f>IF(ISERROR(50%*AM115*(1+AN125)+50%*AM115*(1+AN125)/'Group Model'!AO11*'Group Model'!AN11),AM115,50%*AM115*(1+AN125)+50%*AM115*(1+AN125)/'Group Model'!AO11*'Group Model'!AN11)</f>
        <v>259408.26587256487</v>
      </c>
      <c r="AO115" s="41">
        <f>IF(ISERROR(50%*AN115*(1+AO125)+50%*AN115*(1+AO125)/'Group Model'!AP11*'Group Model'!AO11),AN115,50%*AN115*(1+AO125)+50%*AN115*(1+AO125)/'Group Model'!AP11*'Group Model'!AO11)</f>
        <v>257921.9765200566</v>
      </c>
      <c r="AP115" s="41">
        <f>IF(ISERROR(50%*AO115*(1+AP125)+50%*AO115*(1+AP125)/'Group Model'!AQ11*'Group Model'!AP11),AO115,50%*AO115*(1+AP125)+50%*AO115*(1+AP125)/'Group Model'!AQ11*'Group Model'!AP11)</f>
        <v>255711.15292976773</v>
      </c>
      <c r="AQ115" s="41">
        <f>IF(ISERROR(50%*AP115*(1+AQ125)+50%*AP115*(1+AQ125)/'Group Model'!AR11*'Group Model'!AQ11),AP115,50%*AP115*(1+AQ125)+50%*AP115*(1+AQ125)/'Group Model'!AR11*'Group Model'!AQ11)</f>
        <v>252855.82598083344</v>
      </c>
      <c r="AR115" s="41">
        <f>IF(ISERROR(50%*AQ115*(1+AR125)+50%*AQ115*(1+AR125)/'Group Model'!AS11*'Group Model'!AR11),AQ115,50%*AQ115*(1+AR125)+50%*AQ115*(1+AR125)/'Group Model'!AS11*'Group Model'!AR11)</f>
        <v>250159.79178433647</v>
      </c>
      <c r="AS115" s="8"/>
      <c r="AT115" s="41">
        <f t="shared" si="959"/>
        <v>209848</v>
      </c>
      <c r="AU115" s="41">
        <f t="shared" si="960"/>
        <v>207772</v>
      </c>
      <c r="AV115" s="41">
        <f t="shared" si="961"/>
        <v>224600</v>
      </c>
      <c r="AW115" s="41">
        <f t="shared" si="962"/>
        <v>241200</v>
      </c>
      <c r="AX115" s="41">
        <f t="shared" si="963"/>
        <v>312000</v>
      </c>
      <c r="AY115" s="41">
        <f t="shared" si="964"/>
        <v>350300</v>
      </c>
      <c r="AZ115" s="41">
        <f t="shared" si="965"/>
        <v>340700</v>
      </c>
      <c r="BA115" s="41">
        <f t="shared" si="966"/>
        <v>325800</v>
      </c>
      <c r="BB115" s="41">
        <f t="shared" si="967"/>
        <v>333500</v>
      </c>
      <c r="BC115" s="41">
        <f t="shared" si="968"/>
        <v>361000</v>
      </c>
      <c r="BD115" s="41">
        <f t="shared" si="969"/>
        <v>382600</v>
      </c>
      <c r="BE115" s="41">
        <f t="shared" si="970"/>
        <v>367100</v>
      </c>
      <c r="BF115" s="41">
        <f t="shared" si="971"/>
        <v>535100</v>
      </c>
      <c r="BG115" s="41">
        <f t="shared" si="972"/>
        <v>534500</v>
      </c>
      <c r="BH115" s="41">
        <f t="shared" si="973"/>
        <v>567400</v>
      </c>
      <c r="BI115" s="42">
        <f t="shared" si="974"/>
        <v>552000</v>
      </c>
      <c r="BJ115" s="41">
        <f t="shared" si="975"/>
        <v>263130.32212962961</v>
      </c>
      <c r="BK115" s="41">
        <f t="shared" si="976"/>
        <v>262594.79900314845</v>
      </c>
      <c r="BL115" s="41">
        <f t="shared" si="977"/>
        <v>259408.26587256487</v>
      </c>
      <c r="BM115" s="41">
        <f t="shared" si="978"/>
        <v>255711.15292976773</v>
      </c>
      <c r="BN115" s="41">
        <f t="shared" si="979"/>
        <v>250159.79178433647</v>
      </c>
    </row>
    <row r="116" spans="1:66" ht="12" customHeight="1" outlineLevel="1">
      <c r="B116" s="1" t="s">
        <v>23</v>
      </c>
      <c r="C116" s="41">
        <f t="shared" ref="C116:AH116" si="1004">C43</f>
        <v>130677</v>
      </c>
      <c r="D116" s="41">
        <f t="shared" si="1004"/>
        <v>96452</v>
      </c>
      <c r="E116" s="41">
        <f t="shared" si="1004"/>
        <v>101116</v>
      </c>
      <c r="F116" s="41">
        <f t="shared" si="1004"/>
        <v>97328</v>
      </c>
      <c r="G116" s="41">
        <f t="shared" si="1004"/>
        <v>102300</v>
      </c>
      <c r="H116" s="41">
        <f t="shared" si="1004"/>
        <v>100200</v>
      </c>
      <c r="I116" s="41">
        <f t="shared" si="1004"/>
        <v>105700</v>
      </c>
      <c r="J116" s="41">
        <f t="shared" si="1004"/>
        <v>102300</v>
      </c>
      <c r="K116" s="41">
        <f t="shared" si="1004"/>
        <v>114300</v>
      </c>
      <c r="L116" s="41">
        <f t="shared" si="1004"/>
        <v>112800</v>
      </c>
      <c r="M116" s="59">
        <f t="shared" si="1004"/>
        <v>114200</v>
      </c>
      <c r="N116" s="59">
        <f t="shared" si="1004"/>
        <v>133700</v>
      </c>
      <c r="O116" s="59">
        <f t="shared" si="1004"/>
        <v>147800</v>
      </c>
      <c r="P116" s="59">
        <f t="shared" si="1004"/>
        <v>136200</v>
      </c>
      <c r="Q116" s="59">
        <f t="shared" si="1004"/>
        <v>136000</v>
      </c>
      <c r="R116" s="59">
        <f t="shared" si="1004"/>
        <v>154200</v>
      </c>
      <c r="S116" s="59">
        <f t="shared" si="1004"/>
        <v>141400</v>
      </c>
      <c r="T116" s="59">
        <f t="shared" si="1004"/>
        <v>155200</v>
      </c>
      <c r="U116" s="59">
        <f t="shared" si="1004"/>
        <v>185100</v>
      </c>
      <c r="V116" s="59">
        <f t="shared" si="1004"/>
        <v>189000</v>
      </c>
      <c r="W116" s="59">
        <f t="shared" si="1004"/>
        <v>200900</v>
      </c>
      <c r="X116" s="59">
        <f t="shared" si="1004"/>
        <v>215100</v>
      </c>
      <c r="Y116" s="59">
        <f t="shared" si="1004"/>
        <v>204000</v>
      </c>
      <c r="Z116" s="59">
        <f t="shared" si="1004"/>
        <v>195100</v>
      </c>
      <c r="AA116" s="59">
        <f t="shared" si="1004"/>
        <v>220900</v>
      </c>
      <c r="AB116" s="59">
        <f t="shared" si="1004"/>
        <v>257900</v>
      </c>
      <c r="AC116" s="59">
        <f t="shared" si="1004"/>
        <v>312200</v>
      </c>
      <c r="AD116" s="59">
        <f t="shared" si="1004"/>
        <v>344100</v>
      </c>
      <c r="AE116" s="59">
        <f t="shared" si="1004"/>
        <v>345100</v>
      </c>
      <c r="AF116" s="59">
        <f t="shared" si="1004"/>
        <v>370900</v>
      </c>
      <c r="AG116" s="59">
        <f t="shared" si="1004"/>
        <v>373600</v>
      </c>
      <c r="AH116" s="59">
        <f t="shared" si="1004"/>
        <v>389000</v>
      </c>
      <c r="AI116" s="60">
        <f t="shared" ref="AI116" si="1005">AI43</f>
        <v>416600</v>
      </c>
      <c r="AJ116" s="58">
        <f t="shared" ref="AJ116" si="1006">IF(ISERROR(AJ118/AI118*AI116),AI116,AJ118/AI118*AI116)</f>
        <v>427268.38308627013</v>
      </c>
      <c r="AK116" s="58">
        <f t="shared" ref="AK116" si="1007">IF(ISERROR(AK118/AJ118*AJ116),AJ116,AK118/AJ118*AJ116)</f>
        <v>447549.37152019795</v>
      </c>
      <c r="AL116" s="58">
        <f t="shared" ref="AL116" si="1008">IF(ISERROR(AL118/AK118*AK116),AK116,AL118/AK118*AK116)</f>
        <v>461605.48486147868</v>
      </c>
      <c r="AM116" s="58">
        <f t="shared" ref="AM116" si="1009">IF(ISERROR(AM118/AL118*AL116),AL116,AM118/AL118*AL116)</f>
        <v>465157.61628773645</v>
      </c>
      <c r="AN116" s="58">
        <f t="shared" ref="AN116" si="1010">IF(ISERROR(AN118/AM118*AM116),AM116,AN118/AM118*AM116)</f>
        <v>468963.45133009052</v>
      </c>
      <c r="AO116" s="58">
        <f t="shared" ref="AO116" si="1011">IF(ISERROR(AO118/AN118*AN116),AN116,AO118/AN118*AN116)</f>
        <v>473018.9003931944</v>
      </c>
      <c r="AP116" s="58">
        <f t="shared" ref="AP116" si="1012">IF(ISERROR(AP118/AO118*AO116),AO116,AP118/AO118*AO116)</f>
        <v>473329.44188735803</v>
      </c>
      <c r="AQ116" s="58">
        <f t="shared" ref="AQ116" si="1013">IF(ISERROR(AQ118/AP118*AP116),AP116,AQ118/AP118*AP116)</f>
        <v>470093.84933635115</v>
      </c>
      <c r="AR116" s="58">
        <f t="shared" ref="AR116" si="1014">IF(ISERROR(AR118/AQ118*AQ116),AQ116,AR118/AQ118*AQ116)</f>
        <v>467331.71738076262</v>
      </c>
      <c r="AS116" s="8"/>
      <c r="AT116" s="41">
        <f t="shared" si="959"/>
        <v>96452</v>
      </c>
      <c r="AU116" s="41">
        <f t="shared" si="960"/>
        <v>97328</v>
      </c>
      <c r="AV116" s="41">
        <f t="shared" si="961"/>
        <v>100200</v>
      </c>
      <c r="AW116" s="41">
        <f t="shared" si="962"/>
        <v>102300</v>
      </c>
      <c r="AX116" s="41">
        <f t="shared" si="963"/>
        <v>112800</v>
      </c>
      <c r="AY116" s="41">
        <f t="shared" si="964"/>
        <v>133700</v>
      </c>
      <c r="AZ116" s="41">
        <f t="shared" si="965"/>
        <v>136200</v>
      </c>
      <c r="BA116" s="41">
        <f t="shared" si="966"/>
        <v>154200</v>
      </c>
      <c r="BB116" s="41">
        <f t="shared" si="967"/>
        <v>155200</v>
      </c>
      <c r="BC116" s="41">
        <f t="shared" si="968"/>
        <v>189000</v>
      </c>
      <c r="BD116" s="41">
        <f t="shared" si="969"/>
        <v>215100</v>
      </c>
      <c r="BE116" s="41">
        <f t="shared" si="970"/>
        <v>195100</v>
      </c>
      <c r="BF116" s="41">
        <f t="shared" si="971"/>
        <v>257900</v>
      </c>
      <c r="BG116" s="41">
        <f t="shared" si="972"/>
        <v>344100</v>
      </c>
      <c r="BH116" s="41">
        <f t="shared" si="973"/>
        <v>370900</v>
      </c>
      <c r="BI116" s="42">
        <f t="shared" si="974"/>
        <v>389000</v>
      </c>
      <c r="BJ116" s="41">
        <f t="shared" si="975"/>
        <v>427268.38308627013</v>
      </c>
      <c r="BK116" s="41">
        <f t="shared" si="976"/>
        <v>461605.48486147868</v>
      </c>
      <c r="BL116" s="41">
        <f t="shared" si="977"/>
        <v>468963.45133009052</v>
      </c>
      <c r="BM116" s="41">
        <f t="shared" si="978"/>
        <v>473329.44188735803</v>
      </c>
      <c r="BN116" s="41">
        <f t="shared" si="979"/>
        <v>467331.71738076262</v>
      </c>
    </row>
    <row r="117" spans="1:66" ht="12" customHeight="1" outlineLevel="1">
      <c r="A117" s="91" t="s">
        <v>1507</v>
      </c>
      <c r="B117" s="1" t="s">
        <v>22</v>
      </c>
      <c r="C117" s="62">
        <v>188600</v>
      </c>
      <c r="D117" s="62">
        <v>306300</v>
      </c>
      <c r="E117" s="62">
        <v>312500</v>
      </c>
      <c r="F117" s="62">
        <v>305100</v>
      </c>
      <c r="G117" s="62">
        <v>325000</v>
      </c>
      <c r="H117" s="62">
        <v>324800</v>
      </c>
      <c r="I117" s="62">
        <v>336800</v>
      </c>
      <c r="J117" s="62">
        <v>343500</v>
      </c>
      <c r="K117" s="62">
        <v>380700</v>
      </c>
      <c r="L117" s="62">
        <v>424800</v>
      </c>
      <c r="M117" s="62">
        <v>423300</v>
      </c>
      <c r="N117" s="62">
        <v>484000</v>
      </c>
      <c r="O117" s="62">
        <v>502300</v>
      </c>
      <c r="P117" s="62">
        <v>476900</v>
      </c>
      <c r="Q117" s="62">
        <v>491300</v>
      </c>
      <c r="R117" s="62">
        <v>480000</v>
      </c>
      <c r="S117" s="62">
        <v>471900</v>
      </c>
      <c r="T117" s="62">
        <v>488700</v>
      </c>
      <c r="U117" s="62">
        <v>548700</v>
      </c>
      <c r="V117" s="62">
        <v>550000</v>
      </c>
      <c r="W117" s="62">
        <v>562000</v>
      </c>
      <c r="X117" s="62">
        <v>597700</v>
      </c>
      <c r="Y117" s="62">
        <v>554900</v>
      </c>
      <c r="Z117" s="62">
        <v>562200</v>
      </c>
      <c r="AA117" s="62">
        <v>735500</v>
      </c>
      <c r="AB117" s="62">
        <v>793000</v>
      </c>
      <c r="AC117" s="62">
        <v>832900</v>
      </c>
      <c r="AD117" s="62">
        <v>878600</v>
      </c>
      <c r="AE117" s="62">
        <v>892000</v>
      </c>
      <c r="AF117" s="62">
        <v>938300</v>
      </c>
      <c r="AG117" s="62">
        <v>916800</v>
      </c>
      <c r="AH117" s="62">
        <v>941000</v>
      </c>
      <c r="AI117" s="57">
        <v>959100</v>
      </c>
      <c r="AJ117" s="41">
        <f t="shared" ref="AJ117" si="1015">AJ115+AJ116</f>
        <v>690398.70521589974</v>
      </c>
      <c r="AK117" s="41">
        <f t="shared" ref="AK117:AL117" si="1016">AK115+AK116</f>
        <v>707355.94221240073</v>
      </c>
      <c r="AL117" s="41">
        <f t="shared" si="1016"/>
        <v>724200.28386462713</v>
      </c>
      <c r="AM117" s="41">
        <f t="shared" ref="AM117:AN117" si="1017">AM115+AM116</f>
        <v>726122.17992160888</v>
      </c>
      <c r="AN117" s="41">
        <f t="shared" si="1017"/>
        <v>728371.71720265539</v>
      </c>
      <c r="AO117" s="41">
        <f t="shared" ref="AO117:AP117" si="1018">AO115+AO116</f>
        <v>730940.87691325101</v>
      </c>
      <c r="AP117" s="41">
        <f t="shared" si="1018"/>
        <v>729040.5948171257</v>
      </c>
      <c r="AQ117" s="41">
        <f t="shared" ref="AQ117:AR117" si="1019">AQ115+AQ116</f>
        <v>722949.67531718453</v>
      </c>
      <c r="AR117" s="41">
        <f t="shared" si="1019"/>
        <v>717491.50916509912</v>
      </c>
      <c r="AS117" s="8"/>
      <c r="AT117" s="41">
        <f t="shared" si="959"/>
        <v>306300</v>
      </c>
      <c r="AU117" s="41">
        <f t="shared" si="960"/>
        <v>305100</v>
      </c>
      <c r="AV117" s="41">
        <f t="shared" si="961"/>
        <v>324800</v>
      </c>
      <c r="AW117" s="41">
        <f t="shared" si="962"/>
        <v>343500</v>
      </c>
      <c r="AX117" s="41">
        <f t="shared" si="963"/>
        <v>424800</v>
      </c>
      <c r="AY117" s="41">
        <f t="shared" si="964"/>
        <v>484000</v>
      </c>
      <c r="AZ117" s="41">
        <f t="shared" si="965"/>
        <v>476900</v>
      </c>
      <c r="BA117" s="41">
        <f t="shared" si="966"/>
        <v>480000</v>
      </c>
      <c r="BB117" s="41">
        <f t="shared" si="967"/>
        <v>488700</v>
      </c>
      <c r="BC117" s="41">
        <f t="shared" si="968"/>
        <v>550000</v>
      </c>
      <c r="BD117" s="41">
        <f t="shared" si="969"/>
        <v>597700</v>
      </c>
      <c r="BE117" s="41">
        <f t="shared" si="970"/>
        <v>562200</v>
      </c>
      <c r="BF117" s="41">
        <f t="shared" si="971"/>
        <v>793000</v>
      </c>
      <c r="BG117" s="41">
        <f t="shared" si="972"/>
        <v>878600</v>
      </c>
      <c r="BH117" s="41">
        <f t="shared" si="973"/>
        <v>938300</v>
      </c>
      <c r="BI117" s="42">
        <f t="shared" si="974"/>
        <v>941000</v>
      </c>
      <c r="BJ117" s="41">
        <f t="shared" si="975"/>
        <v>690398.70521589974</v>
      </c>
      <c r="BK117" s="41">
        <f t="shared" si="976"/>
        <v>724200.28386462713</v>
      </c>
      <c r="BL117" s="41">
        <f t="shared" si="977"/>
        <v>728371.71720265539</v>
      </c>
      <c r="BM117" s="41">
        <f t="shared" si="978"/>
        <v>729040.5948171257</v>
      </c>
      <c r="BN117" s="41">
        <f t="shared" si="979"/>
        <v>717491.50916509912</v>
      </c>
    </row>
    <row r="118" spans="1:66" ht="12" customHeight="1" outlineLevel="1">
      <c r="A118" s="91" t="s">
        <v>1868</v>
      </c>
      <c r="B118" s="1" t="s">
        <v>44</v>
      </c>
      <c r="C118" s="41">
        <f t="shared" ref="C118:AH118" si="1020">C45</f>
        <v>50025</v>
      </c>
      <c r="D118" s="41">
        <f t="shared" si="1020"/>
        <v>38577</v>
      </c>
      <c r="E118" s="41">
        <f t="shared" si="1020"/>
        <v>37822</v>
      </c>
      <c r="F118" s="41">
        <f t="shared" si="1020"/>
        <v>36393</v>
      </c>
      <c r="G118" s="41">
        <f t="shared" si="1020"/>
        <v>37900</v>
      </c>
      <c r="H118" s="41">
        <f t="shared" si="1020"/>
        <v>37900</v>
      </c>
      <c r="I118" s="41">
        <f t="shared" si="1020"/>
        <v>39500</v>
      </c>
      <c r="J118" s="41">
        <f t="shared" si="1020"/>
        <v>41000</v>
      </c>
      <c r="K118" s="41">
        <f t="shared" si="1020"/>
        <v>49600</v>
      </c>
      <c r="L118" s="41">
        <f t="shared" si="1020"/>
        <v>52500</v>
      </c>
      <c r="M118" s="41">
        <f t="shared" si="1020"/>
        <v>58500</v>
      </c>
      <c r="N118" s="41">
        <f t="shared" si="1020"/>
        <v>66200</v>
      </c>
      <c r="O118" s="41">
        <f t="shared" si="1020"/>
        <v>71600</v>
      </c>
      <c r="P118" s="41">
        <f t="shared" si="1020"/>
        <v>66500</v>
      </c>
      <c r="Q118" s="41">
        <f t="shared" si="1020"/>
        <v>72000</v>
      </c>
      <c r="R118" s="41">
        <f t="shared" si="1020"/>
        <v>77200</v>
      </c>
      <c r="S118" s="41">
        <f t="shared" si="1020"/>
        <v>79500</v>
      </c>
      <c r="T118" s="41">
        <f t="shared" si="1020"/>
        <v>86200</v>
      </c>
      <c r="U118" s="41">
        <f t="shared" si="1020"/>
        <v>115600</v>
      </c>
      <c r="V118" s="41">
        <f t="shared" si="1020"/>
        <v>127900</v>
      </c>
      <c r="W118" s="41">
        <f t="shared" si="1020"/>
        <v>134400</v>
      </c>
      <c r="X118" s="41">
        <f t="shared" si="1020"/>
        <v>149300</v>
      </c>
      <c r="Y118" s="41">
        <f t="shared" si="1020"/>
        <v>139800</v>
      </c>
      <c r="Z118" s="41">
        <f t="shared" si="1020"/>
        <v>142000</v>
      </c>
      <c r="AA118" s="41">
        <f t="shared" si="1020"/>
        <v>158800</v>
      </c>
      <c r="AB118" s="41">
        <f t="shared" si="1020"/>
        <v>158300</v>
      </c>
      <c r="AC118" s="41">
        <f t="shared" si="1020"/>
        <v>188500</v>
      </c>
      <c r="AD118" s="41">
        <f t="shared" si="1020"/>
        <v>205800</v>
      </c>
      <c r="AE118" s="41">
        <f t="shared" si="1020"/>
        <v>210000</v>
      </c>
      <c r="AF118" s="41">
        <f t="shared" si="1020"/>
        <v>222300</v>
      </c>
      <c r="AG118" s="41">
        <f t="shared" si="1020"/>
        <v>217500</v>
      </c>
      <c r="AH118" s="41">
        <f t="shared" si="1020"/>
        <v>221100</v>
      </c>
      <c r="AI118" s="42">
        <f>AI45</f>
        <v>224600</v>
      </c>
      <c r="AJ118" s="41">
        <f t="shared" ref="AJ118:AR118" si="1021">AI118*(1+AJ126)</f>
        <v>230351.60547569915</v>
      </c>
      <c r="AK118" s="41">
        <f t="shared" si="1021"/>
        <v>241285.61892327521</v>
      </c>
      <c r="AL118" s="41">
        <f t="shared" si="1021"/>
        <v>248863.63874193016</v>
      </c>
      <c r="AM118" s="41">
        <f t="shared" si="1021"/>
        <v>250778.68607351321</v>
      </c>
      <c r="AN118" s="41">
        <f t="shared" si="1021"/>
        <v>252830.51168684187</v>
      </c>
      <c r="AO118" s="41">
        <f t="shared" si="1021"/>
        <v>255016.91077367129</v>
      </c>
      <c r="AP118" s="41">
        <f t="shared" si="1021"/>
        <v>255184.33184805716</v>
      </c>
      <c r="AQ118" s="41">
        <f t="shared" si="1021"/>
        <v>253439.93893649656</v>
      </c>
      <c r="AR118" s="41">
        <f t="shared" si="1021"/>
        <v>251950.80106509669</v>
      </c>
      <c r="AS118" s="8"/>
      <c r="AT118" s="41">
        <f t="shared" si="959"/>
        <v>38577</v>
      </c>
      <c r="AU118" s="41">
        <f t="shared" si="960"/>
        <v>36393</v>
      </c>
      <c r="AV118" s="41">
        <f t="shared" si="961"/>
        <v>37900</v>
      </c>
      <c r="AW118" s="41">
        <f t="shared" si="962"/>
        <v>41000</v>
      </c>
      <c r="AX118" s="41">
        <f t="shared" si="963"/>
        <v>52500</v>
      </c>
      <c r="AY118" s="41">
        <f t="shared" si="964"/>
        <v>66200</v>
      </c>
      <c r="AZ118" s="41">
        <f t="shared" si="965"/>
        <v>66500</v>
      </c>
      <c r="BA118" s="41">
        <f t="shared" si="966"/>
        <v>77200</v>
      </c>
      <c r="BB118" s="41">
        <f t="shared" si="967"/>
        <v>86200</v>
      </c>
      <c r="BC118" s="41">
        <f t="shared" si="968"/>
        <v>127900</v>
      </c>
      <c r="BD118" s="41">
        <f t="shared" si="969"/>
        <v>149300</v>
      </c>
      <c r="BE118" s="41">
        <f t="shared" si="970"/>
        <v>142000</v>
      </c>
      <c r="BF118" s="41">
        <f t="shared" si="971"/>
        <v>158300</v>
      </c>
      <c r="BG118" s="41">
        <f t="shared" si="972"/>
        <v>205800</v>
      </c>
      <c r="BH118" s="41">
        <f t="shared" si="973"/>
        <v>222300</v>
      </c>
      <c r="BI118" s="42">
        <f t="shared" si="974"/>
        <v>221100</v>
      </c>
      <c r="BJ118" s="41">
        <f t="shared" si="975"/>
        <v>230351.60547569915</v>
      </c>
      <c r="BK118" s="41">
        <f t="shared" si="976"/>
        <v>248863.63874193016</v>
      </c>
      <c r="BL118" s="41">
        <f t="shared" si="977"/>
        <v>252830.51168684187</v>
      </c>
      <c r="BM118" s="41">
        <f t="shared" si="978"/>
        <v>255184.33184805716</v>
      </c>
      <c r="BN118" s="41">
        <f t="shared" si="979"/>
        <v>251950.80106509669</v>
      </c>
    </row>
    <row r="119" spans="1:66" ht="12" customHeight="1" outlineLevel="1">
      <c r="B119" s="1" t="s">
        <v>1769</v>
      </c>
      <c r="C119" s="62"/>
      <c r="D119" s="62"/>
      <c r="E119" s="62"/>
      <c r="F119" s="62"/>
      <c r="G119" s="62"/>
      <c r="H119" s="62"/>
      <c r="I119" s="62">
        <v>4200</v>
      </c>
      <c r="J119" s="62">
        <v>6100</v>
      </c>
      <c r="K119" s="62">
        <v>7300</v>
      </c>
      <c r="L119" s="62">
        <v>8400</v>
      </c>
      <c r="M119" s="62">
        <v>9000</v>
      </c>
      <c r="N119" s="62">
        <v>9600</v>
      </c>
      <c r="O119" s="62">
        <v>9500</v>
      </c>
      <c r="P119" s="62">
        <v>8600</v>
      </c>
      <c r="Q119" s="62">
        <v>11900</v>
      </c>
      <c r="R119" s="62">
        <v>10200</v>
      </c>
      <c r="S119" s="62">
        <v>11300</v>
      </c>
      <c r="T119" s="62">
        <v>14800</v>
      </c>
      <c r="U119" s="62">
        <v>16000</v>
      </c>
      <c r="V119" s="62">
        <v>25500</v>
      </c>
      <c r="W119" s="62">
        <v>20500</v>
      </c>
      <c r="X119" s="62">
        <v>25100</v>
      </c>
      <c r="Y119" s="62">
        <v>24100</v>
      </c>
      <c r="Z119" s="62">
        <v>29900</v>
      </c>
      <c r="AA119" s="62">
        <v>27900</v>
      </c>
      <c r="AB119" s="62">
        <v>19900</v>
      </c>
      <c r="AC119" s="62">
        <v>30100</v>
      </c>
      <c r="AD119" s="62">
        <v>34800</v>
      </c>
      <c r="AE119" s="62">
        <v>35300</v>
      </c>
      <c r="AF119" s="62">
        <v>37600</v>
      </c>
      <c r="AG119" s="62">
        <v>31800</v>
      </c>
      <c r="AH119" s="62">
        <v>27300</v>
      </c>
      <c r="AI119" s="57">
        <v>23500</v>
      </c>
      <c r="AJ119" s="58">
        <f t="shared" ref="AJ119" si="1022">AI119*AJ118/AI118</f>
        <v>24101.79309296051</v>
      </c>
      <c r="AK119" s="58">
        <f t="shared" ref="AK119" si="1023">AJ119*AK118/AJ118</f>
        <v>25245.823885560854</v>
      </c>
      <c r="AL119" s="58">
        <f t="shared" ref="AL119" si="1024">AK119*AL118/AK118</f>
        <v>26038.715540673908</v>
      </c>
      <c r="AM119" s="58">
        <f t="shared" ref="AM119" si="1025">AL119*AM118/AL118</f>
        <v>26239.087812678368</v>
      </c>
      <c r="AN119" s="58">
        <f t="shared" ref="AN119" si="1026">AM119*AN118/AM118</f>
        <v>26453.771258418456</v>
      </c>
      <c r="AO119" s="58">
        <f t="shared" ref="AO119" si="1027">AN119*AO118/AN118</f>
        <v>26682.535187806217</v>
      </c>
      <c r="AP119" s="58">
        <f t="shared" ref="AP119" si="1028">AO119*AP118/AO118</f>
        <v>26700.052530851935</v>
      </c>
      <c r="AQ119" s="58">
        <f t="shared" ref="AQ119" si="1029">AP119*AQ118/AP118</f>
        <v>26517.535908315542</v>
      </c>
      <c r="AR119" s="58">
        <f t="shared" ref="AR119" si="1030">AQ119*AR118/AQ118</f>
        <v>26361.726736552868</v>
      </c>
      <c r="AS119" s="8"/>
      <c r="AT119" s="41"/>
      <c r="AU119" s="41"/>
      <c r="AV119" s="41"/>
      <c r="AW119" s="41"/>
      <c r="AX119" s="41">
        <f t="shared" ref="AX119" si="1031">L119</f>
        <v>8400</v>
      </c>
      <c r="AY119" s="41">
        <f t="shared" ref="AY119" si="1032">N119</f>
        <v>9600</v>
      </c>
      <c r="AZ119" s="41">
        <f t="shared" ref="AZ119" si="1033">P119</f>
        <v>8600</v>
      </c>
      <c r="BA119" s="41">
        <f t="shared" ref="BA119" si="1034">R119</f>
        <v>10200</v>
      </c>
      <c r="BB119" s="41">
        <f t="shared" ref="BB119" si="1035">T119</f>
        <v>14800</v>
      </c>
      <c r="BC119" s="41">
        <f t="shared" ref="BC119" si="1036">V119</f>
        <v>25500</v>
      </c>
      <c r="BD119" s="41">
        <f t="shared" ref="BD119" si="1037">X119</f>
        <v>25100</v>
      </c>
      <c r="BE119" s="41">
        <f t="shared" ref="BE119" si="1038">Z119</f>
        <v>29900</v>
      </c>
      <c r="BF119" s="41">
        <f t="shared" ref="BF119" si="1039">AB119</f>
        <v>19900</v>
      </c>
      <c r="BG119" s="41">
        <f t="shared" ref="BG119" si="1040">AD119</f>
        <v>34800</v>
      </c>
      <c r="BH119" s="41">
        <f t="shared" si="973"/>
        <v>37600</v>
      </c>
      <c r="BI119" s="42">
        <f t="shared" si="974"/>
        <v>27300</v>
      </c>
      <c r="BJ119" s="41">
        <f t="shared" si="975"/>
        <v>24101.79309296051</v>
      </c>
      <c r="BK119" s="41">
        <f t="shared" si="976"/>
        <v>26038.715540673908</v>
      </c>
      <c r="BL119" s="41">
        <f t="shared" si="977"/>
        <v>26453.771258418456</v>
      </c>
      <c r="BM119" s="41">
        <f t="shared" si="978"/>
        <v>26700.052530851935</v>
      </c>
      <c r="BN119" s="41">
        <f t="shared" si="979"/>
        <v>26361.726736552868</v>
      </c>
    </row>
    <row r="120" spans="1:66" ht="12" customHeight="1" outlineLevel="1">
      <c r="A120" s="91" t="s">
        <v>1369</v>
      </c>
      <c r="B120" s="1" t="s">
        <v>25</v>
      </c>
      <c r="C120" s="62">
        <v>1277</v>
      </c>
      <c r="D120" s="62">
        <v>1610</v>
      </c>
      <c r="E120" s="62">
        <v>1525</v>
      </c>
      <c r="F120" s="62">
        <v>1457</v>
      </c>
      <c r="G120" s="62">
        <v>1420</v>
      </c>
      <c r="H120" s="62">
        <v>1418</v>
      </c>
      <c r="I120" s="62">
        <v>1425</v>
      </c>
      <c r="J120" s="62">
        <v>1472</v>
      </c>
      <c r="K120" s="62">
        <v>1445</v>
      </c>
      <c r="L120" s="62">
        <v>1510</v>
      </c>
      <c r="M120" s="62">
        <v>1492</v>
      </c>
      <c r="N120" s="62">
        <v>1488</v>
      </c>
      <c r="O120" s="62">
        <v>1480</v>
      </c>
      <c r="P120" s="62">
        <v>1498</v>
      </c>
      <c r="Q120" s="62">
        <v>1517</v>
      </c>
      <c r="R120" s="62">
        <v>1559</v>
      </c>
      <c r="S120" s="62">
        <v>1535</v>
      </c>
      <c r="T120" s="62">
        <v>1559</v>
      </c>
      <c r="U120" s="62">
        <v>1886</v>
      </c>
      <c r="V120" s="62">
        <v>1900</v>
      </c>
      <c r="W120" s="62">
        <v>1789</v>
      </c>
      <c r="X120" s="62">
        <v>1899</v>
      </c>
      <c r="Y120" s="62">
        <v>1904</v>
      </c>
      <c r="Z120" s="62">
        <v>1921</v>
      </c>
      <c r="AA120" s="62">
        <v>2630</v>
      </c>
      <c r="AB120" s="62">
        <v>2674</v>
      </c>
      <c r="AC120" s="62">
        <v>2607</v>
      </c>
      <c r="AD120" s="62">
        <v>2509</v>
      </c>
      <c r="AE120" s="62">
        <v>2548</v>
      </c>
      <c r="AF120" s="62">
        <v>2473</v>
      </c>
      <c r="AG120" s="62">
        <v>2449</v>
      </c>
      <c r="AH120" s="62">
        <v>2221</v>
      </c>
      <c r="AI120" s="57">
        <v>2279</v>
      </c>
      <c r="AJ120" s="58">
        <f>AI120*0.68187</f>
        <v>1553.98173</v>
      </c>
      <c r="AK120" s="58">
        <f t="shared" ref="AK120:AR120" si="1041">AJ120*1.01</f>
        <v>1569.5215473000001</v>
      </c>
      <c r="AL120" s="58">
        <f t="shared" si="1041"/>
        <v>1585.216762773</v>
      </c>
      <c r="AM120" s="58">
        <f t="shared" si="1041"/>
        <v>1601.0689304007301</v>
      </c>
      <c r="AN120" s="58">
        <f t="shared" si="1041"/>
        <v>1617.0796197047375</v>
      </c>
      <c r="AO120" s="58">
        <f t="shared" si="1041"/>
        <v>1633.2504159017849</v>
      </c>
      <c r="AP120" s="58">
        <f t="shared" si="1041"/>
        <v>1649.5829200608027</v>
      </c>
      <c r="AQ120" s="58">
        <f t="shared" si="1041"/>
        <v>1666.0787492614108</v>
      </c>
      <c r="AR120" s="58">
        <f t="shared" si="1041"/>
        <v>1682.739536754025</v>
      </c>
      <c r="AS120" s="8"/>
      <c r="AT120" s="41">
        <f t="shared" si="959"/>
        <v>1610</v>
      </c>
      <c r="AU120" s="41">
        <f t="shared" si="960"/>
        <v>1457</v>
      </c>
      <c r="AV120" s="41">
        <f t="shared" si="961"/>
        <v>1418</v>
      </c>
      <c r="AW120" s="41">
        <f t="shared" si="962"/>
        <v>1472</v>
      </c>
      <c r="AX120" s="41">
        <f t="shared" si="963"/>
        <v>1510</v>
      </c>
      <c r="AY120" s="41">
        <f t="shared" si="964"/>
        <v>1488</v>
      </c>
      <c r="AZ120" s="41">
        <f t="shared" si="965"/>
        <v>1498</v>
      </c>
      <c r="BA120" s="41">
        <f t="shared" si="966"/>
        <v>1559</v>
      </c>
      <c r="BB120" s="41">
        <f t="shared" si="967"/>
        <v>1559</v>
      </c>
      <c r="BC120" s="41">
        <f t="shared" si="968"/>
        <v>1900</v>
      </c>
      <c r="BD120" s="41">
        <f t="shared" si="969"/>
        <v>1899</v>
      </c>
      <c r="BE120" s="41">
        <f t="shared" si="970"/>
        <v>1921</v>
      </c>
      <c r="BF120" s="41">
        <f t="shared" si="971"/>
        <v>2674</v>
      </c>
      <c r="BG120" s="41">
        <f t="shared" si="972"/>
        <v>2509</v>
      </c>
      <c r="BH120" s="41">
        <f t="shared" si="973"/>
        <v>2473</v>
      </c>
      <c r="BI120" s="42">
        <f t="shared" si="974"/>
        <v>2221</v>
      </c>
      <c r="BJ120" s="41">
        <f t="shared" si="975"/>
        <v>1553.98173</v>
      </c>
      <c r="BK120" s="41">
        <f t="shared" si="976"/>
        <v>1585.216762773</v>
      </c>
      <c r="BL120" s="41">
        <f t="shared" si="977"/>
        <v>1617.0796197047375</v>
      </c>
      <c r="BM120" s="41">
        <f t="shared" si="978"/>
        <v>1649.5829200608027</v>
      </c>
      <c r="BN120" s="41">
        <f t="shared" si="979"/>
        <v>1682.739536754025</v>
      </c>
    </row>
    <row r="121" spans="1:66" ht="12" customHeight="1" outlineLevel="1"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50"/>
      <c r="AE121" s="50"/>
      <c r="AF121" s="50"/>
      <c r="AG121" s="50"/>
      <c r="AH121" s="44"/>
      <c r="AI121" s="49"/>
      <c r="AJ121" s="182"/>
      <c r="AK121" s="182"/>
      <c r="AL121" s="182"/>
      <c r="AM121" s="182"/>
      <c r="AN121" s="182"/>
      <c r="AO121" s="182"/>
      <c r="AP121" s="182"/>
      <c r="AQ121" s="182"/>
      <c r="AR121" s="182"/>
      <c r="AS121" s="8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9"/>
      <c r="BJ121" s="41"/>
      <c r="BK121" s="41"/>
      <c r="BL121" s="41"/>
      <c r="BM121" s="41"/>
      <c r="BN121" s="41"/>
    </row>
    <row r="122" spans="1:66" ht="12" customHeight="1" outlineLevel="1">
      <c r="B122" s="9" t="s">
        <v>158</v>
      </c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44"/>
      <c r="N122" s="44"/>
      <c r="O122" s="41"/>
      <c r="P122" s="41"/>
      <c r="Q122" s="41"/>
      <c r="R122" s="41"/>
      <c r="S122" s="41"/>
      <c r="T122" s="37"/>
      <c r="U122" s="37"/>
      <c r="V122" s="37"/>
      <c r="W122" s="19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569"/>
      <c r="AJ122" s="41"/>
      <c r="AK122" s="41"/>
      <c r="AL122" s="41"/>
      <c r="AM122" s="41"/>
      <c r="AN122" s="41"/>
      <c r="AO122" s="41"/>
      <c r="AP122" s="41"/>
      <c r="AQ122" s="41"/>
      <c r="AR122" s="41"/>
      <c r="AS122" s="37"/>
      <c r="AT122" s="37"/>
      <c r="AU122" s="37"/>
      <c r="AV122" s="37"/>
      <c r="AW122" s="37"/>
      <c r="AX122" s="37"/>
      <c r="AY122" s="41"/>
      <c r="AZ122" s="37"/>
      <c r="BA122" s="37"/>
      <c r="BB122" s="37"/>
      <c r="BC122" s="37"/>
      <c r="BD122" s="37"/>
      <c r="BE122" s="37"/>
      <c r="BF122" s="37"/>
      <c r="BG122" s="37"/>
      <c r="BH122" s="37"/>
      <c r="BI122" s="38"/>
      <c r="BJ122" s="37"/>
      <c r="BK122" s="37"/>
      <c r="BL122" s="37"/>
      <c r="BM122" s="37"/>
      <c r="BN122" s="37"/>
    </row>
    <row r="123" spans="1:66" ht="12" customHeight="1" outlineLevel="1">
      <c r="B123" s="1" t="s">
        <v>58</v>
      </c>
      <c r="C123" s="50" t="str">
        <f t="shared" ref="C123:AI123" si="1042">IF(ISERROR(C112/B112),"n.a.",C112/B112-1)</f>
        <v>n.a.</v>
      </c>
      <c r="D123" s="50" t="str">
        <f t="shared" si="1042"/>
        <v>n.a.</v>
      </c>
      <c r="E123" s="50" t="str">
        <f t="shared" si="1042"/>
        <v>n.a.</v>
      </c>
      <c r="F123" s="50" t="str">
        <f t="shared" si="1042"/>
        <v>n.a.</v>
      </c>
      <c r="G123" s="50" t="str">
        <f t="shared" si="1042"/>
        <v>n.a.</v>
      </c>
      <c r="H123" s="50" t="str">
        <f t="shared" si="1042"/>
        <v>n.a.</v>
      </c>
      <c r="I123" s="50" t="str">
        <f t="shared" si="1042"/>
        <v>n.a.</v>
      </c>
      <c r="J123" s="50" t="str">
        <f t="shared" si="1042"/>
        <v>n.a.</v>
      </c>
      <c r="K123" s="50" t="str">
        <f t="shared" si="1042"/>
        <v>n.a.</v>
      </c>
      <c r="L123" s="50" t="str">
        <f t="shared" si="1042"/>
        <v>n.a.</v>
      </c>
      <c r="M123" s="69" t="str">
        <f t="shared" si="1042"/>
        <v>n.a.</v>
      </c>
      <c r="N123" s="69" t="str">
        <f t="shared" si="1042"/>
        <v>n.a.</v>
      </c>
      <c r="O123" s="69" t="str">
        <f t="shared" si="1042"/>
        <v>n.a.</v>
      </c>
      <c r="P123" s="69" t="str">
        <f t="shared" si="1042"/>
        <v>n.a.</v>
      </c>
      <c r="Q123" s="69" t="str">
        <f t="shared" si="1042"/>
        <v>n.a.</v>
      </c>
      <c r="R123" s="69" t="str">
        <f t="shared" si="1042"/>
        <v>n.a.</v>
      </c>
      <c r="S123" s="69" t="str">
        <f t="shared" si="1042"/>
        <v>n.a.</v>
      </c>
      <c r="T123" s="69" t="str">
        <f t="shared" si="1042"/>
        <v>n.a.</v>
      </c>
      <c r="U123" s="69" t="str">
        <f t="shared" si="1042"/>
        <v>n.a.</v>
      </c>
      <c r="V123" s="69">
        <f t="shared" si="1042"/>
        <v>0</v>
      </c>
      <c r="W123" s="69">
        <f t="shared" si="1042"/>
        <v>-0.76595744680851063</v>
      </c>
      <c r="X123" s="69">
        <f t="shared" si="1042"/>
        <v>-9.0909090909090939E-2</v>
      </c>
      <c r="Y123" s="69">
        <f t="shared" si="1042"/>
        <v>-0.4</v>
      </c>
      <c r="Z123" s="69">
        <f t="shared" si="1042"/>
        <v>-0.33333333333333337</v>
      </c>
      <c r="AA123" s="69">
        <f t="shared" si="1042"/>
        <v>0.125</v>
      </c>
      <c r="AB123" s="69">
        <f t="shared" si="1042"/>
        <v>0</v>
      </c>
      <c r="AC123" s="69">
        <f t="shared" si="1042"/>
        <v>0.11111111111111116</v>
      </c>
      <c r="AD123" s="69">
        <f t="shared" si="1042"/>
        <v>0.10000000000000009</v>
      </c>
      <c r="AE123" s="69">
        <f t="shared" si="1042"/>
        <v>0.36363636363636354</v>
      </c>
      <c r="AF123" s="69">
        <f t="shared" si="1042"/>
        <v>0</v>
      </c>
      <c r="AG123" s="69">
        <f t="shared" si="1042"/>
        <v>-0.1333333333333333</v>
      </c>
      <c r="AH123" s="69">
        <f t="shared" si="1042"/>
        <v>-0.84615384615384615</v>
      </c>
      <c r="AI123" s="89">
        <f t="shared" si="1042"/>
        <v>2.5</v>
      </c>
      <c r="AJ123" s="56">
        <v>0.01</v>
      </c>
      <c r="AK123" s="56">
        <v>0.01</v>
      </c>
      <c r="AL123" s="56">
        <v>0.01</v>
      </c>
      <c r="AM123" s="56">
        <v>0.01</v>
      </c>
      <c r="AN123" s="56">
        <v>0.01</v>
      </c>
      <c r="AO123" s="56">
        <v>0.01</v>
      </c>
      <c r="AP123" s="56">
        <v>0.01</v>
      </c>
      <c r="AQ123" s="56">
        <v>0.01</v>
      </c>
      <c r="AR123" s="56">
        <v>0.01</v>
      </c>
      <c r="AS123" s="8"/>
      <c r="AT123" s="50" t="str">
        <f>IF(ISERROR(AT112/T112),"n.a.",AT112/T112-1)</f>
        <v>n.a.</v>
      </c>
      <c r="AU123" s="50" t="str">
        <f t="shared" ref="AU123:BN123" si="1043">IF(ISERROR(AU112/AT112),"n.a.",AU112/AT112-1)</f>
        <v>n.a.</v>
      </c>
      <c r="AV123" s="50" t="str">
        <f t="shared" si="1043"/>
        <v>n.a.</v>
      </c>
      <c r="AW123" s="50" t="str">
        <f t="shared" si="1043"/>
        <v>n.a.</v>
      </c>
      <c r="AX123" s="50" t="str">
        <f t="shared" si="1043"/>
        <v>n.a.</v>
      </c>
      <c r="AY123" s="50" t="str">
        <f t="shared" si="1043"/>
        <v>n.a.</v>
      </c>
      <c r="AZ123" s="50" t="str">
        <f t="shared" si="1043"/>
        <v>n.a.</v>
      </c>
      <c r="BA123" s="50" t="str">
        <f t="shared" si="1043"/>
        <v>n.a.</v>
      </c>
      <c r="BB123" s="50" t="str">
        <f t="shared" si="1043"/>
        <v>n.a.</v>
      </c>
      <c r="BC123" s="50" t="str">
        <f t="shared" si="1043"/>
        <v>n.a.</v>
      </c>
      <c r="BD123" s="50">
        <f t="shared" si="1043"/>
        <v>-0.78723404255319152</v>
      </c>
      <c r="BE123" s="50">
        <f t="shared" si="1043"/>
        <v>-0.6</v>
      </c>
      <c r="BF123" s="50">
        <f t="shared" si="1043"/>
        <v>0.125</v>
      </c>
      <c r="BG123" s="50">
        <f t="shared" si="1043"/>
        <v>0.22222222222222232</v>
      </c>
      <c r="BH123" s="50">
        <f t="shared" si="1043"/>
        <v>0.36363636363636354</v>
      </c>
      <c r="BI123" s="51">
        <f t="shared" si="1043"/>
        <v>-0.8666666666666667</v>
      </c>
      <c r="BJ123" s="50">
        <f t="shared" si="1043"/>
        <v>2.5350000000000001</v>
      </c>
      <c r="BK123" s="50">
        <f t="shared" si="1043"/>
        <v>2.0100000000000229E-2</v>
      </c>
      <c r="BL123" s="50">
        <f t="shared" si="1043"/>
        <v>2.0100000000000229E-2</v>
      </c>
      <c r="BM123" s="50">
        <f t="shared" si="1043"/>
        <v>2.0100000000000229E-2</v>
      </c>
      <c r="BN123" s="50">
        <f t="shared" si="1043"/>
        <v>2.0100000000000007E-2</v>
      </c>
    </row>
    <row r="124" spans="1:66" ht="12" customHeight="1" outlineLevel="1">
      <c r="B124" s="1" t="s">
        <v>59</v>
      </c>
      <c r="C124" s="37" t="str">
        <f t="shared" ref="C124:AI124" si="1044">IF(ISERROR(C79-B79),"n.a.",C79-B79)</f>
        <v>n.a.</v>
      </c>
      <c r="D124" s="37" t="str">
        <f t="shared" si="1044"/>
        <v>n.a.</v>
      </c>
      <c r="E124" s="37" t="str">
        <f t="shared" si="1044"/>
        <v>n.a.</v>
      </c>
      <c r="F124" s="37" t="str">
        <f t="shared" si="1044"/>
        <v>n.a.</v>
      </c>
      <c r="G124" s="37" t="str">
        <f t="shared" si="1044"/>
        <v>n.a.</v>
      </c>
      <c r="H124" s="37" t="str">
        <f t="shared" si="1044"/>
        <v>n.a.</v>
      </c>
      <c r="I124" s="37" t="str">
        <f t="shared" si="1044"/>
        <v>n.a.</v>
      </c>
      <c r="J124" s="37" t="str">
        <f t="shared" si="1044"/>
        <v>n.a.</v>
      </c>
      <c r="K124" s="37" t="str">
        <f t="shared" si="1044"/>
        <v>n.a.</v>
      </c>
      <c r="L124" s="37" t="str">
        <f t="shared" si="1044"/>
        <v>n.a.</v>
      </c>
      <c r="M124" s="78" t="str">
        <f t="shared" si="1044"/>
        <v>n.a.</v>
      </c>
      <c r="N124" s="78" t="str">
        <f t="shared" si="1044"/>
        <v>n.a.</v>
      </c>
      <c r="O124" s="78" t="str">
        <f t="shared" si="1044"/>
        <v>n.a.</v>
      </c>
      <c r="P124" s="78" t="str">
        <f t="shared" si="1044"/>
        <v>n.a.</v>
      </c>
      <c r="Q124" s="78" t="str">
        <f t="shared" si="1044"/>
        <v>n.a.</v>
      </c>
      <c r="R124" s="78" t="str">
        <f t="shared" si="1044"/>
        <v>n.a.</v>
      </c>
      <c r="S124" s="78" t="str">
        <f t="shared" si="1044"/>
        <v>n.a.</v>
      </c>
      <c r="T124" s="78" t="str">
        <f t="shared" si="1044"/>
        <v>n.a.</v>
      </c>
      <c r="U124" s="78" t="str">
        <f t="shared" si="1044"/>
        <v>n.a.</v>
      </c>
      <c r="V124" s="78">
        <f t="shared" si="1044"/>
        <v>0</v>
      </c>
      <c r="W124" s="78">
        <f t="shared" si="1044"/>
        <v>0</v>
      </c>
      <c r="X124" s="78">
        <f t="shared" si="1044"/>
        <v>0</v>
      </c>
      <c r="Y124" s="78">
        <f t="shared" si="1044"/>
        <v>0</v>
      </c>
      <c r="Z124" s="78">
        <f t="shared" si="1044"/>
        <v>0</v>
      </c>
      <c r="AA124" s="78">
        <f t="shared" si="1044"/>
        <v>0</v>
      </c>
      <c r="AB124" s="78">
        <f t="shared" si="1044"/>
        <v>0</v>
      </c>
      <c r="AC124" s="78">
        <f t="shared" si="1044"/>
        <v>0</v>
      </c>
      <c r="AD124" s="78">
        <f t="shared" si="1044"/>
        <v>0</v>
      </c>
      <c r="AE124" s="78">
        <f t="shared" si="1044"/>
        <v>0</v>
      </c>
      <c r="AF124" s="78">
        <f t="shared" si="1044"/>
        <v>0</v>
      </c>
      <c r="AG124" s="78">
        <f t="shared" si="1044"/>
        <v>0</v>
      </c>
      <c r="AH124" s="78">
        <f t="shared" si="1044"/>
        <v>0</v>
      </c>
      <c r="AI124" s="88">
        <f t="shared" si="1044"/>
        <v>0</v>
      </c>
      <c r="AJ124" s="66">
        <v>0</v>
      </c>
      <c r="AK124" s="66">
        <v>0</v>
      </c>
      <c r="AL124" s="66">
        <v>0</v>
      </c>
      <c r="AM124" s="66">
        <v>0</v>
      </c>
      <c r="AN124" s="66">
        <v>0</v>
      </c>
      <c r="AO124" s="66">
        <v>0</v>
      </c>
      <c r="AP124" s="66">
        <v>0</v>
      </c>
      <c r="AQ124" s="66">
        <v>0</v>
      </c>
      <c r="AR124" s="66">
        <v>0</v>
      </c>
      <c r="AS124" s="8"/>
      <c r="AT124" s="37" t="str">
        <f>IF(ISERROR(AT79-T79),"n.a.",AT79-T79)</f>
        <v>n.a.</v>
      </c>
      <c r="AU124" s="37" t="str">
        <f t="shared" ref="AU124:BN124" si="1045">IF(ISERROR(AU79-AT79),"n.a.",AU79-AT79)</f>
        <v>n.a.</v>
      </c>
      <c r="AV124" s="37" t="str">
        <f t="shared" si="1045"/>
        <v>n.a.</v>
      </c>
      <c r="AW124" s="37" t="str">
        <f t="shared" si="1045"/>
        <v>n.a.</v>
      </c>
      <c r="AX124" s="37" t="str">
        <f t="shared" si="1045"/>
        <v>n.a.</v>
      </c>
      <c r="AY124" s="37" t="str">
        <f t="shared" si="1045"/>
        <v>n.a.</v>
      </c>
      <c r="AZ124" s="37" t="str">
        <f t="shared" si="1045"/>
        <v>n.a.</v>
      </c>
      <c r="BA124" s="37" t="str">
        <f t="shared" si="1045"/>
        <v>n.a.</v>
      </c>
      <c r="BB124" s="37" t="str">
        <f t="shared" si="1045"/>
        <v>n.a.</v>
      </c>
      <c r="BC124" s="37" t="str">
        <f t="shared" si="1045"/>
        <v>n.a.</v>
      </c>
      <c r="BD124" s="37">
        <f t="shared" si="1045"/>
        <v>0</v>
      </c>
      <c r="BE124" s="37">
        <f t="shared" si="1045"/>
        <v>0</v>
      </c>
      <c r="BF124" s="37">
        <f t="shared" si="1045"/>
        <v>0</v>
      </c>
      <c r="BG124" s="37">
        <f t="shared" si="1045"/>
        <v>0</v>
      </c>
      <c r="BH124" s="37">
        <f t="shared" si="1045"/>
        <v>0</v>
      </c>
      <c r="BI124" s="38">
        <f t="shared" si="1045"/>
        <v>0</v>
      </c>
      <c r="BJ124" s="37">
        <f t="shared" si="1045"/>
        <v>0</v>
      </c>
      <c r="BK124" s="37">
        <f t="shared" si="1045"/>
        <v>0</v>
      </c>
      <c r="BL124" s="37">
        <f t="shared" si="1045"/>
        <v>0</v>
      </c>
      <c r="BM124" s="37">
        <f t="shared" si="1045"/>
        <v>0</v>
      </c>
      <c r="BN124" s="37">
        <f t="shared" si="1045"/>
        <v>0</v>
      </c>
    </row>
    <row r="125" spans="1:66" ht="12" customHeight="1" outlineLevel="1">
      <c r="B125" s="1" t="s">
        <v>751</v>
      </c>
      <c r="C125" s="50" t="str">
        <f>IF(ISERROR((C115*50%+C115*50%*'Group Model'!D11)/(B115*50%+B115*50%*'Group Model'!C11)-1),"n.a.",(C115*50%+C115*50%*'Group Model'!D11)/(B115*50%+B115*50%*'Group Model'!C11)-1)</f>
        <v>n.a.</v>
      </c>
      <c r="D125" s="50">
        <f>IF(ISERROR((D115*50%+D115*50%*'Group Model'!E11)/(C115*50%+C115*50%*'Group Model'!D11)-1),"n.a.",(D115*50%+D115*50%*'Group Model'!E11)/(C115*50%+C115*50%*'Group Model'!D11)-1)</f>
        <v>2.690040268734764</v>
      </c>
      <c r="E125" s="50">
        <f>IF(ISERROR((E115*50%+E115*50%*'Group Model'!F11)/(D115*50%+D115*50%*'Group Model'!E11)-1),"n.a.",(E115*50%+E115*50%*'Group Model'!F11)/(D115*50%+D115*50%*'Group Model'!E11)-1)</f>
        <v>3.342846678072342E-2</v>
      </c>
      <c r="F125" s="50">
        <f>IF(ISERROR((F115*50%+F115*50%*'Group Model'!G11)/(E115*50%+E115*50%*'Group Model'!F11)-1),"n.a.",(F115*50%+F115*50%*'Group Model'!G11)/(E115*50%+E115*50%*'Group Model'!F11)-1)</f>
        <v>1.563972676859815E-2</v>
      </c>
      <c r="G125" s="50">
        <f>IF(ISERROR((G115*50%+G115*50%*'Group Model'!H11)/(F115*50%+F115*50%*'Group Model'!G11)-1),"n.a.",(G115*50%+G115*50%*'Group Model'!H11)/(F115*50%+F115*50%*'Group Model'!G11)-1)</f>
        <v>3.6861459961464949E-2</v>
      </c>
      <c r="H125" s="50">
        <f>IF(ISERROR((H115*50%+H115*50%*'Group Model'!I11)/(G115*50%+G115*50%*'Group Model'!H11)-1),"n.a.",(H115*50%+H115*50%*'Group Model'!I11)/(G115*50%+G115*50%*'Group Model'!H11)-1)</f>
        <v>4.4008624268106589E-2</v>
      </c>
      <c r="I125" s="50">
        <f>IF(ISERROR((I115*50%+I115*50%*'Group Model'!J11)/(H115*50%+H115*50%*'Group Model'!I11)-1),"n.a.",(I115*50%+I115*50%*'Group Model'!J11)/(H115*50%+H115*50%*'Group Model'!I11)-1)</f>
        <v>3.0295058601621738E-2</v>
      </c>
      <c r="J125" s="50">
        <f>IF(ISERROR((J115*50%+J115*50%*'Group Model'!K11)/(I115*50%+I115*50%*'Group Model'!J11)-1),"n.a.",(J115*50%+J115*50%*'Group Model'!K11)/(I115*50%+I115*50%*'Group Model'!J11)-1)</f>
        <v>4.5470670725703322E-2</v>
      </c>
      <c r="K125" s="50">
        <f>IF(ISERROR((K115*50%+K115*50%*'Group Model'!L11)/(J115*50%+J115*50%*'Group Model'!K11)-1),"n.a.",(K115*50%+K115*50%*'Group Model'!L11)/(J115*50%+J115*50%*'Group Model'!K11)-1)</f>
        <v>4.5457453018501681E-2</v>
      </c>
      <c r="L125" s="50">
        <f>IF(ISERROR((L115*50%+L115*50%*'Group Model'!M11)/(K115*50%+K115*50%*'Group Model'!L11)-1),"n.a.",(L115*50%+L115*50%*'Group Model'!M11)/(K115*50%+K115*50%*'Group Model'!L11)-1)</f>
        <v>0.16754411911070211</v>
      </c>
      <c r="M125" s="69">
        <f>IF(ISERROR((M115*50%+M115*50%*'Group Model'!N11)/(L115*50%+L115*50%*'Group Model'!M11)-1),"n.a.",(M115*50%+M115*50%*'Group Model'!N11)/(L115*50%+L115*50%*'Group Model'!M11)-1)</f>
        <v>-3.5813916551492242E-2</v>
      </c>
      <c r="N125" s="69">
        <f>IF(ISERROR((N115*50%+N115*50%*'Group Model'!O11)/(M115*50%+M115*50%*'Group Model'!N11)-1),"n.a.",(N115*50%+N115*50%*'Group Model'!O11)/(M115*50%+M115*50%*'Group Model'!N11)-1)</f>
        <v>6.4159310959931215E-2</v>
      </c>
      <c r="O125" s="69">
        <f>IF(ISERROR((O115*50%+O115*50%*'Group Model'!P11)/(N115*50%+N115*50%*'Group Model'!O11)-1),"n.a.",(O115*50%+O115*50%*'Group Model'!P11)/(N115*50%+N115*50%*'Group Model'!O11)-1)</f>
        <v>-2.18281452463579E-2</v>
      </c>
      <c r="P125" s="69">
        <f>IF(ISERROR((P115*50%+P115*50%*'Group Model'!Q11)/(O115*50%+O115*50%*'Group Model'!P11)-1),"n.a.",(P115*50%+P115*50%*'Group Model'!Q11)/(O115*50%+O115*50%*'Group Model'!P11)-1)</f>
        <v>-2.7844868919327803E-3</v>
      </c>
      <c r="Q125" s="69">
        <f>IF(ISERROR((Q115*50%+Q115*50%*'Group Model'!R11)/(P115*50%+P115*50%*'Group Model'!Q11)-1),"n.a.",(Q115*50%+Q115*50%*'Group Model'!R11)/(P115*50%+P115*50%*'Group Model'!Q11)-1)</f>
        <v>4.295334991538291E-2</v>
      </c>
      <c r="R125" s="69">
        <f>IF(ISERROR((R115*50%+R115*50%*'Group Model'!S11)/(Q115*50%+Q115*50%*'Group Model'!R11)-1),"n.a.",(R115*50%+R115*50%*'Group Model'!S11)/(Q115*50%+Q115*50%*'Group Model'!R11)-1)</f>
        <v>-8.4552424500245471E-2</v>
      </c>
      <c r="S125" s="69">
        <f>IF(ISERROR((S115*50%+S115*50%*'Group Model'!T11)/(R115*50%+R115*50%*'Group Model'!S11)-1),"n.a.",(S115*50%+S115*50%*'Group Model'!T11)/(R115*50%+R115*50%*'Group Model'!S11)-1)</f>
        <v>2.6230176784034054E-2</v>
      </c>
      <c r="T125" s="69">
        <f>IF(ISERROR((T115*50%+T115*50%*'Group Model'!U11)/(S115*50%+S115*50%*'Group Model'!T11)-1),"n.a.",(T115*50%+T115*50%*'Group Model'!U11)/(S115*50%+S115*50%*'Group Model'!T11)-1)</f>
        <v>2.9634835036485008E-4</v>
      </c>
      <c r="U125" s="69">
        <f>IF(ISERROR((U115*50%+U115*50%*'Group Model'!V11)/(T115*50%+T115*50%*'Group Model'!U11)-1),"n.a.",(U115*50%+U115*50%*'Group Model'!V11)/(T115*50%+T115*50%*'Group Model'!U11)-1)</f>
        <v>6.1756172645712759E-2</v>
      </c>
      <c r="V125" s="69">
        <f>IF(ISERROR((V115*50%+V115*50%*'Group Model'!W11)/(U115*50%+U115*50%*'Group Model'!V11)-1),"n.a.",(V115*50%+V115*50%*'Group Model'!W11)/(U115*50%+U115*50%*'Group Model'!V11)-1)</f>
        <v>-1.4168356956499539E-2</v>
      </c>
      <c r="W125" s="69">
        <f>IF(ISERROR((W115*50%+W115*50%*'Group Model'!X11)/(V115*50%+V115*50%*'Group Model'!W11)-1),"n.a.",(W115*50%+W115*50%*'Group Model'!X11)/(V115*50%+V115*50%*'Group Model'!W11)-1)</f>
        <v>-2.0010776335058655E-2</v>
      </c>
      <c r="X125" s="69">
        <f>IF(ISERROR((X115*50%+X115*50%*'Group Model'!Y11)/(W115*50%+W115*50%*'Group Model'!X11)-1),"n.a.",(X115*50%+X115*50%*'Group Model'!Y11)/(W115*50%+W115*50%*'Group Model'!X11)-1)</f>
        <v>2.0946687564447952E-2</v>
      </c>
      <c r="Y125" s="69">
        <f>IF(ISERROR((Y115*50%+Y115*50%*'Group Model'!Z11)/(X115*50%+X115*50%*'Group Model'!Y11)-1),"n.a.",(Y115*50%+Y115*50%*'Group Model'!Z11)/(X115*50%+X115*50%*'Group Model'!Y11)-1)</f>
        <v>-2.4544650138964341E-2</v>
      </c>
      <c r="Z125" s="69">
        <f>IF(ISERROR((Z115*50%+Z115*50%*'Group Model'!AA11)/(Y115*50%+Y115*50%*'Group Model'!Z11)-1),"n.a.",(Z115*50%+Z115*50%*'Group Model'!AA11)/(Y115*50%+Y115*50%*'Group Model'!Z11)-1)</f>
        <v>7.2483365951294454E-2</v>
      </c>
      <c r="AA125" s="69">
        <f>IF(ISERROR((AA115*50%+AA115*50%*'Group Model'!AB11)/(Z115*50%+Z115*50%*'Group Model'!AA11)-1),"n.a.",(AA115*50%+AA115*50%*'Group Model'!AB11)/(Z115*50%+Z115*50%*'Group Model'!AA11)-1)</f>
        <v>0.37218441865995744</v>
      </c>
      <c r="AB125" s="69">
        <f>IF(ISERROR((AB115*50%+AB115*50%*'Group Model'!AC11)/(AA115*50%+AA115*50%*'Group Model'!AB11)-1),"n.a.",(AB115*50%+AB115*50%*'Group Model'!AC11)/(AA115*50%+AA115*50%*'Group Model'!AB11)-1)</f>
        <v>5.5296442477104968E-2</v>
      </c>
      <c r="AC125" s="69">
        <f>IF(ISERROR((AC115*50%+AC115*50%*'Group Model'!AD11)/(AB115*50%+AB115*50%*'Group Model'!AC11)-1),"n.a.",(AC115*50%+AC115*50%*'Group Model'!AD11)/(AB115*50%+AB115*50%*'Group Model'!AC11)-1)</f>
        <v>-8.7091236471435129E-2</v>
      </c>
      <c r="AD125" s="69">
        <f>IF(ISERROR((AD115*50%+AD115*50%*'Group Model'!AE11)/(AC115*50%+AC115*50%*'Group Model'!AD11)-1),"n.a.",(AD115*50%+AD115*50%*'Group Model'!AE11)/(AC115*50%+AC115*50%*'Group Model'!AD11)-1)</f>
        <v>4.4337672476036927E-2</v>
      </c>
      <c r="AE125" s="69">
        <f>IF(ISERROR((AE115*50%+AE115*50%*'Group Model'!AF11)/(AD115*50%+AD115*50%*'Group Model'!AE11)-1),"n.a.",(AE115*50%+AE115*50%*'Group Model'!AF11)/(AD115*50%+AD115*50%*'Group Model'!AE11)-1)</f>
        <v>7.5527748125443495E-3</v>
      </c>
      <c r="AF125" s="69">
        <f>IF(ISERROR((AF115*50%+AF115*50%*'Group Model'!AG11)/(AE115*50%+AE115*50%*'Group Model'!AF11)-1),"n.a.",(AF115*50%+AF115*50%*'Group Model'!AG11)/(AE115*50%+AE115*50%*'Group Model'!AF11)-1)</f>
        <v>4.2766026778386257E-2</v>
      </c>
      <c r="AG125" s="69">
        <f>IF(ISERROR((AG115*50%+AG115*50%*'Group Model'!AH11)/(AF115*50%+AF115*50%*'Group Model'!AG11)-1),"n.a.",(AG115*50%+AG115*50%*'Group Model'!AH11)/(AF115*50%+AF115*50%*'Group Model'!AG11)-1)</f>
        <v>-1.9514069283519619E-2</v>
      </c>
      <c r="AH125" s="69">
        <f>IF(ISERROR((AH115*50%+AH115*50%*'Group Model'!AI11)/(AG115*50%+AG115*50%*'Group Model'!AH11)-1),"n.a.",(AH115*50%+AH115*50%*'Group Model'!AI11)/(AG115*50%+AG115*50%*'Group Model'!AH11)-1)</f>
        <v>-2.382140556332013E-2</v>
      </c>
      <c r="AI125" s="89">
        <f>IF(ISERROR((AI115*50%+AI115*50%*'Group Model'!AJ11)/(AH115*50%+AH115*50%*'Group Model'!AI11)-1),"n.a.",(AI115*50%+AI115*50%*'Group Model'!AJ11)/(AH115*50%+AH115*50%*'Group Model'!AI11)-1)</f>
        <v>4.9384674584294075E-3</v>
      </c>
      <c r="AJ125" s="56">
        <v>-0.02</v>
      </c>
      <c r="AK125" s="56">
        <v>-0.02</v>
      </c>
      <c r="AL125" s="56">
        <v>5.0000000000000001E-3</v>
      </c>
      <c r="AM125" s="56">
        <v>5.0000000000000001E-3</v>
      </c>
      <c r="AN125" s="56">
        <f>AM125</f>
        <v>5.0000000000000001E-3</v>
      </c>
      <c r="AO125" s="56">
        <f t="shared" ref="AO125:AR125" si="1046">AN125</f>
        <v>5.0000000000000001E-3</v>
      </c>
      <c r="AP125" s="56">
        <f t="shared" si="1046"/>
        <v>5.0000000000000001E-3</v>
      </c>
      <c r="AQ125" s="56">
        <f t="shared" si="1046"/>
        <v>5.0000000000000001E-3</v>
      </c>
      <c r="AR125" s="56">
        <f t="shared" si="1046"/>
        <v>5.0000000000000001E-3</v>
      </c>
      <c r="AS125" s="8"/>
      <c r="AT125" s="50">
        <f>IF(ISERROR(AT115/T115),"n.a.",AT115/T115-1)</f>
        <v>-0.37077061469265371</v>
      </c>
      <c r="AU125" s="50">
        <f t="shared" ref="AU125:BN125" si="1047">IF(ISERROR(AU115/AT115),"n.a.",AU115/AT115-1)</f>
        <v>-9.892874842743371E-3</v>
      </c>
      <c r="AV125" s="50">
        <f t="shared" si="1047"/>
        <v>8.0992626532930379E-2</v>
      </c>
      <c r="AW125" s="50">
        <f t="shared" si="1047"/>
        <v>7.3909171861086476E-2</v>
      </c>
      <c r="AX125" s="50">
        <f t="shared" si="1047"/>
        <v>0.29353233830845782</v>
      </c>
      <c r="AY125" s="50">
        <f t="shared" si="1047"/>
        <v>0.12275641025641026</v>
      </c>
      <c r="AZ125" s="50">
        <f t="shared" si="1047"/>
        <v>-2.7405081358835237E-2</v>
      </c>
      <c r="BA125" s="50">
        <f t="shared" si="1047"/>
        <v>-4.3733489873789222E-2</v>
      </c>
      <c r="BB125" s="50">
        <f t="shared" si="1047"/>
        <v>2.3634131368938105E-2</v>
      </c>
      <c r="BC125" s="50">
        <f t="shared" si="1047"/>
        <v>8.2458770614692645E-2</v>
      </c>
      <c r="BD125" s="50">
        <f t="shared" si="1047"/>
        <v>5.9833795013850333E-2</v>
      </c>
      <c r="BE125" s="50">
        <f t="shared" si="1047"/>
        <v>-4.051228437009935E-2</v>
      </c>
      <c r="BF125" s="50">
        <f t="shared" si="1047"/>
        <v>0.45764096976300728</v>
      </c>
      <c r="BG125" s="50">
        <f t="shared" si="1047"/>
        <v>-1.1212857409830246E-3</v>
      </c>
      <c r="BH125" s="50">
        <f t="shared" si="1047"/>
        <v>6.1552853133769903E-2</v>
      </c>
      <c r="BI125" s="51">
        <f t="shared" si="1047"/>
        <v>-2.714134649277411E-2</v>
      </c>
      <c r="BJ125" s="50">
        <f t="shared" si="1047"/>
        <v>-0.5233146338231347</v>
      </c>
      <c r="BK125" s="50">
        <f t="shared" si="1047"/>
        <v>-2.0352011206725695E-3</v>
      </c>
      <c r="BL125" s="50">
        <f t="shared" si="1047"/>
        <v>-1.213479148360963E-2</v>
      </c>
      <c r="BM125" s="50">
        <f t="shared" si="1047"/>
        <v>-1.4252101529460659E-2</v>
      </c>
      <c r="BN125" s="50">
        <f t="shared" si="1047"/>
        <v>-2.1709499495143114E-2</v>
      </c>
    </row>
    <row r="126" spans="1:66" ht="12" customHeight="1" outlineLevel="1">
      <c r="B126" s="1" t="s">
        <v>1837</v>
      </c>
      <c r="C126" s="50" t="str">
        <f t="shared" ref="C126:AI126" si="1048">IF(ISERROR(C118/B118),"n.a.",C118/B118-1)</f>
        <v>n.a.</v>
      </c>
      <c r="D126" s="50">
        <f t="shared" si="1048"/>
        <v>-0.22884557721139431</v>
      </c>
      <c r="E126" s="50">
        <f t="shared" si="1048"/>
        <v>-1.957124711615732E-2</v>
      </c>
      <c r="F126" s="50">
        <f t="shared" si="1048"/>
        <v>-3.7782243138913874E-2</v>
      </c>
      <c r="G126" s="50">
        <f t="shared" si="1048"/>
        <v>4.1409062182287792E-2</v>
      </c>
      <c r="H126" s="50">
        <f t="shared" si="1048"/>
        <v>0</v>
      </c>
      <c r="I126" s="50">
        <f t="shared" si="1048"/>
        <v>4.2216358839050061E-2</v>
      </c>
      <c r="J126" s="50">
        <f t="shared" si="1048"/>
        <v>3.7974683544303778E-2</v>
      </c>
      <c r="K126" s="50">
        <f t="shared" si="1048"/>
        <v>0.20975609756097557</v>
      </c>
      <c r="L126" s="50">
        <f t="shared" si="1048"/>
        <v>5.8467741935483764E-2</v>
      </c>
      <c r="M126" s="69">
        <f t="shared" si="1048"/>
        <v>0.11428571428571432</v>
      </c>
      <c r="N126" s="69">
        <f t="shared" si="1048"/>
        <v>0.1316239316239316</v>
      </c>
      <c r="O126" s="69">
        <f t="shared" si="1048"/>
        <v>8.1570996978852062E-2</v>
      </c>
      <c r="P126" s="69">
        <f t="shared" si="1048"/>
        <v>-7.1229050279329575E-2</v>
      </c>
      <c r="Q126" s="69">
        <f t="shared" si="1048"/>
        <v>8.2706766917293173E-2</v>
      </c>
      <c r="R126" s="69">
        <f t="shared" si="1048"/>
        <v>7.2222222222222188E-2</v>
      </c>
      <c r="S126" s="69">
        <f t="shared" si="1048"/>
        <v>2.9792746113989743E-2</v>
      </c>
      <c r="T126" s="69">
        <f t="shared" si="1048"/>
        <v>8.4276729559748409E-2</v>
      </c>
      <c r="U126" s="69">
        <f t="shared" si="1048"/>
        <v>0.34106728538283071</v>
      </c>
      <c r="V126" s="69">
        <f t="shared" si="1048"/>
        <v>0.10640138408304489</v>
      </c>
      <c r="W126" s="69">
        <f t="shared" si="1048"/>
        <v>5.0820953870211127E-2</v>
      </c>
      <c r="X126" s="69">
        <f t="shared" si="1048"/>
        <v>0.11086309523809534</v>
      </c>
      <c r="Y126" s="69">
        <f t="shared" si="1048"/>
        <v>-6.3630274614869364E-2</v>
      </c>
      <c r="Z126" s="69">
        <f t="shared" si="1048"/>
        <v>1.5736766809728131E-2</v>
      </c>
      <c r="AA126" s="69">
        <f t="shared" si="1048"/>
        <v>0.11830985915492964</v>
      </c>
      <c r="AB126" s="69">
        <f t="shared" si="1048"/>
        <v>-3.1486146095718315E-3</v>
      </c>
      <c r="AC126" s="69">
        <f t="shared" si="1048"/>
        <v>0.19077700568540745</v>
      </c>
      <c r="AD126" s="69">
        <f t="shared" si="1048"/>
        <v>9.1777188328912462E-2</v>
      </c>
      <c r="AE126" s="69">
        <f t="shared" si="1048"/>
        <v>2.0408163265306145E-2</v>
      </c>
      <c r="AF126" s="69">
        <f t="shared" si="1048"/>
        <v>5.8571428571428497E-2</v>
      </c>
      <c r="AG126" s="69">
        <f t="shared" si="1048"/>
        <v>-2.1592442645074206E-2</v>
      </c>
      <c r="AH126" s="69">
        <f t="shared" si="1048"/>
        <v>1.6551724137930934E-2</v>
      </c>
      <c r="AI126" s="89">
        <f t="shared" si="1048"/>
        <v>1.582994120307557E-2</v>
      </c>
      <c r="AJ126" s="56">
        <f>2%+(60%*(('Group Model'!AJ13/'Group Model'!AK13)-1))+(40%*(('Group Model'!AJ11/'Group Model'!AK11)-1))</f>
        <v>2.5608216721723691E-2</v>
      </c>
      <c r="AK126" s="56">
        <f>2%+(60%*(('Group Model'!AK13/'Group Model'!AL13)-1))+(40%*(('Group Model'!AK11/'Group Model'!AL11)-1))</f>
        <v>4.7466625748043771E-2</v>
      </c>
      <c r="AL126" s="56">
        <f>2%+(60%*(('Group Model'!AL13/'Group Model'!AM13)-1))+(40%*(('Group Model'!AL11/'Group Model'!AM11)-1))</f>
        <v>3.1406844106463862E-2</v>
      </c>
      <c r="AM126" s="56">
        <f>3%+(60%*(('Group Model'!AM13/'Group Model'!AN13)-1))+(40%*(('Group Model'!AM11/'Group Model'!AN11)-1))</f>
        <v>7.6951672862458995E-3</v>
      </c>
      <c r="AN126" s="56">
        <f>3%+(60%*(('Group Model'!AN13/'Group Model'!AO13)-1))+(40%*(('Group Model'!AN11/'Group Model'!AO11)-1))</f>
        <v>8.1818181818177505E-3</v>
      </c>
      <c r="AO126" s="56">
        <f>3%+(60%*(('Group Model'!AO13/'Group Model'!AP13)-1))+(40%*(('Group Model'!AO11/'Group Model'!AP11)-1))</f>
        <v>8.6476868327406836E-3</v>
      </c>
      <c r="AP126" s="56">
        <f>3%+(60%*(('Group Model'!AP13/'Group Model'!AQ13)-1))+(40%*(('Group Model'!AP11/'Group Model'!AQ11)-1))</f>
        <v>6.5650969529017916E-4</v>
      </c>
      <c r="AQ126" s="56">
        <f>3%+(60%*(('Group Model'!AQ13/'Group Model'!AR13)-1))+(40%*(('Group Model'!AQ11/'Group Model'!AR11)-1))</f>
        <v>-6.8358151103072272E-3</v>
      </c>
      <c r="AR126" s="56">
        <f>3%+(60%*(('Group Model'!AR13/'Group Model'!AS13)-1))+(40%*(('Group Model'!AR11/'Group Model'!AS11)-1))</f>
        <v>-5.8757032441244823E-3</v>
      </c>
      <c r="AS126" s="8"/>
      <c r="AT126" s="50">
        <f>IF(ISERROR(AT118/T118),"n.a.",AT118/T118-1)</f>
        <v>-0.55247099767981434</v>
      </c>
      <c r="AU126" s="50">
        <f t="shared" ref="AU126:BN126" si="1049">IF(ISERROR(AU118/AT118),"n.a.",AU118/AT118-1)</f>
        <v>-5.6614044637996686E-2</v>
      </c>
      <c r="AV126" s="50">
        <f t="shared" si="1049"/>
        <v>4.1409062182287792E-2</v>
      </c>
      <c r="AW126" s="50">
        <f t="shared" si="1049"/>
        <v>8.1794195250659563E-2</v>
      </c>
      <c r="AX126" s="50">
        <f t="shared" si="1049"/>
        <v>0.28048780487804881</v>
      </c>
      <c r="AY126" s="50">
        <f t="shared" si="1049"/>
        <v>0.26095238095238105</v>
      </c>
      <c r="AZ126" s="50">
        <f t="shared" si="1049"/>
        <v>4.5317220543805714E-3</v>
      </c>
      <c r="BA126" s="50">
        <f t="shared" si="1049"/>
        <v>0.16090225563909777</v>
      </c>
      <c r="BB126" s="50">
        <f t="shared" si="1049"/>
        <v>0.11658031088082899</v>
      </c>
      <c r="BC126" s="50">
        <f t="shared" si="1049"/>
        <v>0.48375870069605575</v>
      </c>
      <c r="BD126" s="50">
        <f t="shared" si="1049"/>
        <v>0.16731821735731045</v>
      </c>
      <c r="BE126" s="50">
        <f t="shared" si="1049"/>
        <v>-4.8894842598794397E-2</v>
      </c>
      <c r="BF126" s="50">
        <f t="shared" si="1049"/>
        <v>0.11478873239436616</v>
      </c>
      <c r="BG126" s="50">
        <f t="shared" si="1049"/>
        <v>0.30006317119393566</v>
      </c>
      <c r="BH126" s="50">
        <f t="shared" si="1049"/>
        <v>8.0174927113702665E-2</v>
      </c>
      <c r="BI126" s="51">
        <f t="shared" si="1049"/>
        <v>-5.3981106612686069E-3</v>
      </c>
      <c r="BJ126" s="50">
        <f t="shared" si="1049"/>
        <v>4.1843534489819811E-2</v>
      </c>
      <c r="BK126" s="50">
        <f t="shared" si="1049"/>
        <v>8.0364246769636383E-2</v>
      </c>
      <c r="BL126" s="50">
        <f t="shared" si="1049"/>
        <v>1.5939945927678556E-2</v>
      </c>
      <c r="BM126" s="50">
        <f t="shared" si="1049"/>
        <v>9.3098738182784135E-3</v>
      </c>
      <c r="BN126" s="50">
        <f t="shared" si="1049"/>
        <v>-1.2671353133411833E-2</v>
      </c>
    </row>
    <row r="127" spans="1:66" ht="12" customHeight="1" outlineLevel="1">
      <c r="B127" s="1" t="s">
        <v>75</v>
      </c>
      <c r="C127" s="37">
        <f t="shared" ref="C127:AI127" si="1050">IF(ISERROR(C81/AVERAGE(B115:C115)),"n.a.",C81*C$5/AVERAGE(B115:C115))</f>
        <v>2.4792665672884549E-3</v>
      </c>
      <c r="D127" s="37">
        <f t="shared" si="1050"/>
        <v>2.4266265569468678E-3</v>
      </c>
      <c r="E127" s="37">
        <f t="shared" si="1050"/>
        <v>2.4622024678689061E-3</v>
      </c>
      <c r="F127" s="37">
        <f t="shared" si="1050"/>
        <v>2.5167004883387329E-3</v>
      </c>
      <c r="G127" s="37">
        <f t="shared" si="1050"/>
        <v>2.5181661060417401E-3</v>
      </c>
      <c r="H127" s="37">
        <f t="shared" si="1050"/>
        <v>2.5128549072211044E-3</v>
      </c>
      <c r="I127" s="37">
        <f t="shared" si="1050"/>
        <v>2.5385793309038755E-3</v>
      </c>
      <c r="J127" s="37">
        <f t="shared" si="1050"/>
        <v>2.6836174623597869E-3</v>
      </c>
      <c r="K127" s="37">
        <f t="shared" si="1050"/>
        <v>2.8605631558776541E-3</v>
      </c>
      <c r="L127" s="37">
        <f t="shared" si="1050"/>
        <v>2.8085244630887784E-3</v>
      </c>
      <c r="M127" s="78">
        <f t="shared" si="1050"/>
        <v>2.5240781162981598E-3</v>
      </c>
      <c r="N127" s="78">
        <f t="shared" si="1050"/>
        <v>2.7798331483499818E-3</v>
      </c>
      <c r="O127" s="78">
        <f t="shared" si="1050"/>
        <v>2.7298524404086267E-3</v>
      </c>
      <c r="P127" s="78">
        <f t="shared" si="1050"/>
        <v>2.710011507479862E-3</v>
      </c>
      <c r="Q127" s="78">
        <f t="shared" si="1050"/>
        <v>2.6651121160731111E-3</v>
      </c>
      <c r="R127" s="78">
        <f t="shared" si="1050"/>
        <v>2.7383789313021436E-3</v>
      </c>
      <c r="S127" s="78">
        <f t="shared" si="1050"/>
        <v>2.7351546049262758E-3</v>
      </c>
      <c r="T127" s="78">
        <f t="shared" si="1050"/>
        <v>2.8270223752151461E-3</v>
      </c>
      <c r="U127" s="78">
        <f t="shared" si="1050"/>
        <v>2.8268556776591233E-3</v>
      </c>
      <c r="V127" s="78">
        <f t="shared" si="1050"/>
        <v>2.6680881911353895E-3</v>
      </c>
      <c r="W127" s="78">
        <f t="shared" si="1050"/>
        <v>2.8472510732585514E-3</v>
      </c>
      <c r="X127" s="78">
        <f t="shared" si="1050"/>
        <v>3.0818878580072609E-3</v>
      </c>
      <c r="Y127" s="78">
        <f t="shared" si="1050"/>
        <v>2.7192031617255391E-3</v>
      </c>
      <c r="Z127" s="78">
        <f t="shared" si="1050"/>
        <v>2.9495852337077964E-3</v>
      </c>
      <c r="AA127" s="78">
        <f t="shared" si="1050"/>
        <v>3.7687378641980129E-3</v>
      </c>
      <c r="AB127" s="78">
        <f t="shared" si="1050"/>
        <v>3.247919081014251E-3</v>
      </c>
      <c r="AC127" s="78">
        <f t="shared" si="1050"/>
        <v>2.9734787905889609E-3</v>
      </c>
      <c r="AD127" s="78">
        <f t="shared" si="1050"/>
        <v>2.8204642211465563E-3</v>
      </c>
      <c r="AE127" s="78">
        <f t="shared" si="1050"/>
        <v>2.7408914370260773E-3</v>
      </c>
      <c r="AF127" s="78">
        <f t="shared" si="1050"/>
        <v>2.631248317329265E-3</v>
      </c>
      <c r="AG127" s="78">
        <f t="shared" si="1050"/>
        <v>2.5896994584722085E-3</v>
      </c>
      <c r="AH127" s="78">
        <f t="shared" si="1050"/>
        <v>2.7247770491013734E-3</v>
      </c>
      <c r="AI127" s="88">
        <f t="shared" si="1050"/>
        <v>2.6095704553567643E-3</v>
      </c>
      <c r="AJ127" s="66">
        <f>AI127*0.94</f>
        <v>2.4529962280353582E-3</v>
      </c>
      <c r="AK127" s="66">
        <f>AJ127*0.84</f>
        <v>2.0605168315497007E-3</v>
      </c>
      <c r="AL127" s="66">
        <f t="shared" ref="AL127:AR127" si="1051">AK127</f>
        <v>2.0605168315497007E-3</v>
      </c>
      <c r="AM127" s="66">
        <f t="shared" si="1051"/>
        <v>2.0605168315497007E-3</v>
      </c>
      <c r="AN127" s="66">
        <f t="shared" si="1051"/>
        <v>2.0605168315497007E-3</v>
      </c>
      <c r="AO127" s="66">
        <f t="shared" si="1051"/>
        <v>2.0605168315497007E-3</v>
      </c>
      <c r="AP127" s="66">
        <f t="shared" si="1051"/>
        <v>2.0605168315497007E-3</v>
      </c>
      <c r="AQ127" s="66">
        <f t="shared" si="1051"/>
        <v>2.0605168315497007E-3</v>
      </c>
      <c r="AR127" s="66">
        <f t="shared" si="1051"/>
        <v>2.0605168315497007E-3</v>
      </c>
      <c r="AS127" s="8"/>
      <c r="AT127" s="37">
        <f>IF(ISERROR(AT81/AVERAGE(T115:AT115)),"n.a.",AT81*AT$5/AVERAGE(T115:AT115))</f>
        <v>6.1398100948992283E-4</v>
      </c>
      <c r="AU127" s="37">
        <f t="shared" ref="AU127:BJ127" si="1052">IF(ISERROR(AU81/AVERAGE(AT115:AU115)),"n.a.",AU81*AU$5/AVERAGE(AT115:AU115))</f>
        <v>2.5046693166036111E-3</v>
      </c>
      <c r="AV127" s="37">
        <f t="shared" si="1052"/>
        <v>2.5533568316172183E-3</v>
      </c>
      <c r="AW127" s="37">
        <f t="shared" si="1052"/>
        <v>2.6019750966079862E-3</v>
      </c>
      <c r="AX127" s="37">
        <f t="shared" si="1052"/>
        <v>2.7801879971077366E-3</v>
      </c>
      <c r="AY127" s="37">
        <f t="shared" si="1052"/>
        <v>2.5668126226785445E-3</v>
      </c>
      <c r="AZ127" s="37">
        <f t="shared" si="1052"/>
        <v>2.7554269175108538E-3</v>
      </c>
      <c r="BA127" s="37">
        <f t="shared" si="1052"/>
        <v>2.7906976744186047E-3</v>
      </c>
      <c r="BB127" s="37">
        <f t="shared" si="1052"/>
        <v>2.7847717275898683E-3</v>
      </c>
      <c r="BC127" s="37">
        <f t="shared" si="1052"/>
        <v>2.810655147588193E-3</v>
      </c>
      <c r="BD127" s="37">
        <f t="shared" si="1052"/>
        <v>2.9236148466917698E-3</v>
      </c>
      <c r="BE127" s="37">
        <f t="shared" si="1052"/>
        <v>2.7424303054555156E-3</v>
      </c>
      <c r="BF127" s="37">
        <f t="shared" si="1052"/>
        <v>3.7308800709377078E-3</v>
      </c>
      <c r="BG127" s="37">
        <f t="shared" si="1052"/>
        <v>2.8590127150336575E-3</v>
      </c>
      <c r="BH127" s="37">
        <f t="shared" si="1052"/>
        <v>2.6753788910064435E-3</v>
      </c>
      <c r="BI127" s="38">
        <f t="shared" si="1052"/>
        <v>2.6174736465963909E-3</v>
      </c>
      <c r="BJ127" s="37">
        <f t="shared" si="1052"/>
        <v>2.9656569883591811E-3</v>
      </c>
      <c r="BK127" s="37">
        <f>IF(ISERROR(BK81/AVERAGE(BK115:BK115)),"n.a.",BK81*BK$5/AVERAGE(BK115:BK115))</f>
        <v>2.0506309682437143E-3</v>
      </c>
      <c r="BL127" s="37">
        <f>IF(ISERROR(BL81/AVERAGE(BL115:BL115)),"n.a.",BL81*BL$5/AVERAGE(BL115:BL115))</f>
        <v>2.0730255507402343E-3</v>
      </c>
      <c r="BM127" s="37">
        <f>IF(ISERROR(BM81/AVERAGE(BM115:BM115)),"n.a.",BM81*BM$5/AVERAGE(BM115:BM115))</f>
        <v>2.0768924499245276E-3</v>
      </c>
      <c r="BN127" s="37">
        <f>IF(ISERROR(BN81/AVERAGE(BN115:BN115)),"n.a.",BN81*BN$5/AVERAGE(BN115:BN115))</f>
        <v>2.0830828676701471E-3</v>
      </c>
    </row>
    <row r="128" spans="1:66" ht="12" customHeight="1" outlineLevel="1">
      <c r="B128" s="1" t="s">
        <v>1770</v>
      </c>
      <c r="C128" s="37">
        <f t="shared" ref="C128:H128" si="1053">IF(ISERROR(C82/AVERAGE(B118:C118)),"n.a.",C82*C$5/AVERAGE(B118:C118))</f>
        <v>9.6885983237889259E-3</v>
      </c>
      <c r="D128" s="37">
        <f t="shared" si="1053"/>
        <v>9.9593415771380145E-3</v>
      </c>
      <c r="E128" s="37">
        <f t="shared" si="1053"/>
        <v>9.4506715784695768E-3</v>
      </c>
      <c r="F128" s="37">
        <f t="shared" si="1053"/>
        <v>9.1877401046706435E-3</v>
      </c>
      <c r="G128" s="37">
        <f t="shared" si="1053"/>
        <v>9.4221528273188589E-3</v>
      </c>
      <c r="H128" s="37">
        <f t="shared" si="1053"/>
        <v>9.3931398416886545E-3</v>
      </c>
      <c r="I128" s="78">
        <f t="shared" ref="I128:AI128" si="1054">IF(ISERROR(I82/(AVERAGE(H118:I118)-AVERAGE(H119:I119))),"n.a.",I82*I$5/(AVERAGE(H118:I118)-AVERAGE(H119:I119)))</f>
        <v>1.0984398511126951E-2</v>
      </c>
      <c r="J128" s="78">
        <f t="shared" si="1054"/>
        <v>1.1027362950439873E-2</v>
      </c>
      <c r="K128" s="78">
        <f t="shared" si="1054"/>
        <v>1.2711288541578186E-2</v>
      </c>
      <c r="L128" s="78">
        <f t="shared" si="1054"/>
        <v>1.1466600529100528E-2</v>
      </c>
      <c r="M128" s="78">
        <f t="shared" si="1054"/>
        <v>1.0569333520153192E-2</v>
      </c>
      <c r="N128" s="78">
        <f t="shared" si="1054"/>
        <v>1.0358256258350509E-2</v>
      </c>
      <c r="O128" s="78">
        <f t="shared" si="1054"/>
        <v>1.02106149957877E-2</v>
      </c>
      <c r="P128" s="78">
        <f t="shared" si="1054"/>
        <v>1.0466666666666668E-2</v>
      </c>
      <c r="Q128" s="78">
        <f t="shared" si="1054"/>
        <v>1.0986848198573677E-2</v>
      </c>
      <c r="R128" s="78">
        <f t="shared" si="1054"/>
        <v>1.0066919704999957E-2</v>
      </c>
      <c r="S128" s="78">
        <f t="shared" si="1054"/>
        <v>9.5891130727196287E-3</v>
      </c>
      <c r="T128" s="78">
        <f t="shared" si="1054"/>
        <v>9.3379042161277123E-3</v>
      </c>
      <c r="U128" s="78">
        <f t="shared" si="1054"/>
        <v>8.9812418112676946E-3</v>
      </c>
      <c r="V128" s="78">
        <f t="shared" si="1054"/>
        <v>8.2801109781307797E-3</v>
      </c>
      <c r="W128" s="78">
        <f t="shared" si="1054"/>
        <v>8.0628756356911704E-3</v>
      </c>
      <c r="X128" s="78">
        <f t="shared" si="1054"/>
        <v>8.3662326753464935E-3</v>
      </c>
      <c r="Y128" s="78">
        <f t="shared" si="1054"/>
        <v>7.8318151688886763E-3</v>
      </c>
      <c r="Z128" s="78">
        <f t="shared" si="1054"/>
        <v>8.5572460901697078E-3</v>
      </c>
      <c r="AA128" s="78">
        <f t="shared" si="1054"/>
        <v>8.6840270750410398E-3</v>
      </c>
      <c r="AB128" s="78">
        <f t="shared" si="1054"/>
        <v>8.3258182589783045E-3</v>
      </c>
      <c r="AC128" s="78">
        <f t="shared" si="1054"/>
        <v>7.9431973841191279E-3</v>
      </c>
      <c r="AD128" s="78">
        <f t="shared" si="1054"/>
        <v>8.0609433068449463E-3</v>
      </c>
      <c r="AE128" s="78">
        <f t="shared" si="1054"/>
        <v>7.7061035579982645E-3</v>
      </c>
      <c r="AF128" s="78">
        <f t="shared" si="1054"/>
        <v>8.169170840289371E-3</v>
      </c>
      <c r="AG128" s="78">
        <f t="shared" si="1054"/>
        <v>7.7002856164949431E-3</v>
      </c>
      <c r="AH128" s="78">
        <f t="shared" si="1054"/>
        <v>7.8740100479230916E-3</v>
      </c>
      <c r="AI128" s="88">
        <f t="shared" si="1054"/>
        <v>7.5660020452020084E-3</v>
      </c>
      <c r="AJ128" s="66">
        <f t="shared" ref="AJ128" si="1055">AI128</f>
        <v>7.5660020452020084E-3</v>
      </c>
      <c r="AK128" s="66">
        <f t="shared" ref="AK128" si="1056">AJ128</f>
        <v>7.5660020452020084E-3</v>
      </c>
      <c r="AL128" s="66">
        <f t="shared" ref="AL128" si="1057">AK128</f>
        <v>7.5660020452020084E-3</v>
      </c>
      <c r="AM128" s="66">
        <f t="shared" ref="AM128" si="1058">AL128</f>
        <v>7.5660020452020084E-3</v>
      </c>
      <c r="AN128" s="66">
        <f t="shared" ref="AN128" si="1059">AM128</f>
        <v>7.5660020452020084E-3</v>
      </c>
      <c r="AO128" s="66">
        <f t="shared" ref="AO128" si="1060">AN128</f>
        <v>7.5660020452020084E-3</v>
      </c>
      <c r="AP128" s="66">
        <f t="shared" ref="AP128" si="1061">AO128</f>
        <v>7.5660020452020084E-3</v>
      </c>
      <c r="AQ128" s="66">
        <f t="shared" ref="AQ128" si="1062">AP128</f>
        <v>7.5660020452020084E-3</v>
      </c>
      <c r="AR128" s="66">
        <f t="shared" ref="AR128" si="1063">AQ128</f>
        <v>7.5660020452020084E-3</v>
      </c>
      <c r="AS128" s="8"/>
      <c r="AT128" s="37">
        <f>IF(ISERROR(AT82/AVERAGE(T118:AT118)),"n.a.",AT82*AT$5/AVERAGE(T118:AT118))</f>
        <v>2.417085104325872E-3</v>
      </c>
      <c r="AU128" s="37">
        <f>IF(ISERROR(AU82/AVERAGE(AT118:AU118)),"n.a.",AU82*AU$5/AVERAGE(AT118:AU118))</f>
        <v>9.3637454981992801E-3</v>
      </c>
      <c r="AV128" s="37">
        <f>IF(ISERROR(AV82/AVERAGE(AU118:AV118)),"n.a.",AV82*AV$5/AVERAGE(AU118:AV118))</f>
        <v>9.5029141372673064E-3</v>
      </c>
      <c r="AW128" s="37">
        <f>IF(ISERROR(AW82/AVERAGE(AV118:AW118)),"n.a.",AW82*AW$5/AVERAGE(AV118:AW118))</f>
        <v>9.7084917617237011E-3</v>
      </c>
      <c r="AX128" s="78">
        <f t="shared" ref="AX128:BJ128" si="1064">IF(ISERROR(AX82/(AVERAGE(AW118:AX118)-AVERAGE(AW119:AX119))),"n.a.",AX82*AX$5/(AVERAGE(AW118:AX118)-AVERAGE(AW119:AX119)))</f>
        <v>1.2855280312907431E-2</v>
      </c>
      <c r="AY128" s="78">
        <f t="shared" si="1064"/>
        <v>1.0367428003972194E-2</v>
      </c>
      <c r="AZ128" s="78">
        <f t="shared" si="1064"/>
        <v>1.0777292576419214E-2</v>
      </c>
      <c r="BA128" s="78">
        <f t="shared" si="1064"/>
        <v>1.0312249799839872E-2</v>
      </c>
      <c r="BB128" s="78">
        <f t="shared" si="1064"/>
        <v>9.3930635838150294E-3</v>
      </c>
      <c r="BC128" s="78">
        <f t="shared" si="1064"/>
        <v>9.2289988492520146E-3</v>
      </c>
      <c r="BD128" s="78">
        <f t="shared" si="1064"/>
        <v>8.2436010591350403E-3</v>
      </c>
      <c r="BE128" s="78">
        <f t="shared" si="1064"/>
        <v>8.0998730427422772E-3</v>
      </c>
      <c r="BF128" s="78">
        <f t="shared" si="1064"/>
        <v>8.6866267465069858E-3</v>
      </c>
      <c r="BG128" s="78">
        <f t="shared" si="1064"/>
        <v>8.0995475113122169E-3</v>
      </c>
      <c r="BH128" s="78">
        <f t="shared" si="1064"/>
        <v>7.8718020804048362E-3</v>
      </c>
      <c r="BI128" s="88">
        <f t="shared" si="1064"/>
        <v>7.7146631439894316E-3</v>
      </c>
      <c r="BJ128" s="78">
        <f t="shared" si="1064"/>
        <v>7.5860123715199212E-3</v>
      </c>
      <c r="BK128" s="78">
        <f>IF(ISERROR(BK82/(AVERAGE(BK118:BK118)-AVERAGE(BK119:BK119))),"n.a.",BK82*BK$5/(AVERAGE(BK118:BK118)-AVERAGE(BK119:BK119)))</f>
        <v>7.3097206922227605E-3</v>
      </c>
      <c r="BL128" s="78">
        <f>IF(ISERROR(BL82/(AVERAGE(BL118:BL118)-AVERAGE(BL119:BL119))),"n.a.",BL82*BL$5/(AVERAGE(BL118:BL118)-AVERAGE(BL119:BL119)))</f>
        <v>7.5056240453508921E-3</v>
      </c>
      <c r="BM128" s="78">
        <f>IF(ISERROR(BM82/(AVERAGE(BM118:BM118)-AVERAGE(BM119:BM119))),"n.a.",BM82*BM$5/(AVERAGE(BM118:BM118)-AVERAGE(BM119:BM119)))</f>
        <v>7.5460250973701159E-3</v>
      </c>
      <c r="BN128" s="78">
        <f>IF(ISERROR(BN82/(AVERAGE(BN118:BN118)-AVERAGE(BN119:BN119))),"n.a.",BN82*BN$5/(AVERAGE(BN118:BN118)-AVERAGE(BN119:BN119)))</f>
        <v>7.6127031945970886E-3</v>
      </c>
    </row>
    <row r="129" spans="1:66" ht="12" customHeight="1" outlineLevel="1">
      <c r="B129" s="1" t="s">
        <v>62</v>
      </c>
      <c r="C129" s="50" t="str">
        <f t="shared" ref="C129:AI129" si="1065">IF(ISERROR(C85/B85),"n.a.",C85/B85-1)</f>
        <v>n.a.</v>
      </c>
      <c r="D129" s="50">
        <f t="shared" si="1065"/>
        <v>-5.0000000000000044E-2</v>
      </c>
      <c r="E129" s="50">
        <f t="shared" si="1065"/>
        <v>-0.84210526315789469</v>
      </c>
      <c r="F129" s="50">
        <f t="shared" si="1065"/>
        <v>5</v>
      </c>
      <c r="G129" s="50">
        <f t="shared" si="1065"/>
        <v>-0.88888888888888884</v>
      </c>
      <c r="H129" s="50">
        <f t="shared" si="1065"/>
        <v>1.5</v>
      </c>
      <c r="I129" s="50">
        <f t="shared" si="1065"/>
        <v>-1</v>
      </c>
      <c r="J129" s="50" t="str">
        <f t="shared" si="1065"/>
        <v>n.a.</v>
      </c>
      <c r="K129" s="50">
        <f t="shared" si="1065"/>
        <v>-1</v>
      </c>
      <c r="L129" s="50" t="str">
        <f t="shared" si="1065"/>
        <v>n.a.</v>
      </c>
      <c r="M129" s="69" t="str">
        <f t="shared" si="1065"/>
        <v>n.a.</v>
      </c>
      <c r="N129" s="69" t="str">
        <f t="shared" si="1065"/>
        <v>n.a.</v>
      </c>
      <c r="O129" s="69" t="str">
        <f t="shared" si="1065"/>
        <v>n.a.</v>
      </c>
      <c r="P129" s="69" t="str">
        <f t="shared" si="1065"/>
        <v>n.a.</v>
      </c>
      <c r="Q129" s="69" t="str">
        <f t="shared" si="1065"/>
        <v>n.a.</v>
      </c>
      <c r="R129" s="69" t="str">
        <f t="shared" si="1065"/>
        <v>n.a.</v>
      </c>
      <c r="S129" s="69" t="str">
        <f t="shared" si="1065"/>
        <v>n.a.</v>
      </c>
      <c r="T129" s="69" t="str">
        <f t="shared" si="1065"/>
        <v>n.a.</v>
      </c>
      <c r="U129" s="69" t="str">
        <f t="shared" si="1065"/>
        <v>n.a.</v>
      </c>
      <c r="V129" s="69" t="str">
        <f t="shared" si="1065"/>
        <v>n.a.</v>
      </c>
      <c r="W129" s="69" t="str">
        <f t="shared" si="1065"/>
        <v>n.a.</v>
      </c>
      <c r="X129" s="69" t="str">
        <f t="shared" si="1065"/>
        <v>n.a.</v>
      </c>
      <c r="Y129" s="69" t="str">
        <f t="shared" si="1065"/>
        <v>n.a.</v>
      </c>
      <c r="Z129" s="69" t="str">
        <f t="shared" si="1065"/>
        <v>n.a.</v>
      </c>
      <c r="AA129" s="69" t="str">
        <f t="shared" si="1065"/>
        <v>n.a.</v>
      </c>
      <c r="AB129" s="69" t="str">
        <f t="shared" si="1065"/>
        <v>n.a.</v>
      </c>
      <c r="AC129" s="69" t="str">
        <f t="shared" si="1065"/>
        <v>n.a.</v>
      </c>
      <c r="AD129" s="69" t="str">
        <f t="shared" si="1065"/>
        <v>n.a.</v>
      </c>
      <c r="AE129" s="69" t="str">
        <f t="shared" si="1065"/>
        <v>n.a.</v>
      </c>
      <c r="AF129" s="69" t="str">
        <f t="shared" si="1065"/>
        <v>n.a.</v>
      </c>
      <c r="AG129" s="69" t="str">
        <f t="shared" si="1065"/>
        <v>n.a.</v>
      </c>
      <c r="AH129" s="69" t="str">
        <f t="shared" si="1065"/>
        <v>n.a.</v>
      </c>
      <c r="AI129" s="89" t="str">
        <f t="shared" si="1065"/>
        <v>n.a.</v>
      </c>
      <c r="AJ129" s="56">
        <v>0</v>
      </c>
      <c r="AK129" s="56">
        <v>0</v>
      </c>
      <c r="AL129" s="56">
        <v>0</v>
      </c>
      <c r="AM129" s="56">
        <v>0</v>
      </c>
      <c r="AN129" s="56">
        <v>0</v>
      </c>
      <c r="AO129" s="56">
        <v>0</v>
      </c>
      <c r="AP129" s="56">
        <v>0</v>
      </c>
      <c r="AQ129" s="56">
        <v>0</v>
      </c>
      <c r="AR129" s="56">
        <v>0</v>
      </c>
      <c r="AS129" s="8"/>
      <c r="AT129" s="50" t="str">
        <f>IF(ISERROR(AT85/T85),"n.a.",AT85/T85-1)</f>
        <v>n.a.</v>
      </c>
      <c r="AU129" s="50">
        <f t="shared" ref="AU129:BN129" si="1066">IF(ISERROR(AU85/AT85),"n.a.",AU85/AT85-1)</f>
        <v>-0.46153846153846156</v>
      </c>
      <c r="AV129" s="50">
        <f t="shared" si="1066"/>
        <v>-0.66666666666666674</v>
      </c>
      <c r="AW129" s="50">
        <f t="shared" si="1066"/>
        <v>-0.85714285714285721</v>
      </c>
      <c r="AX129" s="50">
        <f t="shared" si="1066"/>
        <v>-1</v>
      </c>
      <c r="AY129" s="50" t="str">
        <f t="shared" si="1066"/>
        <v>n.a.</v>
      </c>
      <c r="AZ129" s="50" t="str">
        <f t="shared" si="1066"/>
        <v>n.a.</v>
      </c>
      <c r="BA129" s="50" t="str">
        <f t="shared" si="1066"/>
        <v>n.a.</v>
      </c>
      <c r="BB129" s="50" t="str">
        <f t="shared" si="1066"/>
        <v>n.a.</v>
      </c>
      <c r="BC129" s="50" t="str">
        <f t="shared" si="1066"/>
        <v>n.a.</v>
      </c>
      <c r="BD129" s="50" t="str">
        <f t="shared" si="1066"/>
        <v>n.a.</v>
      </c>
      <c r="BE129" s="50" t="str">
        <f t="shared" si="1066"/>
        <v>n.a.</v>
      </c>
      <c r="BF129" s="50" t="str">
        <f t="shared" si="1066"/>
        <v>n.a.</v>
      </c>
      <c r="BG129" s="50" t="str">
        <f t="shared" si="1066"/>
        <v>n.a.</v>
      </c>
      <c r="BH129" s="50" t="str">
        <f t="shared" si="1066"/>
        <v>n.a.</v>
      </c>
      <c r="BI129" s="51" t="str">
        <f t="shared" si="1066"/>
        <v>n.a.</v>
      </c>
      <c r="BJ129" s="50" t="str">
        <f t="shared" si="1066"/>
        <v>n.a.</v>
      </c>
      <c r="BK129" s="50" t="str">
        <f t="shared" si="1066"/>
        <v>n.a.</v>
      </c>
      <c r="BL129" s="50" t="str">
        <f t="shared" si="1066"/>
        <v>n.a.</v>
      </c>
      <c r="BM129" s="50" t="str">
        <f t="shared" si="1066"/>
        <v>n.a.</v>
      </c>
      <c r="BN129" s="50" t="str">
        <f t="shared" si="1066"/>
        <v>n.a.</v>
      </c>
    </row>
    <row r="130" spans="1:66" ht="12" customHeight="1" outlineLevel="1">
      <c r="B130" s="1" t="s">
        <v>63</v>
      </c>
      <c r="C130" s="50" t="str">
        <f t="shared" ref="C130:AI130" si="1067">IF(ISERROR(C86/B86),"n.a.",C86/B86-1)</f>
        <v>n.a.</v>
      </c>
      <c r="D130" s="50">
        <f t="shared" si="1067"/>
        <v>6.25E-2</v>
      </c>
      <c r="E130" s="50">
        <f t="shared" si="1067"/>
        <v>5.8823529411764719E-2</v>
      </c>
      <c r="F130" s="50">
        <f t="shared" si="1067"/>
        <v>-0.16666666666666663</v>
      </c>
      <c r="G130" s="50">
        <f t="shared" si="1067"/>
        <v>-6.6666666666666652E-2</v>
      </c>
      <c r="H130" s="50">
        <f t="shared" si="1067"/>
        <v>-0.1428571428571429</v>
      </c>
      <c r="I130" s="50">
        <f t="shared" si="1067"/>
        <v>0.25</v>
      </c>
      <c r="J130" s="50">
        <f t="shared" si="1067"/>
        <v>-0.19999999999999996</v>
      </c>
      <c r="K130" s="50">
        <f t="shared" si="1067"/>
        <v>0.33333333333333326</v>
      </c>
      <c r="L130" s="50">
        <f t="shared" si="1067"/>
        <v>0</v>
      </c>
      <c r="M130" s="69">
        <f t="shared" si="1067"/>
        <v>-6.25E-2</v>
      </c>
      <c r="N130" s="69">
        <f t="shared" si="1067"/>
        <v>-1</v>
      </c>
      <c r="O130" s="69" t="str">
        <f t="shared" si="1067"/>
        <v>n.a.</v>
      </c>
      <c r="P130" s="69" t="str">
        <f t="shared" si="1067"/>
        <v>n.a.</v>
      </c>
      <c r="Q130" s="69" t="str">
        <f t="shared" si="1067"/>
        <v>n.a.</v>
      </c>
      <c r="R130" s="69" t="str">
        <f t="shared" si="1067"/>
        <v>n.a.</v>
      </c>
      <c r="S130" s="69" t="str">
        <f t="shared" si="1067"/>
        <v>n.a.</v>
      </c>
      <c r="T130" s="69" t="str">
        <f t="shared" si="1067"/>
        <v>n.a.</v>
      </c>
      <c r="U130" s="69" t="str">
        <f t="shared" si="1067"/>
        <v>n.a.</v>
      </c>
      <c r="V130" s="69" t="str">
        <f t="shared" si="1067"/>
        <v>n.a.</v>
      </c>
      <c r="W130" s="69" t="str">
        <f t="shared" si="1067"/>
        <v>n.a.</v>
      </c>
      <c r="X130" s="69" t="str">
        <f t="shared" si="1067"/>
        <v>n.a.</v>
      </c>
      <c r="Y130" s="69" t="str">
        <f t="shared" si="1067"/>
        <v>n.a.</v>
      </c>
      <c r="Z130" s="69" t="str">
        <f t="shared" si="1067"/>
        <v>n.a.</v>
      </c>
      <c r="AA130" s="69" t="str">
        <f t="shared" si="1067"/>
        <v>n.a.</v>
      </c>
      <c r="AB130" s="69" t="str">
        <f t="shared" si="1067"/>
        <v>n.a.</v>
      </c>
      <c r="AC130" s="69" t="str">
        <f t="shared" si="1067"/>
        <v>n.a.</v>
      </c>
      <c r="AD130" s="69" t="str">
        <f t="shared" si="1067"/>
        <v>n.a.</v>
      </c>
      <c r="AE130" s="69" t="str">
        <f t="shared" si="1067"/>
        <v>n.a.</v>
      </c>
      <c r="AF130" s="69" t="str">
        <f t="shared" si="1067"/>
        <v>n.a.</v>
      </c>
      <c r="AG130" s="69" t="str">
        <f t="shared" si="1067"/>
        <v>n.a.</v>
      </c>
      <c r="AH130" s="69" t="str">
        <f t="shared" si="1067"/>
        <v>n.a.</v>
      </c>
      <c r="AI130" s="89" t="str">
        <f t="shared" si="1067"/>
        <v>n.a.</v>
      </c>
      <c r="AJ130" s="56">
        <v>0.03</v>
      </c>
      <c r="AK130" s="56">
        <v>0.03</v>
      </c>
      <c r="AL130" s="56">
        <v>0.03</v>
      </c>
      <c r="AM130" s="56">
        <v>0.03</v>
      </c>
      <c r="AN130" s="56">
        <v>0.03</v>
      </c>
      <c r="AO130" s="56">
        <v>0.03</v>
      </c>
      <c r="AP130" s="56">
        <v>0.03</v>
      </c>
      <c r="AQ130" s="56">
        <v>0.03</v>
      </c>
      <c r="AR130" s="56">
        <v>0.03</v>
      </c>
      <c r="AS130" s="8"/>
      <c r="AT130" s="50" t="str">
        <f>IF(ISERROR(AT86/T86),"n.a.",AT86/T86-1)</f>
        <v>n.a.</v>
      </c>
      <c r="AU130" s="50">
        <f t="shared" ref="AU130:BN130" si="1068">IF(ISERROR(AU86/AT86),"n.a.",AU86/AT86-1)</f>
        <v>0</v>
      </c>
      <c r="AV130" s="50">
        <f t="shared" si="1068"/>
        <v>-0.21212121212121215</v>
      </c>
      <c r="AW130" s="50">
        <f t="shared" si="1068"/>
        <v>3.8461538461538547E-2</v>
      </c>
      <c r="AX130" s="50">
        <f t="shared" si="1068"/>
        <v>0.18518518518518512</v>
      </c>
      <c r="AY130" s="50">
        <f t="shared" si="1068"/>
        <v>-0.53125</v>
      </c>
      <c r="AZ130" s="50">
        <f t="shared" si="1068"/>
        <v>-1</v>
      </c>
      <c r="BA130" s="50" t="str">
        <f t="shared" si="1068"/>
        <v>n.a.</v>
      </c>
      <c r="BB130" s="50" t="str">
        <f t="shared" si="1068"/>
        <v>n.a.</v>
      </c>
      <c r="BC130" s="50" t="str">
        <f t="shared" si="1068"/>
        <v>n.a.</v>
      </c>
      <c r="BD130" s="50" t="str">
        <f t="shared" si="1068"/>
        <v>n.a.</v>
      </c>
      <c r="BE130" s="50" t="str">
        <f t="shared" si="1068"/>
        <v>n.a.</v>
      </c>
      <c r="BF130" s="50" t="str">
        <f t="shared" si="1068"/>
        <v>n.a.</v>
      </c>
      <c r="BG130" s="50" t="str">
        <f t="shared" si="1068"/>
        <v>n.a.</v>
      </c>
      <c r="BH130" s="50" t="str">
        <f t="shared" si="1068"/>
        <v>n.a.</v>
      </c>
      <c r="BI130" s="51" t="str">
        <f t="shared" si="1068"/>
        <v>n.a.</v>
      </c>
      <c r="BJ130" s="50" t="str">
        <f t="shared" si="1068"/>
        <v>n.a.</v>
      </c>
      <c r="BK130" s="50" t="str">
        <f t="shared" si="1068"/>
        <v>n.a.</v>
      </c>
      <c r="BL130" s="50" t="str">
        <f t="shared" si="1068"/>
        <v>n.a.</v>
      </c>
      <c r="BM130" s="50" t="str">
        <f t="shared" si="1068"/>
        <v>n.a.</v>
      </c>
      <c r="BN130" s="50" t="str">
        <f t="shared" si="1068"/>
        <v>n.a.</v>
      </c>
    </row>
    <row r="131" spans="1:66" ht="12" customHeight="1" outlineLevel="1">
      <c r="B131" s="1" t="s">
        <v>64</v>
      </c>
      <c r="C131" s="50" t="str">
        <f t="shared" ref="C131:AI131" si="1069">IF(ISERROR(C87/B87),"n.a.",C87/B87-1)</f>
        <v>n.a.</v>
      </c>
      <c r="D131" s="50">
        <f t="shared" si="1069"/>
        <v>0.66666666666666674</v>
      </c>
      <c r="E131" s="50">
        <f t="shared" si="1069"/>
        <v>1.0266666666666668</v>
      </c>
      <c r="F131" s="50">
        <f t="shared" si="1069"/>
        <v>-0.66447368421052633</v>
      </c>
      <c r="G131" s="50">
        <f t="shared" si="1069"/>
        <v>0.90196078431372539</v>
      </c>
      <c r="H131" s="50">
        <f t="shared" si="1069"/>
        <v>-4.123711340206182E-2</v>
      </c>
      <c r="I131" s="50">
        <f t="shared" si="1069"/>
        <v>0</v>
      </c>
      <c r="J131" s="50">
        <f t="shared" si="1069"/>
        <v>0.80645161290322576</v>
      </c>
      <c r="K131" s="50">
        <f t="shared" si="1069"/>
        <v>-0.38095238095238093</v>
      </c>
      <c r="L131" s="50">
        <f t="shared" si="1069"/>
        <v>9.6153846153845812E-3</v>
      </c>
      <c r="M131" s="69">
        <f t="shared" si="1069"/>
        <v>-0.1428571428571429</v>
      </c>
      <c r="N131" s="69">
        <f t="shared" si="1069"/>
        <v>0.42222222222222228</v>
      </c>
      <c r="O131" s="69">
        <f t="shared" si="1069"/>
        <v>-3.125E-2</v>
      </c>
      <c r="P131" s="69">
        <f t="shared" si="1069"/>
        <v>-4.8387096774193505E-2</v>
      </c>
      <c r="Q131" s="69">
        <f t="shared" si="1069"/>
        <v>-0.11016949152542377</v>
      </c>
      <c r="R131" s="69">
        <f t="shared" si="1069"/>
        <v>0.18095238095238098</v>
      </c>
      <c r="S131" s="69">
        <f t="shared" si="1069"/>
        <v>-0.16129032258064513</v>
      </c>
      <c r="T131" s="69">
        <f t="shared" si="1069"/>
        <v>3.8461538461538547E-2</v>
      </c>
      <c r="U131" s="69">
        <f t="shared" si="1069"/>
        <v>0.21296296296296302</v>
      </c>
      <c r="V131" s="69">
        <f t="shared" si="1069"/>
        <v>0.19083969465648853</v>
      </c>
      <c r="W131" s="69">
        <f t="shared" si="1069"/>
        <v>-2.5641025641025661E-2</v>
      </c>
      <c r="X131" s="69">
        <f t="shared" si="1069"/>
        <v>0.40131578947368429</v>
      </c>
      <c r="Y131" s="69">
        <f t="shared" si="1069"/>
        <v>-0.431924882629108</v>
      </c>
      <c r="Z131" s="69">
        <f t="shared" si="1069"/>
        <v>0.33884297520661155</v>
      </c>
      <c r="AA131" s="69">
        <f t="shared" si="1069"/>
        <v>2.7283950617283952</v>
      </c>
      <c r="AB131" s="69">
        <f t="shared" si="1069"/>
        <v>-0.51324503311258285</v>
      </c>
      <c r="AC131" s="69">
        <f t="shared" si="1069"/>
        <v>-9.1836734693877542E-2</v>
      </c>
      <c r="AD131" s="69">
        <f t="shared" si="1069"/>
        <v>0.37453183520599254</v>
      </c>
      <c r="AE131" s="69">
        <f t="shared" si="1069"/>
        <v>-0.42234332425068122</v>
      </c>
      <c r="AF131" s="69">
        <f t="shared" si="1069"/>
        <v>5.6603773584905648E-2</v>
      </c>
      <c r="AG131" s="69">
        <f t="shared" si="1069"/>
        <v>-7.1428571428571397E-2</v>
      </c>
      <c r="AH131" s="69">
        <f t="shared" si="1069"/>
        <v>0.15384615384615374</v>
      </c>
      <c r="AI131" s="89">
        <f t="shared" si="1069"/>
        <v>-0.19166666666666665</v>
      </c>
      <c r="AJ131" s="56">
        <v>0.05</v>
      </c>
      <c r="AK131" s="56">
        <v>0.03</v>
      </c>
      <c r="AL131" s="56">
        <v>0.03</v>
      </c>
      <c r="AM131" s="56">
        <v>0.03</v>
      </c>
      <c r="AN131" s="56">
        <v>0.03</v>
      </c>
      <c r="AO131" s="56">
        <v>0.03</v>
      </c>
      <c r="AP131" s="56">
        <v>0.03</v>
      </c>
      <c r="AQ131" s="56">
        <v>0.03</v>
      </c>
      <c r="AR131" s="56">
        <v>0.03</v>
      </c>
      <c r="AS131" s="8"/>
      <c r="AT131" s="50">
        <f>IF(ISERROR(AT87/T87),"n.a.",AT87/T87-1)</f>
        <v>0.11111111111111116</v>
      </c>
      <c r="AU131" s="50">
        <f t="shared" ref="AU131:BN131" si="1070">IF(ISERROR(AU87/AT87),"n.a.",AU87/AT87-1)</f>
        <v>0.69166666666666665</v>
      </c>
      <c r="AV131" s="50">
        <f t="shared" si="1070"/>
        <v>-6.4039408866995107E-2</v>
      </c>
      <c r="AW131" s="50">
        <f t="shared" si="1070"/>
        <v>0.37368421052631584</v>
      </c>
      <c r="AX131" s="50">
        <f t="shared" si="1070"/>
        <v>-0.1992337164750958</v>
      </c>
      <c r="AY131" s="50">
        <f t="shared" si="1070"/>
        <v>4.3062200956937691E-2</v>
      </c>
      <c r="AZ131" s="50">
        <f t="shared" si="1070"/>
        <v>0.11009174311926606</v>
      </c>
      <c r="BA131" s="50">
        <f t="shared" si="1070"/>
        <v>-5.3719008264462853E-2</v>
      </c>
      <c r="BB131" s="50">
        <f t="shared" si="1070"/>
        <v>-7.423580786026196E-2</v>
      </c>
      <c r="BC131" s="50">
        <f t="shared" si="1070"/>
        <v>0.35377358490566047</v>
      </c>
      <c r="BD131" s="50">
        <f t="shared" si="1070"/>
        <v>0.27177700348432055</v>
      </c>
      <c r="BE131" s="50">
        <f t="shared" si="1070"/>
        <v>-0.22465753424657531</v>
      </c>
      <c r="BF131" s="50">
        <f t="shared" si="1070"/>
        <v>2.1731448763250882</v>
      </c>
      <c r="BG131" s="50">
        <f t="shared" si="1070"/>
        <v>-0.29398663697104677</v>
      </c>
      <c r="BH131" s="50">
        <f t="shared" si="1070"/>
        <v>-0.31230283911671919</v>
      </c>
      <c r="BI131" s="51">
        <f t="shared" si="1070"/>
        <v>2.7522935779816571E-2</v>
      </c>
      <c r="BJ131" s="50">
        <f t="shared" si="1070"/>
        <v>-4.4642857142856984E-3</v>
      </c>
      <c r="BK131" s="50">
        <f t="shared" si="1070"/>
        <v>3.0000000000000027E-2</v>
      </c>
      <c r="BL131" s="50">
        <f t="shared" si="1070"/>
        <v>3.0000000000000027E-2</v>
      </c>
      <c r="BM131" s="50">
        <f t="shared" si="1070"/>
        <v>3.0000000000000027E-2</v>
      </c>
      <c r="BN131" s="50">
        <f t="shared" si="1070"/>
        <v>3.0000000000000027E-2</v>
      </c>
    </row>
    <row r="132" spans="1:66" ht="12" customHeight="1" outlineLevel="1">
      <c r="B132" s="1" t="s">
        <v>65</v>
      </c>
      <c r="C132" s="50" t="str">
        <f t="shared" ref="C132:AI132" si="1071">IF(ISERROR(C89/B89),"n.a.",C89/B89-1)</f>
        <v>n.a.</v>
      </c>
      <c r="D132" s="50">
        <f t="shared" si="1071"/>
        <v>-1.3333333333333333</v>
      </c>
      <c r="E132" s="50">
        <f t="shared" si="1071"/>
        <v>0</v>
      </c>
      <c r="F132" s="50">
        <f t="shared" si="1071"/>
        <v>-14</v>
      </c>
      <c r="G132" s="50">
        <f t="shared" si="1071"/>
        <v>1.6923076923076925</v>
      </c>
      <c r="H132" s="50">
        <f t="shared" si="1071"/>
        <v>-0.74285714285714288</v>
      </c>
      <c r="I132" s="50">
        <f t="shared" si="1071"/>
        <v>-0.22222222222222221</v>
      </c>
      <c r="J132" s="50">
        <f t="shared" si="1071"/>
        <v>-2</v>
      </c>
      <c r="K132" s="50">
        <f t="shared" si="1071"/>
        <v>-0.2857142857142857</v>
      </c>
      <c r="L132" s="50">
        <f t="shared" si="1071"/>
        <v>2.6</v>
      </c>
      <c r="M132" s="69">
        <f t="shared" si="1071"/>
        <v>-1.6111111111111112</v>
      </c>
      <c r="N132" s="69">
        <f t="shared" si="1071"/>
        <v>-1</v>
      </c>
      <c r="O132" s="69" t="str">
        <f t="shared" si="1071"/>
        <v>n.a.</v>
      </c>
      <c r="P132" s="69">
        <f t="shared" si="1071"/>
        <v>-3.6666666666666665</v>
      </c>
      <c r="Q132" s="69">
        <f t="shared" si="1071"/>
        <v>-8.333333333333337E-2</v>
      </c>
      <c r="R132" s="69">
        <f t="shared" si="1071"/>
        <v>-9.0909090909090939E-2</v>
      </c>
      <c r="S132" s="69">
        <f t="shared" si="1071"/>
        <v>3.05</v>
      </c>
      <c r="T132" s="69">
        <f t="shared" si="1071"/>
        <v>7.4074074074074181E-2</v>
      </c>
      <c r="U132" s="69">
        <f t="shared" si="1071"/>
        <v>1.4942528735632186</v>
      </c>
      <c r="V132" s="69">
        <f t="shared" si="1071"/>
        <v>0.16129032258064524</v>
      </c>
      <c r="W132" s="69">
        <f t="shared" si="1071"/>
        <v>2.3809523809523725E-2</v>
      </c>
      <c r="X132" s="69">
        <f t="shared" si="1071"/>
        <v>-0.44186046511627908</v>
      </c>
      <c r="Y132" s="69">
        <f t="shared" si="1071"/>
        <v>-0.14583333333333337</v>
      </c>
      <c r="Z132" s="69">
        <f t="shared" si="1071"/>
        <v>2.4390243902439046E-2</v>
      </c>
      <c r="AA132" s="69">
        <f t="shared" si="1071"/>
        <v>7.1428571428571397E-2</v>
      </c>
      <c r="AB132" s="69">
        <f t="shared" si="1071"/>
        <v>-0.21481481481481479</v>
      </c>
      <c r="AC132" s="69">
        <f t="shared" si="1071"/>
        <v>0.34905660377358494</v>
      </c>
      <c r="AD132" s="69">
        <f t="shared" si="1071"/>
        <v>0.76923076923076916</v>
      </c>
      <c r="AE132" s="69">
        <f t="shared" si="1071"/>
        <v>4.743083003952564E-2</v>
      </c>
      <c r="AF132" s="69">
        <f t="shared" si="1071"/>
        <v>0.10188679245283017</v>
      </c>
      <c r="AG132" s="69">
        <f t="shared" si="1071"/>
        <v>3.424657534246478E-3</v>
      </c>
      <c r="AH132" s="69">
        <f t="shared" si="1071"/>
        <v>-3.4129692832764458E-2</v>
      </c>
      <c r="AI132" s="89">
        <f t="shared" si="1071"/>
        <v>-0.3180212014134276</v>
      </c>
      <c r="AJ132" s="56">
        <v>0.01</v>
      </c>
      <c r="AK132" s="56">
        <v>0.01</v>
      </c>
      <c r="AL132" s="56">
        <v>0.01</v>
      </c>
      <c r="AM132" s="56">
        <v>0.01</v>
      </c>
      <c r="AN132" s="56">
        <v>0.01</v>
      </c>
      <c r="AO132" s="56">
        <v>0.01</v>
      </c>
      <c r="AP132" s="56">
        <v>0.01</v>
      </c>
      <c r="AQ132" s="56">
        <v>0.01</v>
      </c>
      <c r="AR132" s="56">
        <v>0.01</v>
      </c>
      <c r="AS132" s="8"/>
      <c r="AT132" s="50">
        <f>IF(ISERROR(AT89/T89),"n.a.",AT89/T89-1)</f>
        <v>-1.0229885057471264</v>
      </c>
      <c r="AU132" s="50">
        <f t="shared" ref="AU132:BN132" si="1072">IF(ISERROR(AU89/AT89),"n.a.",AU89/AT89-1)</f>
        <v>5</v>
      </c>
      <c r="AV132" s="50">
        <f t="shared" si="1072"/>
        <v>2.6666666666666665</v>
      </c>
      <c r="AW132" s="50">
        <f t="shared" si="1072"/>
        <v>-1</v>
      </c>
      <c r="AX132" s="50" t="str">
        <f t="shared" si="1072"/>
        <v>n.a.</v>
      </c>
      <c r="AY132" s="50">
        <f t="shared" si="1072"/>
        <v>-1.4782608695652173</v>
      </c>
      <c r="AZ132" s="50">
        <f t="shared" si="1072"/>
        <v>-2.3636363636363633</v>
      </c>
      <c r="BA132" s="50">
        <f t="shared" si="1072"/>
        <v>1.7999999999999998</v>
      </c>
      <c r="BB132" s="50">
        <f t="shared" si="1072"/>
        <v>3</v>
      </c>
      <c r="BC132" s="50">
        <f t="shared" si="1072"/>
        <v>1.7916666666666665</v>
      </c>
      <c r="BD132" s="50">
        <f t="shared" si="1072"/>
        <v>-0.1428571428571429</v>
      </c>
      <c r="BE132" s="50">
        <f t="shared" si="1072"/>
        <v>-0.38059701492537312</v>
      </c>
      <c r="BF132" s="50">
        <f t="shared" si="1072"/>
        <v>-3.2128514056224855E-2</v>
      </c>
      <c r="BG132" s="50">
        <f t="shared" si="1072"/>
        <v>0.64315352697095429</v>
      </c>
      <c r="BH132" s="50">
        <f t="shared" si="1072"/>
        <v>0.40656565656565657</v>
      </c>
      <c r="BI132" s="51">
        <f t="shared" si="1072"/>
        <v>3.4111310592459532E-2</v>
      </c>
      <c r="BJ132" s="50">
        <f t="shared" si="1072"/>
        <v>-0.36035243055555555</v>
      </c>
      <c r="BK132" s="50">
        <f t="shared" si="1072"/>
        <v>-3.3336354112100453E-2</v>
      </c>
      <c r="BL132" s="50">
        <f t="shared" si="1072"/>
        <v>2.0100000000000007E-2</v>
      </c>
      <c r="BM132" s="50">
        <f t="shared" si="1072"/>
        <v>2.0100000000000007E-2</v>
      </c>
      <c r="BN132" s="50">
        <f t="shared" si="1072"/>
        <v>2.0100000000000007E-2</v>
      </c>
    </row>
    <row r="133" spans="1:66" ht="12" customHeight="1" outlineLevel="1">
      <c r="B133" s="1" t="s">
        <v>77</v>
      </c>
      <c r="C133" s="37" t="str">
        <f t="shared" ref="C133:AR133" si="1073">IF(ISERROR(-C91/AVERAGE(B112:C112)),"n.a.",-C91*C$5/AVERAGE(B112:C112))</f>
        <v>n.a.</v>
      </c>
      <c r="D133" s="37" t="str">
        <f t="shared" si="1073"/>
        <v>n.a.</v>
      </c>
      <c r="E133" s="37" t="str">
        <f t="shared" si="1073"/>
        <v>n.a.</v>
      </c>
      <c r="F133" s="37" t="str">
        <f t="shared" si="1073"/>
        <v>n.a.</v>
      </c>
      <c r="G133" s="37" t="str">
        <f t="shared" si="1073"/>
        <v>n.a.</v>
      </c>
      <c r="H133" s="37" t="str">
        <f t="shared" si="1073"/>
        <v>n.a.</v>
      </c>
      <c r="I133" s="37" t="str">
        <f t="shared" si="1073"/>
        <v>n.a.</v>
      </c>
      <c r="J133" s="37" t="str">
        <f t="shared" si="1073"/>
        <v>n.a.</v>
      </c>
      <c r="K133" s="37" t="str">
        <f t="shared" si="1073"/>
        <v>n.a.</v>
      </c>
      <c r="L133" s="37" t="str">
        <f t="shared" si="1073"/>
        <v>n.a.</v>
      </c>
      <c r="M133" s="78" t="str">
        <f t="shared" si="1073"/>
        <v>n.a.</v>
      </c>
      <c r="N133" s="78" t="str">
        <f t="shared" si="1073"/>
        <v>n.a.</v>
      </c>
      <c r="O133" s="78" t="str">
        <f t="shared" si="1073"/>
        <v>n.a.</v>
      </c>
      <c r="P133" s="78" t="str">
        <f t="shared" si="1073"/>
        <v>n.a.</v>
      </c>
      <c r="Q133" s="78" t="str">
        <f t="shared" si="1073"/>
        <v>n.a.</v>
      </c>
      <c r="R133" s="78" t="str">
        <f t="shared" si="1073"/>
        <v>n.a.</v>
      </c>
      <c r="S133" s="78" t="str">
        <f t="shared" si="1073"/>
        <v>n.a.</v>
      </c>
      <c r="T133" s="78" t="str">
        <f t="shared" si="1073"/>
        <v>n.a.</v>
      </c>
      <c r="U133" s="78">
        <f t="shared" si="1073"/>
        <v>0</v>
      </c>
      <c r="V133" s="78">
        <f t="shared" si="1073"/>
        <v>0</v>
      </c>
      <c r="W133" s="78">
        <f t="shared" si="1073"/>
        <v>1.7241379310344827E-3</v>
      </c>
      <c r="X133" s="78">
        <f t="shared" si="1073"/>
        <v>0.21523809523809523</v>
      </c>
      <c r="Y133" s="78">
        <f t="shared" si="1073"/>
        <v>1.3712431693989072E-2</v>
      </c>
      <c r="Z133" s="78">
        <f t="shared" si="1073"/>
        <v>-0.19252747252747252</v>
      </c>
      <c r="AA133" s="78">
        <f t="shared" si="1073"/>
        <v>-0.10324654451944712</v>
      </c>
      <c r="AB133" s="78">
        <f t="shared" si="1073"/>
        <v>0.31865079365079363</v>
      </c>
      <c r="AC133" s="78">
        <f t="shared" si="1073"/>
        <v>6.2985332182916307E-3</v>
      </c>
      <c r="AD133" s="78">
        <f t="shared" si="1073"/>
        <v>2.1009942438513868E-2</v>
      </c>
      <c r="AE133" s="78">
        <f t="shared" si="1073"/>
        <v>-0.16923076923076924</v>
      </c>
      <c r="AF133" s="78">
        <f t="shared" si="1073"/>
        <v>-1.6E-2</v>
      </c>
      <c r="AG133" s="78">
        <f t="shared" si="1073"/>
        <v>-5.6986729117876654E-3</v>
      </c>
      <c r="AH133" s="78">
        <f t="shared" si="1073"/>
        <v>3.208791208791209E-2</v>
      </c>
      <c r="AI133" s="88">
        <f t="shared" si="1073"/>
        <v>-1.3296903460837887E-2</v>
      </c>
      <c r="AJ133" s="37">
        <f t="shared" si="1073"/>
        <v>3.705959995938674E-3</v>
      </c>
      <c r="AK133" s="37">
        <f t="shared" si="1073"/>
        <v>2.7502830583944196E-3</v>
      </c>
      <c r="AL133" s="37">
        <f t="shared" si="1073"/>
        <v>3.5401226649395263E-3</v>
      </c>
      <c r="AM133" s="37">
        <f t="shared" si="1073"/>
        <v>4.0664294407961269E-3</v>
      </c>
      <c r="AN133" s="37">
        <f t="shared" si="1073"/>
        <v>3.9278039889700045E-3</v>
      </c>
      <c r="AO133" s="37">
        <f t="shared" si="1073"/>
        <v>4.6352475326665536E-3</v>
      </c>
      <c r="AP133" s="37">
        <f t="shared" si="1073"/>
        <v>4.6248062603741662E-3</v>
      </c>
      <c r="AQ133" s="37">
        <f t="shared" si="1073"/>
        <v>4.5860275522939722E-3</v>
      </c>
      <c r="AR133" s="37">
        <f t="shared" si="1073"/>
        <v>4.5877174861575776E-3</v>
      </c>
      <c r="AS133" s="37"/>
      <c r="AT133" s="37" t="str">
        <f t="shared" ref="AT133:BJ133" si="1074">IF(ISERROR(-AT91/AVERAGE(AS112:AT112)),"n.a.",-AT91*AT$5/AVERAGE(AS112:AT112))</f>
        <v>n.a.</v>
      </c>
      <c r="AU133" s="37" t="str">
        <f t="shared" si="1074"/>
        <v>n.a.</v>
      </c>
      <c r="AV133" s="37" t="str">
        <f t="shared" si="1074"/>
        <v>n.a.</v>
      </c>
      <c r="AW133" s="37" t="str">
        <f t="shared" si="1074"/>
        <v>n.a.</v>
      </c>
      <c r="AX133" s="37" t="str">
        <f t="shared" si="1074"/>
        <v>n.a.</v>
      </c>
      <c r="AY133" s="37" t="str">
        <f t="shared" si="1074"/>
        <v>n.a.</v>
      </c>
      <c r="AZ133" s="37" t="str">
        <f t="shared" si="1074"/>
        <v>n.a.</v>
      </c>
      <c r="BA133" s="37" t="str">
        <f t="shared" si="1074"/>
        <v>n.a.</v>
      </c>
      <c r="BB133" s="37" t="str">
        <f t="shared" si="1074"/>
        <v>n.a.</v>
      </c>
      <c r="BC133" s="37">
        <f t="shared" si="1074"/>
        <v>0</v>
      </c>
      <c r="BD133" s="37">
        <f t="shared" si="1074"/>
        <v>4.0526315789473681E-2</v>
      </c>
      <c r="BE133" s="37">
        <f t="shared" si="1074"/>
        <v>-6.0714285714285714E-2</v>
      </c>
      <c r="BF133" s="37">
        <f t="shared" si="1074"/>
        <v>0.11647058823529412</v>
      </c>
      <c r="BG133" s="37">
        <f t="shared" si="1074"/>
        <v>1.4E-2</v>
      </c>
      <c r="BH133" s="37">
        <f t="shared" si="1074"/>
        <v>-9.3846153846153843E-2</v>
      </c>
      <c r="BI133" s="38">
        <f t="shared" si="1074"/>
        <v>9.4117647058823521E-3</v>
      </c>
      <c r="BJ133" s="37">
        <f t="shared" si="1074"/>
        <v>-3.7486218302094816E-3</v>
      </c>
      <c r="BK133" s="37">
        <f>IF(ISERROR(-BK91/AVERAGE(BK112:BK112)),"n.a.",-BK91*BK$5/AVERAGE(BK112:BK112))</f>
        <v>3.1149709569036057E-3</v>
      </c>
      <c r="BL133" s="37">
        <f>IF(ISERROR(-BL91/AVERAGE(BL112:BL112)),"n.a.",-BL91*BL$5/AVERAGE(BL112:BL112))</f>
        <v>3.9572978271758211E-3</v>
      </c>
      <c r="BM133" s="37">
        <f>IF(ISERROR(-BM91/AVERAGE(BM112:BM112)),"n.a.",-BM91*BM$5/AVERAGE(BM112:BM112))</f>
        <v>4.5842244748668425E-3</v>
      </c>
      <c r="BN133" s="37">
        <f>IF(ISERROR(-BN91/AVERAGE(BN112:BN112)),"n.a.",-BN91*BN$5/AVERAGE(BN112:BN112))</f>
        <v>4.5415103185617286E-3</v>
      </c>
    </row>
    <row r="134" spans="1:66" ht="12" customHeight="1" outlineLevel="1">
      <c r="B134" s="1" t="s">
        <v>66</v>
      </c>
      <c r="C134" s="50" t="str">
        <f t="shared" ref="C134:AI134" si="1075">IF(ISERROR(C95/B95),"n.a.",C95/B95-1)</f>
        <v>n.a.</v>
      </c>
      <c r="D134" s="50">
        <f t="shared" si="1075"/>
        <v>-0.52022058823529416</v>
      </c>
      <c r="E134" s="50">
        <f t="shared" si="1075"/>
        <v>-0.86590038314176243</v>
      </c>
      <c r="F134" s="50">
        <f t="shared" si="1075"/>
        <v>-0.31428571428571428</v>
      </c>
      <c r="G134" s="50">
        <f t="shared" si="1075"/>
        <v>0.45833333333333326</v>
      </c>
      <c r="H134" s="50">
        <f t="shared" si="1075"/>
        <v>0.25714285714285712</v>
      </c>
      <c r="I134" s="50">
        <f t="shared" si="1075"/>
        <v>-0.79545454545454541</v>
      </c>
      <c r="J134" s="50">
        <f t="shared" si="1075"/>
        <v>3.2222222222222223</v>
      </c>
      <c r="K134" s="50">
        <f t="shared" si="1075"/>
        <v>0.47368421052631571</v>
      </c>
      <c r="L134" s="50">
        <f t="shared" si="1075"/>
        <v>0.1964285714285714</v>
      </c>
      <c r="M134" s="69">
        <f t="shared" si="1075"/>
        <v>-0.14925373134328357</v>
      </c>
      <c r="N134" s="69">
        <f t="shared" si="1075"/>
        <v>0.10526315789473695</v>
      </c>
      <c r="O134" s="69">
        <f t="shared" si="1075"/>
        <v>1.873015873015873</v>
      </c>
      <c r="P134" s="69">
        <f t="shared" si="1075"/>
        <v>-0.69060773480662985</v>
      </c>
      <c r="Q134" s="69">
        <f t="shared" si="1075"/>
        <v>4.1607142857142856</v>
      </c>
      <c r="R134" s="69">
        <f t="shared" si="1075"/>
        <v>-0.17993079584775085</v>
      </c>
      <c r="S134" s="69">
        <f t="shared" si="1075"/>
        <v>8.4388185654007408E-3</v>
      </c>
      <c r="T134" s="69">
        <f t="shared" si="1075"/>
        <v>-1.2301255230125523</v>
      </c>
      <c r="U134" s="69">
        <f t="shared" si="1075"/>
        <v>-7.7636363636363637</v>
      </c>
      <c r="V134" s="69">
        <f t="shared" si="1075"/>
        <v>0.29032258064516125</v>
      </c>
      <c r="W134" s="69">
        <f t="shared" si="1075"/>
        <v>-0.8833333333333333</v>
      </c>
      <c r="X134" s="69">
        <f t="shared" si="1075"/>
        <v>3.375</v>
      </c>
      <c r="Y134" s="69">
        <f t="shared" si="1075"/>
        <v>-0.47755102040816322</v>
      </c>
      <c r="Z134" s="69">
        <f t="shared" si="1075"/>
        <v>0.1015625</v>
      </c>
      <c r="AA134" s="69">
        <f t="shared" si="1075"/>
        <v>-0.86524822695035464</v>
      </c>
      <c r="AB134" s="69">
        <f t="shared" si="1075"/>
        <v>1.4210526315789473</v>
      </c>
      <c r="AC134" s="69">
        <f t="shared" si="1075"/>
        <v>1.2391304347826089</v>
      </c>
      <c r="AD134" s="69">
        <f t="shared" si="1075"/>
        <v>9.7087378640776656E-3</v>
      </c>
      <c r="AE134" s="69">
        <f t="shared" si="1075"/>
        <v>-0.56730769230769229</v>
      </c>
      <c r="AF134" s="69">
        <f t="shared" si="1075"/>
        <v>0.37777777777777777</v>
      </c>
      <c r="AG134" s="69">
        <f t="shared" si="1075"/>
        <v>0.56451612903225801</v>
      </c>
      <c r="AH134" s="69">
        <f t="shared" si="1075"/>
        <v>-0.40206185567010311</v>
      </c>
      <c r="AI134" s="89">
        <f t="shared" si="1075"/>
        <v>0.86206896551724133</v>
      </c>
      <c r="AJ134" s="56">
        <v>-0.3</v>
      </c>
      <c r="AK134" s="56">
        <v>0.03</v>
      </c>
      <c r="AL134" s="56">
        <v>0.03</v>
      </c>
      <c r="AM134" s="56">
        <v>0.03</v>
      </c>
      <c r="AN134" s="56">
        <v>0.03</v>
      </c>
      <c r="AO134" s="56">
        <v>0.03</v>
      </c>
      <c r="AP134" s="56">
        <v>0.03</v>
      </c>
      <c r="AQ134" s="56">
        <v>0.03</v>
      </c>
      <c r="AR134" s="56">
        <v>0.03</v>
      </c>
      <c r="AS134" s="8"/>
      <c r="AT134" s="50">
        <f>IF(ISERROR(AT95/T95),"n.a.",AT95/T95-1)</f>
        <v>-15.636363636363637</v>
      </c>
      <c r="AU134" s="50">
        <f t="shared" ref="AU134:BN134" si="1076">IF(ISERROR(AU95/AT95),"n.a.",AU95/AT95-1)</f>
        <v>-0.92670807453416149</v>
      </c>
      <c r="AV134" s="50">
        <f t="shared" si="1076"/>
        <v>0.33898305084745761</v>
      </c>
      <c r="AW134" s="50">
        <f t="shared" si="1076"/>
        <v>-0.40506329113924056</v>
      </c>
      <c r="AX134" s="50">
        <f t="shared" si="1076"/>
        <v>1.6170212765957448</v>
      </c>
      <c r="AY134" s="50">
        <f t="shared" si="1076"/>
        <v>-2.4390243902439046E-2</v>
      </c>
      <c r="AZ134" s="50">
        <f t="shared" si="1076"/>
        <v>0.97500000000000009</v>
      </c>
      <c r="BA134" s="50">
        <f t="shared" si="1076"/>
        <v>1.2194092827004219</v>
      </c>
      <c r="BB134" s="50">
        <f t="shared" si="1076"/>
        <v>-0.65019011406844107</v>
      </c>
      <c r="BC134" s="50">
        <f t="shared" si="1076"/>
        <v>3.6304347826086953</v>
      </c>
      <c r="BD134" s="50">
        <f t="shared" si="1076"/>
        <v>-0.64671361502347424</v>
      </c>
      <c r="BE134" s="50">
        <f t="shared" si="1076"/>
        <v>-0.10631229235880402</v>
      </c>
      <c r="BF134" s="50">
        <f t="shared" si="1076"/>
        <v>-0.75836431226765799</v>
      </c>
      <c r="BG134" s="50">
        <f t="shared" si="1076"/>
        <v>2.1846153846153844</v>
      </c>
      <c r="BH134" s="50">
        <f t="shared" si="1076"/>
        <v>-0.48309178743961356</v>
      </c>
      <c r="BI134" s="51">
        <f t="shared" si="1076"/>
        <v>0.44859813084112155</v>
      </c>
      <c r="BJ134" s="50">
        <f t="shared" si="1076"/>
        <v>0.18451612903225811</v>
      </c>
      <c r="BK134" s="50">
        <f t="shared" si="1076"/>
        <v>-0.13904117647058833</v>
      </c>
      <c r="BL134" s="50">
        <f t="shared" si="1076"/>
        <v>6.0899999999999954E-2</v>
      </c>
      <c r="BM134" s="50">
        <f t="shared" si="1076"/>
        <v>6.0900000000000176E-2</v>
      </c>
      <c r="BN134" s="50">
        <f t="shared" si="1076"/>
        <v>6.0900000000000176E-2</v>
      </c>
    </row>
    <row r="135" spans="1:66" ht="12" customHeight="1" outlineLevel="1">
      <c r="B135" s="1" t="s">
        <v>67</v>
      </c>
      <c r="C135" s="54">
        <f t="shared" ref="C135:AI135" si="1077">IF(ISERROR(-C97/AVERAGE(B120:C120)*1000000),"n.a.",-C97*C$5/AVERAGE(B120:C120)*1000000)</f>
        <v>178055.63757269215</v>
      </c>
      <c r="D135" s="54">
        <f t="shared" si="1077"/>
        <v>186169.90906564856</v>
      </c>
      <c r="E135" s="54">
        <f t="shared" si="1077"/>
        <v>194681.93583810495</v>
      </c>
      <c r="F135" s="54">
        <f t="shared" si="1077"/>
        <v>215210.67798733796</v>
      </c>
      <c r="G135" s="54">
        <f t="shared" si="1077"/>
        <v>180743.83037886687</v>
      </c>
      <c r="H135" s="54">
        <f t="shared" si="1077"/>
        <v>190274.84143763213</v>
      </c>
      <c r="I135" s="54">
        <f t="shared" si="1077"/>
        <v>182405.6401592253</v>
      </c>
      <c r="J135" s="54">
        <f t="shared" si="1077"/>
        <v>189680.87487245238</v>
      </c>
      <c r="K135" s="54">
        <f t="shared" si="1077"/>
        <v>195556.10506340256</v>
      </c>
      <c r="L135" s="54">
        <f t="shared" si="1077"/>
        <v>221249.14003086591</v>
      </c>
      <c r="M135" s="79">
        <f t="shared" si="1077"/>
        <v>195334.25803562652</v>
      </c>
      <c r="N135" s="79">
        <f t="shared" si="1077"/>
        <v>255734.1986872188</v>
      </c>
      <c r="O135" s="79">
        <f t="shared" si="1077"/>
        <v>235849.05660377358</v>
      </c>
      <c r="P135" s="79">
        <f t="shared" si="1077"/>
        <v>241773.00201477503</v>
      </c>
      <c r="Q135" s="79">
        <f t="shared" si="1077"/>
        <v>240799.64476343238</v>
      </c>
      <c r="R135" s="79">
        <f t="shared" si="1077"/>
        <v>247752.89729776076</v>
      </c>
      <c r="S135" s="79">
        <f t="shared" si="1077"/>
        <v>237229.8225721562</v>
      </c>
      <c r="T135" s="79">
        <f t="shared" si="1077"/>
        <v>255386.178139895</v>
      </c>
      <c r="U135" s="79">
        <f t="shared" si="1077"/>
        <v>273271.62990633451</v>
      </c>
      <c r="V135" s="79">
        <f t="shared" si="1077"/>
        <v>299817.72057841788</v>
      </c>
      <c r="W135" s="79">
        <f t="shared" si="1077"/>
        <v>263486.03957712121</v>
      </c>
      <c r="X135" s="79">
        <f t="shared" si="1077"/>
        <v>284164.85900216922</v>
      </c>
      <c r="Y135" s="79">
        <f t="shared" si="1077"/>
        <v>269574.35099411022</v>
      </c>
      <c r="Z135" s="79">
        <f t="shared" si="1077"/>
        <v>241183.65294835879</v>
      </c>
      <c r="AA135" s="79">
        <f t="shared" si="1077"/>
        <v>355869.66414635343</v>
      </c>
      <c r="AB135" s="79">
        <f t="shared" si="1077"/>
        <v>319124.691296637</v>
      </c>
      <c r="AC135" s="79">
        <f t="shared" si="1077"/>
        <v>287793.23339779786</v>
      </c>
      <c r="AD135" s="79">
        <f t="shared" si="1077"/>
        <v>358292.02072360786</v>
      </c>
      <c r="AE135" s="79">
        <f t="shared" si="1077"/>
        <v>328257.86039153649</v>
      </c>
      <c r="AF135" s="79">
        <f t="shared" si="1077"/>
        <v>334594.70225054771</v>
      </c>
      <c r="AG135" s="79">
        <f t="shared" si="1077"/>
        <v>340392.08371913322</v>
      </c>
      <c r="AH135" s="79">
        <f t="shared" si="1077"/>
        <v>346130.31508106453</v>
      </c>
      <c r="AI135" s="90">
        <f t="shared" si="1077"/>
        <v>355470.55251973285</v>
      </c>
      <c r="AJ135" s="55">
        <f>AI135*0.945</f>
        <v>335919.67213114753</v>
      </c>
      <c r="AK135" s="55">
        <f>AJ135*0.925</f>
        <v>310725.69672131148</v>
      </c>
      <c r="AL135" s="55">
        <f>AK135*1.01</f>
        <v>313832.95368852461</v>
      </c>
      <c r="AM135" s="55">
        <f t="shared" ref="AM135:AR135" si="1078">AL135*1.01</f>
        <v>316971.28322540986</v>
      </c>
      <c r="AN135" s="55">
        <f t="shared" si="1078"/>
        <v>320140.99605766399</v>
      </c>
      <c r="AO135" s="55">
        <f t="shared" si="1078"/>
        <v>323342.40601824061</v>
      </c>
      <c r="AP135" s="55">
        <f t="shared" si="1078"/>
        <v>326575.83007842302</v>
      </c>
      <c r="AQ135" s="55">
        <f t="shared" si="1078"/>
        <v>329841.58837920724</v>
      </c>
      <c r="AR135" s="55">
        <f t="shared" si="1078"/>
        <v>333140.00426299934</v>
      </c>
      <c r="AS135" s="8"/>
      <c r="AT135" s="54">
        <f>IF(ISERROR(-AT97/AVERAGE(T120:AT120)*1000000),"n.a.",-AT97*AT$5/AVERAGE(T120:AT120)*1000000)</f>
        <v>125407.16433928348</v>
      </c>
      <c r="AU135" s="54">
        <f t="shared" ref="AU135:BJ135" si="1079">IF(ISERROR(-AU97/AVERAGE(AT120:AU120)*1000000),"n.a.",-AU97*AU$5/AVERAGE(AT120:AU120)*1000000)</f>
        <v>204108.24910335834</v>
      </c>
      <c r="AV135" s="54">
        <f t="shared" si="1079"/>
        <v>184347.82608695651</v>
      </c>
      <c r="AW135" s="54">
        <f t="shared" si="1079"/>
        <v>184775.08650519032</v>
      </c>
      <c r="AX135" s="54">
        <f t="shared" si="1079"/>
        <v>205231.38832997991</v>
      </c>
      <c r="AY135" s="54">
        <f t="shared" si="1079"/>
        <v>224816.54436290861</v>
      </c>
      <c r="AZ135" s="54">
        <f t="shared" si="1079"/>
        <v>237776.28935030141</v>
      </c>
      <c r="BA135" s="54">
        <f t="shared" si="1079"/>
        <v>243375.85868498529</v>
      </c>
      <c r="BB135" s="54">
        <f t="shared" si="1079"/>
        <v>244387.42783835792</v>
      </c>
      <c r="BC135" s="54">
        <f t="shared" si="1079"/>
        <v>300086.73026886384</v>
      </c>
      <c r="BD135" s="54">
        <f t="shared" si="1079"/>
        <v>265859.4366938668</v>
      </c>
      <c r="BE135" s="54">
        <f t="shared" si="1079"/>
        <v>254973.82198952878</v>
      </c>
      <c r="BF135" s="54">
        <f t="shared" si="1079"/>
        <v>360391.7301414581</v>
      </c>
      <c r="BG135" s="54">
        <f t="shared" si="1079"/>
        <v>323364.84661393019</v>
      </c>
      <c r="BH135" s="54">
        <f t="shared" si="1079"/>
        <v>335206.74427940592</v>
      </c>
      <c r="BI135" s="53">
        <f t="shared" si="1079"/>
        <v>350660.41755432467</v>
      </c>
      <c r="BJ135" s="54">
        <f t="shared" si="1079"/>
        <v>382524.54881673784</v>
      </c>
      <c r="BK135" s="54">
        <f>IF(ISERROR(-BK97/AVERAGE(BK120:BK120)*1000000),"n.a.",-BK97*BK$5/AVERAGE(BK120:BK120)*1000000)</f>
        <v>309194.32805341331</v>
      </c>
      <c r="BL135" s="54">
        <f>IF(ISERROR(-BL97/AVERAGE(BL120:BL120)*1000000),"n.a.",-BL97*BL$5/AVERAGE(BL120:BL120)*1000000)</f>
        <v>315417.73242322751</v>
      </c>
      <c r="BM135" s="54">
        <f>IF(ISERROR(-BM97/AVERAGE(BM120:BM120)*1000000),"n.a.",-BM97*BM$5/AVERAGE(BM120:BM120)*1000000)</f>
        <v>321748.85764163738</v>
      </c>
      <c r="BN135" s="54">
        <f>IF(ISERROR(-BN97/AVERAGE(BN120:BN120)*1000000),"n.a.",-BN97*BN$5/AVERAGE(BN120:BN120)*1000000)</f>
        <v>328216.0096802343</v>
      </c>
    </row>
    <row r="136" spans="1:66" ht="12" customHeight="1" outlineLevel="1">
      <c r="B136" s="1" t="s">
        <v>78</v>
      </c>
      <c r="C136" s="50">
        <f t="shared" ref="C136:AR136" si="1080">IF(ISERROR(-C97/C96),"n.a.",-C97/C96)</f>
        <v>0.15079365079365079</v>
      </c>
      <c r="D136" s="50">
        <f t="shared" si="1080"/>
        <v>0.19705882352941176</v>
      </c>
      <c r="E136" s="50">
        <f t="shared" si="1080"/>
        <v>0.23943661971830985</v>
      </c>
      <c r="F136" s="50">
        <f t="shared" si="1080"/>
        <v>0.24464831804281345</v>
      </c>
      <c r="G136" s="50">
        <f t="shared" si="1080"/>
        <v>0.16602809706257982</v>
      </c>
      <c r="H136" s="50">
        <f t="shared" si="1080"/>
        <v>0.21565495207667731</v>
      </c>
      <c r="I136" s="50">
        <f t="shared" si="1080"/>
        <v>0.1793103448275862</v>
      </c>
      <c r="J136" s="50">
        <f t="shared" si="1080"/>
        <v>0.17363751584283904</v>
      </c>
      <c r="K136" s="50">
        <f t="shared" si="1080"/>
        <v>0.15766262403528114</v>
      </c>
      <c r="L136" s="50">
        <f t="shared" si="1080"/>
        <v>0.15964740450538686</v>
      </c>
      <c r="M136" s="69">
        <f t="shared" si="1080"/>
        <v>0.12</v>
      </c>
      <c r="N136" s="69">
        <f t="shared" si="1080"/>
        <v>0.15952980688497062</v>
      </c>
      <c r="O136" s="69">
        <f t="shared" si="1080"/>
        <v>0.1048532055122828</v>
      </c>
      <c r="P136" s="69">
        <f t="shared" si="1080"/>
        <v>0.1729106628242075</v>
      </c>
      <c r="Q136" s="69">
        <f t="shared" si="1080"/>
        <v>0.13255644573925709</v>
      </c>
      <c r="R136" s="69">
        <f t="shared" si="1080"/>
        <v>0.1553556827473426</v>
      </c>
      <c r="S136" s="69">
        <f t="shared" si="1080"/>
        <v>0.11337030191004313</v>
      </c>
      <c r="T136" s="69">
        <f t="shared" si="1080"/>
        <v>0.20979765708200213</v>
      </c>
      <c r="U136" s="69">
        <f t="shared" si="1080"/>
        <v>0.15384615384615385</v>
      </c>
      <c r="V136" s="69">
        <f t="shared" si="1080"/>
        <v>0.15783602900167318</v>
      </c>
      <c r="W136" s="69">
        <f t="shared" si="1080"/>
        <v>0.12932410856838744</v>
      </c>
      <c r="X136" s="69">
        <f t="shared" si="1080"/>
        <v>0.14139233675121424</v>
      </c>
      <c r="Y136" s="69">
        <f t="shared" si="1080"/>
        <v>0.1436556735606484</v>
      </c>
      <c r="Z136" s="69">
        <f t="shared" si="1080"/>
        <v>0.13031161473087818</v>
      </c>
      <c r="AA136" s="69">
        <f t="shared" si="1080"/>
        <v>0.17101937657961247</v>
      </c>
      <c r="AB136" s="69">
        <f t="shared" si="1080"/>
        <v>0.12854096862625647</v>
      </c>
      <c r="AC136" s="69">
        <f t="shared" si="1080"/>
        <v>0.14625719769673703</v>
      </c>
      <c r="AD136" s="69">
        <f t="shared" si="1080"/>
        <v>0.1947996589940324</v>
      </c>
      <c r="AE136" s="69">
        <f t="shared" si="1080"/>
        <v>0.24512699350265801</v>
      </c>
      <c r="AF136" s="69">
        <f t="shared" si="1080"/>
        <v>0.20378457059679767</v>
      </c>
      <c r="AG136" s="69">
        <f t="shared" si="1080"/>
        <v>0.21705426356589147</v>
      </c>
      <c r="AH136" s="69">
        <f t="shared" si="1080"/>
        <v>0.17652212001752079</v>
      </c>
      <c r="AI136" s="89">
        <f t="shared" si="1080"/>
        <v>0.1679932970255551</v>
      </c>
      <c r="AJ136" s="50">
        <f t="shared" si="1080"/>
        <v>0.12367225492572514</v>
      </c>
      <c r="AK136" s="50">
        <f t="shared" si="1080"/>
        <v>0.12837141161190949</v>
      </c>
      <c r="AL136" s="50">
        <f t="shared" si="1080"/>
        <v>0.12509598801501939</v>
      </c>
      <c r="AM136" s="50">
        <f t="shared" si="1080"/>
        <v>0.129158704831009</v>
      </c>
      <c r="AN136" s="50">
        <f t="shared" si="1080"/>
        <v>0.12699758638079225</v>
      </c>
      <c r="AO136" s="50">
        <f t="shared" si="1080"/>
        <v>0.13238637548655147</v>
      </c>
      <c r="AP136" s="50">
        <f t="shared" si="1080"/>
        <v>0.13038292983706501</v>
      </c>
      <c r="AQ136" s="50">
        <f t="shared" si="1080"/>
        <v>0.13729422174298775</v>
      </c>
      <c r="AR136" s="50">
        <f t="shared" si="1080"/>
        <v>0.13629079745340048</v>
      </c>
      <c r="AS136" s="8"/>
      <c r="AT136" s="50">
        <f t="shared" ref="AT136:BN136" si="1081">IF(ISERROR(-AT97/AT96),"n.a.",-AT97/AT96)</f>
        <v>0.17270194986072424</v>
      </c>
      <c r="AU136" s="50">
        <f t="shared" si="1081"/>
        <v>0.24207269914926527</v>
      </c>
      <c r="AV136" s="50">
        <f t="shared" si="1081"/>
        <v>0.18807665010645849</v>
      </c>
      <c r="AW136" s="50">
        <f t="shared" si="1081"/>
        <v>0.17635402906208719</v>
      </c>
      <c r="AX136" s="50">
        <f t="shared" si="1081"/>
        <v>0.15871369294605808</v>
      </c>
      <c r="AY136" s="50">
        <f t="shared" si="1081"/>
        <v>0.13948675496688742</v>
      </c>
      <c r="AZ136" s="50">
        <f t="shared" si="1081"/>
        <v>0.13099630996309963</v>
      </c>
      <c r="BA136" s="50">
        <f t="shared" si="1081"/>
        <v>0.14329738058551617</v>
      </c>
      <c r="BB136" s="50">
        <f t="shared" si="1081"/>
        <v>0.14871194379391101</v>
      </c>
      <c r="BC136" s="50">
        <f t="shared" si="1081"/>
        <v>0.15599639314697927</v>
      </c>
      <c r="BD136" s="50">
        <f t="shared" si="1081"/>
        <v>0.13531618435155413</v>
      </c>
      <c r="BE136" s="50">
        <f t="shared" si="1081"/>
        <v>0.13702870005627463</v>
      </c>
      <c r="BF136" s="50">
        <f t="shared" si="1081"/>
        <v>0.14636733250839667</v>
      </c>
      <c r="BG136" s="50">
        <f t="shared" si="1081"/>
        <v>0.1692587356089679</v>
      </c>
      <c r="BH136" s="50">
        <f t="shared" si="1081"/>
        <v>0.22242940863079383</v>
      </c>
      <c r="BI136" s="51">
        <f t="shared" si="1081"/>
        <v>0.19511616880037932</v>
      </c>
      <c r="BJ136" s="50">
        <f t="shared" si="1081"/>
        <v>0.14490473866627393</v>
      </c>
      <c r="BK136" s="50">
        <f t="shared" si="1081"/>
        <v>0.12670073093531872</v>
      </c>
      <c r="BL136" s="50">
        <f t="shared" si="1081"/>
        <v>0.12805827933291147</v>
      </c>
      <c r="BM136" s="50">
        <f t="shared" si="1081"/>
        <v>0.13136979309601568</v>
      </c>
      <c r="BN136" s="50">
        <f t="shared" si="1081"/>
        <v>0.13678705203740413</v>
      </c>
    </row>
    <row r="137" spans="1:66" ht="12" customHeight="1" outlineLevel="1">
      <c r="B137" s="1" t="s">
        <v>1110</v>
      </c>
      <c r="C137" s="69" t="str">
        <f t="shared" ref="C137:AR137" si="1082">IF(OR(ISERROR(-(C97+C107)/C96),C107=""),"n.a.",-(C97+C107)/C96)</f>
        <v>n.a.</v>
      </c>
      <c r="D137" s="69" t="str">
        <f t="shared" si="1082"/>
        <v>n.a.</v>
      </c>
      <c r="E137" s="69" t="str">
        <f t="shared" si="1082"/>
        <v>n.a.</v>
      </c>
      <c r="F137" s="69" t="str">
        <f t="shared" si="1082"/>
        <v>n.a.</v>
      </c>
      <c r="G137" s="69">
        <f t="shared" si="1082"/>
        <v>0.46162267447233957</v>
      </c>
      <c r="H137" s="69">
        <f t="shared" si="1082"/>
        <v>0.43925358121132818</v>
      </c>
      <c r="I137" s="69">
        <f t="shared" si="1082"/>
        <v>0.27654310453803826</v>
      </c>
      <c r="J137" s="69">
        <f t="shared" si="1082"/>
        <v>0.32811345876220116</v>
      </c>
      <c r="K137" s="69">
        <f t="shared" si="1082"/>
        <v>10.311157321736081</v>
      </c>
      <c r="L137" s="69">
        <f t="shared" si="1082"/>
        <v>65.750860388159893</v>
      </c>
      <c r="M137" s="69">
        <f t="shared" si="1082"/>
        <v>0.3690307052187029</v>
      </c>
      <c r="N137" s="69">
        <f t="shared" si="1082"/>
        <v>0.30255811243246228</v>
      </c>
      <c r="O137" s="69">
        <f t="shared" si="1082"/>
        <v>0.27944884791155639</v>
      </c>
      <c r="P137" s="69">
        <f t="shared" si="1082"/>
        <v>0.48887319399397733</v>
      </c>
      <c r="Q137" s="69">
        <f t="shared" si="1082"/>
        <v>0.40828365578857539</v>
      </c>
      <c r="R137" s="69">
        <f t="shared" si="1082"/>
        <v>0.39151169280962639</v>
      </c>
      <c r="S137" s="69">
        <f t="shared" si="1082"/>
        <v>0.42730924929529523</v>
      </c>
      <c r="T137" s="69">
        <f t="shared" si="1082"/>
        <v>0.51357497084233672</v>
      </c>
      <c r="U137" s="69">
        <f t="shared" si="1082"/>
        <v>0.38292713191868133</v>
      </c>
      <c r="V137" s="69">
        <f t="shared" si="1082"/>
        <v>0.17673671428286747</v>
      </c>
      <c r="W137" s="69">
        <f t="shared" si="1082"/>
        <v>0.44487857440152939</v>
      </c>
      <c r="X137" s="69">
        <f t="shared" si="1082"/>
        <v>0.4354354467268296</v>
      </c>
      <c r="Y137" s="69">
        <f t="shared" si="1082"/>
        <v>0.4737145047748087</v>
      </c>
      <c r="Z137" s="69">
        <f t="shared" si="1082"/>
        <v>0.364479296367059</v>
      </c>
      <c r="AA137" s="69">
        <f t="shared" si="1082"/>
        <v>0.38579477521000261</v>
      </c>
      <c r="AB137" s="69">
        <f t="shared" si="1082"/>
        <v>0.59890078638635402</v>
      </c>
      <c r="AC137" s="69">
        <f t="shared" si="1082"/>
        <v>0.34564493792366197</v>
      </c>
      <c r="AD137" s="69">
        <f t="shared" si="1082"/>
        <v>0.41085096957261602</v>
      </c>
      <c r="AE137" s="69">
        <f t="shared" si="1082"/>
        <v>0.29259023222557284</v>
      </c>
      <c r="AF137" s="69">
        <f t="shared" si="1082"/>
        <v>0.36538854414055527</v>
      </c>
      <c r="AG137" s="69">
        <f t="shared" si="1082"/>
        <v>0.28595093978974195</v>
      </c>
      <c r="AH137" s="69">
        <f t="shared" si="1082"/>
        <v>0.282936047316241</v>
      </c>
      <c r="AI137" s="89">
        <f t="shared" si="1082"/>
        <v>0.22113871307419705</v>
      </c>
      <c r="AJ137" s="69">
        <f t="shared" si="1082"/>
        <v>0.22104817551765751</v>
      </c>
      <c r="AK137" s="69">
        <f t="shared" si="1082"/>
        <v>0.25009131235182491</v>
      </c>
      <c r="AL137" s="69">
        <f t="shared" si="1082"/>
        <v>0.25290188379193057</v>
      </c>
      <c r="AM137" s="69">
        <f t="shared" si="1082"/>
        <v>0.2569646006079202</v>
      </c>
      <c r="AN137" s="69">
        <f t="shared" si="1082"/>
        <v>0.25480348215770343</v>
      </c>
      <c r="AO137" s="69">
        <f t="shared" si="1082"/>
        <v>0.26019227126346267</v>
      </c>
      <c r="AP137" s="69">
        <f t="shared" si="1082"/>
        <v>0.25818882561397616</v>
      </c>
      <c r="AQ137" s="69">
        <f t="shared" si="1082"/>
        <v>0.26510011751989898</v>
      </c>
      <c r="AR137" s="69">
        <f t="shared" si="1082"/>
        <v>0.26409669323031171</v>
      </c>
      <c r="AT137" s="69" t="str">
        <f t="shared" ref="AT137:BN137" si="1083">IF(OR(ISERROR(-(AT97+AT107)/AT96),AT107=""),"n.a.",-(AT97+AT107)/AT96)</f>
        <v>n.a.</v>
      </c>
      <c r="AU137" s="69" t="str">
        <f t="shared" si="1083"/>
        <v>n.a.</v>
      </c>
      <c r="AV137" s="69">
        <f t="shared" si="1083"/>
        <v>0.45168438321514071</v>
      </c>
      <c r="AW137" s="69">
        <f t="shared" si="1083"/>
        <v>0.3034182759269845</v>
      </c>
      <c r="AX137" s="69">
        <f t="shared" si="1083"/>
        <v>39.670045719463637</v>
      </c>
      <c r="AY137" s="69">
        <f t="shared" si="1083"/>
        <v>0.33626213816224076</v>
      </c>
      <c r="AZ137" s="69">
        <f t="shared" si="1083"/>
        <v>0.35989561701554174</v>
      </c>
      <c r="BA137" s="69">
        <f t="shared" si="1083"/>
        <v>0.40038222638824622</v>
      </c>
      <c r="BB137" s="69">
        <f t="shared" si="1083"/>
        <v>0.45892654536581517</v>
      </c>
      <c r="BC137" s="69">
        <f t="shared" si="1083"/>
        <v>0.27180617645699989</v>
      </c>
      <c r="BD137" s="69">
        <f t="shared" si="1083"/>
        <v>0.44018990463164226</v>
      </c>
      <c r="BE137" s="69">
        <f t="shared" si="1083"/>
        <v>0.41946573076251886</v>
      </c>
      <c r="BF137" s="69">
        <f t="shared" si="1083"/>
        <v>0.50946934383152664</v>
      </c>
      <c r="BG137" s="69">
        <f t="shared" si="1083"/>
        <v>0.37654240313239684</v>
      </c>
      <c r="BH137" s="69">
        <f t="shared" si="1083"/>
        <v>0.33255755264559916</v>
      </c>
      <c r="BI137" s="89">
        <f t="shared" si="1083"/>
        <v>0.2843191238776977</v>
      </c>
      <c r="BJ137" s="69">
        <f t="shared" si="1083"/>
        <v>0.22109154853205559</v>
      </c>
      <c r="BK137" s="69">
        <f t="shared" si="1083"/>
        <v>0.25152488796617312</v>
      </c>
      <c r="BL137" s="69">
        <f t="shared" si="1083"/>
        <v>0.25586417510982268</v>
      </c>
      <c r="BM137" s="69">
        <f t="shared" si="1083"/>
        <v>0.25917568887292686</v>
      </c>
      <c r="BN137" s="69">
        <f t="shared" si="1083"/>
        <v>0.26459294781431536</v>
      </c>
    </row>
    <row r="138" spans="1:66" ht="12" customHeight="1" outlineLevel="1">
      <c r="B138" s="1" t="s">
        <v>79</v>
      </c>
      <c r="C138" s="37">
        <f t="shared" ref="C138:AI138" si="1084">IF(ISERROR(-C99*C$5/AVERAGE(B113:C113)),"n.a.",-C99*C$5/AVERAGE(B113:C113))</f>
        <v>1.9789603680806039E-2</v>
      </c>
      <c r="D138" s="37">
        <f t="shared" si="1084"/>
        <v>3.0734842839091715E-2</v>
      </c>
      <c r="E138" s="37">
        <f t="shared" si="1084"/>
        <v>3.4403990627268996E-2</v>
      </c>
      <c r="F138" s="37">
        <f t="shared" si="1084"/>
        <v>3.1376241874486246E-2</v>
      </c>
      <c r="G138" s="37">
        <f t="shared" si="1084"/>
        <v>3.0754773397121012E-2</v>
      </c>
      <c r="H138" s="37">
        <f t="shared" si="1084"/>
        <v>2.8612531969309463E-2</v>
      </c>
      <c r="I138" s="37">
        <f t="shared" si="1084"/>
        <v>3.027229290167013E-2</v>
      </c>
      <c r="J138" s="37">
        <f t="shared" si="1084"/>
        <v>4.0431092679510665E-2</v>
      </c>
      <c r="K138" s="37">
        <f t="shared" si="1084"/>
        <v>3.8908115598748655E-2</v>
      </c>
      <c r="L138" s="37">
        <f t="shared" si="1084"/>
        <v>5.0388163450919253E-2</v>
      </c>
      <c r="M138" s="78">
        <f t="shared" si="1084"/>
        <v>5.180611737988787E-2</v>
      </c>
      <c r="N138" s="78">
        <f t="shared" si="1084"/>
        <v>6.5084805183815084E-2</v>
      </c>
      <c r="O138" s="78">
        <f t="shared" si="1084"/>
        <v>6.2776129244971973E-2</v>
      </c>
      <c r="P138" s="78">
        <f t="shared" si="1084"/>
        <v>6.6254295532646043E-2</v>
      </c>
      <c r="Q138" s="78">
        <f t="shared" si="1084"/>
        <v>7.3790964413485316E-2</v>
      </c>
      <c r="R138" s="78">
        <f t="shared" si="1084"/>
        <v>7.0532884827715719E-2</v>
      </c>
      <c r="S138" s="78">
        <f t="shared" si="1084"/>
        <v>4.9381061332568157E-2</v>
      </c>
      <c r="T138" s="78">
        <f t="shared" si="1084"/>
        <v>6.4814637240466211E-2</v>
      </c>
      <c r="U138" s="78">
        <f t="shared" si="1084"/>
        <v>5.8882682948599593E-2</v>
      </c>
      <c r="V138" s="78">
        <f t="shared" si="1084"/>
        <v>4.6281612495534398E-2</v>
      </c>
      <c r="W138" s="78">
        <f t="shared" si="1084"/>
        <v>5.771464977701158E-2</v>
      </c>
      <c r="X138" s="78">
        <f t="shared" si="1084"/>
        <v>8.4459100095734499E-2</v>
      </c>
      <c r="Y138" s="78">
        <f t="shared" si="1084"/>
        <v>8.881386942045677E-2</v>
      </c>
      <c r="Z138" s="78">
        <f t="shared" si="1084"/>
        <v>0.12431592141171342</v>
      </c>
      <c r="AA138" s="78">
        <f t="shared" si="1084"/>
        <v>0.17969756410949861</v>
      </c>
      <c r="AB138" s="78">
        <f t="shared" si="1084"/>
        <v>0.13543599257884972</v>
      </c>
      <c r="AC138" s="78">
        <f t="shared" si="1084"/>
        <v>9.5857103171742689E-2</v>
      </c>
      <c r="AD138" s="78">
        <f t="shared" si="1084"/>
        <v>0.10384940549094417</v>
      </c>
      <c r="AE138" s="78">
        <f t="shared" si="1084"/>
        <v>9.3659991189725858E-2</v>
      </c>
      <c r="AF138" s="78">
        <f t="shared" si="1084"/>
        <v>8.4413469680192796E-2</v>
      </c>
      <c r="AG138" s="78">
        <f t="shared" si="1084"/>
        <v>8.6410223659058677E-2</v>
      </c>
      <c r="AH138" s="78">
        <f t="shared" si="1084"/>
        <v>8.7890197451950453E-2</v>
      </c>
      <c r="AI138" s="88">
        <f t="shared" si="1084"/>
        <v>6.8229886944077126E-2</v>
      </c>
      <c r="AJ138" s="66">
        <f>7.25%*0.875</f>
        <v>6.3437499999999994E-2</v>
      </c>
      <c r="AK138" s="66">
        <f>AJ138*0.83</f>
        <v>5.2653124999999995E-2</v>
      </c>
      <c r="AL138" s="66">
        <f t="shared" ref="AL138:AR138" si="1085">AK138*0.95</f>
        <v>5.0020468749999991E-2</v>
      </c>
      <c r="AM138" s="66">
        <f t="shared" si="1085"/>
        <v>4.7519445312499992E-2</v>
      </c>
      <c r="AN138" s="66">
        <f t="shared" si="1085"/>
        <v>4.5143473046874986E-2</v>
      </c>
      <c r="AO138" s="66">
        <f t="shared" si="1085"/>
        <v>4.2886299394531237E-2</v>
      </c>
      <c r="AP138" s="66">
        <f t="shared" si="1085"/>
        <v>4.0741984424804673E-2</v>
      </c>
      <c r="AQ138" s="66">
        <f t="shared" si="1085"/>
        <v>3.8704885203564438E-2</v>
      </c>
      <c r="AR138" s="66">
        <f t="shared" si="1085"/>
        <v>3.6769640943386216E-2</v>
      </c>
      <c r="AS138" s="8"/>
      <c r="AT138" s="37">
        <f>IF(ISERROR(-AT99*AT$5/AVERAGE(T113:AT113)),"n.a.",-AT99*AT$5/AVERAGE(T113:AT113))</f>
        <v>1.8478941941044661E-2</v>
      </c>
      <c r="AU138" s="37">
        <f t="shared" ref="AU138:BJ138" si="1086">IF(ISERROR(-AU99*AU$5/AVERAGE(AT113:AU113)),"n.a.",-AU99*AU$5/AVERAGE(AT113:AU113))</f>
        <v>3.3371117660394467E-2</v>
      </c>
      <c r="AV138" s="37">
        <f t="shared" si="1086"/>
        <v>3.0035557414766784E-2</v>
      </c>
      <c r="AW138" s="37">
        <f t="shared" si="1086"/>
        <v>3.1329923273657287E-2</v>
      </c>
      <c r="AX138" s="37">
        <f t="shared" si="1086"/>
        <v>4.4923528415824823E-2</v>
      </c>
      <c r="AY138" s="37">
        <f t="shared" si="1086"/>
        <v>5.5391571939961061E-2</v>
      </c>
      <c r="AZ138" s="37">
        <f t="shared" si="1086"/>
        <v>6.8102651595933747E-2</v>
      </c>
      <c r="BA138" s="37">
        <f t="shared" si="1086"/>
        <v>6.5793936105270304E-2</v>
      </c>
      <c r="BB138" s="37">
        <f t="shared" si="1086"/>
        <v>6.5784819975949635E-2</v>
      </c>
      <c r="BC138" s="37">
        <f t="shared" si="1086"/>
        <v>6.1154446177847113E-2</v>
      </c>
      <c r="BD138" s="37">
        <f t="shared" si="1086"/>
        <v>6.3194472503939558E-2</v>
      </c>
      <c r="BE138" s="37">
        <f t="shared" si="1086"/>
        <v>0.10277835805306038</v>
      </c>
      <c r="BF138" s="37">
        <f t="shared" si="1086"/>
        <v>0.154105547125274</v>
      </c>
      <c r="BG138" s="37">
        <f t="shared" si="1086"/>
        <v>0.1036878674505612</v>
      </c>
      <c r="BH138" s="37">
        <f t="shared" si="1086"/>
        <v>8.971223744598171E-2</v>
      </c>
      <c r="BI138" s="38">
        <f t="shared" si="1086"/>
        <v>8.0783280435954244E-2</v>
      </c>
      <c r="BJ138" s="37">
        <f t="shared" si="1086"/>
        <v>6.2882681077733385E-2</v>
      </c>
      <c r="BK138" s="37">
        <f>IF(ISERROR(-BK99*BK$5/AVERAGE(BK113:BK113)),"n.a.",-BK99*BK$5/AVERAGE(BK113:BK113))</f>
        <v>4.8771723804518656E-2</v>
      </c>
      <c r="BL138" s="37">
        <f>IF(ISERROR(-BL99*BL$5/AVERAGE(BL113:BL113)),"n.a.",-BL99*BL$5/AVERAGE(BL113:BL113))</f>
        <v>4.4596530307716216E-2</v>
      </c>
      <c r="BM138" s="37">
        <f>IF(ISERROR(-BM99*BM$5/AVERAGE(BM113:BM113)),"n.a.",-BM99*BM$5/AVERAGE(BM113:BM113))</f>
        <v>4.0437909970371326E-2</v>
      </c>
      <c r="BN138" s="37">
        <f>IF(ISERROR(-BN99*BN$5/AVERAGE(BN113:BN113)),"n.a.",-BN99*BN$5/AVERAGE(BN113:BN113))</f>
        <v>3.6518226249951768E-2</v>
      </c>
    </row>
    <row r="139" spans="1:66" ht="12" customHeight="1" outlineLevel="1">
      <c r="B139" s="1" t="s">
        <v>68</v>
      </c>
      <c r="C139" s="50" t="str">
        <f t="shared" ref="C139:AR139" si="1087">IF(ISERROR(C99/B99),"n.a.",C99/B99-1)</f>
        <v>n.a.</v>
      </c>
      <c r="D139" s="50">
        <f t="shared" si="1087"/>
        <v>0.54629629629629628</v>
      </c>
      <c r="E139" s="50">
        <f t="shared" si="1087"/>
        <v>0.14970059880239517</v>
      </c>
      <c r="F139" s="50">
        <f t="shared" si="1087"/>
        <v>-8.333333333333337E-2</v>
      </c>
      <c r="G139" s="50">
        <f t="shared" si="1087"/>
        <v>2.2727272727272707E-2</v>
      </c>
      <c r="H139" s="50">
        <f t="shared" si="1087"/>
        <v>-5.5555555555555358E-3</v>
      </c>
      <c r="I139" s="50">
        <f t="shared" si="1087"/>
        <v>-8.9385474860335212E-2</v>
      </c>
      <c r="J139" s="50">
        <f t="shared" si="1087"/>
        <v>0.10429447852760743</v>
      </c>
      <c r="K139" s="50">
        <f t="shared" si="1087"/>
        <v>-1.6666666666666718E-2</v>
      </c>
      <c r="L139" s="50">
        <f t="shared" si="1087"/>
        <v>0.24858757062146886</v>
      </c>
      <c r="M139" s="69">
        <f t="shared" si="1087"/>
        <v>-7.2398190045248834E-2</v>
      </c>
      <c r="N139" s="69">
        <f t="shared" si="1087"/>
        <v>0.15121951219512186</v>
      </c>
      <c r="O139" s="69">
        <f t="shared" si="1087"/>
        <v>8.4745762711864181E-3</v>
      </c>
      <c r="P139" s="69">
        <f t="shared" si="1087"/>
        <v>1.2605042016806678E-2</v>
      </c>
      <c r="Q139" s="69">
        <f t="shared" si="1087"/>
        <v>-1.6597510373444035E-2</v>
      </c>
      <c r="R139" s="69">
        <f t="shared" si="1087"/>
        <v>4.6413502109704741E-2</v>
      </c>
      <c r="S139" s="69">
        <f t="shared" si="1087"/>
        <v>-0.13306451612903225</v>
      </c>
      <c r="T139" s="69">
        <f t="shared" si="1087"/>
        <v>0.16279069767441867</v>
      </c>
      <c r="U139" s="69">
        <f t="shared" si="1087"/>
        <v>0.27600000000000002</v>
      </c>
      <c r="V139" s="69">
        <f t="shared" si="1087"/>
        <v>0.15047021943573657</v>
      </c>
      <c r="W139" s="69">
        <f t="shared" si="1087"/>
        <v>4.9046321525885617E-2</v>
      </c>
      <c r="X139" s="69">
        <f t="shared" si="1087"/>
        <v>3.1168831168831179E-2</v>
      </c>
      <c r="Y139" s="69">
        <f t="shared" si="1087"/>
        <v>-0.1410579345088161</v>
      </c>
      <c r="Z139" s="69">
        <f t="shared" si="1087"/>
        <v>0.16422287390029333</v>
      </c>
      <c r="AA139" s="69">
        <f t="shared" si="1087"/>
        <v>0.68513853904282107</v>
      </c>
      <c r="AB139" s="69">
        <f t="shared" si="1087"/>
        <v>4.9327354260089606E-2</v>
      </c>
      <c r="AC139" s="69">
        <f t="shared" si="1087"/>
        <v>-0.11253561253561251</v>
      </c>
      <c r="AD139" s="69">
        <f t="shared" si="1087"/>
        <v>0.1797752808988764</v>
      </c>
      <c r="AE139" s="69">
        <f t="shared" si="1087"/>
        <v>-5.986394557823127E-2</v>
      </c>
      <c r="AF139" s="69">
        <f t="shared" si="1087"/>
        <v>-6.2228654124457328E-2</v>
      </c>
      <c r="AG139" s="69">
        <f t="shared" si="1087"/>
        <v>-4.6296296296296502E-3</v>
      </c>
      <c r="AH139" s="69">
        <f t="shared" si="1087"/>
        <v>9.1472868217054248E-2</v>
      </c>
      <c r="AI139" s="89">
        <f t="shared" si="1087"/>
        <v>-0.18465909090909094</v>
      </c>
      <c r="AJ139" s="50">
        <f t="shared" si="1087"/>
        <v>-0.10928489815963904</v>
      </c>
      <c r="AK139" s="50">
        <f t="shared" si="1087"/>
        <v>-0.11664511108507003</v>
      </c>
      <c r="AL139" s="50">
        <f t="shared" si="1087"/>
        <v>-4.4805996115141467E-3</v>
      </c>
      <c r="AM139" s="50">
        <f t="shared" si="1087"/>
        <v>-3.3265152289125854E-3</v>
      </c>
      <c r="AN139" s="50">
        <f t="shared" si="1087"/>
        <v>-1.2399019707665326E-2</v>
      </c>
      <c r="AO139" s="50">
        <f t="shared" si="1087"/>
        <v>-1.292748213919781E-2</v>
      </c>
      <c r="AP139" s="50">
        <f t="shared" si="1087"/>
        <v>-2.2979696382606107E-2</v>
      </c>
      <c r="AQ139" s="50">
        <f t="shared" si="1087"/>
        <v>-1.2931064259040892E-2</v>
      </c>
      <c r="AR139" s="50">
        <f t="shared" si="1087"/>
        <v>-2.3856005546653347E-2</v>
      </c>
      <c r="AS139" s="8"/>
      <c r="AT139" s="50">
        <f>IF(ISERROR(AT99/T99),"n.a.",AT99/T99-1)</f>
        <v>0.10000000000000009</v>
      </c>
      <c r="AU139" s="50">
        <f t="shared" ref="AU139:BN139" si="1088">IF(ISERROR(AU99/AT99),"n.a.",AU99/AT99-1)</f>
        <v>0.33818181818181814</v>
      </c>
      <c r="AV139" s="50">
        <f t="shared" si="1088"/>
        <v>-2.4456521739130488E-2</v>
      </c>
      <c r="AW139" s="50">
        <f t="shared" si="1088"/>
        <v>-4.4568245125348183E-2</v>
      </c>
      <c r="AX139" s="50">
        <f t="shared" si="1088"/>
        <v>0.16034985422740533</v>
      </c>
      <c r="AY139" s="50">
        <f t="shared" si="1088"/>
        <v>0.1080402010050252</v>
      </c>
      <c r="AZ139" s="50">
        <f t="shared" si="1088"/>
        <v>8.6167800453514687E-2</v>
      </c>
      <c r="BA139" s="50">
        <f t="shared" si="1088"/>
        <v>1.2526096033402823E-2</v>
      </c>
      <c r="BB139" s="50">
        <f t="shared" si="1088"/>
        <v>-4.123711340206182E-2</v>
      </c>
      <c r="BC139" s="50">
        <f t="shared" si="1088"/>
        <v>0.47526881720430114</v>
      </c>
      <c r="BD139" s="50">
        <f t="shared" si="1088"/>
        <v>0.13994169096209919</v>
      </c>
      <c r="BE139" s="50">
        <f t="shared" si="1088"/>
        <v>-5.6265984654731427E-2</v>
      </c>
      <c r="BF139" s="50">
        <f t="shared" si="1088"/>
        <v>0.85772357723577231</v>
      </c>
      <c r="BG139" s="50">
        <f t="shared" si="1088"/>
        <v>-9.4821298322392833E-3</v>
      </c>
      <c r="BH139" s="50">
        <f t="shared" si="1088"/>
        <v>-1.3991163475699508E-2</v>
      </c>
      <c r="BI139" s="51">
        <f t="shared" si="1088"/>
        <v>7.4682598954443069E-3</v>
      </c>
      <c r="BJ139" s="50">
        <f t="shared" si="1088"/>
        <v>-0.19550002338297456</v>
      </c>
      <c r="BK139" s="50">
        <f t="shared" si="1088"/>
        <v>-0.16956834808668597</v>
      </c>
      <c r="BL139" s="50">
        <f t="shared" si="1088"/>
        <v>-1.1729389571804139E-2</v>
      </c>
      <c r="BM139" s="50">
        <f t="shared" si="1088"/>
        <v>-3.0355585856722156E-2</v>
      </c>
      <c r="BN139" s="50">
        <f t="shared" si="1088"/>
        <v>-3.6041070498297523E-2</v>
      </c>
    </row>
    <row r="140" spans="1:66" ht="12" customHeight="1" outlineLevel="1">
      <c r="B140" s="1" t="s">
        <v>80</v>
      </c>
      <c r="C140" s="50">
        <f t="shared" ref="C140:AR140" si="1089">IF(ISERROR(-SUM(C97:C99)/C96),"n.a.",-SUM(C97:C99)/C96)</f>
        <v>0.35052910052910052</v>
      </c>
      <c r="D140" s="50">
        <f t="shared" si="1089"/>
        <v>0.52794117647058825</v>
      </c>
      <c r="E140" s="50">
        <f t="shared" si="1089"/>
        <v>0.64475743348982784</v>
      </c>
      <c r="F140" s="50">
        <f t="shared" si="1089"/>
        <v>0.61926605504587151</v>
      </c>
      <c r="G140" s="50">
        <f t="shared" si="1089"/>
        <v>0.49042145593869729</v>
      </c>
      <c r="H140" s="50">
        <f t="shared" si="1089"/>
        <v>0.61182108626198084</v>
      </c>
      <c r="I140" s="50">
        <f t="shared" si="1089"/>
        <v>0.51034482758620692</v>
      </c>
      <c r="J140" s="50">
        <f t="shared" si="1089"/>
        <v>0.49429657794676807</v>
      </c>
      <c r="K140" s="50">
        <f t="shared" si="1089"/>
        <v>0.44873208379272328</v>
      </c>
      <c r="L140" s="50">
        <f t="shared" si="1089"/>
        <v>0.46033300685602352</v>
      </c>
      <c r="M140" s="69">
        <f t="shared" si="1089"/>
        <v>0.35918367346938773</v>
      </c>
      <c r="N140" s="69">
        <f t="shared" si="1089"/>
        <v>0.44164567590260284</v>
      </c>
      <c r="O140" s="69">
        <f t="shared" si="1089"/>
        <v>0.3097663271420012</v>
      </c>
      <c r="P140" s="69">
        <f t="shared" si="1089"/>
        <v>0.5148895292987512</v>
      </c>
      <c r="Q140" s="69">
        <f t="shared" si="1089"/>
        <v>0.37581937363437729</v>
      </c>
      <c r="R140" s="69">
        <f t="shared" si="1089"/>
        <v>0.44235486508585448</v>
      </c>
      <c r="S140" s="69">
        <f t="shared" si="1089"/>
        <v>0.29698089956869994</v>
      </c>
      <c r="T140" s="69">
        <f t="shared" si="1089"/>
        <v>0.55484558040468579</v>
      </c>
      <c r="U140" s="69">
        <f t="shared" si="1089"/>
        <v>0.44524119947848761</v>
      </c>
      <c r="V140" s="69">
        <f t="shared" si="1089"/>
        <v>0.42944785276073622</v>
      </c>
      <c r="W140" s="69">
        <f t="shared" si="1089"/>
        <v>0.40180947312400211</v>
      </c>
      <c r="X140" s="69">
        <f t="shared" si="1089"/>
        <v>0.43119266055045874</v>
      </c>
      <c r="Y140" s="69">
        <f t="shared" si="1089"/>
        <v>0.40301844605925097</v>
      </c>
      <c r="Z140" s="69">
        <f t="shared" si="1089"/>
        <v>0.42662889518413599</v>
      </c>
      <c r="AA140" s="69">
        <f t="shared" si="1089"/>
        <v>0.54001684919966297</v>
      </c>
      <c r="AB140" s="69">
        <f t="shared" si="1089"/>
        <v>0.41090466037161133</v>
      </c>
      <c r="AC140" s="69">
        <f t="shared" si="1089"/>
        <v>0.45950095969289828</v>
      </c>
      <c r="AD140" s="69">
        <f t="shared" si="1089"/>
        <v>0.59590792838874684</v>
      </c>
      <c r="AE140" s="69">
        <f t="shared" si="1089"/>
        <v>0.76786769049025394</v>
      </c>
      <c r="AF140" s="69">
        <f t="shared" si="1089"/>
        <v>0.61086851043182921</v>
      </c>
      <c r="AG140" s="69">
        <f t="shared" si="1089"/>
        <v>0.65012919896640831</v>
      </c>
      <c r="AH140" s="69">
        <f t="shared" si="1089"/>
        <v>0.5851949189662724</v>
      </c>
      <c r="AI140" s="89">
        <f t="shared" si="1089"/>
        <v>0.50146627565982405</v>
      </c>
      <c r="AJ140" s="69">
        <f t="shared" si="1089"/>
        <v>0.40830868466906095</v>
      </c>
      <c r="AK140" s="69">
        <f t="shared" si="1089"/>
        <v>0.48672184088001941</v>
      </c>
      <c r="AL140" s="69">
        <f t="shared" si="1089"/>
        <v>0.47116067458920702</v>
      </c>
      <c r="AM140" s="69">
        <f t="shared" si="1089"/>
        <v>0.47769746656462581</v>
      </c>
      <c r="AN140" s="69">
        <f t="shared" si="1089"/>
        <v>0.4630873153970404</v>
      </c>
      <c r="AO140" s="69">
        <f t="shared" si="1089"/>
        <v>0.47202065285769185</v>
      </c>
      <c r="AP140" s="69">
        <f t="shared" si="1089"/>
        <v>0.45810696492309882</v>
      </c>
      <c r="AQ140" s="69">
        <f t="shared" si="1089"/>
        <v>0.47097797774577299</v>
      </c>
      <c r="AR140" s="69">
        <f t="shared" si="1089"/>
        <v>0.46087041548503049</v>
      </c>
      <c r="AS140" s="8"/>
      <c r="AT140" s="50">
        <f t="shared" ref="AT140:BN140" si="1090">IF(ISERROR(-SUM(AT97:AT99)/AT96),"n.a.",-SUM(AT97:AT99)/AT96)</f>
        <v>0.43454038997214484</v>
      </c>
      <c r="AU140" s="50">
        <f t="shared" si="1090"/>
        <v>0.63186388244392888</v>
      </c>
      <c r="AV140" s="50">
        <f t="shared" si="1090"/>
        <v>0.54435770049680621</v>
      </c>
      <c r="AW140" s="50">
        <f t="shared" si="1090"/>
        <v>0.50198150594451785</v>
      </c>
      <c r="AX140" s="50">
        <f t="shared" si="1090"/>
        <v>0.45487551867219916</v>
      </c>
      <c r="AY140" s="50">
        <f t="shared" si="1090"/>
        <v>0.39983443708609273</v>
      </c>
      <c r="AZ140" s="50">
        <f t="shared" si="1090"/>
        <v>0.3885608856088561</v>
      </c>
      <c r="BA140" s="50">
        <f t="shared" si="1090"/>
        <v>0.40716486902927579</v>
      </c>
      <c r="BB140" s="50">
        <f t="shared" si="1090"/>
        <v>0.39149102263856361</v>
      </c>
      <c r="BC140" s="50">
        <f t="shared" si="1090"/>
        <v>0.4367297865945296</v>
      </c>
      <c r="BD140" s="50">
        <f t="shared" si="1090"/>
        <v>0.41639871382636656</v>
      </c>
      <c r="BE140" s="50">
        <f t="shared" si="1090"/>
        <v>0.41474395047833429</v>
      </c>
      <c r="BF140" s="50">
        <f t="shared" si="1090"/>
        <v>0.46508750220965178</v>
      </c>
      <c r="BG140" s="50">
        <f t="shared" si="1090"/>
        <v>0.52413653807311655</v>
      </c>
      <c r="BH140" s="50">
        <f t="shared" si="1090"/>
        <v>0.68167288225892386</v>
      </c>
      <c r="BI140" s="51">
        <f t="shared" si="1090"/>
        <v>0.61498340445708866</v>
      </c>
      <c r="BJ140" s="50">
        <f t="shared" si="1090"/>
        <v>0.45293685544999251</v>
      </c>
      <c r="BK140" s="50">
        <f t="shared" si="1090"/>
        <v>0.47878462633104935</v>
      </c>
      <c r="BL140" s="50">
        <f t="shared" si="1090"/>
        <v>0.47025808587068096</v>
      </c>
      <c r="BM140" s="50">
        <f t="shared" si="1090"/>
        <v>0.464960611001631</v>
      </c>
      <c r="BN140" s="50">
        <f t="shared" si="1090"/>
        <v>0.46586922222814664</v>
      </c>
    </row>
    <row r="141" spans="1:66" ht="12" customHeight="1" outlineLevel="1">
      <c r="B141" s="1" t="s">
        <v>81</v>
      </c>
      <c r="C141" s="70">
        <f t="shared" ref="C141:AI141" si="1091">IF(ISERROR(C113/C114),"n.a.",C113/C114)</f>
        <v>7.693737520279547</v>
      </c>
      <c r="D141" s="70">
        <f t="shared" si="1091"/>
        <v>7.5178984912088591</v>
      </c>
      <c r="E141" s="70">
        <f t="shared" si="1091"/>
        <v>7.691568803361295</v>
      </c>
      <c r="F141" s="70">
        <f t="shared" si="1091"/>
        <v>7.4935122783589287</v>
      </c>
      <c r="G141" s="70">
        <f t="shared" si="1091"/>
        <v>8.1766666666666659</v>
      </c>
      <c r="H141" s="70">
        <f t="shared" si="1091"/>
        <v>7.9743750000000002</v>
      </c>
      <c r="I141" s="70">
        <f t="shared" si="1091"/>
        <v>5.45</v>
      </c>
      <c r="J141" s="70">
        <f t="shared" si="1091"/>
        <v>5.0761111111111115</v>
      </c>
      <c r="K141" s="70">
        <f t="shared" si="1091"/>
        <v>4.5049999999999999</v>
      </c>
      <c r="L141" s="70">
        <f t="shared" si="1091"/>
        <v>4.5168421052631578</v>
      </c>
      <c r="M141" s="70">
        <f t="shared" si="1091"/>
        <v>3.7910526315789475</v>
      </c>
      <c r="N141" s="70">
        <f t="shared" si="1091"/>
        <v>3.6705000000000001</v>
      </c>
      <c r="O141" s="70">
        <f t="shared" si="1091"/>
        <v>4.8899999999999997</v>
      </c>
      <c r="P141" s="70">
        <f t="shared" si="1091"/>
        <v>4.8042857142857143</v>
      </c>
      <c r="Q141" s="70">
        <f t="shared" si="1091"/>
        <v>4.0573333333333332</v>
      </c>
      <c r="R141" s="70">
        <f t="shared" si="1091"/>
        <v>4.7158823529411764</v>
      </c>
      <c r="S141" s="70">
        <f t="shared" si="1091"/>
        <v>4.6755000000000004</v>
      </c>
      <c r="T141" s="70">
        <f t="shared" si="1091"/>
        <v>2.7818181818181817</v>
      </c>
      <c r="U141" s="70">
        <f t="shared" si="1091"/>
        <v>4.0216223972237053</v>
      </c>
      <c r="V141" s="70">
        <f t="shared" si="1091"/>
        <v>5.2390999547715964</v>
      </c>
      <c r="W141" s="70">
        <f t="shared" si="1091"/>
        <v>2.802162162162162</v>
      </c>
      <c r="X141" s="70">
        <f t="shared" si="1091"/>
        <v>3.012142857142857</v>
      </c>
      <c r="Y141" s="70">
        <f t="shared" si="1091"/>
        <v>3.1281818181818184</v>
      </c>
      <c r="Z141" s="70">
        <f t="shared" si="1091"/>
        <v>1.9119354838709677</v>
      </c>
      <c r="AA141" s="70">
        <f t="shared" si="1091"/>
        <v>3.0772413793103448</v>
      </c>
      <c r="AB141" s="70">
        <f t="shared" si="1091"/>
        <v>3.3902857142857141</v>
      </c>
      <c r="AC141" s="70">
        <f t="shared" si="1091"/>
        <v>2.4666666666666668</v>
      </c>
      <c r="AD141" s="70">
        <f t="shared" si="1091"/>
        <v>2.470344827586207</v>
      </c>
      <c r="AE141" s="70">
        <f t="shared" si="1091"/>
        <v>2.4488709677419354</v>
      </c>
      <c r="AF141" s="70">
        <f t="shared" si="1091"/>
        <v>2.8223636363636362</v>
      </c>
      <c r="AG141" s="70">
        <f t="shared" si="1091"/>
        <v>2.7947058823529414</v>
      </c>
      <c r="AH141" s="70">
        <f t="shared" si="1091"/>
        <v>3.0296610169491527</v>
      </c>
      <c r="AI141" s="71">
        <f t="shared" si="1091"/>
        <v>3.2008163265306124</v>
      </c>
      <c r="AJ141" s="72">
        <v>6.6</v>
      </c>
      <c r="AK141" s="72">
        <f t="shared" ref="AK141:AR141" si="1092">AJ141+0.1</f>
        <v>6.6999999999999993</v>
      </c>
      <c r="AL141" s="72">
        <f t="shared" si="1092"/>
        <v>6.7999999999999989</v>
      </c>
      <c r="AM141" s="72">
        <f t="shared" si="1092"/>
        <v>6.8999999999999986</v>
      </c>
      <c r="AN141" s="72">
        <f t="shared" si="1092"/>
        <v>6.9999999999999982</v>
      </c>
      <c r="AO141" s="72">
        <f t="shared" si="1092"/>
        <v>7.0999999999999979</v>
      </c>
      <c r="AP141" s="72">
        <f t="shared" si="1092"/>
        <v>7.1999999999999975</v>
      </c>
      <c r="AQ141" s="72">
        <f t="shared" si="1092"/>
        <v>7.2999999999999972</v>
      </c>
      <c r="AR141" s="72">
        <f t="shared" si="1092"/>
        <v>7.3999999999999968</v>
      </c>
      <c r="AS141" s="8"/>
      <c r="AT141" s="70">
        <f t="shared" ref="AT141:BN141" si="1093">IF(ISERROR(AT113/AT114),"n.a.",AT113/AT114)</f>
        <v>7.5178984912088591</v>
      </c>
      <c r="AU141" s="70">
        <f t="shared" si="1093"/>
        <v>7.4935122783589287</v>
      </c>
      <c r="AV141" s="70">
        <f t="shared" si="1093"/>
        <v>7.9743750000000002</v>
      </c>
      <c r="AW141" s="70">
        <f t="shared" si="1093"/>
        <v>5.0761111111111115</v>
      </c>
      <c r="AX141" s="70">
        <f t="shared" si="1093"/>
        <v>4.5168421052631578</v>
      </c>
      <c r="AY141" s="70">
        <f t="shared" si="1093"/>
        <v>3.6705000000000001</v>
      </c>
      <c r="AZ141" s="70">
        <f t="shared" si="1093"/>
        <v>4.8042857142857143</v>
      </c>
      <c r="BA141" s="70">
        <f t="shared" si="1093"/>
        <v>4.7158823529411764</v>
      </c>
      <c r="BB141" s="70">
        <f t="shared" si="1093"/>
        <v>2.7818181818181817</v>
      </c>
      <c r="BC141" s="70">
        <f t="shared" si="1093"/>
        <v>5.2390999547715964</v>
      </c>
      <c r="BD141" s="70">
        <f t="shared" si="1093"/>
        <v>3.012142857142857</v>
      </c>
      <c r="BE141" s="70">
        <f t="shared" si="1093"/>
        <v>1.9119354838709677</v>
      </c>
      <c r="BF141" s="70">
        <f t="shared" si="1093"/>
        <v>3.3902857142857141</v>
      </c>
      <c r="BG141" s="70">
        <f t="shared" si="1093"/>
        <v>2.470344827586207</v>
      </c>
      <c r="BH141" s="70">
        <f t="shared" si="1093"/>
        <v>2.8223636363636362</v>
      </c>
      <c r="BI141" s="71">
        <f t="shared" si="1093"/>
        <v>3.0296610169491527</v>
      </c>
      <c r="BJ141" s="70">
        <f t="shared" si="1093"/>
        <v>6.6</v>
      </c>
      <c r="BK141" s="70">
        <f t="shared" si="1093"/>
        <v>6.7999999999999989</v>
      </c>
      <c r="BL141" s="70">
        <f t="shared" si="1093"/>
        <v>6.9999999999999982</v>
      </c>
      <c r="BM141" s="70">
        <f t="shared" si="1093"/>
        <v>7.1999999999999975</v>
      </c>
      <c r="BN141" s="70">
        <f t="shared" si="1093"/>
        <v>7.3999999999999968</v>
      </c>
    </row>
    <row r="142" spans="1:66" ht="12" customHeight="1" outlineLevel="1">
      <c r="B142" s="1" t="s">
        <v>27</v>
      </c>
      <c r="C142" s="29">
        <f>(28*43%+(20+15)*20%+99*30%)/C96</f>
        <v>6.447089947089947E-2</v>
      </c>
      <c r="D142" s="29">
        <f>((129-28)*43%+(28-20+31-15)*20%+(235-99)*30%)/D96</f>
        <v>0.13092647058823528</v>
      </c>
      <c r="E142" s="29">
        <f>(339*43%+(23+102)*20%+305*30%)/E96</f>
        <v>0.41043818466353676</v>
      </c>
      <c r="F142" s="29">
        <f>((724-339)*43%+(54-23+214-102)*20%+(386-305)*30%)/F96</f>
        <v>0.33402140672782876</v>
      </c>
      <c r="G142" s="29">
        <f>(371*43%+(42+188)*20%+149*30%)/G96</f>
        <v>0.31957854406130265</v>
      </c>
      <c r="H142" s="29">
        <f>((663-371)*43%+(107+285-42-188)*20%+(290-149)*30%)/H96</f>
        <v>0.31990415335463257</v>
      </c>
      <c r="I142" s="29">
        <f>(352*43%+(50+161)*20%+153*30%)/I96</f>
        <v>0.33028965517241382</v>
      </c>
      <c r="J142" s="29">
        <f>(418*43%+(43+128)*20%+193*30%)/J96</f>
        <v>0.34453738910012671</v>
      </c>
      <c r="K142" s="29">
        <f>(468*43%+(92+172)*20%+169*30%)/K96</f>
        <v>0.33598676957001106</v>
      </c>
      <c r="L142" s="29">
        <f>((972-468)*43%+((263-92)+(337-172))*20%+(340-169)*30%)/L96</f>
        <v>0.3283251714005877</v>
      </c>
      <c r="M142" s="29">
        <f>(622*43%+(35+371)*20%+(214)*30%)/M96</f>
        <v>0.3370285714285714</v>
      </c>
      <c r="N142" s="29">
        <f>((1335-622)*43%+((188+523)-(35+371))*20%+(399)*30%)/N96</f>
        <v>0.40914357682619645</v>
      </c>
      <c r="O142" s="29">
        <f>(788*43%+(150+491)*20%+(240)*30%)/O96</f>
        <v>0.32297183942480523</v>
      </c>
      <c r="P142" s="29">
        <f>((1336-788)*43%+((267+686)-(150+491))*20%+(421-240)*30%)/P96</f>
        <v>0.33846301633045145</v>
      </c>
      <c r="Q142" s="29">
        <f>(587*43%+(149+226)*20%+(397)*30%)/(Q96+Q105)</f>
        <v>0.32855776306107431</v>
      </c>
      <c r="R142" s="29">
        <f>((1176-587)*43%+((336+467)-(149+226))*20%+(573-397)*30%)/R96</f>
        <v>0.32025347506132462</v>
      </c>
      <c r="S142" s="29">
        <f>(591*43%+(86+575)*20%+(478)*30%)/(S96+S105)</f>
        <v>0.32638940234134323</v>
      </c>
      <c r="T142" s="29">
        <f>((1058-591)*(43%+(21%-35%)/2)+(174+1005-(86+575))*20%+(514-478)*30%)/(T96+T105)</f>
        <v>0.31183222958057399</v>
      </c>
      <c r="U142" s="28">
        <f>(651*(43%+(21%-35%))+(122+384)*20%+(168)*30%)/(U96+U105)</f>
        <v>0.22189700130378096</v>
      </c>
      <c r="V142" s="28">
        <f>((1377-651)*(43%+(21%-35%))+((248+752)-(122+384))*20%+(400-168)*30%)/(V96+V105)</f>
        <v>0.22475682087781734</v>
      </c>
      <c r="W142" s="28">
        <f>(825*(43%+(21%-35%))+(94+656)*20%+(304)*30%)/(W96+W105)</f>
        <v>0.25569451836083024</v>
      </c>
      <c r="X142" s="28">
        <f>((1423-825)*(43%+(21%-35%))+((281+1375)-(94+656))*20%+(564-304)*30%)/(X96+X105)</f>
        <v>0.24524943310657596</v>
      </c>
      <c r="Y142" s="28">
        <f>(879*(43%+(21%-35%))+(112+650)*20%+(146)*30%)/(Y96+Y105)</f>
        <v>0.25243984331281483</v>
      </c>
      <c r="Z142" s="28">
        <f>((1913-879)*(43%+(21%-35%))+((229+1027)-(112+650))*20%+(354-146)*30%)/(Z96+Z105)</f>
        <v>0.26558755760368663</v>
      </c>
      <c r="AA142" s="28">
        <f>(1785*(43%+(21%-35%))+(118+386)*20%+(167)*30%)/(AA96+AA105)</f>
        <v>0.28196963306621681</v>
      </c>
      <c r="AB142" s="28">
        <f>((3054-1785)*(43%+(21%-35%))+((243+740)-(118+386))*20%+(410-167)*30%)/(AB96+AB105)</f>
        <v>0.16423194614443085</v>
      </c>
      <c r="AC142" s="28">
        <f t="shared" ref="AC142:AH142" si="1094">AC108/SUM(AC102,AC107)</f>
        <v>-0.21000000000000002</v>
      </c>
      <c r="AD142" s="28">
        <f t="shared" si="1094"/>
        <v>-0.29353687306450099</v>
      </c>
      <c r="AE142" s="28">
        <f t="shared" si="1094"/>
        <v>-0.24</v>
      </c>
      <c r="AF142" s="28">
        <f t="shared" si="1094"/>
        <v>-0.23333239602958142</v>
      </c>
      <c r="AG142" s="28">
        <f t="shared" si="1094"/>
        <v>-0.27000000000000007</v>
      </c>
      <c r="AH142" s="28">
        <f t="shared" si="1094"/>
        <v>-0.19333233274548786</v>
      </c>
      <c r="AI142" s="411">
        <f t="shared" ref="AI142" si="1095">AH142</f>
        <v>-0.19333233274548786</v>
      </c>
      <c r="AJ142" s="36">
        <f t="shared" ref="AJ142" si="1096">AI142</f>
        <v>-0.19333233274548786</v>
      </c>
      <c r="AK142" s="36">
        <f t="shared" ref="AK142" si="1097">AJ142</f>
        <v>-0.19333233274548786</v>
      </c>
      <c r="AL142" s="36">
        <f t="shared" ref="AL142" si="1098">AK142</f>
        <v>-0.19333233274548786</v>
      </c>
      <c r="AM142" s="36">
        <f t="shared" ref="AM142" si="1099">AL142</f>
        <v>-0.19333233274548786</v>
      </c>
      <c r="AN142" s="36">
        <f t="shared" ref="AN142" si="1100">AM142</f>
        <v>-0.19333233274548786</v>
      </c>
      <c r="AO142" s="36">
        <f t="shared" ref="AO142" si="1101">AN142</f>
        <v>-0.19333233274548786</v>
      </c>
      <c r="AP142" s="36">
        <f t="shared" ref="AP142" si="1102">AO142</f>
        <v>-0.19333233274548786</v>
      </c>
      <c r="AQ142" s="36">
        <f t="shared" ref="AQ142" si="1103">AP142</f>
        <v>-0.19333233274548786</v>
      </c>
      <c r="AR142" s="36">
        <f t="shared" ref="AR142" si="1104">AQ142</f>
        <v>-0.19333233274548786</v>
      </c>
      <c r="AS142" s="8"/>
      <c r="AT142" s="44">
        <f>(C142*C96+D142*D96)/AT96</f>
        <v>9.5940111420612803E-2</v>
      </c>
      <c r="AU142" s="44">
        <f>(E142*E96+F142*F96)/AU96</f>
        <v>0.37178654292343388</v>
      </c>
      <c r="AV142" s="44">
        <f>(G142*G96+H142*H96)/AV96</f>
        <v>0.31972320794889991</v>
      </c>
      <c r="AW142" s="44">
        <f>(I142*I96+J142*J96)/AW96</f>
        <v>0.3377146631439894</v>
      </c>
      <c r="AX142" s="44">
        <f>(K142*K96+L142*L96)/AX96</f>
        <v>0.33192946058091288</v>
      </c>
      <c r="AY142" s="44">
        <f>(M142*M96+N142*N96)/AY96</f>
        <v>0.37257864238410593</v>
      </c>
      <c r="AZ142" s="44">
        <f>(O142*O96+P142*P96)/AZ96</f>
        <v>0.3289225092250922</v>
      </c>
      <c r="BA142" s="44">
        <f>(Q142*Q96+R142*R96)/BA96</f>
        <v>0.32464553493176235</v>
      </c>
      <c r="BB142" s="44">
        <f>(S142*S96+T142*T96)/BB96</f>
        <v>0.32105404511169361</v>
      </c>
      <c r="BC142" s="44">
        <f>(U142*U96+V142*V96)/BC96</f>
        <v>0.22343822658068124</v>
      </c>
      <c r="BD142" s="44">
        <f>(W142*W96+X142*X96)/BD96</f>
        <v>0.25050836000709681</v>
      </c>
      <c r="BE142" s="44">
        <f>(Y142*Y96+Z142*Z96)/BE96</f>
        <v>0.25896930750060004</v>
      </c>
      <c r="BF142" s="44">
        <f>(AA142*AA96+AB142*AB96)/BF96</f>
        <v>0.21364139793023956</v>
      </c>
      <c r="BG142" s="44">
        <f>(AC142*AC96+AD142*AD96)/BG96</f>
        <v>-0.24958341834161166</v>
      </c>
      <c r="BH142" s="44">
        <f>(AE142*AE96+AF142*AF96)/BH96</f>
        <v>-0.23633938950904831</v>
      </c>
      <c r="BI142" s="49">
        <f>(AF142*AF96+AG142*AG96)/BI96</f>
        <v>-0.2378729417299591</v>
      </c>
      <c r="BJ142" s="44">
        <f>(AG142*AG96+AH142*AH96)/BJ96</f>
        <v>-0.19343623412028679</v>
      </c>
      <c r="BK142" s="44">
        <f>(AI142*AI96+AJ142*AJ96)/BK96</f>
        <v>-0.24901471921247001</v>
      </c>
      <c r="BL142" s="44">
        <f>(AJ142*AJ96+AK142*AK96)/BL96</f>
        <v>-0.21798903782662307</v>
      </c>
      <c r="BM142" s="44">
        <f>(AK142*AK96+AL142*AL96)/BM96</f>
        <v>-0.18511853150596314</v>
      </c>
      <c r="BN142" s="44">
        <f>(AM142*AM96+AN142*AN96)/BN96</f>
        <v>-0.19071404078486018</v>
      </c>
    </row>
    <row r="143" spans="1:66" ht="12" customHeight="1" outlineLevel="1">
      <c r="A143" s="91" t="s">
        <v>1355</v>
      </c>
      <c r="B143" s="1" t="s">
        <v>28</v>
      </c>
      <c r="C143" s="33">
        <f t="shared" ref="C143:H143" si="1105">C142-C$69</f>
        <v>6.447089947089947E-2</v>
      </c>
      <c r="D143" s="33">
        <f t="shared" si="1105"/>
        <v>0.13092647058823528</v>
      </c>
      <c r="E143" s="33">
        <f t="shared" si="1105"/>
        <v>0.41043818466353676</v>
      </c>
      <c r="F143" s="33">
        <f t="shared" si="1105"/>
        <v>0.33402140672782876</v>
      </c>
      <c r="G143" s="33">
        <f t="shared" si="1105"/>
        <v>0.2525738565613026</v>
      </c>
      <c r="H143" s="33">
        <f t="shared" si="1105"/>
        <v>0.28952701259887514</v>
      </c>
      <c r="I143" s="33">
        <f t="shared" ref="I143:N143" si="1106">I142-I$69</f>
        <v>0.31197404605801399</v>
      </c>
      <c r="J143" s="33">
        <f t="shared" si="1106"/>
        <v>0.44804898163259427</v>
      </c>
      <c r="K143" s="33">
        <f t="shared" si="1106"/>
        <v>1.0220045765875527</v>
      </c>
      <c r="L143" s="33">
        <f t="shared" si="1106"/>
        <v>1.0033482245406822</v>
      </c>
      <c r="M143" s="33">
        <f t="shared" si="1106"/>
        <v>0.41037857142857137</v>
      </c>
      <c r="N143" s="33">
        <f t="shared" si="1106"/>
        <v>0.40149957682619647</v>
      </c>
      <c r="O143" s="33">
        <f t="shared" ref="O143" si="1107">O142-O$69</f>
        <v>0.34717683942480521</v>
      </c>
      <c r="P143" s="33">
        <f t="shared" ref="P143:Q143" si="1108">P142-P$69</f>
        <v>0.33550301633045143</v>
      </c>
      <c r="Q143" s="33">
        <f t="shared" si="1108"/>
        <v>0.32955776306107432</v>
      </c>
      <c r="R143" s="33">
        <f t="shared" ref="R143:S143" si="1109">R142-R$69</f>
        <v>0.28695347506132463</v>
      </c>
      <c r="S143" s="33">
        <f t="shared" si="1109"/>
        <v>0.29138940234134325</v>
      </c>
      <c r="T143" s="33">
        <f t="shared" ref="T143:V143" si="1110">T142-T$69</f>
        <v>0.28433222958057397</v>
      </c>
      <c r="U143" s="33">
        <f t="shared" si="1110"/>
        <v>0.20772533463711429</v>
      </c>
      <c r="V143" s="33">
        <f t="shared" si="1110"/>
        <v>0.22368182087781735</v>
      </c>
      <c r="W143" s="33">
        <f t="shared" ref="W143:X143" si="1111">W142-W$69</f>
        <v>0.19919451836083024</v>
      </c>
      <c r="X143" s="33">
        <f t="shared" si="1111"/>
        <v>0.20274943310657595</v>
      </c>
      <c r="Y143" s="33">
        <f t="shared" ref="Y143:Z143" si="1112">Y142-Y$69</f>
        <v>0.20693984331281484</v>
      </c>
      <c r="Z143" s="33">
        <f t="shared" si="1112"/>
        <v>0.23558755760368663</v>
      </c>
      <c r="AA143" s="33">
        <f t="shared" ref="AA143" si="1113">AA142-AA$69</f>
        <v>0.23946964306621682</v>
      </c>
      <c r="AB143" s="33">
        <f t="shared" ref="AB143:AC143" si="1114">AB142-AB$69</f>
        <v>0.11673194614443085</v>
      </c>
      <c r="AC143" s="33">
        <f t="shared" si="1114"/>
        <v>-0.23050000000000001</v>
      </c>
      <c r="AD143" s="33">
        <f t="shared" ref="AD143:AE143" si="1115">AD142-AD$69</f>
        <v>-0.28053687306450098</v>
      </c>
      <c r="AE143" s="33">
        <f t="shared" si="1115"/>
        <v>-0.21</v>
      </c>
      <c r="AF143" s="33">
        <f t="shared" ref="AF143:AG143" si="1116">AF142-AF$69</f>
        <v>-0.24773239602958141</v>
      </c>
      <c r="AG143" s="33">
        <f t="shared" si="1116"/>
        <v>-0.2844000000000001</v>
      </c>
      <c r="AH143" s="33">
        <f t="shared" ref="AH143" si="1117">AH142-AH$69</f>
        <v>-0.20773233274548786</v>
      </c>
      <c r="AI143" s="32">
        <f t="shared" ref="AI143:AJ143" si="1118">AI142-AI$69</f>
        <v>-0.20773233274548786</v>
      </c>
      <c r="AJ143" s="33">
        <f t="shared" si="1118"/>
        <v>-0.20773233274548786</v>
      </c>
      <c r="AK143" s="33">
        <f t="shared" ref="AK143:AL143" si="1119">AK142-AK$69</f>
        <v>-0.20773233274548786</v>
      </c>
      <c r="AL143" s="33">
        <f t="shared" si="1119"/>
        <v>-0.20773233274548786</v>
      </c>
      <c r="AM143" s="33">
        <f t="shared" ref="AM143:AN143" si="1120">AM142-AM$69</f>
        <v>-0.20773233274548786</v>
      </c>
      <c r="AN143" s="33">
        <f t="shared" si="1120"/>
        <v>-0.20773233274548786</v>
      </c>
      <c r="AO143" s="33">
        <f t="shared" ref="AO143:AP143" si="1121">AO142-AO$69</f>
        <v>-0.20773233274548786</v>
      </c>
      <c r="AP143" s="33">
        <f t="shared" si="1121"/>
        <v>-0.20773233274548786</v>
      </c>
      <c r="AQ143" s="33">
        <f t="shared" ref="AQ143:AR143" si="1122">AQ142-AQ$69</f>
        <v>-0.20773233274548786</v>
      </c>
      <c r="AR143" s="33">
        <f t="shared" si="1122"/>
        <v>-0.20773233274548786</v>
      </c>
      <c r="AS143" s="8"/>
      <c r="AT143" s="33">
        <f t="shared" ref="AT143:BN143" si="1123">-AT108/SUM(AT105:AT107,AT100)</f>
        <v>0</v>
      </c>
      <c r="AU143" s="33">
        <f t="shared" si="1123"/>
        <v>0</v>
      </c>
      <c r="AV143" s="33">
        <f t="shared" si="1123"/>
        <v>0.27135761070645892</v>
      </c>
      <c r="AW143" s="33">
        <f t="shared" si="1123"/>
        <v>0.3850963743319688</v>
      </c>
      <c r="AX143" s="33">
        <f t="shared" si="1123"/>
        <v>1.0054989254802489</v>
      </c>
      <c r="AY143" s="33">
        <f t="shared" si="1123"/>
        <v>0.40597297787591319</v>
      </c>
      <c r="AZ143" s="33">
        <f t="shared" si="1123"/>
        <v>0.34459065528749139</v>
      </c>
      <c r="BA143" s="33">
        <f t="shared" si="1123"/>
        <v>0.31075744976607667</v>
      </c>
      <c r="BB143" s="33">
        <f t="shared" si="1123"/>
        <v>0.29014938950617131</v>
      </c>
      <c r="BC143" s="33">
        <f t="shared" si="1123"/>
        <v>0.21738319627669217</v>
      </c>
      <c r="BD143" s="33">
        <f t="shared" si="1123"/>
        <v>0.2007766405142265</v>
      </c>
      <c r="BE143" s="33">
        <f t="shared" si="1123"/>
        <v>0.22194558052256722</v>
      </c>
      <c r="BF143" s="33">
        <f t="shared" si="1123"/>
        <v>0.18480685269534616</v>
      </c>
      <c r="BG143" s="33">
        <f t="shared" si="1123"/>
        <v>0.25246733976153007</v>
      </c>
      <c r="BH143" s="33">
        <f t="shared" si="1123"/>
        <v>0.24061571698622744</v>
      </c>
      <c r="BI143" s="32">
        <f t="shared" si="1123"/>
        <v>0.22922537993520686</v>
      </c>
      <c r="BJ143" s="33">
        <f t="shared" si="1123"/>
        <v>0.22431891351902991</v>
      </c>
      <c r="BK143" s="33">
        <f t="shared" si="1123"/>
        <v>0.20386978234775316</v>
      </c>
      <c r="BL143" s="33">
        <f t="shared" si="1123"/>
        <v>0.20402483385562886</v>
      </c>
      <c r="BM143" s="33">
        <f t="shared" si="1123"/>
        <v>0.20412017745163677</v>
      </c>
      <c r="BN143" s="33">
        <f t="shared" si="1123"/>
        <v>0.20411037679501856</v>
      </c>
    </row>
    <row r="144" spans="1:66" ht="12" customHeight="1" outlineLevel="1">
      <c r="B144" s="1" t="s">
        <v>70</v>
      </c>
      <c r="C144" s="33">
        <f t="shared" ref="C144:AI144" si="1124">IF(ISERROR(-C107/(C100-((11%/(1-30%))*AVERAGE(B114:C114)/C$5))),"n.a.",-C107/(C100-((11%/(1-30%))*AVERAGE(B114:C114)/C$5)))</f>
        <v>0</v>
      </c>
      <c r="D144" s="33">
        <f t="shared" si="1124"/>
        <v>0</v>
      </c>
      <c r="E144" s="33">
        <f t="shared" si="1124"/>
        <v>0</v>
      </c>
      <c r="F144" s="33">
        <f t="shared" si="1124"/>
        <v>0</v>
      </c>
      <c r="G144" s="33">
        <f t="shared" si="1124"/>
        <v>0.82180429158465484</v>
      </c>
      <c r="H144" s="33">
        <f t="shared" si="1124"/>
        <v>1.1547544995498409</v>
      </c>
      <c r="I144" s="33">
        <f t="shared" si="1124"/>
        <v>0.30791191183555494</v>
      </c>
      <c r="J144" s="33">
        <f t="shared" si="1124"/>
        <v>0.45855542361111695</v>
      </c>
      <c r="K144" s="33">
        <f t="shared" si="1124"/>
        <v>26.289125850565195</v>
      </c>
      <c r="L144" s="33">
        <f t="shared" si="1124"/>
        <v>168.17605962746302</v>
      </c>
      <c r="M144" s="157">
        <f t="shared" si="1124"/>
        <v>0.48018271167005255</v>
      </c>
      <c r="N144" s="157">
        <f t="shared" si="1124"/>
        <v>0.33257495036815193</v>
      </c>
      <c r="O144" s="157">
        <f t="shared" si="1124"/>
        <v>0.28835183632325606</v>
      </c>
      <c r="P144" s="157">
        <f t="shared" si="1124"/>
        <v>0.84960109396092731</v>
      </c>
      <c r="Q144" s="157">
        <f t="shared" si="1124"/>
        <v>0.50968525293698297</v>
      </c>
      <c r="R144" s="157">
        <f t="shared" si="1124"/>
        <v>0.51887021760965302</v>
      </c>
      <c r="S144" s="157">
        <f t="shared" si="1124"/>
        <v>0.51195746471636361</v>
      </c>
      <c r="T144" s="157">
        <f t="shared" si="1124"/>
        <v>1.1254471692968142</v>
      </c>
      <c r="U144" s="157">
        <f t="shared" si="1124"/>
        <v>0.5736426514504942</v>
      </c>
      <c r="V144" s="157">
        <f t="shared" si="1124"/>
        <v>4.5180118549535637E-2</v>
      </c>
      <c r="W144" s="157">
        <f t="shared" si="1124"/>
        <v>0.69242577858216958</v>
      </c>
      <c r="X144" s="157">
        <f t="shared" si="1124"/>
        <v>0.68223471594556961</v>
      </c>
      <c r="Y144" s="157">
        <f t="shared" si="1124"/>
        <v>0.67790206260313424</v>
      </c>
      <c r="Z144" s="157">
        <f t="shared" si="1124"/>
        <v>0.51383451310354111</v>
      </c>
      <c r="AA144" s="157">
        <f t="shared" si="1124"/>
        <v>0.59590113014168022</v>
      </c>
      <c r="AB144" s="157">
        <f t="shared" si="1124"/>
        <v>0.91738117128019037</v>
      </c>
      <c r="AC144" s="157">
        <f t="shared" si="1124"/>
        <v>0.49676204648726213</v>
      </c>
      <c r="AD144" s="157">
        <f t="shared" si="1124"/>
        <v>1.0189049773384116</v>
      </c>
      <c r="AE144" s="157">
        <f t="shared" si="1124"/>
        <v>-1.0245661969130475</v>
      </c>
      <c r="AF144" s="157">
        <f t="shared" si="1124"/>
        <v>0.9728606410664683</v>
      </c>
      <c r="AG144" s="157">
        <f t="shared" si="1124"/>
        <v>0.51387579298327668</v>
      </c>
      <c r="AH144" s="157">
        <f t="shared" si="1124"/>
        <v>0.47078226512907567</v>
      </c>
      <c r="AI144" s="158">
        <f t="shared" si="1124"/>
        <v>0.16592479188720194</v>
      </c>
      <c r="AJ144" s="508">
        <f t="shared" ref="AJ144:AK144" si="1125">AI144+($AL144-$AF144)/6</f>
        <v>0.12044801837612387</v>
      </c>
      <c r="AK144" s="508">
        <f t="shared" si="1125"/>
        <v>7.4971244865045805E-2</v>
      </c>
      <c r="AL144" s="508">
        <v>0.7</v>
      </c>
      <c r="AM144" s="508">
        <f t="shared" ref="AM144" si="1126">AL144</f>
        <v>0.7</v>
      </c>
      <c r="AN144" s="508">
        <f t="shared" ref="AN144" si="1127">AM144</f>
        <v>0.7</v>
      </c>
      <c r="AO144" s="508">
        <f t="shared" ref="AO144" si="1128">AN144</f>
        <v>0.7</v>
      </c>
      <c r="AP144" s="508">
        <f t="shared" ref="AP144" si="1129">AO144</f>
        <v>0.7</v>
      </c>
      <c r="AQ144" s="508">
        <f t="shared" ref="AQ144" si="1130">AP144</f>
        <v>0.7</v>
      </c>
      <c r="AR144" s="508">
        <f t="shared" ref="AR144" si="1131">AQ144</f>
        <v>0.7</v>
      </c>
      <c r="AS144" s="8"/>
      <c r="AT144" s="44">
        <f>IF(ISERROR(-AT107/(AT100-((11%/(1-30%))*AVERAGE(T114:AT114)/AT$5))),"n.a.",-AT107/(AT100-((11%/(1-30%))*AVERAGE(T114:AT114)/AT$5)))</f>
        <v>0</v>
      </c>
      <c r="AU144" s="44">
        <f t="shared" ref="AU144:BJ144" si="1132">IF(ISERROR(-AU107/(AU100-((11%/(1-30%))*AVERAGE(AT114:AU114)/AU$5))),"n.a.",-AU107/(AU100-((11%/(1-30%))*AVERAGE(AT114:AU114)/AU$5)))</f>
        <v>0</v>
      </c>
      <c r="AV144" s="44">
        <f t="shared" si="1132"/>
        <v>0.92991358812374847</v>
      </c>
      <c r="AW144" s="44">
        <f t="shared" si="1132"/>
        <v>0.39513699773303446</v>
      </c>
      <c r="AX144" s="44">
        <f t="shared" si="1132"/>
        <v>100.19634292181158</v>
      </c>
      <c r="AY144" s="44">
        <f t="shared" si="1132"/>
        <v>0.41572333299185704</v>
      </c>
      <c r="AZ144" s="44">
        <f t="shared" si="1132"/>
        <v>0.44631718108591084</v>
      </c>
      <c r="BA144" s="44">
        <f t="shared" si="1132"/>
        <v>0.51519031957732808</v>
      </c>
      <c r="BB144" s="44">
        <f t="shared" si="1132"/>
        <v>0.63451056849800747</v>
      </c>
      <c r="BC144" s="44">
        <f t="shared" si="1132"/>
        <v>0.26454408788541756</v>
      </c>
      <c r="BD144" s="44">
        <f t="shared" si="1132"/>
        <v>0.66408344112522022</v>
      </c>
      <c r="BE144" s="44">
        <f t="shared" si="1132"/>
        <v>0.62098704815819217</v>
      </c>
      <c r="BF144" s="44">
        <f t="shared" si="1132"/>
        <v>0.81919305756521332</v>
      </c>
      <c r="BG144" s="44">
        <f t="shared" si="1132"/>
        <v>0.63143447880455983</v>
      </c>
      <c r="BH144" s="44">
        <f t="shared" si="1132"/>
        <v>1.3460220318237468</v>
      </c>
      <c r="BI144" s="49">
        <f t="shared" si="1132"/>
        <v>0.51663523962591251</v>
      </c>
      <c r="BJ144" s="44">
        <f t="shared" si="1132"/>
        <v>0.18390889520236006</v>
      </c>
      <c r="BK144" s="44">
        <f>IF(ISERROR(-BK107/(BK100-((11%/(1-30%))*AVERAGE(BK114:BK114)/BK$5))),"n.a.",-BK107/(BK100-((11%/(1-30%))*AVERAGE(BK114:BK114)/BK$5)))</f>
        <v>0.3038353854957398</v>
      </c>
      <c r="BL144" s="44">
        <f>IF(ISERROR(-BL107/(BL100-((11%/(1-30%))*AVERAGE(BL114:BL114)/BL$5))),"n.a.",-BL107/(BL100-((11%/(1-30%))*AVERAGE(BL114:BL114)/BL$5)))</f>
        <v>0.3063589980915698</v>
      </c>
      <c r="BM144" s="44">
        <f>IF(ISERROR(-BM107/(BM100-((11%/(1-30%))*AVERAGE(BM114:BM114)/BM$5))),"n.a.",-BM107/(BM100-((11%/(1-30%))*AVERAGE(BM114:BM114)/BM$5)))</f>
        <v>0.30454239953275841</v>
      </c>
      <c r="BN144" s="44" t="str">
        <f>IF(ISERROR(-BN107/(BN100-((11%/(1-30%))*AVERAGE(BN114:BN114)/BO$5))),"n.a.",-BN107/(BN100-((11%/(1-30%))*AVERAGE(BN114:BN114)/BO$5)))</f>
        <v>n.a.</v>
      </c>
    </row>
    <row r="145" spans="1:68" ht="12" customHeight="1" outlineLevel="1">
      <c r="B145" s="1" t="s">
        <v>69</v>
      </c>
      <c r="C145" s="37">
        <f t="shared" ref="C145:AR145" si="1133">IF(ISERROR(C109/AVERAGE(B113:C113)),"n.a.",C109*C$5/AVERAGE(B113:C113))</f>
        <v>0</v>
      </c>
      <c r="D145" s="37">
        <f t="shared" si="1133"/>
        <v>0</v>
      </c>
      <c r="E145" s="37">
        <f t="shared" si="1133"/>
        <v>0</v>
      </c>
      <c r="F145" s="37">
        <f t="shared" si="1133"/>
        <v>0</v>
      </c>
      <c r="G145" s="37">
        <f t="shared" si="1133"/>
        <v>2.9349732988115478E-2</v>
      </c>
      <c r="H145" s="37">
        <f t="shared" si="1133"/>
        <v>2.6828572533290136E-2</v>
      </c>
      <c r="I145" s="37">
        <f t="shared" si="1133"/>
        <v>3.2776200009311418E-2</v>
      </c>
      <c r="J145" s="37">
        <f t="shared" si="1133"/>
        <v>3.6728909215889109E-2</v>
      </c>
      <c r="K145" s="37">
        <f t="shared" si="1133"/>
        <v>4.1800107935441325E-2</v>
      </c>
      <c r="L145" s="37">
        <f t="shared" si="1133"/>
        <v>5.0629183410830558E-2</v>
      </c>
      <c r="M145" s="37">
        <f t="shared" si="1133"/>
        <v>8.5650934431422257E-2</v>
      </c>
      <c r="N145" s="37">
        <f t="shared" si="1133"/>
        <v>9.343946070431218E-2</v>
      </c>
      <c r="O145" s="37">
        <f t="shared" si="1133"/>
        <v>0.16320474777448071</v>
      </c>
      <c r="P145" s="37">
        <f t="shared" si="1133"/>
        <v>5.0309278350515463E-2</v>
      </c>
      <c r="Q145" s="37">
        <f t="shared" si="1133"/>
        <v>0.11550561376032373</v>
      </c>
      <c r="R145" s="37">
        <f t="shared" si="1133"/>
        <v>8.8341425291010481E-2</v>
      </c>
      <c r="S145" s="37">
        <f t="shared" si="1133"/>
        <v>0.11849378166743436</v>
      </c>
      <c r="T145" s="37">
        <f t="shared" si="1133"/>
        <v>2.7906164031818507E-2</v>
      </c>
      <c r="U145" s="37">
        <f t="shared" si="1133"/>
        <v>9.0133095363817278E-2</v>
      </c>
      <c r="V145" s="37">
        <f t="shared" si="1133"/>
        <v>9.2581959558468277E-2</v>
      </c>
      <c r="W145" s="37">
        <f t="shared" si="1133"/>
        <v>8.2801044923364736E-2</v>
      </c>
      <c r="X145" s="50">
        <f t="shared" si="1133"/>
        <v>9.4371890314335766E-2</v>
      </c>
      <c r="Y145" s="50">
        <f t="shared" si="1133"/>
        <v>0.129472447114129</v>
      </c>
      <c r="Z145" s="50">
        <f t="shared" si="1133"/>
        <v>0.16703185174572482</v>
      </c>
      <c r="AA145" s="50">
        <f t="shared" si="1133"/>
        <v>0.15332300855161268</v>
      </c>
      <c r="AB145" s="50">
        <f t="shared" si="1133"/>
        <v>0.10141419427133713</v>
      </c>
      <c r="AC145" s="50">
        <f t="shared" si="1133"/>
        <v>0.1077312729926158</v>
      </c>
      <c r="AD145" s="50">
        <f t="shared" si="1133"/>
        <v>4.3235262694189029E-2</v>
      </c>
      <c r="AE145" s="50">
        <f t="shared" si="1133"/>
        <v>3.3648470062010771E-2</v>
      </c>
      <c r="AF145" s="50">
        <f t="shared" si="1133"/>
        <v>4.6733537419396835E-2</v>
      </c>
      <c r="AG145" s="50">
        <f t="shared" si="1133"/>
        <v>5.3855674280529599E-2</v>
      </c>
      <c r="AH145" s="50">
        <f t="shared" si="1133"/>
        <v>6.8789060789807829E-2</v>
      </c>
      <c r="AI145" s="51">
        <f t="shared" si="1133"/>
        <v>9.2196526238675608E-2</v>
      </c>
      <c r="AJ145" s="37">
        <f t="shared" si="1133"/>
        <v>0.12362487539881939</v>
      </c>
      <c r="AK145" s="37">
        <f t="shared" si="1133"/>
        <v>6.6192336554494483E-2</v>
      </c>
      <c r="AL145" s="37">
        <f t="shared" si="1133"/>
        <v>6.7501413416924283E-2</v>
      </c>
      <c r="AM145" s="37">
        <f t="shared" si="1133"/>
        <v>6.2650281476836212E-2</v>
      </c>
      <c r="AN145" s="37">
        <f t="shared" si="1133"/>
        <v>6.499428068255346E-2</v>
      </c>
      <c r="AO145" s="37">
        <f t="shared" si="1133"/>
        <v>5.9960882011786128E-2</v>
      </c>
      <c r="AP145" s="37">
        <f t="shared" si="1133"/>
        <v>6.2273652333180059E-2</v>
      </c>
      <c r="AQ145" s="37">
        <f t="shared" si="1133"/>
        <v>5.6462057657817352E-2</v>
      </c>
      <c r="AR145" s="37">
        <f t="shared" si="1133"/>
        <v>5.7659422027832301E-2</v>
      </c>
      <c r="AS145" s="8"/>
      <c r="AT145" s="37">
        <f>IF(ISERROR(AT109/AVERAGE(T113:AT113)),"n.a.",AT109*AT$5/AVERAGE(T113:AT113))</f>
        <v>0</v>
      </c>
      <c r="AU145" s="37">
        <f t="shared" ref="AU145:BJ145" si="1134">IF(ISERROR(AU109/AVERAGE(AT113:AU113)),"n.a.",AU109*AU$5/AVERAGE(AT113:AU113))</f>
        <v>0</v>
      </c>
      <c r="AV145" s="37">
        <f t="shared" si="1134"/>
        <v>2.8413821335658309E-2</v>
      </c>
      <c r="AW145" s="37">
        <f t="shared" si="1134"/>
        <v>3.1055900621118009E-2</v>
      </c>
      <c r="AX145" s="37">
        <f t="shared" si="1134"/>
        <v>4.6527828181256455E-2</v>
      </c>
      <c r="AY145" s="37">
        <f t="shared" si="1134"/>
        <v>8.5127312176149064E-2</v>
      </c>
      <c r="AZ145" s="37">
        <f t="shared" si="1134"/>
        <v>0.11399018980592873</v>
      </c>
      <c r="BA145" s="37">
        <f t="shared" si="1134"/>
        <v>9.2463476978626474E-2</v>
      </c>
      <c r="BB145" s="37">
        <f t="shared" si="1134"/>
        <v>8.8215030799388763E-2</v>
      </c>
      <c r="BC145" s="37">
        <f t="shared" si="1134"/>
        <v>0.10897698201690648</v>
      </c>
      <c r="BD145" s="37">
        <f t="shared" si="1134"/>
        <v>8.0483263230439278E-2</v>
      </c>
      <c r="BE145" s="37">
        <f t="shared" si="1134"/>
        <v>0.14351654452269416</v>
      </c>
      <c r="BF145" s="37">
        <f t="shared" si="1134"/>
        <v>0.12324686713029366</v>
      </c>
      <c r="BG145" s="37">
        <f t="shared" si="1134"/>
        <v>7.6601511796594635E-2</v>
      </c>
      <c r="BH145" s="37">
        <f t="shared" si="1134"/>
        <v>4.0668654316438298E-2</v>
      </c>
      <c r="BI145" s="38">
        <f t="shared" si="1134"/>
        <v>5.7069285585963248E-2</v>
      </c>
      <c r="BJ145" s="37">
        <f t="shared" si="1134"/>
        <v>0.1026714894293502</v>
      </c>
      <c r="BK145" s="37">
        <f>IF(ISERROR(BK109/AVERAGE(BK113:BK113)),"n.a.",BK109*BK$5/AVERAGE(BK113:BK113))</f>
        <v>6.3559511759117893E-2</v>
      </c>
      <c r="BL145" s="37">
        <f>IF(ISERROR(BL109/AVERAGE(BL113:BL113)),"n.a.",BL109*BL$5/AVERAGE(BL113:BL113))</f>
        <v>6.1484876750844186E-2</v>
      </c>
      <c r="BM145" s="37">
        <f>IF(ISERROR(BM109/AVERAGE(BM113:BM113)),"n.a.",BM109*BM$5/AVERAGE(BM113:BM113))</f>
        <v>5.9142654745489992E-2</v>
      </c>
      <c r="BN145" s="37">
        <f>IF(ISERROR(BN109/AVERAGE(BN113:BN113)),"n.a.",BN109*BN$5/AVERAGE(BN113:BN113))</f>
        <v>5.5244582030141993E-2</v>
      </c>
    </row>
    <row r="146" spans="1:68" ht="12" customHeight="1" outlineLevel="1">
      <c r="A146" s="91" t="s">
        <v>520</v>
      </c>
      <c r="B146" s="1" t="s">
        <v>26</v>
      </c>
      <c r="C146" s="28"/>
      <c r="D146" s="28"/>
      <c r="E146" s="28"/>
      <c r="F146" s="28"/>
      <c r="G146" s="28">
        <v>0.23</v>
      </c>
      <c r="H146" s="28">
        <f>(22%*AVERAGE(H114,F114)-G109)/AVERAGE(H114,G114)*H$5</f>
        <v>0.21656716099130721</v>
      </c>
      <c r="I146" s="28">
        <v>0.22</v>
      </c>
      <c r="J146" s="28">
        <f>(20%*AVERAGE(J114,H114)-I109)/AVERAGE(J114,I114)*J$5</f>
        <v>0.19290239172592114</v>
      </c>
      <c r="K146" s="44">
        <f t="shared" ref="K146:AR146" si="1135">IF(ISERROR(K109/AVERAGE(J114:K114)),"n.a.",K109*K$5/AVERAGE(J114:K114))</f>
        <v>0.19961751544854045</v>
      </c>
      <c r="L146" s="44">
        <f t="shared" si="1135"/>
        <v>0.22837656270854648</v>
      </c>
      <c r="M146" s="44">
        <f t="shared" si="1135"/>
        <v>0.3557894736842106</v>
      </c>
      <c r="N146" s="44">
        <f t="shared" si="1135"/>
        <v>0.34845731191885032</v>
      </c>
      <c r="O146" s="327">
        <f t="shared" si="1135"/>
        <v>0.6875</v>
      </c>
      <c r="P146" s="327">
        <f t="shared" si="1135"/>
        <v>0.24399999999999999</v>
      </c>
      <c r="Q146" s="327">
        <f t="shared" si="1135"/>
        <v>0.51029583568871295</v>
      </c>
      <c r="R146" s="327">
        <f t="shared" si="1135"/>
        <v>0.38933722527472525</v>
      </c>
      <c r="S146" s="327">
        <f t="shared" si="1135"/>
        <v>0.5562162162162162</v>
      </c>
      <c r="T146" s="327">
        <f t="shared" si="1135"/>
        <v>0.10279434850863431</v>
      </c>
      <c r="U146" s="327">
        <f t="shared" si="1135"/>
        <v>0.32185880553903667</v>
      </c>
      <c r="V146" s="327">
        <f t="shared" si="1135"/>
        <v>0.42271841947546224</v>
      </c>
      <c r="W146" s="327">
        <f t="shared" si="1135"/>
        <v>0.32423728813559327</v>
      </c>
      <c r="X146" s="378">
        <f t="shared" si="1135"/>
        <v>0.27298158179848325</v>
      </c>
      <c r="Y146" s="378">
        <f t="shared" si="1135"/>
        <v>0.39659999999999995</v>
      </c>
      <c r="Z146" s="378">
        <f t="shared" si="1135"/>
        <v>0.40368131868131873</v>
      </c>
      <c r="AA146" s="378">
        <f t="shared" si="1135"/>
        <v>0.3795</v>
      </c>
      <c r="AB146" s="378">
        <f t="shared" si="1135"/>
        <v>0.32943767170329674</v>
      </c>
      <c r="AC146" s="378">
        <f t="shared" si="1135"/>
        <v>0.30359141126158234</v>
      </c>
      <c r="AD146" s="378">
        <f t="shared" si="1135"/>
        <v>0.10672718585762071</v>
      </c>
      <c r="AE146" s="378">
        <f t="shared" si="1135"/>
        <v>8.2749999999999976E-2</v>
      </c>
      <c r="AF146" s="378">
        <f t="shared" si="1135"/>
        <v>0.12264957264957259</v>
      </c>
      <c r="AG146" s="378">
        <f t="shared" si="1135"/>
        <v>0.15128363748840087</v>
      </c>
      <c r="AH146" s="378">
        <f t="shared" si="1135"/>
        <v>0.20091408591408599</v>
      </c>
      <c r="AI146" s="513">
        <f t="shared" si="1135"/>
        <v>0.28648363185589953</v>
      </c>
      <c r="AJ146" s="182">
        <f t="shared" si="1135"/>
        <v>0.53847639362467159</v>
      </c>
      <c r="AK146" s="182">
        <f t="shared" si="1135"/>
        <v>0.44024428896701945</v>
      </c>
      <c r="AL146" s="182">
        <f t="shared" si="1135"/>
        <v>0.45569425082021003</v>
      </c>
      <c r="AM146" s="182">
        <f t="shared" si="1135"/>
        <v>0.42919492250458041</v>
      </c>
      <c r="AN146" s="182">
        <f t="shared" si="1135"/>
        <v>0.45174738152032506</v>
      </c>
      <c r="AO146" s="182">
        <f t="shared" si="1135"/>
        <v>0.42275378434909366</v>
      </c>
      <c r="AP146" s="182">
        <f t="shared" si="1135"/>
        <v>0.44528645377331338</v>
      </c>
      <c r="AQ146" s="182">
        <f t="shared" si="1135"/>
        <v>0.40937625880805262</v>
      </c>
      <c r="AR146" s="182">
        <f t="shared" si="1135"/>
        <v>0.42382441207130994</v>
      </c>
      <c r="AS146" s="8"/>
      <c r="AT146" s="44"/>
      <c r="AU146" s="44"/>
      <c r="AV146" s="44">
        <f t="shared" ref="AV146:BJ146" si="1136">IF(ISERROR(AV109/AVERAGE(AU114:AV114)),"n.a.",AV109*AV$5/AVERAGE(AU114:AV114))</f>
        <v>0.22</v>
      </c>
      <c r="AW146" s="44">
        <f t="shared" si="1136"/>
        <v>0.19999999999999996</v>
      </c>
      <c r="AX146" s="44">
        <f t="shared" si="1136"/>
        <v>0.22281799663342788</v>
      </c>
      <c r="AY146" s="44">
        <f t="shared" si="1136"/>
        <v>0.34755953635405679</v>
      </c>
      <c r="AZ146" s="44">
        <f t="shared" si="1136"/>
        <v>0.47161764705882342</v>
      </c>
      <c r="BA146" s="44">
        <f t="shared" si="1136"/>
        <v>0.43973840035351297</v>
      </c>
      <c r="BB146" s="44">
        <f t="shared" si="1136"/>
        <v>0.31976817702845101</v>
      </c>
      <c r="BC146" s="44">
        <f t="shared" si="1136"/>
        <v>0.46007898224224769</v>
      </c>
      <c r="BD146" s="44">
        <f t="shared" si="1136"/>
        <v>0.3368028101929032</v>
      </c>
      <c r="BE146" s="44">
        <f t="shared" si="1136"/>
        <v>0.34932899930345945</v>
      </c>
      <c r="BF146" s="44">
        <f t="shared" si="1136"/>
        <v>0.33226234952262351</v>
      </c>
      <c r="BG146" s="44">
        <f t="shared" si="1136"/>
        <v>0.21575268817204302</v>
      </c>
      <c r="BH146" s="44">
        <f t="shared" si="1136"/>
        <v>0.10743362831858404</v>
      </c>
      <c r="BI146" s="49">
        <f t="shared" si="1136"/>
        <v>0.16719298245614039</v>
      </c>
      <c r="BJ146" s="44">
        <f t="shared" si="1136"/>
        <v>0.42081784127239485</v>
      </c>
      <c r="BK146" s="44">
        <f>IF(ISERROR(BK109/AVERAGE(BK114:BK114)),"n.a.",BK109*BK$5/AVERAGE(BK114:BK114))</f>
        <v>0.43220467996200168</v>
      </c>
      <c r="BL146" s="44">
        <f>IF(ISERROR(BL109/AVERAGE(BL114:BL114)),"n.a.",BL109*BL$5/AVERAGE(BL114:BL114))</f>
        <v>0.43039413725590919</v>
      </c>
      <c r="BM146" s="44">
        <f>IF(ISERROR(BM109/AVERAGE(BM114:BM114)),"n.a.",BM109*BM$5/AVERAGE(BM114:BM114))</f>
        <v>0.42582711416752778</v>
      </c>
      <c r="BN146" s="44">
        <f>IF(ISERROR(BN109/AVERAGE(BN114:BN114)),"n.a.",BN109*BN$5/AVERAGE(BN114:BN114))</f>
        <v>0.40880990702305059</v>
      </c>
    </row>
    <row r="147" spans="1:68" ht="12" customHeight="1" outlineLevel="1">
      <c r="C147" s="28"/>
      <c r="D147" s="28"/>
      <c r="E147" s="28"/>
      <c r="F147" s="28"/>
      <c r="G147" s="28"/>
      <c r="H147" s="28"/>
      <c r="I147" s="28"/>
      <c r="J147" s="28"/>
      <c r="K147" s="44"/>
      <c r="L147" s="44"/>
      <c r="M147" s="44"/>
      <c r="N147" s="44"/>
      <c r="O147" s="327"/>
      <c r="P147" s="327"/>
      <c r="Q147" s="327"/>
      <c r="R147" s="327"/>
      <c r="S147" s="327"/>
      <c r="T147" s="327"/>
      <c r="U147" s="327"/>
      <c r="V147" s="327"/>
      <c r="W147" s="327"/>
      <c r="X147" s="378"/>
      <c r="Y147" s="378"/>
      <c r="Z147" s="378"/>
      <c r="AA147" s="378"/>
      <c r="AB147" s="378"/>
      <c r="AC147" s="378"/>
      <c r="AD147" s="378"/>
      <c r="AE147" s="378"/>
      <c r="AF147" s="378"/>
      <c r="AG147" s="378"/>
      <c r="AH147" s="378"/>
      <c r="AI147" s="513"/>
      <c r="AJ147" s="47"/>
      <c r="AK147" s="47"/>
      <c r="AL147" s="47"/>
      <c r="AM147" s="47"/>
      <c r="AN147" s="47"/>
      <c r="AO147" s="47"/>
      <c r="AP147" s="47"/>
      <c r="AQ147" s="47"/>
      <c r="AR147" s="47"/>
      <c r="AS147" s="8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/>
      <c r="BI147" s="49"/>
      <c r="BJ147" s="44"/>
      <c r="BK147" s="44"/>
      <c r="BL147" s="44"/>
      <c r="BM147" s="44"/>
      <c r="BN147" s="44"/>
    </row>
    <row r="148" spans="1:68" ht="12" customHeight="1" outlineLevel="1">
      <c r="B148" s="9" t="s">
        <v>1836</v>
      </c>
      <c r="C148" s="28"/>
      <c r="D148" s="28"/>
      <c r="E148" s="28"/>
      <c r="F148" s="28"/>
      <c r="G148" s="28"/>
      <c r="H148" s="28"/>
      <c r="I148" s="28"/>
      <c r="J148" s="28"/>
      <c r="K148" s="44"/>
      <c r="L148" s="44"/>
      <c r="M148" s="44"/>
      <c r="N148" s="44"/>
      <c r="O148" s="327"/>
      <c r="P148" s="327"/>
      <c r="Q148" s="327"/>
      <c r="R148" s="327"/>
      <c r="S148" s="327"/>
      <c r="T148" s="327"/>
      <c r="U148" s="327"/>
      <c r="V148" s="327"/>
      <c r="W148" s="327"/>
      <c r="X148" s="378"/>
      <c r="Y148" s="378"/>
      <c r="Z148" s="378"/>
      <c r="AA148" s="378"/>
      <c r="AB148" s="378"/>
      <c r="AC148" s="378"/>
      <c r="AD148" s="378"/>
      <c r="AE148" s="378"/>
      <c r="AF148" s="378"/>
      <c r="AG148" s="378"/>
      <c r="AH148" s="378"/>
      <c r="AI148" s="513"/>
      <c r="AJ148" s="47"/>
      <c r="AK148" s="47"/>
      <c r="AL148" s="47"/>
      <c r="AM148" s="47"/>
      <c r="AN148" s="47"/>
      <c r="AO148" s="47"/>
      <c r="AP148" s="47"/>
      <c r="AQ148" s="47"/>
      <c r="AR148" s="47"/>
      <c r="AS148" s="8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9"/>
      <c r="BJ148" s="44"/>
      <c r="BK148" s="44"/>
      <c r="BL148" s="44"/>
      <c r="BM148" s="44"/>
      <c r="BN148" s="44"/>
    </row>
    <row r="149" spans="1:68" ht="12" customHeight="1" outlineLevel="1">
      <c r="B149" s="1" t="s">
        <v>1865</v>
      </c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44"/>
      <c r="N149" s="44"/>
      <c r="O149" s="41"/>
      <c r="P149" s="41"/>
      <c r="Q149" s="41"/>
      <c r="R149" s="41"/>
      <c r="S149" s="41"/>
      <c r="T149" s="37"/>
      <c r="U149" s="37"/>
      <c r="V149" s="37"/>
      <c r="W149" s="19"/>
      <c r="X149" s="50">
        <f>SUM(W81:X82)/SUM(U81:V82)-1</f>
        <v>0.13667041619797526</v>
      </c>
      <c r="Y149" s="37"/>
      <c r="Z149" s="50">
        <f>SUM(Y81:Z82)/SUM(W81:X82)-1</f>
        <v>-1.7812963879267674E-2</v>
      </c>
      <c r="AA149" s="37"/>
      <c r="AB149" s="50">
        <f>SUM(AA81:AB82)/SUM(Y81:Z82)-1</f>
        <v>0.39596977329974803</v>
      </c>
      <c r="AC149" s="37"/>
      <c r="AD149" s="50">
        <f>SUM(AC81:AD82)/SUM(AA81:AB82)-1</f>
        <v>3.9696860339226703E-3</v>
      </c>
      <c r="AE149" s="37"/>
      <c r="AF149" s="50">
        <f>SUM(AE81:AF82)/SUM(AC81:AD82)-1</f>
        <v>3.3069734004313345E-2</v>
      </c>
      <c r="AG149" s="37"/>
      <c r="AH149" s="50">
        <f>SUM(AG81:AH82)/SUM(AE81:AF82)-1</f>
        <v>1.7745302713987554E-2</v>
      </c>
      <c r="AI149" s="51"/>
      <c r="AJ149" s="50">
        <f>SUM(AI81:AJ82)/SUM(AG81:AH82)-1</f>
        <v>-6.8003459451814519E-2</v>
      </c>
      <c r="AK149" s="47"/>
      <c r="AL149" s="50">
        <f>SUM(AK81:AL82)/SUM(AI81:AJ82)-1</f>
        <v>-0.2049884364320701</v>
      </c>
      <c r="AM149" s="47"/>
      <c r="AN149" s="50">
        <f>SUM(AM81:AN82)/SUM(AK81:AL82)-1</f>
        <v>3.2107487784236222E-2</v>
      </c>
      <c r="AO149" s="47"/>
      <c r="AP149" s="50">
        <f>SUM(AO81:AP82)/SUM(AM81:AN82)-1</f>
        <v>8.2141977583503056E-3</v>
      </c>
      <c r="AQ149" s="47"/>
      <c r="AR149" s="50">
        <f>SUM(AQ81:AR82)/SUM(AO81:AP82)-1</f>
        <v>-7.4433232284685236E-3</v>
      </c>
      <c r="AS149" s="8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1">
        <f t="shared" ref="BF149:BN149" si="1137">SUM(BF81:BF82)</f>
        <v>2771</v>
      </c>
      <c r="BG149" s="41">
        <f t="shared" si="1137"/>
        <v>2782</v>
      </c>
      <c r="BH149" s="41">
        <f t="shared" si="1137"/>
        <v>2874</v>
      </c>
      <c r="BI149" s="42">
        <f t="shared" si="1137"/>
        <v>2925</v>
      </c>
      <c r="BJ149" s="41">
        <f t="shared" si="1137"/>
        <v>2726.0898811034426</v>
      </c>
      <c r="BK149" s="41">
        <f t="shared" si="1137"/>
        <v>2167.27297880276</v>
      </c>
      <c r="BL149" s="41">
        <f t="shared" si="1137"/>
        <v>2236.8586694947753</v>
      </c>
      <c r="BM149" s="41">
        <f t="shared" si="1137"/>
        <v>2255.2326689634851</v>
      </c>
      <c r="BN149" s="41">
        <f t="shared" si="1137"/>
        <v>2238.4462432529881</v>
      </c>
    </row>
    <row r="150" spans="1:68" ht="12" customHeight="1" outlineLevel="1">
      <c r="B150" s="1" t="s">
        <v>1866</v>
      </c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44"/>
      <c r="N150" s="44"/>
      <c r="O150" s="41"/>
      <c r="P150" s="41"/>
      <c r="Q150" s="41"/>
      <c r="R150" s="41"/>
      <c r="S150" s="41"/>
      <c r="T150" s="37"/>
      <c r="U150" s="37"/>
      <c r="V150" s="37"/>
      <c r="W150" s="19"/>
      <c r="X150" s="50">
        <f>SUM(W80:X80,W83:X86,W89:X95)/SUM(U80:V80,U83:V86,U89:V95)-1</f>
        <v>6.6561014263074592E-2</v>
      </c>
      <c r="Y150" s="37"/>
      <c r="Z150" s="50">
        <f>SUM(Y80:Z80,Y83:Z86,Y89:Z95)/SUM(W80:X80,W83:X86,W89:X95)-1</f>
        <v>-4.4576523031203519E-2</v>
      </c>
      <c r="AA150" s="37"/>
      <c r="AB150" s="50">
        <f>SUM(AA80:AB80,AA83:AB86,AA89:AB95)/SUM(Y80:Z80,Y83:Z86,Y89:Z95)-1</f>
        <v>0.54587869362363928</v>
      </c>
      <c r="AC150" s="37"/>
      <c r="AD150" s="50">
        <f>SUM(AC80:AD80,AC83:AD86,AC89:AD95)/SUM(AA80:AB80,AA83:AB86,AA89:AB95)-1</f>
        <v>-0.22786720321931586</v>
      </c>
      <c r="AE150" s="37"/>
      <c r="AF150" s="50">
        <f>SUM(AE80:AF80,AE83:AF86,AE89:AF95)/SUM(AC80:AD80,AC83:AD86,AC89:AD95)-1</f>
        <v>-0.71074918566775247</v>
      </c>
      <c r="AG150" s="37"/>
      <c r="AH150" s="50">
        <f>SUM(AG80:AH80,AG83:AH86,AG89:AH95)/SUM(AE80:AF80,AE83:AF86,AE89:AF95)-1</f>
        <v>0.90315315315315314</v>
      </c>
      <c r="AI150" s="51"/>
      <c r="AJ150" s="50">
        <f>SUM(AI80:AJ80,AI83:AJ86,AI89:AJ95)/SUM(AG80:AH80,AG83:AH86,AG89:AH95)-1</f>
        <v>1.1426909933983178</v>
      </c>
      <c r="AK150" s="47"/>
      <c r="AL150" s="50">
        <f>SUM(AK80:AL80,AK83:AL86,AK89:AL95)/SUM(AI80:AJ80,AI83:AJ86,AI89:AJ95)-1</f>
        <v>-0.31412175486376825</v>
      </c>
      <c r="AM150" s="47"/>
      <c r="AN150" s="50">
        <f>SUM(AM80:AN80,AM83:AN86,AM89:AN95)/SUM(AK80:AL80,AK83:AL86,AK89:AL95)-1</f>
        <v>2.5077822297764119E-2</v>
      </c>
      <c r="AO150" s="47"/>
      <c r="AP150" s="50">
        <f>SUM(AO80:AP80,AO83:AP86,AO89:AP95)/SUM(AM80:AN80,AM83:AN86,AM89:AN95)-1</f>
        <v>1.9299858024317107E-2</v>
      </c>
      <c r="AQ150" s="47"/>
      <c r="AR150" s="50">
        <f>SUM(AQ80:AR80,AQ83:AR86,AQ89:AR95)/SUM(AO80:AP80,AO83:AP86,AO89:AP95)-1</f>
        <v>-2.2291748655511867E-4</v>
      </c>
      <c r="AS150" s="8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1">
        <f t="shared" ref="BF150:BN150" si="1138">SUM(BF80,BF83:BF87,BF89:BF95)</f>
        <v>2886</v>
      </c>
      <c r="BG150" s="41">
        <f t="shared" si="1138"/>
        <v>2169</v>
      </c>
      <c r="BH150" s="41">
        <f t="shared" si="1138"/>
        <v>880</v>
      </c>
      <c r="BI150" s="42">
        <f t="shared" si="1138"/>
        <v>1293</v>
      </c>
      <c r="BJ150" s="41">
        <f t="shared" si="1138"/>
        <v>2256.5738894215788</v>
      </c>
      <c r="BK150" s="41">
        <f t="shared" si="1138"/>
        <v>1701.213241965954</v>
      </c>
      <c r="BL150" s="41">
        <f t="shared" si="1138"/>
        <v>1746.1371153314324</v>
      </c>
      <c r="BM150" s="41">
        <f t="shared" si="1138"/>
        <v>1784.9002079057325</v>
      </c>
      <c r="BN150" s="41">
        <f t="shared" si="1138"/>
        <v>1799.2316499261583</v>
      </c>
    </row>
    <row r="151" spans="1:68" ht="12" customHeight="1" outlineLevel="1">
      <c r="B151" s="1" t="s">
        <v>1867</v>
      </c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44"/>
      <c r="N151" s="44"/>
      <c r="O151" s="41"/>
      <c r="P151" s="41"/>
      <c r="Q151" s="41"/>
      <c r="R151" s="41"/>
      <c r="S151" s="41"/>
      <c r="T151" s="37"/>
      <c r="U151" s="37"/>
      <c r="V151" s="37"/>
      <c r="W151" s="19"/>
      <c r="X151" s="401">
        <f>SUM(W96:X96)/SUM(U96:V96)-1</f>
        <v>0.12173128944995493</v>
      </c>
      <c r="Y151" s="37"/>
      <c r="Z151" s="401">
        <f>SUM(Y96:Z96)/SUM(W96:X96)-1</f>
        <v>-4.769560557341912E-2</v>
      </c>
      <c r="AA151" s="37"/>
      <c r="AB151" s="401">
        <f>SUM(AA96:AB96)/SUM(Y96:Z96)-1</f>
        <v>0.59172763083849178</v>
      </c>
      <c r="AC151" s="37"/>
      <c r="AD151" s="401">
        <f>SUM(AC96:AD96)/SUM(AA96:AB96)-1</f>
        <v>-0.12480113134170057</v>
      </c>
      <c r="AE151" s="37"/>
      <c r="AF151" s="401">
        <f>SUM(AE96:AF96)/SUM(AC96:AD96)-1</f>
        <v>-0.24176933952736823</v>
      </c>
      <c r="AG151" s="37"/>
      <c r="AH151" s="401">
        <f>SUM(AG96:AH96)/SUM(AE96:AF96)-1</f>
        <v>0.12360149174214174</v>
      </c>
      <c r="AI151" s="514"/>
      <c r="AJ151" s="401">
        <f>SUM(AI96:AJ96)/SUM(AG96:AH96)-1</f>
        <v>0.181285863092703</v>
      </c>
      <c r="AK151" s="47"/>
      <c r="AL151" s="401">
        <f>SUM(AK96:AL96)/SUM(AI96:AJ96)-1</f>
        <v>-0.22361082366167906</v>
      </c>
      <c r="AM151" s="47"/>
      <c r="AN151" s="401">
        <f>SUM(AM96:AN96)/SUM(AK96:AL96)-1</f>
        <v>2.9600613139767029E-2</v>
      </c>
      <c r="AO151" s="47"/>
      <c r="AP151" s="401">
        <f>SUM(AO96:AP96)/SUM(AM96:AN96)-1</f>
        <v>1.4345255463408257E-2</v>
      </c>
      <c r="AQ151" s="47"/>
      <c r="AR151" s="401">
        <f>SUM(AQ96:AR96)/SUM(AO96:AP96)-1</f>
        <v>-6.0764924444101087E-4</v>
      </c>
      <c r="AS151" s="8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39">
        <f t="shared" ref="BF151" si="1139">SUM(BF149:BF150)</f>
        <v>5657</v>
      </c>
      <c r="BG151" s="39">
        <f t="shared" ref="BG151" si="1140">SUM(BG149:BG150)</f>
        <v>4951</v>
      </c>
      <c r="BH151" s="39">
        <f t="shared" ref="BH151" si="1141">SUM(BH149:BH150)</f>
        <v>3754</v>
      </c>
      <c r="BI151" s="40">
        <f t="shared" ref="BI151" si="1142">SUM(BI149:BI150)</f>
        <v>4218</v>
      </c>
      <c r="BJ151" s="39">
        <f>SUM(BJ149:BJ150)</f>
        <v>4982.6637705250214</v>
      </c>
      <c r="BK151" s="39">
        <f t="shared" ref="BK151:BN151" si="1143">SUM(BK149:BK150)</f>
        <v>3868.4862207687138</v>
      </c>
      <c r="BL151" s="39">
        <f t="shared" si="1143"/>
        <v>3982.9957848262075</v>
      </c>
      <c r="BM151" s="39">
        <f t="shared" si="1143"/>
        <v>4040.1328768692174</v>
      </c>
      <c r="BN151" s="39">
        <f t="shared" si="1143"/>
        <v>4037.6778931791464</v>
      </c>
    </row>
    <row r="152" spans="1:68" ht="12" customHeight="1">
      <c r="M152" s="405"/>
      <c r="N152" s="405"/>
      <c r="O152" s="405"/>
      <c r="P152" s="405"/>
      <c r="Q152" s="405"/>
      <c r="R152" s="405"/>
      <c r="S152" s="405"/>
      <c r="T152" s="405"/>
      <c r="U152" s="405"/>
      <c r="V152" s="405"/>
      <c r="W152" s="405"/>
      <c r="X152" s="405"/>
      <c r="Y152" s="405"/>
      <c r="Z152" s="405"/>
      <c r="AA152" s="405"/>
      <c r="AB152" s="405"/>
      <c r="AC152" s="405"/>
      <c r="AD152" s="405"/>
      <c r="AE152" s="405"/>
      <c r="AF152" s="405"/>
      <c r="AG152" s="405"/>
      <c r="AH152" s="405"/>
      <c r="AI152" s="406"/>
      <c r="AJ152" s="19"/>
      <c r="AK152" s="19"/>
      <c r="AL152" s="19"/>
      <c r="AM152" s="19"/>
      <c r="AN152" s="19"/>
      <c r="AO152" s="19"/>
      <c r="AP152" s="19"/>
      <c r="AQ152" s="19"/>
      <c r="AR152" s="19"/>
      <c r="AY152" s="33"/>
    </row>
    <row r="153" spans="1:68" s="9" customFormat="1" ht="12" customHeight="1">
      <c r="A153" s="91"/>
      <c r="B153" s="2" t="s">
        <v>37</v>
      </c>
      <c r="C153" s="93">
        <f>C180</f>
        <v>137</v>
      </c>
      <c r="D153" s="93">
        <f t="shared" ref="D153:BB153" si="1144">D180</f>
        <v>124</v>
      </c>
      <c r="E153" s="93">
        <f t="shared" si="1144"/>
        <v>134</v>
      </c>
      <c r="F153" s="93">
        <f t="shared" si="1144"/>
        <v>141</v>
      </c>
      <c r="G153" s="93">
        <f t="shared" si="1144"/>
        <v>145</v>
      </c>
      <c r="H153" s="93">
        <f t="shared" si="1144"/>
        <v>130</v>
      </c>
      <c r="I153" s="93">
        <f t="shared" si="1144"/>
        <v>124</v>
      </c>
      <c r="J153" s="93">
        <f t="shared" si="1144"/>
        <v>119</v>
      </c>
      <c r="K153" s="93">
        <f t="shared" ref="K153" si="1145">K180</f>
        <v>111</v>
      </c>
      <c r="L153" s="93">
        <f t="shared" si="1144"/>
        <v>149</v>
      </c>
      <c r="M153" s="93">
        <f t="shared" ref="M153:N153" si="1146">M180</f>
        <v>141</v>
      </c>
      <c r="N153" s="93">
        <f t="shared" si="1146"/>
        <v>144</v>
      </c>
      <c r="O153" s="93">
        <f t="shared" ref="O153:P153" si="1147">O180</f>
        <v>170</v>
      </c>
      <c r="P153" s="93">
        <f t="shared" si="1147"/>
        <v>180</v>
      </c>
      <c r="Q153" s="93">
        <f t="shared" ref="Q153:R153" si="1148">Q180</f>
        <v>261</v>
      </c>
      <c r="R153" s="93">
        <f t="shared" si="1148"/>
        <v>252</v>
      </c>
      <c r="S153" s="93">
        <f t="shared" ref="S153:T153" si="1149">S180</f>
        <v>377</v>
      </c>
      <c r="T153" s="93">
        <f t="shared" si="1149"/>
        <v>360</v>
      </c>
      <c r="U153" s="93">
        <f t="shared" ref="U153:V153" si="1150">U180</f>
        <v>378</v>
      </c>
      <c r="V153" s="93">
        <f t="shared" si="1150"/>
        <v>378</v>
      </c>
      <c r="W153" s="93">
        <f t="shared" ref="W153:X153" si="1151">W180</f>
        <v>385</v>
      </c>
      <c r="X153" s="93">
        <f t="shared" si="1151"/>
        <v>385</v>
      </c>
      <c r="Y153" s="93">
        <f t="shared" ref="Y153:Z153" si="1152">Y180</f>
        <v>317</v>
      </c>
      <c r="Z153" s="93">
        <f t="shared" si="1152"/>
        <v>454</v>
      </c>
      <c r="AA153" s="93">
        <f t="shared" ref="AA153" si="1153">AA180</f>
        <v>482</v>
      </c>
      <c r="AB153" s="93">
        <f t="shared" ref="AB153:AC153" si="1154">AB180</f>
        <v>519</v>
      </c>
      <c r="AC153" s="93">
        <f t="shared" si="1154"/>
        <v>580</v>
      </c>
      <c r="AD153" s="93">
        <f t="shared" ref="AD153:AE153" si="1155">AD180</f>
        <v>622</v>
      </c>
      <c r="AE153" s="93">
        <f t="shared" si="1155"/>
        <v>638</v>
      </c>
      <c r="AF153" s="93">
        <f t="shared" ref="AF153:AG153" si="1156">AF180</f>
        <v>603</v>
      </c>
      <c r="AG153" s="93">
        <f t="shared" si="1156"/>
        <v>650</v>
      </c>
      <c r="AH153" s="93">
        <f t="shared" ref="AH153" si="1157">AH180</f>
        <v>730</v>
      </c>
      <c r="AI153" s="94">
        <f t="shared" ref="AI153:AJ153" si="1158">AI180</f>
        <v>793</v>
      </c>
      <c r="AJ153" s="93">
        <f t="shared" si="1158"/>
        <v>735.92841035075253</v>
      </c>
      <c r="AK153" s="93">
        <f t="shared" ref="AK153:AL153" si="1159">AK180</f>
        <v>797.61980688231813</v>
      </c>
      <c r="AL153" s="93">
        <f t="shared" si="1159"/>
        <v>850.27189932011072</v>
      </c>
      <c r="AM153" s="93">
        <f t="shared" ref="AM153:AN153" si="1160">AM180</f>
        <v>909.71927970586353</v>
      </c>
      <c r="AN153" s="93">
        <f t="shared" si="1160"/>
        <v>952.23092521008141</v>
      </c>
      <c r="AO153" s="93">
        <f t="shared" ref="AO153:AP153" si="1161">AO180</f>
        <v>986.04708102393397</v>
      </c>
      <c r="AP153" s="93">
        <f t="shared" si="1161"/>
        <v>1016.7006493433701</v>
      </c>
      <c r="AQ153" s="93">
        <f t="shared" ref="AQ153:AR153" si="1162">AQ180</f>
        <v>1056.50776561268</v>
      </c>
      <c r="AR153" s="93">
        <f t="shared" si="1162"/>
        <v>1088.0824901092999</v>
      </c>
      <c r="AS153" s="93"/>
      <c r="AT153" s="93">
        <f t="shared" ref="AT153:AV153" si="1163">AT180</f>
        <v>261</v>
      </c>
      <c r="AU153" s="93">
        <f t="shared" si="1163"/>
        <v>275</v>
      </c>
      <c r="AV153" s="93">
        <f t="shared" si="1163"/>
        <v>275</v>
      </c>
      <c r="AW153" s="93">
        <f t="shared" si="1144"/>
        <v>243</v>
      </c>
      <c r="AX153" s="93">
        <f t="shared" si="1144"/>
        <v>260</v>
      </c>
      <c r="AY153" s="93">
        <f t="shared" si="1144"/>
        <v>285</v>
      </c>
      <c r="AZ153" s="93">
        <f t="shared" si="1144"/>
        <v>350</v>
      </c>
      <c r="BA153" s="93">
        <f t="shared" si="1144"/>
        <v>513</v>
      </c>
      <c r="BB153" s="93">
        <f t="shared" si="1144"/>
        <v>737</v>
      </c>
      <c r="BC153" s="93">
        <f t="shared" ref="BC153" si="1164">BC180</f>
        <v>756</v>
      </c>
      <c r="BD153" s="93">
        <f t="shared" ref="BD153:BI153" si="1165">BD180</f>
        <v>770</v>
      </c>
      <c r="BE153" s="93">
        <f t="shared" si="1165"/>
        <v>771</v>
      </c>
      <c r="BF153" s="93">
        <f t="shared" si="1165"/>
        <v>1001</v>
      </c>
      <c r="BG153" s="93">
        <f t="shared" si="1165"/>
        <v>1202</v>
      </c>
      <c r="BH153" s="93">
        <f t="shared" si="1165"/>
        <v>1241</v>
      </c>
      <c r="BI153" s="94">
        <f t="shared" si="1165"/>
        <v>1380</v>
      </c>
      <c r="BJ153" s="93">
        <f t="shared" ref="BJ153:BK153" si="1166">BJ180</f>
        <v>1528.9284103507532</v>
      </c>
      <c r="BK153" s="93">
        <f t="shared" si="1166"/>
        <v>1647.8917062024291</v>
      </c>
      <c r="BL153" s="93">
        <f t="shared" ref="BL153:BM153" si="1167">BL180</f>
        <v>1861.950204915946</v>
      </c>
      <c r="BM153" s="93">
        <f t="shared" si="1167"/>
        <v>2002.7477303673036</v>
      </c>
      <c r="BN153" s="93">
        <f>BN180</f>
        <v>2144.5902557219806</v>
      </c>
    </row>
    <row r="154" spans="1:68" ht="12" customHeight="1" outlineLevel="1"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4"/>
      <c r="AJ154" s="176"/>
      <c r="AK154" s="19"/>
      <c r="AL154" s="176"/>
      <c r="AM154" s="19"/>
      <c r="AN154" s="176"/>
      <c r="AO154" s="19"/>
      <c r="AP154" s="19"/>
      <c r="AQ154" s="19"/>
      <c r="AR154" s="19"/>
      <c r="AY154" s="34"/>
      <c r="BB154" s="34"/>
      <c r="BC154" s="34"/>
      <c r="BD154" s="34"/>
      <c r="BE154" s="34"/>
      <c r="BF154" s="34"/>
      <c r="BG154" s="34"/>
      <c r="BH154" s="34"/>
      <c r="BI154" s="35"/>
      <c r="BJ154" s="34"/>
      <c r="BK154" s="34"/>
      <c r="BL154" s="34"/>
      <c r="BM154" s="34"/>
      <c r="BN154" s="34"/>
    </row>
    <row r="155" spans="1:68" ht="12" customHeight="1" outlineLevel="1">
      <c r="B155" s="9" t="s">
        <v>40</v>
      </c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77"/>
      <c r="X155" s="177"/>
      <c r="Y155" s="177"/>
      <c r="Z155" s="177"/>
      <c r="AA155" s="177"/>
      <c r="AB155" s="177"/>
      <c r="AC155" s="177"/>
      <c r="AD155" s="177"/>
      <c r="AE155" s="177"/>
      <c r="AF155" s="177"/>
      <c r="AG155" s="177"/>
      <c r="AH155" s="19"/>
      <c r="AI155" s="35"/>
      <c r="AJ155" s="19"/>
      <c r="AK155" s="19"/>
      <c r="AL155" s="19"/>
      <c r="AM155" s="19"/>
      <c r="AN155" s="19"/>
      <c r="AO155" s="19"/>
      <c r="AP155" s="19"/>
      <c r="AQ155" s="19"/>
      <c r="AR155" s="19"/>
      <c r="BG155" s="34"/>
      <c r="BH155" s="34"/>
    </row>
    <row r="156" spans="1:68" s="9" customFormat="1" ht="12" customHeight="1" outlineLevel="1">
      <c r="A156" s="91" t="s">
        <v>1156</v>
      </c>
      <c r="B156" s="16" t="s">
        <v>6</v>
      </c>
      <c r="C156" s="39">
        <f t="shared" ref="C156:J156" si="1168">C10-C78-C664-C525-C596-C308-C451</f>
        <v>32672</v>
      </c>
      <c r="D156" s="39">
        <f t="shared" si="1168"/>
        <v>32951</v>
      </c>
      <c r="E156" s="39">
        <f t="shared" si="1168"/>
        <v>32448</v>
      </c>
      <c r="F156" s="39">
        <f t="shared" si="1168"/>
        <v>32539</v>
      </c>
      <c r="G156" s="39">
        <f t="shared" si="1168"/>
        <v>31757</v>
      </c>
      <c r="H156" s="39">
        <f t="shared" si="1168"/>
        <v>32241</v>
      </c>
      <c r="I156" s="39">
        <f t="shared" si="1168"/>
        <v>31541</v>
      </c>
      <c r="J156" s="39">
        <f t="shared" si="1168"/>
        <v>31863</v>
      </c>
      <c r="K156" s="39">
        <f t="shared" ref="K156:M156" si="1169">IF(ISERROR(J156/AVERAGE(I190:J190)*AVERAGE(J190:K190)),0,J156/AVERAGE(I190:J190)*AVERAGE(J190:K190))</f>
        <v>33590.928416485898</v>
      </c>
      <c r="L156" s="39">
        <f t="shared" si="1169"/>
        <v>36424.731019522776</v>
      </c>
      <c r="M156" s="39">
        <f t="shared" si="1169"/>
        <v>39327.65075921909</v>
      </c>
      <c r="N156" s="39">
        <f t="shared" ref="N156" si="1170">IF(ISERROR(M156/AVERAGE(L190:M190)*AVERAGE(M190:N190)),0,M156/AVERAGE(L190:M190)*AVERAGE(M190:N190))</f>
        <v>44304.084598698479</v>
      </c>
      <c r="O156" s="39">
        <f t="shared" ref="O156:V156" si="1171">IF(ISERROR(N156/AVERAGE(M190:N190)*AVERAGE(N190:O190)),0,N156/AVERAGE(M190:N190)*AVERAGE(N190:O190))</f>
        <v>49073.167028199568</v>
      </c>
      <c r="P156" s="39">
        <f t="shared" si="1171"/>
        <v>50801.095444685467</v>
      </c>
      <c r="Q156" s="39">
        <f t="shared" si="1171"/>
        <v>50386.392624728847</v>
      </c>
      <c r="R156" s="39">
        <f t="shared" si="1171"/>
        <v>50109.924078091106</v>
      </c>
      <c r="S156" s="39">
        <f t="shared" si="1171"/>
        <v>51077.563991323208</v>
      </c>
      <c r="T156" s="39">
        <f t="shared" si="1171"/>
        <v>65108.342733188721</v>
      </c>
      <c r="U156" s="63">
        <f>AVERAGE(T190:U190)</f>
        <v>54850</v>
      </c>
      <c r="V156" s="39">
        <f t="shared" si="1171"/>
        <v>54450</v>
      </c>
      <c r="W156" s="63">
        <f t="shared" ref="W156:AI156" si="1172">IF(ISERROR(V156/AVERAGE(U190:V190)*AVERAGE(V190:W190)),0,V156/AVERAGE(U190:V190)*AVERAGE(V190:W190))</f>
        <v>57750</v>
      </c>
      <c r="X156" s="63">
        <f t="shared" si="1172"/>
        <v>61450</v>
      </c>
      <c r="Y156" s="63">
        <f t="shared" si="1172"/>
        <v>71000</v>
      </c>
      <c r="Z156" s="63">
        <f t="shared" si="1172"/>
        <v>83750</v>
      </c>
      <c r="AA156" s="63">
        <f t="shared" si="1172"/>
        <v>93750</v>
      </c>
      <c r="AB156" s="63">
        <f t="shared" si="1172"/>
        <v>104600</v>
      </c>
      <c r="AC156" s="63">
        <f t="shared" si="1172"/>
        <v>115950</v>
      </c>
      <c r="AD156" s="63">
        <f t="shared" si="1172"/>
        <v>124900</v>
      </c>
      <c r="AE156" s="63">
        <f t="shared" si="1172"/>
        <v>131700</v>
      </c>
      <c r="AF156" s="63">
        <f t="shared" si="1172"/>
        <v>138000</v>
      </c>
      <c r="AG156" s="63">
        <f t="shared" si="1172"/>
        <v>146100</v>
      </c>
      <c r="AH156" s="63">
        <f t="shared" si="1172"/>
        <v>156850</v>
      </c>
      <c r="AI156" s="64">
        <f t="shared" si="1172"/>
        <v>171050</v>
      </c>
      <c r="AJ156" s="39">
        <f t="shared" ref="AJ156" si="1173">IF(ISERROR(AI156/AVERAGE(AH190:AI190)*AVERAGE(AI190:AJ190)),0,AI156/AVERAGE(AH190:AI190)*AVERAGE(AI190:AJ190))</f>
        <v>188685</v>
      </c>
      <c r="AK156" s="39">
        <f t="shared" ref="AK156" si="1174">IF(ISERROR(AJ156/AVERAGE(AI190:AJ190)*AVERAGE(AJ190:AK190)),0,AJ156/AVERAGE(AI190:AJ190)*AVERAGE(AJ190:AK190))</f>
        <v>206070.97500000003</v>
      </c>
      <c r="AL156" s="39">
        <f t="shared" ref="AL156" si="1175">IF(ISERROR(AK156/AVERAGE(AJ190:AK190)*AVERAGE(AK190:AL190)),0,AK156/AVERAGE(AJ190:AK190)*AVERAGE(AK190:AL190))</f>
        <v>222514.64812500001</v>
      </c>
      <c r="AM156" s="39">
        <f t="shared" ref="AM156" si="1176">IF(ISERROR(AL156/AVERAGE(AK190:AL190)*AVERAGE(AL190:AM190)),0,AL156/AVERAGE(AK190:AL190)*AVERAGE(AL190:AM190))</f>
        <v>237474.06663750001</v>
      </c>
      <c r="AN156" s="39">
        <f t="shared" ref="AN156" si="1177">IF(ISERROR(AM156/AVERAGE(AL190:AM190)*AVERAGE(AM190:AN190)),0,AM156/AVERAGE(AL190:AM190)*AVERAGE(AM190:AN190))</f>
        <v>251111.53366818751</v>
      </c>
      <c r="AO156" s="39">
        <f t="shared" ref="AO156" si="1178">IF(ISERROR(AN156/AVERAGE(AM190:AN190)*AVERAGE(AN190:AO190)),0,AN156/AVERAGE(AM190:AN190)*AVERAGE(AN190:AO190))</f>
        <v>264278.08731915941</v>
      </c>
      <c r="AP156" s="39">
        <f t="shared" ref="AP156" si="1179">IF(ISERROR(AO156/AVERAGE(AN190:AO190)*AVERAGE(AO190:AP190)),0,AO156/AVERAGE(AN190:AO190)*AVERAGE(AO190:AP190))</f>
        <v>277491.99168511736</v>
      </c>
      <c r="AQ156" s="39">
        <f t="shared" ref="AQ156" si="1180">IF(ISERROR(AP156/AVERAGE(AO190:AP190)*AVERAGE(AP190:AQ190)),0,AP156/AVERAGE(AO190:AP190)*AVERAGE(AP190:AQ190))</f>
        <v>291366.59126937331</v>
      </c>
      <c r="AR156" s="39">
        <f t="shared" ref="AR156" si="1181">IF(ISERROR(AQ156/AVERAGE(AP190:AQ190)*AVERAGE(AQ190:AR190)),0,AQ156/AVERAGE(AP190:AQ190)*AVERAGE(AQ190:AR190))</f>
        <v>305934.92083284201</v>
      </c>
      <c r="AS156" s="74"/>
      <c r="AT156" s="63">
        <f>SUMPRODUCT(C156:D156,C$5:D$5)/SUM(C$5:D$5)</f>
        <v>32811.882191780824</v>
      </c>
      <c r="AU156" s="63">
        <f>SUMPRODUCT(E156:F156,E$5:F$5)/SUM(E$5:F$5)</f>
        <v>32493.624657534248</v>
      </c>
      <c r="AV156" s="63">
        <f>SUMPRODUCT(G156:H156,G$5:H$5)/SUM(G$5:H$5)</f>
        <v>31999</v>
      </c>
      <c r="AW156" s="63">
        <f>SUMPRODUCT(I156:J156,I$5:J$5)/SUM(I$5:J$5)</f>
        <v>31702.441095890412</v>
      </c>
      <c r="AX156" s="63">
        <f>SUMPRODUCT(K156:L156,K$5:L$5)/SUM(K$5:L$5)</f>
        <v>35011.711639378358</v>
      </c>
      <c r="AY156" s="63">
        <f>SUMPRODUCT(M156:N156,M$5:N$5)/SUM(M$5:N$5)</f>
        <v>41822.684711615606</v>
      </c>
      <c r="AZ156" s="63">
        <f>SUMPRODUCT(O156:P156,O$5:P$5)/SUM(O$5:P$5)</f>
        <v>49937.131236442518</v>
      </c>
      <c r="BA156" s="63">
        <f>SUMPRODUCT(Q156:R156,Q$5:R$5)/SUM(Q$5:R$5)</f>
        <v>50247.779627373486</v>
      </c>
      <c r="BB156" s="63">
        <f>SUMPRODUCT(S156:T156,S$5:T$5)/SUM(S$5:T$5)</f>
        <v>58112.173607107834</v>
      </c>
      <c r="BC156" s="63">
        <f>SUMPRODUCT(U156:V156,U$5:V$5)/SUM(U$5:V$5)</f>
        <v>54649.452054794521</v>
      </c>
      <c r="BD156" s="63">
        <f>SUMPRODUCT(W156:X156,W$5:X$5)/SUM(W$5:X$5)</f>
        <v>59600</v>
      </c>
      <c r="BE156" s="63">
        <f>SUMPRODUCT(Y156:Z156,Y$5:Z$5)/SUM(Y$5:Z$5)</f>
        <v>77392.46575342468</v>
      </c>
      <c r="BF156" s="63">
        <f>SUMPRODUCT(AA156:AB156,AA$5:AB$5)/SUM(AA$5:AB$5)</f>
        <v>99189.863013698632</v>
      </c>
      <c r="BG156" s="63">
        <f>SUMPRODUCT(AC156:AD156,AC$5:AD$5)/SUM(AC$5:AD$5)</f>
        <v>120437.26027397261</v>
      </c>
      <c r="BH156" s="63">
        <f>SUMPRODUCT(AE156:AF156,AE$5:AF$5)/SUM(AE$5:AF$5)</f>
        <v>134850</v>
      </c>
      <c r="BI156" s="64">
        <f>SUMPRODUCT(AG156:AH156,AG$5:AH$5)/SUM(AG$5:AH$5)</f>
        <v>151489.72602739729</v>
      </c>
      <c r="BJ156" s="63">
        <f>SUMPRODUCT(AI156:AJ156,AI$5:AJ$5)/SUM(AI$5:AJ$5)</f>
        <v>179891.65753424659</v>
      </c>
      <c r="BK156" s="63">
        <f>SUMPRODUCT(AK156:AL156,AK$5:AL$5)/SUM(AK$5:AL$5)</f>
        <v>214315.33714212335</v>
      </c>
      <c r="BL156" s="63">
        <f>SUMPRODUCT(AM156:AN156,AM$5:AN$5)/SUM(AM$5:AN$5)</f>
        <v>244292.80015284376</v>
      </c>
      <c r="BM156" s="63">
        <f>SUMPRODUCT(AO156:AP156,AO$5:AP$5)/SUM(AO$5:AP$5)</f>
        <v>270903.14074099588</v>
      </c>
      <c r="BN156" s="63">
        <f>SUMPRODUCT(AQ156:AR156,AQ$5:AR$5)/SUM(AQ$5:AR$5)</f>
        <v>298670.71266694803</v>
      </c>
    </row>
    <row r="157" spans="1:68" ht="12" customHeight="1" outlineLevel="1">
      <c r="A157" s="91" t="s">
        <v>1157</v>
      </c>
      <c r="B157" s="1" t="s">
        <v>5</v>
      </c>
      <c r="C157" s="37">
        <f>IF(ISERROR(C158/C156),"n.a.",C158/C156*C$5)</f>
        <v>1.5505999689578951E-2</v>
      </c>
      <c r="D157" s="37">
        <f t="shared" ref="D157:J157" si="1182">IF(ISERROR(D158/D156),"n.a.",D158/D156*D$5)</f>
        <v>1.8076291102906379E-2</v>
      </c>
      <c r="E157" s="37">
        <f t="shared" si="1182"/>
        <v>2.1145223698817647E-2</v>
      </c>
      <c r="F157" s="37">
        <f t="shared" si="1182"/>
        <v>2.0708877158061214E-2</v>
      </c>
      <c r="G157" s="37">
        <f t="shared" si="1182"/>
        <v>2.248323204332903E-2</v>
      </c>
      <c r="H157" s="37">
        <f t="shared" si="1182"/>
        <v>2.1463354114326479E-2</v>
      </c>
      <c r="I157" s="37">
        <f t="shared" si="1182"/>
        <v>1.9666483194828551E-2</v>
      </c>
      <c r="J157" s="37">
        <f t="shared" si="1182"/>
        <v>2.0833527330090744E-2</v>
      </c>
      <c r="K157" s="37">
        <f t="shared" ref="K157:L157" si="1183">IF(ISERROR(K158/K156),"n.a.",K158/K156*K$5)</f>
        <v>2.1732057862435487E-2</v>
      </c>
      <c r="L157" s="37">
        <f t="shared" si="1183"/>
        <v>2.048179726142918E-2</v>
      </c>
      <c r="M157" s="37">
        <f t="shared" ref="M157" si="1184">IF(ISERROR(M158/M156),"n.a.",M158/M156*M$5)</f>
        <v>2.0590638015040862E-2</v>
      </c>
      <c r="N157" s="37">
        <f t="shared" ref="N157:O157" si="1185">IF(ISERROR(N158/N156),"n.a.",N158/N156*N$5)</f>
        <v>1.8966698114035365E-2</v>
      </c>
      <c r="O157" s="37">
        <f t="shared" si="1185"/>
        <v>1.8584494444304465E-2</v>
      </c>
      <c r="P157" s="37">
        <f t="shared" ref="P157" si="1186">IF(ISERROR(P158/P156),"n.a.",P158/P156*P$5)</f>
        <v>1.9094076446760481E-2</v>
      </c>
      <c r="Q157" s="37">
        <f t="shared" ref="Q157:R157" si="1187">IF(ISERROR(Q158/Q156),"n.a.",Q158/Q156*Q$5)</f>
        <v>1.9713232815105414E-2</v>
      </c>
      <c r="R157" s="37">
        <f t="shared" si="1187"/>
        <v>2.2052068384805414E-2</v>
      </c>
      <c r="S157" s="37">
        <f t="shared" ref="S157:T157" si="1188">IF(ISERROR(S158/S156),"n.a.",S158/S156*S$5)</f>
        <v>3.0731681992871959E-2</v>
      </c>
      <c r="T157" s="37">
        <f t="shared" si="1188"/>
        <v>2.4549528582369421E-2</v>
      </c>
      <c r="U157" s="37">
        <f t="shared" ref="U157:V157" si="1189">IF(ISERROR(U158/U156),"n.a.",U158/U156*U$5)</f>
        <v>3.0327121658173559E-2</v>
      </c>
      <c r="V157" s="37">
        <f t="shared" si="1189"/>
        <v>3.1086085631540177E-2</v>
      </c>
      <c r="W157" s="37">
        <f t="shared" ref="W157:X157" si="1190">IF(ISERROR(W158/W156),"n.a.",W158/W156*W$5)</f>
        <v>2.9021645021645021E-2</v>
      </c>
      <c r="X157" s="37">
        <f t="shared" si="1190"/>
        <v>2.8966639544344995E-2</v>
      </c>
      <c r="Y157" s="37">
        <f t="shared" ref="Y157:Z157" si="1191">IF(ISERROR(Y158/Y156),"n.a.",Y158/Y156*Y$5)</f>
        <v>2.3709689832986991E-2</v>
      </c>
      <c r="Z157" s="37">
        <f t="shared" si="1191"/>
        <v>2.1599475151713957E-2</v>
      </c>
      <c r="AA157" s="37">
        <f t="shared" ref="AA157" si="1192">IF(ISERROR(AA158/AA156),"n.a.",AA158/AA156*AA$5)</f>
        <v>2.0721894353369765E-2</v>
      </c>
      <c r="AB157" s="37">
        <f t="shared" ref="AB157:AC157" si="1193">IF(ISERROR(AB158/AB156),"n.a.",AB158/AB156*AB$5)</f>
        <v>1.9134641648981994E-2</v>
      </c>
      <c r="AC157" s="37">
        <f t="shared" si="1193"/>
        <v>2.0590418425126714E-2</v>
      </c>
      <c r="AD157" s="37">
        <f t="shared" ref="AD157:AE157" si="1194">IF(ISERROR(AD158/AD156),"n.a.",AD158/AD156*AD$5)</f>
        <v>2.1243148364845723E-2</v>
      </c>
      <c r="AE157" s="37">
        <f t="shared" si="1194"/>
        <v>2.0652999240698557E-2</v>
      </c>
      <c r="AF157" s="37">
        <f t="shared" ref="AF157:AG157" si="1195">IF(ISERROR(AF158/AF156),"n.a.",AF158/AF156*AF$5)</f>
        <v>1.8623188405797103E-2</v>
      </c>
      <c r="AG157" s="37">
        <f t="shared" si="1195"/>
        <v>1.8102355224918931E-2</v>
      </c>
      <c r="AH157" s="37">
        <f t="shared" ref="AH157:AI157" si="1196">IF(ISERROR(AH158/AH156),"n.a.",AH158/AH156*AH$5)</f>
        <v>1.7785418279520925E-2</v>
      </c>
      <c r="AI157" s="38">
        <f t="shared" si="1196"/>
        <v>1.6977747534913736E-2</v>
      </c>
      <c r="AJ157" s="48">
        <f t="shared" ref="AJ157" si="1197">IF(ISERROR(AI157+AJ201),"n.a.",AI157+AJ201)</f>
        <v>1.5477747534913737E-2</v>
      </c>
      <c r="AK157" s="48">
        <f t="shared" ref="AK157" si="1198">IF(ISERROR(AJ157+AK201),"n.a.",AJ157+AK201)</f>
        <v>1.4877747534913737E-2</v>
      </c>
      <c r="AL157" s="48">
        <f t="shared" ref="AL157" si="1199">IF(ISERROR(AK157+AL201),"n.a.",AK157+AL201)</f>
        <v>1.4477747534913737E-2</v>
      </c>
      <c r="AM157" s="48">
        <f t="shared" ref="AM157" si="1200">IF(ISERROR(AL157+AM201),"n.a.",AL157+AM201)</f>
        <v>1.4177747534913738E-2</v>
      </c>
      <c r="AN157" s="48">
        <f t="shared" ref="AN157" si="1201">IF(ISERROR(AM157+AN201),"n.a.",AM157+AN201)</f>
        <v>1.3877747534913738E-2</v>
      </c>
      <c r="AO157" s="48">
        <f t="shared" ref="AO157" si="1202">IF(ISERROR(AN157+AO201),"n.a.",AN157+AO201)</f>
        <v>1.3577747534913738E-2</v>
      </c>
      <c r="AP157" s="48">
        <f t="shared" ref="AP157" si="1203">IF(ISERROR(AO157+AP201),"n.a.",AO157+AP201)</f>
        <v>1.3277747534913738E-2</v>
      </c>
      <c r="AQ157" s="48">
        <f t="shared" ref="AQ157" si="1204">IF(ISERROR(AP157+AQ201),"n.a.",AP157+AQ201)</f>
        <v>1.2977747534913738E-2</v>
      </c>
      <c r="AR157" s="48">
        <f t="shared" ref="AR157" si="1205">IF(ISERROR(AQ157+AR201),"n.a.",AQ157+AR201)</f>
        <v>1.2677747534913738E-2</v>
      </c>
      <c r="AS157" s="8"/>
      <c r="AT157" s="37">
        <f t="shared" ref="AT157:AW157" si="1206">IF(ISERROR(AT158/AT156),"n.a.",AT158/AT156*AT$5)</f>
        <v>1.6792697132687565E-2</v>
      </c>
      <c r="AU157" s="37">
        <f t="shared" si="1206"/>
        <v>2.0927182090851457E-2</v>
      </c>
      <c r="AV157" s="37">
        <f t="shared" si="1206"/>
        <v>2.1969436544892029E-2</v>
      </c>
      <c r="AW157" s="37">
        <f t="shared" si="1206"/>
        <v>2.0250806493359353E-2</v>
      </c>
      <c r="AX157" s="37">
        <f t="shared" ref="AX157:BC157" si="1207">IF(ISERROR(AX158/AX156),"n.a.",AX158/AX156*AX$5)</f>
        <v>2.107866098068616E-2</v>
      </c>
      <c r="AY157" s="37">
        <f t="shared" si="1207"/>
        <v>1.9726136800846478E-2</v>
      </c>
      <c r="AZ157" s="37">
        <f t="shared" si="1207"/>
        <v>1.8843693594342646E-2</v>
      </c>
      <c r="BA157" s="37">
        <f t="shared" si="1207"/>
        <v>2.0876544352390374E-2</v>
      </c>
      <c r="BB157" s="37">
        <f t="shared" si="1207"/>
        <v>2.7257627820107169E-2</v>
      </c>
      <c r="BC157" s="37">
        <f t="shared" si="1207"/>
        <v>3.070479093399776E-2</v>
      </c>
      <c r="BD157" s="37">
        <f>IF(ISERROR(BD158/BD156),"n.a.",BD158/BD156*BD$5)</f>
        <v>2.8993288590604026E-2</v>
      </c>
      <c r="BE157" s="37">
        <f>IF(ISERROR(BE158/BE156),"n.a.",BE158/BE156*BE$5)</f>
        <v>2.2560335596010367E-2</v>
      </c>
      <c r="BF157" s="37">
        <f>IF(ISERROR(BF158/BF156),"n.a.",BF158/BF156*BF$5)</f>
        <v>1.9881063851531447E-2</v>
      </c>
      <c r="BG157" s="37">
        <f t="shared" ref="BG157:BH157" si="1208">IF(ISERROR(BG158/BG156),"n.a.",BG158/BG156*BG$5)</f>
        <v>2.0923757268037014E-2</v>
      </c>
      <c r="BH157" s="37">
        <f t="shared" si="1208"/>
        <v>1.9614386355209491E-2</v>
      </c>
      <c r="BI157" s="38">
        <f t="shared" ref="BI157:BJ157" si="1209">IF(ISERROR(BI158/BI156),"n.a.",BI158/BI156*BI$5)</f>
        <v>1.7935209675596243E-2</v>
      </c>
      <c r="BJ157" s="37">
        <f t="shared" si="1209"/>
        <v>1.6188681915770855E-2</v>
      </c>
      <c r="BK157" s="37">
        <f t="shared" ref="BK157:BL157" si="1210">IF(ISERROR(BK158/BK156),"n.a.",BK158/BK156*BK$5)</f>
        <v>1.4667537364402416E-2</v>
      </c>
      <c r="BL157" s="37">
        <f t="shared" si="1210"/>
        <v>1.4023560714726399E-2</v>
      </c>
      <c r="BM157" s="37">
        <f t="shared" ref="BM157:BN157" si="1211">IF(ISERROR(BM158/BM156),"n.a.",BM158/BM156*BM$5)</f>
        <v>1.3422705740508431E-2</v>
      </c>
      <c r="BN157" s="37">
        <f t="shared" si="1211"/>
        <v>1.2822785922253718E-2</v>
      </c>
    </row>
    <row r="158" spans="1:68" s="9" customFormat="1" ht="12" customHeight="1" outlineLevel="1">
      <c r="A158" s="91" t="s">
        <v>1158</v>
      </c>
      <c r="B158" s="9" t="s">
        <v>7</v>
      </c>
      <c r="C158" s="22">
        <v>254</v>
      </c>
      <c r="D158" s="22">
        <f>551-C158</f>
        <v>297</v>
      </c>
      <c r="E158" s="22">
        <v>344</v>
      </c>
      <c r="F158" s="22">
        <f>680-E158</f>
        <v>336</v>
      </c>
      <c r="G158" s="22">
        <v>357</v>
      </c>
      <c r="H158" s="22">
        <f>703-G158</f>
        <v>346</v>
      </c>
      <c r="I158" s="22">
        <v>311</v>
      </c>
      <c r="J158" s="22">
        <v>331</v>
      </c>
      <c r="K158" s="22">
        <v>366</v>
      </c>
      <c r="L158" s="22">
        <v>372</v>
      </c>
      <c r="M158" s="61">
        <v>406</v>
      </c>
      <c r="N158" s="61">
        <v>419</v>
      </c>
      <c r="O158" s="61">
        <v>456</v>
      </c>
      <c r="P158" s="61">
        <v>485</v>
      </c>
      <c r="Q158" s="61">
        <f>498-Q167</f>
        <v>498</v>
      </c>
      <c r="R158" s="61">
        <f>551-R167</f>
        <v>551</v>
      </c>
      <c r="S158" s="61">
        <v>787</v>
      </c>
      <c r="T158" s="61">
        <v>797</v>
      </c>
      <c r="U158" s="61">
        <v>834</v>
      </c>
      <c r="V158" s="61">
        <v>844</v>
      </c>
      <c r="W158" s="61">
        <v>838</v>
      </c>
      <c r="X158" s="61">
        <v>890</v>
      </c>
      <c r="Y158" s="61">
        <v>844</v>
      </c>
      <c r="Z158" s="61">
        <v>902</v>
      </c>
      <c r="AA158" s="61">
        <v>974</v>
      </c>
      <c r="AB158" s="61">
        <v>998</v>
      </c>
      <c r="AC158" s="61">
        <v>1197</v>
      </c>
      <c r="AD158" s="61">
        <v>1323</v>
      </c>
      <c r="AE158" s="61">
        <v>1360</v>
      </c>
      <c r="AF158" s="61">
        <v>1285</v>
      </c>
      <c r="AG158" s="61">
        <v>1326</v>
      </c>
      <c r="AH158" s="61">
        <v>1391</v>
      </c>
      <c r="AI158" s="338">
        <v>1456</v>
      </c>
      <c r="AJ158" s="39">
        <f t="shared" ref="AJ158" si="1212">IF(ISERROR(AJ156*AJ157),0,AJ156*AJ157/AJ$5)</f>
        <v>1456.2088231227017</v>
      </c>
      <c r="AK158" s="39">
        <f t="shared" ref="AK158:AL158" si="1213">IF(ISERROR(AK156*AK157),0,AK156*AK157/AK$5)</f>
        <v>1537.1357947375461</v>
      </c>
      <c r="AL158" s="39">
        <f t="shared" si="1213"/>
        <v>1606.3424205590488</v>
      </c>
      <c r="AM158" s="39">
        <f t="shared" ref="AM158:AN158" si="1214">IF(ISERROR(AM156*AM157),0,AM156*AM157/AM$5)</f>
        <v>1683.4236814378783</v>
      </c>
      <c r="AN158" s="39">
        <f t="shared" si="1214"/>
        <v>1742.4312336760486</v>
      </c>
      <c r="AO158" s="39">
        <f t="shared" ref="AO158:AP158" si="1215">IF(ISERROR(AO156*AO157),0,AO156*AO157/AO$5)</f>
        <v>1799.066055340237</v>
      </c>
      <c r="AP158" s="39">
        <f t="shared" si="1215"/>
        <v>1837.1870870056916</v>
      </c>
      <c r="AQ158" s="39">
        <f t="shared" ref="AQ158:AR158" si="1216">IF(ISERROR(AQ156*AQ157),0,AQ156*AQ157/AQ$5)</f>
        <v>1895.8208692417152</v>
      </c>
      <c r="AR158" s="39">
        <f t="shared" si="1216"/>
        <v>1933.9697405335116</v>
      </c>
      <c r="AS158" s="74"/>
      <c r="AT158" s="39">
        <f t="shared" ref="AT158:AT165" si="1217">C158+D158</f>
        <v>551</v>
      </c>
      <c r="AU158" s="39">
        <f t="shared" ref="AU158:AU165" si="1218">E158+F158</f>
        <v>680</v>
      </c>
      <c r="AV158" s="39">
        <f t="shared" ref="AV158:AV165" si="1219">G158+H158</f>
        <v>703</v>
      </c>
      <c r="AW158" s="39">
        <f t="shared" ref="AW158:AW165" si="1220">I158+J158</f>
        <v>642</v>
      </c>
      <c r="AX158" s="39">
        <f t="shared" ref="AX158:AX165" si="1221">K158+L158</f>
        <v>738</v>
      </c>
      <c r="AY158" s="39">
        <f t="shared" ref="AY158:AY165" si="1222">M158+N158</f>
        <v>825</v>
      </c>
      <c r="AZ158" s="39">
        <f t="shared" ref="AZ158:AZ165" si="1223">O158+P158</f>
        <v>941</v>
      </c>
      <c r="BA158" s="39">
        <f t="shared" ref="BA158:BA165" si="1224">Q158+R158</f>
        <v>1049</v>
      </c>
      <c r="BB158" s="39">
        <f t="shared" ref="BB158:BB165" si="1225">S158+T158</f>
        <v>1584</v>
      </c>
      <c r="BC158" s="39">
        <f t="shared" ref="BC158:BC165" si="1226">U158+V158</f>
        <v>1678</v>
      </c>
      <c r="BD158" s="39">
        <f t="shared" ref="BD158:BD165" si="1227">W158+X158</f>
        <v>1728</v>
      </c>
      <c r="BE158" s="39">
        <f t="shared" ref="BE158:BE165" si="1228">Y158+Z158</f>
        <v>1746</v>
      </c>
      <c r="BF158" s="39">
        <f t="shared" ref="BF158:BF165" si="1229">AA158+AB158</f>
        <v>1972</v>
      </c>
      <c r="BG158" s="39">
        <f t="shared" ref="BG158:BG165" si="1230">AC158+AD158</f>
        <v>2520</v>
      </c>
      <c r="BH158" s="39">
        <f t="shared" ref="BH158:BH165" si="1231">AE158+AF158</f>
        <v>2645</v>
      </c>
      <c r="BI158" s="40">
        <f t="shared" ref="BI158:BI165" si="1232">AG158+AH158</f>
        <v>2717</v>
      </c>
      <c r="BJ158" s="39">
        <f t="shared" ref="BJ158:BJ165" si="1233">AI158+AJ158</f>
        <v>2912.2088231227017</v>
      </c>
      <c r="BK158" s="39">
        <f t="shared" ref="BK158:BK165" si="1234">AK158+AL158</f>
        <v>3143.478215296595</v>
      </c>
      <c r="BL158" s="39">
        <f t="shared" ref="BL158:BL165" si="1235">AM158+AN158</f>
        <v>3425.8549151139268</v>
      </c>
      <c r="BM158" s="39">
        <f t="shared" ref="BM158:BM165" si="1236">AO158+AP158</f>
        <v>3636.2531423459286</v>
      </c>
      <c r="BN158" s="39">
        <f t="shared" ref="BN158:BN165" si="1237">AQ158+AR158</f>
        <v>3829.7906097752266</v>
      </c>
      <c r="BP158" s="17">
        <f>+BK158-BJ158</f>
        <v>231.26939217389327</v>
      </c>
    </row>
    <row r="159" spans="1:68" ht="12" customHeight="1" outlineLevel="1">
      <c r="A159" s="91" t="s">
        <v>1159</v>
      </c>
      <c r="B159" s="1" t="s">
        <v>31</v>
      </c>
      <c r="C159" s="21">
        <v>102</v>
      </c>
      <c r="D159" s="21">
        <f>199-C159</f>
        <v>97</v>
      </c>
      <c r="E159" s="21">
        <v>54</v>
      </c>
      <c r="F159" s="21">
        <f>74-E159</f>
        <v>20</v>
      </c>
      <c r="G159" s="21">
        <v>16</v>
      </c>
      <c r="H159" s="21">
        <f>33-G159</f>
        <v>17</v>
      </c>
      <c r="I159" s="21">
        <v>19</v>
      </c>
      <c r="J159" s="21">
        <v>9</v>
      </c>
      <c r="K159" s="21">
        <v>16</v>
      </c>
      <c r="L159" s="21">
        <v>8</v>
      </c>
      <c r="M159" s="62">
        <v>6</v>
      </c>
      <c r="N159" s="62">
        <v>6</v>
      </c>
      <c r="O159" s="62">
        <v>0</v>
      </c>
      <c r="P159" s="62">
        <v>0</v>
      </c>
      <c r="Q159" s="62">
        <v>0</v>
      </c>
      <c r="R159" s="62">
        <v>0</v>
      </c>
      <c r="S159" s="62">
        <v>0</v>
      </c>
      <c r="T159" s="62">
        <v>0</v>
      </c>
      <c r="U159" s="62">
        <v>0</v>
      </c>
      <c r="V159" s="62">
        <v>0</v>
      </c>
      <c r="W159" s="62">
        <v>0</v>
      </c>
      <c r="X159" s="62">
        <v>0</v>
      </c>
      <c r="Y159" s="62">
        <v>0</v>
      </c>
      <c r="Z159" s="62">
        <v>0</v>
      </c>
      <c r="AA159" s="62">
        <v>0</v>
      </c>
      <c r="AB159" s="62">
        <v>0</v>
      </c>
      <c r="AC159" s="62">
        <f t="shared" ref="AC159:AG159" si="1238">AC13-AC81-AC667-AC231-AC311-AC454</f>
        <v>11</v>
      </c>
      <c r="AD159" s="62">
        <f t="shared" si="1238"/>
        <v>11</v>
      </c>
      <c r="AE159" s="62">
        <f t="shared" si="1238"/>
        <v>10</v>
      </c>
      <c r="AF159" s="62">
        <f t="shared" si="1238"/>
        <v>11</v>
      </c>
      <c r="AG159" s="62">
        <f t="shared" si="1238"/>
        <v>12</v>
      </c>
      <c r="AH159" s="62">
        <f>AH13-AH81-AH667-AH231-AH311-AH454</f>
        <v>11</v>
      </c>
      <c r="AI159" s="57">
        <f>AI13-AI81-AI667-AI231-AI311-AI454</f>
        <v>12</v>
      </c>
      <c r="AJ159" s="58">
        <f t="shared" ref="AJ159:AJ162" si="1239">AI159</f>
        <v>12</v>
      </c>
      <c r="AK159" s="58">
        <f t="shared" ref="AK159:AK162" si="1240">AJ159</f>
        <v>12</v>
      </c>
      <c r="AL159" s="58">
        <f t="shared" ref="AL159:AL162" si="1241">AK159</f>
        <v>12</v>
      </c>
      <c r="AM159" s="58">
        <f t="shared" ref="AM159:AM162" si="1242">AL159</f>
        <v>12</v>
      </c>
      <c r="AN159" s="58">
        <f t="shared" ref="AN159:AN162" si="1243">AM159</f>
        <v>12</v>
      </c>
      <c r="AO159" s="58">
        <f t="shared" ref="AO159:AO162" si="1244">AN159</f>
        <v>12</v>
      </c>
      <c r="AP159" s="58">
        <f t="shared" ref="AP159:AP162" si="1245">AO159</f>
        <v>12</v>
      </c>
      <c r="AQ159" s="58">
        <f t="shared" ref="AQ159:AQ162" si="1246">AP159</f>
        <v>12</v>
      </c>
      <c r="AR159" s="58">
        <f t="shared" ref="AR159:AR162" si="1247">AQ159</f>
        <v>12</v>
      </c>
      <c r="AS159" s="8"/>
      <c r="AT159" s="41">
        <f t="shared" si="1217"/>
        <v>199</v>
      </c>
      <c r="AU159" s="41">
        <f t="shared" si="1218"/>
        <v>74</v>
      </c>
      <c r="AV159" s="41">
        <f t="shared" si="1219"/>
        <v>33</v>
      </c>
      <c r="AW159" s="41">
        <f t="shared" si="1220"/>
        <v>28</v>
      </c>
      <c r="AX159" s="41">
        <f t="shared" si="1221"/>
        <v>24</v>
      </c>
      <c r="AY159" s="41">
        <f t="shared" si="1222"/>
        <v>12</v>
      </c>
      <c r="AZ159" s="41">
        <f t="shared" si="1223"/>
        <v>0</v>
      </c>
      <c r="BA159" s="41">
        <f t="shared" si="1224"/>
        <v>0</v>
      </c>
      <c r="BB159" s="41">
        <f t="shared" si="1225"/>
        <v>0</v>
      </c>
      <c r="BC159" s="41">
        <f t="shared" si="1226"/>
        <v>0</v>
      </c>
      <c r="BD159" s="41">
        <f t="shared" si="1227"/>
        <v>0</v>
      </c>
      <c r="BE159" s="41">
        <f t="shared" si="1228"/>
        <v>0</v>
      </c>
      <c r="BF159" s="41">
        <f t="shared" si="1229"/>
        <v>0</v>
      </c>
      <c r="BG159" s="41">
        <f t="shared" si="1230"/>
        <v>22</v>
      </c>
      <c r="BH159" s="41">
        <f t="shared" si="1231"/>
        <v>21</v>
      </c>
      <c r="BI159" s="42">
        <f t="shared" si="1232"/>
        <v>23</v>
      </c>
      <c r="BJ159" s="41">
        <f t="shared" si="1233"/>
        <v>24</v>
      </c>
      <c r="BK159" s="41">
        <f t="shared" si="1234"/>
        <v>24</v>
      </c>
      <c r="BL159" s="41">
        <f t="shared" si="1235"/>
        <v>24</v>
      </c>
      <c r="BM159" s="41">
        <f t="shared" si="1236"/>
        <v>24</v>
      </c>
      <c r="BN159" s="41">
        <f t="shared" si="1237"/>
        <v>24</v>
      </c>
    </row>
    <row r="160" spans="1:68" ht="12" customHeight="1" outlineLevel="1">
      <c r="A160" s="91" t="s">
        <v>1160</v>
      </c>
      <c r="B160" s="1" t="s">
        <v>30</v>
      </c>
      <c r="C160" s="21">
        <v>0</v>
      </c>
      <c r="D160" s="21">
        <v>0</v>
      </c>
      <c r="E160" s="21">
        <v>0</v>
      </c>
      <c r="F160" s="21">
        <v>0</v>
      </c>
      <c r="G160" s="21">
        <v>0</v>
      </c>
      <c r="H160" s="21">
        <v>0</v>
      </c>
      <c r="I160" s="21">
        <v>0</v>
      </c>
      <c r="J160" s="21">
        <v>0</v>
      </c>
      <c r="K160" s="21">
        <v>0</v>
      </c>
      <c r="L160" s="21">
        <v>0</v>
      </c>
      <c r="M160" s="62">
        <v>0</v>
      </c>
      <c r="N160" s="62">
        <v>0</v>
      </c>
      <c r="O160" s="62">
        <v>0</v>
      </c>
      <c r="P160" s="62">
        <v>0</v>
      </c>
      <c r="Q160" s="62">
        <v>0</v>
      </c>
      <c r="R160" s="62">
        <v>0</v>
      </c>
      <c r="S160" s="62">
        <v>0</v>
      </c>
      <c r="T160" s="62">
        <v>0</v>
      </c>
      <c r="U160" s="62">
        <v>0</v>
      </c>
      <c r="V160" s="62">
        <v>0</v>
      </c>
      <c r="W160" s="62">
        <v>0</v>
      </c>
      <c r="X160" s="62">
        <v>0</v>
      </c>
      <c r="Y160" s="62">
        <v>0</v>
      </c>
      <c r="Z160" s="62">
        <v>0</v>
      </c>
      <c r="AA160" s="62">
        <v>0</v>
      </c>
      <c r="AB160" s="62">
        <v>0</v>
      </c>
      <c r="AC160" s="62">
        <v>0</v>
      </c>
      <c r="AD160" s="62">
        <v>0</v>
      </c>
      <c r="AE160" s="62">
        <v>0</v>
      </c>
      <c r="AF160" s="62">
        <v>0</v>
      </c>
      <c r="AG160" s="62">
        <v>0</v>
      </c>
      <c r="AH160" s="62">
        <v>0</v>
      </c>
      <c r="AI160" s="57">
        <v>0</v>
      </c>
      <c r="AJ160" s="58">
        <f t="shared" si="1239"/>
        <v>0</v>
      </c>
      <c r="AK160" s="58">
        <f t="shared" si="1240"/>
        <v>0</v>
      </c>
      <c r="AL160" s="58">
        <f t="shared" si="1241"/>
        <v>0</v>
      </c>
      <c r="AM160" s="58">
        <f t="shared" si="1242"/>
        <v>0</v>
      </c>
      <c r="AN160" s="58">
        <f t="shared" si="1243"/>
        <v>0</v>
      </c>
      <c r="AO160" s="58">
        <f t="shared" si="1244"/>
        <v>0</v>
      </c>
      <c r="AP160" s="58">
        <f t="shared" si="1245"/>
        <v>0</v>
      </c>
      <c r="AQ160" s="58">
        <f t="shared" si="1246"/>
        <v>0</v>
      </c>
      <c r="AR160" s="58">
        <f t="shared" si="1247"/>
        <v>0</v>
      </c>
      <c r="AS160" s="8"/>
      <c r="AT160" s="41">
        <f t="shared" si="1217"/>
        <v>0</v>
      </c>
      <c r="AU160" s="41">
        <f t="shared" si="1218"/>
        <v>0</v>
      </c>
      <c r="AV160" s="41">
        <f t="shared" si="1219"/>
        <v>0</v>
      </c>
      <c r="AW160" s="41">
        <f t="shared" si="1220"/>
        <v>0</v>
      </c>
      <c r="AX160" s="41">
        <f t="shared" si="1221"/>
        <v>0</v>
      </c>
      <c r="AY160" s="41">
        <f t="shared" si="1222"/>
        <v>0</v>
      </c>
      <c r="AZ160" s="41">
        <f t="shared" si="1223"/>
        <v>0</v>
      </c>
      <c r="BA160" s="41">
        <f t="shared" si="1224"/>
        <v>0</v>
      </c>
      <c r="BB160" s="41">
        <f t="shared" si="1225"/>
        <v>0</v>
      </c>
      <c r="BC160" s="41">
        <f t="shared" si="1226"/>
        <v>0</v>
      </c>
      <c r="BD160" s="41">
        <f t="shared" si="1227"/>
        <v>0</v>
      </c>
      <c r="BE160" s="41">
        <f t="shared" si="1228"/>
        <v>0</v>
      </c>
      <c r="BF160" s="41">
        <f t="shared" si="1229"/>
        <v>0</v>
      </c>
      <c r="BG160" s="41">
        <f t="shared" si="1230"/>
        <v>0</v>
      </c>
      <c r="BH160" s="41">
        <f t="shared" si="1231"/>
        <v>0</v>
      </c>
      <c r="BI160" s="42">
        <f t="shared" si="1232"/>
        <v>0</v>
      </c>
      <c r="BJ160" s="41">
        <f t="shared" si="1233"/>
        <v>0</v>
      </c>
      <c r="BK160" s="41">
        <f t="shared" si="1234"/>
        <v>0</v>
      </c>
      <c r="BL160" s="41">
        <f t="shared" si="1235"/>
        <v>0</v>
      </c>
      <c r="BM160" s="41">
        <f t="shared" si="1236"/>
        <v>0</v>
      </c>
      <c r="BN160" s="41">
        <f t="shared" si="1237"/>
        <v>0</v>
      </c>
    </row>
    <row r="161" spans="1:66" ht="12" customHeight="1" outlineLevel="1">
      <c r="A161" s="91" t="s">
        <v>1161</v>
      </c>
      <c r="B161" s="1" t="s">
        <v>32</v>
      </c>
      <c r="C161" s="21">
        <v>0</v>
      </c>
      <c r="D161" s="21">
        <v>0</v>
      </c>
      <c r="E161" s="21">
        <v>0</v>
      </c>
      <c r="F161" s="21">
        <v>0</v>
      </c>
      <c r="G161" s="21">
        <v>0</v>
      </c>
      <c r="H161" s="21">
        <v>0</v>
      </c>
      <c r="I161" s="21">
        <v>0</v>
      </c>
      <c r="J161" s="21">
        <v>0</v>
      </c>
      <c r="K161" s="21">
        <v>0</v>
      </c>
      <c r="L161" s="21">
        <v>0</v>
      </c>
      <c r="M161" s="62">
        <v>0</v>
      </c>
      <c r="N161" s="62">
        <v>0</v>
      </c>
      <c r="O161" s="62">
        <v>0</v>
      </c>
      <c r="P161" s="62">
        <v>0</v>
      </c>
      <c r="Q161" s="62">
        <v>0</v>
      </c>
      <c r="R161" s="62">
        <v>0</v>
      </c>
      <c r="S161" s="62">
        <v>0</v>
      </c>
      <c r="T161" s="62">
        <v>0</v>
      </c>
      <c r="U161" s="62">
        <v>0</v>
      </c>
      <c r="V161" s="62">
        <v>0</v>
      </c>
      <c r="W161" s="62">
        <v>0</v>
      </c>
      <c r="X161" s="62">
        <v>0</v>
      </c>
      <c r="Y161" s="62">
        <v>0</v>
      </c>
      <c r="Z161" s="62">
        <v>0</v>
      </c>
      <c r="AA161" s="62">
        <v>0</v>
      </c>
      <c r="AB161" s="62">
        <v>0</v>
      </c>
      <c r="AC161" s="62">
        <v>0</v>
      </c>
      <c r="AD161" s="62">
        <v>0</v>
      </c>
      <c r="AE161" s="62">
        <v>0</v>
      </c>
      <c r="AF161" s="62">
        <v>0</v>
      </c>
      <c r="AG161" s="62">
        <v>0</v>
      </c>
      <c r="AH161" s="62">
        <v>0</v>
      </c>
      <c r="AI161" s="57">
        <v>0</v>
      </c>
      <c r="AJ161" s="58">
        <f t="shared" si="1239"/>
        <v>0</v>
      </c>
      <c r="AK161" s="58">
        <f t="shared" si="1240"/>
        <v>0</v>
      </c>
      <c r="AL161" s="58">
        <f t="shared" si="1241"/>
        <v>0</v>
      </c>
      <c r="AM161" s="58">
        <f t="shared" si="1242"/>
        <v>0</v>
      </c>
      <c r="AN161" s="58">
        <f t="shared" si="1243"/>
        <v>0</v>
      </c>
      <c r="AO161" s="58">
        <f t="shared" si="1244"/>
        <v>0</v>
      </c>
      <c r="AP161" s="58">
        <f t="shared" si="1245"/>
        <v>0</v>
      </c>
      <c r="AQ161" s="58">
        <f t="shared" si="1246"/>
        <v>0</v>
      </c>
      <c r="AR161" s="58">
        <f t="shared" si="1247"/>
        <v>0</v>
      </c>
      <c r="AS161" s="8"/>
      <c r="AT161" s="41">
        <f t="shared" si="1217"/>
        <v>0</v>
      </c>
      <c r="AU161" s="41">
        <f t="shared" si="1218"/>
        <v>0</v>
      </c>
      <c r="AV161" s="41">
        <f t="shared" si="1219"/>
        <v>0</v>
      </c>
      <c r="AW161" s="41">
        <f t="shared" si="1220"/>
        <v>0</v>
      </c>
      <c r="AX161" s="41">
        <f t="shared" si="1221"/>
        <v>0</v>
      </c>
      <c r="AY161" s="41">
        <f t="shared" si="1222"/>
        <v>0</v>
      </c>
      <c r="AZ161" s="41">
        <f t="shared" si="1223"/>
        <v>0</v>
      </c>
      <c r="BA161" s="41">
        <f t="shared" si="1224"/>
        <v>0</v>
      </c>
      <c r="BB161" s="41">
        <f t="shared" si="1225"/>
        <v>0</v>
      </c>
      <c r="BC161" s="41">
        <f t="shared" si="1226"/>
        <v>0</v>
      </c>
      <c r="BD161" s="41">
        <f t="shared" si="1227"/>
        <v>0</v>
      </c>
      <c r="BE161" s="41">
        <f t="shared" si="1228"/>
        <v>0</v>
      </c>
      <c r="BF161" s="41">
        <f t="shared" si="1229"/>
        <v>0</v>
      </c>
      <c r="BG161" s="41">
        <f t="shared" si="1230"/>
        <v>0</v>
      </c>
      <c r="BH161" s="41">
        <f t="shared" si="1231"/>
        <v>0</v>
      </c>
      <c r="BI161" s="42">
        <f t="shared" si="1232"/>
        <v>0</v>
      </c>
      <c r="BJ161" s="41">
        <f t="shared" si="1233"/>
        <v>0</v>
      </c>
      <c r="BK161" s="41">
        <f t="shared" si="1234"/>
        <v>0</v>
      </c>
      <c r="BL161" s="41">
        <f t="shared" si="1235"/>
        <v>0</v>
      </c>
      <c r="BM161" s="41">
        <f t="shared" si="1236"/>
        <v>0</v>
      </c>
      <c r="BN161" s="41">
        <f t="shared" si="1237"/>
        <v>0</v>
      </c>
    </row>
    <row r="162" spans="1:66" ht="12" customHeight="1" outlineLevel="1">
      <c r="A162" s="91" t="s">
        <v>1162</v>
      </c>
      <c r="B162" s="1" t="s">
        <v>33</v>
      </c>
      <c r="C162" s="21">
        <v>0</v>
      </c>
      <c r="D162" s="21">
        <v>0</v>
      </c>
      <c r="E162" s="21">
        <v>0</v>
      </c>
      <c r="F162" s="21">
        <v>0</v>
      </c>
      <c r="G162" s="21">
        <v>0</v>
      </c>
      <c r="H162" s="21">
        <v>0</v>
      </c>
      <c r="I162" s="21">
        <v>0</v>
      </c>
      <c r="J162" s="21">
        <v>0</v>
      </c>
      <c r="K162" s="21">
        <v>0</v>
      </c>
      <c r="L162" s="21">
        <v>0</v>
      </c>
      <c r="M162" s="62">
        <v>0</v>
      </c>
      <c r="N162" s="62">
        <v>0</v>
      </c>
      <c r="O162" s="62">
        <v>0</v>
      </c>
      <c r="P162" s="62">
        <v>0</v>
      </c>
      <c r="Q162" s="62">
        <v>0</v>
      </c>
      <c r="R162" s="62">
        <v>0</v>
      </c>
      <c r="S162" s="62">
        <v>0</v>
      </c>
      <c r="T162" s="62">
        <v>0</v>
      </c>
      <c r="U162" s="62">
        <v>0</v>
      </c>
      <c r="V162" s="62">
        <v>0</v>
      </c>
      <c r="W162" s="62">
        <v>0</v>
      </c>
      <c r="X162" s="62">
        <v>0</v>
      </c>
      <c r="Y162" s="62">
        <v>0</v>
      </c>
      <c r="Z162" s="62">
        <v>0</v>
      </c>
      <c r="AA162" s="62">
        <v>0</v>
      </c>
      <c r="AB162" s="62">
        <v>0</v>
      </c>
      <c r="AC162" s="62">
        <v>0</v>
      </c>
      <c r="AD162" s="62">
        <v>0</v>
      </c>
      <c r="AE162" s="62">
        <v>0</v>
      </c>
      <c r="AF162" s="62">
        <v>0</v>
      </c>
      <c r="AG162" s="62">
        <v>0</v>
      </c>
      <c r="AH162" s="62">
        <v>0</v>
      </c>
      <c r="AI162" s="57">
        <v>0</v>
      </c>
      <c r="AJ162" s="58">
        <f t="shared" si="1239"/>
        <v>0</v>
      </c>
      <c r="AK162" s="58">
        <f t="shared" si="1240"/>
        <v>0</v>
      </c>
      <c r="AL162" s="58">
        <f t="shared" si="1241"/>
        <v>0</v>
      </c>
      <c r="AM162" s="58">
        <f t="shared" si="1242"/>
        <v>0</v>
      </c>
      <c r="AN162" s="58">
        <f t="shared" si="1243"/>
        <v>0</v>
      </c>
      <c r="AO162" s="58">
        <f t="shared" si="1244"/>
        <v>0</v>
      </c>
      <c r="AP162" s="58">
        <f t="shared" si="1245"/>
        <v>0</v>
      </c>
      <c r="AQ162" s="58">
        <f t="shared" si="1246"/>
        <v>0</v>
      </c>
      <c r="AR162" s="58">
        <f t="shared" si="1247"/>
        <v>0</v>
      </c>
      <c r="AS162" s="8"/>
      <c r="AT162" s="41">
        <f t="shared" si="1217"/>
        <v>0</v>
      </c>
      <c r="AU162" s="41">
        <f t="shared" si="1218"/>
        <v>0</v>
      </c>
      <c r="AV162" s="41">
        <f t="shared" si="1219"/>
        <v>0</v>
      </c>
      <c r="AW162" s="41">
        <f t="shared" si="1220"/>
        <v>0</v>
      </c>
      <c r="AX162" s="41">
        <f t="shared" si="1221"/>
        <v>0</v>
      </c>
      <c r="AY162" s="41">
        <f t="shared" si="1222"/>
        <v>0</v>
      </c>
      <c r="AZ162" s="41">
        <f t="shared" si="1223"/>
        <v>0</v>
      </c>
      <c r="BA162" s="41">
        <f t="shared" si="1224"/>
        <v>0</v>
      </c>
      <c r="BB162" s="41">
        <f t="shared" si="1225"/>
        <v>0</v>
      </c>
      <c r="BC162" s="41">
        <f t="shared" si="1226"/>
        <v>0</v>
      </c>
      <c r="BD162" s="41">
        <f t="shared" si="1227"/>
        <v>0</v>
      </c>
      <c r="BE162" s="41">
        <f t="shared" si="1228"/>
        <v>0</v>
      </c>
      <c r="BF162" s="41">
        <f t="shared" si="1229"/>
        <v>0</v>
      </c>
      <c r="BG162" s="41">
        <f t="shared" si="1230"/>
        <v>0</v>
      </c>
      <c r="BH162" s="41">
        <f t="shared" si="1231"/>
        <v>0</v>
      </c>
      <c r="BI162" s="42">
        <f t="shared" si="1232"/>
        <v>0</v>
      </c>
      <c r="BJ162" s="41">
        <f t="shared" si="1233"/>
        <v>0</v>
      </c>
      <c r="BK162" s="41">
        <f t="shared" si="1234"/>
        <v>0</v>
      </c>
      <c r="BL162" s="41">
        <f t="shared" si="1235"/>
        <v>0</v>
      </c>
      <c r="BM162" s="41">
        <f t="shared" si="1236"/>
        <v>0</v>
      </c>
      <c r="BN162" s="41">
        <f t="shared" si="1237"/>
        <v>0</v>
      </c>
    </row>
    <row r="163" spans="1:66" ht="12" customHeight="1" outlineLevel="1">
      <c r="A163" s="91" t="s">
        <v>1163</v>
      </c>
      <c r="B163" s="1" t="s">
        <v>20</v>
      </c>
      <c r="C163" s="21">
        <v>0</v>
      </c>
      <c r="D163" s="21">
        <v>0</v>
      </c>
      <c r="E163" s="21">
        <v>0</v>
      </c>
      <c r="F163" s="21">
        <v>0</v>
      </c>
      <c r="G163" s="21">
        <v>0</v>
      </c>
      <c r="H163" s="21">
        <v>0</v>
      </c>
      <c r="I163" s="21">
        <v>0</v>
      </c>
      <c r="J163" s="21">
        <v>0</v>
      </c>
      <c r="K163" s="21">
        <v>0</v>
      </c>
      <c r="L163" s="21">
        <v>0</v>
      </c>
      <c r="M163" s="62">
        <v>0</v>
      </c>
      <c r="N163" s="62">
        <v>0</v>
      </c>
      <c r="O163" s="62">
        <v>0</v>
      </c>
      <c r="P163" s="62">
        <v>0</v>
      </c>
      <c r="Q163" s="62">
        <v>0</v>
      </c>
      <c r="R163" s="62">
        <v>0</v>
      </c>
      <c r="S163" s="62">
        <v>0</v>
      </c>
      <c r="T163" s="62">
        <v>0</v>
      </c>
      <c r="U163" s="62">
        <v>0</v>
      </c>
      <c r="V163" s="62">
        <v>0</v>
      </c>
      <c r="W163" s="62">
        <v>0</v>
      </c>
      <c r="X163" s="62">
        <v>0</v>
      </c>
      <c r="Y163" s="62">
        <v>0</v>
      </c>
      <c r="Z163" s="62">
        <v>0</v>
      </c>
      <c r="AA163" s="62">
        <v>0</v>
      </c>
      <c r="AB163" s="62">
        <v>0</v>
      </c>
      <c r="AC163" s="62">
        <v>0</v>
      </c>
      <c r="AD163" s="62">
        <v>0</v>
      </c>
      <c r="AE163" s="62">
        <v>0</v>
      </c>
      <c r="AF163" s="62">
        <v>0</v>
      </c>
      <c r="AG163" s="62">
        <v>0</v>
      </c>
      <c r="AH163" s="62">
        <v>0</v>
      </c>
      <c r="AI163" s="57">
        <v>0</v>
      </c>
      <c r="AJ163" s="41">
        <f t="shared" ref="AJ163:AR163" si="1248">IF(ISERROR(AI163*(1+AJ206)),0,AI163*(1+AJ206))</f>
        <v>0</v>
      </c>
      <c r="AK163" s="41">
        <f t="shared" si="1248"/>
        <v>0</v>
      </c>
      <c r="AL163" s="41">
        <f t="shared" si="1248"/>
        <v>0</v>
      </c>
      <c r="AM163" s="41">
        <f t="shared" si="1248"/>
        <v>0</v>
      </c>
      <c r="AN163" s="41">
        <f t="shared" si="1248"/>
        <v>0</v>
      </c>
      <c r="AO163" s="41">
        <f t="shared" si="1248"/>
        <v>0</v>
      </c>
      <c r="AP163" s="41">
        <f t="shared" si="1248"/>
        <v>0</v>
      </c>
      <c r="AQ163" s="41">
        <f t="shared" si="1248"/>
        <v>0</v>
      </c>
      <c r="AR163" s="41">
        <f t="shared" si="1248"/>
        <v>0</v>
      </c>
      <c r="AS163" s="8"/>
      <c r="AT163" s="41">
        <f t="shared" si="1217"/>
        <v>0</v>
      </c>
      <c r="AU163" s="41">
        <f t="shared" si="1218"/>
        <v>0</v>
      </c>
      <c r="AV163" s="41">
        <f t="shared" si="1219"/>
        <v>0</v>
      </c>
      <c r="AW163" s="41">
        <f t="shared" si="1220"/>
        <v>0</v>
      </c>
      <c r="AX163" s="41">
        <f t="shared" si="1221"/>
        <v>0</v>
      </c>
      <c r="AY163" s="41">
        <f t="shared" si="1222"/>
        <v>0</v>
      </c>
      <c r="AZ163" s="41">
        <f t="shared" si="1223"/>
        <v>0</v>
      </c>
      <c r="BA163" s="41">
        <f t="shared" si="1224"/>
        <v>0</v>
      </c>
      <c r="BB163" s="41">
        <f t="shared" si="1225"/>
        <v>0</v>
      </c>
      <c r="BC163" s="41">
        <f t="shared" si="1226"/>
        <v>0</v>
      </c>
      <c r="BD163" s="41">
        <f t="shared" si="1227"/>
        <v>0</v>
      </c>
      <c r="BE163" s="41">
        <f t="shared" si="1228"/>
        <v>0</v>
      </c>
      <c r="BF163" s="41">
        <f t="shared" si="1229"/>
        <v>0</v>
      </c>
      <c r="BG163" s="41">
        <f t="shared" si="1230"/>
        <v>0</v>
      </c>
      <c r="BH163" s="41">
        <f t="shared" si="1231"/>
        <v>0</v>
      </c>
      <c r="BI163" s="42">
        <f t="shared" si="1232"/>
        <v>0</v>
      </c>
      <c r="BJ163" s="41">
        <f t="shared" si="1233"/>
        <v>0</v>
      </c>
      <c r="BK163" s="41">
        <f t="shared" si="1234"/>
        <v>0</v>
      </c>
      <c r="BL163" s="41">
        <f t="shared" si="1235"/>
        <v>0</v>
      </c>
      <c r="BM163" s="41">
        <f t="shared" si="1236"/>
        <v>0</v>
      </c>
      <c r="BN163" s="41">
        <f t="shared" si="1237"/>
        <v>0</v>
      </c>
    </row>
    <row r="164" spans="1:66" ht="12" customHeight="1" outlineLevel="1">
      <c r="A164" s="91" t="s">
        <v>1164</v>
      </c>
      <c r="B164" s="1" t="s">
        <v>19</v>
      </c>
      <c r="C164" s="21">
        <v>105</v>
      </c>
      <c r="D164" s="21">
        <f>224-C164</f>
        <v>119</v>
      </c>
      <c r="E164" s="21">
        <v>130</v>
      </c>
      <c r="F164" s="21">
        <f>257-E164</f>
        <v>127</v>
      </c>
      <c r="G164" s="21">
        <v>118</v>
      </c>
      <c r="H164" s="21">
        <f>217-G164</f>
        <v>99</v>
      </c>
      <c r="I164" s="21">
        <v>103</v>
      </c>
      <c r="J164" s="21">
        <v>111</v>
      </c>
      <c r="K164" s="21">
        <v>106</v>
      </c>
      <c r="L164" s="21">
        <v>73</v>
      </c>
      <c r="M164" s="62">
        <v>64</v>
      </c>
      <c r="N164" s="62">
        <v>58</v>
      </c>
      <c r="O164" s="62">
        <v>0</v>
      </c>
      <c r="P164" s="62">
        <v>0</v>
      </c>
      <c r="Q164" s="62">
        <v>0</v>
      </c>
      <c r="R164" s="62">
        <v>0</v>
      </c>
      <c r="S164" s="62">
        <v>0</v>
      </c>
      <c r="T164" s="62">
        <v>0</v>
      </c>
      <c r="U164" s="62">
        <v>0</v>
      </c>
      <c r="V164" s="62">
        <v>0</v>
      </c>
      <c r="W164" s="62">
        <v>0</v>
      </c>
      <c r="X164" s="62">
        <v>0</v>
      </c>
      <c r="Y164" s="62">
        <v>0</v>
      </c>
      <c r="Z164" s="62">
        <v>0</v>
      </c>
      <c r="AA164" s="62">
        <v>0</v>
      </c>
      <c r="AB164" s="62">
        <v>0</v>
      </c>
      <c r="AC164" s="62">
        <v>0</v>
      </c>
      <c r="AD164" s="62">
        <v>0</v>
      </c>
      <c r="AE164" s="62">
        <v>0</v>
      </c>
      <c r="AF164" s="62">
        <v>0</v>
      </c>
      <c r="AG164" s="62">
        <v>0</v>
      </c>
      <c r="AH164" s="62">
        <v>0</v>
      </c>
      <c r="AI164" s="57">
        <v>0</v>
      </c>
      <c r="AJ164" s="41">
        <f t="shared" ref="AJ164:AR164" si="1249">IF(ISERROR(AI164*(1+AJ207)),0,AI164*(1+AJ207))</f>
        <v>0</v>
      </c>
      <c r="AK164" s="41">
        <f t="shared" si="1249"/>
        <v>0</v>
      </c>
      <c r="AL164" s="41">
        <f t="shared" si="1249"/>
        <v>0</v>
      </c>
      <c r="AM164" s="41">
        <f t="shared" si="1249"/>
        <v>0</v>
      </c>
      <c r="AN164" s="41">
        <f t="shared" si="1249"/>
        <v>0</v>
      </c>
      <c r="AO164" s="41">
        <f t="shared" si="1249"/>
        <v>0</v>
      </c>
      <c r="AP164" s="41">
        <f t="shared" si="1249"/>
        <v>0</v>
      </c>
      <c r="AQ164" s="41">
        <f t="shared" si="1249"/>
        <v>0</v>
      </c>
      <c r="AR164" s="41">
        <f t="shared" si="1249"/>
        <v>0</v>
      </c>
      <c r="AS164" s="8"/>
      <c r="AT164" s="41">
        <f t="shared" si="1217"/>
        <v>224</v>
      </c>
      <c r="AU164" s="41">
        <f t="shared" si="1218"/>
        <v>257</v>
      </c>
      <c r="AV164" s="41">
        <f t="shared" si="1219"/>
        <v>217</v>
      </c>
      <c r="AW164" s="41">
        <f t="shared" si="1220"/>
        <v>214</v>
      </c>
      <c r="AX164" s="41">
        <f t="shared" si="1221"/>
        <v>179</v>
      </c>
      <c r="AY164" s="41">
        <f t="shared" si="1222"/>
        <v>122</v>
      </c>
      <c r="AZ164" s="41">
        <f t="shared" si="1223"/>
        <v>0</v>
      </c>
      <c r="BA164" s="41">
        <f t="shared" si="1224"/>
        <v>0</v>
      </c>
      <c r="BB164" s="41">
        <f t="shared" si="1225"/>
        <v>0</v>
      </c>
      <c r="BC164" s="41">
        <f t="shared" si="1226"/>
        <v>0</v>
      </c>
      <c r="BD164" s="41">
        <f t="shared" si="1227"/>
        <v>0</v>
      </c>
      <c r="BE164" s="41">
        <f t="shared" si="1228"/>
        <v>0</v>
      </c>
      <c r="BF164" s="41">
        <f t="shared" si="1229"/>
        <v>0</v>
      </c>
      <c r="BG164" s="41">
        <f t="shared" si="1230"/>
        <v>0</v>
      </c>
      <c r="BH164" s="41">
        <f t="shared" si="1231"/>
        <v>0</v>
      </c>
      <c r="BI164" s="42">
        <f t="shared" si="1232"/>
        <v>0</v>
      </c>
      <c r="BJ164" s="41">
        <f t="shared" si="1233"/>
        <v>0</v>
      </c>
      <c r="BK164" s="41">
        <f t="shared" si="1234"/>
        <v>0</v>
      </c>
      <c r="BL164" s="41">
        <f t="shared" si="1235"/>
        <v>0</v>
      </c>
      <c r="BM164" s="41">
        <f t="shared" si="1236"/>
        <v>0</v>
      </c>
      <c r="BN164" s="41">
        <f t="shared" si="1237"/>
        <v>0</v>
      </c>
    </row>
    <row r="165" spans="1:66" ht="12" customHeight="1" outlineLevel="1">
      <c r="A165" s="91" t="s">
        <v>1165</v>
      </c>
      <c r="B165" s="1" t="s">
        <v>29</v>
      </c>
      <c r="C165" s="25">
        <f t="shared" ref="C165:H165" si="1250">C166-C159-C161-C163-C164-C160-C162</f>
        <v>153</v>
      </c>
      <c r="D165" s="25">
        <f t="shared" si="1250"/>
        <v>151</v>
      </c>
      <c r="E165" s="25">
        <f t="shared" si="1250"/>
        <v>209</v>
      </c>
      <c r="F165" s="25">
        <f t="shared" si="1250"/>
        <v>254</v>
      </c>
      <c r="G165" s="25">
        <f t="shared" si="1250"/>
        <v>222</v>
      </c>
      <c r="H165" s="25">
        <f t="shared" si="1250"/>
        <v>217</v>
      </c>
      <c r="I165" s="25">
        <f t="shared" ref="I165:N165" si="1251">I166-I159-I161-I163-I164-I160-I162</f>
        <v>214</v>
      </c>
      <c r="J165" s="25">
        <f t="shared" si="1251"/>
        <v>189</v>
      </c>
      <c r="K165" s="25">
        <f t="shared" si="1251"/>
        <v>195</v>
      </c>
      <c r="L165" s="25">
        <f t="shared" si="1251"/>
        <v>178</v>
      </c>
      <c r="M165" s="41">
        <f t="shared" si="1251"/>
        <v>192</v>
      </c>
      <c r="N165" s="41">
        <f t="shared" si="1251"/>
        <v>206</v>
      </c>
      <c r="O165" s="41">
        <f t="shared" ref="O165:P165" si="1252">O166-O159-O161-O163-O164-O160-O162</f>
        <v>282</v>
      </c>
      <c r="P165" s="41">
        <f t="shared" si="1252"/>
        <v>244</v>
      </c>
      <c r="Q165" s="41">
        <f t="shared" ref="Q165:R165" si="1253">Q166-Q159-Q161-Q163-Q164-Q160-Q162</f>
        <v>256</v>
      </c>
      <c r="R165" s="41">
        <f t="shared" si="1253"/>
        <v>216</v>
      </c>
      <c r="S165" s="41">
        <f t="shared" ref="S165:T165" si="1254">S166-S159-S161-S163-S164-S160-S162</f>
        <v>248</v>
      </c>
      <c r="T165" s="41">
        <f t="shared" si="1254"/>
        <v>244</v>
      </c>
      <c r="U165" s="41">
        <f t="shared" ref="U165:V165" si="1255">U166-U159-U161-U163-U164-U160-U162</f>
        <v>244</v>
      </c>
      <c r="V165" s="41">
        <f t="shared" si="1255"/>
        <v>232</v>
      </c>
      <c r="W165" s="41">
        <f t="shared" ref="W165:X165" si="1256">W166-W159-W161-W163-W164-W160-W162</f>
        <v>226</v>
      </c>
      <c r="X165" s="41">
        <f t="shared" si="1256"/>
        <v>219</v>
      </c>
      <c r="Y165" s="41">
        <f t="shared" ref="Y165:Z165" si="1257">Y166-Y159-Y161-Y163-Y164-Y160-Y162</f>
        <v>203</v>
      </c>
      <c r="Z165" s="41">
        <f t="shared" si="1257"/>
        <v>216</v>
      </c>
      <c r="AA165" s="41">
        <f t="shared" ref="AA165:AB165" si="1258">AA166-AA159-AA161-AA163-AA164-AA160-AA162</f>
        <v>220</v>
      </c>
      <c r="AB165" s="41">
        <f t="shared" si="1258"/>
        <v>237</v>
      </c>
      <c r="AC165" s="41">
        <f t="shared" ref="AC165:AD165" si="1259">AC166-AC159-AC161-AC163-AC164-AC160-AC162</f>
        <v>238</v>
      </c>
      <c r="AD165" s="41">
        <f t="shared" si="1259"/>
        <v>244</v>
      </c>
      <c r="AE165" s="41">
        <f t="shared" ref="AE165:AF165" si="1260">AE166-AE159-AE161-AE163-AE164-AE160-AE162</f>
        <v>263</v>
      </c>
      <c r="AF165" s="41">
        <f t="shared" si="1260"/>
        <v>270</v>
      </c>
      <c r="AG165" s="41">
        <f t="shared" ref="AG165" si="1261">AG166-AG159-AG161-AG163-AG164-AG160-AG162</f>
        <v>292</v>
      </c>
      <c r="AH165" s="41">
        <f>AH166-AH159-AH161-AH163-AH164-AH160-AH162</f>
        <v>296</v>
      </c>
      <c r="AI165" s="42">
        <f>AI166-AI159-AI161-AI163-AI164-AI160-AI162</f>
        <v>317</v>
      </c>
      <c r="AJ165" s="41">
        <f t="shared" ref="AJ165:AR165" si="1262">IF(ISERROR(AI165*(1+AJ208)),0,AI165*(1+AJ208))</f>
        <v>324.608</v>
      </c>
      <c r="AK165" s="41">
        <f t="shared" si="1262"/>
        <v>334.34624000000002</v>
      </c>
      <c r="AL165" s="41">
        <f t="shared" si="1262"/>
        <v>344.37662720000003</v>
      </c>
      <c r="AM165" s="41">
        <f t="shared" si="1262"/>
        <v>354.70792601600004</v>
      </c>
      <c r="AN165" s="41">
        <f t="shared" si="1262"/>
        <v>365.34916379648007</v>
      </c>
      <c r="AO165" s="41">
        <f t="shared" si="1262"/>
        <v>376.30963871037449</v>
      </c>
      <c r="AP165" s="41">
        <f t="shared" si="1262"/>
        <v>387.5989278716857</v>
      </c>
      <c r="AQ165" s="41">
        <f t="shared" si="1262"/>
        <v>399.22689570783626</v>
      </c>
      <c r="AR165" s="41">
        <f t="shared" si="1262"/>
        <v>411.20370257907138</v>
      </c>
      <c r="AS165" s="8"/>
      <c r="AT165" s="41">
        <f t="shared" si="1217"/>
        <v>304</v>
      </c>
      <c r="AU165" s="41">
        <f t="shared" si="1218"/>
        <v>463</v>
      </c>
      <c r="AV165" s="41">
        <f t="shared" si="1219"/>
        <v>439</v>
      </c>
      <c r="AW165" s="41">
        <f t="shared" si="1220"/>
        <v>403</v>
      </c>
      <c r="AX165" s="41">
        <f t="shared" si="1221"/>
        <v>373</v>
      </c>
      <c r="AY165" s="41">
        <f t="shared" si="1222"/>
        <v>398</v>
      </c>
      <c r="AZ165" s="41">
        <f t="shared" si="1223"/>
        <v>526</v>
      </c>
      <c r="BA165" s="41">
        <f t="shared" si="1224"/>
        <v>472</v>
      </c>
      <c r="BB165" s="41">
        <f t="shared" si="1225"/>
        <v>492</v>
      </c>
      <c r="BC165" s="41">
        <f t="shared" si="1226"/>
        <v>476</v>
      </c>
      <c r="BD165" s="41">
        <f t="shared" si="1227"/>
        <v>445</v>
      </c>
      <c r="BE165" s="41">
        <f t="shared" si="1228"/>
        <v>419</v>
      </c>
      <c r="BF165" s="41">
        <f t="shared" si="1229"/>
        <v>457</v>
      </c>
      <c r="BG165" s="41">
        <f t="shared" si="1230"/>
        <v>482</v>
      </c>
      <c r="BH165" s="41">
        <f t="shared" si="1231"/>
        <v>533</v>
      </c>
      <c r="BI165" s="42">
        <f t="shared" si="1232"/>
        <v>588</v>
      </c>
      <c r="BJ165" s="41">
        <f t="shared" si="1233"/>
        <v>641.60799999999995</v>
      </c>
      <c r="BK165" s="41">
        <f t="shared" si="1234"/>
        <v>678.72286720000011</v>
      </c>
      <c r="BL165" s="41">
        <f t="shared" si="1235"/>
        <v>720.05708981248017</v>
      </c>
      <c r="BM165" s="41">
        <f t="shared" si="1236"/>
        <v>763.90856658206019</v>
      </c>
      <c r="BN165" s="41">
        <f t="shared" si="1237"/>
        <v>810.43059828690764</v>
      </c>
    </row>
    <row r="166" spans="1:66" ht="12" customHeight="1" outlineLevel="1">
      <c r="A166" s="91" t="s">
        <v>1166</v>
      </c>
      <c r="B166" s="9" t="s">
        <v>118</v>
      </c>
      <c r="C166" s="22">
        <v>360</v>
      </c>
      <c r="D166" s="22">
        <f>727-C166</f>
        <v>367</v>
      </c>
      <c r="E166" s="22">
        <v>393</v>
      </c>
      <c r="F166" s="22">
        <f>794-E166</f>
        <v>401</v>
      </c>
      <c r="G166" s="22">
        <v>356</v>
      </c>
      <c r="H166" s="22">
        <f>689-G166</f>
        <v>333</v>
      </c>
      <c r="I166" s="22">
        <v>336</v>
      </c>
      <c r="J166" s="22">
        <v>309</v>
      </c>
      <c r="K166" s="22">
        <v>317</v>
      </c>
      <c r="L166" s="22">
        <v>259</v>
      </c>
      <c r="M166" s="61">
        <v>262</v>
      </c>
      <c r="N166" s="61">
        <v>270</v>
      </c>
      <c r="O166" s="61">
        <v>282</v>
      </c>
      <c r="P166" s="61">
        <v>244</v>
      </c>
      <c r="Q166" s="61">
        <v>256</v>
      </c>
      <c r="R166" s="61">
        <v>216</v>
      </c>
      <c r="S166" s="61">
        <v>248</v>
      </c>
      <c r="T166" s="61">
        <v>244</v>
      </c>
      <c r="U166" s="61">
        <v>244</v>
      </c>
      <c r="V166" s="61">
        <v>232</v>
      </c>
      <c r="W166" s="61">
        <v>226</v>
      </c>
      <c r="X166" s="61">
        <v>219</v>
      </c>
      <c r="Y166" s="61">
        <v>203</v>
      </c>
      <c r="Z166" s="61">
        <v>216</v>
      </c>
      <c r="AA166" s="61">
        <v>220</v>
      </c>
      <c r="AB166" s="61">
        <v>237</v>
      </c>
      <c r="AC166" s="61">
        <v>249</v>
      </c>
      <c r="AD166" s="61">
        <v>255</v>
      </c>
      <c r="AE166" s="61">
        <v>273</v>
      </c>
      <c r="AF166" s="61">
        <v>281</v>
      </c>
      <c r="AG166" s="61">
        <v>304</v>
      </c>
      <c r="AH166" s="61">
        <v>307</v>
      </c>
      <c r="AI166" s="338">
        <v>329</v>
      </c>
      <c r="AJ166" s="39">
        <f t="shared" ref="AJ166" si="1263">AJ159+AJ160+AJ161+AJ162+AJ163+AJ164+AJ165</f>
        <v>336.608</v>
      </c>
      <c r="AK166" s="39">
        <f t="shared" ref="AK166:AL166" si="1264">AK159+AK160+AK161+AK162+AK163+AK164+AK165</f>
        <v>346.34624000000002</v>
      </c>
      <c r="AL166" s="39">
        <f t="shared" si="1264"/>
        <v>356.37662720000003</v>
      </c>
      <c r="AM166" s="39">
        <f t="shared" ref="AM166:AN166" si="1265">AM159+AM160+AM161+AM162+AM163+AM164+AM165</f>
        <v>366.70792601600004</v>
      </c>
      <c r="AN166" s="39">
        <f t="shared" si="1265"/>
        <v>377.34916379648007</v>
      </c>
      <c r="AO166" s="39">
        <f t="shared" ref="AO166:AP166" si="1266">AO159+AO160+AO161+AO162+AO163+AO164+AO165</f>
        <v>388.30963871037449</v>
      </c>
      <c r="AP166" s="39">
        <f t="shared" si="1266"/>
        <v>399.5989278716857</v>
      </c>
      <c r="AQ166" s="39">
        <f t="shared" ref="AQ166:AR166" si="1267">AQ159+AQ160+AQ161+AQ162+AQ163+AQ164+AQ165</f>
        <v>411.22689570783626</v>
      </c>
      <c r="AR166" s="39">
        <f t="shared" si="1267"/>
        <v>423.20370257907138</v>
      </c>
      <c r="AS166" s="8"/>
      <c r="AT166" s="39">
        <f t="shared" ref="AT166:BB166" si="1268">AT159+AT160+AT161+AT162+AT163+AT164+AT165</f>
        <v>727</v>
      </c>
      <c r="AU166" s="39">
        <f t="shared" si="1268"/>
        <v>794</v>
      </c>
      <c r="AV166" s="39">
        <f t="shared" si="1268"/>
        <v>689</v>
      </c>
      <c r="AW166" s="39">
        <f t="shared" si="1268"/>
        <v>645</v>
      </c>
      <c r="AX166" s="39">
        <f t="shared" si="1268"/>
        <v>576</v>
      </c>
      <c r="AY166" s="39">
        <f t="shared" si="1268"/>
        <v>532</v>
      </c>
      <c r="AZ166" s="39">
        <f t="shared" si="1268"/>
        <v>526</v>
      </c>
      <c r="BA166" s="39">
        <f t="shared" si="1268"/>
        <v>472</v>
      </c>
      <c r="BB166" s="39">
        <f t="shared" si="1268"/>
        <v>492</v>
      </c>
      <c r="BC166" s="39">
        <f t="shared" ref="BC166" si="1269">BC159+BC160+BC161+BC162+BC163+BC164+BC165</f>
        <v>476</v>
      </c>
      <c r="BD166" s="39">
        <f t="shared" ref="BD166:BI166" si="1270">BD159+BD160+BD161+BD162+BD163+BD164+BD165</f>
        <v>445</v>
      </c>
      <c r="BE166" s="39">
        <f t="shared" si="1270"/>
        <v>419</v>
      </c>
      <c r="BF166" s="39">
        <f t="shared" si="1270"/>
        <v>457</v>
      </c>
      <c r="BG166" s="39">
        <f t="shared" si="1270"/>
        <v>504</v>
      </c>
      <c r="BH166" s="39">
        <f t="shared" si="1270"/>
        <v>554</v>
      </c>
      <c r="BI166" s="40">
        <f t="shared" si="1270"/>
        <v>611</v>
      </c>
      <c r="BJ166" s="39">
        <f t="shared" ref="BJ166:BK166" si="1271">BJ159+BJ160+BJ161+BJ162+BJ163+BJ164+BJ165</f>
        <v>665.60799999999995</v>
      </c>
      <c r="BK166" s="39">
        <f t="shared" si="1271"/>
        <v>702.72286720000011</v>
      </c>
      <c r="BL166" s="39">
        <f t="shared" ref="BL166:BM166" si="1272">BL159+BL160+BL161+BL162+BL163+BL164+BL165</f>
        <v>744.05708981248017</v>
      </c>
      <c r="BM166" s="39">
        <f t="shared" si="1272"/>
        <v>787.90856658206019</v>
      </c>
      <c r="BN166" s="39">
        <f>BN159+BN160+BN161+BN162+BN163+BN164+BN165</f>
        <v>834.43059828690764</v>
      </c>
    </row>
    <row r="167" spans="1:66" ht="12" customHeight="1" outlineLevel="1">
      <c r="A167" s="91" t="s">
        <v>1167</v>
      </c>
      <c r="B167" s="1" t="s">
        <v>8</v>
      </c>
      <c r="C167" s="21">
        <v>-1</v>
      </c>
      <c r="D167" s="21">
        <f>1-C167</f>
        <v>2</v>
      </c>
      <c r="E167" s="21">
        <v>-2</v>
      </c>
      <c r="F167" s="21">
        <f>6-E167</f>
        <v>8</v>
      </c>
      <c r="G167" s="21">
        <v>0</v>
      </c>
      <c r="H167" s="21">
        <v>0</v>
      </c>
      <c r="I167" s="21">
        <v>0</v>
      </c>
      <c r="J167" s="21">
        <v>0</v>
      </c>
      <c r="K167" s="21">
        <v>0</v>
      </c>
      <c r="L167" s="21">
        <v>0</v>
      </c>
      <c r="M167" s="62">
        <v>0</v>
      </c>
      <c r="N167" s="62">
        <v>0</v>
      </c>
      <c r="O167" s="62">
        <v>0</v>
      </c>
      <c r="P167" s="62">
        <v>0</v>
      </c>
      <c r="Q167" s="62">
        <v>0</v>
      </c>
      <c r="R167" s="62">
        <v>0</v>
      </c>
      <c r="S167" s="62">
        <v>0</v>
      </c>
      <c r="T167" s="62">
        <v>0</v>
      </c>
      <c r="U167" s="62">
        <v>0</v>
      </c>
      <c r="V167" s="62">
        <v>0</v>
      </c>
      <c r="W167" s="62">
        <v>0</v>
      </c>
      <c r="X167" s="62">
        <v>0</v>
      </c>
      <c r="Y167" s="62">
        <v>0</v>
      </c>
      <c r="Z167" s="62">
        <v>0</v>
      </c>
      <c r="AA167" s="62">
        <v>0</v>
      </c>
      <c r="AB167" s="62">
        <v>0</v>
      </c>
      <c r="AC167" s="62">
        <v>0</v>
      </c>
      <c r="AD167" s="62">
        <v>0</v>
      </c>
      <c r="AE167" s="62">
        <v>0</v>
      </c>
      <c r="AF167" s="62">
        <v>0</v>
      </c>
      <c r="AG167" s="62">
        <v>0</v>
      </c>
      <c r="AH167" s="62">
        <v>0</v>
      </c>
      <c r="AI167" s="57">
        <v>0</v>
      </c>
      <c r="AJ167" s="41">
        <f t="shared" ref="AJ167" si="1273">IF(ISERROR(AI167*(1+AJ209)),0,AI167*(1+AJ209))</f>
        <v>0</v>
      </c>
      <c r="AK167" s="41">
        <f t="shared" ref="AK167" si="1274">IF(ISERROR(AJ167*(1+AK209)),0,AJ167*(1+AK209))</f>
        <v>0</v>
      </c>
      <c r="AL167" s="41">
        <f t="shared" ref="AL167" si="1275">IF(ISERROR(AK167*(1+AL209)),0,AK167*(1+AL209))</f>
        <v>0</v>
      </c>
      <c r="AM167" s="41">
        <f t="shared" ref="AM167" si="1276">IF(ISERROR(AL167*(1+AM209)),0,AL167*(1+AM209))</f>
        <v>0</v>
      </c>
      <c r="AN167" s="41">
        <f t="shared" ref="AN167" si="1277">IF(ISERROR(AM167*(1+AN209)),0,AM167*(1+AN209))</f>
        <v>0</v>
      </c>
      <c r="AO167" s="41">
        <f t="shared" ref="AO167" si="1278">IF(ISERROR(AN167*(1+AO209)),0,AN167*(1+AO209))</f>
        <v>0</v>
      </c>
      <c r="AP167" s="41">
        <f t="shared" ref="AP167" si="1279">IF(ISERROR(AO167*(1+AP209)),0,AO167*(1+AP209))</f>
        <v>0</v>
      </c>
      <c r="AQ167" s="41">
        <f t="shared" ref="AQ167" si="1280">IF(ISERROR(AP167*(1+AQ209)),0,AP167*(1+AQ209))</f>
        <v>0</v>
      </c>
      <c r="AR167" s="41">
        <f t="shared" ref="AR167" si="1281">IF(ISERROR(AQ167*(1+AR209)),0,AQ167*(1+AR209))</f>
        <v>0</v>
      </c>
      <c r="AS167" s="8"/>
      <c r="AT167" s="41">
        <f>C167+D167</f>
        <v>1</v>
      </c>
      <c r="AU167" s="41">
        <f>E167+F167</f>
        <v>6</v>
      </c>
      <c r="AV167" s="41">
        <f>G167+H167</f>
        <v>0</v>
      </c>
      <c r="AW167" s="41">
        <f>I167+J167</f>
        <v>0</v>
      </c>
      <c r="AX167" s="41">
        <f>K167+L167</f>
        <v>0</v>
      </c>
      <c r="AY167" s="41">
        <f>M167+N167</f>
        <v>0</v>
      </c>
      <c r="AZ167" s="41">
        <f>O167+P167</f>
        <v>0</v>
      </c>
      <c r="BA167" s="41">
        <f>Q167+R167</f>
        <v>0</v>
      </c>
      <c r="BB167" s="41">
        <f>S167+T167</f>
        <v>0</v>
      </c>
      <c r="BC167" s="41">
        <f>U167+V167</f>
        <v>0</v>
      </c>
      <c r="BD167" s="41">
        <f>W167+X167</f>
        <v>0</v>
      </c>
      <c r="BE167" s="41">
        <f>Y167+Z167</f>
        <v>0</v>
      </c>
      <c r="BF167" s="41">
        <f>AA167+AB167</f>
        <v>0</v>
      </c>
      <c r="BG167" s="41">
        <f>AC167+AD167</f>
        <v>0</v>
      </c>
      <c r="BH167" s="41">
        <f>AE167+AF167</f>
        <v>0</v>
      </c>
      <c r="BI167" s="42">
        <f>AG167+AH167</f>
        <v>0</v>
      </c>
      <c r="BJ167" s="41">
        <f>AI167+AJ167</f>
        <v>0</v>
      </c>
      <c r="BK167" s="41">
        <f>AK167+AL167</f>
        <v>0</v>
      </c>
      <c r="BL167" s="41">
        <f>AM167+AN167</f>
        <v>0</v>
      </c>
      <c r="BM167" s="41">
        <f>AO167+AP167</f>
        <v>0</v>
      </c>
      <c r="BN167" s="41">
        <f>AQ167+AR167</f>
        <v>0</v>
      </c>
    </row>
    <row r="168" spans="1:66" ht="12" customHeight="1" outlineLevel="1">
      <c r="A168" s="91" t="s">
        <v>1168</v>
      </c>
      <c r="B168" s="1" t="s">
        <v>9</v>
      </c>
      <c r="C168" s="21">
        <v>0</v>
      </c>
      <c r="D168" s="21">
        <f>2-C168</f>
        <v>2</v>
      </c>
      <c r="E168" s="21">
        <v>0</v>
      </c>
      <c r="F168" s="21">
        <f>1-E168</f>
        <v>1</v>
      </c>
      <c r="G168" s="21">
        <v>0</v>
      </c>
      <c r="H168" s="21">
        <v>0</v>
      </c>
      <c r="I168" s="21">
        <v>2</v>
      </c>
      <c r="J168" s="21">
        <v>1</v>
      </c>
      <c r="K168" s="21">
        <v>1</v>
      </c>
      <c r="L168" s="21">
        <v>0</v>
      </c>
      <c r="M168" s="62">
        <v>1</v>
      </c>
      <c r="N168" s="62">
        <v>2</v>
      </c>
      <c r="O168" s="62">
        <v>0</v>
      </c>
      <c r="P168" s="62">
        <v>1</v>
      </c>
      <c r="Q168" s="62">
        <v>1</v>
      </c>
      <c r="R168" s="62">
        <v>5</v>
      </c>
      <c r="S168" s="62">
        <v>1</v>
      </c>
      <c r="T168" s="62">
        <v>2</v>
      </c>
      <c r="U168" s="62">
        <v>-1</v>
      </c>
      <c r="V168" s="62">
        <v>9</v>
      </c>
      <c r="W168" s="62">
        <v>-3</v>
      </c>
      <c r="X168" s="62">
        <v>5</v>
      </c>
      <c r="Y168" s="62">
        <v>-1</v>
      </c>
      <c r="Z168" s="62">
        <v>-2</v>
      </c>
      <c r="AA168" s="62">
        <v>-1</v>
      </c>
      <c r="AB168" s="62">
        <v>-1</v>
      </c>
      <c r="AC168" s="62">
        <v>-2</v>
      </c>
      <c r="AD168" s="62">
        <v>-5</v>
      </c>
      <c r="AE168" s="62">
        <v>-2</v>
      </c>
      <c r="AF168" s="62">
        <v>2</v>
      </c>
      <c r="AG168" s="62">
        <v>-1</v>
      </c>
      <c r="AH168" s="62">
        <v>0</v>
      </c>
      <c r="AI168" s="57">
        <v>0</v>
      </c>
      <c r="AJ168" s="58">
        <f t="shared" ref="AJ168" si="1282">AI168</f>
        <v>0</v>
      </c>
      <c r="AK168" s="58">
        <f t="shared" ref="AK168" si="1283">AJ168</f>
        <v>0</v>
      </c>
      <c r="AL168" s="58">
        <f t="shared" ref="AL168" si="1284">AK168</f>
        <v>0</v>
      </c>
      <c r="AM168" s="58">
        <f t="shared" ref="AM168" si="1285">AL168</f>
        <v>0</v>
      </c>
      <c r="AN168" s="58">
        <f t="shared" ref="AN168" si="1286">AM168</f>
        <v>0</v>
      </c>
      <c r="AO168" s="58">
        <f t="shared" ref="AO168" si="1287">AN168</f>
        <v>0</v>
      </c>
      <c r="AP168" s="58">
        <f t="shared" ref="AP168" si="1288">AO168</f>
        <v>0</v>
      </c>
      <c r="AQ168" s="58">
        <f t="shared" ref="AQ168" si="1289">AP168</f>
        <v>0</v>
      </c>
      <c r="AR168" s="58">
        <f t="shared" ref="AR168" si="1290">AQ168</f>
        <v>0</v>
      </c>
      <c r="AS168" s="8"/>
      <c r="AT168" s="41">
        <f>C168+D168</f>
        <v>2</v>
      </c>
      <c r="AU168" s="41">
        <f>E168+F168</f>
        <v>1</v>
      </c>
      <c r="AV168" s="41">
        <f>G168+H168</f>
        <v>0</v>
      </c>
      <c r="AW168" s="41">
        <f>I168+J168</f>
        <v>3</v>
      </c>
      <c r="AX168" s="41">
        <f>K168+L168</f>
        <v>1</v>
      </c>
      <c r="AY168" s="41">
        <f>M168+N168</f>
        <v>3</v>
      </c>
      <c r="AZ168" s="41">
        <f>O168+P168</f>
        <v>1</v>
      </c>
      <c r="BA168" s="41">
        <f>Q168+R168</f>
        <v>6</v>
      </c>
      <c r="BB168" s="41">
        <f>S168+T168</f>
        <v>3</v>
      </c>
      <c r="BC168" s="41">
        <f>U168+V168</f>
        <v>8</v>
      </c>
      <c r="BD168" s="41">
        <f>W168+X168</f>
        <v>2</v>
      </c>
      <c r="BE168" s="41">
        <f>Y168+Z168</f>
        <v>-3</v>
      </c>
      <c r="BF168" s="41">
        <f>AA168+AB168</f>
        <v>-2</v>
      </c>
      <c r="BG168" s="41">
        <f>AC168+AD168</f>
        <v>-7</v>
      </c>
      <c r="BH168" s="41">
        <f>AE168+AF168</f>
        <v>0</v>
      </c>
      <c r="BI168" s="42">
        <f>AG168+AH168</f>
        <v>-1</v>
      </c>
      <c r="BJ168" s="41">
        <f>AI168+AJ168</f>
        <v>0</v>
      </c>
      <c r="BK168" s="41">
        <f>AK168+AL168</f>
        <v>0</v>
      </c>
      <c r="BL168" s="41">
        <f>AM168+AN168</f>
        <v>0</v>
      </c>
      <c r="BM168" s="41">
        <f>AO168+AP168</f>
        <v>0</v>
      </c>
      <c r="BN168" s="41">
        <f>AQ168+AR168</f>
        <v>0</v>
      </c>
    </row>
    <row r="169" spans="1:66" ht="12" customHeight="1" outlineLevel="1">
      <c r="A169" s="91" t="s">
        <v>1169</v>
      </c>
      <c r="B169" s="1" t="s">
        <v>1844</v>
      </c>
      <c r="C169" s="21">
        <v>-29</v>
      </c>
      <c r="D169" s="21">
        <f>-45-C169</f>
        <v>-16</v>
      </c>
      <c r="E169" s="21">
        <v>-15</v>
      </c>
      <c r="F169" s="21">
        <f>-44-E169</f>
        <v>-29</v>
      </c>
      <c r="G169" s="21">
        <v>-19</v>
      </c>
      <c r="H169" s="21">
        <f>-33-G169</f>
        <v>-14</v>
      </c>
      <c r="I169" s="21">
        <v>-22</v>
      </c>
      <c r="J169" s="21">
        <v>-15</v>
      </c>
      <c r="K169" s="21">
        <v>-23</v>
      </c>
      <c r="L169" s="21">
        <v>-24</v>
      </c>
      <c r="M169" s="62">
        <v>-14</v>
      </c>
      <c r="N169" s="62">
        <v>-16</v>
      </c>
      <c r="O169" s="62">
        <v>-12</v>
      </c>
      <c r="P169" s="62">
        <v>-23</v>
      </c>
      <c r="Q169" s="62">
        <v>-32</v>
      </c>
      <c r="R169" s="62">
        <v>-6</v>
      </c>
      <c r="S169" s="62">
        <v>-34</v>
      </c>
      <c r="T169" s="62">
        <v>-33</v>
      </c>
      <c r="U169" s="62">
        <v>-28</v>
      </c>
      <c r="V169" s="62">
        <v>-39</v>
      </c>
      <c r="W169" s="62">
        <v>-42</v>
      </c>
      <c r="X169" s="62">
        <v>-106</v>
      </c>
      <c r="Y169" s="62">
        <v>-78</v>
      </c>
      <c r="Z169" s="62">
        <v>-37</v>
      </c>
      <c r="AA169" s="62">
        <v>-31</v>
      </c>
      <c r="AB169" s="62">
        <v>53</v>
      </c>
      <c r="AC169" s="62">
        <v>-9</v>
      </c>
      <c r="AD169" s="62">
        <v>-25</v>
      </c>
      <c r="AE169" s="62">
        <v>-23</v>
      </c>
      <c r="AF169" s="62">
        <v>38</v>
      </c>
      <c r="AG169" s="62">
        <v>-21</v>
      </c>
      <c r="AH169" s="62">
        <v>-24</v>
      </c>
      <c r="AI169" s="57">
        <v>-24</v>
      </c>
      <c r="AJ169" s="41">
        <v>-24</v>
      </c>
      <c r="AK169" s="41">
        <f t="shared" ref="AK169" si="1291">AJ169*AK$23/AJ$23</f>
        <v>-18.08793479823068</v>
      </c>
      <c r="AL169" s="41">
        <f>AK169*AL$23/AK$23</f>
        <v>-23.38684152745768</v>
      </c>
      <c r="AM169" s="41">
        <f t="shared" ref="AM169" si="1292">AL169*AM$23/AL$23</f>
        <v>-27.206918636443103</v>
      </c>
      <c r="AN169" s="41">
        <f>AM169*AN$23/AM$23</f>
        <v>-26.54222323408878</v>
      </c>
      <c r="AO169" s="41">
        <f t="shared" ref="AO169" si="1293">AN169*AO$23/AN$23</f>
        <v>-31.722690696780401</v>
      </c>
      <c r="AP169" s="41">
        <f>AO169*AP$23/AO$23</f>
        <v>-31.793057950282783</v>
      </c>
      <c r="AQ169" s="41">
        <f t="shared" ref="AQ169" si="1294">AP169*AQ$23/AP$23</f>
        <v>-32.016694536199644</v>
      </c>
      <c r="AR169" s="41">
        <f>AQ169*AR$23/AQ$23</f>
        <v>-32.172008217188377</v>
      </c>
      <c r="AS169" s="8"/>
      <c r="AT169" s="41">
        <f>C169+D169</f>
        <v>-45</v>
      </c>
      <c r="AU169" s="41">
        <f>E169+F169</f>
        <v>-44</v>
      </c>
      <c r="AV169" s="41">
        <f>G169+H169</f>
        <v>-33</v>
      </c>
      <c r="AW169" s="41">
        <f>I169+J169</f>
        <v>-37</v>
      </c>
      <c r="AX169" s="41">
        <f>K169+L169</f>
        <v>-47</v>
      </c>
      <c r="AY169" s="41">
        <f>M169+N169</f>
        <v>-30</v>
      </c>
      <c r="AZ169" s="41">
        <f>O169+P169</f>
        <v>-35</v>
      </c>
      <c r="BA169" s="41">
        <f>Q169+R169</f>
        <v>-38</v>
      </c>
      <c r="BB169" s="41">
        <f>S169+T169</f>
        <v>-67</v>
      </c>
      <c r="BC169" s="41">
        <f>U169+V169</f>
        <v>-67</v>
      </c>
      <c r="BD169" s="41">
        <f>W169+X169</f>
        <v>-148</v>
      </c>
      <c r="BE169" s="41">
        <f>Y169+Z169</f>
        <v>-115</v>
      </c>
      <c r="BF169" s="41">
        <f>AA169+AB169</f>
        <v>22</v>
      </c>
      <c r="BG169" s="41">
        <f>AC169+AD169</f>
        <v>-34</v>
      </c>
      <c r="BH169" s="41">
        <f>AE169+AF169</f>
        <v>15</v>
      </c>
      <c r="BI169" s="42">
        <f>AG169+AH169</f>
        <v>-45</v>
      </c>
      <c r="BJ169" s="41">
        <f>AI169+AJ169</f>
        <v>-48</v>
      </c>
      <c r="BK169" s="41">
        <f>AK169+AL169</f>
        <v>-41.47477632568836</v>
      </c>
      <c r="BL169" s="41">
        <f>AM169+AN169</f>
        <v>-53.749141870531886</v>
      </c>
      <c r="BM169" s="41">
        <f>AO169+AP169</f>
        <v>-63.515748647063184</v>
      </c>
      <c r="BN169" s="41">
        <f>AQ169+AR169</f>
        <v>-64.188702753388014</v>
      </c>
    </row>
    <row r="170" spans="1:66" ht="12" customHeight="1" outlineLevel="1">
      <c r="A170" s="91" t="s">
        <v>1847</v>
      </c>
      <c r="B170" s="1" t="s">
        <v>1842</v>
      </c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62"/>
      <c r="N170" s="62"/>
      <c r="O170" s="62"/>
      <c r="P170" s="62"/>
      <c r="Q170" s="62"/>
      <c r="R170" s="62"/>
      <c r="S170" s="62"/>
      <c r="T170" s="62"/>
      <c r="U170" s="62">
        <v>0</v>
      </c>
      <c r="V170" s="62">
        <v>0</v>
      </c>
      <c r="W170" s="62">
        <v>0</v>
      </c>
      <c r="X170" s="62">
        <v>0</v>
      </c>
      <c r="Y170" s="62">
        <v>0</v>
      </c>
      <c r="Z170" s="62">
        <v>0</v>
      </c>
      <c r="AA170" s="62">
        <v>0</v>
      </c>
      <c r="AB170" s="62">
        <v>0</v>
      </c>
      <c r="AC170" s="62">
        <v>0</v>
      </c>
      <c r="AD170" s="62">
        <v>0</v>
      </c>
      <c r="AE170" s="62">
        <v>0</v>
      </c>
      <c r="AF170" s="62">
        <v>0</v>
      </c>
      <c r="AG170" s="62">
        <v>0</v>
      </c>
      <c r="AH170" s="62">
        <v>0</v>
      </c>
      <c r="AI170" s="57">
        <v>0</v>
      </c>
      <c r="AJ170" s="58">
        <f t="shared" ref="AJ170:AJ172" si="1295">AI170</f>
        <v>0</v>
      </c>
      <c r="AK170" s="58">
        <f t="shared" ref="AK170:AK172" si="1296">AJ170</f>
        <v>0</v>
      </c>
      <c r="AL170" s="58">
        <f t="shared" ref="AL170:AL172" si="1297">AK170</f>
        <v>0</v>
      </c>
      <c r="AM170" s="58">
        <f t="shared" ref="AM170:AM172" si="1298">AL170</f>
        <v>0</v>
      </c>
      <c r="AN170" s="58">
        <f t="shared" ref="AN170:AN172" si="1299">AM170</f>
        <v>0</v>
      </c>
      <c r="AO170" s="58">
        <f t="shared" ref="AO170:AO172" si="1300">AN170</f>
        <v>0</v>
      </c>
      <c r="AP170" s="58">
        <f t="shared" ref="AP170:AP172" si="1301">AO170</f>
        <v>0</v>
      </c>
      <c r="AQ170" s="58">
        <f t="shared" ref="AQ170:AQ172" si="1302">AP170</f>
        <v>0</v>
      </c>
      <c r="AR170" s="58">
        <f t="shared" ref="AR170:AR172" si="1303">AQ170</f>
        <v>0</v>
      </c>
      <c r="AS170" s="8"/>
      <c r="AT170" s="41">
        <f t="shared" ref="AT170:AT173" si="1304">C170+D170</f>
        <v>0</v>
      </c>
      <c r="AU170" s="41">
        <f t="shared" ref="AU170:AU173" si="1305">E170+F170</f>
        <v>0</v>
      </c>
      <c r="AV170" s="41">
        <f t="shared" ref="AV170:AV173" si="1306">G170+H170</f>
        <v>0</v>
      </c>
      <c r="AW170" s="41">
        <f t="shared" ref="AW170:AW173" si="1307">I170+J170</f>
        <v>0</v>
      </c>
      <c r="AX170" s="41">
        <f t="shared" ref="AX170:AX173" si="1308">K170+L170</f>
        <v>0</v>
      </c>
      <c r="AY170" s="41">
        <f t="shared" ref="AY170:AY173" si="1309">M170+N170</f>
        <v>0</v>
      </c>
      <c r="AZ170" s="41">
        <f t="shared" ref="AZ170:AZ173" si="1310">O170+P170</f>
        <v>0</v>
      </c>
      <c r="BA170" s="41">
        <f t="shared" ref="BA170:BA173" si="1311">Q170+R170</f>
        <v>0</v>
      </c>
      <c r="BB170" s="41">
        <f t="shared" ref="BB170:BB173" si="1312">S170+T170</f>
        <v>0</v>
      </c>
      <c r="BC170" s="41">
        <f t="shared" ref="BC170:BC173" si="1313">U170+V170</f>
        <v>0</v>
      </c>
      <c r="BD170" s="41">
        <f t="shared" ref="BD170:BD173" si="1314">W170+X170</f>
        <v>0</v>
      </c>
      <c r="BE170" s="41">
        <f t="shared" ref="BE170:BE173" si="1315">Y170+Z170</f>
        <v>0</v>
      </c>
      <c r="BF170" s="41">
        <f t="shared" ref="BF170:BF173" si="1316">AA170+AB170</f>
        <v>0</v>
      </c>
      <c r="BG170" s="41">
        <f t="shared" ref="BG170:BG173" si="1317">AC170+AD170</f>
        <v>0</v>
      </c>
      <c r="BH170" s="41">
        <f t="shared" ref="BH170:BH173" si="1318">AE170+AF170</f>
        <v>0</v>
      </c>
      <c r="BI170" s="42">
        <f t="shared" ref="BI170:BI173" si="1319">AG170+AH170</f>
        <v>0</v>
      </c>
      <c r="BJ170" s="41">
        <f t="shared" ref="BJ170:BJ172" si="1320">AI170+AJ170</f>
        <v>0</v>
      </c>
      <c r="BK170" s="41">
        <f t="shared" ref="BK170:BK172" si="1321">AK170+AL170</f>
        <v>0</v>
      </c>
      <c r="BL170" s="41">
        <f t="shared" ref="BL170:BL172" si="1322">AM170+AN170</f>
        <v>0</v>
      </c>
      <c r="BM170" s="41">
        <f t="shared" ref="BM170:BM172" si="1323">AO170+AP170</f>
        <v>0</v>
      </c>
      <c r="BN170" s="41">
        <f t="shared" ref="BN170:BN172" si="1324">AQ170+AR170</f>
        <v>0</v>
      </c>
    </row>
    <row r="171" spans="1:66" ht="12" customHeight="1" outlineLevel="1">
      <c r="A171" s="91" t="s">
        <v>1848</v>
      </c>
      <c r="B171" s="1" t="s">
        <v>1838</v>
      </c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62"/>
      <c r="N171" s="62"/>
      <c r="O171" s="62"/>
      <c r="P171" s="62"/>
      <c r="Q171" s="62"/>
      <c r="R171" s="62"/>
      <c r="S171" s="62"/>
      <c r="T171" s="62"/>
      <c r="U171" s="62">
        <v>0</v>
      </c>
      <c r="V171" s="62">
        <v>0</v>
      </c>
      <c r="W171" s="62">
        <v>0</v>
      </c>
      <c r="X171" s="62">
        <v>0</v>
      </c>
      <c r="Y171" s="62">
        <v>0</v>
      </c>
      <c r="Z171" s="62">
        <v>0</v>
      </c>
      <c r="AA171" s="62">
        <v>0</v>
      </c>
      <c r="AB171" s="62">
        <v>0</v>
      </c>
      <c r="AC171" s="62">
        <v>0</v>
      </c>
      <c r="AD171" s="62">
        <v>0</v>
      </c>
      <c r="AE171" s="62">
        <v>0</v>
      </c>
      <c r="AF171" s="62">
        <v>0</v>
      </c>
      <c r="AG171" s="62">
        <v>0</v>
      </c>
      <c r="AH171" s="62">
        <v>0</v>
      </c>
      <c r="AI171" s="57">
        <v>0</v>
      </c>
      <c r="AJ171" s="58">
        <f t="shared" si="1295"/>
        <v>0</v>
      </c>
      <c r="AK171" s="58">
        <f t="shared" si="1296"/>
        <v>0</v>
      </c>
      <c r="AL171" s="58">
        <f t="shared" si="1297"/>
        <v>0</v>
      </c>
      <c r="AM171" s="58">
        <f t="shared" si="1298"/>
        <v>0</v>
      </c>
      <c r="AN171" s="58">
        <f t="shared" si="1299"/>
        <v>0</v>
      </c>
      <c r="AO171" s="58">
        <f t="shared" si="1300"/>
        <v>0</v>
      </c>
      <c r="AP171" s="58">
        <f t="shared" si="1301"/>
        <v>0</v>
      </c>
      <c r="AQ171" s="58">
        <f t="shared" si="1302"/>
        <v>0</v>
      </c>
      <c r="AR171" s="58">
        <f t="shared" si="1303"/>
        <v>0</v>
      </c>
      <c r="AS171" s="8"/>
      <c r="AT171" s="41">
        <f t="shared" si="1304"/>
        <v>0</v>
      </c>
      <c r="AU171" s="41">
        <f t="shared" si="1305"/>
        <v>0</v>
      </c>
      <c r="AV171" s="41">
        <f t="shared" si="1306"/>
        <v>0</v>
      </c>
      <c r="AW171" s="41">
        <f t="shared" si="1307"/>
        <v>0</v>
      </c>
      <c r="AX171" s="41">
        <f t="shared" si="1308"/>
        <v>0</v>
      </c>
      <c r="AY171" s="41">
        <f t="shared" si="1309"/>
        <v>0</v>
      </c>
      <c r="AZ171" s="41">
        <f t="shared" si="1310"/>
        <v>0</v>
      </c>
      <c r="BA171" s="41">
        <f t="shared" si="1311"/>
        <v>0</v>
      </c>
      <c r="BB171" s="41">
        <f t="shared" si="1312"/>
        <v>0</v>
      </c>
      <c r="BC171" s="41">
        <f t="shared" si="1313"/>
        <v>0</v>
      </c>
      <c r="BD171" s="41">
        <f t="shared" si="1314"/>
        <v>0</v>
      </c>
      <c r="BE171" s="41">
        <f t="shared" si="1315"/>
        <v>0</v>
      </c>
      <c r="BF171" s="41">
        <f t="shared" si="1316"/>
        <v>0</v>
      </c>
      <c r="BG171" s="41">
        <f t="shared" si="1317"/>
        <v>0</v>
      </c>
      <c r="BH171" s="41">
        <f t="shared" si="1318"/>
        <v>0</v>
      </c>
      <c r="BI171" s="42">
        <f t="shared" si="1319"/>
        <v>0</v>
      </c>
      <c r="BJ171" s="41">
        <f t="shared" si="1320"/>
        <v>0</v>
      </c>
      <c r="BK171" s="41">
        <f t="shared" si="1321"/>
        <v>0</v>
      </c>
      <c r="BL171" s="41">
        <f t="shared" si="1322"/>
        <v>0</v>
      </c>
      <c r="BM171" s="41">
        <f t="shared" si="1323"/>
        <v>0</v>
      </c>
      <c r="BN171" s="41">
        <f t="shared" si="1324"/>
        <v>0</v>
      </c>
    </row>
    <row r="172" spans="1:66" ht="12" customHeight="1" outlineLevel="1">
      <c r="A172" s="91" t="s">
        <v>1849</v>
      </c>
      <c r="B172" s="1" t="s">
        <v>1839</v>
      </c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62"/>
      <c r="N172" s="62"/>
      <c r="O172" s="62"/>
      <c r="P172" s="62"/>
      <c r="Q172" s="62"/>
      <c r="R172" s="62"/>
      <c r="S172" s="62"/>
      <c r="T172" s="62"/>
      <c r="U172" s="62">
        <v>0</v>
      </c>
      <c r="V172" s="62">
        <v>0</v>
      </c>
      <c r="W172" s="62">
        <v>0</v>
      </c>
      <c r="X172" s="62">
        <v>0</v>
      </c>
      <c r="Y172" s="62">
        <v>0</v>
      </c>
      <c r="Z172" s="62">
        <v>0</v>
      </c>
      <c r="AA172" s="62">
        <v>0</v>
      </c>
      <c r="AB172" s="62">
        <v>0</v>
      </c>
      <c r="AC172" s="62">
        <v>0</v>
      </c>
      <c r="AD172" s="62">
        <v>0</v>
      </c>
      <c r="AE172" s="62">
        <v>0</v>
      </c>
      <c r="AF172" s="62">
        <v>0</v>
      </c>
      <c r="AG172" s="62">
        <v>0</v>
      </c>
      <c r="AH172" s="62">
        <v>0</v>
      </c>
      <c r="AI172" s="57">
        <v>0</v>
      </c>
      <c r="AJ172" s="58">
        <f t="shared" si="1295"/>
        <v>0</v>
      </c>
      <c r="AK172" s="58">
        <f t="shared" si="1296"/>
        <v>0</v>
      </c>
      <c r="AL172" s="58">
        <f t="shared" si="1297"/>
        <v>0</v>
      </c>
      <c r="AM172" s="58">
        <f t="shared" si="1298"/>
        <v>0</v>
      </c>
      <c r="AN172" s="58">
        <f t="shared" si="1299"/>
        <v>0</v>
      </c>
      <c r="AO172" s="58">
        <f t="shared" si="1300"/>
        <v>0</v>
      </c>
      <c r="AP172" s="58">
        <f t="shared" si="1301"/>
        <v>0</v>
      </c>
      <c r="AQ172" s="58">
        <f t="shared" si="1302"/>
        <v>0</v>
      </c>
      <c r="AR172" s="58">
        <f t="shared" si="1303"/>
        <v>0</v>
      </c>
      <c r="AS172" s="8"/>
      <c r="AT172" s="41">
        <f t="shared" si="1304"/>
        <v>0</v>
      </c>
      <c r="AU172" s="41">
        <f t="shared" si="1305"/>
        <v>0</v>
      </c>
      <c r="AV172" s="41">
        <f t="shared" si="1306"/>
        <v>0</v>
      </c>
      <c r="AW172" s="41">
        <f t="shared" si="1307"/>
        <v>0</v>
      </c>
      <c r="AX172" s="41">
        <f t="shared" si="1308"/>
        <v>0</v>
      </c>
      <c r="AY172" s="41">
        <f t="shared" si="1309"/>
        <v>0</v>
      </c>
      <c r="AZ172" s="41">
        <f t="shared" si="1310"/>
        <v>0</v>
      </c>
      <c r="BA172" s="41">
        <f t="shared" si="1311"/>
        <v>0</v>
      </c>
      <c r="BB172" s="41">
        <f t="shared" si="1312"/>
        <v>0</v>
      </c>
      <c r="BC172" s="41">
        <f t="shared" si="1313"/>
        <v>0</v>
      </c>
      <c r="BD172" s="41">
        <f t="shared" si="1314"/>
        <v>0</v>
      </c>
      <c r="BE172" s="41">
        <f t="shared" si="1315"/>
        <v>0</v>
      </c>
      <c r="BF172" s="41">
        <f t="shared" si="1316"/>
        <v>0</v>
      </c>
      <c r="BG172" s="41">
        <f t="shared" si="1317"/>
        <v>0</v>
      </c>
      <c r="BH172" s="41">
        <f t="shared" si="1318"/>
        <v>0</v>
      </c>
      <c r="BI172" s="42">
        <f t="shared" si="1319"/>
        <v>0</v>
      </c>
      <c r="BJ172" s="41">
        <f t="shared" si="1320"/>
        <v>0</v>
      </c>
      <c r="BK172" s="41">
        <f t="shared" si="1321"/>
        <v>0</v>
      </c>
      <c r="BL172" s="41">
        <f t="shared" si="1322"/>
        <v>0</v>
      </c>
      <c r="BM172" s="41">
        <f t="shared" si="1323"/>
        <v>0</v>
      </c>
      <c r="BN172" s="41">
        <f t="shared" si="1324"/>
        <v>0</v>
      </c>
    </row>
    <row r="173" spans="1:66" ht="12" customHeight="1" outlineLevel="1">
      <c r="A173" s="91" t="s">
        <v>1170</v>
      </c>
      <c r="B173" s="1" t="s">
        <v>10</v>
      </c>
      <c r="C173" s="19">
        <f t="shared" ref="C173:H173" si="1325">C174-C158-C167-C166-C168-C169</f>
        <v>4</v>
      </c>
      <c r="D173" s="19">
        <f t="shared" si="1325"/>
        <v>11</v>
      </c>
      <c r="E173" s="19">
        <f t="shared" si="1325"/>
        <v>10</v>
      </c>
      <c r="F173" s="19">
        <f t="shared" si="1325"/>
        <v>49</v>
      </c>
      <c r="G173" s="19">
        <f t="shared" si="1325"/>
        <v>10</v>
      </c>
      <c r="H173" s="19">
        <f t="shared" si="1325"/>
        <v>2</v>
      </c>
      <c r="I173" s="19">
        <f t="shared" ref="I173:N173" si="1326">I174-I158-I167-I166-I168-I169</f>
        <v>28</v>
      </c>
      <c r="J173" s="19">
        <f t="shared" si="1326"/>
        <v>10</v>
      </c>
      <c r="K173" s="19">
        <f t="shared" si="1326"/>
        <v>6</v>
      </c>
      <c r="L173" s="19">
        <f t="shared" si="1326"/>
        <v>46</v>
      </c>
      <c r="M173" s="41">
        <f t="shared" si="1326"/>
        <v>10</v>
      </c>
      <c r="N173" s="41">
        <f t="shared" si="1326"/>
        <v>5</v>
      </c>
      <c r="O173" s="41">
        <f t="shared" ref="O173:P173" si="1327">O174-O158-O167-O166-O168-O169</f>
        <v>10</v>
      </c>
      <c r="P173" s="41">
        <f t="shared" si="1327"/>
        <v>21</v>
      </c>
      <c r="Q173" s="41">
        <f t="shared" ref="Q173:R173" si="1328">Q174-Q158-Q167-Q166-Q168-Q169</f>
        <v>156</v>
      </c>
      <c r="R173" s="41">
        <f t="shared" si="1328"/>
        <v>3</v>
      </c>
      <c r="S173" s="41">
        <f t="shared" ref="S173:T173" si="1329">S174-S158-S167-S166-S168-S169</f>
        <v>12</v>
      </c>
      <c r="T173" s="41">
        <f t="shared" si="1329"/>
        <v>2</v>
      </c>
      <c r="U173" s="41">
        <f t="shared" ref="U173:AF173" si="1330">U174-U158-U167-U166-U168-U169-U170-U171-U172</f>
        <v>2</v>
      </c>
      <c r="V173" s="41">
        <f t="shared" si="1330"/>
        <v>6</v>
      </c>
      <c r="W173" s="41">
        <f t="shared" si="1330"/>
        <v>2</v>
      </c>
      <c r="X173" s="41">
        <f t="shared" si="1330"/>
        <v>8</v>
      </c>
      <c r="Y173" s="41">
        <f t="shared" si="1330"/>
        <v>17</v>
      </c>
      <c r="Z173" s="41">
        <f t="shared" si="1330"/>
        <v>14</v>
      </c>
      <c r="AA173" s="41">
        <f t="shared" si="1330"/>
        <v>1</v>
      </c>
      <c r="AB173" s="41">
        <f t="shared" si="1330"/>
        <v>11</v>
      </c>
      <c r="AC173" s="41">
        <f t="shared" si="1330"/>
        <v>-12</v>
      </c>
      <c r="AD173" s="41">
        <f t="shared" si="1330"/>
        <v>-10</v>
      </c>
      <c r="AE173" s="41">
        <f t="shared" si="1330"/>
        <v>1</v>
      </c>
      <c r="AF173" s="41">
        <f t="shared" si="1330"/>
        <v>-6</v>
      </c>
      <c r="AG173" s="41">
        <f>AG174-AG158-AG167-AG166-AG168-AG169-AG170-AG171-AG172</f>
        <v>-22</v>
      </c>
      <c r="AH173" s="41">
        <f>AH174-AH158-AH167-AH166-AH168-AH169-AH170-AH171-AH172</f>
        <v>-23</v>
      </c>
      <c r="AI173" s="42">
        <f>AI174-AI158-AI167-AI166-AI168-AI169-AI170-AI171-AI172</f>
        <v>-3</v>
      </c>
      <c r="AJ173" s="41">
        <f t="shared" ref="AJ173" si="1331">IF(ISERROR(AI173*(1+AJ211)),0,AI173*(1+AJ211))</f>
        <v>-3.1500000000000004</v>
      </c>
      <c r="AK173" s="41">
        <f t="shared" ref="AK173" si="1332">IF(ISERROR(AJ173*(1+AK211)),0,AJ173*(1+AK211))</f>
        <v>-3.3075000000000006</v>
      </c>
      <c r="AL173" s="41">
        <f t="shared" ref="AL173" si="1333">IF(ISERROR(AK173*(1+AL211)),0,AK173*(1+AL211))</f>
        <v>-3.4728750000000006</v>
      </c>
      <c r="AM173" s="41">
        <f t="shared" ref="AM173" si="1334">IF(ISERROR(AL173*(1+AM211)),0,AL173*(1+AM211))</f>
        <v>-3.6465187500000007</v>
      </c>
      <c r="AN173" s="41">
        <f t="shared" ref="AN173" si="1335">IF(ISERROR(AM173*(1+AN211)),0,AM173*(1+AN211))</f>
        <v>-3.8288446875000011</v>
      </c>
      <c r="AO173" s="41">
        <f t="shared" ref="AO173" si="1336">IF(ISERROR(AN173*(1+AO211)),0,AN173*(1+AO211))</f>
        <v>-3.9437100281250013</v>
      </c>
      <c r="AP173" s="41">
        <f t="shared" ref="AP173" si="1337">IF(ISERROR(AO173*(1+AP211)),0,AO173*(1+AP211))</f>
        <v>-4.0620213289687515</v>
      </c>
      <c r="AQ173" s="41">
        <f t="shared" ref="AQ173" si="1338">IF(ISERROR(AP173*(1+AQ211)),0,AP173*(1+AQ211))</f>
        <v>-4.1838819688378139</v>
      </c>
      <c r="AR173" s="41">
        <f t="shared" ref="AR173" si="1339">IF(ISERROR(AQ173*(1+AR211)),0,AQ173*(1+AR211))</f>
        <v>-4.3093984279029485</v>
      </c>
      <c r="AS173" s="8"/>
      <c r="AT173" s="41">
        <f t="shared" si="1304"/>
        <v>15</v>
      </c>
      <c r="AU173" s="41">
        <f t="shared" si="1305"/>
        <v>59</v>
      </c>
      <c r="AV173" s="41">
        <f t="shared" si="1306"/>
        <v>12</v>
      </c>
      <c r="AW173" s="41">
        <f t="shared" si="1307"/>
        <v>38</v>
      </c>
      <c r="AX173" s="41">
        <f t="shared" si="1308"/>
        <v>52</v>
      </c>
      <c r="AY173" s="41">
        <f t="shared" si="1309"/>
        <v>15</v>
      </c>
      <c r="AZ173" s="41">
        <f t="shared" si="1310"/>
        <v>31</v>
      </c>
      <c r="BA173" s="41">
        <f t="shared" si="1311"/>
        <v>159</v>
      </c>
      <c r="BB173" s="41">
        <f t="shared" si="1312"/>
        <v>14</v>
      </c>
      <c r="BC173" s="41">
        <f t="shared" si="1313"/>
        <v>8</v>
      </c>
      <c r="BD173" s="41">
        <f t="shared" si="1314"/>
        <v>10</v>
      </c>
      <c r="BE173" s="41">
        <f t="shared" si="1315"/>
        <v>31</v>
      </c>
      <c r="BF173" s="41">
        <f t="shared" si="1316"/>
        <v>12</v>
      </c>
      <c r="BG173" s="41">
        <f t="shared" si="1317"/>
        <v>-22</v>
      </c>
      <c r="BH173" s="41">
        <f t="shared" si="1318"/>
        <v>-5</v>
      </c>
      <c r="BI173" s="42">
        <f t="shared" si="1319"/>
        <v>-45</v>
      </c>
      <c r="BJ173" s="41">
        <f>AI173+AJ173</f>
        <v>-6.15</v>
      </c>
      <c r="BK173" s="41">
        <f>AK173+AL173</f>
        <v>-6.7803750000000012</v>
      </c>
      <c r="BL173" s="41">
        <f>AM173+AN173</f>
        <v>-7.4753634375000022</v>
      </c>
      <c r="BM173" s="41">
        <f>AO173+AP173</f>
        <v>-8.0057313570937527</v>
      </c>
      <c r="BN173" s="41">
        <f>AQ173+AR173</f>
        <v>-8.4932803967407615</v>
      </c>
    </row>
    <row r="174" spans="1:66" s="9" customFormat="1" ht="12" customHeight="1" outlineLevel="1">
      <c r="A174" s="91" t="s">
        <v>1171</v>
      </c>
      <c r="B174" s="9" t="s">
        <v>35</v>
      </c>
      <c r="C174" s="22">
        <v>588</v>
      </c>
      <c r="D174" s="22">
        <f>1251-C174</f>
        <v>663</v>
      </c>
      <c r="E174" s="22">
        <v>730</v>
      </c>
      <c r="F174" s="22">
        <f>1496-E174</f>
        <v>766</v>
      </c>
      <c r="G174" s="22">
        <v>704</v>
      </c>
      <c r="H174" s="22">
        <f>1371-G174</f>
        <v>667</v>
      </c>
      <c r="I174" s="22">
        <v>655</v>
      </c>
      <c r="J174" s="22">
        <v>636</v>
      </c>
      <c r="K174" s="22">
        <v>667</v>
      </c>
      <c r="L174" s="22">
        <v>653</v>
      </c>
      <c r="M174" s="61">
        <v>665</v>
      </c>
      <c r="N174" s="61">
        <v>680</v>
      </c>
      <c r="O174" s="61">
        <v>736</v>
      </c>
      <c r="P174" s="61">
        <v>728</v>
      </c>
      <c r="Q174" s="61">
        <v>879</v>
      </c>
      <c r="R174" s="61">
        <v>769</v>
      </c>
      <c r="S174" s="61">
        <v>1014</v>
      </c>
      <c r="T174" s="61">
        <v>1012</v>
      </c>
      <c r="U174" s="61">
        <v>1051</v>
      </c>
      <c r="V174" s="61">
        <v>1052</v>
      </c>
      <c r="W174" s="61">
        <v>1021</v>
      </c>
      <c r="X174" s="61">
        <v>1016</v>
      </c>
      <c r="Y174" s="61">
        <v>985</v>
      </c>
      <c r="Z174" s="61">
        <v>1093</v>
      </c>
      <c r="AA174" s="61">
        <v>1163</v>
      </c>
      <c r="AB174" s="61">
        <v>1298</v>
      </c>
      <c r="AC174" s="61">
        <v>1423</v>
      </c>
      <c r="AD174" s="61">
        <v>1538</v>
      </c>
      <c r="AE174" s="61">
        <v>1609</v>
      </c>
      <c r="AF174" s="61">
        <v>1600</v>
      </c>
      <c r="AG174" s="61">
        <v>1586</v>
      </c>
      <c r="AH174" s="61">
        <v>1651</v>
      </c>
      <c r="AI174" s="338">
        <v>1758</v>
      </c>
      <c r="AJ174" s="39">
        <f t="shared" ref="AJ174:AR174" si="1340">AJ158+AJ166+AJ167+AJ168+AJ169+AJ173+AJ170+AJ171+AJ172</f>
        <v>1765.6668231227015</v>
      </c>
      <c r="AK174" s="39">
        <f t="shared" si="1340"/>
        <v>1862.0865999393156</v>
      </c>
      <c r="AL174" s="39">
        <f t="shared" si="1340"/>
        <v>1935.8593312315913</v>
      </c>
      <c r="AM174" s="39">
        <f t="shared" si="1340"/>
        <v>2019.278170067435</v>
      </c>
      <c r="AN174" s="39">
        <f t="shared" si="1340"/>
        <v>2089.4093295509397</v>
      </c>
      <c r="AO174" s="39">
        <f t="shared" si="1340"/>
        <v>2151.7092933257059</v>
      </c>
      <c r="AP174" s="39">
        <f t="shared" si="1340"/>
        <v>2200.9309355981259</v>
      </c>
      <c r="AQ174" s="39">
        <f t="shared" si="1340"/>
        <v>2270.8471884445139</v>
      </c>
      <c r="AR174" s="39">
        <f t="shared" si="1340"/>
        <v>2320.6920364674916</v>
      </c>
      <c r="AS174" s="74"/>
      <c r="AT174" s="39">
        <f t="shared" ref="AT174:BG174" si="1341">AT158+AT166+AT167+AT168+AT169+AT173+AT170+AT171+AT172</f>
        <v>1251</v>
      </c>
      <c r="AU174" s="39">
        <f t="shared" si="1341"/>
        <v>1496</v>
      </c>
      <c r="AV174" s="39">
        <f t="shared" si="1341"/>
        <v>1371</v>
      </c>
      <c r="AW174" s="39">
        <f t="shared" si="1341"/>
        <v>1291</v>
      </c>
      <c r="AX174" s="39">
        <f t="shared" si="1341"/>
        <v>1320</v>
      </c>
      <c r="AY174" s="39">
        <f t="shared" si="1341"/>
        <v>1345</v>
      </c>
      <c r="AZ174" s="39">
        <f t="shared" si="1341"/>
        <v>1464</v>
      </c>
      <c r="BA174" s="39">
        <f t="shared" si="1341"/>
        <v>1648</v>
      </c>
      <c r="BB174" s="39">
        <f t="shared" si="1341"/>
        <v>2026</v>
      </c>
      <c r="BC174" s="39">
        <f t="shared" si="1341"/>
        <v>2103</v>
      </c>
      <c r="BD174" s="39">
        <f t="shared" si="1341"/>
        <v>2037</v>
      </c>
      <c r="BE174" s="39">
        <f t="shared" si="1341"/>
        <v>2078</v>
      </c>
      <c r="BF174" s="39">
        <f t="shared" si="1341"/>
        <v>2461</v>
      </c>
      <c r="BG174" s="39">
        <f t="shared" si="1341"/>
        <v>2961</v>
      </c>
      <c r="BH174" s="39">
        <f>BH158+BH166+BH167+BH168+BH169+BH173+BH170+BH171+BH172</f>
        <v>3209</v>
      </c>
      <c r="BI174" s="40">
        <f>BI158+BI166+BI167+BI168+BI169+BI173+BI170+BI171+BI172</f>
        <v>3237</v>
      </c>
      <c r="BJ174" s="39">
        <f>BJ158+BJ166+BJ167+BJ168+BJ169+BJ173+BJ170+BJ171+BJ172</f>
        <v>3523.6668231227018</v>
      </c>
      <c r="BK174" s="39">
        <f t="shared" ref="BK174:BN174" si="1342">BK158+BK166+BK167+BK168+BK169+BK173+BK170+BK171+BK172</f>
        <v>3797.945931170907</v>
      </c>
      <c r="BL174" s="39">
        <f t="shared" si="1342"/>
        <v>4108.6874996183751</v>
      </c>
      <c r="BM174" s="39">
        <f t="shared" si="1342"/>
        <v>4352.6402289238313</v>
      </c>
      <c r="BN174" s="39">
        <f t="shared" si="1342"/>
        <v>4591.5392249120059</v>
      </c>
    </row>
    <row r="175" spans="1:66" ht="12" customHeight="1" outlineLevel="1">
      <c r="A175" s="91" t="s">
        <v>1172</v>
      </c>
      <c r="B175" s="1" t="s">
        <v>14</v>
      </c>
      <c r="C175" s="21">
        <v>-182</v>
      </c>
      <c r="D175" s="21">
        <f>-408-C175</f>
        <v>-226</v>
      </c>
      <c r="E175" s="21">
        <v>-253</v>
      </c>
      <c r="F175" s="21">
        <f>-505-E175</f>
        <v>-252</v>
      </c>
      <c r="G175" s="21">
        <v>-238</v>
      </c>
      <c r="H175" s="21">
        <f>-454-G175</f>
        <v>-216</v>
      </c>
      <c r="I175" s="21">
        <v>-221</v>
      </c>
      <c r="J175" s="21">
        <v>-212</v>
      </c>
      <c r="K175" s="21">
        <v>-218</v>
      </c>
      <c r="L175" s="21">
        <v>-186</v>
      </c>
      <c r="M175" s="62">
        <v>-190</v>
      </c>
      <c r="N175" s="62">
        <v>-182</v>
      </c>
      <c r="O175" s="62">
        <v>-177</v>
      </c>
      <c r="P175" s="62">
        <v>-168</v>
      </c>
      <c r="Q175" s="62">
        <v>-171</v>
      </c>
      <c r="R175" s="62">
        <v>-155</v>
      </c>
      <c r="S175" s="62">
        <v>-205</v>
      </c>
      <c r="T175" s="62">
        <v>-218</v>
      </c>
      <c r="U175" s="62">
        <v>-219</v>
      </c>
      <c r="V175" s="62">
        <v>-202</v>
      </c>
      <c r="W175" s="62">
        <v>-183</v>
      </c>
      <c r="X175" s="62">
        <v>-172</v>
      </c>
      <c r="Y175" s="62">
        <v>-197</v>
      </c>
      <c r="Z175" s="62">
        <v>-193</v>
      </c>
      <c r="AA175" s="62">
        <v>-219</v>
      </c>
      <c r="AB175" s="62">
        <v>-227</v>
      </c>
      <c r="AC175" s="62">
        <v>-262</v>
      </c>
      <c r="AD175" s="62">
        <v>-268</v>
      </c>
      <c r="AE175" s="62">
        <v>-321</v>
      </c>
      <c r="AF175" s="62">
        <v>-314</v>
      </c>
      <c r="AG175" s="62">
        <v>-294</v>
      </c>
      <c r="AH175" s="62">
        <v>-219</v>
      </c>
      <c r="AI175" s="57">
        <v>-234</v>
      </c>
      <c r="AJ175" s="41">
        <f t="shared" ref="AJ175" si="1343">-AJ212*AVERAGE(AI197:AJ197)/AJ$5/1000000</f>
        <v>-245.26505783187088</v>
      </c>
      <c r="AK175" s="41">
        <f t="shared" ref="AK175" si="1344">-AK212*AVERAGE(AJ197:AK197)/AK$5/1000000</f>
        <v>-252.80264600753569</v>
      </c>
      <c r="AL175" s="41">
        <f t="shared" ref="AL175" si="1345">-AL212*AVERAGE(AK197:AL197)/AL$5/1000000</f>
        <v>-257.73188317411541</v>
      </c>
      <c r="AM175" s="41">
        <f t="shared" ref="AM175" si="1346">-AM212*AVERAGE(AL197:AM197)/AM$5/1000000</f>
        <v>-264.92678023695538</v>
      </c>
      <c r="AN175" s="41">
        <f t="shared" ref="AN175" si="1347">-AN212*AVERAGE(AM197:AN197)/AN$5/1000000</f>
        <v>-271.57644242090299</v>
      </c>
      <c r="AO175" s="41">
        <f t="shared" ref="AO175" si="1348">-AO212*AVERAGE(AN197:AO197)/AO$5/1000000</f>
        <v>-279.15573170409397</v>
      </c>
      <c r="AP175" s="41">
        <f t="shared" ref="AP175" si="1349">-AP212*AVERAGE(AO197:AP197)/AP$5/1000000</f>
        <v>-284.59881083997681</v>
      </c>
      <c r="AQ175" s="41">
        <f t="shared" ref="AQ175" si="1350">-AQ212*AVERAGE(AP197:AQ197)/AQ$5/1000000</f>
        <v>-293.34522033817041</v>
      </c>
      <c r="AR175" s="41">
        <f t="shared" ref="AR175" si="1351">-AR212*AVERAGE(AQ197:AR197)/AR$5/1000000</f>
        <v>-299.06497124096086</v>
      </c>
      <c r="AS175" s="8"/>
      <c r="AT175" s="41">
        <f>C175+D175</f>
        <v>-408</v>
      </c>
      <c r="AU175" s="41">
        <f>E175+F175</f>
        <v>-505</v>
      </c>
      <c r="AV175" s="41">
        <f>G175+H175</f>
        <v>-454</v>
      </c>
      <c r="AW175" s="41">
        <f>I175+J175</f>
        <v>-433</v>
      </c>
      <c r="AX175" s="41">
        <f>K175+L175</f>
        <v>-404</v>
      </c>
      <c r="AY175" s="41">
        <f>M175+N175</f>
        <v>-372</v>
      </c>
      <c r="AZ175" s="41">
        <f>O175+P175</f>
        <v>-345</v>
      </c>
      <c r="BA175" s="41">
        <f>Q175+R175</f>
        <v>-326</v>
      </c>
      <c r="BB175" s="41">
        <f>S175+T175</f>
        <v>-423</v>
      </c>
      <c r="BC175" s="41">
        <f>U175+V175</f>
        <v>-421</v>
      </c>
      <c r="BD175" s="41">
        <f>W175+X175</f>
        <v>-355</v>
      </c>
      <c r="BE175" s="41">
        <f>Y175+Z175</f>
        <v>-390</v>
      </c>
      <c r="BF175" s="41">
        <f>AA175+AB175</f>
        <v>-446</v>
      </c>
      <c r="BG175" s="41">
        <f>AC175+AD175</f>
        <v>-530</v>
      </c>
      <c r="BH175" s="41">
        <f>AE175+AF175</f>
        <v>-635</v>
      </c>
      <c r="BI175" s="42">
        <f>AG175+AH175</f>
        <v>-513</v>
      </c>
      <c r="BJ175" s="41">
        <f>AI175+AJ175</f>
        <v>-479.26505783187088</v>
      </c>
      <c r="BK175" s="41">
        <f>AK175+AL175</f>
        <v>-510.53452918165112</v>
      </c>
      <c r="BL175" s="41">
        <f>AM175+AN175</f>
        <v>-536.50322265785837</v>
      </c>
      <c r="BM175" s="41">
        <f>AO175+AP175</f>
        <v>-563.75454254407077</v>
      </c>
      <c r="BN175" s="41">
        <f>AQ175+AR175</f>
        <v>-592.41019157913126</v>
      </c>
    </row>
    <row r="176" spans="1:66" ht="12" customHeight="1" outlineLevel="1">
      <c r="A176" s="91" t="s">
        <v>1173</v>
      </c>
      <c r="B176" s="1" t="s">
        <v>21</v>
      </c>
      <c r="C176" s="21">
        <v>-65</v>
      </c>
      <c r="D176" s="21">
        <f>-121-C176</f>
        <v>-56</v>
      </c>
      <c r="E176" s="21">
        <v>-75</v>
      </c>
      <c r="F176" s="21">
        <f>-150-E176</f>
        <v>-75</v>
      </c>
      <c r="G176" s="21">
        <v>-79</v>
      </c>
      <c r="H176" s="21">
        <f>-164-G176</f>
        <v>-85</v>
      </c>
      <c r="I176" s="21">
        <v>-90</v>
      </c>
      <c r="J176" s="21">
        <v>-68</v>
      </c>
      <c r="K176" s="21">
        <v>-88</v>
      </c>
      <c r="L176" s="21">
        <v>-80</v>
      </c>
      <c r="M176" s="62">
        <v>-95</v>
      </c>
      <c r="N176" s="62">
        <v>-103</v>
      </c>
      <c r="O176" s="62">
        <v>-102</v>
      </c>
      <c r="P176" s="62">
        <v>-105</v>
      </c>
      <c r="Q176" s="62">
        <v>-105</v>
      </c>
      <c r="R176" s="62">
        <v>-103</v>
      </c>
      <c r="S176" s="62">
        <v>-104</v>
      </c>
      <c r="T176" s="62">
        <v>-109</v>
      </c>
      <c r="U176" s="62">
        <v>-108</v>
      </c>
      <c r="V176" s="62">
        <v>-108</v>
      </c>
      <c r="W176" s="62">
        <v>-87</v>
      </c>
      <c r="X176" s="62">
        <v>-85</v>
      </c>
      <c r="Y176" s="62">
        <v>-81</v>
      </c>
      <c r="Z176" s="62">
        <v>-61</v>
      </c>
      <c r="AA176" s="62">
        <v>-53</v>
      </c>
      <c r="AB176" s="62">
        <v>-53</v>
      </c>
      <c r="AC176" s="62">
        <v>-59</v>
      </c>
      <c r="AD176" s="62">
        <v>-66</v>
      </c>
      <c r="AE176" s="62">
        <v>-65</v>
      </c>
      <c r="AF176" s="62">
        <v>-81</v>
      </c>
      <c r="AG176" s="62">
        <v>-84</v>
      </c>
      <c r="AH176" s="62">
        <v>-92</v>
      </c>
      <c r="AI176" s="57">
        <v>-92</v>
      </c>
      <c r="AJ176" s="41">
        <f t="shared" ref="AJ176" si="1352">AJ166*AI176/AI166</f>
        <v>-94.127465045592714</v>
      </c>
      <c r="AK176" s="41">
        <f t="shared" ref="AK176" si="1353">AK166*AJ176/AJ166</f>
        <v>-96.850620303951388</v>
      </c>
      <c r="AL176" s="41">
        <f t="shared" ref="AL176" si="1354">AL166*AK176/AK166</f>
        <v>-99.655470220060806</v>
      </c>
      <c r="AM176" s="41">
        <f t="shared" ref="AM176" si="1355">AM166*AL176/AL166</f>
        <v>-102.54446563365352</v>
      </c>
      <c r="AN176" s="41">
        <f t="shared" ref="AN176" si="1356">AN166*AM176/AM166</f>
        <v>-105.520130909654</v>
      </c>
      <c r="AO176" s="41">
        <f t="shared" ref="AO176" si="1357">AO166*AN176/AN166</f>
        <v>-108.58506614393451</v>
      </c>
      <c r="AP176" s="41">
        <f t="shared" ref="AP176" si="1358">AP166*AO176/AO166</f>
        <v>-111.74194943524343</v>
      </c>
      <c r="AQ176" s="41">
        <f t="shared" ref="AQ176" si="1359">AQ166*AP176/AP166</f>
        <v>-114.9935392252916</v>
      </c>
      <c r="AR176" s="41">
        <f t="shared" ref="AR176" si="1360">AR166*AQ176/AQ166</f>
        <v>-118.34267670904124</v>
      </c>
      <c r="AS176" s="8"/>
      <c r="AT176" s="41">
        <f>C176+D176</f>
        <v>-121</v>
      </c>
      <c r="AU176" s="41">
        <f>E176+F176</f>
        <v>-150</v>
      </c>
      <c r="AV176" s="41">
        <f>G176+H176</f>
        <v>-164</v>
      </c>
      <c r="AW176" s="41">
        <f>I176+J176</f>
        <v>-158</v>
      </c>
      <c r="AX176" s="41">
        <f>K176+L176</f>
        <v>-168</v>
      </c>
      <c r="AY176" s="41">
        <f>M176+N176</f>
        <v>-198</v>
      </c>
      <c r="AZ176" s="41">
        <f>O176+P176</f>
        <v>-207</v>
      </c>
      <c r="BA176" s="41">
        <f>Q176+R176</f>
        <v>-208</v>
      </c>
      <c r="BB176" s="41">
        <f>S176+T176</f>
        <v>-213</v>
      </c>
      <c r="BC176" s="41">
        <f>U176+V176</f>
        <v>-216</v>
      </c>
      <c r="BD176" s="41">
        <f>W176+X176</f>
        <v>-172</v>
      </c>
      <c r="BE176" s="41">
        <f>Y176+Z176</f>
        <v>-142</v>
      </c>
      <c r="BF176" s="41">
        <f>AA176+AB176</f>
        <v>-106</v>
      </c>
      <c r="BG176" s="41">
        <f>AC176+AD176</f>
        <v>-125</v>
      </c>
      <c r="BH176" s="41">
        <f>AE176+AF176</f>
        <v>-146</v>
      </c>
      <c r="BI176" s="42">
        <f>AG176+AH176</f>
        <v>-176</v>
      </c>
      <c r="BJ176" s="41">
        <f>AI176+AJ176</f>
        <v>-186.12746504559271</v>
      </c>
      <c r="BK176" s="41">
        <f>AK176+AL176</f>
        <v>-196.50609052401219</v>
      </c>
      <c r="BL176" s="41">
        <f>AM176+AN176</f>
        <v>-208.06459654330752</v>
      </c>
      <c r="BM176" s="41">
        <f>AO176+AP176</f>
        <v>-220.32701557917795</v>
      </c>
      <c r="BN176" s="41">
        <f>AQ176+AR176</f>
        <v>-233.33621593433284</v>
      </c>
    </row>
    <row r="177" spans="1:68" ht="12" customHeight="1" outlineLevel="1">
      <c r="A177" s="91" t="s">
        <v>1174</v>
      </c>
      <c r="B177" s="1" t="s">
        <v>11</v>
      </c>
      <c r="C177" s="21">
        <f>-448-C175-C176</f>
        <v>-201</v>
      </c>
      <c r="D177" s="21">
        <f>-984-C175-C176-C177-D175-D176</f>
        <v>-254</v>
      </c>
      <c r="E177" s="21">
        <f>-591-E175-E176</f>
        <v>-263</v>
      </c>
      <c r="F177" s="21">
        <f>-1216-E175-E176-E177-F175-F176</f>
        <v>-298</v>
      </c>
      <c r="G177" s="21">
        <f>-559-G175-G176</f>
        <v>-242</v>
      </c>
      <c r="H177" s="21">
        <f>-1096-G175-G176-G177-H175-H176</f>
        <v>-236</v>
      </c>
      <c r="I177" s="21">
        <f>-531-I175-I176</f>
        <v>-220</v>
      </c>
      <c r="J177" s="21">
        <f>-517-J175-J176</f>
        <v>-237</v>
      </c>
      <c r="K177" s="21">
        <v>-250</v>
      </c>
      <c r="L177" s="21">
        <v>-238</v>
      </c>
      <c r="M177" s="62">
        <v>-239</v>
      </c>
      <c r="N177" s="62">
        <v>-251</v>
      </c>
      <c r="O177" s="62">
        <f>-139-148</f>
        <v>-287</v>
      </c>
      <c r="P177" s="62">
        <f>-143-132</f>
        <v>-275</v>
      </c>
      <c r="Q177" s="62">
        <f>-189-153</f>
        <v>-342</v>
      </c>
      <c r="R177" s="62">
        <f>-132-127</f>
        <v>-259</v>
      </c>
      <c r="S177" s="62">
        <f>-158-170</f>
        <v>-328</v>
      </c>
      <c r="T177" s="62">
        <f>-167-158</f>
        <v>-325</v>
      </c>
      <c r="U177" s="62">
        <f>-182-164</f>
        <v>-346</v>
      </c>
      <c r="V177" s="62">
        <f>-181-183</f>
        <v>-364</v>
      </c>
      <c r="W177" s="62">
        <f>-191-175</f>
        <v>-366</v>
      </c>
      <c r="X177" s="62">
        <f>-191-183</f>
        <v>-374</v>
      </c>
      <c r="Y177" s="62">
        <f>-202-188</f>
        <v>-390</v>
      </c>
      <c r="Z177" s="62">
        <f>-639-Z175-Z176</f>
        <v>-385</v>
      </c>
      <c r="AA177" s="62">
        <f>-214-195</f>
        <v>-409</v>
      </c>
      <c r="AB177" s="62">
        <f>-250-249</f>
        <v>-499</v>
      </c>
      <c r="AC177" s="62">
        <f>-275-247</f>
        <v>-522</v>
      </c>
      <c r="AD177" s="62">
        <f>-287-295</f>
        <v>-582</v>
      </c>
      <c r="AE177" s="62">
        <f>-326-259</f>
        <v>-585</v>
      </c>
      <c r="AF177" s="62">
        <f>-305-297</f>
        <v>-602</v>
      </c>
      <c r="AG177" s="62">
        <f>-299-259</f>
        <v>-558</v>
      </c>
      <c r="AH177" s="62">
        <f>-365-245</f>
        <v>-610</v>
      </c>
      <c r="AI177" s="57">
        <f>-252-387</f>
        <v>-639</v>
      </c>
      <c r="AJ177" s="41">
        <f t="shared" ref="AJ177" si="1361">-AJ215*AVERAGE(AI191:AJ191)/AJ$5</f>
        <v>-690.34588989448525</v>
      </c>
      <c r="AK177" s="41">
        <f t="shared" ref="AK177" si="1362">-AK215*AVERAGE(AJ191:AK191)/AK$5</f>
        <v>-714.81352674551033</v>
      </c>
      <c r="AL177" s="41">
        <f t="shared" ref="AL177" si="1363">-AL215*AVERAGE(AK191:AL191)/AL$5</f>
        <v>-728.20007851730441</v>
      </c>
      <c r="AM177" s="41">
        <f t="shared" ref="AM177" si="1364">-AM215*AVERAGE(AL191:AM191)/AM$5</f>
        <v>-742.08764449096248</v>
      </c>
      <c r="AN177" s="41">
        <f t="shared" ref="AN177" si="1365">-AN215*AVERAGE(AM191:AN191)/AN$5</f>
        <v>-760.08183101030124</v>
      </c>
      <c r="AO177" s="41">
        <f t="shared" ref="AO177" si="1366">-AO215*AVERAGE(AN191:AO191)/AO$5</f>
        <v>-777.92141445374341</v>
      </c>
      <c r="AP177" s="41">
        <f t="shared" ref="AP177" si="1367">-AP215*AVERAGE(AO191:AP191)/AP$5</f>
        <v>-787.88952597953562</v>
      </c>
      <c r="AQ177" s="41">
        <f t="shared" ref="AQ177" si="1368">-AQ215*AVERAGE(AP191:AQ191)/AQ$5</f>
        <v>-806.00066326837191</v>
      </c>
      <c r="AR177" s="41">
        <f t="shared" ref="AR177" si="1369">-AR215*AVERAGE(AQ191:AR191)/AR$5</f>
        <v>-815.20189840818966</v>
      </c>
      <c r="AS177" s="8"/>
      <c r="AT177" s="41">
        <f>C177+D177</f>
        <v>-455</v>
      </c>
      <c r="AU177" s="41">
        <f>E177+F177</f>
        <v>-561</v>
      </c>
      <c r="AV177" s="41">
        <f>G177+H177</f>
        <v>-478</v>
      </c>
      <c r="AW177" s="41">
        <f>I177+J177</f>
        <v>-457</v>
      </c>
      <c r="AX177" s="41">
        <f>K177+L177</f>
        <v>-488</v>
      </c>
      <c r="AY177" s="41">
        <f>M177+N177</f>
        <v>-490</v>
      </c>
      <c r="AZ177" s="41">
        <f>O177+P177</f>
        <v>-562</v>
      </c>
      <c r="BA177" s="41">
        <f>Q177+R177</f>
        <v>-601</v>
      </c>
      <c r="BB177" s="41">
        <f>S177+T177</f>
        <v>-653</v>
      </c>
      <c r="BC177" s="41">
        <f>U177+V177</f>
        <v>-710</v>
      </c>
      <c r="BD177" s="41">
        <f>W177+X177</f>
        <v>-740</v>
      </c>
      <c r="BE177" s="41">
        <f>Y177+Z177</f>
        <v>-775</v>
      </c>
      <c r="BF177" s="41">
        <f>AA177+AB177</f>
        <v>-908</v>
      </c>
      <c r="BG177" s="41">
        <f>AC177+AD177</f>
        <v>-1104</v>
      </c>
      <c r="BH177" s="41">
        <f>AE177+AF177</f>
        <v>-1187</v>
      </c>
      <c r="BI177" s="42">
        <f>AG177+AH177</f>
        <v>-1168</v>
      </c>
      <c r="BJ177" s="41">
        <f>AI177+AJ177</f>
        <v>-1329.3458898944853</v>
      </c>
      <c r="BK177" s="41">
        <f>AK177+AL177</f>
        <v>-1443.0136052628147</v>
      </c>
      <c r="BL177" s="41">
        <f>AM177+AN177</f>
        <v>-1502.1694755012636</v>
      </c>
      <c r="BM177" s="41">
        <f>AO177+AP177</f>
        <v>-1565.810940433279</v>
      </c>
      <c r="BN177" s="41">
        <f>AQ177+AR177</f>
        <v>-1621.2025616765616</v>
      </c>
    </row>
    <row r="178" spans="1:68" s="9" customFormat="1" ht="12" customHeight="1" outlineLevel="1">
      <c r="A178" s="91" t="s">
        <v>1175</v>
      </c>
      <c r="B178" s="9" t="s">
        <v>52</v>
      </c>
      <c r="C178" s="17">
        <f t="shared" ref="C178:H178" si="1370">C174+C175+C176+C177</f>
        <v>140</v>
      </c>
      <c r="D178" s="17">
        <f t="shared" si="1370"/>
        <v>127</v>
      </c>
      <c r="E178" s="17">
        <f t="shared" si="1370"/>
        <v>139</v>
      </c>
      <c r="F178" s="17">
        <f t="shared" si="1370"/>
        <v>141</v>
      </c>
      <c r="G178" s="17">
        <f t="shared" si="1370"/>
        <v>145</v>
      </c>
      <c r="H178" s="17">
        <f t="shared" si="1370"/>
        <v>130</v>
      </c>
      <c r="I178" s="17">
        <f>I174+I175+I176+I177</f>
        <v>124</v>
      </c>
      <c r="J178" s="17">
        <f>J174+J175+J176+J177</f>
        <v>119</v>
      </c>
      <c r="K178" s="17">
        <f>K174+K175+K176+K177</f>
        <v>111</v>
      </c>
      <c r="L178" s="17">
        <f t="shared" ref="L178" si="1371">L174+L175+L176+L177</f>
        <v>149</v>
      </c>
      <c r="M178" s="39">
        <f t="shared" ref="M178:N178" si="1372">M174+M175+M176+M177</f>
        <v>141</v>
      </c>
      <c r="N178" s="39">
        <f t="shared" si="1372"/>
        <v>144</v>
      </c>
      <c r="O178" s="39">
        <f t="shared" ref="O178:P178" si="1373">O174+O175+O176+O177</f>
        <v>170</v>
      </c>
      <c r="P178" s="39">
        <f t="shared" si="1373"/>
        <v>180</v>
      </c>
      <c r="Q178" s="39">
        <f t="shared" ref="Q178:R178" si="1374">Q174+Q175+Q176+Q177</f>
        <v>261</v>
      </c>
      <c r="R178" s="39">
        <f t="shared" si="1374"/>
        <v>252</v>
      </c>
      <c r="S178" s="39">
        <f t="shared" ref="S178:T178" si="1375">S174+S175+S176+S177</f>
        <v>377</v>
      </c>
      <c r="T178" s="39">
        <f t="shared" si="1375"/>
        <v>360</v>
      </c>
      <c r="U178" s="39">
        <f t="shared" ref="U178:V178" si="1376">U174+U175+U176+U177</f>
        <v>378</v>
      </c>
      <c r="V178" s="39">
        <f t="shared" si="1376"/>
        <v>378</v>
      </c>
      <c r="W178" s="39">
        <f t="shared" ref="W178:X178" si="1377">W174+W175+W176+W177</f>
        <v>385</v>
      </c>
      <c r="X178" s="39">
        <f t="shared" si="1377"/>
        <v>385</v>
      </c>
      <c r="Y178" s="39">
        <f t="shared" ref="Y178:Z178" si="1378">Y174+Y175+Y176+Y177</f>
        <v>317</v>
      </c>
      <c r="Z178" s="39">
        <f t="shared" si="1378"/>
        <v>454</v>
      </c>
      <c r="AA178" s="39">
        <f t="shared" ref="AA178:AB178" si="1379">AA174+AA175+AA176+AA177</f>
        <v>482</v>
      </c>
      <c r="AB178" s="39">
        <f t="shared" si="1379"/>
        <v>519</v>
      </c>
      <c r="AC178" s="39">
        <f t="shared" ref="AC178:AD178" si="1380">AC174+AC175+AC176+AC177</f>
        <v>580</v>
      </c>
      <c r="AD178" s="39">
        <f t="shared" si="1380"/>
        <v>622</v>
      </c>
      <c r="AE178" s="39">
        <f t="shared" ref="AE178:AF178" si="1381">AE174+AE175+AE176+AE177</f>
        <v>638</v>
      </c>
      <c r="AF178" s="39">
        <f t="shared" si="1381"/>
        <v>603</v>
      </c>
      <c r="AG178" s="39">
        <f t="shared" ref="AG178:AH178" si="1382">AG174+AG175+AG176+AG177</f>
        <v>650</v>
      </c>
      <c r="AH178" s="39">
        <f t="shared" si="1382"/>
        <v>730</v>
      </c>
      <c r="AI178" s="40">
        <f t="shared" ref="AI178:AJ178" si="1383">AI174+AI175+AI176+AI177</f>
        <v>793</v>
      </c>
      <c r="AJ178" s="39">
        <f t="shared" si="1383"/>
        <v>735.92841035075253</v>
      </c>
      <c r="AK178" s="39">
        <f t="shared" ref="AK178:AL178" si="1384">AK174+AK175+AK176+AK177</f>
        <v>797.61980688231813</v>
      </c>
      <c r="AL178" s="39">
        <f t="shared" si="1384"/>
        <v>850.27189932011072</v>
      </c>
      <c r="AM178" s="39">
        <f t="shared" ref="AM178:AN178" si="1385">AM174+AM175+AM176+AM177</f>
        <v>909.71927970586353</v>
      </c>
      <c r="AN178" s="39">
        <f t="shared" si="1385"/>
        <v>952.23092521008141</v>
      </c>
      <c r="AO178" s="39">
        <f t="shared" ref="AO178:AP178" si="1386">AO174+AO175+AO176+AO177</f>
        <v>986.04708102393397</v>
      </c>
      <c r="AP178" s="39">
        <f t="shared" si="1386"/>
        <v>1016.7006493433701</v>
      </c>
      <c r="AQ178" s="39">
        <f t="shared" ref="AQ178:AR178" si="1387">AQ174+AQ175+AQ176+AQ177</f>
        <v>1056.50776561268</v>
      </c>
      <c r="AR178" s="39">
        <f t="shared" si="1387"/>
        <v>1088.0824901092999</v>
      </c>
      <c r="AS178" s="74"/>
      <c r="AT178" s="39">
        <f t="shared" ref="AT178:BB178" si="1388">AT174+AT175+AT176+AT177</f>
        <v>267</v>
      </c>
      <c r="AU178" s="39">
        <f t="shared" si="1388"/>
        <v>280</v>
      </c>
      <c r="AV178" s="39">
        <f t="shared" si="1388"/>
        <v>275</v>
      </c>
      <c r="AW178" s="39">
        <f t="shared" si="1388"/>
        <v>243</v>
      </c>
      <c r="AX178" s="39">
        <f t="shared" si="1388"/>
        <v>260</v>
      </c>
      <c r="AY178" s="39">
        <f t="shared" si="1388"/>
        <v>285</v>
      </c>
      <c r="AZ178" s="39">
        <f t="shared" si="1388"/>
        <v>350</v>
      </c>
      <c r="BA178" s="39">
        <f t="shared" si="1388"/>
        <v>513</v>
      </c>
      <c r="BB178" s="39">
        <f t="shared" si="1388"/>
        <v>737</v>
      </c>
      <c r="BC178" s="39">
        <f t="shared" ref="BC178" si="1389">BC174+BC175+BC176+BC177</f>
        <v>756</v>
      </c>
      <c r="BD178" s="39">
        <f t="shared" ref="BD178:BI178" si="1390">BD174+BD175+BD176+BD177</f>
        <v>770</v>
      </c>
      <c r="BE178" s="39">
        <f t="shared" si="1390"/>
        <v>771</v>
      </c>
      <c r="BF178" s="39">
        <f t="shared" si="1390"/>
        <v>1001</v>
      </c>
      <c r="BG178" s="39">
        <f t="shared" si="1390"/>
        <v>1202</v>
      </c>
      <c r="BH178" s="39">
        <f t="shared" si="1390"/>
        <v>1241</v>
      </c>
      <c r="BI178" s="40">
        <f t="shared" si="1390"/>
        <v>1380</v>
      </c>
      <c r="BJ178" s="39">
        <f t="shared" ref="BJ178:BK178" si="1391">BJ174+BJ175+BJ176+BJ177</f>
        <v>1528.9284103507532</v>
      </c>
      <c r="BK178" s="39">
        <f t="shared" si="1391"/>
        <v>1647.8917062024291</v>
      </c>
      <c r="BL178" s="39">
        <f t="shared" ref="BL178:BM178" si="1392">BL174+BL175+BL176+BL177</f>
        <v>1861.950204915946</v>
      </c>
      <c r="BM178" s="39">
        <f t="shared" si="1392"/>
        <v>2002.7477303673036</v>
      </c>
      <c r="BN178" s="39">
        <f>BN174+BN175+BN176+BN177</f>
        <v>2144.5902557219806</v>
      </c>
    </row>
    <row r="179" spans="1:68" ht="12" customHeight="1" outlineLevel="1">
      <c r="A179" s="91" t="s">
        <v>1176</v>
      </c>
      <c r="B179" s="1" t="s">
        <v>16</v>
      </c>
      <c r="C179" s="21">
        <v>-3</v>
      </c>
      <c r="D179" s="21">
        <f>-6-C179</f>
        <v>-3</v>
      </c>
      <c r="E179" s="21">
        <v>-5</v>
      </c>
      <c r="F179" s="21">
        <f>-5-E179</f>
        <v>0</v>
      </c>
      <c r="G179" s="21">
        <v>0</v>
      </c>
      <c r="H179" s="21">
        <f>0-G179</f>
        <v>0</v>
      </c>
      <c r="I179" s="21">
        <v>0</v>
      </c>
      <c r="J179" s="21">
        <v>0</v>
      </c>
      <c r="K179" s="21">
        <v>0</v>
      </c>
      <c r="L179" s="21">
        <v>0</v>
      </c>
      <c r="M179" s="62">
        <v>0</v>
      </c>
      <c r="N179" s="62">
        <v>0</v>
      </c>
      <c r="O179" s="62">
        <v>0</v>
      </c>
      <c r="P179" s="62">
        <v>0</v>
      </c>
      <c r="Q179" s="62">
        <v>0</v>
      </c>
      <c r="R179" s="62">
        <v>0</v>
      </c>
      <c r="S179" s="62">
        <v>0</v>
      </c>
      <c r="T179" s="62">
        <v>0</v>
      </c>
      <c r="U179" s="62">
        <v>0</v>
      </c>
      <c r="V179" s="62">
        <v>0</v>
      </c>
      <c r="W179" s="62">
        <v>0</v>
      </c>
      <c r="X179" s="62">
        <v>0</v>
      </c>
      <c r="Y179" s="62">
        <v>0</v>
      </c>
      <c r="Z179" s="62">
        <v>0</v>
      </c>
      <c r="AA179" s="62">
        <v>0</v>
      </c>
      <c r="AB179" s="62">
        <v>0</v>
      </c>
      <c r="AC179" s="62">
        <v>0</v>
      </c>
      <c r="AD179" s="62">
        <v>0</v>
      </c>
      <c r="AE179" s="62">
        <v>0</v>
      </c>
      <c r="AF179" s="62">
        <v>0</v>
      </c>
      <c r="AG179" s="62">
        <v>0</v>
      </c>
      <c r="AH179" s="62">
        <v>0</v>
      </c>
      <c r="AI179" s="57">
        <f t="shared" ref="AI179" si="1393">AH179</f>
        <v>0</v>
      </c>
      <c r="AJ179" s="58">
        <f t="shared" ref="AJ179" si="1394">AI179</f>
        <v>0</v>
      </c>
      <c r="AK179" s="58">
        <f t="shared" ref="AK179" si="1395">AJ179</f>
        <v>0</v>
      </c>
      <c r="AL179" s="58">
        <f t="shared" ref="AL179" si="1396">AK179</f>
        <v>0</v>
      </c>
      <c r="AM179" s="58">
        <f t="shared" ref="AM179" si="1397">AL179</f>
        <v>0</v>
      </c>
      <c r="AN179" s="58">
        <f t="shared" ref="AN179" si="1398">AM179</f>
        <v>0</v>
      </c>
      <c r="AO179" s="58">
        <f t="shared" ref="AO179" si="1399">AN179</f>
        <v>0</v>
      </c>
      <c r="AP179" s="58">
        <f t="shared" ref="AP179" si="1400">AO179</f>
        <v>0</v>
      </c>
      <c r="AQ179" s="58">
        <f t="shared" ref="AQ179" si="1401">AP179</f>
        <v>0</v>
      </c>
      <c r="AR179" s="58">
        <f t="shared" ref="AR179" si="1402">AQ179</f>
        <v>0</v>
      </c>
      <c r="AS179" s="8"/>
      <c r="AT179" s="41">
        <f>C179+D179</f>
        <v>-6</v>
      </c>
      <c r="AU179" s="41">
        <f>E179+F179</f>
        <v>-5</v>
      </c>
      <c r="AV179" s="41">
        <f>G179+H179</f>
        <v>0</v>
      </c>
      <c r="AW179" s="41">
        <f>I179+J179</f>
        <v>0</v>
      </c>
      <c r="AX179" s="41">
        <f>K179+L179</f>
        <v>0</v>
      </c>
      <c r="AY179" s="41">
        <f>M179+N179</f>
        <v>0</v>
      </c>
      <c r="AZ179" s="41">
        <f>O179+P179</f>
        <v>0</v>
      </c>
      <c r="BA179" s="41">
        <f>Q179+R179</f>
        <v>0</v>
      </c>
      <c r="BB179" s="41">
        <f>S179+T179</f>
        <v>0</v>
      </c>
      <c r="BC179" s="41">
        <f>U179+V179</f>
        <v>0</v>
      </c>
      <c r="BD179" s="41">
        <f>W179+X179</f>
        <v>0</v>
      </c>
      <c r="BE179" s="41">
        <f>Y179+Z179</f>
        <v>0</v>
      </c>
      <c r="BF179" s="41">
        <f>AA179+AB179</f>
        <v>0</v>
      </c>
      <c r="BG179" s="41">
        <f>AC179+AD179</f>
        <v>0</v>
      </c>
      <c r="BH179" s="41">
        <f>AE179+AF179</f>
        <v>0</v>
      </c>
      <c r="BI179" s="42">
        <f>AG179+AH179</f>
        <v>0</v>
      </c>
      <c r="BJ179" s="41">
        <f>AI179+AJ179</f>
        <v>0</v>
      </c>
      <c r="BK179" s="41">
        <f>AK179+AL179</f>
        <v>0</v>
      </c>
      <c r="BL179" s="41">
        <f>AM179+AN179</f>
        <v>0</v>
      </c>
      <c r="BM179" s="41">
        <f>AO179+AP179</f>
        <v>0</v>
      </c>
      <c r="BN179" s="41">
        <f>AQ179+AR179</f>
        <v>0</v>
      </c>
      <c r="BP179" s="176">
        <f>+BJ180/BI180-1</f>
        <v>0.10791913793532837</v>
      </c>
    </row>
    <row r="180" spans="1:68" s="9" customFormat="1" ht="12" customHeight="1" outlineLevel="1">
      <c r="A180" s="91" t="s">
        <v>558</v>
      </c>
      <c r="B180" s="16" t="s">
        <v>51</v>
      </c>
      <c r="C180" s="17">
        <f t="shared" ref="C180:H180" si="1403">C178+C179</f>
        <v>137</v>
      </c>
      <c r="D180" s="17">
        <f t="shared" si="1403"/>
        <v>124</v>
      </c>
      <c r="E180" s="17">
        <f t="shared" si="1403"/>
        <v>134</v>
      </c>
      <c r="F180" s="17">
        <f t="shared" si="1403"/>
        <v>141</v>
      </c>
      <c r="G180" s="17">
        <f t="shared" si="1403"/>
        <v>145</v>
      </c>
      <c r="H180" s="17">
        <f t="shared" si="1403"/>
        <v>130</v>
      </c>
      <c r="I180" s="17">
        <f>I178+I179</f>
        <v>124</v>
      </c>
      <c r="J180" s="17">
        <f>J178+J179</f>
        <v>119</v>
      </c>
      <c r="K180" s="17">
        <f>K178+K179</f>
        <v>111</v>
      </c>
      <c r="L180" s="17">
        <f t="shared" ref="L180" si="1404">L178+L179</f>
        <v>149</v>
      </c>
      <c r="M180" s="63">
        <f t="shared" ref="M180:N180" si="1405">M178+M179</f>
        <v>141</v>
      </c>
      <c r="N180" s="63">
        <f t="shared" si="1405"/>
        <v>144</v>
      </c>
      <c r="O180" s="63">
        <f t="shared" ref="O180:P180" si="1406">O178+O179</f>
        <v>170</v>
      </c>
      <c r="P180" s="63">
        <f t="shared" si="1406"/>
        <v>180</v>
      </c>
      <c r="Q180" s="63">
        <f t="shared" ref="Q180:R180" si="1407">Q178+Q179</f>
        <v>261</v>
      </c>
      <c r="R180" s="63">
        <f t="shared" si="1407"/>
        <v>252</v>
      </c>
      <c r="S180" s="63">
        <f t="shared" ref="S180:T180" si="1408">S178+S179</f>
        <v>377</v>
      </c>
      <c r="T180" s="63">
        <f t="shared" si="1408"/>
        <v>360</v>
      </c>
      <c r="U180" s="63">
        <f t="shared" ref="U180:V180" si="1409">U178+U179</f>
        <v>378</v>
      </c>
      <c r="V180" s="63">
        <f t="shared" si="1409"/>
        <v>378</v>
      </c>
      <c r="W180" s="63">
        <f t="shared" ref="W180:X180" si="1410">W178+W179</f>
        <v>385</v>
      </c>
      <c r="X180" s="63">
        <f t="shared" si="1410"/>
        <v>385</v>
      </c>
      <c r="Y180" s="63">
        <f t="shared" ref="Y180:Z180" si="1411">Y178+Y179</f>
        <v>317</v>
      </c>
      <c r="Z180" s="63">
        <f t="shared" si="1411"/>
        <v>454</v>
      </c>
      <c r="AA180" s="63">
        <f t="shared" ref="AA180:AB180" si="1412">AA178+AA179</f>
        <v>482</v>
      </c>
      <c r="AB180" s="63">
        <f t="shared" si="1412"/>
        <v>519</v>
      </c>
      <c r="AC180" s="63">
        <f t="shared" ref="AC180:AD180" si="1413">AC178+AC179</f>
        <v>580</v>
      </c>
      <c r="AD180" s="63">
        <f t="shared" si="1413"/>
        <v>622</v>
      </c>
      <c r="AE180" s="63">
        <f t="shared" ref="AE180:AF180" si="1414">AE178+AE179</f>
        <v>638</v>
      </c>
      <c r="AF180" s="63">
        <f t="shared" si="1414"/>
        <v>603</v>
      </c>
      <c r="AG180" s="63">
        <f t="shared" ref="AG180:AH180" si="1415">AG178+AG179</f>
        <v>650</v>
      </c>
      <c r="AH180" s="63">
        <f t="shared" si="1415"/>
        <v>730</v>
      </c>
      <c r="AI180" s="64">
        <f t="shared" ref="AI180:AJ180" si="1416">AI178+AI179</f>
        <v>793</v>
      </c>
      <c r="AJ180" s="63">
        <f t="shared" si="1416"/>
        <v>735.92841035075253</v>
      </c>
      <c r="AK180" s="63">
        <f t="shared" ref="AK180:AL180" si="1417">AK178+AK179</f>
        <v>797.61980688231813</v>
      </c>
      <c r="AL180" s="63">
        <f t="shared" si="1417"/>
        <v>850.27189932011072</v>
      </c>
      <c r="AM180" s="63">
        <f t="shared" ref="AM180:AN180" si="1418">AM178+AM179</f>
        <v>909.71927970586353</v>
      </c>
      <c r="AN180" s="63">
        <f t="shared" si="1418"/>
        <v>952.23092521008141</v>
      </c>
      <c r="AO180" s="63">
        <f t="shared" ref="AO180:AP180" si="1419">AO178+AO179</f>
        <v>986.04708102393397</v>
      </c>
      <c r="AP180" s="63">
        <f t="shared" si="1419"/>
        <v>1016.7006493433701</v>
      </c>
      <c r="AQ180" s="63">
        <f t="shared" ref="AQ180:AR180" si="1420">AQ178+AQ179</f>
        <v>1056.50776561268</v>
      </c>
      <c r="AR180" s="63">
        <f t="shared" si="1420"/>
        <v>1088.0824901092999</v>
      </c>
      <c r="AS180" s="75"/>
      <c r="AT180" s="63">
        <f t="shared" ref="AT180:BB180" si="1421">AT178+AT179</f>
        <v>261</v>
      </c>
      <c r="AU180" s="63">
        <f t="shared" si="1421"/>
        <v>275</v>
      </c>
      <c r="AV180" s="63">
        <f t="shared" si="1421"/>
        <v>275</v>
      </c>
      <c r="AW180" s="63">
        <f t="shared" si="1421"/>
        <v>243</v>
      </c>
      <c r="AX180" s="63">
        <f t="shared" si="1421"/>
        <v>260</v>
      </c>
      <c r="AY180" s="63">
        <f t="shared" si="1421"/>
        <v>285</v>
      </c>
      <c r="AZ180" s="63">
        <f t="shared" si="1421"/>
        <v>350</v>
      </c>
      <c r="BA180" s="63">
        <f t="shared" si="1421"/>
        <v>513</v>
      </c>
      <c r="BB180" s="63">
        <f t="shared" si="1421"/>
        <v>737</v>
      </c>
      <c r="BC180" s="63">
        <f t="shared" ref="BC180" si="1422">BC178+BC179</f>
        <v>756</v>
      </c>
      <c r="BD180" s="63">
        <f t="shared" ref="BD180:BI180" si="1423">BD178+BD179</f>
        <v>770</v>
      </c>
      <c r="BE180" s="63">
        <f t="shared" si="1423"/>
        <v>771</v>
      </c>
      <c r="BF180" s="63">
        <f t="shared" si="1423"/>
        <v>1001</v>
      </c>
      <c r="BG180" s="63">
        <f t="shared" si="1423"/>
        <v>1202</v>
      </c>
      <c r="BH180" s="63">
        <f t="shared" si="1423"/>
        <v>1241</v>
      </c>
      <c r="BI180" s="64">
        <f t="shared" si="1423"/>
        <v>1380</v>
      </c>
      <c r="BJ180" s="63">
        <f t="shared" ref="BJ180:BK180" si="1424">BJ178+BJ179</f>
        <v>1528.9284103507532</v>
      </c>
      <c r="BK180" s="63">
        <f t="shared" si="1424"/>
        <v>1647.8917062024291</v>
      </c>
      <c r="BL180" s="63">
        <f t="shared" ref="BL180:BM180" si="1425">BL178+BL179</f>
        <v>1861.950204915946</v>
      </c>
      <c r="BM180" s="63">
        <f t="shared" si="1425"/>
        <v>2002.7477303673036</v>
      </c>
      <c r="BN180" s="63">
        <f>BN178+BN179</f>
        <v>2144.5902557219806</v>
      </c>
    </row>
    <row r="181" spans="1:68" ht="12" customHeight="1" outlineLevel="1">
      <c r="B181" s="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39"/>
      <c r="N181" s="39"/>
      <c r="O181" s="41"/>
      <c r="P181" s="41">
        <f>(O180+P180)</f>
        <v>350</v>
      </c>
      <c r="Q181" s="41"/>
      <c r="R181" s="41">
        <f>(Q180+R180)</f>
        <v>513</v>
      </c>
      <c r="S181" s="41"/>
      <c r="T181" s="41">
        <f>(S180+T180)</f>
        <v>737</v>
      </c>
      <c r="U181" s="41"/>
      <c r="V181" s="41">
        <f>(U180+V180)</f>
        <v>756</v>
      </c>
      <c r="W181" s="41"/>
      <c r="X181" s="41">
        <f>(W180+X180)</f>
        <v>770</v>
      </c>
      <c r="Y181" s="41"/>
      <c r="Z181" s="41">
        <f>(Y180+Z180)</f>
        <v>771</v>
      </c>
      <c r="AA181" s="41"/>
      <c r="AB181" s="41">
        <f>(AA180+AB180)</f>
        <v>1001</v>
      </c>
      <c r="AC181" s="41"/>
      <c r="AD181" s="41"/>
      <c r="AE181" s="41"/>
      <c r="AF181" s="41"/>
      <c r="AG181" s="41"/>
      <c r="AH181" s="41"/>
      <c r="AI181" s="42"/>
      <c r="AJ181" s="41"/>
      <c r="AK181" s="41"/>
      <c r="AL181" s="41"/>
      <c r="AM181" s="41"/>
      <c r="AN181" s="41"/>
      <c r="AO181" s="41"/>
      <c r="AP181" s="41"/>
      <c r="AQ181" s="41"/>
      <c r="AR181" s="41"/>
      <c r="AS181" s="74"/>
      <c r="AT181" s="39"/>
      <c r="AU181" s="39"/>
      <c r="AV181" s="39"/>
      <c r="AW181" s="39"/>
      <c r="AX181" s="39"/>
      <c r="AY181" s="270"/>
      <c r="AZ181" s="270"/>
      <c r="BA181" s="270"/>
      <c r="BB181" s="270"/>
      <c r="BC181" s="270"/>
      <c r="BD181" s="270"/>
      <c r="BE181" s="270"/>
      <c r="BF181" s="270"/>
      <c r="BG181" s="270"/>
      <c r="BH181" s="270"/>
      <c r="BI181" s="398"/>
      <c r="BJ181" s="270"/>
      <c r="BK181" s="270"/>
      <c r="BL181" s="270"/>
      <c r="BM181" s="270"/>
      <c r="BN181" s="270"/>
    </row>
    <row r="182" spans="1:68" s="9" customFormat="1" ht="12" customHeight="1" outlineLevel="1">
      <c r="A182" s="91"/>
      <c r="B182" s="9" t="s">
        <v>50</v>
      </c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39"/>
      <c r="N182" s="39"/>
      <c r="O182" s="39"/>
      <c r="P182" s="44"/>
      <c r="Q182" s="44"/>
      <c r="R182" s="44">
        <f>R181/P181-1</f>
        <v>0.46571428571428575</v>
      </c>
      <c r="S182" s="44"/>
      <c r="T182" s="44">
        <f>T181/R181-1</f>
        <v>0.43664717348927873</v>
      </c>
      <c r="U182" s="44"/>
      <c r="V182" s="44">
        <f>V181/T181-1</f>
        <v>2.5780189959294431E-2</v>
      </c>
      <c r="W182" s="44"/>
      <c r="X182" s="44">
        <f>X181/V181-1</f>
        <v>1.8518518518518601E-2</v>
      </c>
      <c r="Y182" s="44"/>
      <c r="Z182" s="44">
        <f>Z181/X181-1</f>
        <v>1.2987012987013546E-3</v>
      </c>
      <c r="AA182" s="44"/>
      <c r="AB182" s="44">
        <f>AB181/Z181-1</f>
        <v>0.2983138780804151</v>
      </c>
      <c r="AC182" s="44"/>
      <c r="AD182" s="44"/>
      <c r="AE182" s="44"/>
      <c r="AF182" s="44"/>
      <c r="AG182" s="44"/>
      <c r="AH182" s="44"/>
      <c r="AI182" s="49"/>
      <c r="AJ182" s="182"/>
      <c r="AK182" s="182"/>
      <c r="AL182" s="182"/>
      <c r="AM182" s="182"/>
      <c r="AN182" s="182"/>
      <c r="AO182" s="182"/>
      <c r="AP182" s="182"/>
      <c r="AQ182" s="182"/>
      <c r="AR182" s="182"/>
      <c r="AS182" s="74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40"/>
      <c r="BJ182" s="39"/>
      <c r="BK182" s="39"/>
      <c r="BL182" s="39"/>
      <c r="BM182" s="39"/>
      <c r="BN182" s="39"/>
    </row>
    <row r="183" spans="1:68" ht="12" customHeight="1" outlineLevel="1">
      <c r="A183" s="91" t="str">
        <f>LEFT(A180,3)&amp;"_CapEarnings"</f>
        <v>BFS_CapEarnings</v>
      </c>
      <c r="B183" s="1" t="s">
        <v>53</v>
      </c>
      <c r="C183" s="21">
        <f>584-C174</f>
        <v>-4</v>
      </c>
      <c r="D183" s="21">
        <f>1239-D174-C174-C183</f>
        <v>-8</v>
      </c>
      <c r="E183" s="21">
        <f>716-E174</f>
        <v>-14</v>
      </c>
      <c r="F183" s="21">
        <f>1484-F174-E174-E183</f>
        <v>2</v>
      </c>
      <c r="G183" s="21">
        <f>721-G174</f>
        <v>17</v>
      </c>
      <c r="H183" s="21">
        <f>1412-H174-G174-G183</f>
        <v>24</v>
      </c>
      <c r="I183" s="21">
        <f>715-I174</f>
        <v>60</v>
      </c>
      <c r="J183" s="21">
        <f>1374-J174-I174-I183</f>
        <v>23</v>
      </c>
      <c r="K183" s="21">
        <f>665-K174</f>
        <v>-2</v>
      </c>
      <c r="L183" s="21">
        <f>(653-3)-L174</f>
        <v>-3</v>
      </c>
      <c r="M183" s="62">
        <f>(665-0)-M174</f>
        <v>0</v>
      </c>
      <c r="N183" s="62">
        <v>-3</v>
      </c>
      <c r="O183" s="62">
        <v>0</v>
      </c>
      <c r="P183" s="62">
        <v>-4</v>
      </c>
      <c r="Q183" s="62">
        <v>-1</v>
      </c>
      <c r="R183" s="62">
        <f>-5-Q183</f>
        <v>-4</v>
      </c>
      <c r="S183" s="62">
        <v>-3</v>
      </c>
      <c r="T183" s="62">
        <v>0</v>
      </c>
      <c r="U183" s="62">
        <v>-2</v>
      </c>
      <c r="V183" s="62">
        <v>0</v>
      </c>
      <c r="W183" s="62">
        <v>-2</v>
      </c>
      <c r="X183" s="62">
        <v>0</v>
      </c>
      <c r="Y183" s="62">
        <v>-1</v>
      </c>
      <c r="Z183" s="62">
        <v>0</v>
      </c>
      <c r="AA183" s="62">
        <v>0</v>
      </c>
      <c r="AB183" s="62">
        <v>-1</v>
      </c>
      <c r="AC183" s="62">
        <v>-1</v>
      </c>
      <c r="AD183" s="62">
        <v>11</v>
      </c>
      <c r="AE183" s="62">
        <v>-1</v>
      </c>
      <c r="AF183" s="62">
        <v>0</v>
      </c>
      <c r="AG183" s="62">
        <v>0</v>
      </c>
      <c r="AH183" s="62">
        <v>0</v>
      </c>
      <c r="AI183" s="57">
        <v>0</v>
      </c>
      <c r="AJ183" s="41">
        <f t="shared" ref="AJ183" si="1426">AI183*AJ$480/AI$480</f>
        <v>0</v>
      </c>
      <c r="AK183" s="41">
        <f t="shared" ref="AK183" si="1427">AJ183*AK$480/AJ$480</f>
        <v>0</v>
      </c>
      <c r="AL183" s="41">
        <f t="shared" ref="AL183" si="1428">AK183*AL$480/AK$480</f>
        <v>0</v>
      </c>
      <c r="AM183" s="41">
        <f t="shared" ref="AM183" si="1429">AL183*AM$480/AL$480</f>
        <v>0</v>
      </c>
      <c r="AN183" s="41">
        <f t="shared" ref="AN183" si="1430">AM183*AN$480/AM$480</f>
        <v>0</v>
      </c>
      <c r="AO183" s="41">
        <f t="shared" ref="AO183" si="1431">AN183*AO$480/AN$480</f>
        <v>0</v>
      </c>
      <c r="AP183" s="41">
        <f t="shared" ref="AP183" si="1432">AO183*AP$480/AO$480</f>
        <v>0</v>
      </c>
      <c r="AQ183" s="41">
        <f t="shared" ref="AQ183" si="1433">AP183*AQ$480/AP$480</f>
        <v>0</v>
      </c>
      <c r="AR183" s="41">
        <f t="shared" ref="AR183" si="1434">AQ183*AR$480/AQ$480</f>
        <v>0</v>
      </c>
      <c r="AS183" s="8"/>
      <c r="AT183" s="41">
        <f>C183+D183</f>
        <v>-12</v>
      </c>
      <c r="AU183" s="41">
        <f>E183+F183</f>
        <v>-12</v>
      </c>
      <c r="AV183" s="41">
        <f>G183+H183</f>
        <v>41</v>
      </c>
      <c r="AW183" s="41">
        <f>I183+J183</f>
        <v>83</v>
      </c>
      <c r="AX183" s="41">
        <f>K183+L183</f>
        <v>-5</v>
      </c>
      <c r="AY183" s="41">
        <f>M183+N183</f>
        <v>-3</v>
      </c>
      <c r="AZ183" s="41">
        <f>O183+P183</f>
        <v>-4</v>
      </c>
      <c r="BA183" s="41">
        <f>Q183+R183</f>
        <v>-5</v>
      </c>
      <c r="BB183" s="41">
        <f>S183+T183</f>
        <v>-3</v>
      </c>
      <c r="BC183" s="41">
        <f>U183+V183</f>
        <v>-2</v>
      </c>
      <c r="BD183" s="41">
        <f>W183+X183</f>
        <v>-2</v>
      </c>
      <c r="BE183" s="41">
        <f>Y183+Z183</f>
        <v>-1</v>
      </c>
      <c r="BF183" s="41">
        <f>AA183+AB183</f>
        <v>-1</v>
      </c>
      <c r="BG183" s="41">
        <f>AC183+AD183</f>
        <v>10</v>
      </c>
      <c r="BH183" s="41">
        <f>AE183+AF183</f>
        <v>-1</v>
      </c>
      <c r="BI183" s="42">
        <f>AG183+AH183</f>
        <v>0</v>
      </c>
      <c r="BJ183" s="41">
        <f>AI183+AJ183</f>
        <v>0</v>
      </c>
      <c r="BK183" s="41">
        <f>AK183+AL183</f>
        <v>0</v>
      </c>
      <c r="BL183" s="41">
        <f>AM183+AN183</f>
        <v>0</v>
      </c>
      <c r="BM183" s="41">
        <f>AO183+AP183</f>
        <v>0</v>
      </c>
      <c r="BN183" s="41">
        <f>AQ183+AR183</f>
        <v>0</v>
      </c>
    </row>
    <row r="184" spans="1:68" ht="12" customHeight="1" outlineLevel="1">
      <c r="A184" s="91" t="str">
        <f>LEFT(A180,3)&amp;"_CenCosts"</f>
        <v>BFS_CenCosts</v>
      </c>
      <c r="B184" s="1" t="s">
        <v>12</v>
      </c>
      <c r="C184" s="19"/>
      <c r="D184" s="19"/>
      <c r="E184" s="19"/>
      <c r="F184" s="19"/>
      <c r="G184" s="19">
        <f t="shared" ref="G184:Z184" si="1435">G$472*(G174)/(G$28-G$469)</f>
        <v>69.769682000617479</v>
      </c>
      <c r="H184" s="19">
        <f t="shared" si="1435"/>
        <v>56.259835833569205</v>
      </c>
      <c r="I184" s="19">
        <f t="shared" si="1435"/>
        <v>61.927272727272729</v>
      </c>
      <c r="J184" s="19">
        <f t="shared" si="1435"/>
        <v>58.953508518625469</v>
      </c>
      <c r="K184" s="19">
        <f t="shared" si="1435"/>
        <v>54.091060060891223</v>
      </c>
      <c r="L184" s="19">
        <f t="shared" si="1435"/>
        <v>52.941749881122206</v>
      </c>
      <c r="M184" s="41">
        <f t="shared" si="1435"/>
        <v>49.878983944404503</v>
      </c>
      <c r="N184" s="41">
        <f t="shared" si="1435"/>
        <v>43.650952858575728</v>
      </c>
      <c r="O184" s="41">
        <f t="shared" si="1435"/>
        <v>47.238095238095241</v>
      </c>
      <c r="P184" s="41">
        <f t="shared" si="1435"/>
        <v>69.452513966480453</v>
      </c>
      <c r="Q184" s="41">
        <f t="shared" si="1435"/>
        <v>56.918520791775357</v>
      </c>
      <c r="R184" s="41">
        <f t="shared" si="1435"/>
        <v>46.429231276806334</v>
      </c>
      <c r="S184" s="41">
        <f t="shared" si="1435"/>
        <v>58.57736867163942</v>
      </c>
      <c r="T184" s="41">
        <f t="shared" si="1435"/>
        <v>59.104975728155338</v>
      </c>
      <c r="U184" s="41">
        <f t="shared" si="1435"/>
        <v>80.84615384615384</v>
      </c>
      <c r="V184" s="41">
        <f t="shared" si="1435"/>
        <v>38.053321804294569</v>
      </c>
      <c r="W184" s="41">
        <f t="shared" si="1435"/>
        <v>87.570828622193503</v>
      </c>
      <c r="X184" s="41">
        <f t="shared" si="1435"/>
        <v>74.027997976049917</v>
      </c>
      <c r="Y184" s="41">
        <f t="shared" si="1435"/>
        <v>87.468285610728529</v>
      </c>
      <c r="Z184" s="41">
        <f t="shared" si="1435"/>
        <v>79.335653409090909</v>
      </c>
      <c r="AA184" s="41">
        <v>0</v>
      </c>
      <c r="AB184" s="41">
        <f>0</f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2">
        <v>0</v>
      </c>
      <c r="AJ184" s="41">
        <f>AI184</f>
        <v>0</v>
      </c>
      <c r="AK184" s="41">
        <f t="shared" ref="AK184:AR184" si="1436">AJ184</f>
        <v>0</v>
      </c>
      <c r="AL184" s="41">
        <f t="shared" si="1436"/>
        <v>0</v>
      </c>
      <c r="AM184" s="41">
        <f t="shared" si="1436"/>
        <v>0</v>
      </c>
      <c r="AN184" s="41">
        <f t="shared" si="1436"/>
        <v>0</v>
      </c>
      <c r="AO184" s="41">
        <f t="shared" si="1436"/>
        <v>0</v>
      </c>
      <c r="AP184" s="41">
        <f t="shared" si="1436"/>
        <v>0</v>
      </c>
      <c r="AQ184" s="41">
        <f t="shared" si="1436"/>
        <v>0</v>
      </c>
      <c r="AR184" s="41">
        <f t="shared" si="1436"/>
        <v>0</v>
      </c>
      <c r="AS184" s="8"/>
      <c r="AT184" s="41"/>
      <c r="AU184" s="41"/>
      <c r="AV184" s="41">
        <f>G184+H184</f>
        <v>126.02951783418669</v>
      </c>
      <c r="AW184" s="41">
        <f>I184+J184</f>
        <v>120.88078124589819</v>
      </c>
      <c r="AX184" s="41">
        <f>K184+L184</f>
        <v>107.03280994201343</v>
      </c>
      <c r="AY184" s="41">
        <f>M184+N184</f>
        <v>93.529936802980231</v>
      </c>
      <c r="AZ184" s="41">
        <f>O184+P184</f>
        <v>116.69060920457569</v>
      </c>
      <c r="BA184" s="41">
        <f>Q184+R184</f>
        <v>103.34775206858168</v>
      </c>
      <c r="BB184" s="41">
        <f>S184+T184</f>
        <v>117.68234439979476</v>
      </c>
      <c r="BC184" s="41">
        <f>U184+V184</f>
        <v>118.89947565044841</v>
      </c>
      <c r="BD184" s="41">
        <f>W184+X184</f>
        <v>161.59882659824342</v>
      </c>
      <c r="BE184" s="41">
        <f>Y184+Z184</f>
        <v>166.80393901981944</v>
      </c>
      <c r="BF184" s="41">
        <f>AA184+AB184</f>
        <v>0</v>
      </c>
      <c r="BG184" s="41">
        <f>AC184+AD184</f>
        <v>0</v>
      </c>
      <c r="BH184" s="41">
        <f>AE184+AF184</f>
        <v>0</v>
      </c>
      <c r="BI184" s="42">
        <f>AG184+AH184</f>
        <v>0</v>
      </c>
      <c r="BJ184" s="41">
        <f>AI184+AJ184</f>
        <v>0</v>
      </c>
      <c r="BK184" s="41">
        <f>AK184+AL184</f>
        <v>0</v>
      </c>
      <c r="BL184" s="41">
        <f>AM184+AN184</f>
        <v>0</v>
      </c>
      <c r="BM184" s="41">
        <f>AO184+AP184</f>
        <v>0</v>
      </c>
      <c r="BN184" s="41">
        <f>AQ184+AR184</f>
        <v>0</v>
      </c>
    </row>
    <row r="185" spans="1:68" ht="12" customHeight="1" outlineLevel="1">
      <c r="A185" s="91" t="str">
        <f>LEFT(A180,3)&amp;"_ProfitShare"</f>
        <v>BFS_ProfitShare</v>
      </c>
      <c r="B185" s="1" t="s">
        <v>13</v>
      </c>
      <c r="C185" s="19"/>
      <c r="D185" s="19"/>
      <c r="E185" s="19"/>
      <c r="F185" s="19"/>
      <c r="G185" s="19">
        <f t="shared" ref="G185:H185" si="1437">(G187-(G178+G184+G183)*(1-G220)-G179)/(1-G220)</f>
        <v>-123.69128681899595</v>
      </c>
      <c r="H185" s="19">
        <f t="shared" si="1437"/>
        <v>-96.178685404610007</v>
      </c>
      <c r="I185" s="19">
        <f t="shared" ref="I185:M185" si="1438">(I187-(I178+I184+I183)*(1-I220)-I179)/(1-I220)</f>
        <v>-114.26516393835637</v>
      </c>
      <c r="J185" s="19">
        <f t="shared" si="1438"/>
        <v>-57.031149143253515</v>
      </c>
      <c r="K185" s="19">
        <f t="shared" si="1438"/>
        <v>-2240.4528505187136</v>
      </c>
      <c r="L185" s="19">
        <f t="shared" si="1438"/>
        <v>1517.481736057538</v>
      </c>
      <c r="M185" s="41">
        <f t="shared" si="1438"/>
        <v>-10.918381816294243</v>
      </c>
      <c r="N185" s="41">
        <f t="shared" ref="N185:O185" si="1439">(N187-(N178+N184+N183)*(1-N220)-N179)/(1-N220)</f>
        <v>-40.962318954468351</v>
      </c>
      <c r="O185" s="41">
        <f t="shared" si="1439"/>
        <v>-43.972812472340941</v>
      </c>
      <c r="P185" s="41">
        <f t="shared" ref="P185" si="1440">(P187-(P178+P184+P183)*(1-P220)-P179)/(1-P220)</f>
        <v>-70.887452805545621</v>
      </c>
      <c r="Q185" s="41">
        <f t="shared" ref="Q185:R185" si="1441">(Q187-(Q178+Q184+Q183)*(1-Q220)-Q179)/(1-Q220)</f>
        <v>-76.161829252616485</v>
      </c>
      <c r="R185" s="41">
        <f t="shared" si="1441"/>
        <v>-80.640844172542316</v>
      </c>
      <c r="S185" s="41">
        <f t="shared" ref="S185:T185" si="1442">(S187-(S178+S184+S183)*(1-S220)-S179)/(1-S220)</f>
        <v>-185.00910887789871</v>
      </c>
      <c r="T185" s="41">
        <f t="shared" si="1442"/>
        <v>-107.10801376077687</v>
      </c>
      <c r="U185" s="41">
        <f t="shared" ref="U185:V185" si="1443">(U187-(U178+U184+U183)*(1-U220)-U179)/(1-U220)</f>
        <v>-116.71266778402079</v>
      </c>
      <c r="V185" s="41">
        <f t="shared" si="1443"/>
        <v>6.4154376110760518</v>
      </c>
      <c r="W185" s="41">
        <f t="shared" ref="W185:X185" si="1444">(W187-(W178+W184+W183)*(1-W220)-W179)/(1-W220)</f>
        <v>-9.8966713188226887</v>
      </c>
      <c r="X185" s="41">
        <f t="shared" si="1444"/>
        <v>27.691093909534054</v>
      </c>
      <c r="Y185" s="41">
        <f t="shared" ref="Y185:Z185" si="1445">(Y187-(Y178+Y184+Y183)*(1-Y220)-Y179)/(1-Y220)</f>
        <v>35.356443586371867</v>
      </c>
      <c r="Z185" s="41">
        <f t="shared" si="1445"/>
        <v>-77.396452808602987</v>
      </c>
      <c r="AA185" s="41">
        <f t="shared" ref="AA185:AB185" si="1446">(AA187-(AA178+AA184+AA183)*(1-AA220)-AA179)/(1-AA220)</f>
        <v>-11.016182946945438</v>
      </c>
      <c r="AB185" s="41">
        <f t="shared" si="1446"/>
        <v>-191.13877307921388</v>
      </c>
      <c r="AC185" s="41">
        <f>'[2]MQG - Divisional ROE Reco'!D255</f>
        <v>-51.785714285714221</v>
      </c>
      <c r="AD185" s="41">
        <f>'[2]MQG - Divisional ROE Reco'!D228</f>
        <v>-83.428571428571558</v>
      </c>
      <c r="AE185" s="41">
        <f>'[2]MQG - Divisional ROE Reco'!D173</f>
        <v>-93</v>
      </c>
      <c r="AF185" s="41">
        <f>'[2]MQG - Divisional ROE Reco'!D146</f>
        <v>-68</v>
      </c>
      <c r="AG185" s="41">
        <f>'[2]MQG - Divisional ROE Reco'!D91</f>
        <v>-74.285714285714221</v>
      </c>
      <c r="AH185" s="41">
        <f>'[2]MQG - Divisional ROE Reco'!D64</f>
        <v>-94.285714285714221</v>
      </c>
      <c r="AI185" s="42">
        <f>'[2]MQG - Divisional ROE Reco'!$D$9</f>
        <v>-93.89285714285711</v>
      </c>
      <c r="AJ185" s="41">
        <f>AI185/AI174*AJ174</f>
        <v>-94.30233378005812</v>
      </c>
      <c r="AK185" s="41">
        <f t="shared" ref="AK185:AR185" si="1447">AJ185/AJ174*AK174</f>
        <v>-99.452008598254096</v>
      </c>
      <c r="AL185" s="41">
        <f t="shared" si="1447"/>
        <v>-103.39212948577629</v>
      </c>
      <c r="AM185" s="41">
        <f t="shared" si="1447"/>
        <v>-107.84743842652537</v>
      </c>
      <c r="AN185" s="41">
        <f t="shared" si="1447"/>
        <v>-111.59306694680275</v>
      </c>
      <c r="AO185" s="41">
        <f t="shared" si="1447"/>
        <v>-114.92043986984558</v>
      </c>
      <c r="AP185" s="41">
        <f t="shared" si="1447"/>
        <v>-117.54931394619436</v>
      </c>
      <c r="AQ185" s="41">
        <f t="shared" si="1447"/>
        <v>-121.28346453804294</v>
      </c>
      <c r="AR185" s="41">
        <f t="shared" si="1447"/>
        <v>-123.94562335188188</v>
      </c>
      <c r="AS185" s="8"/>
      <c r="AT185" s="41"/>
      <c r="AU185" s="41"/>
      <c r="AV185" s="41">
        <f>G185+H185</f>
        <v>-219.86997222360594</v>
      </c>
      <c r="AW185" s="41">
        <f>I185+J185</f>
        <v>-171.29631308160987</v>
      </c>
      <c r="AX185" s="41">
        <f>K185+L185</f>
        <v>-722.9711144611756</v>
      </c>
      <c r="AY185" s="41">
        <f>M185+N185</f>
        <v>-51.880700770762594</v>
      </c>
      <c r="AZ185" s="41">
        <f>O185+P185</f>
        <v>-114.86026527788655</v>
      </c>
      <c r="BA185" s="41">
        <f>Q185+R185</f>
        <v>-156.80267342515879</v>
      </c>
      <c r="BB185" s="41">
        <f>S185+T185</f>
        <v>-292.1171226386756</v>
      </c>
      <c r="BC185" s="41">
        <f>U185+V185</f>
        <v>-110.29723017294474</v>
      </c>
      <c r="BD185" s="41">
        <f>W185+X185</f>
        <v>17.794422590711363</v>
      </c>
      <c r="BE185" s="41">
        <f>Y185+Z185</f>
        <v>-42.04000922223112</v>
      </c>
      <c r="BF185" s="41">
        <f>AA185+AB185</f>
        <v>-202.15495602615931</v>
      </c>
      <c r="BG185" s="41">
        <f>AC185+AD185</f>
        <v>-135.21428571428578</v>
      </c>
      <c r="BH185" s="41">
        <f>AE185+AF185</f>
        <v>-161</v>
      </c>
      <c r="BI185" s="42">
        <f>AG185+AH185</f>
        <v>-168.57142857142844</v>
      </c>
      <c r="BJ185" s="41">
        <f>AI185+AJ185</f>
        <v>-188.19519092291523</v>
      </c>
      <c r="BK185" s="41">
        <f>AK185+AL185</f>
        <v>-202.84413808403039</v>
      </c>
      <c r="BL185" s="41">
        <f>AM185+AN185</f>
        <v>-219.44050537332811</v>
      </c>
      <c r="BM185" s="41">
        <f>AO185+AP185</f>
        <v>-232.46975381603994</v>
      </c>
      <c r="BN185" s="41">
        <f>AQ185+AR185</f>
        <v>-245.22908788992481</v>
      </c>
    </row>
    <row r="186" spans="1:68" ht="12" customHeight="1" outlineLevel="1">
      <c r="A186" s="91" t="str">
        <f>LEFT(A180,3)&amp;"_Tax"</f>
        <v>BFS_Tax</v>
      </c>
      <c r="B186" s="1" t="s">
        <v>15</v>
      </c>
      <c r="C186" s="19"/>
      <c r="D186" s="19"/>
      <c r="E186" s="19"/>
      <c r="F186" s="19"/>
      <c r="G186" s="19">
        <f t="shared" ref="G186:H186" si="1448">G187-(G180+G183+G184+G185)</f>
        <v>-27.915958633398176</v>
      </c>
      <c r="H186" s="19">
        <f t="shared" si="1448"/>
        <v>-40.889360537103101</v>
      </c>
      <c r="I186" s="19">
        <f t="shared" ref="I186:M186" si="1449">I187-(I180+I183+I184+I185)</f>
        <v>-43.421012898505424</v>
      </c>
      <c r="J186" s="19">
        <f t="shared" si="1449"/>
        <v>-62.163455265782943</v>
      </c>
      <c r="K186" s="19">
        <f t="shared" si="1449"/>
        <v>2168.2234065634184</v>
      </c>
      <c r="L186" s="19">
        <f t="shared" si="1449"/>
        <v>-1613.1490807476002</v>
      </c>
      <c r="M186" s="41">
        <f t="shared" si="1449"/>
        <v>-67.653752813041763</v>
      </c>
      <c r="N186" s="41">
        <f t="shared" ref="N186:O186" si="1450">N187-(N180+N183+N184+N185)</f>
        <v>-41.968085958901895</v>
      </c>
      <c r="O186" s="41">
        <f t="shared" si="1450"/>
        <v>-56.265282765754307</v>
      </c>
      <c r="P186" s="41">
        <f t="shared" ref="P186" si="1451">P187-(P180+P183+P184+P185)</f>
        <v>-51.565061160934846</v>
      </c>
      <c r="Q186" s="41">
        <f t="shared" ref="Q186:R186" si="1452">Q187-(Q180+Q183+Q184+Q185)</f>
        <v>-70.756691539158851</v>
      </c>
      <c r="R186" s="41">
        <f t="shared" si="1452"/>
        <v>-56.71989395357906</v>
      </c>
      <c r="S186" s="41">
        <f t="shared" ref="S186:T186" si="1453">S187-(S180+S183+S184+S185)</f>
        <v>-51.53264335538455</v>
      </c>
      <c r="T186" s="41">
        <f t="shared" si="1453"/>
        <v>-67.668194844090806</v>
      </c>
      <c r="U186" s="41">
        <f t="shared" ref="U186:V186" si="1454">U187-(U180+U183+U184+U185)</f>
        <v>-97.219787431995996</v>
      </c>
      <c r="V186" s="41">
        <f t="shared" si="1454"/>
        <v>-126.28245804550761</v>
      </c>
      <c r="W186" s="41">
        <f t="shared" ref="W186:X186" si="1455">W187-(W180+W183+W184+W185)</f>
        <v>-112.17415730337081</v>
      </c>
      <c r="X186" s="41">
        <f t="shared" si="1455"/>
        <v>-125.46909188558396</v>
      </c>
      <c r="Y186" s="41">
        <f t="shared" ref="Y186:Z186" si="1456">Y187-(Y180+Y183+Y184+Y185)</f>
        <v>-111.68089358066203</v>
      </c>
      <c r="Z186" s="41">
        <f t="shared" si="1456"/>
        <v>-123.10358416213177</v>
      </c>
      <c r="AA186" s="41">
        <f t="shared" ref="AA186:AB186" si="1457">AA187-(AA180+AA183+AA184+AA185)</f>
        <v>-121.27833760099975</v>
      </c>
      <c r="AB186" s="41">
        <f t="shared" si="1457"/>
        <v>-82.532459797498461</v>
      </c>
      <c r="AC186" s="41">
        <f>'[2]MQG - Divisional ROE Reco'!D262</f>
        <v>-158.46428571428572</v>
      </c>
      <c r="AD186" s="41">
        <f>'[2]MQG - Divisional ROE Reco'!D235</f>
        <v>-161.57142857142861</v>
      </c>
      <c r="AE186" s="41">
        <f>'[2]MQG - Divisional ROE Reco'!D180</f>
        <v>-163.50000000000003</v>
      </c>
      <c r="AF186" s="41">
        <f>'[2]MQG - Divisional ROE Reco'!D153</f>
        <v>-160.49999999999997</v>
      </c>
      <c r="AG186" s="558">
        <f>'[2]MQG - Divisional ROE Reco'!D98</f>
        <v>-172.71428571428572</v>
      </c>
      <c r="AH186" s="558">
        <f>'[2]MQG - Divisional ROE Reco'!D71</f>
        <v>-190.71428571428572</v>
      </c>
      <c r="AI186" s="568">
        <f>'[2]MQG - Divisional ROE Reco'!$D$16</f>
        <v>-209.73214285714289</v>
      </c>
      <c r="AJ186" s="41">
        <f t="shared" ref="AJ186" si="1458">(AJ180+AJ183+AJ184+AJ185)*-AJ220</f>
        <v>-183.2484074685903</v>
      </c>
      <c r="AK186" s="41">
        <f t="shared" ref="AK186:AL186" si="1459">(AK180+AK183+AK184+AK185)*-AK220</f>
        <v>-199.39672318992865</v>
      </c>
      <c r="AL186" s="41">
        <f t="shared" si="1459"/>
        <v>-213.30886226468587</v>
      </c>
      <c r="AM186" s="41">
        <f t="shared" ref="AM186:AN186" si="1460">(AM180+AM183+AM184+AM185)*-AM220</f>
        <v>-229.01459786937895</v>
      </c>
      <c r="AN186" s="41">
        <f t="shared" si="1460"/>
        <v>-240.08617231999236</v>
      </c>
      <c r="AO186" s="41">
        <f t="shared" ref="AO186:AP186" si="1461">(AO180+AO183+AO184+AO185)*-AO220</f>
        <v>-248.79376871360762</v>
      </c>
      <c r="AP186" s="41">
        <f t="shared" si="1461"/>
        <v>-256.79762138943335</v>
      </c>
      <c r="AQ186" s="41">
        <f t="shared" ref="AQ186:AR186" si="1462">(AQ180+AQ183+AQ184+AQ185)*-AQ220</f>
        <v>-267.10006038691631</v>
      </c>
      <c r="AR186" s="41">
        <f t="shared" si="1462"/>
        <v>-275.35748914591858</v>
      </c>
      <c r="AS186" s="8"/>
      <c r="AT186" s="41"/>
      <c r="AU186" s="41"/>
      <c r="AV186" s="41">
        <f>G186+H186</f>
        <v>-68.805319170501278</v>
      </c>
      <c r="AW186" s="41">
        <f>I186+J186</f>
        <v>-105.58446816428837</v>
      </c>
      <c r="AX186" s="41">
        <f>K186+L186</f>
        <v>555.07432581581816</v>
      </c>
      <c r="AY186" s="41">
        <f>M186+N186</f>
        <v>-109.62183877194366</v>
      </c>
      <c r="AZ186" s="41">
        <f>O186+P186</f>
        <v>-107.83034392668915</v>
      </c>
      <c r="BA186" s="41">
        <f>Q186+R186</f>
        <v>-127.47658549273791</v>
      </c>
      <c r="BB186" s="41">
        <f>S186+T186</f>
        <v>-119.20083819947536</v>
      </c>
      <c r="BC186" s="41">
        <f>U186+V186</f>
        <v>-223.50224547750361</v>
      </c>
      <c r="BD186" s="41">
        <f>W186+X186</f>
        <v>-237.64324918895477</v>
      </c>
      <c r="BE186" s="41">
        <f>Y186+Z186</f>
        <v>-234.7844777427938</v>
      </c>
      <c r="BF186" s="41">
        <f>AA186+AB186</f>
        <v>-203.81079739849821</v>
      </c>
      <c r="BG186" s="41">
        <f>AC186+AD186</f>
        <v>-320.03571428571433</v>
      </c>
      <c r="BH186" s="41">
        <f>AE186+AF186</f>
        <v>-324</v>
      </c>
      <c r="BI186" s="42">
        <f>AG186+AH186</f>
        <v>-363.42857142857144</v>
      </c>
      <c r="BJ186" s="41">
        <f>AI186+AJ186</f>
        <v>-392.98055032573319</v>
      </c>
      <c r="BK186" s="41">
        <f>AK186+AL186</f>
        <v>-412.70558545461449</v>
      </c>
      <c r="BL186" s="41">
        <f>AM186+AN186</f>
        <v>-469.1007701893713</v>
      </c>
      <c r="BM186" s="41">
        <f>AO186+AP186</f>
        <v>-505.59139010304096</v>
      </c>
      <c r="BN186" s="41">
        <f>AQ186+AR186</f>
        <v>-542.45754953283495</v>
      </c>
    </row>
    <row r="187" spans="1:68" s="9" customFormat="1" ht="12" customHeight="1" outlineLevel="1">
      <c r="A187" s="91" t="str">
        <f>LEFT(A180,3)&amp;"_CE"</f>
        <v>BFS_CE</v>
      </c>
      <c r="B187" s="1" t="s">
        <v>54</v>
      </c>
      <c r="C187" s="19"/>
      <c r="D187" s="19"/>
      <c r="E187" s="19"/>
      <c r="F187" s="19"/>
      <c r="G187" s="19">
        <f t="shared" ref="G187:H187" si="1463">AVERAGE(F192:G192)*G223/G$5</f>
        <v>80.162436548223354</v>
      </c>
      <c r="H187" s="19">
        <f t="shared" si="1463"/>
        <v>73.191789891856104</v>
      </c>
      <c r="I187" s="19">
        <f t="shared" ref="I187:M187" si="1464">AVERAGE(H192:I192)*I223/I$5</f>
        <v>88.241095890410961</v>
      </c>
      <c r="J187" s="19">
        <f t="shared" si="1464"/>
        <v>81.758904109589025</v>
      </c>
      <c r="K187" s="19">
        <f t="shared" si="1464"/>
        <v>90.8616161055959</v>
      </c>
      <c r="L187" s="19">
        <f t="shared" si="1464"/>
        <v>103.27440519105983</v>
      </c>
      <c r="M187" s="41">
        <f t="shared" si="1464"/>
        <v>112.30684931506849</v>
      </c>
      <c r="N187" s="41">
        <f t="shared" ref="N187" si="1465">AVERAGE(M192:N192)*N223/N$5</f>
        <v>101.72054794520548</v>
      </c>
      <c r="O187" s="41">
        <f t="shared" ref="O187:AB187" si="1466">AVERAGE(N192:O192)*O223/O$5</f>
        <v>117</v>
      </c>
      <c r="P187" s="41">
        <f t="shared" si="1466"/>
        <v>123</v>
      </c>
      <c r="Q187" s="41">
        <f t="shared" si="1466"/>
        <v>170</v>
      </c>
      <c r="R187" s="41">
        <f t="shared" si="1466"/>
        <v>157.06849315068496</v>
      </c>
      <c r="S187" s="41">
        <f t="shared" si="1466"/>
        <v>196.03561643835616</v>
      </c>
      <c r="T187" s="41">
        <f t="shared" si="1466"/>
        <v>244.32876712328766</v>
      </c>
      <c r="U187" s="41">
        <f t="shared" si="1466"/>
        <v>242.91369863013699</v>
      </c>
      <c r="V187" s="41">
        <f t="shared" si="1466"/>
        <v>296.18630136986303</v>
      </c>
      <c r="W187" s="41">
        <f t="shared" si="1466"/>
        <v>348.5</v>
      </c>
      <c r="X187" s="41">
        <f t="shared" si="1466"/>
        <v>361.25</v>
      </c>
      <c r="Y187" s="41">
        <f t="shared" si="1466"/>
        <v>327.14383561643837</v>
      </c>
      <c r="Z187" s="41">
        <f t="shared" si="1466"/>
        <v>332.83561643835617</v>
      </c>
      <c r="AA187" s="41">
        <f t="shared" si="1466"/>
        <v>349.70547945205482</v>
      </c>
      <c r="AB187" s="41">
        <f t="shared" si="1466"/>
        <v>244.32876712328766</v>
      </c>
      <c r="AC187" s="41">
        <f t="shared" ref="AC187:AH187" si="1467">SUM(AC180,AC184,AC185,AC186)</f>
        <v>369.75000000000006</v>
      </c>
      <c r="AD187" s="41">
        <f t="shared" si="1467"/>
        <v>376.99999999999983</v>
      </c>
      <c r="AE187" s="41">
        <f t="shared" si="1467"/>
        <v>381.5</v>
      </c>
      <c r="AF187" s="41">
        <f t="shared" si="1467"/>
        <v>374.5</v>
      </c>
      <c r="AG187" s="41">
        <f t="shared" si="1467"/>
        <v>403.00000000000006</v>
      </c>
      <c r="AH187" s="41">
        <f t="shared" si="1467"/>
        <v>445.00000000000006</v>
      </c>
      <c r="AI187" s="42">
        <f t="shared" ref="AI187" si="1468">SUM(AI180,AI184,AI185,AI186)</f>
        <v>489.375</v>
      </c>
      <c r="AJ187" s="41">
        <f t="shared" ref="AJ187:AR187" si="1469">AJ180+AJ183+AJ184+AJ185+AJ186</f>
        <v>458.37766910210411</v>
      </c>
      <c r="AK187" s="41">
        <f t="shared" si="1469"/>
        <v>498.77107509413537</v>
      </c>
      <c r="AL187" s="41">
        <f t="shared" si="1469"/>
        <v>533.57090756964851</v>
      </c>
      <c r="AM187" s="41">
        <f t="shared" si="1469"/>
        <v>572.85724340995921</v>
      </c>
      <c r="AN187" s="41">
        <f t="shared" si="1469"/>
        <v>600.55168594328632</v>
      </c>
      <c r="AO187" s="41">
        <f t="shared" si="1469"/>
        <v>622.33287244048074</v>
      </c>
      <c r="AP187" s="41">
        <f t="shared" si="1469"/>
        <v>642.35371400774238</v>
      </c>
      <c r="AQ187" s="41">
        <f t="shared" si="1469"/>
        <v>668.12424068772077</v>
      </c>
      <c r="AR187" s="41">
        <f t="shared" si="1469"/>
        <v>688.77937761149951</v>
      </c>
      <c r="AS187" s="8"/>
      <c r="AT187" s="41"/>
      <c r="AU187" s="41"/>
      <c r="AV187" s="41">
        <f t="shared" ref="AV187:BB187" si="1470">AV180+AV183+AV184+AV185+AV186</f>
        <v>153.35422644007946</v>
      </c>
      <c r="AW187" s="41">
        <f t="shared" si="1470"/>
        <v>170</v>
      </c>
      <c r="AX187" s="41">
        <f t="shared" si="1470"/>
        <v>194.136021296656</v>
      </c>
      <c r="AY187" s="41">
        <f t="shared" si="1470"/>
        <v>214.02739726027397</v>
      </c>
      <c r="AZ187" s="41">
        <f t="shared" si="1470"/>
        <v>239.99999999999997</v>
      </c>
      <c r="BA187" s="41">
        <f t="shared" si="1470"/>
        <v>327.06849315068501</v>
      </c>
      <c r="BB187" s="41">
        <f t="shared" si="1470"/>
        <v>440.36438356164376</v>
      </c>
      <c r="BC187" s="41">
        <f t="shared" ref="BC187" si="1471">BC180+BC183+BC184+BC185+BC186</f>
        <v>539.1</v>
      </c>
      <c r="BD187" s="41">
        <f t="shared" ref="BD187:BF187" si="1472">BD180+BD183+BD184+BD185+BD186</f>
        <v>709.75000000000011</v>
      </c>
      <c r="BE187" s="41">
        <f t="shared" si="1472"/>
        <v>659.97945205479448</v>
      </c>
      <c r="BF187" s="41">
        <f t="shared" si="1472"/>
        <v>594.03424657534242</v>
      </c>
      <c r="BG187" s="41">
        <f t="shared" ref="BG187:BH187" si="1473">BG180+BG184+BG185+BG186</f>
        <v>746.74999999999989</v>
      </c>
      <c r="BH187" s="41">
        <f t="shared" si="1473"/>
        <v>756</v>
      </c>
      <c r="BI187" s="42">
        <f>BI180+BI184+BI185+BI186</f>
        <v>848.00000000000011</v>
      </c>
      <c r="BJ187" s="41">
        <f t="shared" ref="BJ187:BK187" si="1474">BJ180+BJ183+BJ184+BJ185+BJ186</f>
        <v>947.75266910210462</v>
      </c>
      <c r="BK187" s="41">
        <f t="shared" si="1474"/>
        <v>1032.3419826637842</v>
      </c>
      <c r="BL187" s="41">
        <f t="shared" ref="BL187:BM187" si="1475">BL180+BL183+BL184+BL185+BL186</f>
        <v>1173.4089293532465</v>
      </c>
      <c r="BM187" s="41">
        <f t="shared" si="1475"/>
        <v>1264.6865864482227</v>
      </c>
      <c r="BN187" s="41">
        <f>BN180+BN183+BN184+BN185+BN186</f>
        <v>1356.9036182992209</v>
      </c>
    </row>
    <row r="188" spans="1:68" ht="12" customHeight="1" outlineLevel="1"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4"/>
      <c r="P188" s="44"/>
      <c r="Q188" s="44"/>
      <c r="R188" s="44"/>
      <c r="S188" s="44"/>
      <c r="T188" s="44"/>
      <c r="U188" s="44"/>
      <c r="V188" s="44"/>
      <c r="W188" s="44"/>
      <c r="X188" s="41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9"/>
      <c r="AJ188" s="41"/>
      <c r="AK188" s="41"/>
      <c r="AL188" s="41"/>
      <c r="AM188" s="41"/>
      <c r="AN188" s="41"/>
      <c r="AO188" s="41"/>
      <c r="AP188" s="41"/>
      <c r="AQ188" s="41"/>
      <c r="AR188" s="41"/>
      <c r="AS188" s="8"/>
      <c r="AT188" s="8"/>
      <c r="AU188" s="8"/>
      <c r="AV188" s="8"/>
      <c r="AW188" s="8"/>
      <c r="AX188" s="8"/>
      <c r="AY188" s="44"/>
      <c r="AZ188" s="8"/>
      <c r="BA188" s="8"/>
      <c r="BB188" s="8"/>
      <c r="BC188" s="8"/>
      <c r="BD188" s="8"/>
      <c r="BE188" s="37"/>
      <c r="BF188" s="8"/>
      <c r="BG188" s="8"/>
      <c r="BH188" s="8"/>
      <c r="BI188" s="43"/>
      <c r="BJ188" s="8"/>
      <c r="BK188" s="8"/>
      <c r="BL188" s="8"/>
      <c r="BM188" s="8"/>
      <c r="BN188" s="8"/>
    </row>
    <row r="189" spans="1:68" ht="12" customHeight="1" outlineLevel="1">
      <c r="B189" s="9" t="s">
        <v>41</v>
      </c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4"/>
      <c r="AF189" s="44"/>
      <c r="AG189" s="44"/>
      <c r="AH189" s="44"/>
      <c r="AI189" s="49"/>
      <c r="AJ189" s="182"/>
      <c r="AK189" s="41"/>
      <c r="AL189" s="41"/>
      <c r="AM189" s="41"/>
      <c r="AN189" s="41"/>
      <c r="AO189" s="41"/>
      <c r="AP189" s="41"/>
      <c r="AQ189" s="41"/>
      <c r="AR189" s="41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43"/>
      <c r="BJ189" s="8"/>
      <c r="BK189" s="8"/>
      <c r="BL189" s="8"/>
      <c r="BM189" s="8"/>
      <c r="BN189" s="8"/>
    </row>
    <row r="190" spans="1:68" ht="12" customHeight="1" outlineLevel="1">
      <c r="A190" s="91" t="s">
        <v>1370</v>
      </c>
      <c r="B190" s="1" t="s">
        <v>42</v>
      </c>
      <c r="C190" s="21">
        <v>26300</v>
      </c>
      <c r="D190" s="21">
        <v>26400</v>
      </c>
      <c r="E190" s="21">
        <v>26000</v>
      </c>
      <c r="F190" s="21">
        <v>25500</v>
      </c>
      <c r="G190" s="21">
        <v>23900</v>
      </c>
      <c r="H190" s="21">
        <v>23500</v>
      </c>
      <c r="I190" s="21">
        <v>23200</v>
      </c>
      <c r="J190" s="21">
        <v>22900</v>
      </c>
      <c r="K190" s="21">
        <v>25700</v>
      </c>
      <c r="L190" s="21">
        <f>21500+5500</f>
        <v>27000</v>
      </c>
      <c r="M190" s="62">
        <f>25300+4600</f>
        <v>29900</v>
      </c>
      <c r="N190" s="62">
        <f>30400+3800</f>
        <v>34200</v>
      </c>
      <c r="O190" s="62">
        <f>34200+2600</f>
        <v>36800</v>
      </c>
      <c r="P190" s="62">
        <f>35100+1600</f>
        <v>36700</v>
      </c>
      <c r="Q190" s="62">
        <f>35600+600</f>
        <v>36200</v>
      </c>
      <c r="R190" s="62">
        <f>35800+500</f>
        <v>36300</v>
      </c>
      <c r="S190" s="62">
        <v>37600</v>
      </c>
      <c r="T190" s="62">
        <v>56600</v>
      </c>
      <c r="U190" s="62">
        <v>53100</v>
      </c>
      <c r="V190" s="62">
        <v>55800</v>
      </c>
      <c r="W190" s="62">
        <v>59700</v>
      </c>
      <c r="X190" s="62">
        <v>63200</v>
      </c>
      <c r="Y190" s="62">
        <v>78800</v>
      </c>
      <c r="Z190" s="62">
        <v>88700</v>
      </c>
      <c r="AA190" s="62">
        <v>98800</v>
      </c>
      <c r="AB190" s="62">
        <v>110400</v>
      </c>
      <c r="AC190" s="62">
        <v>121500</v>
      </c>
      <c r="AD190" s="62">
        <v>128300</v>
      </c>
      <c r="AE190" s="62">
        <v>135100</v>
      </c>
      <c r="AF190" s="62">
        <v>140900</v>
      </c>
      <c r="AG190" s="62">
        <v>151300</v>
      </c>
      <c r="AH190" s="62">
        <v>162400</v>
      </c>
      <c r="AI190" s="57">
        <v>179700</v>
      </c>
      <c r="AJ190" s="59">
        <f>AI190*(1+AJ200)</f>
        <v>197670.00000000003</v>
      </c>
      <c r="AK190" s="59">
        <f t="shared" ref="AK190" si="1476">AJ190*(1+AK200)</f>
        <v>214471.95</v>
      </c>
      <c r="AL190" s="59">
        <f t="shared" ref="AL190" si="1477">AK190*(1+AL200)</f>
        <v>230557.34625</v>
      </c>
      <c r="AM190" s="59">
        <f t="shared" ref="AM190" si="1478">AL190*(1+AM200)</f>
        <v>244390.78702500003</v>
      </c>
      <c r="AN190" s="59">
        <f t="shared" ref="AN190" si="1479">AM190*(1+AN200)</f>
        <v>257832.28031137501</v>
      </c>
      <c r="AO190" s="59">
        <f t="shared" ref="AO190" si="1480">AN190*(1+AO200)</f>
        <v>270723.89432694379</v>
      </c>
      <c r="AP190" s="59">
        <f t="shared" ref="AP190" si="1481">AO190*(1+AP200)</f>
        <v>284260.08904329099</v>
      </c>
      <c r="AQ190" s="59">
        <f t="shared" ref="AQ190" si="1482">AP190*(1+AQ200)</f>
        <v>298473.09349545557</v>
      </c>
      <c r="AR190" s="59">
        <f t="shared" ref="AR190" si="1483">AQ190*(1+AR200)</f>
        <v>313396.74817022838</v>
      </c>
      <c r="AS190" s="8"/>
      <c r="AT190" s="41">
        <f t="shared" ref="AT190:AT197" si="1484">D190</f>
        <v>26400</v>
      </c>
      <c r="AU190" s="41">
        <f t="shared" ref="AU190:AU197" si="1485">F190</f>
        <v>25500</v>
      </c>
      <c r="AV190" s="41">
        <f t="shared" ref="AV190:AV197" si="1486">H190</f>
        <v>23500</v>
      </c>
      <c r="AW190" s="41">
        <f t="shared" ref="AW190:AW197" si="1487">J190</f>
        <v>22900</v>
      </c>
      <c r="AX190" s="41">
        <f t="shared" ref="AX190:AX197" si="1488">L190</f>
        <v>27000</v>
      </c>
      <c r="AY190" s="41">
        <f t="shared" ref="AY190:AY197" si="1489">N190</f>
        <v>34200</v>
      </c>
      <c r="AZ190" s="41">
        <f t="shared" ref="AZ190:AZ197" si="1490">P190</f>
        <v>36700</v>
      </c>
      <c r="BA190" s="41">
        <f t="shared" ref="BA190:BA197" si="1491">R190</f>
        <v>36300</v>
      </c>
      <c r="BB190" s="41">
        <f t="shared" ref="BB190:BB197" si="1492">T190</f>
        <v>56600</v>
      </c>
      <c r="BC190" s="41">
        <f t="shared" ref="BC190:BC197" si="1493">V190</f>
        <v>55800</v>
      </c>
      <c r="BD190" s="41">
        <f t="shared" ref="BD190:BD197" si="1494">X190</f>
        <v>63200</v>
      </c>
      <c r="BE190" s="41">
        <f t="shared" ref="BE190:BE197" si="1495">Z190</f>
        <v>88700</v>
      </c>
      <c r="BF190" s="41">
        <f t="shared" ref="BF190:BF197" si="1496">AB190</f>
        <v>110400</v>
      </c>
      <c r="BG190" s="41">
        <f t="shared" ref="BG190:BG197" si="1497">AD190</f>
        <v>128300</v>
      </c>
      <c r="BH190" s="41">
        <f t="shared" ref="BH190:BH197" si="1498">AF190</f>
        <v>140900</v>
      </c>
      <c r="BI190" s="42">
        <f t="shared" ref="BI190:BI197" si="1499">AH190</f>
        <v>162400</v>
      </c>
      <c r="BJ190" s="41">
        <f t="shared" ref="BJ190:BJ197" si="1500">AJ190</f>
        <v>197670.00000000003</v>
      </c>
      <c r="BK190" s="41">
        <f t="shared" ref="BK190:BK197" si="1501">AL190</f>
        <v>230557.34625</v>
      </c>
      <c r="BL190" s="41">
        <f t="shared" ref="BL190:BL197" si="1502">AN190</f>
        <v>257832.28031137501</v>
      </c>
      <c r="BM190" s="41">
        <f t="shared" ref="BM190:BM197" si="1503">AP190</f>
        <v>284260.08904329099</v>
      </c>
      <c r="BN190" s="41">
        <f t="shared" ref="BN190:BN197" si="1504">AR190</f>
        <v>313396.74817022838</v>
      </c>
    </row>
    <row r="191" spans="1:68" ht="12" customHeight="1" outlineLevel="1">
      <c r="A191" s="91" t="str">
        <f>LEFT(A192,3)&amp;"_PEAssetsTotal"</f>
        <v>BFS_PEAssetsTotal</v>
      </c>
      <c r="B191" s="1" t="s">
        <v>43</v>
      </c>
      <c r="C191" s="21">
        <v>29571</v>
      </c>
      <c r="D191" s="21">
        <v>29843</v>
      </c>
      <c r="E191" s="21">
        <v>29396</v>
      </c>
      <c r="F191" s="21">
        <v>28765</v>
      </c>
      <c r="G191" s="21">
        <v>27164</v>
      </c>
      <c r="H191" s="21">
        <v>26965</v>
      </c>
      <c r="I191" s="21">
        <v>26424</v>
      </c>
      <c r="J191" s="21">
        <v>26073</v>
      </c>
      <c r="K191" s="21">
        <v>29307</v>
      </c>
      <c r="L191" s="21">
        <v>29612</v>
      </c>
      <c r="M191" s="62">
        <v>32805</v>
      </c>
      <c r="N191" s="62">
        <v>37282</v>
      </c>
      <c r="O191" s="62">
        <v>39890</v>
      </c>
      <c r="P191" s="62">
        <v>39522</v>
      </c>
      <c r="Q191" s="62">
        <v>38648</v>
      </c>
      <c r="R191" s="62">
        <v>38106</v>
      </c>
      <c r="S191" s="62">
        <v>39278</v>
      </c>
      <c r="T191" s="62">
        <v>58516</v>
      </c>
      <c r="U191" s="62">
        <v>61623</v>
      </c>
      <c r="V191" s="62">
        <v>63893</v>
      </c>
      <c r="W191" s="62">
        <v>68880</v>
      </c>
      <c r="X191" s="62">
        <v>76776</v>
      </c>
      <c r="Y191" s="62">
        <v>80041</v>
      </c>
      <c r="Z191" s="62">
        <v>90226</v>
      </c>
      <c r="AA191" s="62">
        <v>100065</v>
      </c>
      <c r="AB191" s="62">
        <v>111103</v>
      </c>
      <c r="AC191" s="62">
        <v>122240</v>
      </c>
      <c r="AD191" s="62">
        <v>129046</v>
      </c>
      <c r="AE191" s="62">
        <v>135815</v>
      </c>
      <c r="AF191" s="62">
        <v>141975</v>
      </c>
      <c r="AG191" s="62">
        <v>152087</v>
      </c>
      <c r="AH191" s="62">
        <v>163346</v>
      </c>
      <c r="AI191" s="57">
        <v>182026</v>
      </c>
      <c r="AJ191" s="41">
        <f t="shared" ref="AJ191" si="1505">AI191*AJ$40/AI$40</f>
        <v>193147.98188523264</v>
      </c>
      <c r="AK191" s="41">
        <f t="shared" ref="AK191" si="1506">AJ191*AK$40/AJ$40</f>
        <v>203961.38896699122</v>
      </c>
      <c r="AL191" s="41">
        <f t="shared" ref="AL191" si="1507">AK191*AL$40/AK$40</f>
        <v>214462.00689755601</v>
      </c>
      <c r="AM191" s="41">
        <f t="shared" ref="AM191" si="1508">AL191*AM$40/AL$40</f>
        <v>223315.83731311344</v>
      </c>
      <c r="AN191" s="41">
        <f t="shared" ref="AN191" si="1509">AM191*AN$40/AM$40</f>
        <v>231789.2448897521</v>
      </c>
      <c r="AO191" s="41">
        <f t="shared" ref="AO191" si="1510">AN191*AO$40/AN$40</f>
        <v>239783.74209370755</v>
      </c>
      <c r="AP191" s="41">
        <f t="shared" ref="AP191" si="1511">AO191*AP$40/AO$40</f>
        <v>247866.68054609819</v>
      </c>
      <c r="AQ191" s="41">
        <f t="shared" ref="AQ191" si="1512">AP191*AQ$40/AP$40</f>
        <v>256043.09357724807</v>
      </c>
      <c r="AR191" s="41">
        <f t="shared" ref="AR191" si="1513">AQ191*AR$40/AQ$40</f>
        <v>264579.20518216764</v>
      </c>
      <c r="AS191" s="8"/>
      <c r="AT191" s="41">
        <f t="shared" si="1484"/>
        <v>29843</v>
      </c>
      <c r="AU191" s="41">
        <f t="shared" si="1485"/>
        <v>28765</v>
      </c>
      <c r="AV191" s="41">
        <f t="shared" si="1486"/>
        <v>26965</v>
      </c>
      <c r="AW191" s="41">
        <f t="shared" si="1487"/>
        <v>26073</v>
      </c>
      <c r="AX191" s="41">
        <f t="shared" si="1488"/>
        <v>29612</v>
      </c>
      <c r="AY191" s="41">
        <f t="shared" si="1489"/>
        <v>37282</v>
      </c>
      <c r="AZ191" s="41">
        <f t="shared" si="1490"/>
        <v>39522</v>
      </c>
      <c r="BA191" s="41">
        <f t="shared" si="1491"/>
        <v>38106</v>
      </c>
      <c r="BB191" s="41">
        <f t="shared" si="1492"/>
        <v>58516</v>
      </c>
      <c r="BC191" s="41">
        <f t="shared" si="1493"/>
        <v>63893</v>
      </c>
      <c r="BD191" s="41">
        <f t="shared" si="1494"/>
        <v>76776</v>
      </c>
      <c r="BE191" s="41">
        <f t="shared" si="1495"/>
        <v>90226</v>
      </c>
      <c r="BF191" s="41">
        <f t="shared" si="1496"/>
        <v>111103</v>
      </c>
      <c r="BG191" s="41">
        <f t="shared" si="1497"/>
        <v>129046</v>
      </c>
      <c r="BH191" s="41">
        <f t="shared" si="1498"/>
        <v>141975</v>
      </c>
      <c r="BI191" s="42">
        <f t="shared" si="1499"/>
        <v>163346</v>
      </c>
      <c r="BJ191" s="41">
        <f t="shared" si="1500"/>
        <v>193147.98188523264</v>
      </c>
      <c r="BK191" s="41">
        <f t="shared" si="1501"/>
        <v>214462.00689755601</v>
      </c>
      <c r="BL191" s="41">
        <f t="shared" si="1502"/>
        <v>231789.2448897521</v>
      </c>
      <c r="BM191" s="41">
        <f t="shared" si="1503"/>
        <v>247866.68054609819</v>
      </c>
      <c r="BN191" s="41">
        <f t="shared" si="1504"/>
        <v>264579.20518216764</v>
      </c>
    </row>
    <row r="192" spans="1:68" ht="12" customHeight="1" outlineLevel="1">
      <c r="A192" s="91" t="s">
        <v>512</v>
      </c>
      <c r="B192" s="1" t="s">
        <v>49</v>
      </c>
      <c r="C192" s="62">
        <f t="shared" ref="C192:E192" si="1514">D192*AVERAGE(B$41:C$41)/AVERAGE(C$41:D$41)</f>
        <v>660.23394394173476</v>
      </c>
      <c r="D192" s="62">
        <f t="shared" si="1514"/>
        <v>677.16618847936445</v>
      </c>
      <c r="E192" s="62">
        <f t="shared" si="1514"/>
        <v>688.81483116309869</v>
      </c>
      <c r="F192" s="62">
        <f>G192*AVERAGE(E$41:F$41)/AVERAGE(F$41:G$41)</f>
        <v>694.12933127344957</v>
      </c>
      <c r="G192" s="21">
        <v>700</v>
      </c>
      <c r="H192" s="21">
        <v>700</v>
      </c>
      <c r="I192" s="21">
        <v>900</v>
      </c>
      <c r="J192" s="21">
        <v>1000</v>
      </c>
      <c r="K192" s="21">
        <v>1100</v>
      </c>
      <c r="L192" s="21">
        <v>1300</v>
      </c>
      <c r="M192" s="62">
        <v>1500</v>
      </c>
      <c r="N192" s="62">
        <v>1900</v>
      </c>
      <c r="O192" s="62">
        <v>2000</v>
      </c>
      <c r="P192" s="62">
        <v>2100</v>
      </c>
      <c r="Q192" s="62">
        <v>2300</v>
      </c>
      <c r="R192" s="62">
        <v>2200</v>
      </c>
      <c r="S192" s="62">
        <v>2400</v>
      </c>
      <c r="T192" s="62">
        <v>2500</v>
      </c>
      <c r="U192" s="62">
        <v>2600</v>
      </c>
      <c r="V192" s="62">
        <v>4000</v>
      </c>
      <c r="W192" s="62">
        <v>4200</v>
      </c>
      <c r="X192" s="62">
        <v>4300</v>
      </c>
      <c r="Y192" s="62">
        <v>4400</v>
      </c>
      <c r="Z192" s="62">
        <v>4500</v>
      </c>
      <c r="AA192" s="62">
        <v>4800</v>
      </c>
      <c r="AB192" s="62">
        <v>5000</v>
      </c>
      <c r="AC192" s="62">
        <v>5200</v>
      </c>
      <c r="AD192" s="62">
        <v>5300</v>
      </c>
      <c r="AE192" s="62">
        <v>5600</v>
      </c>
      <c r="AF192" s="62">
        <v>5900</v>
      </c>
      <c r="AG192" s="62">
        <v>6500</v>
      </c>
      <c r="AH192" s="62">
        <v>6900</v>
      </c>
      <c r="AI192" s="57">
        <v>7600</v>
      </c>
      <c r="AJ192" s="41">
        <f t="shared" ref="AJ192" si="1515">AJ191/AJ218</f>
        <v>8132.2762807206855</v>
      </c>
      <c r="AK192" s="41">
        <f t="shared" ref="AK192:AL192" si="1516">AK191/AK218</f>
        <v>8660.490519644738</v>
      </c>
      <c r="AL192" s="41">
        <f t="shared" si="1516"/>
        <v>9184.3578624718284</v>
      </c>
      <c r="AM192" s="41">
        <f t="shared" ref="AM192:AN192" si="1517">AM191/AM218</f>
        <v>9646.1434961844079</v>
      </c>
      <c r="AN192" s="41">
        <f t="shared" si="1517"/>
        <v>10099.401816025797</v>
      </c>
      <c r="AO192" s="41">
        <f t="shared" ref="AO192:AP192" si="1518">AO191/AO218</f>
        <v>10539.578961471418</v>
      </c>
      <c r="AP192" s="41">
        <f t="shared" si="1518"/>
        <v>10991.485723164937</v>
      </c>
      <c r="AQ192" s="41">
        <f t="shared" ref="AQ192:AR192" si="1519">AQ191/AQ218</f>
        <v>11455.662175992164</v>
      </c>
      <c r="AR192" s="41">
        <f t="shared" si="1519"/>
        <v>11944.459383558109</v>
      </c>
      <c r="AS192" s="8"/>
      <c r="AT192" s="41">
        <f t="shared" si="1484"/>
        <v>677.16618847936445</v>
      </c>
      <c r="AU192" s="41">
        <f t="shared" si="1485"/>
        <v>694.12933127344957</v>
      </c>
      <c r="AV192" s="41">
        <f t="shared" si="1486"/>
        <v>700</v>
      </c>
      <c r="AW192" s="41">
        <f t="shared" si="1487"/>
        <v>1000</v>
      </c>
      <c r="AX192" s="41">
        <f t="shared" si="1488"/>
        <v>1300</v>
      </c>
      <c r="AY192" s="41">
        <f t="shared" si="1489"/>
        <v>1900</v>
      </c>
      <c r="AZ192" s="41">
        <f t="shared" si="1490"/>
        <v>2100</v>
      </c>
      <c r="BA192" s="41">
        <f t="shared" si="1491"/>
        <v>2200</v>
      </c>
      <c r="BB192" s="41">
        <f t="shared" si="1492"/>
        <v>2500</v>
      </c>
      <c r="BC192" s="41">
        <f t="shared" si="1493"/>
        <v>4000</v>
      </c>
      <c r="BD192" s="41">
        <f t="shared" si="1494"/>
        <v>4300</v>
      </c>
      <c r="BE192" s="41">
        <f t="shared" si="1495"/>
        <v>4500</v>
      </c>
      <c r="BF192" s="41">
        <f t="shared" si="1496"/>
        <v>5000</v>
      </c>
      <c r="BG192" s="41">
        <f t="shared" si="1497"/>
        <v>5300</v>
      </c>
      <c r="BH192" s="41">
        <f t="shared" si="1498"/>
        <v>5900</v>
      </c>
      <c r="BI192" s="42">
        <f t="shared" si="1499"/>
        <v>6900</v>
      </c>
      <c r="BJ192" s="41">
        <f t="shared" si="1500"/>
        <v>8132.2762807206855</v>
      </c>
      <c r="BK192" s="41">
        <f t="shared" si="1501"/>
        <v>9184.3578624718284</v>
      </c>
      <c r="BL192" s="41">
        <f t="shared" si="1502"/>
        <v>10099.401816025797</v>
      </c>
      <c r="BM192" s="41">
        <f t="shared" si="1503"/>
        <v>10991.485723164937</v>
      </c>
      <c r="BN192" s="41">
        <f t="shared" si="1504"/>
        <v>11944.459383558109</v>
      </c>
    </row>
    <row r="193" spans="1:66" ht="12" customHeight="1" outlineLevel="1">
      <c r="B193" s="1" t="s">
        <v>24</v>
      </c>
      <c r="C193" s="25">
        <f t="shared" ref="C193:H193" si="1520">C195-C194</f>
        <v>0</v>
      </c>
      <c r="D193" s="25">
        <f t="shared" si="1520"/>
        <v>0</v>
      </c>
      <c r="E193" s="25">
        <f t="shared" si="1520"/>
        <v>0</v>
      </c>
      <c r="F193" s="25">
        <f t="shared" si="1520"/>
        <v>0</v>
      </c>
      <c r="G193" s="25">
        <f t="shared" si="1520"/>
        <v>0</v>
      </c>
      <c r="H193" s="25">
        <f t="shared" si="1520"/>
        <v>0</v>
      </c>
      <c r="I193" s="25">
        <f t="shared" ref="I193:N193" si="1521">I195-I194</f>
        <v>0</v>
      </c>
      <c r="J193" s="25">
        <f t="shared" si="1521"/>
        <v>0</v>
      </c>
      <c r="K193" s="25">
        <f t="shared" si="1521"/>
        <v>0</v>
      </c>
      <c r="L193" s="25">
        <f t="shared" si="1521"/>
        <v>0</v>
      </c>
      <c r="M193" s="41">
        <f t="shared" si="1521"/>
        <v>0</v>
      </c>
      <c r="N193" s="41">
        <f t="shared" si="1521"/>
        <v>0</v>
      </c>
      <c r="O193" s="41">
        <f t="shared" ref="O193:P193" si="1522">O195-O194</f>
        <v>0</v>
      </c>
      <c r="P193" s="41">
        <f t="shared" si="1522"/>
        <v>0</v>
      </c>
      <c r="Q193" s="41">
        <f t="shared" ref="Q193:R193" si="1523">Q195-Q194</f>
        <v>0</v>
      </c>
      <c r="R193" s="41">
        <f t="shared" si="1523"/>
        <v>0</v>
      </c>
      <c r="S193" s="41">
        <f t="shared" ref="S193:T193" si="1524">S195-S194</f>
        <v>0</v>
      </c>
      <c r="T193" s="41">
        <f t="shared" si="1524"/>
        <v>0</v>
      </c>
      <c r="U193" s="41">
        <f t="shared" ref="U193:V193" si="1525">U195-U194</f>
        <v>0</v>
      </c>
      <c r="V193" s="41">
        <f t="shared" si="1525"/>
        <v>0</v>
      </c>
      <c r="W193" s="41">
        <f t="shared" ref="W193:X193" si="1526">W195-W194</f>
        <v>0</v>
      </c>
      <c r="X193" s="41">
        <f t="shared" si="1526"/>
        <v>0</v>
      </c>
      <c r="Y193" s="41">
        <f t="shared" ref="Y193:Z193" si="1527">Y195-Y194</f>
        <v>0</v>
      </c>
      <c r="Z193" s="41">
        <f t="shared" si="1527"/>
        <v>0</v>
      </c>
      <c r="AA193" s="41">
        <f t="shared" ref="AA193:AB193" si="1528">AA195-AA194</f>
        <v>0</v>
      </c>
      <c r="AB193" s="41">
        <f t="shared" si="1528"/>
        <v>0</v>
      </c>
      <c r="AC193" s="41">
        <f t="shared" ref="AC193:AD193" si="1529">AC195-AC194</f>
        <v>0</v>
      </c>
      <c r="AD193" s="41">
        <f t="shared" si="1529"/>
        <v>0</v>
      </c>
      <c r="AE193" s="41">
        <f t="shared" ref="AE193:AF193" si="1530">AE195-AE194</f>
        <v>0</v>
      </c>
      <c r="AF193" s="41">
        <f t="shared" si="1530"/>
        <v>0</v>
      </c>
      <c r="AG193" s="41">
        <f t="shared" ref="AG193:AI193" si="1531">AG195-AG194</f>
        <v>0</v>
      </c>
      <c r="AH193" s="41">
        <f t="shared" si="1531"/>
        <v>0</v>
      </c>
      <c r="AI193" s="42">
        <f t="shared" si="1531"/>
        <v>0</v>
      </c>
      <c r="AJ193" s="41">
        <f>IF(ISERROR(50%*AI193*(1+AJ202)+50%*AI193*(1+AJ202)/'Group Model'!AK150*'Group Model'!AJ150),AI193,50%*AI193*(1+AJ202)+50%*AI193*(1+AJ202)/'Group Model'!AK150*'Group Model'!AJ150)</f>
        <v>0</v>
      </c>
      <c r="AK193" s="41">
        <f>IF(ISERROR(50%*AJ193*(1+AK202)+50%*AJ193*(1+AK202)/'Group Model'!AT150*'Group Model'!AK150),AJ193,50%*AJ193*(1+AK202)+50%*AJ193*(1+AK202)/'Group Model'!AT150*'Group Model'!AK150)</f>
        <v>0</v>
      </c>
      <c r="AL193" s="41">
        <f>IF(ISERROR(50%*AK193*(1+AL202)+50%*AK193*(1+AL202)/'Group Model'!AU150*'Group Model'!AT150),AK193,50%*AK193*(1+AL202)+50%*AK193*(1+AL202)/'Group Model'!AU150*'Group Model'!AT150)</f>
        <v>0</v>
      </c>
      <c r="AM193" s="41">
        <f>IF(ISERROR(50%*AL193*(1+AM202)+50%*AL193*(1+AM202)/'Group Model'!AV150*'Group Model'!AU150),AL193,50%*AL193*(1+AM202)+50%*AL193*(1+AM202)/'Group Model'!AV150*'Group Model'!AU150)</f>
        <v>0</v>
      </c>
      <c r="AN193" s="41">
        <f>IF(ISERROR(50%*AM193*(1+AN202)+50%*AM193*(1+AN202)/'Group Model'!AW150*'Group Model'!AV150),AM193,50%*AM193*(1+AN202)+50%*AM193*(1+AN202)/'Group Model'!AW150*'Group Model'!AV150)</f>
        <v>0</v>
      </c>
      <c r="AO193" s="41">
        <f>IF(ISERROR(50%*AN193*(1+AO202)+50%*AN193*(1+AO202)/'Group Model'!AX150*'Group Model'!AW150),AN193,50%*AN193*(1+AO202)+50%*AN193*(1+AO202)/'Group Model'!AX150*'Group Model'!AW150)</f>
        <v>0</v>
      </c>
      <c r="AP193" s="41">
        <f>IF(ISERROR(50%*AO193*(1+AP202)+50%*AO193*(1+AP202)/'Group Model'!AY150*'Group Model'!AX150),AO193,50%*AO193*(1+AP202)+50%*AO193*(1+AP202)/'Group Model'!AY150*'Group Model'!AX150)</f>
        <v>0</v>
      </c>
      <c r="AQ193" s="41">
        <f>IF(ISERROR(50%*AP193*(1+AQ202)+50%*AP193*(1+AQ202)/'Group Model'!AZ150*'Group Model'!AY150),AP193,50%*AP193*(1+AQ202)+50%*AP193*(1+AQ202)/'Group Model'!AZ150*'Group Model'!AY150)</f>
        <v>0</v>
      </c>
      <c r="AR193" s="41">
        <f>IF(ISERROR(50%*AQ193*(1+AR202)+50%*AQ193*(1+AR202)/'Group Model'!BA150*'Group Model'!AZ150),AQ193,50%*AQ193*(1+AR202)+50%*AQ193*(1+AR202)/'Group Model'!BA150*'Group Model'!AZ150)</f>
        <v>0</v>
      </c>
      <c r="AS193" s="8"/>
      <c r="AT193" s="41">
        <f t="shared" si="1484"/>
        <v>0</v>
      </c>
      <c r="AU193" s="41">
        <f t="shared" si="1485"/>
        <v>0</v>
      </c>
      <c r="AV193" s="41">
        <f t="shared" si="1486"/>
        <v>0</v>
      </c>
      <c r="AW193" s="41">
        <f t="shared" si="1487"/>
        <v>0</v>
      </c>
      <c r="AX193" s="41">
        <f t="shared" si="1488"/>
        <v>0</v>
      </c>
      <c r="AY193" s="41">
        <f t="shared" si="1489"/>
        <v>0</v>
      </c>
      <c r="AZ193" s="41">
        <f t="shared" si="1490"/>
        <v>0</v>
      </c>
      <c r="BA193" s="41">
        <f t="shared" si="1491"/>
        <v>0</v>
      </c>
      <c r="BB193" s="41">
        <f t="shared" si="1492"/>
        <v>0</v>
      </c>
      <c r="BC193" s="41">
        <f t="shared" si="1493"/>
        <v>0</v>
      </c>
      <c r="BD193" s="41">
        <f t="shared" si="1494"/>
        <v>0</v>
      </c>
      <c r="BE193" s="41">
        <f t="shared" si="1495"/>
        <v>0</v>
      </c>
      <c r="BF193" s="41">
        <f t="shared" si="1496"/>
        <v>0</v>
      </c>
      <c r="BG193" s="41">
        <f t="shared" si="1497"/>
        <v>0</v>
      </c>
      <c r="BH193" s="41">
        <f t="shared" si="1498"/>
        <v>0</v>
      </c>
      <c r="BI193" s="42">
        <f t="shared" si="1499"/>
        <v>0</v>
      </c>
      <c r="BJ193" s="41">
        <f t="shared" si="1500"/>
        <v>0</v>
      </c>
      <c r="BK193" s="41">
        <f t="shared" si="1501"/>
        <v>0</v>
      </c>
      <c r="BL193" s="41">
        <f t="shared" si="1502"/>
        <v>0</v>
      </c>
      <c r="BM193" s="41">
        <f t="shared" si="1503"/>
        <v>0</v>
      </c>
      <c r="BN193" s="41">
        <f t="shared" si="1504"/>
        <v>0</v>
      </c>
    </row>
    <row r="194" spans="1:66" ht="12" customHeight="1" outlineLevel="1">
      <c r="B194" s="1" t="s">
        <v>23</v>
      </c>
      <c r="C194" s="21">
        <v>0</v>
      </c>
      <c r="D194" s="21">
        <v>0</v>
      </c>
      <c r="E194" s="21">
        <v>0</v>
      </c>
      <c r="F194" s="21">
        <v>0</v>
      </c>
      <c r="G194" s="21">
        <v>0</v>
      </c>
      <c r="H194" s="21">
        <v>0</v>
      </c>
      <c r="I194" s="21">
        <v>0</v>
      </c>
      <c r="J194" s="21">
        <v>0</v>
      </c>
      <c r="K194" s="21">
        <v>0</v>
      </c>
      <c r="L194" s="21">
        <v>0</v>
      </c>
      <c r="M194" s="62">
        <v>0</v>
      </c>
      <c r="N194" s="62">
        <v>0</v>
      </c>
      <c r="O194" s="62">
        <v>0</v>
      </c>
      <c r="P194" s="62">
        <v>0</v>
      </c>
      <c r="Q194" s="62">
        <v>0</v>
      </c>
      <c r="R194" s="62">
        <v>0</v>
      </c>
      <c r="S194" s="62">
        <v>0</v>
      </c>
      <c r="T194" s="62">
        <v>0</v>
      </c>
      <c r="U194" s="62">
        <v>0</v>
      </c>
      <c r="V194" s="62">
        <v>0</v>
      </c>
      <c r="W194" s="62">
        <v>0</v>
      </c>
      <c r="X194" s="62">
        <v>0</v>
      </c>
      <c r="Y194" s="62">
        <v>0</v>
      </c>
      <c r="Z194" s="62">
        <v>0</v>
      </c>
      <c r="AA194" s="62">
        <v>0</v>
      </c>
      <c r="AB194" s="62">
        <v>0</v>
      </c>
      <c r="AC194" s="62">
        <v>0</v>
      </c>
      <c r="AD194" s="62">
        <v>0</v>
      </c>
      <c r="AE194" s="62">
        <v>0</v>
      </c>
      <c r="AF194" s="62">
        <v>0</v>
      </c>
      <c r="AG194" s="62">
        <v>0</v>
      </c>
      <c r="AH194" s="62">
        <v>0</v>
      </c>
      <c r="AI194" s="57">
        <v>0</v>
      </c>
      <c r="AJ194" s="58">
        <f t="shared" ref="AJ194" si="1532">IF(ISERROR(AJ196/AI196*AI194),AI194,AJ196/AI196*AI194)</f>
        <v>0</v>
      </c>
      <c r="AK194" s="58">
        <f t="shared" ref="AK194" si="1533">IF(ISERROR(AK196/AJ196*AJ194),AJ194,AK196/AJ196*AJ194)</f>
        <v>0</v>
      </c>
      <c r="AL194" s="58">
        <f t="shared" ref="AL194" si="1534">IF(ISERROR(AL196/AK196*AK194),AK194,AL196/AK196*AK194)</f>
        <v>0</v>
      </c>
      <c r="AM194" s="58">
        <f t="shared" ref="AM194" si="1535">IF(ISERROR(AM196/AL196*AL194),AL194,AM196/AL196*AL194)</f>
        <v>0</v>
      </c>
      <c r="AN194" s="58">
        <f t="shared" ref="AN194" si="1536">IF(ISERROR(AN196/AM196*AM194),AM194,AN196/AM196*AM194)</f>
        <v>0</v>
      </c>
      <c r="AO194" s="58">
        <f t="shared" ref="AO194" si="1537">IF(ISERROR(AO196/AN196*AN194),AN194,AO196/AN196*AN194)</f>
        <v>0</v>
      </c>
      <c r="AP194" s="58">
        <f t="shared" ref="AP194" si="1538">IF(ISERROR(AP196/AO196*AO194),AO194,AP196/AO196*AO194)</f>
        <v>0</v>
      </c>
      <c r="AQ194" s="58">
        <f t="shared" ref="AQ194" si="1539">IF(ISERROR(AQ196/AP196*AP194),AP194,AQ196/AP196*AP194)</f>
        <v>0</v>
      </c>
      <c r="AR194" s="58">
        <f t="shared" ref="AR194" si="1540">IF(ISERROR(AR196/AQ196*AQ194),AQ194,AR196/AQ196*AQ194)</f>
        <v>0</v>
      </c>
      <c r="AS194" s="8"/>
      <c r="AT194" s="41">
        <f t="shared" si="1484"/>
        <v>0</v>
      </c>
      <c r="AU194" s="41">
        <f t="shared" si="1485"/>
        <v>0</v>
      </c>
      <c r="AV194" s="41">
        <f t="shared" si="1486"/>
        <v>0</v>
      </c>
      <c r="AW194" s="41">
        <f t="shared" si="1487"/>
        <v>0</v>
      </c>
      <c r="AX194" s="41">
        <f t="shared" si="1488"/>
        <v>0</v>
      </c>
      <c r="AY194" s="41">
        <f t="shared" si="1489"/>
        <v>0</v>
      </c>
      <c r="AZ194" s="41">
        <f t="shared" si="1490"/>
        <v>0</v>
      </c>
      <c r="BA194" s="41">
        <f t="shared" si="1491"/>
        <v>0</v>
      </c>
      <c r="BB194" s="41">
        <f t="shared" si="1492"/>
        <v>0</v>
      </c>
      <c r="BC194" s="41">
        <f t="shared" si="1493"/>
        <v>0</v>
      </c>
      <c r="BD194" s="41">
        <f t="shared" si="1494"/>
        <v>0</v>
      </c>
      <c r="BE194" s="41">
        <f t="shared" si="1495"/>
        <v>0</v>
      </c>
      <c r="BF194" s="41">
        <f t="shared" si="1496"/>
        <v>0</v>
      </c>
      <c r="BG194" s="41">
        <f t="shared" si="1497"/>
        <v>0</v>
      </c>
      <c r="BH194" s="41">
        <f t="shared" si="1498"/>
        <v>0</v>
      </c>
      <c r="BI194" s="42">
        <f t="shared" si="1499"/>
        <v>0</v>
      </c>
      <c r="BJ194" s="41">
        <f t="shared" si="1500"/>
        <v>0</v>
      </c>
      <c r="BK194" s="41">
        <f t="shared" si="1501"/>
        <v>0</v>
      </c>
      <c r="BL194" s="41">
        <f t="shared" si="1502"/>
        <v>0</v>
      </c>
      <c r="BM194" s="41">
        <f t="shared" si="1503"/>
        <v>0</v>
      </c>
      <c r="BN194" s="41">
        <f t="shared" si="1504"/>
        <v>0</v>
      </c>
    </row>
    <row r="195" spans="1:66" ht="12" customHeight="1" outlineLevel="1">
      <c r="B195" s="1" t="s">
        <v>22</v>
      </c>
      <c r="C195" s="21">
        <v>0</v>
      </c>
      <c r="D195" s="21">
        <v>0</v>
      </c>
      <c r="E195" s="21">
        <v>0</v>
      </c>
      <c r="F195" s="21">
        <v>0</v>
      </c>
      <c r="G195" s="21">
        <v>0</v>
      </c>
      <c r="H195" s="21">
        <v>0</v>
      </c>
      <c r="I195" s="21">
        <v>0</v>
      </c>
      <c r="J195" s="21">
        <v>0</v>
      </c>
      <c r="K195" s="21">
        <v>0</v>
      </c>
      <c r="L195" s="21">
        <v>0</v>
      </c>
      <c r="M195" s="62">
        <v>0</v>
      </c>
      <c r="N195" s="62">
        <v>0</v>
      </c>
      <c r="O195" s="62">
        <v>0</v>
      </c>
      <c r="P195" s="62">
        <v>0</v>
      </c>
      <c r="Q195" s="62">
        <v>0</v>
      </c>
      <c r="R195" s="62">
        <v>0</v>
      </c>
      <c r="S195" s="62">
        <v>0</v>
      </c>
      <c r="T195" s="62">
        <v>0</v>
      </c>
      <c r="U195" s="62">
        <v>0</v>
      </c>
      <c r="V195" s="62">
        <v>0</v>
      </c>
      <c r="W195" s="62">
        <v>0</v>
      </c>
      <c r="X195" s="62">
        <v>0</v>
      </c>
      <c r="Y195" s="62">
        <v>0</v>
      </c>
      <c r="Z195" s="62">
        <v>0</v>
      </c>
      <c r="AA195" s="62">
        <v>0</v>
      </c>
      <c r="AB195" s="62">
        <v>0</v>
      </c>
      <c r="AC195" s="62">
        <v>0</v>
      </c>
      <c r="AD195" s="62">
        <v>0</v>
      </c>
      <c r="AE195" s="62">
        <v>0</v>
      </c>
      <c r="AF195" s="62">
        <v>0</v>
      </c>
      <c r="AG195" s="62">
        <v>0</v>
      </c>
      <c r="AH195" s="62">
        <v>0</v>
      </c>
      <c r="AI195" s="57">
        <v>0</v>
      </c>
      <c r="AJ195" s="41">
        <f t="shared" ref="AJ195" si="1541">AJ193+AJ194</f>
        <v>0</v>
      </c>
      <c r="AK195" s="41">
        <f t="shared" ref="AK195:AL195" si="1542">AK193+AK194</f>
        <v>0</v>
      </c>
      <c r="AL195" s="41">
        <f t="shared" si="1542"/>
        <v>0</v>
      </c>
      <c r="AM195" s="41">
        <f t="shared" ref="AM195:AN195" si="1543">AM193+AM194</f>
        <v>0</v>
      </c>
      <c r="AN195" s="41">
        <f t="shared" si="1543"/>
        <v>0</v>
      </c>
      <c r="AO195" s="41">
        <f t="shared" ref="AO195:AP195" si="1544">AO193+AO194</f>
        <v>0</v>
      </c>
      <c r="AP195" s="41">
        <f t="shared" si="1544"/>
        <v>0</v>
      </c>
      <c r="AQ195" s="41">
        <f t="shared" ref="AQ195:AR195" si="1545">AQ193+AQ194</f>
        <v>0</v>
      </c>
      <c r="AR195" s="41">
        <f t="shared" si="1545"/>
        <v>0</v>
      </c>
      <c r="AS195" s="8"/>
      <c r="AT195" s="41">
        <f t="shared" si="1484"/>
        <v>0</v>
      </c>
      <c r="AU195" s="41">
        <f t="shared" si="1485"/>
        <v>0</v>
      </c>
      <c r="AV195" s="41">
        <f t="shared" si="1486"/>
        <v>0</v>
      </c>
      <c r="AW195" s="41">
        <f t="shared" si="1487"/>
        <v>0</v>
      </c>
      <c r="AX195" s="41">
        <f t="shared" si="1488"/>
        <v>0</v>
      </c>
      <c r="AY195" s="41">
        <f t="shared" si="1489"/>
        <v>0</v>
      </c>
      <c r="AZ195" s="41">
        <f t="shared" si="1490"/>
        <v>0</v>
      </c>
      <c r="BA195" s="41">
        <f t="shared" si="1491"/>
        <v>0</v>
      </c>
      <c r="BB195" s="41">
        <f t="shared" si="1492"/>
        <v>0</v>
      </c>
      <c r="BC195" s="41">
        <f t="shared" si="1493"/>
        <v>0</v>
      </c>
      <c r="BD195" s="41">
        <f t="shared" si="1494"/>
        <v>0</v>
      </c>
      <c r="BE195" s="41">
        <f t="shared" si="1495"/>
        <v>0</v>
      </c>
      <c r="BF195" s="41">
        <f t="shared" si="1496"/>
        <v>0</v>
      </c>
      <c r="BG195" s="41">
        <f t="shared" si="1497"/>
        <v>0</v>
      </c>
      <c r="BH195" s="41">
        <f t="shared" si="1498"/>
        <v>0</v>
      </c>
      <c r="BI195" s="42">
        <f t="shared" si="1499"/>
        <v>0</v>
      </c>
      <c r="BJ195" s="41">
        <f t="shared" si="1500"/>
        <v>0</v>
      </c>
      <c r="BK195" s="41">
        <f t="shared" si="1501"/>
        <v>0</v>
      </c>
      <c r="BL195" s="41">
        <f t="shared" si="1502"/>
        <v>0</v>
      </c>
      <c r="BM195" s="41">
        <f t="shared" si="1503"/>
        <v>0</v>
      </c>
      <c r="BN195" s="41">
        <f t="shared" si="1504"/>
        <v>0</v>
      </c>
    </row>
    <row r="196" spans="1:66" ht="12" customHeight="1" outlineLevel="1">
      <c r="B196" s="1" t="s">
        <v>44</v>
      </c>
      <c r="C196" s="21">
        <v>0</v>
      </c>
      <c r="D196" s="21">
        <v>0</v>
      </c>
      <c r="E196" s="21">
        <v>0</v>
      </c>
      <c r="F196" s="21">
        <v>0</v>
      </c>
      <c r="G196" s="21">
        <v>0</v>
      </c>
      <c r="H196" s="21">
        <v>0</v>
      </c>
      <c r="I196" s="21">
        <v>0</v>
      </c>
      <c r="J196" s="21">
        <v>0</v>
      </c>
      <c r="K196" s="21">
        <v>0</v>
      </c>
      <c r="L196" s="21">
        <v>0</v>
      </c>
      <c r="M196" s="62">
        <v>0</v>
      </c>
      <c r="N196" s="62">
        <v>0</v>
      </c>
      <c r="O196" s="62">
        <v>0</v>
      </c>
      <c r="P196" s="62">
        <v>0</v>
      </c>
      <c r="Q196" s="62">
        <v>0</v>
      </c>
      <c r="R196" s="62">
        <v>0</v>
      </c>
      <c r="S196" s="62">
        <v>0</v>
      </c>
      <c r="T196" s="62">
        <v>0</v>
      </c>
      <c r="U196" s="62">
        <v>0</v>
      </c>
      <c r="V196" s="62">
        <v>0</v>
      </c>
      <c r="W196" s="62">
        <v>0</v>
      </c>
      <c r="X196" s="62">
        <v>0</v>
      </c>
      <c r="Y196" s="62">
        <v>0</v>
      </c>
      <c r="Z196" s="62">
        <v>0</v>
      </c>
      <c r="AA196" s="62">
        <v>0</v>
      </c>
      <c r="AB196" s="62">
        <v>0</v>
      </c>
      <c r="AC196" s="62">
        <v>0</v>
      </c>
      <c r="AD196" s="62">
        <v>0</v>
      </c>
      <c r="AE196" s="62">
        <v>0</v>
      </c>
      <c r="AF196" s="62">
        <v>0</v>
      </c>
      <c r="AG196" s="62">
        <v>0</v>
      </c>
      <c r="AH196" s="62">
        <v>0</v>
      </c>
      <c r="AI196" s="57">
        <v>0</v>
      </c>
      <c r="AJ196" s="41">
        <f t="shared" ref="AJ196" si="1546">AI196*(1+AJ203)</f>
        <v>0</v>
      </c>
      <c r="AK196" s="41">
        <f t="shared" ref="AK196" si="1547">AJ196*(1+AK203)</f>
        <v>0</v>
      </c>
      <c r="AL196" s="41">
        <f t="shared" ref="AL196" si="1548">AK196*(1+AL203)</f>
        <v>0</v>
      </c>
      <c r="AM196" s="41">
        <f t="shared" ref="AM196" si="1549">AL196*(1+AM203)</f>
        <v>0</v>
      </c>
      <c r="AN196" s="41">
        <f t="shared" ref="AN196" si="1550">AM196*(1+AN203)</f>
        <v>0</v>
      </c>
      <c r="AO196" s="41">
        <f t="shared" ref="AO196" si="1551">AN196*(1+AO203)</f>
        <v>0</v>
      </c>
      <c r="AP196" s="41">
        <f t="shared" ref="AP196" si="1552">AO196*(1+AP203)</f>
        <v>0</v>
      </c>
      <c r="AQ196" s="41">
        <f t="shared" ref="AQ196" si="1553">AP196*(1+AQ203)</f>
        <v>0</v>
      </c>
      <c r="AR196" s="41">
        <f t="shared" ref="AR196" si="1554">AQ196*(1+AR203)</f>
        <v>0</v>
      </c>
      <c r="AS196" s="8"/>
      <c r="AT196" s="41">
        <f t="shared" si="1484"/>
        <v>0</v>
      </c>
      <c r="AU196" s="41">
        <f t="shared" si="1485"/>
        <v>0</v>
      </c>
      <c r="AV196" s="41">
        <f t="shared" si="1486"/>
        <v>0</v>
      </c>
      <c r="AW196" s="41">
        <f t="shared" si="1487"/>
        <v>0</v>
      </c>
      <c r="AX196" s="41">
        <f t="shared" si="1488"/>
        <v>0</v>
      </c>
      <c r="AY196" s="41">
        <f t="shared" si="1489"/>
        <v>0</v>
      </c>
      <c r="AZ196" s="41">
        <f t="shared" si="1490"/>
        <v>0</v>
      </c>
      <c r="BA196" s="41">
        <f t="shared" si="1491"/>
        <v>0</v>
      </c>
      <c r="BB196" s="41">
        <f t="shared" si="1492"/>
        <v>0</v>
      </c>
      <c r="BC196" s="41">
        <f t="shared" si="1493"/>
        <v>0</v>
      </c>
      <c r="BD196" s="41">
        <f t="shared" si="1494"/>
        <v>0</v>
      </c>
      <c r="BE196" s="41">
        <f t="shared" si="1495"/>
        <v>0</v>
      </c>
      <c r="BF196" s="41">
        <f t="shared" si="1496"/>
        <v>0</v>
      </c>
      <c r="BG196" s="41">
        <f t="shared" si="1497"/>
        <v>0</v>
      </c>
      <c r="BH196" s="41">
        <f t="shared" si="1498"/>
        <v>0</v>
      </c>
      <c r="BI196" s="42">
        <f t="shared" si="1499"/>
        <v>0</v>
      </c>
      <c r="BJ196" s="41">
        <f t="shared" si="1500"/>
        <v>0</v>
      </c>
      <c r="BK196" s="41">
        <f t="shared" si="1501"/>
        <v>0</v>
      </c>
      <c r="BL196" s="41">
        <f t="shared" si="1502"/>
        <v>0</v>
      </c>
      <c r="BM196" s="41">
        <f t="shared" si="1503"/>
        <v>0</v>
      </c>
      <c r="BN196" s="41">
        <f t="shared" si="1504"/>
        <v>0</v>
      </c>
    </row>
    <row r="197" spans="1:66" ht="12" customHeight="1" outlineLevel="1">
      <c r="A197" s="91" t="s">
        <v>1563</v>
      </c>
      <c r="B197" s="1" t="s">
        <v>25</v>
      </c>
      <c r="C197" s="21">
        <v>2628</v>
      </c>
      <c r="D197" s="21">
        <v>3268</v>
      </c>
      <c r="E197" s="21">
        <v>3349</v>
      </c>
      <c r="F197" s="21">
        <v>3228</v>
      </c>
      <c r="G197" s="21">
        <v>3037</v>
      </c>
      <c r="H197" s="21">
        <v>3113</v>
      </c>
      <c r="I197" s="21">
        <v>2922</v>
      </c>
      <c r="J197" s="21">
        <v>2848</v>
      </c>
      <c r="K197" s="21">
        <v>2891</v>
      </c>
      <c r="L197" s="21">
        <v>2419</v>
      </c>
      <c r="M197" s="62">
        <v>2568</v>
      </c>
      <c r="N197" s="62">
        <v>2505</v>
      </c>
      <c r="O197" s="62">
        <v>2250</v>
      </c>
      <c r="P197" s="62">
        <v>2182</v>
      </c>
      <c r="Q197" s="62">
        <v>1959</v>
      </c>
      <c r="R197" s="62">
        <v>1992</v>
      </c>
      <c r="S197" s="62">
        <v>2818</v>
      </c>
      <c r="T197" s="62">
        <v>3100</v>
      </c>
      <c r="U197" s="62">
        <v>2950</v>
      </c>
      <c r="V197" s="62">
        <v>2772</v>
      </c>
      <c r="W197" s="62">
        <v>2651</v>
      </c>
      <c r="X197" s="62">
        <v>2660</v>
      </c>
      <c r="Y197" s="62">
        <v>2895</v>
      </c>
      <c r="Z197" s="62">
        <v>2986</v>
      </c>
      <c r="AA197" s="62">
        <v>3152</v>
      </c>
      <c r="AB197" s="62">
        <v>3359</v>
      </c>
      <c r="AC197" s="62">
        <v>3512</v>
      </c>
      <c r="AD197" s="62">
        <v>3820</v>
      </c>
      <c r="AE197" s="62">
        <v>4016</v>
      </c>
      <c r="AF197" s="62">
        <v>3690</v>
      </c>
      <c r="AG197" s="62">
        <v>4286</v>
      </c>
      <c r="AH197" s="62">
        <v>4122</v>
      </c>
      <c r="AI197" s="57">
        <v>4132</v>
      </c>
      <c r="AJ197" s="58">
        <f>AI197*1.005</f>
        <v>4152.66</v>
      </c>
      <c r="AK197" s="58">
        <f t="shared" ref="AK197:AR197" si="1555">AJ197*1.005</f>
        <v>4173.4232999999995</v>
      </c>
      <c r="AL197" s="58">
        <f t="shared" si="1555"/>
        <v>4194.2904164999991</v>
      </c>
      <c r="AM197" s="58">
        <f t="shared" si="1555"/>
        <v>4215.2618685824982</v>
      </c>
      <c r="AN197" s="58">
        <f t="shared" si="1555"/>
        <v>4236.3381779254105</v>
      </c>
      <c r="AO197" s="58">
        <f t="shared" si="1555"/>
        <v>4257.5198688150367</v>
      </c>
      <c r="AP197" s="58">
        <f t="shared" si="1555"/>
        <v>4278.8074681591115</v>
      </c>
      <c r="AQ197" s="58">
        <f t="shared" si="1555"/>
        <v>4300.2015054999065</v>
      </c>
      <c r="AR197" s="58">
        <f t="shared" si="1555"/>
        <v>4321.702513027406</v>
      </c>
      <c r="AS197" s="8"/>
      <c r="AT197" s="41">
        <f t="shared" si="1484"/>
        <v>3268</v>
      </c>
      <c r="AU197" s="41">
        <f t="shared" si="1485"/>
        <v>3228</v>
      </c>
      <c r="AV197" s="41">
        <f t="shared" si="1486"/>
        <v>3113</v>
      </c>
      <c r="AW197" s="41">
        <f t="shared" si="1487"/>
        <v>2848</v>
      </c>
      <c r="AX197" s="41">
        <f t="shared" si="1488"/>
        <v>2419</v>
      </c>
      <c r="AY197" s="41">
        <f t="shared" si="1489"/>
        <v>2505</v>
      </c>
      <c r="AZ197" s="41">
        <f t="shared" si="1490"/>
        <v>2182</v>
      </c>
      <c r="BA197" s="41">
        <f t="shared" si="1491"/>
        <v>1992</v>
      </c>
      <c r="BB197" s="41">
        <f t="shared" si="1492"/>
        <v>3100</v>
      </c>
      <c r="BC197" s="41">
        <f t="shared" si="1493"/>
        <v>2772</v>
      </c>
      <c r="BD197" s="41">
        <f t="shared" si="1494"/>
        <v>2660</v>
      </c>
      <c r="BE197" s="41">
        <f t="shared" si="1495"/>
        <v>2986</v>
      </c>
      <c r="BF197" s="41">
        <f t="shared" si="1496"/>
        <v>3359</v>
      </c>
      <c r="BG197" s="41">
        <f t="shared" si="1497"/>
        <v>3820</v>
      </c>
      <c r="BH197" s="41">
        <f t="shared" si="1498"/>
        <v>3690</v>
      </c>
      <c r="BI197" s="42">
        <f t="shared" si="1499"/>
        <v>4122</v>
      </c>
      <c r="BJ197" s="41">
        <f t="shared" si="1500"/>
        <v>4152.66</v>
      </c>
      <c r="BK197" s="41">
        <f t="shared" si="1501"/>
        <v>4194.2904164999991</v>
      </c>
      <c r="BL197" s="41">
        <f t="shared" si="1502"/>
        <v>4236.3381779254105</v>
      </c>
      <c r="BM197" s="41">
        <f t="shared" si="1503"/>
        <v>4278.8074681591115</v>
      </c>
      <c r="BN197" s="41">
        <f t="shared" si="1504"/>
        <v>4321.702513027406</v>
      </c>
    </row>
    <row r="198" spans="1:66" ht="12" customHeight="1" outlineLevel="1"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41"/>
      <c r="N198" s="41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  <c r="AA198" s="50"/>
      <c r="AB198" s="50"/>
      <c r="AC198" s="50"/>
      <c r="AD198" s="50"/>
      <c r="AE198" s="50"/>
      <c r="AF198" s="50"/>
      <c r="AG198" s="50"/>
      <c r="AH198" s="50"/>
      <c r="AI198" s="51"/>
      <c r="AJ198" s="182"/>
      <c r="AK198" s="182"/>
      <c r="AL198" s="182"/>
      <c r="AM198" s="182"/>
      <c r="AN198" s="182"/>
      <c r="AO198" s="182"/>
      <c r="AP198" s="182"/>
      <c r="AQ198" s="182"/>
      <c r="AR198" s="182"/>
      <c r="AS198" s="8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2"/>
      <c r="BJ198" s="41"/>
      <c r="BK198" s="41"/>
      <c r="BL198" s="41"/>
      <c r="BM198" s="41"/>
      <c r="BN198" s="41"/>
    </row>
    <row r="199" spans="1:66" ht="12" customHeight="1" outlineLevel="1">
      <c r="B199" s="9" t="s">
        <v>158</v>
      </c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50"/>
      <c r="AF199" s="50"/>
      <c r="AG199" s="50"/>
      <c r="AH199" s="50"/>
      <c r="AI199" s="51"/>
      <c r="AJ199" s="41"/>
      <c r="AK199" s="41"/>
      <c r="AL199" s="41"/>
      <c r="AM199" s="41"/>
      <c r="AN199" s="41"/>
      <c r="AO199" s="41"/>
      <c r="AP199" s="41"/>
      <c r="AQ199" s="41"/>
      <c r="AR199" s="41"/>
      <c r="AS199" s="8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2"/>
      <c r="BJ199" s="41"/>
      <c r="BK199" s="41"/>
      <c r="BL199" s="41"/>
      <c r="BM199" s="41"/>
      <c r="BN199" s="41"/>
    </row>
    <row r="200" spans="1:66" ht="12" customHeight="1" outlineLevel="1">
      <c r="B200" s="1" t="s">
        <v>58</v>
      </c>
      <c r="C200" s="50" t="str">
        <f>IF(ISERROR(C190/B190),"n.a.",C190/B190-1)</f>
        <v>n.a.</v>
      </c>
      <c r="D200" s="50">
        <f>IF(ISERROR(D190/C190),"n.a.",D190/C190-1)</f>
        <v>3.8022813688212143E-3</v>
      </c>
      <c r="E200" s="50">
        <f t="shared" ref="E200:M200" si="1556">IF(ISERROR(E190/D190),"n.a.",E190/D190-1)</f>
        <v>-1.5151515151515138E-2</v>
      </c>
      <c r="F200" s="50">
        <f t="shared" si="1556"/>
        <v>-1.9230769230769273E-2</v>
      </c>
      <c r="G200" s="50">
        <f t="shared" si="1556"/>
        <v>-6.2745098039215685E-2</v>
      </c>
      <c r="H200" s="50">
        <f t="shared" si="1556"/>
        <v>-1.6736401673640211E-2</v>
      </c>
      <c r="I200" s="50">
        <f t="shared" si="1556"/>
        <v>-1.2765957446808529E-2</v>
      </c>
      <c r="J200" s="50">
        <f t="shared" si="1556"/>
        <v>-1.2931034482758674E-2</v>
      </c>
      <c r="K200" s="50">
        <f t="shared" si="1556"/>
        <v>0.12227074235807867</v>
      </c>
      <c r="L200" s="50">
        <f t="shared" si="1556"/>
        <v>5.058365758754868E-2</v>
      </c>
      <c r="M200" s="69">
        <f t="shared" si="1556"/>
        <v>0.1074074074074074</v>
      </c>
      <c r="N200" s="69">
        <f t="shared" ref="N200" si="1557">IF(ISERROR(N190/M190),"n.a.",N190/M190-1)</f>
        <v>0.14381270903010024</v>
      </c>
      <c r="O200" s="69">
        <f t="shared" ref="O200:AI200" si="1558">IF(ISERROR(O190/N190),"n.a.",O190/N190-1)</f>
        <v>7.6023391812865437E-2</v>
      </c>
      <c r="P200" s="69">
        <f t="shared" si="1558"/>
        <v>-2.7173913043477826E-3</v>
      </c>
      <c r="Q200" s="69">
        <f t="shared" si="1558"/>
        <v>-1.3623978201634857E-2</v>
      </c>
      <c r="R200" s="69">
        <f t="shared" si="1558"/>
        <v>2.7624309392264568E-3</v>
      </c>
      <c r="S200" s="69">
        <f t="shared" si="1558"/>
        <v>3.5812672176308569E-2</v>
      </c>
      <c r="T200" s="69">
        <f t="shared" si="1558"/>
        <v>0.50531914893617014</v>
      </c>
      <c r="U200" s="69">
        <f t="shared" si="1558"/>
        <v>-6.1837455830388688E-2</v>
      </c>
      <c r="V200" s="69">
        <f t="shared" si="1558"/>
        <v>5.0847457627118731E-2</v>
      </c>
      <c r="W200" s="69">
        <f t="shared" si="1558"/>
        <v>6.9892473118279508E-2</v>
      </c>
      <c r="X200" s="69">
        <f t="shared" si="1558"/>
        <v>5.8626465661641536E-2</v>
      </c>
      <c r="Y200" s="69">
        <f t="shared" si="1558"/>
        <v>0.24683544303797467</v>
      </c>
      <c r="Z200" s="69">
        <f t="shared" si="1558"/>
        <v>0.12563451776649748</v>
      </c>
      <c r="AA200" s="69">
        <f t="shared" si="1558"/>
        <v>0.11386696730552415</v>
      </c>
      <c r="AB200" s="69">
        <f t="shared" si="1558"/>
        <v>0.1174089068825912</v>
      </c>
      <c r="AC200" s="69">
        <f t="shared" si="1558"/>
        <v>0.10054347826086962</v>
      </c>
      <c r="AD200" s="69">
        <f t="shared" si="1558"/>
        <v>5.5967078189300468E-2</v>
      </c>
      <c r="AE200" s="69">
        <f t="shared" si="1558"/>
        <v>5.3000779423226785E-2</v>
      </c>
      <c r="AF200" s="69">
        <f t="shared" si="1558"/>
        <v>4.2931162102146647E-2</v>
      </c>
      <c r="AG200" s="69">
        <f t="shared" si="1558"/>
        <v>7.3811213626685523E-2</v>
      </c>
      <c r="AH200" s="69">
        <f t="shared" si="1558"/>
        <v>7.3364177131526764E-2</v>
      </c>
      <c r="AI200" s="89">
        <f t="shared" si="1558"/>
        <v>0.10652709359605916</v>
      </c>
      <c r="AJ200" s="56">
        <v>0.1</v>
      </c>
      <c r="AK200" s="56">
        <v>8.5000000000000006E-2</v>
      </c>
      <c r="AL200" s="56">
        <v>7.4999999999999997E-2</v>
      </c>
      <c r="AM200" s="56">
        <v>0.06</v>
      </c>
      <c r="AN200" s="56">
        <v>5.5E-2</v>
      </c>
      <c r="AO200" s="56">
        <v>0.05</v>
      </c>
      <c r="AP200" s="56">
        <v>0.05</v>
      </c>
      <c r="AQ200" s="56">
        <v>0.05</v>
      </c>
      <c r="AR200" s="56">
        <v>0.05</v>
      </c>
      <c r="AS200" s="8"/>
      <c r="AT200" s="50">
        <f>IF(ISERROR(AT190/T190),"n.a.",AT190/T190-1)</f>
        <v>-0.53356890459363959</v>
      </c>
      <c r="AU200" s="50">
        <f>IF(ISERROR(AU190/AT190),"n.a.",AU190/AT190-1)</f>
        <v>-3.4090909090909061E-2</v>
      </c>
      <c r="AV200" s="50">
        <f>IF(ISERROR(AV190/AU190),"n.a.",AV190/AU190-1)</f>
        <v>-7.8431372549019662E-2</v>
      </c>
      <c r="AW200" s="50">
        <f>IF(ISERROR(AW190/AV190),"n.a.",AW190/AV190-1)</f>
        <v>-2.5531914893617058E-2</v>
      </c>
      <c r="AX200" s="50">
        <f t="shared" ref="AX200:BB200" si="1559">IF(ISERROR(AX190/AW190),"n.a.",AX190/AW190-1)</f>
        <v>0.17903930131004375</v>
      </c>
      <c r="AY200" s="50">
        <f t="shared" si="1559"/>
        <v>0.26666666666666661</v>
      </c>
      <c r="AZ200" s="50">
        <f t="shared" si="1559"/>
        <v>7.3099415204678442E-2</v>
      </c>
      <c r="BA200" s="50">
        <f t="shared" si="1559"/>
        <v>-1.0899182561307952E-2</v>
      </c>
      <c r="BB200" s="50">
        <f t="shared" si="1559"/>
        <v>0.55922865013774103</v>
      </c>
      <c r="BC200" s="50">
        <f t="shared" ref="BC200" si="1560">IF(ISERROR(BC190/BB190),"n.a.",BC190/BB190-1)</f>
        <v>-1.4134275618374548E-2</v>
      </c>
      <c r="BD200" s="50">
        <f t="shared" ref="BD200" si="1561">IF(ISERROR(BD190/BC190),"n.a.",BD190/BC190-1)</f>
        <v>0.13261648745519716</v>
      </c>
      <c r="BE200" s="50">
        <f t="shared" ref="BE200" si="1562">IF(ISERROR(BE190/BD190),"n.a.",BE190/BD190-1)</f>
        <v>0.40348101265822778</v>
      </c>
      <c r="BF200" s="50">
        <f t="shared" ref="BF200" si="1563">IF(ISERROR(BF190/BE190),"n.a.",BF190/BE190-1)</f>
        <v>0.24464487034949278</v>
      </c>
      <c r="BG200" s="50">
        <f t="shared" ref="BG200" si="1564">IF(ISERROR(BG190/BF190),"n.a.",BG190/BF190-1)</f>
        <v>0.1621376811594204</v>
      </c>
      <c r="BH200" s="50">
        <f t="shared" ref="BH200:BM200" si="1565">IF(ISERROR(BH190/BG190),"n.a.",BH190/BG190-1)</f>
        <v>9.8207326578332088E-2</v>
      </c>
      <c r="BI200" s="51">
        <f t="shared" si="1565"/>
        <v>0.15259048970901357</v>
      </c>
      <c r="BJ200" s="50">
        <f t="shared" si="1565"/>
        <v>0.2171798029556653</v>
      </c>
      <c r="BK200" s="50">
        <f t="shared" si="1565"/>
        <v>0.16637499999999994</v>
      </c>
      <c r="BL200" s="50">
        <f t="shared" si="1565"/>
        <v>0.11830000000000007</v>
      </c>
      <c r="BM200" s="50">
        <f t="shared" si="1565"/>
        <v>0.10250000000000026</v>
      </c>
      <c r="BN200" s="50">
        <f>IF(ISERROR(BN190/BM190),"n.a.",BN190/BM190-1)</f>
        <v>0.10250000000000026</v>
      </c>
    </row>
    <row r="201" spans="1:66" ht="12" customHeight="1" outlineLevel="1">
      <c r="B201" s="1" t="s">
        <v>59</v>
      </c>
      <c r="C201" s="37" t="str">
        <f>IF(ISERROR(C157-B157),"n.a.",C157-B157)</f>
        <v>n.a.</v>
      </c>
      <c r="D201" s="37">
        <f>IF(ISERROR(D157-C157),"n.a.",D157-C157)</f>
        <v>2.5702914133274284E-3</v>
      </c>
      <c r="E201" s="37">
        <f t="shared" ref="E201:M201" si="1566">IF(ISERROR(E157-D157),"n.a.",E157-D157)</f>
        <v>3.0689325959112682E-3</v>
      </c>
      <c r="F201" s="37">
        <f t="shared" si="1566"/>
        <v>-4.3634654075643334E-4</v>
      </c>
      <c r="G201" s="37">
        <f t="shared" si="1566"/>
        <v>1.7743548852678162E-3</v>
      </c>
      <c r="H201" s="37">
        <f t="shared" si="1566"/>
        <v>-1.0198779290025509E-3</v>
      </c>
      <c r="I201" s="37">
        <f t="shared" si="1566"/>
        <v>-1.7968709194979282E-3</v>
      </c>
      <c r="J201" s="37">
        <f t="shared" si="1566"/>
        <v>1.1670441352621928E-3</v>
      </c>
      <c r="K201" s="37">
        <f t="shared" si="1566"/>
        <v>8.9853053234474276E-4</v>
      </c>
      <c r="L201" s="37">
        <f t="shared" si="1566"/>
        <v>-1.2502606010063068E-3</v>
      </c>
      <c r="M201" s="78">
        <f t="shared" si="1566"/>
        <v>1.0884075361168241E-4</v>
      </c>
      <c r="N201" s="78">
        <f t="shared" ref="N201" si="1567">IF(ISERROR(N157-M157),"n.a.",N157-M157)</f>
        <v>-1.6239399010054972E-3</v>
      </c>
      <c r="O201" s="78">
        <f t="shared" ref="O201:AI201" si="1568">IF(ISERROR(O157-N157),"n.a.",O157-N157)</f>
        <v>-3.8220366973090031E-4</v>
      </c>
      <c r="P201" s="78">
        <f t="shared" si="1568"/>
        <v>5.0958200245601604E-4</v>
      </c>
      <c r="Q201" s="78">
        <f t="shared" si="1568"/>
        <v>6.1915636834493359E-4</v>
      </c>
      <c r="R201" s="78">
        <f t="shared" si="1568"/>
        <v>2.3388355696999999E-3</v>
      </c>
      <c r="S201" s="78">
        <f t="shared" si="1568"/>
        <v>8.6796136080665443E-3</v>
      </c>
      <c r="T201" s="78">
        <f t="shared" si="1568"/>
        <v>-6.1821534105025375E-3</v>
      </c>
      <c r="U201" s="78">
        <f t="shared" si="1568"/>
        <v>5.7775930758041383E-3</v>
      </c>
      <c r="V201" s="78">
        <f t="shared" si="1568"/>
        <v>7.5896397336661786E-4</v>
      </c>
      <c r="W201" s="78">
        <f t="shared" si="1568"/>
        <v>-2.0644406098951559E-3</v>
      </c>
      <c r="X201" s="78">
        <f t="shared" si="1568"/>
        <v>-5.5005477300026223E-5</v>
      </c>
      <c r="Y201" s="78">
        <f t="shared" si="1568"/>
        <v>-5.2569497113580041E-3</v>
      </c>
      <c r="Z201" s="78">
        <f t="shared" si="1568"/>
        <v>-2.1102146812730337E-3</v>
      </c>
      <c r="AA201" s="78">
        <f t="shared" si="1568"/>
        <v>-8.7758079834419217E-4</v>
      </c>
      <c r="AB201" s="78">
        <f t="shared" si="1568"/>
        <v>-1.5872527043877711E-3</v>
      </c>
      <c r="AC201" s="78">
        <f t="shared" si="1568"/>
        <v>1.4557767761447203E-3</v>
      </c>
      <c r="AD201" s="78">
        <f t="shared" si="1568"/>
        <v>6.5272993971900867E-4</v>
      </c>
      <c r="AE201" s="78">
        <f t="shared" si="1568"/>
        <v>-5.9014912414716639E-4</v>
      </c>
      <c r="AF201" s="78">
        <f t="shared" si="1568"/>
        <v>-2.0298108349014535E-3</v>
      </c>
      <c r="AG201" s="78">
        <f t="shared" si="1568"/>
        <v>-5.2083318087817188E-4</v>
      </c>
      <c r="AH201" s="78">
        <f t="shared" si="1568"/>
        <v>-3.1693694539800671E-4</v>
      </c>
      <c r="AI201" s="88">
        <f t="shared" si="1568"/>
        <v>-8.0767074460718832E-4</v>
      </c>
      <c r="AJ201" s="66">
        <v>-1.5E-3</v>
      </c>
      <c r="AK201" s="66">
        <v>-5.9999999999999995E-4</v>
      </c>
      <c r="AL201" s="66">
        <v>-4.0000000000000002E-4</v>
      </c>
      <c r="AM201" s="66">
        <v>-2.9999999999999997E-4</v>
      </c>
      <c r="AN201" s="66">
        <f t="shared" ref="AN201:AP201" si="1569">AM201</f>
        <v>-2.9999999999999997E-4</v>
      </c>
      <c r="AO201" s="66">
        <f>+AN201</f>
        <v>-2.9999999999999997E-4</v>
      </c>
      <c r="AP201" s="66">
        <f t="shared" si="1569"/>
        <v>-2.9999999999999997E-4</v>
      </c>
      <c r="AQ201" s="66">
        <v>-2.9999999999999997E-4</v>
      </c>
      <c r="AR201" s="66">
        <v>-2.9999999999999997E-4</v>
      </c>
      <c r="AS201" s="8"/>
      <c r="AT201" s="37">
        <f>IF(ISERROR(AT157-T157),"n.a.",AT157-T157)</f>
        <v>-7.7568314496818565E-3</v>
      </c>
      <c r="AU201" s="37">
        <f>IF(ISERROR(AU157-AT157),"n.a.",AU157-AT157)</f>
        <v>4.1344849581638927E-3</v>
      </c>
      <c r="AV201" s="37">
        <f>IF(ISERROR(AV157-AU157),"n.a.",AV157-AU157)</f>
        <v>1.0422544540405719E-3</v>
      </c>
      <c r="AW201" s="37">
        <f>IF(ISERROR(AW157-AV157),"n.a.",AW157-AV157)</f>
        <v>-1.7186300515326762E-3</v>
      </c>
      <c r="AX201" s="37">
        <f t="shared" ref="AX201:BB201" si="1570">IF(ISERROR(AX157-AW157),"n.a.",AX157-AW157)</f>
        <v>8.2785448732680678E-4</v>
      </c>
      <c r="AY201" s="37">
        <f t="shared" si="1570"/>
        <v>-1.3525241798396821E-3</v>
      </c>
      <c r="AZ201" s="37">
        <f t="shared" si="1570"/>
        <v>-8.8244320650383151E-4</v>
      </c>
      <c r="BA201" s="37">
        <f t="shared" si="1570"/>
        <v>2.032850758047728E-3</v>
      </c>
      <c r="BB201" s="37">
        <f t="shared" si="1570"/>
        <v>6.381083467716795E-3</v>
      </c>
      <c r="BC201" s="37">
        <f t="shared" ref="BC201" si="1571">IF(ISERROR(BC157-BB157),"n.a.",BC157-BB157)</f>
        <v>3.447163113890591E-3</v>
      </c>
      <c r="BD201" s="37">
        <f t="shared" ref="BD201" si="1572">IF(ISERROR(BD157-BC157),"n.a.",BD157-BC157)</f>
        <v>-1.7115023433937337E-3</v>
      </c>
      <c r="BE201" s="37">
        <f t="shared" ref="BE201" si="1573">IF(ISERROR(BE157-BD157),"n.a.",BE157-BD157)</f>
        <v>-6.4329529945936596E-3</v>
      </c>
      <c r="BF201" s="37">
        <f t="shared" ref="BF201" si="1574">IF(ISERROR(BF157-BE157),"n.a.",BF157-BE157)</f>
        <v>-2.6792717444789199E-3</v>
      </c>
      <c r="BG201" s="37">
        <f t="shared" ref="BG201" si="1575">IF(ISERROR(BG157-BF157),"n.a.",BG157-BF157)</f>
        <v>1.0426934165055669E-3</v>
      </c>
      <c r="BH201" s="37">
        <f t="shared" ref="BH201:BM201" si="1576">IF(ISERROR(BH157-BG157),"n.a.",BH157-BG157)</f>
        <v>-1.3093709128275226E-3</v>
      </c>
      <c r="BI201" s="38">
        <f t="shared" si="1576"/>
        <v>-1.6791766796132486E-3</v>
      </c>
      <c r="BJ201" s="37">
        <f t="shared" si="1576"/>
        <v>-1.7465277598253878E-3</v>
      </c>
      <c r="BK201" s="37">
        <f t="shared" si="1576"/>
        <v>-1.5211445513684391E-3</v>
      </c>
      <c r="BL201" s="37">
        <f t="shared" si="1576"/>
        <v>-6.4397664967601707E-4</v>
      </c>
      <c r="BM201" s="37">
        <f t="shared" si="1576"/>
        <v>-6.0085497421796807E-4</v>
      </c>
      <c r="BN201" s="37">
        <f>IF(ISERROR(BN157-BM157),"n.a.",BN157-BM157)</f>
        <v>-5.9991981825471309E-4</v>
      </c>
    </row>
    <row r="202" spans="1:66" ht="12" customHeight="1" outlineLevel="1">
      <c r="B202" s="1" t="s">
        <v>60</v>
      </c>
      <c r="C202" s="50" t="str">
        <f>IF(ISERROR(C193/B193),"n.a.",C193/B193-1)</f>
        <v>n.a.</v>
      </c>
      <c r="D202" s="50" t="str">
        <f>IF(ISERROR(D193/C193),"n.a.",D193/C193-1)</f>
        <v>n.a.</v>
      </c>
      <c r="E202" s="50" t="str">
        <f t="shared" ref="E202:M202" si="1577">IF(ISERROR(E193/D193),"n.a.",E193/D193-1)</f>
        <v>n.a.</v>
      </c>
      <c r="F202" s="50" t="str">
        <f t="shared" si="1577"/>
        <v>n.a.</v>
      </c>
      <c r="G202" s="50" t="str">
        <f t="shared" si="1577"/>
        <v>n.a.</v>
      </c>
      <c r="H202" s="50" t="str">
        <f t="shared" si="1577"/>
        <v>n.a.</v>
      </c>
      <c r="I202" s="50" t="str">
        <f t="shared" si="1577"/>
        <v>n.a.</v>
      </c>
      <c r="J202" s="50" t="str">
        <f t="shared" si="1577"/>
        <v>n.a.</v>
      </c>
      <c r="K202" s="50" t="str">
        <f t="shared" si="1577"/>
        <v>n.a.</v>
      </c>
      <c r="L202" s="50" t="str">
        <f t="shared" si="1577"/>
        <v>n.a.</v>
      </c>
      <c r="M202" s="69" t="str">
        <f t="shared" si="1577"/>
        <v>n.a.</v>
      </c>
      <c r="N202" s="69" t="str">
        <f t="shared" ref="N202" si="1578">IF(ISERROR(N193/M193),"n.a.",N193/M193-1)</f>
        <v>n.a.</v>
      </c>
      <c r="O202" s="69" t="str">
        <f t="shared" ref="O202:AI202" si="1579">IF(ISERROR(O193/N193),"n.a.",O193/N193-1)</f>
        <v>n.a.</v>
      </c>
      <c r="P202" s="69" t="str">
        <f t="shared" si="1579"/>
        <v>n.a.</v>
      </c>
      <c r="Q202" s="69" t="str">
        <f t="shared" si="1579"/>
        <v>n.a.</v>
      </c>
      <c r="R202" s="69" t="str">
        <f t="shared" si="1579"/>
        <v>n.a.</v>
      </c>
      <c r="S202" s="69" t="str">
        <f t="shared" si="1579"/>
        <v>n.a.</v>
      </c>
      <c r="T202" s="69" t="str">
        <f t="shared" si="1579"/>
        <v>n.a.</v>
      </c>
      <c r="U202" s="69" t="str">
        <f t="shared" si="1579"/>
        <v>n.a.</v>
      </c>
      <c r="V202" s="69" t="str">
        <f t="shared" si="1579"/>
        <v>n.a.</v>
      </c>
      <c r="W202" s="69" t="str">
        <f t="shared" si="1579"/>
        <v>n.a.</v>
      </c>
      <c r="X202" s="69" t="str">
        <f t="shared" si="1579"/>
        <v>n.a.</v>
      </c>
      <c r="Y202" s="69" t="str">
        <f t="shared" si="1579"/>
        <v>n.a.</v>
      </c>
      <c r="Z202" s="69" t="str">
        <f t="shared" si="1579"/>
        <v>n.a.</v>
      </c>
      <c r="AA202" s="69" t="str">
        <f t="shared" si="1579"/>
        <v>n.a.</v>
      </c>
      <c r="AB202" s="69" t="str">
        <f t="shared" si="1579"/>
        <v>n.a.</v>
      </c>
      <c r="AC202" s="69" t="str">
        <f t="shared" si="1579"/>
        <v>n.a.</v>
      </c>
      <c r="AD202" s="69" t="str">
        <f t="shared" si="1579"/>
        <v>n.a.</v>
      </c>
      <c r="AE202" s="69" t="str">
        <f t="shared" si="1579"/>
        <v>n.a.</v>
      </c>
      <c r="AF202" s="69" t="str">
        <f t="shared" si="1579"/>
        <v>n.a.</v>
      </c>
      <c r="AG202" s="69" t="str">
        <f t="shared" si="1579"/>
        <v>n.a.</v>
      </c>
      <c r="AH202" s="69" t="str">
        <f t="shared" si="1579"/>
        <v>n.a.</v>
      </c>
      <c r="AI202" s="89" t="str">
        <f t="shared" si="1579"/>
        <v>n.a.</v>
      </c>
      <c r="AJ202" s="56">
        <v>0.03</v>
      </c>
      <c r="AK202" s="56">
        <v>0.03</v>
      </c>
      <c r="AL202" s="56">
        <v>0.03</v>
      </c>
      <c r="AM202" s="56">
        <v>0.03</v>
      </c>
      <c r="AN202" s="56">
        <v>0.03</v>
      </c>
      <c r="AO202" s="56">
        <v>0.03</v>
      </c>
      <c r="AP202" s="56">
        <v>0.03</v>
      </c>
      <c r="AQ202" s="56">
        <v>0.03</v>
      </c>
      <c r="AR202" s="56">
        <v>0.03</v>
      </c>
      <c r="AS202" s="8"/>
      <c r="AT202" s="50" t="str">
        <f>IF(ISERROR(AT193/T193),"n.a.",AT193/T193-1)</f>
        <v>n.a.</v>
      </c>
      <c r="AU202" s="50" t="str">
        <f>IF(ISERROR(AU193/AT193),"n.a.",AU193/AT193-1)</f>
        <v>n.a.</v>
      </c>
      <c r="AV202" s="50" t="str">
        <f>IF(ISERROR(AV193/AU193),"n.a.",AV193/AU193-1)</f>
        <v>n.a.</v>
      </c>
      <c r="AW202" s="50" t="str">
        <f>IF(ISERROR(AW193/AV193),"n.a.",AW193/AV193-1)</f>
        <v>n.a.</v>
      </c>
      <c r="AX202" s="50" t="str">
        <f t="shared" ref="AX202:BB202" si="1580">IF(ISERROR(AX193/AW193),"n.a.",AX193/AW193-1)</f>
        <v>n.a.</v>
      </c>
      <c r="AY202" s="50" t="str">
        <f t="shared" si="1580"/>
        <v>n.a.</v>
      </c>
      <c r="AZ202" s="50" t="str">
        <f t="shared" si="1580"/>
        <v>n.a.</v>
      </c>
      <c r="BA202" s="50" t="str">
        <f t="shared" si="1580"/>
        <v>n.a.</v>
      </c>
      <c r="BB202" s="50" t="str">
        <f t="shared" si="1580"/>
        <v>n.a.</v>
      </c>
      <c r="BC202" s="50" t="str">
        <f t="shared" ref="BC202" si="1581">IF(ISERROR(BC193/BB193),"n.a.",BC193/BB193-1)</f>
        <v>n.a.</v>
      </c>
      <c r="BD202" s="50" t="str">
        <f t="shared" ref="BD202" si="1582">IF(ISERROR(BD193/BC193),"n.a.",BD193/BC193-1)</f>
        <v>n.a.</v>
      </c>
      <c r="BE202" s="50" t="str">
        <f t="shared" ref="BE202" si="1583">IF(ISERROR(BE193/BD193),"n.a.",BE193/BD193-1)</f>
        <v>n.a.</v>
      </c>
      <c r="BF202" s="50" t="str">
        <f t="shared" ref="BF202" si="1584">IF(ISERROR(BF193/BE193),"n.a.",BF193/BE193-1)</f>
        <v>n.a.</v>
      </c>
      <c r="BG202" s="50" t="str">
        <f t="shared" ref="BG202" si="1585">IF(ISERROR(BG193/BF193),"n.a.",BG193/BF193-1)</f>
        <v>n.a.</v>
      </c>
      <c r="BH202" s="50" t="str">
        <f t="shared" ref="BH202:BM202" si="1586">IF(ISERROR(BH193/BG193),"n.a.",BH193/BG193-1)</f>
        <v>n.a.</v>
      </c>
      <c r="BI202" s="51" t="str">
        <f t="shared" si="1586"/>
        <v>n.a.</v>
      </c>
      <c r="BJ202" s="50" t="str">
        <f t="shared" si="1586"/>
        <v>n.a.</v>
      </c>
      <c r="BK202" s="50" t="str">
        <f t="shared" si="1586"/>
        <v>n.a.</v>
      </c>
      <c r="BL202" s="50" t="str">
        <f t="shared" si="1586"/>
        <v>n.a.</v>
      </c>
      <c r="BM202" s="50" t="str">
        <f t="shared" si="1586"/>
        <v>n.a.</v>
      </c>
      <c r="BN202" s="50" t="str">
        <f>IF(ISERROR(BN193/BM193),"n.a.",BN193/BM193-1)</f>
        <v>n.a.</v>
      </c>
    </row>
    <row r="203" spans="1:66" ht="12" customHeight="1" outlineLevel="1">
      <c r="B203" s="1" t="s">
        <v>61</v>
      </c>
      <c r="C203" s="50" t="str">
        <f>IF(ISERROR(C196/B196),"n.a.",C196/B196-1)</f>
        <v>n.a.</v>
      </c>
      <c r="D203" s="50" t="str">
        <f>IF(ISERROR(D196/C196),"n.a.",D196/C196-1)</f>
        <v>n.a.</v>
      </c>
      <c r="E203" s="50" t="str">
        <f t="shared" ref="E203:M203" si="1587">IF(ISERROR(E196/D196),"n.a.",E196/D196-1)</f>
        <v>n.a.</v>
      </c>
      <c r="F203" s="50" t="str">
        <f t="shared" si="1587"/>
        <v>n.a.</v>
      </c>
      <c r="G203" s="50" t="str">
        <f t="shared" si="1587"/>
        <v>n.a.</v>
      </c>
      <c r="H203" s="50" t="str">
        <f t="shared" si="1587"/>
        <v>n.a.</v>
      </c>
      <c r="I203" s="50" t="str">
        <f t="shared" si="1587"/>
        <v>n.a.</v>
      </c>
      <c r="J203" s="50" t="str">
        <f t="shared" si="1587"/>
        <v>n.a.</v>
      </c>
      <c r="K203" s="50" t="str">
        <f t="shared" si="1587"/>
        <v>n.a.</v>
      </c>
      <c r="L203" s="50" t="str">
        <f t="shared" si="1587"/>
        <v>n.a.</v>
      </c>
      <c r="M203" s="69" t="str">
        <f t="shared" si="1587"/>
        <v>n.a.</v>
      </c>
      <c r="N203" s="69" t="str">
        <f t="shared" ref="N203" si="1588">IF(ISERROR(N196/M196),"n.a.",N196/M196-1)</f>
        <v>n.a.</v>
      </c>
      <c r="O203" s="69" t="str">
        <f t="shared" ref="O203:AI203" si="1589">IF(ISERROR(O196/N196),"n.a.",O196/N196-1)</f>
        <v>n.a.</v>
      </c>
      <c r="P203" s="69" t="str">
        <f t="shared" si="1589"/>
        <v>n.a.</v>
      </c>
      <c r="Q203" s="69" t="str">
        <f t="shared" si="1589"/>
        <v>n.a.</v>
      </c>
      <c r="R203" s="69" t="str">
        <f t="shared" si="1589"/>
        <v>n.a.</v>
      </c>
      <c r="S203" s="69" t="str">
        <f t="shared" si="1589"/>
        <v>n.a.</v>
      </c>
      <c r="T203" s="69" t="str">
        <f t="shared" si="1589"/>
        <v>n.a.</v>
      </c>
      <c r="U203" s="69" t="str">
        <f t="shared" si="1589"/>
        <v>n.a.</v>
      </c>
      <c r="V203" s="69" t="str">
        <f t="shared" si="1589"/>
        <v>n.a.</v>
      </c>
      <c r="W203" s="69" t="str">
        <f t="shared" si="1589"/>
        <v>n.a.</v>
      </c>
      <c r="X203" s="69" t="str">
        <f t="shared" si="1589"/>
        <v>n.a.</v>
      </c>
      <c r="Y203" s="69" t="str">
        <f t="shared" si="1589"/>
        <v>n.a.</v>
      </c>
      <c r="Z203" s="69" t="str">
        <f t="shared" si="1589"/>
        <v>n.a.</v>
      </c>
      <c r="AA203" s="69" t="str">
        <f t="shared" si="1589"/>
        <v>n.a.</v>
      </c>
      <c r="AB203" s="69" t="str">
        <f t="shared" si="1589"/>
        <v>n.a.</v>
      </c>
      <c r="AC203" s="69" t="str">
        <f t="shared" si="1589"/>
        <v>n.a.</v>
      </c>
      <c r="AD203" s="69" t="str">
        <f t="shared" si="1589"/>
        <v>n.a.</v>
      </c>
      <c r="AE203" s="69" t="str">
        <f t="shared" si="1589"/>
        <v>n.a.</v>
      </c>
      <c r="AF203" s="69" t="str">
        <f t="shared" si="1589"/>
        <v>n.a.</v>
      </c>
      <c r="AG203" s="69" t="str">
        <f t="shared" si="1589"/>
        <v>n.a.</v>
      </c>
      <c r="AH203" s="69" t="str">
        <f t="shared" si="1589"/>
        <v>n.a.</v>
      </c>
      <c r="AI203" s="89" t="str">
        <f t="shared" si="1589"/>
        <v>n.a.</v>
      </c>
      <c r="AJ203" s="56">
        <v>0.03</v>
      </c>
      <c r="AK203" s="56">
        <v>0.03</v>
      </c>
      <c r="AL203" s="56">
        <v>0.03</v>
      </c>
      <c r="AM203" s="56">
        <v>0.03</v>
      </c>
      <c r="AN203" s="56">
        <v>0.03</v>
      </c>
      <c r="AO203" s="56">
        <v>0.03</v>
      </c>
      <c r="AP203" s="56">
        <v>0.03</v>
      </c>
      <c r="AQ203" s="56">
        <v>0.03</v>
      </c>
      <c r="AR203" s="56">
        <v>0.03</v>
      </c>
      <c r="AS203" s="8"/>
      <c r="AT203" s="50" t="str">
        <f>IF(ISERROR(AT196/T196),"n.a.",AT196/T196-1)</f>
        <v>n.a.</v>
      </c>
      <c r="AU203" s="50" t="str">
        <f>IF(ISERROR(AU196/AT196),"n.a.",AU196/AT196-1)</f>
        <v>n.a.</v>
      </c>
      <c r="AV203" s="50" t="str">
        <f>IF(ISERROR(AV196/AU196),"n.a.",AV196/AU196-1)</f>
        <v>n.a.</v>
      </c>
      <c r="AW203" s="50" t="str">
        <f>IF(ISERROR(AW196/AV196),"n.a.",AW196/AV196-1)</f>
        <v>n.a.</v>
      </c>
      <c r="AX203" s="50" t="str">
        <f t="shared" ref="AX203:BB203" si="1590">IF(ISERROR(AX196/AW196),"n.a.",AX196/AW196-1)</f>
        <v>n.a.</v>
      </c>
      <c r="AY203" s="50" t="str">
        <f t="shared" si="1590"/>
        <v>n.a.</v>
      </c>
      <c r="AZ203" s="50" t="str">
        <f t="shared" si="1590"/>
        <v>n.a.</v>
      </c>
      <c r="BA203" s="50" t="str">
        <f t="shared" si="1590"/>
        <v>n.a.</v>
      </c>
      <c r="BB203" s="50" t="str">
        <f t="shared" si="1590"/>
        <v>n.a.</v>
      </c>
      <c r="BC203" s="50" t="str">
        <f t="shared" ref="BC203" si="1591">IF(ISERROR(BC196/BB196),"n.a.",BC196/BB196-1)</f>
        <v>n.a.</v>
      </c>
      <c r="BD203" s="50" t="str">
        <f t="shared" ref="BD203" si="1592">IF(ISERROR(BD196/BC196),"n.a.",BD196/BC196-1)</f>
        <v>n.a.</v>
      </c>
      <c r="BE203" s="50" t="str">
        <f t="shared" ref="BE203" si="1593">IF(ISERROR(BE196/BD196),"n.a.",BE196/BD196-1)</f>
        <v>n.a.</v>
      </c>
      <c r="BF203" s="50" t="str">
        <f t="shared" ref="BF203" si="1594">IF(ISERROR(BF196/BE196),"n.a.",BF196/BE196-1)</f>
        <v>n.a.</v>
      </c>
      <c r="BG203" s="50" t="str">
        <f t="shared" ref="BG203" si="1595">IF(ISERROR(BG196/BF196),"n.a.",BG196/BF196-1)</f>
        <v>n.a.</v>
      </c>
      <c r="BH203" s="50" t="str">
        <f t="shared" ref="BH203:BM203" si="1596">IF(ISERROR(BH196/BG196),"n.a.",BH196/BG196-1)</f>
        <v>n.a.</v>
      </c>
      <c r="BI203" s="51" t="str">
        <f t="shared" si="1596"/>
        <v>n.a.</v>
      </c>
      <c r="BJ203" s="50" t="str">
        <f t="shared" si="1596"/>
        <v>n.a.</v>
      </c>
      <c r="BK203" s="50" t="str">
        <f t="shared" si="1596"/>
        <v>n.a.</v>
      </c>
      <c r="BL203" s="50" t="str">
        <f t="shared" si="1596"/>
        <v>n.a.</v>
      </c>
      <c r="BM203" s="50" t="str">
        <f t="shared" si="1596"/>
        <v>n.a.</v>
      </c>
      <c r="BN203" s="50" t="str">
        <f>IF(ISERROR(BN196/BM196),"n.a.",BN196/BM196-1)</f>
        <v>n.a.</v>
      </c>
    </row>
    <row r="204" spans="1:66" ht="12" customHeight="1" outlineLevel="1">
      <c r="B204" s="1" t="s">
        <v>75</v>
      </c>
      <c r="C204" s="37" t="str">
        <f t="shared" ref="C204:I204" si="1597">IF(ISERROR(C159/AVERAGE(B193:C193)),"n.a.",C159*C$5/AVERAGE(B193:C193))</f>
        <v>n.a.</v>
      </c>
      <c r="D204" s="37" t="str">
        <f t="shared" si="1597"/>
        <v>n.a.</v>
      </c>
      <c r="E204" s="37" t="str">
        <f t="shared" si="1597"/>
        <v>n.a.</v>
      </c>
      <c r="F204" s="37" t="str">
        <f t="shared" si="1597"/>
        <v>n.a.</v>
      </c>
      <c r="G204" s="37" t="str">
        <f t="shared" si="1597"/>
        <v>n.a.</v>
      </c>
      <c r="H204" s="37" t="str">
        <f t="shared" si="1597"/>
        <v>n.a.</v>
      </c>
      <c r="I204" s="37" t="str">
        <f t="shared" si="1597"/>
        <v>n.a.</v>
      </c>
      <c r="J204" s="37" t="str">
        <f t="shared" ref="J204:AI204" si="1598">IF(ISERROR(J159/AVERAGE(I193:J193)),"n.a.",J159*J$5/AVERAGE(I193:J193))</f>
        <v>n.a.</v>
      </c>
      <c r="K204" s="37" t="str">
        <f t="shared" si="1598"/>
        <v>n.a.</v>
      </c>
      <c r="L204" s="37" t="str">
        <f t="shared" si="1598"/>
        <v>n.a.</v>
      </c>
      <c r="M204" s="78" t="str">
        <f t="shared" si="1598"/>
        <v>n.a.</v>
      </c>
      <c r="N204" s="78" t="str">
        <f t="shared" si="1598"/>
        <v>n.a.</v>
      </c>
      <c r="O204" s="78" t="str">
        <f t="shared" si="1598"/>
        <v>n.a.</v>
      </c>
      <c r="P204" s="78" t="str">
        <f t="shared" si="1598"/>
        <v>n.a.</v>
      </c>
      <c r="Q204" s="78" t="str">
        <f t="shared" si="1598"/>
        <v>n.a.</v>
      </c>
      <c r="R204" s="78" t="str">
        <f t="shared" si="1598"/>
        <v>n.a.</v>
      </c>
      <c r="S204" s="78" t="str">
        <f t="shared" si="1598"/>
        <v>n.a.</v>
      </c>
      <c r="T204" s="78" t="str">
        <f t="shared" si="1598"/>
        <v>n.a.</v>
      </c>
      <c r="U204" s="78" t="str">
        <f t="shared" si="1598"/>
        <v>n.a.</v>
      </c>
      <c r="V204" s="78" t="str">
        <f t="shared" si="1598"/>
        <v>n.a.</v>
      </c>
      <c r="W204" s="78" t="str">
        <f t="shared" si="1598"/>
        <v>n.a.</v>
      </c>
      <c r="X204" s="78" t="str">
        <f t="shared" si="1598"/>
        <v>n.a.</v>
      </c>
      <c r="Y204" s="78" t="str">
        <f t="shared" si="1598"/>
        <v>n.a.</v>
      </c>
      <c r="Z204" s="78" t="str">
        <f t="shared" si="1598"/>
        <v>n.a.</v>
      </c>
      <c r="AA204" s="78" t="str">
        <f t="shared" si="1598"/>
        <v>n.a.</v>
      </c>
      <c r="AB204" s="78" t="str">
        <f t="shared" si="1598"/>
        <v>n.a.</v>
      </c>
      <c r="AC204" s="78" t="str">
        <f t="shared" si="1598"/>
        <v>n.a.</v>
      </c>
      <c r="AD204" s="78" t="str">
        <f t="shared" si="1598"/>
        <v>n.a.</v>
      </c>
      <c r="AE204" s="78" t="str">
        <f t="shared" si="1598"/>
        <v>n.a.</v>
      </c>
      <c r="AF204" s="78" t="str">
        <f t="shared" si="1598"/>
        <v>n.a.</v>
      </c>
      <c r="AG204" s="78" t="str">
        <f t="shared" si="1598"/>
        <v>n.a.</v>
      </c>
      <c r="AH204" s="78" t="str">
        <f t="shared" si="1598"/>
        <v>n.a.</v>
      </c>
      <c r="AI204" s="88" t="str">
        <f t="shared" si="1598"/>
        <v>n.a.</v>
      </c>
      <c r="AJ204" s="77" t="str">
        <f t="shared" ref="AJ204:AJ205" si="1599">AI204</f>
        <v>n.a.</v>
      </c>
      <c r="AK204" s="77" t="str">
        <f t="shared" ref="AK204:AK205" si="1600">AJ204</f>
        <v>n.a.</v>
      </c>
      <c r="AL204" s="77" t="str">
        <f t="shared" ref="AL204:AL205" si="1601">AK204</f>
        <v>n.a.</v>
      </c>
      <c r="AM204" s="77" t="str">
        <f t="shared" ref="AM204:AM205" si="1602">AL204</f>
        <v>n.a.</v>
      </c>
      <c r="AN204" s="77" t="str">
        <f t="shared" ref="AN204:AN205" si="1603">AM204</f>
        <v>n.a.</v>
      </c>
      <c r="AO204" s="77" t="str">
        <f t="shared" ref="AO204:AO205" si="1604">AN204</f>
        <v>n.a.</v>
      </c>
      <c r="AP204" s="77" t="str">
        <f t="shared" ref="AP204:AP205" si="1605">AO204</f>
        <v>n.a.</v>
      </c>
      <c r="AQ204" s="77" t="str">
        <f t="shared" ref="AQ204:AQ205" si="1606">AP204</f>
        <v>n.a.</v>
      </c>
      <c r="AR204" s="77" t="str">
        <f t="shared" ref="AR204:AR205" si="1607">AQ204</f>
        <v>n.a.</v>
      </c>
      <c r="AS204" s="8"/>
      <c r="AT204" s="37" t="str">
        <f>IF(ISERROR(AT159/AVERAGE(T193:AT193)),"n.a.",AT159*AT$5/AVERAGE(T193:AT193))</f>
        <v>n.a.</v>
      </c>
      <c r="AU204" s="37" t="str">
        <f>IF(ISERROR(AU159/AVERAGE(AT193:AU193)),"n.a.",AU159*AU$5/AVERAGE(AT193:AU193))</f>
        <v>n.a.</v>
      </c>
      <c r="AV204" s="37" t="str">
        <f>IF(ISERROR(AV159/AVERAGE(AU193:AV193)),"n.a.",AV159*AV$5/AVERAGE(AU193:AV193))</f>
        <v>n.a.</v>
      </c>
      <c r="AW204" s="37" t="str">
        <f>IF(ISERROR(AW159/AVERAGE(AV193:AW193)),"n.a.",AW159*AW$5/AVERAGE(AV193:AW193))</f>
        <v>n.a.</v>
      </c>
      <c r="AX204" s="37" t="str">
        <f t="shared" ref="AX204:BB204" si="1608">IF(ISERROR(AX159/AVERAGE(AW193:AX193)),"n.a.",AX159*AX$5/AVERAGE(AW193:AX193))</f>
        <v>n.a.</v>
      </c>
      <c r="AY204" s="37" t="str">
        <f t="shared" si="1608"/>
        <v>n.a.</v>
      </c>
      <c r="AZ204" s="37" t="str">
        <f t="shared" si="1608"/>
        <v>n.a.</v>
      </c>
      <c r="BA204" s="37" t="str">
        <f t="shared" si="1608"/>
        <v>n.a.</v>
      </c>
      <c r="BB204" s="37" t="str">
        <f t="shared" si="1608"/>
        <v>n.a.</v>
      </c>
      <c r="BC204" s="37" t="str">
        <f t="shared" ref="BC204" si="1609">IF(ISERROR(BC159/AVERAGE(BB193:BC193)),"n.a.",BC159*BC$5/AVERAGE(BB193:BC193))</f>
        <v>n.a.</v>
      </c>
      <c r="BD204" s="37" t="str">
        <f t="shared" ref="BD204" si="1610">IF(ISERROR(BD159/AVERAGE(BC193:BD193)),"n.a.",BD159*BD$5/AVERAGE(BC193:BD193))</f>
        <v>n.a.</v>
      </c>
      <c r="BE204" s="37" t="str">
        <f t="shared" ref="BE204" si="1611">IF(ISERROR(BE159/AVERAGE(BD193:BE193)),"n.a.",BE159*BE$5/AVERAGE(BD193:BE193))</f>
        <v>n.a.</v>
      </c>
      <c r="BF204" s="37" t="str">
        <f t="shared" ref="BF204" si="1612">IF(ISERROR(BF159/AVERAGE(BE193:BF193)),"n.a.",BF159*BF$5/AVERAGE(BE193:BF193))</f>
        <v>n.a.</v>
      </c>
      <c r="BG204" s="37" t="str">
        <f t="shared" ref="BG204" si="1613">IF(ISERROR(BG159/AVERAGE(BF193:BG193)),"n.a.",BG159*BG$5/AVERAGE(BF193:BG193))</f>
        <v>n.a.</v>
      </c>
      <c r="BH204" s="37" t="str">
        <f t="shared" ref="BH204:BJ204" si="1614">IF(ISERROR(BH159/AVERAGE(BG193:BH193)),"n.a.",BH159*BH$5/AVERAGE(BG193:BH193))</f>
        <v>n.a.</v>
      </c>
      <c r="BI204" s="38" t="str">
        <f t="shared" si="1614"/>
        <v>n.a.</v>
      </c>
      <c r="BJ204" s="37" t="str">
        <f t="shared" si="1614"/>
        <v>n.a.</v>
      </c>
      <c r="BK204" s="37" t="str">
        <f>IF(ISERROR(BK159/AVERAGE(BK193:BK193)),"n.a.",BK159*BK$5/AVERAGE(BK193:BK193))</f>
        <v>n.a.</v>
      </c>
      <c r="BL204" s="37" t="str">
        <f>IF(ISERROR(BL159/AVERAGE(BL193:BL193)),"n.a.",BL159*BL$5/AVERAGE(BL193:BL193))</f>
        <v>n.a.</v>
      </c>
      <c r="BM204" s="37" t="str">
        <f>IF(ISERROR(BM159/AVERAGE(BM193:BM193)),"n.a.",BM159*BM$5/AVERAGE(BM193:BM193))</f>
        <v>n.a.</v>
      </c>
      <c r="BN204" s="37" t="str">
        <f>IF(ISERROR(BN159/AVERAGE(BN193:BN193)),"n.a.",BN159*BO$5/AVERAGE(BN193:BN193))</f>
        <v>n.a.</v>
      </c>
    </row>
    <row r="205" spans="1:66" ht="12" customHeight="1" outlineLevel="1">
      <c r="B205" s="1" t="s">
        <v>76</v>
      </c>
      <c r="C205" s="37" t="str">
        <f>IF(ISERROR(C160/AVERAGE(B196:C196)),"n.a.",C160*C$5/AVERAGE(B196:C196))</f>
        <v>n.a.</v>
      </c>
      <c r="D205" s="37" t="str">
        <f>IF(ISERROR(D160/AVERAGE(C196:D196)),"n.a.",D160*D$5/AVERAGE(C196:D196))</f>
        <v>n.a.</v>
      </c>
      <c r="E205" s="37" t="str">
        <f t="shared" ref="E205:I205" si="1615">IF(ISERROR(E160/AVERAGE(D196:E196)),"n.a.",E160*E$5/AVERAGE(D196:E196))</f>
        <v>n.a.</v>
      </c>
      <c r="F205" s="37" t="str">
        <f t="shared" si="1615"/>
        <v>n.a.</v>
      </c>
      <c r="G205" s="37" t="str">
        <f t="shared" si="1615"/>
        <v>n.a.</v>
      </c>
      <c r="H205" s="37" t="str">
        <f t="shared" si="1615"/>
        <v>n.a.</v>
      </c>
      <c r="I205" s="37" t="str">
        <f t="shared" si="1615"/>
        <v>n.a.</v>
      </c>
      <c r="J205" s="37" t="str">
        <f t="shared" ref="J205:AI205" si="1616">IF(ISERROR(J160/AVERAGE(I196:J196)),"n.a.",J160*J$5/AVERAGE(I196:J196))</f>
        <v>n.a.</v>
      </c>
      <c r="K205" s="37" t="str">
        <f t="shared" si="1616"/>
        <v>n.a.</v>
      </c>
      <c r="L205" s="37" t="str">
        <f t="shared" si="1616"/>
        <v>n.a.</v>
      </c>
      <c r="M205" s="78" t="str">
        <f t="shared" si="1616"/>
        <v>n.a.</v>
      </c>
      <c r="N205" s="78" t="str">
        <f t="shared" si="1616"/>
        <v>n.a.</v>
      </c>
      <c r="O205" s="78" t="str">
        <f t="shared" si="1616"/>
        <v>n.a.</v>
      </c>
      <c r="P205" s="78" t="str">
        <f t="shared" si="1616"/>
        <v>n.a.</v>
      </c>
      <c r="Q205" s="78" t="str">
        <f t="shared" si="1616"/>
        <v>n.a.</v>
      </c>
      <c r="R205" s="78" t="str">
        <f t="shared" si="1616"/>
        <v>n.a.</v>
      </c>
      <c r="S205" s="78" t="str">
        <f t="shared" si="1616"/>
        <v>n.a.</v>
      </c>
      <c r="T205" s="78" t="str">
        <f t="shared" si="1616"/>
        <v>n.a.</v>
      </c>
      <c r="U205" s="78" t="str">
        <f t="shared" si="1616"/>
        <v>n.a.</v>
      </c>
      <c r="V205" s="78" t="str">
        <f t="shared" si="1616"/>
        <v>n.a.</v>
      </c>
      <c r="W205" s="78" t="str">
        <f t="shared" si="1616"/>
        <v>n.a.</v>
      </c>
      <c r="X205" s="78" t="str">
        <f t="shared" si="1616"/>
        <v>n.a.</v>
      </c>
      <c r="Y205" s="78" t="str">
        <f t="shared" si="1616"/>
        <v>n.a.</v>
      </c>
      <c r="Z205" s="78" t="str">
        <f t="shared" si="1616"/>
        <v>n.a.</v>
      </c>
      <c r="AA205" s="78" t="str">
        <f t="shared" si="1616"/>
        <v>n.a.</v>
      </c>
      <c r="AB205" s="78" t="str">
        <f t="shared" si="1616"/>
        <v>n.a.</v>
      </c>
      <c r="AC205" s="78" t="str">
        <f t="shared" si="1616"/>
        <v>n.a.</v>
      </c>
      <c r="AD205" s="78" t="str">
        <f t="shared" si="1616"/>
        <v>n.a.</v>
      </c>
      <c r="AE205" s="78" t="str">
        <f t="shared" si="1616"/>
        <v>n.a.</v>
      </c>
      <c r="AF205" s="78" t="str">
        <f t="shared" si="1616"/>
        <v>n.a.</v>
      </c>
      <c r="AG205" s="78" t="str">
        <f t="shared" si="1616"/>
        <v>n.a.</v>
      </c>
      <c r="AH205" s="78" t="str">
        <f t="shared" si="1616"/>
        <v>n.a.</v>
      </c>
      <c r="AI205" s="88" t="str">
        <f t="shared" si="1616"/>
        <v>n.a.</v>
      </c>
      <c r="AJ205" s="77" t="str">
        <f t="shared" si="1599"/>
        <v>n.a.</v>
      </c>
      <c r="AK205" s="77" t="str">
        <f t="shared" si="1600"/>
        <v>n.a.</v>
      </c>
      <c r="AL205" s="77" t="str">
        <f t="shared" si="1601"/>
        <v>n.a.</v>
      </c>
      <c r="AM205" s="77" t="str">
        <f t="shared" si="1602"/>
        <v>n.a.</v>
      </c>
      <c r="AN205" s="77" t="str">
        <f t="shared" si="1603"/>
        <v>n.a.</v>
      </c>
      <c r="AO205" s="77" t="str">
        <f t="shared" si="1604"/>
        <v>n.a.</v>
      </c>
      <c r="AP205" s="77" t="str">
        <f t="shared" si="1605"/>
        <v>n.a.</v>
      </c>
      <c r="AQ205" s="77" t="str">
        <f t="shared" si="1606"/>
        <v>n.a.</v>
      </c>
      <c r="AR205" s="77" t="str">
        <f t="shared" si="1607"/>
        <v>n.a.</v>
      </c>
      <c r="AS205" s="8"/>
      <c r="AT205" s="37" t="str">
        <f>IF(ISERROR(AT160/AVERAGE(T196:AT196)),"n.a.",AT160*AT$5/AVERAGE(T196:AT196))</f>
        <v>n.a.</v>
      </c>
      <c r="AU205" s="37" t="str">
        <f>IF(ISERROR(AU160/AVERAGE(AT196:AU196)),"n.a.",AU160*AU$5/AVERAGE(AT196:AU196))</f>
        <v>n.a.</v>
      </c>
      <c r="AV205" s="37" t="str">
        <f>IF(ISERROR(AV160/AVERAGE(AU196:AV196)),"n.a.",AV160*AV$5/AVERAGE(AU196:AV196))</f>
        <v>n.a.</v>
      </c>
      <c r="AW205" s="37" t="str">
        <f>IF(ISERROR(AW160/AVERAGE(AV196:AW196)),"n.a.",AW160*AW$5/AVERAGE(AV196:AW196))</f>
        <v>n.a.</v>
      </c>
      <c r="AX205" s="37" t="str">
        <f t="shared" ref="AX205:BB205" si="1617">IF(ISERROR(AX160/AVERAGE(AW196:AX196)),"n.a.",AX160*AX$5/AVERAGE(AW196:AX196))</f>
        <v>n.a.</v>
      </c>
      <c r="AY205" s="37" t="str">
        <f t="shared" si="1617"/>
        <v>n.a.</v>
      </c>
      <c r="AZ205" s="37" t="str">
        <f t="shared" si="1617"/>
        <v>n.a.</v>
      </c>
      <c r="BA205" s="37" t="str">
        <f t="shared" si="1617"/>
        <v>n.a.</v>
      </c>
      <c r="BB205" s="37" t="str">
        <f t="shared" si="1617"/>
        <v>n.a.</v>
      </c>
      <c r="BC205" s="37" t="str">
        <f t="shared" ref="BC205" si="1618">IF(ISERROR(BC160/AVERAGE(BB196:BC196)),"n.a.",BC160*BC$5/AVERAGE(BB196:BC196))</f>
        <v>n.a.</v>
      </c>
      <c r="BD205" s="37" t="str">
        <f t="shared" ref="BD205" si="1619">IF(ISERROR(BD160/AVERAGE(BC196:BD196)),"n.a.",BD160*BD$5/AVERAGE(BC196:BD196))</f>
        <v>n.a.</v>
      </c>
      <c r="BE205" s="37" t="str">
        <f t="shared" ref="BE205" si="1620">IF(ISERROR(BE160/AVERAGE(BD196:BE196)),"n.a.",BE160*BE$5/AVERAGE(BD196:BE196))</f>
        <v>n.a.</v>
      </c>
      <c r="BF205" s="37" t="str">
        <f t="shared" ref="BF205" si="1621">IF(ISERROR(BF160/AVERAGE(BE196:BF196)),"n.a.",BF160*BF$5/AVERAGE(BE196:BF196))</f>
        <v>n.a.</v>
      </c>
      <c r="BG205" s="37" t="str">
        <f t="shared" ref="BG205" si="1622">IF(ISERROR(BG160/AVERAGE(BF196:BG196)),"n.a.",BG160*BG$5/AVERAGE(BF196:BG196))</f>
        <v>n.a.</v>
      </c>
      <c r="BH205" s="37" t="str">
        <f t="shared" ref="BH205:BJ205" si="1623">IF(ISERROR(BH160/AVERAGE(BG196:BH196)),"n.a.",BH160*BH$5/AVERAGE(BG196:BH196))</f>
        <v>n.a.</v>
      </c>
      <c r="BI205" s="38" t="str">
        <f t="shared" si="1623"/>
        <v>n.a.</v>
      </c>
      <c r="BJ205" s="37" t="str">
        <f t="shared" si="1623"/>
        <v>n.a.</v>
      </c>
      <c r="BK205" s="37" t="str">
        <f>IF(ISERROR(BK160/AVERAGE(BK196:BK196)),"n.a.",BK160*BK$5/AVERAGE(BK196:BK196))</f>
        <v>n.a.</v>
      </c>
      <c r="BL205" s="37" t="str">
        <f>IF(ISERROR(BL160/AVERAGE(BL196:BL196)),"n.a.",BL160*BL$5/AVERAGE(BL196:BL196))</f>
        <v>n.a.</v>
      </c>
      <c r="BM205" s="37" t="str">
        <f>IF(ISERROR(BM160/AVERAGE(BM196:BM196)),"n.a.",BM160*BM$5/AVERAGE(BM196:BM196))</f>
        <v>n.a.</v>
      </c>
      <c r="BN205" s="37" t="str">
        <f>IF(ISERROR(BN160/AVERAGE(BN196:BN196)),"n.a.",BN160*BO$5/AVERAGE(BN196:BN196))</f>
        <v>n.a.</v>
      </c>
    </row>
    <row r="206" spans="1:66" ht="12" customHeight="1" outlineLevel="1">
      <c r="B206" s="1" t="s">
        <v>62</v>
      </c>
      <c r="C206" s="50" t="str">
        <f t="shared" ref="C206:AI206" si="1624">IF(ISERROR(C163/B163),"n.a.",C163/B163-1)</f>
        <v>n.a.</v>
      </c>
      <c r="D206" s="50" t="str">
        <f t="shared" si="1624"/>
        <v>n.a.</v>
      </c>
      <c r="E206" s="50" t="str">
        <f t="shared" si="1624"/>
        <v>n.a.</v>
      </c>
      <c r="F206" s="50" t="str">
        <f t="shared" si="1624"/>
        <v>n.a.</v>
      </c>
      <c r="G206" s="50" t="str">
        <f t="shared" si="1624"/>
        <v>n.a.</v>
      </c>
      <c r="H206" s="50" t="str">
        <f t="shared" si="1624"/>
        <v>n.a.</v>
      </c>
      <c r="I206" s="50" t="str">
        <f t="shared" si="1624"/>
        <v>n.a.</v>
      </c>
      <c r="J206" s="50" t="str">
        <f t="shared" si="1624"/>
        <v>n.a.</v>
      </c>
      <c r="K206" s="50" t="str">
        <f t="shared" si="1624"/>
        <v>n.a.</v>
      </c>
      <c r="L206" s="50" t="str">
        <f t="shared" si="1624"/>
        <v>n.a.</v>
      </c>
      <c r="M206" s="69" t="str">
        <f t="shared" si="1624"/>
        <v>n.a.</v>
      </c>
      <c r="N206" s="69" t="str">
        <f t="shared" si="1624"/>
        <v>n.a.</v>
      </c>
      <c r="O206" s="69" t="str">
        <f t="shared" si="1624"/>
        <v>n.a.</v>
      </c>
      <c r="P206" s="69" t="str">
        <f t="shared" si="1624"/>
        <v>n.a.</v>
      </c>
      <c r="Q206" s="69" t="str">
        <f t="shared" si="1624"/>
        <v>n.a.</v>
      </c>
      <c r="R206" s="69" t="str">
        <f t="shared" si="1624"/>
        <v>n.a.</v>
      </c>
      <c r="S206" s="69" t="str">
        <f t="shared" si="1624"/>
        <v>n.a.</v>
      </c>
      <c r="T206" s="69" t="str">
        <f t="shared" si="1624"/>
        <v>n.a.</v>
      </c>
      <c r="U206" s="69" t="str">
        <f t="shared" si="1624"/>
        <v>n.a.</v>
      </c>
      <c r="V206" s="69" t="str">
        <f t="shared" si="1624"/>
        <v>n.a.</v>
      </c>
      <c r="W206" s="69" t="str">
        <f t="shared" si="1624"/>
        <v>n.a.</v>
      </c>
      <c r="X206" s="69" t="str">
        <f t="shared" si="1624"/>
        <v>n.a.</v>
      </c>
      <c r="Y206" s="69" t="str">
        <f t="shared" si="1624"/>
        <v>n.a.</v>
      </c>
      <c r="Z206" s="69" t="str">
        <f t="shared" si="1624"/>
        <v>n.a.</v>
      </c>
      <c r="AA206" s="69" t="str">
        <f t="shared" si="1624"/>
        <v>n.a.</v>
      </c>
      <c r="AB206" s="69" t="str">
        <f t="shared" si="1624"/>
        <v>n.a.</v>
      </c>
      <c r="AC206" s="69" t="str">
        <f t="shared" si="1624"/>
        <v>n.a.</v>
      </c>
      <c r="AD206" s="69" t="str">
        <f t="shared" si="1624"/>
        <v>n.a.</v>
      </c>
      <c r="AE206" s="69" t="str">
        <f t="shared" si="1624"/>
        <v>n.a.</v>
      </c>
      <c r="AF206" s="69" t="str">
        <f t="shared" si="1624"/>
        <v>n.a.</v>
      </c>
      <c r="AG206" s="69" t="str">
        <f t="shared" si="1624"/>
        <v>n.a.</v>
      </c>
      <c r="AH206" s="69" t="str">
        <f t="shared" si="1624"/>
        <v>n.a.</v>
      </c>
      <c r="AI206" s="89" t="str">
        <f t="shared" si="1624"/>
        <v>n.a.</v>
      </c>
      <c r="AJ206" s="56">
        <v>0.05</v>
      </c>
      <c r="AK206" s="56">
        <v>0.05</v>
      </c>
      <c r="AL206" s="56">
        <v>0.05</v>
      </c>
      <c r="AM206" s="56">
        <v>0.05</v>
      </c>
      <c r="AN206" s="56">
        <v>0.05</v>
      </c>
      <c r="AO206" s="56">
        <v>0.05</v>
      </c>
      <c r="AP206" s="56">
        <v>0.05</v>
      </c>
      <c r="AQ206" s="56">
        <v>0.05</v>
      </c>
      <c r="AR206" s="56">
        <v>0.05</v>
      </c>
      <c r="AS206" s="8"/>
      <c r="AT206" s="50" t="str">
        <f>IF(ISERROR(AT163/T163),"n.a.",AT163/T163-1)</f>
        <v>n.a.</v>
      </c>
      <c r="AU206" s="50" t="str">
        <f t="shared" ref="AU206:BM206" si="1625">IF(ISERROR(AU163/AT163),"n.a.",AU163/AT163-1)</f>
        <v>n.a.</v>
      </c>
      <c r="AV206" s="50" t="str">
        <f t="shared" si="1625"/>
        <v>n.a.</v>
      </c>
      <c r="AW206" s="50" t="str">
        <f t="shared" si="1625"/>
        <v>n.a.</v>
      </c>
      <c r="AX206" s="50" t="str">
        <f t="shared" si="1625"/>
        <v>n.a.</v>
      </c>
      <c r="AY206" s="50" t="str">
        <f t="shared" si="1625"/>
        <v>n.a.</v>
      </c>
      <c r="AZ206" s="50" t="str">
        <f t="shared" si="1625"/>
        <v>n.a.</v>
      </c>
      <c r="BA206" s="50" t="str">
        <f t="shared" si="1625"/>
        <v>n.a.</v>
      </c>
      <c r="BB206" s="50" t="str">
        <f t="shared" si="1625"/>
        <v>n.a.</v>
      </c>
      <c r="BC206" s="50" t="str">
        <f t="shared" si="1625"/>
        <v>n.a.</v>
      </c>
      <c r="BD206" s="50" t="str">
        <f t="shared" si="1625"/>
        <v>n.a.</v>
      </c>
      <c r="BE206" s="50" t="str">
        <f t="shared" si="1625"/>
        <v>n.a.</v>
      </c>
      <c r="BF206" s="50" t="str">
        <f t="shared" si="1625"/>
        <v>n.a.</v>
      </c>
      <c r="BG206" s="50" t="str">
        <f t="shared" si="1625"/>
        <v>n.a.</v>
      </c>
      <c r="BH206" s="50" t="str">
        <f t="shared" si="1625"/>
        <v>n.a.</v>
      </c>
      <c r="BI206" s="51" t="str">
        <f t="shared" si="1625"/>
        <v>n.a.</v>
      </c>
      <c r="BJ206" s="50" t="str">
        <f t="shared" si="1625"/>
        <v>n.a.</v>
      </c>
      <c r="BK206" s="50" t="str">
        <f t="shared" si="1625"/>
        <v>n.a.</v>
      </c>
      <c r="BL206" s="50" t="str">
        <f t="shared" si="1625"/>
        <v>n.a.</v>
      </c>
      <c r="BM206" s="50" t="str">
        <f t="shared" si="1625"/>
        <v>n.a.</v>
      </c>
      <c r="BN206" s="50" t="str">
        <f>IF(ISERROR(BN163/BM163),"n.a.",BN163/BM163-1)</f>
        <v>n.a.</v>
      </c>
    </row>
    <row r="207" spans="1:66" ht="12" customHeight="1" outlineLevel="1">
      <c r="B207" s="1" t="s">
        <v>63</v>
      </c>
      <c r="C207" s="50" t="str">
        <f t="shared" ref="C207:AI207" si="1626">IF(ISERROR(C164/B164),"n.a.",C164/B164-1)</f>
        <v>n.a.</v>
      </c>
      <c r="D207" s="50">
        <f t="shared" si="1626"/>
        <v>0.1333333333333333</v>
      </c>
      <c r="E207" s="50">
        <f t="shared" si="1626"/>
        <v>9.243697478991586E-2</v>
      </c>
      <c r="F207" s="50">
        <f t="shared" si="1626"/>
        <v>-2.3076923076923106E-2</v>
      </c>
      <c r="G207" s="50">
        <f t="shared" si="1626"/>
        <v>-7.086614173228345E-2</v>
      </c>
      <c r="H207" s="50">
        <f t="shared" si="1626"/>
        <v>-0.16101694915254239</v>
      </c>
      <c r="I207" s="50">
        <f t="shared" si="1626"/>
        <v>4.0404040404040442E-2</v>
      </c>
      <c r="J207" s="50">
        <f t="shared" si="1626"/>
        <v>7.7669902912621325E-2</v>
      </c>
      <c r="K207" s="50">
        <f t="shared" si="1626"/>
        <v>-4.5045045045045029E-2</v>
      </c>
      <c r="L207" s="50">
        <f t="shared" si="1626"/>
        <v>-0.31132075471698117</v>
      </c>
      <c r="M207" s="69">
        <f t="shared" si="1626"/>
        <v>-0.12328767123287676</v>
      </c>
      <c r="N207" s="69">
        <f t="shared" si="1626"/>
        <v>-9.375E-2</v>
      </c>
      <c r="O207" s="69">
        <f t="shared" si="1626"/>
        <v>-1</v>
      </c>
      <c r="P207" s="69" t="str">
        <f t="shared" si="1626"/>
        <v>n.a.</v>
      </c>
      <c r="Q207" s="69" t="str">
        <f t="shared" si="1626"/>
        <v>n.a.</v>
      </c>
      <c r="R207" s="69" t="str">
        <f t="shared" si="1626"/>
        <v>n.a.</v>
      </c>
      <c r="S207" s="69" t="str">
        <f t="shared" si="1626"/>
        <v>n.a.</v>
      </c>
      <c r="T207" s="69" t="str">
        <f t="shared" si="1626"/>
        <v>n.a.</v>
      </c>
      <c r="U207" s="69" t="str">
        <f t="shared" si="1626"/>
        <v>n.a.</v>
      </c>
      <c r="V207" s="69" t="str">
        <f t="shared" si="1626"/>
        <v>n.a.</v>
      </c>
      <c r="W207" s="69" t="str">
        <f t="shared" si="1626"/>
        <v>n.a.</v>
      </c>
      <c r="X207" s="69" t="str">
        <f t="shared" si="1626"/>
        <v>n.a.</v>
      </c>
      <c r="Y207" s="69" t="str">
        <f t="shared" si="1626"/>
        <v>n.a.</v>
      </c>
      <c r="Z207" s="69" t="str">
        <f t="shared" si="1626"/>
        <v>n.a.</v>
      </c>
      <c r="AA207" s="69" t="str">
        <f t="shared" si="1626"/>
        <v>n.a.</v>
      </c>
      <c r="AB207" s="69" t="str">
        <f t="shared" si="1626"/>
        <v>n.a.</v>
      </c>
      <c r="AC207" s="69" t="str">
        <f t="shared" si="1626"/>
        <v>n.a.</v>
      </c>
      <c r="AD207" s="69" t="str">
        <f t="shared" si="1626"/>
        <v>n.a.</v>
      </c>
      <c r="AE207" s="69" t="str">
        <f t="shared" si="1626"/>
        <v>n.a.</v>
      </c>
      <c r="AF207" s="69" t="str">
        <f t="shared" si="1626"/>
        <v>n.a.</v>
      </c>
      <c r="AG207" s="69" t="str">
        <f t="shared" si="1626"/>
        <v>n.a.</v>
      </c>
      <c r="AH207" s="69" t="str">
        <f t="shared" si="1626"/>
        <v>n.a.</v>
      </c>
      <c r="AI207" s="89" t="str">
        <f t="shared" si="1626"/>
        <v>n.a.</v>
      </c>
      <c r="AJ207" s="337">
        <v>2.5000000000000001E-2</v>
      </c>
      <c r="AK207" s="337">
        <v>2.5000000000000001E-2</v>
      </c>
      <c r="AL207" s="337">
        <v>2.5000000000000001E-2</v>
      </c>
      <c r="AM207" s="337">
        <v>2.5000000000000001E-2</v>
      </c>
      <c r="AN207" s="337">
        <v>2.5000000000000001E-2</v>
      </c>
      <c r="AO207" s="337">
        <v>2.5000000000000001E-2</v>
      </c>
      <c r="AP207" s="337">
        <v>2.5000000000000001E-2</v>
      </c>
      <c r="AQ207" s="337">
        <v>2.5000000000000001E-2</v>
      </c>
      <c r="AR207" s="337">
        <v>2.5000000000000001E-2</v>
      </c>
      <c r="AS207" s="8"/>
      <c r="AT207" s="50" t="str">
        <f>IF(ISERROR(AT164/T164),"n.a.",AT164/T164-1)</f>
        <v>n.a.</v>
      </c>
      <c r="AU207" s="50">
        <f t="shared" ref="AU207:BM207" si="1627">IF(ISERROR(AU164/AT164),"n.a.",AU164/AT164-1)</f>
        <v>0.1473214285714286</v>
      </c>
      <c r="AV207" s="50">
        <f t="shared" si="1627"/>
        <v>-0.1556420233463035</v>
      </c>
      <c r="AW207" s="50">
        <f t="shared" si="1627"/>
        <v>-1.3824884792626779E-2</v>
      </c>
      <c r="AX207" s="50">
        <f t="shared" si="1627"/>
        <v>-0.16355140186915884</v>
      </c>
      <c r="AY207" s="50">
        <f t="shared" si="1627"/>
        <v>-0.31843575418994419</v>
      </c>
      <c r="AZ207" s="50">
        <f t="shared" si="1627"/>
        <v>-1</v>
      </c>
      <c r="BA207" s="50" t="str">
        <f t="shared" si="1627"/>
        <v>n.a.</v>
      </c>
      <c r="BB207" s="50" t="str">
        <f t="shared" si="1627"/>
        <v>n.a.</v>
      </c>
      <c r="BC207" s="50" t="str">
        <f t="shared" si="1627"/>
        <v>n.a.</v>
      </c>
      <c r="BD207" s="50" t="str">
        <f t="shared" si="1627"/>
        <v>n.a.</v>
      </c>
      <c r="BE207" s="50" t="str">
        <f t="shared" si="1627"/>
        <v>n.a.</v>
      </c>
      <c r="BF207" s="50" t="str">
        <f t="shared" si="1627"/>
        <v>n.a.</v>
      </c>
      <c r="BG207" s="50" t="str">
        <f t="shared" si="1627"/>
        <v>n.a.</v>
      </c>
      <c r="BH207" s="50" t="str">
        <f t="shared" si="1627"/>
        <v>n.a.</v>
      </c>
      <c r="BI207" s="51" t="str">
        <f t="shared" si="1627"/>
        <v>n.a.</v>
      </c>
      <c r="BJ207" s="50" t="str">
        <f t="shared" si="1627"/>
        <v>n.a.</v>
      </c>
      <c r="BK207" s="50" t="str">
        <f t="shared" si="1627"/>
        <v>n.a.</v>
      </c>
      <c r="BL207" s="50" t="str">
        <f t="shared" si="1627"/>
        <v>n.a.</v>
      </c>
      <c r="BM207" s="50" t="str">
        <f t="shared" si="1627"/>
        <v>n.a.</v>
      </c>
      <c r="BN207" s="50" t="str">
        <f>IF(ISERROR(BN164/BM164),"n.a.",BN164/BM164-1)</f>
        <v>n.a.</v>
      </c>
    </row>
    <row r="208" spans="1:66" ht="12" customHeight="1" outlineLevel="1">
      <c r="B208" s="1" t="s">
        <v>64</v>
      </c>
      <c r="C208" s="50" t="str">
        <f t="shared" ref="C208:AI208" si="1628">IF(ISERROR(C165/B165),"n.a.",C165/B165-1)</f>
        <v>n.a.</v>
      </c>
      <c r="D208" s="50">
        <f t="shared" si="1628"/>
        <v>-1.3071895424836555E-2</v>
      </c>
      <c r="E208" s="50">
        <f t="shared" si="1628"/>
        <v>0.38410596026490063</v>
      </c>
      <c r="F208" s="50">
        <f t="shared" si="1628"/>
        <v>0.2153110047846889</v>
      </c>
      <c r="G208" s="50">
        <f t="shared" si="1628"/>
        <v>-0.12598425196850394</v>
      </c>
      <c r="H208" s="50">
        <f t="shared" si="1628"/>
        <v>-2.2522522522522515E-2</v>
      </c>
      <c r="I208" s="50">
        <f t="shared" si="1628"/>
        <v>-1.3824884792626779E-2</v>
      </c>
      <c r="J208" s="50">
        <f t="shared" si="1628"/>
        <v>-0.11682242990654201</v>
      </c>
      <c r="K208" s="50">
        <f t="shared" si="1628"/>
        <v>3.1746031746031855E-2</v>
      </c>
      <c r="L208" s="50">
        <f t="shared" si="1628"/>
        <v>-8.7179487179487203E-2</v>
      </c>
      <c r="M208" s="69">
        <f t="shared" si="1628"/>
        <v>7.8651685393258397E-2</v>
      </c>
      <c r="N208" s="69">
        <f t="shared" si="1628"/>
        <v>7.2916666666666741E-2</v>
      </c>
      <c r="O208" s="69">
        <f t="shared" si="1628"/>
        <v>0.36893203883495151</v>
      </c>
      <c r="P208" s="69">
        <f t="shared" si="1628"/>
        <v>-0.13475177304964536</v>
      </c>
      <c r="Q208" s="69">
        <f t="shared" si="1628"/>
        <v>4.9180327868852514E-2</v>
      </c>
      <c r="R208" s="69">
        <f t="shared" si="1628"/>
        <v>-0.15625</v>
      </c>
      <c r="S208" s="69">
        <f t="shared" si="1628"/>
        <v>0.14814814814814814</v>
      </c>
      <c r="T208" s="69">
        <f t="shared" si="1628"/>
        <v>-1.6129032258064502E-2</v>
      </c>
      <c r="U208" s="69">
        <f t="shared" si="1628"/>
        <v>0</v>
      </c>
      <c r="V208" s="69">
        <f t="shared" si="1628"/>
        <v>-4.9180327868852514E-2</v>
      </c>
      <c r="W208" s="69">
        <f t="shared" si="1628"/>
        <v>-2.5862068965517238E-2</v>
      </c>
      <c r="X208" s="69">
        <f t="shared" si="1628"/>
        <v>-3.0973451327433676E-2</v>
      </c>
      <c r="Y208" s="69">
        <f t="shared" si="1628"/>
        <v>-7.3059360730593603E-2</v>
      </c>
      <c r="Z208" s="69">
        <f t="shared" si="1628"/>
        <v>6.4039408866995107E-2</v>
      </c>
      <c r="AA208" s="69">
        <f t="shared" si="1628"/>
        <v>1.8518518518518601E-2</v>
      </c>
      <c r="AB208" s="69">
        <f t="shared" si="1628"/>
        <v>7.7272727272727382E-2</v>
      </c>
      <c r="AC208" s="69">
        <f t="shared" si="1628"/>
        <v>4.2194092827003704E-3</v>
      </c>
      <c r="AD208" s="69">
        <f t="shared" si="1628"/>
        <v>2.5210084033613356E-2</v>
      </c>
      <c r="AE208" s="69">
        <f t="shared" si="1628"/>
        <v>7.7868852459016313E-2</v>
      </c>
      <c r="AF208" s="69">
        <f t="shared" si="1628"/>
        <v>2.6615969581748944E-2</v>
      </c>
      <c r="AG208" s="69">
        <f t="shared" si="1628"/>
        <v>8.1481481481481488E-2</v>
      </c>
      <c r="AH208" s="69">
        <f t="shared" si="1628"/>
        <v>1.3698630136986356E-2</v>
      </c>
      <c r="AI208" s="89">
        <f t="shared" si="1628"/>
        <v>7.0945945945946054E-2</v>
      </c>
      <c r="AJ208" s="337">
        <v>2.4E-2</v>
      </c>
      <c r="AK208" s="337">
        <v>0.03</v>
      </c>
      <c r="AL208" s="337">
        <v>0.03</v>
      </c>
      <c r="AM208" s="337">
        <v>0.03</v>
      </c>
      <c r="AN208" s="337">
        <v>0.03</v>
      </c>
      <c r="AO208" s="337">
        <v>0.03</v>
      </c>
      <c r="AP208" s="337">
        <v>0.03</v>
      </c>
      <c r="AQ208" s="337">
        <v>0.03</v>
      </c>
      <c r="AR208" s="337">
        <v>0.03</v>
      </c>
      <c r="AS208" s="8"/>
      <c r="AT208" s="50">
        <f>IF(ISERROR(AT165/T165),"n.a.",AT165/T165-1)</f>
        <v>0.24590163934426235</v>
      </c>
      <c r="AU208" s="50">
        <f t="shared" ref="AU208:BM208" si="1629">IF(ISERROR(AU165/AT165),"n.a.",AU165/AT165-1)</f>
        <v>0.52302631578947367</v>
      </c>
      <c r="AV208" s="50">
        <f t="shared" si="1629"/>
        <v>-5.1835853131749432E-2</v>
      </c>
      <c r="AW208" s="50">
        <f t="shared" si="1629"/>
        <v>-8.2004555808656066E-2</v>
      </c>
      <c r="AX208" s="50">
        <f t="shared" si="1629"/>
        <v>-7.4441687344913188E-2</v>
      </c>
      <c r="AY208" s="50">
        <f t="shared" si="1629"/>
        <v>6.7024128686327122E-2</v>
      </c>
      <c r="AZ208" s="50">
        <f t="shared" si="1629"/>
        <v>0.32160804020100509</v>
      </c>
      <c r="BA208" s="50">
        <f t="shared" si="1629"/>
        <v>-0.10266159695817489</v>
      </c>
      <c r="BB208" s="50">
        <f t="shared" si="1629"/>
        <v>4.2372881355932313E-2</v>
      </c>
      <c r="BC208" s="50">
        <f t="shared" si="1629"/>
        <v>-3.2520325203251987E-2</v>
      </c>
      <c r="BD208" s="50">
        <f t="shared" si="1629"/>
        <v>-6.5126050420168058E-2</v>
      </c>
      <c r="BE208" s="50">
        <f t="shared" si="1629"/>
        <v>-5.8426966292134841E-2</v>
      </c>
      <c r="BF208" s="50">
        <f t="shared" si="1629"/>
        <v>9.069212410501204E-2</v>
      </c>
      <c r="BG208" s="50">
        <f t="shared" si="1629"/>
        <v>5.4704595185995686E-2</v>
      </c>
      <c r="BH208" s="50">
        <f t="shared" si="1629"/>
        <v>0.10580912863070546</v>
      </c>
      <c r="BI208" s="51">
        <f t="shared" si="1629"/>
        <v>0.1031894934333959</v>
      </c>
      <c r="BJ208" s="50">
        <f t="shared" si="1629"/>
        <v>9.1170068027210727E-2</v>
      </c>
      <c r="BK208" s="50">
        <f t="shared" si="1629"/>
        <v>5.78466403162059E-2</v>
      </c>
      <c r="BL208" s="50">
        <f t="shared" si="1629"/>
        <v>6.0900000000000176E-2</v>
      </c>
      <c r="BM208" s="50">
        <f t="shared" si="1629"/>
        <v>6.0899999999999954E-2</v>
      </c>
      <c r="BN208" s="50">
        <f>IF(ISERROR(BN165/BM165),"n.a.",BN165/BM165-1)</f>
        <v>6.0899999999999954E-2</v>
      </c>
    </row>
    <row r="209" spans="1:66" ht="12" customHeight="1" outlineLevel="1">
      <c r="B209" s="1" t="s">
        <v>65</v>
      </c>
      <c r="C209" s="50" t="str">
        <f t="shared" ref="C209:M209" si="1630">IF(ISERROR(C167/B167),"n.a.",C167/B167-1)</f>
        <v>n.a.</v>
      </c>
      <c r="D209" s="50">
        <f t="shared" si="1630"/>
        <v>-3</v>
      </c>
      <c r="E209" s="50">
        <f t="shared" si="1630"/>
        <v>-2</v>
      </c>
      <c r="F209" s="50">
        <f t="shared" si="1630"/>
        <v>-5</v>
      </c>
      <c r="G209" s="50">
        <f t="shared" si="1630"/>
        <v>-1</v>
      </c>
      <c r="H209" s="50" t="str">
        <f t="shared" si="1630"/>
        <v>n.a.</v>
      </c>
      <c r="I209" s="50" t="str">
        <f t="shared" si="1630"/>
        <v>n.a.</v>
      </c>
      <c r="J209" s="50" t="str">
        <f t="shared" si="1630"/>
        <v>n.a.</v>
      </c>
      <c r="K209" s="50" t="str">
        <f t="shared" si="1630"/>
        <v>n.a.</v>
      </c>
      <c r="L209" s="50" t="str">
        <f t="shared" si="1630"/>
        <v>n.a.</v>
      </c>
      <c r="M209" s="69" t="str">
        <f t="shared" si="1630"/>
        <v>n.a.</v>
      </c>
      <c r="N209" s="69" t="str">
        <f t="shared" ref="N209" si="1631">IF(ISERROR(N167/M167),"n.a.",N167/M167-1)</f>
        <v>n.a.</v>
      </c>
      <c r="O209" s="69" t="str">
        <f t="shared" ref="O209:AI209" si="1632">IF(ISERROR(O167/N167),"n.a.",O167/N167-1)</f>
        <v>n.a.</v>
      </c>
      <c r="P209" s="69" t="str">
        <f t="shared" si="1632"/>
        <v>n.a.</v>
      </c>
      <c r="Q209" s="69" t="str">
        <f t="shared" si="1632"/>
        <v>n.a.</v>
      </c>
      <c r="R209" s="69" t="str">
        <f t="shared" si="1632"/>
        <v>n.a.</v>
      </c>
      <c r="S209" s="69" t="str">
        <f t="shared" si="1632"/>
        <v>n.a.</v>
      </c>
      <c r="T209" s="69" t="str">
        <f t="shared" si="1632"/>
        <v>n.a.</v>
      </c>
      <c r="U209" s="69" t="str">
        <f t="shared" si="1632"/>
        <v>n.a.</v>
      </c>
      <c r="V209" s="69" t="str">
        <f t="shared" si="1632"/>
        <v>n.a.</v>
      </c>
      <c r="W209" s="69" t="str">
        <f t="shared" si="1632"/>
        <v>n.a.</v>
      </c>
      <c r="X209" s="69" t="str">
        <f t="shared" si="1632"/>
        <v>n.a.</v>
      </c>
      <c r="Y209" s="69" t="str">
        <f t="shared" si="1632"/>
        <v>n.a.</v>
      </c>
      <c r="Z209" s="69" t="str">
        <f t="shared" si="1632"/>
        <v>n.a.</v>
      </c>
      <c r="AA209" s="69" t="str">
        <f t="shared" si="1632"/>
        <v>n.a.</v>
      </c>
      <c r="AB209" s="69" t="str">
        <f t="shared" si="1632"/>
        <v>n.a.</v>
      </c>
      <c r="AC209" s="69" t="str">
        <f t="shared" si="1632"/>
        <v>n.a.</v>
      </c>
      <c r="AD209" s="69" t="str">
        <f t="shared" si="1632"/>
        <v>n.a.</v>
      </c>
      <c r="AE209" s="69" t="str">
        <f t="shared" si="1632"/>
        <v>n.a.</v>
      </c>
      <c r="AF209" s="69" t="str">
        <f t="shared" si="1632"/>
        <v>n.a.</v>
      </c>
      <c r="AG209" s="69" t="str">
        <f t="shared" si="1632"/>
        <v>n.a.</v>
      </c>
      <c r="AH209" s="69" t="str">
        <f t="shared" si="1632"/>
        <v>n.a.</v>
      </c>
      <c r="AI209" s="89" t="str">
        <f t="shared" si="1632"/>
        <v>n.a.</v>
      </c>
      <c r="AJ209" s="337">
        <v>0.03</v>
      </c>
      <c r="AK209" s="337">
        <v>0.03</v>
      </c>
      <c r="AL209" s="337">
        <v>0.03</v>
      </c>
      <c r="AM209" s="337">
        <v>0.03</v>
      </c>
      <c r="AN209" s="337">
        <v>0.03</v>
      </c>
      <c r="AO209" s="337">
        <v>0.03</v>
      </c>
      <c r="AP209" s="337">
        <v>0.03</v>
      </c>
      <c r="AQ209" s="337">
        <v>0.03</v>
      </c>
      <c r="AR209" s="337">
        <v>0.03</v>
      </c>
      <c r="AS209" s="8"/>
      <c r="AT209" s="50" t="str">
        <f>IF(ISERROR(AT167/T167),"n.a.",AT167/T167-1)</f>
        <v>n.a.</v>
      </c>
      <c r="AU209" s="50">
        <f>IF(ISERROR(AU167/AT167),"n.a.",AU167/AT167-1)</f>
        <v>5</v>
      </c>
      <c r="AV209" s="50">
        <f>IF(ISERROR(AV167/AU167),"n.a.",AV167/AU167-1)</f>
        <v>-1</v>
      </c>
      <c r="AW209" s="50" t="str">
        <f>IF(ISERROR(AW167/AV167),"n.a.",AW167/AV167-1)</f>
        <v>n.a.</v>
      </c>
      <c r="AX209" s="50" t="str">
        <f t="shared" ref="AX209:BB209" si="1633">IF(ISERROR(AX167/AW167),"n.a.",AX167/AW167-1)</f>
        <v>n.a.</v>
      </c>
      <c r="AY209" s="50" t="str">
        <f t="shared" si="1633"/>
        <v>n.a.</v>
      </c>
      <c r="AZ209" s="50" t="str">
        <f t="shared" si="1633"/>
        <v>n.a.</v>
      </c>
      <c r="BA209" s="50" t="str">
        <f t="shared" si="1633"/>
        <v>n.a.</v>
      </c>
      <c r="BB209" s="50" t="str">
        <f t="shared" si="1633"/>
        <v>n.a.</v>
      </c>
      <c r="BC209" s="50" t="str">
        <f t="shared" ref="BC209" si="1634">IF(ISERROR(BC167/BB167),"n.a.",BC167/BB167-1)</f>
        <v>n.a.</v>
      </c>
      <c r="BD209" s="50" t="str">
        <f t="shared" ref="BD209" si="1635">IF(ISERROR(BD167/BC167),"n.a.",BD167/BC167-1)</f>
        <v>n.a.</v>
      </c>
      <c r="BE209" s="50" t="str">
        <f t="shared" ref="BE209" si="1636">IF(ISERROR(BE167/BD167),"n.a.",BE167/BD167-1)</f>
        <v>n.a.</v>
      </c>
      <c r="BF209" s="50" t="str">
        <f t="shared" ref="BF209" si="1637">IF(ISERROR(BF167/BE167),"n.a.",BF167/BE167-1)</f>
        <v>n.a.</v>
      </c>
      <c r="BG209" s="50" t="str">
        <f t="shared" ref="BG209" si="1638">IF(ISERROR(BG167/BF167),"n.a.",BG167/BF167-1)</f>
        <v>n.a.</v>
      </c>
      <c r="BH209" s="50" t="str">
        <f t="shared" ref="BH209:BM209" si="1639">IF(ISERROR(BH167/BG167),"n.a.",BH167/BG167-1)</f>
        <v>n.a.</v>
      </c>
      <c r="BI209" s="51" t="str">
        <f t="shared" si="1639"/>
        <v>n.a.</v>
      </c>
      <c r="BJ209" s="50" t="str">
        <f t="shared" si="1639"/>
        <v>n.a.</v>
      </c>
      <c r="BK209" s="50" t="str">
        <f t="shared" si="1639"/>
        <v>n.a.</v>
      </c>
      <c r="BL209" s="50" t="str">
        <f t="shared" si="1639"/>
        <v>n.a.</v>
      </c>
      <c r="BM209" s="50" t="str">
        <f t="shared" si="1639"/>
        <v>n.a.</v>
      </c>
      <c r="BN209" s="50" t="str">
        <f>IF(ISERROR(BN167/BM167),"n.a.",BN167/BM167-1)</f>
        <v>n.a.</v>
      </c>
    </row>
    <row r="210" spans="1:66" ht="12" customHeight="1" outlineLevel="1">
      <c r="B210" s="1" t="s">
        <v>77</v>
      </c>
      <c r="C210" s="37">
        <f>IF(ISERROR(-C169/AVERAGE(B190:C190)),"n.a.",-C169*C$5/AVERAGE(B190:C190))</f>
        <v>2.1992977207089281E-3</v>
      </c>
      <c r="D210" s="37">
        <f t="shared" ref="D210:BB210" si="1640">IF(ISERROR(-D169/AVERAGE(C190:D190)),"n.a.",-D169*D$5/AVERAGE(C190:D190))</f>
        <v>1.2177575744938174E-3</v>
      </c>
      <c r="E210" s="37">
        <f t="shared" si="1640"/>
        <v>1.1419096483543986E-3</v>
      </c>
      <c r="F210" s="37">
        <f t="shared" si="1640"/>
        <v>2.2586151712365304E-3</v>
      </c>
      <c r="G210" s="37">
        <f t="shared" si="1640"/>
        <v>1.5384615384615385E-3</v>
      </c>
      <c r="H210" s="37">
        <f t="shared" si="1640"/>
        <v>1.181434599156118E-3</v>
      </c>
      <c r="I210" s="37">
        <f t="shared" si="1640"/>
        <v>1.8792197610606007E-3</v>
      </c>
      <c r="J210" s="37">
        <f t="shared" si="1640"/>
        <v>1.3050940382827586E-3</v>
      </c>
      <c r="K210" s="37">
        <f t="shared" si="1640"/>
        <v>1.8878319728350087E-3</v>
      </c>
      <c r="L210" s="37">
        <f t="shared" si="1640"/>
        <v>1.8266363617407261E-3</v>
      </c>
      <c r="M210" s="78">
        <f t="shared" si="1640"/>
        <v>9.8149375282107431E-4</v>
      </c>
      <c r="N210" s="78">
        <f t="shared" ref="N210" si="1641">IF(ISERROR(-N169/AVERAGE(M190:N190)),"n.a.",-N169*N$5/AVERAGE(M190:N190))</f>
        <v>1.0011829044590354E-3</v>
      </c>
      <c r="O210" s="78">
        <f t="shared" ref="O210:AH210" si="1642">IF(ISERROR(-O169/AVERAGE(N190:O190)),"n.a.",-O169*O$5/AVERAGE(N190:O190))</f>
        <v>6.7605633802816901E-4</v>
      </c>
      <c r="P210" s="78">
        <f t="shared" si="1642"/>
        <v>1.2517006802721089E-3</v>
      </c>
      <c r="Q210" s="78">
        <f t="shared" si="1642"/>
        <v>1.7510325545136312E-3</v>
      </c>
      <c r="R210" s="78">
        <f t="shared" si="1642"/>
        <v>3.3194391815081473E-4</v>
      </c>
      <c r="S210" s="78">
        <f t="shared" si="1642"/>
        <v>1.8352965534580031E-3</v>
      </c>
      <c r="T210" s="78">
        <f t="shared" si="1642"/>
        <v>1.4051235388815007E-3</v>
      </c>
      <c r="U210" s="78">
        <f t="shared" si="1642"/>
        <v>1.0181767463175774E-3</v>
      </c>
      <c r="V210" s="78">
        <f t="shared" si="1642"/>
        <v>1.4364423455332546E-3</v>
      </c>
      <c r="W210" s="78">
        <f t="shared" si="1642"/>
        <v>1.4545454545454545E-3</v>
      </c>
      <c r="X210" s="78">
        <f t="shared" si="1642"/>
        <v>3.4499593165174939E-3</v>
      </c>
      <c r="Y210" s="78">
        <f t="shared" si="1642"/>
        <v>2.1911798660817364E-3</v>
      </c>
      <c r="Z210" s="78">
        <f t="shared" si="1642"/>
        <v>8.8600951287518448E-4</v>
      </c>
      <c r="AA210" s="78">
        <f t="shared" si="1642"/>
        <v>6.5952641165755918E-4</v>
      </c>
      <c r="AB210" s="78">
        <f t="shared" si="1642"/>
        <v>-1.016168344084214E-3</v>
      </c>
      <c r="AC210" s="78">
        <f t="shared" si="1642"/>
        <v>1.5481517612877228E-4</v>
      </c>
      <c r="AD210" s="78">
        <f t="shared" si="1642"/>
        <v>4.0142003712860395E-4</v>
      </c>
      <c r="AE210" s="78">
        <f t="shared" si="1642"/>
        <v>3.4927866362946091E-4</v>
      </c>
      <c r="AF210" s="78">
        <f t="shared" si="1642"/>
        <v>-5.5072463768115944E-4</v>
      </c>
      <c r="AG210" s="78">
        <f t="shared" si="1642"/>
        <v>2.8668888365256226E-4</v>
      </c>
      <c r="AH210" s="78">
        <f t="shared" si="1642"/>
        <v>3.0686559217002316E-4</v>
      </c>
      <c r="AI210" s="88">
        <f t="shared" ref="AI210" si="1643">IF(ISERROR(-AI169/AVERAGE(AH190:AI190)),"n.a.",-AI169*AI$5/AVERAGE(AH190:AI190))</f>
        <v>2.7985298134473191E-4</v>
      </c>
      <c r="AJ210" s="37">
        <f t="shared" ref="AJ210" si="1644">IF(ISERROR(-AJ169/AVERAGE(AI190:AJ190)),"n.a.",-AJ169*AJ$5/AVERAGE(AI190:AJ190))</f>
        <v>2.5509112081971609E-4</v>
      </c>
      <c r="AK210" s="37">
        <f t="shared" ref="AK210" si="1645">IF(ISERROR(-AK169/AVERAGE(AJ190:AK190)),"n.a.",-AK169*AK$5/AVERAGE(AJ190:AK190))</f>
        <v>1.7507088721592417E-4</v>
      </c>
      <c r="AL210" s="37">
        <f t="shared" ref="AL210" si="1646">IF(ISERROR(-AL169/AVERAGE(AK190:AL190)),"n.a.",-AL169*AL$5/AVERAGE(AK190:AL190))</f>
        <v>2.1078244771480977E-4</v>
      </c>
      <c r="AM210" s="37">
        <f t="shared" ref="AM210" si="1647">IF(ISERROR(-AM169/AVERAGE(AL190:AM190)),"n.a.",-AM169*AM$5/AVERAGE(AL190:AM190))</f>
        <v>2.2913591384253327E-4</v>
      </c>
      <c r="AN210" s="37">
        <f t="shared" ref="AN210" si="1648">IF(ISERROR(-AN169/AVERAGE(AM190:AN190)),"n.a.",-AN169*AN$5/AVERAGE(AM190:AN190))</f>
        <v>2.1139788241794589E-4</v>
      </c>
      <c r="AO210" s="37">
        <f t="shared" ref="AO210" si="1649">IF(ISERROR(-AO169/AVERAGE(AN190:AO190)),"n.a.",-AO169*AO$5/AVERAGE(AN190:AO190))</f>
        <v>2.3941460299943426E-4</v>
      </c>
      <c r="AP210" s="37">
        <f t="shared" ref="AP210" si="1650">IF(ISERROR(-AP169/AVERAGE(AO190:AP190)),"n.a.",-AP169*AP$5/AVERAGE(AO190:AP190))</f>
        <v>2.2977529061275675E-4</v>
      </c>
      <c r="AQ210" s="37">
        <f t="shared" ref="AQ210" si="1651">IF(ISERROR(-AQ169/AVERAGE(AP190:AQ190)),"n.a.",-AQ169*AQ$5/AVERAGE(AP190:AQ190))</f>
        <v>2.1916869116407785E-4</v>
      </c>
      <c r="AR210" s="37">
        <f t="shared" ref="AR210" si="1652">IF(ISERROR(-AR169/AVERAGE(AQ190:AR190)),"n.a.",-AR169*AR$5/AVERAGE(AQ190:AR190))</f>
        <v>2.1089709384810145E-4</v>
      </c>
      <c r="AT210" s="37">
        <f t="shared" si="1640"/>
        <v>1.7045454545454545E-3</v>
      </c>
      <c r="AU210" s="37">
        <f t="shared" si="1640"/>
        <v>1.695568400770713E-3</v>
      </c>
      <c r="AV210" s="37">
        <f t="shared" si="1640"/>
        <v>1.346938775510204E-3</v>
      </c>
      <c r="AW210" s="37">
        <f t="shared" si="1640"/>
        <v>1.5948275862068967E-3</v>
      </c>
      <c r="AX210" s="37">
        <f t="shared" si="1640"/>
        <v>1.8837675350701403E-3</v>
      </c>
      <c r="AY210" s="37">
        <f t="shared" si="1640"/>
        <v>9.8039215686274508E-4</v>
      </c>
      <c r="AZ210" s="37">
        <f t="shared" si="1640"/>
        <v>9.8730606488011286E-4</v>
      </c>
      <c r="BA210" s="37">
        <f t="shared" si="1640"/>
        <v>1.0410958904109589E-3</v>
      </c>
      <c r="BB210" s="37">
        <f t="shared" si="1640"/>
        <v>1.4424111948331539E-3</v>
      </c>
      <c r="BC210" s="37">
        <f t="shared" ref="BC210" si="1653">IF(ISERROR(-BC169/AVERAGE(BB190:BC190)),"n.a.",-BC169*BC$5/AVERAGE(BB190:BC190))</f>
        <v>1.1921708185053382E-3</v>
      </c>
      <c r="BD210" s="37">
        <f t="shared" ref="BD210" si="1654">IF(ISERROR(-BD169/AVERAGE(BC190:BD190)),"n.a.",-BD169*BD$5/AVERAGE(BC190:BD190))</f>
        <v>2.4873949579831932E-3</v>
      </c>
      <c r="BE210" s="37">
        <f t="shared" ref="BE210" si="1655">IF(ISERROR(-BE169/AVERAGE(BD190:BE190)),"n.a.",-BE169*BE$5/AVERAGE(BD190:BE190))</f>
        <v>1.5141540487162606E-3</v>
      </c>
      <c r="BF210" s="37">
        <f t="shared" ref="BF210" si="1656">IF(ISERROR(-BF169/AVERAGE(BE190:BF190)),"n.a.",-BF169*BF$5/AVERAGE(BE190:BF190))</f>
        <v>-2.2099447513812155E-4</v>
      </c>
      <c r="BG210" s="37">
        <f t="shared" ref="BG210" si="1657">IF(ISERROR(-BG169/AVERAGE(BF190:BG190)),"n.a.",-BG169*BG$5/AVERAGE(BF190:BG190))</f>
        <v>2.8487641390867197E-4</v>
      </c>
      <c r="BH210" s="37">
        <f t="shared" ref="BH210:BJ210" si="1658">IF(ISERROR(-BH169/AVERAGE(BG190:BH190)),"n.a.",-BH169*BH$5/AVERAGE(BG190:BH190))</f>
        <v>-1.1144130757800891E-4</v>
      </c>
      <c r="BI210" s="38">
        <f t="shared" si="1658"/>
        <v>2.9673590504451037E-4</v>
      </c>
      <c r="BJ210" s="37">
        <f t="shared" si="1658"/>
        <v>2.6661482489515927E-4</v>
      </c>
      <c r="BK210" s="37">
        <f>IF(ISERROR(-BK169/AVERAGE(BK190:BK190)),"n.a.",-BK169*BK$5/AVERAGE(BK190:BK190))</f>
        <v>1.79889198935852E-4</v>
      </c>
      <c r="BL210" s="37">
        <f>IF(ISERROR(-BL169/AVERAGE(BL190:BL190)),"n.a.",-BL169*BL$5/AVERAGE(BL190:BL190))</f>
        <v>2.0846552575038677E-4</v>
      </c>
      <c r="BM210" s="37">
        <f>IF(ISERROR(-BM169/AVERAGE(BM190:BM190)),"n.a.",-BM169*BM$5/AVERAGE(BM190:BM190))</f>
        <v>2.2344237230359181E-4</v>
      </c>
      <c r="BN210" s="37">
        <f>IF(ISERROR(-BN169/AVERAGE(BN190:BN190)),"n.a.",-BN169*BN$5/AVERAGE(BN190:BN190))</f>
        <v>2.0481610970169513E-4</v>
      </c>
    </row>
    <row r="211" spans="1:66" ht="12" customHeight="1" outlineLevel="1">
      <c r="B211" s="1" t="s">
        <v>66</v>
      </c>
      <c r="C211" s="50" t="str">
        <f t="shared" ref="C211:M211" si="1659">IF(ISERROR(C173/B173),"n.a.",C173/B173-1)</f>
        <v>n.a.</v>
      </c>
      <c r="D211" s="50">
        <f t="shared" si="1659"/>
        <v>1.75</v>
      </c>
      <c r="E211" s="50">
        <f t="shared" si="1659"/>
        <v>-9.0909090909090939E-2</v>
      </c>
      <c r="F211" s="50">
        <f t="shared" si="1659"/>
        <v>3.9000000000000004</v>
      </c>
      <c r="G211" s="50">
        <f t="shared" si="1659"/>
        <v>-0.79591836734693877</v>
      </c>
      <c r="H211" s="50">
        <f t="shared" si="1659"/>
        <v>-0.8</v>
      </c>
      <c r="I211" s="50">
        <f t="shared" si="1659"/>
        <v>13</v>
      </c>
      <c r="J211" s="50">
        <f t="shared" si="1659"/>
        <v>-0.64285714285714279</v>
      </c>
      <c r="K211" s="50">
        <f t="shared" si="1659"/>
        <v>-0.4</v>
      </c>
      <c r="L211" s="50">
        <f t="shared" si="1659"/>
        <v>6.666666666666667</v>
      </c>
      <c r="M211" s="69">
        <f t="shared" si="1659"/>
        <v>-0.78260869565217395</v>
      </c>
      <c r="N211" s="69">
        <f t="shared" ref="N211" si="1660">IF(ISERROR(N173/M173),"n.a.",N173/M173-1)</f>
        <v>-0.5</v>
      </c>
      <c r="O211" s="69">
        <f t="shared" ref="O211:AH211" si="1661">IF(ISERROR(O173/N173),"n.a.",O173/N173-1)</f>
        <v>1</v>
      </c>
      <c r="P211" s="69">
        <f t="shared" si="1661"/>
        <v>1.1000000000000001</v>
      </c>
      <c r="Q211" s="69">
        <f t="shared" si="1661"/>
        <v>6.4285714285714288</v>
      </c>
      <c r="R211" s="69">
        <f t="shared" si="1661"/>
        <v>-0.98076923076923073</v>
      </c>
      <c r="S211" s="69">
        <f t="shared" si="1661"/>
        <v>3</v>
      </c>
      <c r="T211" s="69">
        <f t="shared" si="1661"/>
        <v>-0.83333333333333337</v>
      </c>
      <c r="U211" s="69">
        <f t="shared" si="1661"/>
        <v>0</v>
      </c>
      <c r="V211" s="69">
        <f t="shared" si="1661"/>
        <v>2</v>
      </c>
      <c r="W211" s="69">
        <f t="shared" si="1661"/>
        <v>-0.66666666666666674</v>
      </c>
      <c r="X211" s="69">
        <f t="shared" si="1661"/>
        <v>3</v>
      </c>
      <c r="Y211" s="69">
        <f t="shared" si="1661"/>
        <v>1.125</v>
      </c>
      <c r="Z211" s="69">
        <f t="shared" si="1661"/>
        <v>-0.17647058823529416</v>
      </c>
      <c r="AA211" s="69">
        <f t="shared" si="1661"/>
        <v>-0.9285714285714286</v>
      </c>
      <c r="AB211" s="69">
        <f t="shared" si="1661"/>
        <v>10</v>
      </c>
      <c r="AC211" s="69">
        <f t="shared" si="1661"/>
        <v>-2.0909090909090908</v>
      </c>
      <c r="AD211" s="69">
        <f t="shared" si="1661"/>
        <v>-0.16666666666666663</v>
      </c>
      <c r="AE211" s="69">
        <f t="shared" si="1661"/>
        <v>-1.1000000000000001</v>
      </c>
      <c r="AF211" s="69">
        <f t="shared" si="1661"/>
        <v>-7</v>
      </c>
      <c r="AG211" s="69">
        <f t="shared" si="1661"/>
        <v>2.6666666666666665</v>
      </c>
      <c r="AH211" s="69">
        <f t="shared" si="1661"/>
        <v>4.5454545454545414E-2</v>
      </c>
      <c r="AI211" s="89">
        <v>0.03</v>
      </c>
      <c r="AJ211" s="56">
        <v>0.05</v>
      </c>
      <c r="AK211" s="56">
        <v>0.05</v>
      </c>
      <c r="AL211" s="56">
        <v>0.05</v>
      </c>
      <c r="AM211" s="56">
        <v>0.05</v>
      </c>
      <c r="AN211" s="56">
        <v>0.05</v>
      </c>
      <c r="AO211" s="56">
        <v>0.03</v>
      </c>
      <c r="AP211" s="56">
        <v>0.03</v>
      </c>
      <c r="AQ211" s="56">
        <v>0.03</v>
      </c>
      <c r="AR211" s="56">
        <v>0.03</v>
      </c>
      <c r="AS211" s="8"/>
      <c r="AT211" s="50">
        <f>IF(ISERROR(AT173/T173),"n.a.",AT173/T173-1)</f>
        <v>6.5</v>
      </c>
      <c r="AU211" s="50">
        <f>IF(ISERROR(AU173/AT173),"n.a.",AU173/AT173-1)</f>
        <v>2.9333333333333331</v>
      </c>
      <c r="AV211" s="50">
        <f>IF(ISERROR(AV173/AU173),"n.a.",AV173/AU173-1)</f>
        <v>-0.79661016949152541</v>
      </c>
      <c r="AW211" s="50">
        <f>IF(ISERROR(AW173/AV173),"n.a.",AW173/AV173-1)</f>
        <v>2.1666666666666665</v>
      </c>
      <c r="AX211" s="50">
        <f t="shared" ref="AX211:BB211" si="1662">IF(ISERROR(AX173/AW173),"n.a.",AX173/AW173-1)</f>
        <v>0.36842105263157898</v>
      </c>
      <c r="AY211" s="50">
        <f t="shared" si="1662"/>
        <v>-0.71153846153846156</v>
      </c>
      <c r="AZ211" s="50">
        <f t="shared" si="1662"/>
        <v>1.0666666666666669</v>
      </c>
      <c r="BA211" s="50">
        <f t="shared" si="1662"/>
        <v>4.129032258064516</v>
      </c>
      <c r="BB211" s="50">
        <f t="shared" si="1662"/>
        <v>-0.91194968553459121</v>
      </c>
      <c r="BC211" s="50">
        <f t="shared" ref="BC211" si="1663">IF(ISERROR(BC173/BB173),"n.a.",BC173/BB173-1)</f>
        <v>-0.4285714285714286</v>
      </c>
      <c r="BD211" s="50">
        <f t="shared" ref="BD211" si="1664">IF(ISERROR(BD173/BC173),"n.a.",BD173/BC173-1)</f>
        <v>0.25</v>
      </c>
      <c r="BE211" s="50">
        <f t="shared" ref="BE211" si="1665">IF(ISERROR(BE173/BD173),"n.a.",BE173/BD173-1)</f>
        <v>2.1</v>
      </c>
      <c r="BF211" s="50">
        <f t="shared" ref="BF211" si="1666">IF(ISERROR(BF173/BE173),"n.a.",BF173/BE173-1)</f>
        <v>-0.61290322580645162</v>
      </c>
      <c r="BG211" s="50">
        <f t="shared" ref="BG211" si="1667">IF(ISERROR(BG173/BF173),"n.a.",BG173/BF173-1)</f>
        <v>-2.833333333333333</v>
      </c>
      <c r="BH211" s="50">
        <f t="shared" ref="BH211:BM211" si="1668">IF(ISERROR(BH173/BG173),"n.a.",BH173/BG173-1)</f>
        <v>-0.77272727272727271</v>
      </c>
      <c r="BI211" s="51">
        <f t="shared" si="1668"/>
        <v>8</v>
      </c>
      <c r="BJ211" s="50">
        <f t="shared" si="1668"/>
        <v>-0.86333333333333329</v>
      </c>
      <c r="BK211" s="50">
        <f t="shared" si="1668"/>
        <v>0.10250000000000004</v>
      </c>
      <c r="BL211" s="50">
        <f t="shared" si="1668"/>
        <v>0.10250000000000004</v>
      </c>
      <c r="BM211" s="50">
        <f t="shared" si="1668"/>
        <v>7.0948780487804841E-2</v>
      </c>
      <c r="BN211" s="50">
        <f>IF(ISERROR(BN173/BM173),"n.a.",BN173/BM173-1)</f>
        <v>6.0899999999999954E-2</v>
      </c>
    </row>
    <row r="212" spans="1:66" ht="12" customHeight="1" outlineLevel="1">
      <c r="B212" s="1" t="s">
        <v>67</v>
      </c>
      <c r="C212" s="54">
        <f t="shared" ref="C212:I212" si="1669">IF(ISERROR(-C175/AVERAGE(B197:C197)*1000000),"n.a.",-C175*C$5/AVERAGE(B197:C197)*1000000)</f>
        <v>138129.93321190041</v>
      </c>
      <c r="D212" s="54">
        <f t="shared" si="1669"/>
        <v>153745.50822312015</v>
      </c>
      <c r="E212" s="54">
        <f t="shared" si="1669"/>
        <v>152521.53130989807</v>
      </c>
      <c r="F212" s="54">
        <f t="shared" si="1669"/>
        <v>153682.41307119216</v>
      </c>
      <c r="G212" s="54">
        <f t="shared" si="1669"/>
        <v>151955.30726256984</v>
      </c>
      <c r="H212" s="54">
        <f t="shared" si="1669"/>
        <v>140487.8048780488</v>
      </c>
      <c r="I212" s="54">
        <f t="shared" si="1669"/>
        <v>146078.65773878244</v>
      </c>
      <c r="J212" s="54">
        <f t="shared" ref="J212:AI212" si="1670">IF(ISERROR(-J175/AVERAGE(I197:J197)*1000000),"n.a.",-J175*J$5/AVERAGE(I197:J197)*1000000)</f>
        <v>147370.82674690994</v>
      </c>
      <c r="K212" s="54">
        <f t="shared" si="1670"/>
        <v>151527.70279470252</v>
      </c>
      <c r="L212" s="54">
        <f t="shared" si="1670"/>
        <v>140497.92015893711</v>
      </c>
      <c r="M212" s="79">
        <f t="shared" si="1670"/>
        <v>151979.84705589723</v>
      </c>
      <c r="N212" s="79">
        <f t="shared" si="1670"/>
        <v>143899.07352651292</v>
      </c>
      <c r="O212" s="79">
        <f t="shared" si="1670"/>
        <v>148895.89905362777</v>
      </c>
      <c r="P212" s="79">
        <f t="shared" si="1670"/>
        <v>151624.54873646208</v>
      </c>
      <c r="Q212" s="79">
        <f t="shared" si="1670"/>
        <v>164726.18873242784</v>
      </c>
      <c r="R212" s="79">
        <f t="shared" si="1670"/>
        <v>157353.4033670708</v>
      </c>
      <c r="S212" s="79">
        <f t="shared" si="1670"/>
        <v>170012.38312713723</v>
      </c>
      <c r="T212" s="79">
        <f t="shared" si="1670"/>
        <v>147751.8763764117</v>
      </c>
      <c r="U212" s="79">
        <f t="shared" si="1670"/>
        <v>144397.77807885109</v>
      </c>
      <c r="V212" s="79">
        <f t="shared" si="1670"/>
        <v>141597.30517647328</v>
      </c>
      <c r="W212" s="79">
        <f t="shared" si="1670"/>
        <v>134980.63802323438</v>
      </c>
      <c r="X212" s="79">
        <f t="shared" si="1670"/>
        <v>129542.45904726042</v>
      </c>
      <c r="Y212" s="79">
        <f t="shared" si="1670"/>
        <v>141466.60567696116</v>
      </c>
      <c r="Z212" s="79">
        <f t="shared" si="1670"/>
        <v>131630.82454019369</v>
      </c>
      <c r="AA212" s="79">
        <f t="shared" si="1670"/>
        <v>142327.5590382941</v>
      </c>
      <c r="AB212" s="79">
        <f t="shared" si="1670"/>
        <v>139839.42643134779</v>
      </c>
      <c r="AC212" s="79">
        <f t="shared" si="1670"/>
        <v>152108.37025496404</v>
      </c>
      <c r="AD212" s="79">
        <f t="shared" si="1670"/>
        <v>146610.07296031844</v>
      </c>
      <c r="AE212" s="79">
        <f t="shared" si="1670"/>
        <v>163859.11179173048</v>
      </c>
      <c r="AF212" s="79">
        <f t="shared" si="1670"/>
        <v>162989.87801712949</v>
      </c>
      <c r="AG212" s="79">
        <f t="shared" si="1670"/>
        <v>147039.47909301677</v>
      </c>
      <c r="AH212" s="79">
        <f t="shared" si="1670"/>
        <v>104472.71567633128</v>
      </c>
      <c r="AI212" s="90">
        <f t="shared" si="1670"/>
        <v>113089.72897393018</v>
      </c>
      <c r="AJ212" s="55">
        <f>AI212*1.05</f>
        <v>118744.21542262669</v>
      </c>
      <c r="AK212" s="55">
        <f t="shared" ref="AK212" si="1671">AJ212*1.02</f>
        <v>121119.09973107922</v>
      </c>
      <c r="AL212" s="55">
        <f t="shared" ref="AL212" si="1672">AK212*1.02</f>
        <v>123541.4817257008</v>
      </c>
      <c r="AM212" s="55">
        <f t="shared" ref="AM212" si="1673">AL212*1.02</f>
        <v>126012.31136021481</v>
      </c>
      <c r="AN212" s="55">
        <f t="shared" ref="AN212" si="1674">AM212*1.02</f>
        <v>128532.55758741911</v>
      </c>
      <c r="AO212" s="55">
        <f t="shared" ref="AO212" si="1675">AN212*1.02</f>
        <v>131103.20873916749</v>
      </c>
      <c r="AP212" s="55">
        <f t="shared" ref="AP212" si="1676">AO212*1.02</f>
        <v>133725.27291395084</v>
      </c>
      <c r="AQ212" s="55">
        <f t="shared" ref="AQ212" si="1677">AP212*1.02</f>
        <v>136399.77837222986</v>
      </c>
      <c r="AR212" s="55">
        <f t="shared" ref="AR212" si="1678">AQ212*1.02</f>
        <v>139127.77393967446</v>
      </c>
      <c r="AS212" s="8"/>
      <c r="AT212" s="54">
        <f>IF(ISERROR(-AT175/AVERAGE(T197:AT197)*1000000),"n.a.",-AT175*AT$5/AVERAGE(T197:AT197)*1000000)</f>
        <v>111077.1323444172</v>
      </c>
      <c r="AU212" s="54">
        <f>IF(ISERROR(-AU175/AVERAGE(AT197:AU197)*1000000),"n.a.",-AU175*AU$5/AVERAGE(AT197:AU197)*1000000)</f>
        <v>155480.29556650246</v>
      </c>
      <c r="AV212" s="54">
        <f>IF(ISERROR(-AV175/AVERAGE(AU197:AV197)*1000000),"n.a.",-AV175*AV$5/AVERAGE(AU197:AV197)*1000000)</f>
        <v>143195.07964043526</v>
      </c>
      <c r="AW212" s="54">
        <f>IF(ISERROR(-AW175/AVERAGE(AV197:AW197)*1000000),"n.a.",-AW175*AW$5/AVERAGE(AV197:AW197)*1000000)</f>
        <v>145277.63798020466</v>
      </c>
      <c r="AX212" s="54">
        <f t="shared" ref="AX212:BB212" si="1679">IF(ISERROR(-AX175/AVERAGE(AW197:AX197)*1000000),"n.a.",-AX175*AX$5/AVERAGE(AW197:AX197)*1000000)</f>
        <v>153408.01215112966</v>
      </c>
      <c r="AY212" s="54">
        <f t="shared" si="1679"/>
        <v>151096.66937449228</v>
      </c>
      <c r="AZ212" s="54">
        <f t="shared" si="1679"/>
        <v>147215.70300832088</v>
      </c>
      <c r="BA212" s="54">
        <f t="shared" si="1679"/>
        <v>156205.07906085291</v>
      </c>
      <c r="BB212" s="54">
        <f t="shared" si="1679"/>
        <v>166142.96936370779</v>
      </c>
      <c r="BC212" s="54">
        <f t="shared" ref="BC212" si="1680">IF(ISERROR(-BC175/AVERAGE(BB197:BC197)*1000000),"n.a.",-BC175*BC$5/AVERAGE(BB197:BC197)*1000000)</f>
        <v>143392.37057220709</v>
      </c>
      <c r="BD212" s="54">
        <f t="shared" ref="BD212" si="1681">IF(ISERROR(-BD175/AVERAGE(BC197:BD197)*1000000),"n.a.",-BD175*BD$5/AVERAGE(BC197:BD197)*1000000)</f>
        <v>130706.92194403535</v>
      </c>
      <c r="BE212" s="54">
        <f t="shared" ref="BE212" si="1682">IF(ISERROR(-BE175/AVERAGE(BD197:BE197)*1000000),"n.a.",-BE175*BE$5/AVERAGE(BD197:BE197)*1000000)</f>
        <v>138150.90329436769</v>
      </c>
      <c r="BF212" s="54">
        <f t="shared" ref="BF212" si="1683">IF(ISERROR(-BF175/AVERAGE(BE197:BF197)*1000000),"n.a.",-BF175*BF$5/AVERAGE(BE197:BF197)*1000000)</f>
        <v>140583.13632781719</v>
      </c>
      <c r="BG212" s="54">
        <f t="shared" ref="BG212" si="1684">IF(ISERROR(-BG175/AVERAGE(BF197:BG197)*1000000),"n.a.",-BG175*BG$5/AVERAGE(BF197:BG197)*1000000)</f>
        <v>147652.87644518734</v>
      </c>
      <c r="BH212" s="54">
        <f t="shared" ref="BH212:BJ212" si="1685">IF(ISERROR(-BH175/AVERAGE(BG197:BH197)*1000000),"n.a.",-BH175*BH$5/AVERAGE(BG197:BH197)*1000000)</f>
        <v>169107.85619174433</v>
      </c>
      <c r="BI212" s="53">
        <f t="shared" si="1685"/>
        <v>131336.40552995392</v>
      </c>
      <c r="BJ212" s="54">
        <f t="shared" si="1685"/>
        <v>115839.2146219593</v>
      </c>
      <c r="BK212" s="54">
        <f>IF(ISERROR(-BK175/AVERAGE(BK197:BK197)*1000000),"n.a.",-BK175*BK$5/AVERAGE(BK197:BK197)*1000000)</f>
        <v>121721.31123139437</v>
      </c>
      <c r="BL212" s="54">
        <f>IF(ISERROR(-BL175/AVERAGE(BL197:BL197)*1000000),"n.a.",-BL175*BL$5/AVERAGE(BL197:BL197)*1000000)</f>
        <v>126643.15267686937</v>
      </c>
      <c r="BM212" s="54">
        <f>IF(ISERROR(-BM175/AVERAGE(BM197:BM197)*1000000),"n.a.",-BM175*BM$5/AVERAGE(BM197:BM197)*1000000)</f>
        <v>131755.06183423044</v>
      </c>
      <c r="BN212" s="54">
        <f>IF(ISERROR(-BN175/AVERAGE(BN197:BN197)*1000000),"n.a.",-BN175*BN$5/AVERAGE(BN197:BN197)*1000000)</f>
        <v>137077.96633233337</v>
      </c>
    </row>
    <row r="213" spans="1:66" ht="12" customHeight="1" outlineLevel="1">
      <c r="B213" s="1" t="s">
        <v>78</v>
      </c>
      <c r="C213" s="50">
        <f>IF(ISERROR(-C175/C174),"n.a.",-C175/C174)</f>
        <v>0.30952380952380953</v>
      </c>
      <c r="D213" s="50">
        <f>IF(ISERROR(-D175/D174),"n.a.",-D175/D174)</f>
        <v>0.34087481146304677</v>
      </c>
      <c r="E213" s="50">
        <f t="shared" ref="E213:O213" si="1686">IF(ISERROR(-E175/E174),"n.a.",-E175/E174)</f>
        <v>0.34657534246575344</v>
      </c>
      <c r="F213" s="50">
        <f t="shared" si="1686"/>
        <v>0.32898172323759789</v>
      </c>
      <c r="G213" s="50">
        <f t="shared" si="1686"/>
        <v>0.33806818181818182</v>
      </c>
      <c r="H213" s="50">
        <f t="shared" si="1686"/>
        <v>0.32383808095952021</v>
      </c>
      <c r="I213" s="50">
        <f t="shared" si="1686"/>
        <v>0.33740458015267177</v>
      </c>
      <c r="J213" s="50">
        <f t="shared" si="1686"/>
        <v>0.33333333333333331</v>
      </c>
      <c r="K213" s="50">
        <f t="shared" ref="K213:L213" si="1687">IF(ISERROR(-K175/K174),"n.a.",-K175/K174)</f>
        <v>0.32683658170914542</v>
      </c>
      <c r="L213" s="50">
        <f t="shared" si="1687"/>
        <v>0.28483920367534454</v>
      </c>
      <c r="M213" s="69">
        <f t="shared" ref="M213" si="1688">IF(ISERROR(-M175/M174),"n.a.",-M175/M174)</f>
        <v>0.2857142857142857</v>
      </c>
      <c r="N213" s="69">
        <f t="shared" si="1686"/>
        <v>0.2676470588235294</v>
      </c>
      <c r="O213" s="69">
        <f t="shared" si="1686"/>
        <v>0.24048913043478262</v>
      </c>
      <c r="P213" s="69">
        <f t="shared" ref="P213:Q213" si="1689">IF(ISERROR(-P175/P174),"n.a.",-P175/P174)</f>
        <v>0.23076923076923078</v>
      </c>
      <c r="Q213" s="69">
        <f t="shared" si="1689"/>
        <v>0.19453924914675769</v>
      </c>
      <c r="R213" s="69">
        <f t="shared" ref="R213:S213" si="1690">IF(ISERROR(-R175/R174),"n.a.",-R175/R174)</f>
        <v>0.20156046814044212</v>
      </c>
      <c r="S213" s="69">
        <f t="shared" si="1690"/>
        <v>0.20216962524654833</v>
      </c>
      <c r="T213" s="69">
        <f t="shared" ref="T213:U213" si="1691">IF(ISERROR(-T175/T174),"n.a.",-T175/T174)</f>
        <v>0.21541501976284586</v>
      </c>
      <c r="U213" s="69">
        <f t="shared" si="1691"/>
        <v>0.20837297811607994</v>
      </c>
      <c r="V213" s="69">
        <f t="shared" ref="V213:W213" si="1692">IF(ISERROR(-V175/V174),"n.a.",-V175/V174)</f>
        <v>0.19201520912547529</v>
      </c>
      <c r="W213" s="69">
        <f t="shared" si="1692"/>
        <v>0.1792360430950049</v>
      </c>
      <c r="X213" s="69">
        <f t="shared" ref="X213:Y213" si="1693">IF(ISERROR(-X175/X174),"n.a.",-X175/X174)</f>
        <v>0.16929133858267717</v>
      </c>
      <c r="Y213" s="69">
        <f t="shared" si="1693"/>
        <v>0.2</v>
      </c>
      <c r="Z213" s="69">
        <f t="shared" ref="Z213:AA213" si="1694">IF(ISERROR(-Z175/Z174),"n.a.",-Z175/Z174)</f>
        <v>0.17657822506861848</v>
      </c>
      <c r="AA213" s="69">
        <f t="shared" si="1694"/>
        <v>0.18830610490111779</v>
      </c>
      <c r="AB213" s="69">
        <f t="shared" ref="AB213:AC213" si="1695">IF(ISERROR(-AB175/AB174),"n.a.",-AB175/AB174)</f>
        <v>0.17488443759630201</v>
      </c>
      <c r="AC213" s="69">
        <f t="shared" si="1695"/>
        <v>0.18411806043569923</v>
      </c>
      <c r="AD213" s="69">
        <f t="shared" ref="AD213:AE213" si="1696">IF(ISERROR(-AD175/AD174),"n.a.",-AD175/AD174)</f>
        <v>0.17425227568270482</v>
      </c>
      <c r="AE213" s="69">
        <f t="shared" si="1696"/>
        <v>0.199502796768179</v>
      </c>
      <c r="AF213" s="69">
        <f t="shared" ref="AF213:AG213" si="1697">IF(ISERROR(-AF175/AF174),"n.a.",-AF175/AF174)</f>
        <v>0.19625000000000001</v>
      </c>
      <c r="AG213" s="69">
        <f t="shared" si="1697"/>
        <v>0.1853720050441362</v>
      </c>
      <c r="AH213" s="69">
        <f t="shared" ref="AH213" si="1698">IF(ISERROR(-AH175/AH174),"n.a.",-AH175/AH174)</f>
        <v>0.13264688067837674</v>
      </c>
      <c r="AI213" s="89">
        <f t="shared" ref="AI213:AJ213" si="1699">IF(ISERROR(-AI175/AI174),"n.a.",-AI175/AI174)</f>
        <v>0.13310580204778158</v>
      </c>
      <c r="AJ213" s="50">
        <f t="shared" si="1699"/>
        <v>0.13890789282550089</v>
      </c>
      <c r="AK213" s="50">
        <f t="shared" ref="AK213:AL213" si="1700">IF(ISERROR(-AK175/AK174),"n.a.",-AK175/AK174)</f>
        <v>0.13576309824461139</v>
      </c>
      <c r="AL213" s="50">
        <f t="shared" si="1700"/>
        <v>0.13313564628177127</v>
      </c>
      <c r="AM213" s="50">
        <f t="shared" ref="AM213:AN213" si="1701">IF(ISERROR(-AM175/AM174),"n.a.",-AM175/AM174)</f>
        <v>0.13119875417070842</v>
      </c>
      <c r="AN213" s="50">
        <f t="shared" si="1701"/>
        <v>0.12997761548201317</v>
      </c>
      <c r="AO213" s="50">
        <f t="shared" ref="AO213:AP213" si="1702">IF(ISERROR(-AO175/AO174),"n.a.",-AO175/AO174)</f>
        <v>0.1297367318949614</v>
      </c>
      <c r="AP213" s="50">
        <f t="shared" si="1702"/>
        <v>0.12930837866688175</v>
      </c>
      <c r="AQ213" s="50">
        <f t="shared" ref="AQ213:AR213" si="1703">IF(ISERROR(-AQ175/AQ174),"n.a.",-AQ175/AQ174)</f>
        <v>0.12917875840826884</v>
      </c>
      <c r="AR213" s="50">
        <f t="shared" si="1703"/>
        <v>0.12886887468972025</v>
      </c>
      <c r="AS213" s="8"/>
      <c r="AT213" s="50">
        <f t="shared" ref="AT213:BB213" si="1704">IF(ISERROR(-AT175/AT174),"n.a.",-AT175/AT174)</f>
        <v>0.32613908872901681</v>
      </c>
      <c r="AU213" s="50">
        <f t="shared" si="1704"/>
        <v>0.33756684491978611</v>
      </c>
      <c r="AV213" s="50">
        <f t="shared" si="1704"/>
        <v>0.33114514952589352</v>
      </c>
      <c r="AW213" s="50">
        <f t="shared" si="1704"/>
        <v>0.33539891556932611</v>
      </c>
      <c r="AX213" s="50">
        <f t="shared" si="1704"/>
        <v>0.30606060606060603</v>
      </c>
      <c r="AY213" s="50">
        <f t="shared" si="1704"/>
        <v>0.27657992565055761</v>
      </c>
      <c r="AZ213" s="50">
        <f t="shared" si="1704"/>
        <v>0.23565573770491804</v>
      </c>
      <c r="BA213" s="50">
        <f t="shared" si="1704"/>
        <v>0.19781553398058252</v>
      </c>
      <c r="BB213" s="50">
        <f t="shared" si="1704"/>
        <v>0.2087857847976308</v>
      </c>
      <c r="BC213" s="50">
        <f t="shared" ref="BC213:BH213" si="1705">IF(ISERROR(-BC175/BC174),"n.a.",-BC175/BC174)</f>
        <v>0.20019020446980504</v>
      </c>
      <c r="BD213" s="50">
        <f t="shared" si="1705"/>
        <v>0.17427589592538045</v>
      </c>
      <c r="BE213" s="50">
        <f t="shared" si="1705"/>
        <v>0.18768046198267566</v>
      </c>
      <c r="BF213" s="50">
        <f t="shared" si="1705"/>
        <v>0.18122714343762697</v>
      </c>
      <c r="BG213" s="50">
        <f t="shared" si="1705"/>
        <v>0.17899358324890241</v>
      </c>
      <c r="BH213" s="50">
        <f t="shared" si="1705"/>
        <v>0.19788095980056092</v>
      </c>
      <c r="BI213" s="51">
        <f t="shared" ref="BI213" si="1706">IF(ISERROR(-BI175/BI174),"n.a.",-BI175/BI174)</f>
        <v>0.15848007414272475</v>
      </c>
      <c r="BJ213" s="50">
        <f t="shared" ref="BJ213:BK213" si="1707">IF(ISERROR(-BJ175/BJ174),"n.a.",-BJ175/BJ174)</f>
        <v>0.13601315955494972</v>
      </c>
      <c r="BK213" s="50">
        <f t="shared" si="1707"/>
        <v>0.13442385395524925</v>
      </c>
      <c r="BL213" s="50">
        <f t="shared" ref="BL213" si="1708">IF(ISERROR(-BL175/BL174),"n.a.",-BL175/BL174)</f>
        <v>0.13057776302230095</v>
      </c>
      <c r="BM213" s="50">
        <f t="shared" ref="BM213" si="1709">IF(ISERROR(-BM175/BM174),"n.a.",-BM175/BM174)</f>
        <v>0.1295201332740189</v>
      </c>
      <c r="BN213" s="50">
        <f t="shared" ref="BN213" si="1710">IF(ISERROR(-BN175/BN174),"n.a.",-BN175/BN174)</f>
        <v>0.12902213453060166</v>
      </c>
    </row>
    <row r="214" spans="1:66" ht="12" customHeight="1" outlineLevel="1">
      <c r="B214" s="1" t="s">
        <v>1110</v>
      </c>
      <c r="C214" s="69" t="str">
        <f t="shared" ref="C214:BB214" si="1711">IF(OR(ISERROR(-(C175+C185)/C174),C185=""),"n.a.",-(C175+C185)/C174)</f>
        <v>n.a.</v>
      </c>
      <c r="D214" s="69" t="str">
        <f t="shared" si="1711"/>
        <v>n.a.</v>
      </c>
      <c r="E214" s="69" t="str">
        <f t="shared" si="1711"/>
        <v>n.a.</v>
      </c>
      <c r="F214" s="69" t="str">
        <f t="shared" si="1711"/>
        <v>n.a.</v>
      </c>
      <c r="G214" s="69">
        <f t="shared" si="1711"/>
        <v>0.51376603241334651</v>
      </c>
      <c r="H214" s="69">
        <f t="shared" si="1711"/>
        <v>0.46803401110136433</v>
      </c>
      <c r="I214" s="69">
        <f t="shared" si="1711"/>
        <v>0.51185521211962803</v>
      </c>
      <c r="J214" s="69">
        <f t="shared" si="1711"/>
        <v>0.42300495148310302</v>
      </c>
      <c r="K214" s="69">
        <f t="shared" si="1711"/>
        <v>3.6858363575992708</v>
      </c>
      <c r="L214" s="69">
        <f t="shared" ref="L214:M214" si="1712">IF(OR(ISERROR(-(L175+L185)/L174),L185=""),"n.a.",-(L175+L185)/L174)</f>
        <v>-2.0390225667037334</v>
      </c>
      <c r="M214" s="69">
        <f t="shared" si="1712"/>
        <v>0.30213290498690865</v>
      </c>
      <c r="N214" s="69">
        <f t="shared" ref="N214:O214" si="1713">IF(OR(ISERROR(-(N175+N185)/N174),N185=""),"n.a.",-(N175+N185)/N174)</f>
        <v>0.32788576316833579</v>
      </c>
      <c r="O214" s="69">
        <f t="shared" si="1713"/>
        <v>0.30023479955481103</v>
      </c>
      <c r="P214" s="69">
        <f t="shared" ref="P214:Q214" si="1714">IF(OR(ISERROR(-(P175+P185)/P174),P185=""),"n.a.",-(P175+P185)/P174)</f>
        <v>0.32814210550212308</v>
      </c>
      <c r="Q214" s="69">
        <f t="shared" si="1714"/>
        <v>0.28118524374586629</v>
      </c>
      <c r="R214" s="69">
        <f t="shared" ref="R214:S214" si="1715">IF(OR(ISERROR(-(R175+R185)/R174),R185=""),"n.a.",-(R175+R185)/R174)</f>
        <v>0.30642502493178453</v>
      </c>
      <c r="S214" s="69">
        <f t="shared" si="1715"/>
        <v>0.38462436772968317</v>
      </c>
      <c r="T214" s="69">
        <f t="shared" ref="T214:U214" si="1716">IF(OR(ISERROR(-(T175+T185)/T174),T185=""),"n.a.",-(T175+T185)/T174)</f>
        <v>0.3212529780244831</v>
      </c>
      <c r="U214" s="69">
        <f t="shared" si="1716"/>
        <v>0.31942213870982</v>
      </c>
      <c r="V214" s="69">
        <f t="shared" ref="V214:W214" si="1717">IF(OR(ISERROR(-(V175+V185)/V174),V185=""),"n.a.",-(V175+V185)/V174)</f>
        <v>0.18591688440011783</v>
      </c>
      <c r="W214" s="69">
        <f t="shared" si="1717"/>
        <v>0.18892915898023768</v>
      </c>
      <c r="X214" s="69">
        <f t="shared" ref="X214:Y214" si="1718">IF(OR(ISERROR(-(X175+X185)/X174),X185=""),"n.a.",-(X175+X185)/X174)</f>
        <v>0.1420363248921909</v>
      </c>
      <c r="Y214" s="69">
        <f t="shared" si="1718"/>
        <v>0.16410513341485089</v>
      </c>
      <c r="Z214" s="69">
        <f t="shared" ref="Z214:AA214" si="1719">IF(OR(ISERROR(-(Z175+Z185)/Z174),Z185=""),"n.a.",-(Z175+Z185)/Z174)</f>
        <v>0.24738925234089934</v>
      </c>
      <c r="AA214" s="69">
        <f t="shared" si="1719"/>
        <v>0.19777831723727035</v>
      </c>
      <c r="AB214" s="69">
        <f t="shared" ref="AB214:AC214" si="1720">IF(OR(ISERROR(-(AB175+AB185)/AB174),AB185=""),"n.a.",-(AB175+AB185)/AB174)</f>
        <v>0.3221408113091016</v>
      </c>
      <c r="AC214" s="69">
        <f t="shared" si="1720"/>
        <v>0.220509988956932</v>
      </c>
      <c r="AD214" s="69">
        <f t="shared" ref="AD214:AE214" si="1721">IF(OR(ISERROR(-(AD175+AD185)/AD174),AD185=""),"n.a.",-(AD175+AD185)/AD174)</f>
        <v>0.22849712056474095</v>
      </c>
      <c r="AE214" s="69">
        <f t="shared" si="1721"/>
        <v>0.25730267246737104</v>
      </c>
      <c r="AF214" s="69">
        <f t="shared" ref="AF214:AG214" si="1722">IF(OR(ISERROR(-(AF175+AF185)/AF174),AF185=""),"n.a.",-(AF175+AF185)/AF174)</f>
        <v>0.23874999999999999</v>
      </c>
      <c r="AG214" s="69">
        <f t="shared" si="1722"/>
        <v>0.23221041253828134</v>
      </c>
      <c r="AH214" s="69">
        <f t="shared" ref="AH214" si="1723">IF(OR(ISERROR(-(AH175+AH185)/AH174),AH185=""),"n.a.",-(AH175+AH185)/AH174)</f>
        <v>0.18975512676300074</v>
      </c>
      <c r="AI214" s="89">
        <f t="shared" ref="AI214:AJ214" si="1724">IF(OR(ISERROR(-(AI175+AI185)/AI174),AI185=""),"n.a.",-(AI175+AI185)/AI174)</f>
        <v>0.18651470827238745</v>
      </c>
      <c r="AJ214" s="69">
        <f t="shared" si="1724"/>
        <v>0.19231679905010676</v>
      </c>
      <c r="AK214" s="69">
        <f t="shared" ref="AK214:AL214" si="1725">IF(OR(ISERROR(-(AK175+AK185)/AK174),AK185=""),"n.a.",-(AK175+AK185)/AK174)</f>
        <v>0.18917200446921725</v>
      </c>
      <c r="AL214" s="69">
        <f t="shared" si="1725"/>
        <v>0.18654455250637714</v>
      </c>
      <c r="AM214" s="69">
        <f t="shared" ref="AM214:AN214" si="1726">IF(OR(ISERROR(-(AM175+AM185)/AM174),AM185=""),"n.a.",-(AM175+AM185)/AM174)</f>
        <v>0.18460766039531429</v>
      </c>
      <c r="AN214" s="69">
        <f t="shared" si="1726"/>
        <v>0.18338652170661904</v>
      </c>
      <c r="AO214" s="69">
        <f t="shared" ref="AO214:AP214" si="1727">IF(OR(ISERROR(-(AO175+AO185)/AO174),AO185=""),"n.a.",-(AO175+AO185)/AO174)</f>
        <v>0.18314563811956724</v>
      </c>
      <c r="AP214" s="69">
        <f t="shared" si="1727"/>
        <v>0.18271728489148761</v>
      </c>
      <c r="AQ214" s="69">
        <f t="shared" ref="AQ214:AR214" si="1728">IF(OR(ISERROR(-(AQ175+AQ185)/AQ174),AQ185=""),"n.a.",-(AQ175+AQ185)/AQ174)</f>
        <v>0.18258766463287471</v>
      </c>
      <c r="AR214" s="69">
        <f t="shared" si="1728"/>
        <v>0.18227778091432612</v>
      </c>
      <c r="AT214" s="69" t="str">
        <f t="shared" si="1711"/>
        <v>n.a.</v>
      </c>
      <c r="AU214" s="69" t="str">
        <f t="shared" si="1711"/>
        <v>n.a.</v>
      </c>
      <c r="AV214" s="69">
        <f t="shared" si="1711"/>
        <v>0.4915171205132064</v>
      </c>
      <c r="AW214" s="69">
        <f t="shared" si="1711"/>
        <v>0.46808389859148714</v>
      </c>
      <c r="AX214" s="69">
        <f t="shared" si="1711"/>
        <v>0.85376599580392087</v>
      </c>
      <c r="AY214" s="69">
        <f t="shared" si="1711"/>
        <v>0.31515293737603167</v>
      </c>
      <c r="AZ214" s="69">
        <f t="shared" si="1711"/>
        <v>0.31411220305866572</v>
      </c>
      <c r="BA214" s="69">
        <f t="shared" si="1711"/>
        <v>0.29296278727254782</v>
      </c>
      <c r="BB214" s="69">
        <f t="shared" si="1711"/>
        <v>0.35296995194406494</v>
      </c>
      <c r="BC214" s="69">
        <f t="shared" ref="BC214:BH214" si="1729">IF(OR(ISERROR(-(BC175+BC185)/BC174),BC185=""),"n.a.",-(BC175+BC185)/BC174)</f>
        <v>0.25263776993482867</v>
      </c>
      <c r="BD214" s="69">
        <f t="shared" si="1729"/>
        <v>0.16554029327898315</v>
      </c>
      <c r="BE214" s="69">
        <f t="shared" si="1729"/>
        <v>0.20791145775853279</v>
      </c>
      <c r="BF214" s="69">
        <f t="shared" si="1729"/>
        <v>0.2633705631963264</v>
      </c>
      <c r="BG214" s="69">
        <f t="shared" si="1729"/>
        <v>0.2246586577893569</v>
      </c>
      <c r="BH214" s="69">
        <f t="shared" si="1729"/>
        <v>0.24805235275786849</v>
      </c>
      <c r="BI214" s="89">
        <f t="shared" ref="BI214" si="1730">IF(OR(ISERROR(-(BI175+BI185)/BI174),BI185=""),"n.a.",-(BI175+BI185)/BI174)</f>
        <v>0.210556511761331</v>
      </c>
      <c r="BJ214" s="69">
        <f t="shared" ref="BJ214:BK214" si="1731">IF(OR(ISERROR(-(BJ175+BJ185)/BJ174),BJ185=""),"n.a.",-(BJ175+BJ185)/BJ174)</f>
        <v>0.18942206577955559</v>
      </c>
      <c r="BK214" s="69">
        <f t="shared" si="1731"/>
        <v>0.18783276017985512</v>
      </c>
      <c r="BL214" s="69">
        <f t="shared" ref="BL214" si="1732">IF(OR(ISERROR(-(BL175+BL185)/BL174),BL185=""),"n.a.",-(BL175+BL185)/BL174)</f>
        <v>0.18398666924690682</v>
      </c>
      <c r="BM214" s="69">
        <f t="shared" ref="BM214" si="1733">IF(OR(ISERROR(-(BM175+BM185)/BM174),BM185=""),"n.a.",-(BM175+BM185)/BM174)</f>
        <v>0.18292903949862477</v>
      </c>
      <c r="BN214" s="69">
        <f t="shared" ref="BN214" si="1734">IF(OR(ISERROR(-(BN175+BN185)/BN174),BN185=""),"n.a.",-(BN175+BN185)/BN174)</f>
        <v>0.18243104075520752</v>
      </c>
    </row>
    <row r="215" spans="1:66" ht="12" customHeight="1" outlineLevel="1">
      <c r="B215" s="1" t="s">
        <v>79</v>
      </c>
      <c r="C215" s="37">
        <f t="shared" ref="C215:I215" si="1735">IF(ISERROR(-C177*C$5/AVERAGE(B191:C191)),"n.a.",-C177*C$5/AVERAGE(B191:C191))</f>
        <v>1.3557256749662247E-2</v>
      </c>
      <c r="D215" s="37">
        <f t="shared" si="1735"/>
        <v>1.7147325694132843E-2</v>
      </c>
      <c r="E215" s="37">
        <f t="shared" si="1735"/>
        <v>1.7710050525162637E-2</v>
      </c>
      <c r="F215" s="37">
        <f t="shared" si="1735"/>
        <v>2.0551137794651491E-2</v>
      </c>
      <c r="G215" s="37">
        <f t="shared" si="1735"/>
        <v>1.7307657923438646E-2</v>
      </c>
      <c r="H215" s="37">
        <f t="shared" si="1735"/>
        <v>1.7439819689999816E-2</v>
      </c>
      <c r="I215" s="37">
        <f t="shared" si="1735"/>
        <v>1.6437761119618283E-2</v>
      </c>
      <c r="J215" s="37">
        <f t="shared" ref="J215:AI215" si="1736">IF(ISERROR(-J177*J$5/AVERAGE(I191:J191)),"n.a.",-J177*J$5/AVERAGE(I191:J191))</f>
        <v>1.8107785123043136E-2</v>
      </c>
      <c r="K215" s="37">
        <f t="shared" si="1736"/>
        <v>1.8007724080224656E-2</v>
      </c>
      <c r="L215" s="37">
        <f t="shared" si="1736"/>
        <v>1.6202165423978423E-2</v>
      </c>
      <c r="M215" s="78">
        <f t="shared" si="1736"/>
        <v>1.5274492175882795E-2</v>
      </c>
      <c r="N215" s="78">
        <f t="shared" si="1736"/>
        <v>1.4364407689846074E-2</v>
      </c>
      <c r="O215" s="78">
        <f t="shared" si="1736"/>
        <v>1.4875861711501581E-2</v>
      </c>
      <c r="P215" s="78">
        <f t="shared" si="1736"/>
        <v>1.3851810809449453E-2</v>
      </c>
      <c r="Q215" s="78">
        <f t="shared" si="1736"/>
        <v>1.7452504734322211E-2</v>
      </c>
      <c r="R215" s="78">
        <f t="shared" si="1736"/>
        <v>1.353474937913534E-2</v>
      </c>
      <c r="S215" s="78">
        <f t="shared" si="1736"/>
        <v>1.6908085657842038E-2</v>
      </c>
      <c r="T215" s="78">
        <f t="shared" si="1736"/>
        <v>1.3329768989625424E-2</v>
      </c>
      <c r="U215" s="78">
        <f t="shared" si="1736"/>
        <v>1.1488513964948707E-2</v>
      </c>
      <c r="V215" s="78">
        <f t="shared" si="1736"/>
        <v>1.1631983173459957E-2</v>
      </c>
      <c r="W215" s="78">
        <f t="shared" si="1736"/>
        <v>1.1026338186227622E-2</v>
      </c>
      <c r="X215" s="78">
        <f t="shared" si="1736"/>
        <v>1.027077497665733E-2</v>
      </c>
      <c r="Y215" s="78">
        <f t="shared" si="1736"/>
        <v>9.9207209991138256E-3</v>
      </c>
      <c r="Z215" s="78">
        <f t="shared" si="1736"/>
        <v>9.0694660106231343E-3</v>
      </c>
      <c r="AA215" s="78">
        <f t="shared" si="1736"/>
        <v>8.5738687307587262E-3</v>
      </c>
      <c r="AB215" s="78">
        <f t="shared" si="1736"/>
        <v>9.478157279907546E-3</v>
      </c>
      <c r="AC215" s="78">
        <f t="shared" si="1736"/>
        <v>8.9237520815589645E-3</v>
      </c>
      <c r="AD215" s="78">
        <f t="shared" si="1736"/>
        <v>9.2897957084581099E-3</v>
      </c>
      <c r="AE215" s="78">
        <f t="shared" si="1736"/>
        <v>8.8348227938428083E-3</v>
      </c>
      <c r="AF215" s="78">
        <f t="shared" si="1736"/>
        <v>8.6684185895820592E-3</v>
      </c>
      <c r="AG215" s="78">
        <f t="shared" si="1736"/>
        <v>7.5694977227396334E-3</v>
      </c>
      <c r="AH215" s="78">
        <f t="shared" si="1736"/>
        <v>7.7566497376726487E-3</v>
      </c>
      <c r="AI215" s="88">
        <f t="shared" si="1736"/>
        <v>7.3804952151379465E-3</v>
      </c>
      <c r="AJ215" s="66">
        <f>AI215</f>
        <v>7.3804952151379465E-3</v>
      </c>
      <c r="AK215" s="66">
        <f>AJ215-0.02%</f>
        <v>7.1804952151379468E-3</v>
      </c>
      <c r="AL215" s="66">
        <f t="shared" ref="AL215:AM215" si="1737">AK215-0.02%</f>
        <v>6.9804952151379471E-3</v>
      </c>
      <c r="AM215" s="66">
        <f t="shared" si="1737"/>
        <v>6.7804952151379475E-3</v>
      </c>
      <c r="AN215" s="66">
        <f>AM215-0.01%</f>
        <v>6.6804952151379472E-3</v>
      </c>
      <c r="AO215" s="66">
        <f t="shared" ref="AO215:AR215" si="1738">AN215-0.01%</f>
        <v>6.580495215137947E-3</v>
      </c>
      <c r="AP215" s="66">
        <f t="shared" si="1738"/>
        <v>6.4804952151379467E-3</v>
      </c>
      <c r="AQ215" s="66">
        <f t="shared" si="1738"/>
        <v>6.3804952151379464E-3</v>
      </c>
      <c r="AR215" s="66">
        <f t="shared" si="1738"/>
        <v>6.2804952151379462E-3</v>
      </c>
      <c r="AS215" s="8"/>
      <c r="AT215" s="37">
        <f>IF(ISERROR(-AT177*AT$5/AVERAGE(T191:AT191)),"n.a.",-AT177*AT$5/AVERAGE(T191:AT191))</f>
        <v>3.0787647052428198E-3</v>
      </c>
      <c r="AU215" s="37">
        <f>IF(ISERROR(-AU177*AU$5/AVERAGE(AT191:AU191)),"n.a.",-AU177*AU$5/AVERAGE(AT191:AU191))</f>
        <v>1.9144144144144143E-2</v>
      </c>
      <c r="AV215" s="37">
        <f>IF(ISERROR(-AV177*AV$5/AVERAGE(AU191:AV191)),"n.a.",-AV177*AV$5/AVERAGE(AU191:AV191))</f>
        <v>1.7154136012919433E-2</v>
      </c>
      <c r="AW215" s="37">
        <f>IF(ISERROR(-AW177*AW$5/AVERAGE(AV191:AW191)),"n.a.",-AW177*AW$5/AVERAGE(AV191:AW191))</f>
        <v>1.7232927335118216E-2</v>
      </c>
      <c r="AX215" s="37">
        <f t="shared" ref="AX215:BB215" si="1739">IF(ISERROR(-AX177*AX$5/AVERAGE(AW191:AX191)),"n.a.",-AX177*AX$5/AVERAGE(AW191:AX191))</f>
        <v>1.7527161713208225E-2</v>
      </c>
      <c r="AY215" s="37">
        <f t="shared" si="1739"/>
        <v>1.4650043352169103E-2</v>
      </c>
      <c r="AZ215" s="37">
        <f t="shared" si="1739"/>
        <v>1.4634654445080985E-2</v>
      </c>
      <c r="BA215" s="37">
        <f t="shared" si="1739"/>
        <v>1.5484103673932086E-2</v>
      </c>
      <c r="BB215" s="37">
        <f t="shared" si="1739"/>
        <v>1.3516590424540995E-2</v>
      </c>
      <c r="BC215" s="37">
        <f t="shared" ref="BC215" si="1740">IF(ISERROR(-BC177*BC$5/AVERAGE(BB191:BC191)),"n.a.",-BC177*BC$5/AVERAGE(BB191:BC191))</f>
        <v>1.1600454214967854E-2</v>
      </c>
      <c r="BD215" s="37">
        <f t="shared" ref="BD215" si="1741">IF(ISERROR(-BD177*BD$5/AVERAGE(BC191:BD191)),"n.a.",-BD177*BD$5/AVERAGE(BC191:BD191))</f>
        <v>1.0521152492731164E-2</v>
      </c>
      <c r="BE215" s="37">
        <f t="shared" ref="BE215" si="1742">IF(ISERROR(-BE177*BE$5/AVERAGE(BD191:BE191)),"n.a.",-BE177*BE$5/AVERAGE(BD191:BE191))</f>
        <v>9.2813259721440458E-3</v>
      </c>
      <c r="BF215" s="37">
        <f t="shared" ref="BF215" si="1743">IF(ISERROR(-BF177*BF$5/AVERAGE(BE191:BF191)),"n.a.",-BF177*BF$5/AVERAGE(BE191:BF191))</f>
        <v>9.0200616900694888E-3</v>
      </c>
      <c r="BG215" s="37">
        <f t="shared" ref="BG215" si="1744">IF(ISERROR(-BG177*BG$5/AVERAGE(BF191:BG191)),"n.a.",-BG177*BG$5/AVERAGE(BF191:BG191))</f>
        <v>9.1942918771262833E-3</v>
      </c>
      <c r="BH215" s="37">
        <f t="shared" ref="BH215:BJ215" si="1745">IF(ISERROR(-BH177*BH$5/AVERAGE(BG191:BH191)),"n.a.",-BH177*BH$5/AVERAGE(BG191:BH191))</f>
        <v>8.7594688234491052E-3</v>
      </c>
      <c r="BI215" s="38">
        <f t="shared" si="1745"/>
        <v>7.6509640673258633E-3</v>
      </c>
      <c r="BJ215" s="37">
        <f t="shared" si="1745"/>
        <v>7.4578868505132088E-3</v>
      </c>
      <c r="BK215" s="37">
        <f>IF(ISERROR(-BK177*BK$5/AVERAGE(BK191:BK191)),"n.a.",-BK177*BK$5/AVERAGE(BK191:BK191))</f>
        <v>6.7285279389934644E-3</v>
      </c>
      <c r="BL215" s="37">
        <f>IF(ISERROR(-BL177*BL$5/AVERAGE(BL191:BL191)),"n.a.",-BL177*BL$5/AVERAGE(BL191:BL191))</f>
        <v>6.4807557236564338E-3</v>
      </c>
      <c r="BM215" s="37">
        <f>IF(ISERROR(-BM177*BM$5/AVERAGE(BM191:BM191)),"n.a.",-BM177*BM$5/AVERAGE(BM191:BM191))</f>
        <v>6.3171497556004505E-3</v>
      </c>
      <c r="BN215" s="37">
        <f>IF(ISERROR(-BN177*BO$5/AVERAGE(BN191:BN191)),"n.a.",-BN177*BO$5/AVERAGE(BN191:BN191))</f>
        <v>0</v>
      </c>
    </row>
    <row r="216" spans="1:66" ht="12" customHeight="1" outlineLevel="1">
      <c r="B216" s="1" t="s">
        <v>68</v>
      </c>
      <c r="C216" s="50" t="str">
        <f>IF(ISERROR(C177/B177),"n.a.",C177/B177-1)</f>
        <v>n.a.</v>
      </c>
      <c r="D216" s="50">
        <f>IF(ISERROR(D177/C177),"n.a.",D177/C177-1)</f>
        <v>0.26368159203980102</v>
      </c>
      <c r="E216" s="50">
        <f t="shared" ref="E216:M216" si="1746">IF(ISERROR(E177/D177),"n.a.",E177/D177-1)</f>
        <v>3.5433070866141669E-2</v>
      </c>
      <c r="F216" s="50">
        <f t="shared" si="1746"/>
        <v>0.13307984790874516</v>
      </c>
      <c r="G216" s="50">
        <f t="shared" si="1746"/>
        <v>-0.18791946308724827</v>
      </c>
      <c r="H216" s="50">
        <f t="shared" si="1746"/>
        <v>-2.4793388429752095E-2</v>
      </c>
      <c r="I216" s="50">
        <f t="shared" si="1746"/>
        <v>-6.7796610169491567E-2</v>
      </c>
      <c r="J216" s="50">
        <f t="shared" si="1746"/>
        <v>7.7272727272727382E-2</v>
      </c>
      <c r="K216" s="50">
        <f t="shared" si="1746"/>
        <v>5.4852320675105481E-2</v>
      </c>
      <c r="L216" s="50">
        <f t="shared" si="1746"/>
        <v>-4.8000000000000043E-2</v>
      </c>
      <c r="M216" s="69">
        <f t="shared" si="1746"/>
        <v>4.2016806722688926E-3</v>
      </c>
      <c r="N216" s="69">
        <f t="shared" ref="N216" si="1747">IF(ISERROR(N177/M177),"n.a.",N177/M177-1)</f>
        <v>5.0209205020920411E-2</v>
      </c>
      <c r="O216" s="69">
        <f t="shared" ref="O216:AH216" si="1748">IF(ISERROR(O177/N177),"n.a.",O177/N177-1)</f>
        <v>0.14342629482071723</v>
      </c>
      <c r="P216" s="69">
        <f t="shared" si="1748"/>
        <v>-4.181184668989546E-2</v>
      </c>
      <c r="Q216" s="69">
        <f t="shared" si="1748"/>
        <v>0.24363636363636365</v>
      </c>
      <c r="R216" s="69">
        <f t="shared" si="1748"/>
        <v>-0.24269005847953218</v>
      </c>
      <c r="S216" s="69">
        <f t="shared" si="1748"/>
        <v>0.26640926640926632</v>
      </c>
      <c r="T216" s="69">
        <f t="shared" si="1748"/>
        <v>-9.1463414634146423E-3</v>
      </c>
      <c r="U216" s="69">
        <f t="shared" si="1748"/>
        <v>6.4615384615384519E-2</v>
      </c>
      <c r="V216" s="69">
        <f t="shared" si="1748"/>
        <v>5.2023121387283267E-2</v>
      </c>
      <c r="W216" s="69">
        <f t="shared" si="1748"/>
        <v>5.494505494505475E-3</v>
      </c>
      <c r="X216" s="69">
        <f t="shared" si="1748"/>
        <v>2.1857923497267784E-2</v>
      </c>
      <c r="Y216" s="69">
        <f t="shared" si="1748"/>
        <v>4.2780748663101553E-2</v>
      </c>
      <c r="Z216" s="69">
        <f t="shared" si="1748"/>
        <v>-1.2820512820512775E-2</v>
      </c>
      <c r="AA216" s="69">
        <f t="shared" si="1748"/>
        <v>6.2337662337662358E-2</v>
      </c>
      <c r="AB216" s="69">
        <f t="shared" si="1748"/>
        <v>0.22004889975550124</v>
      </c>
      <c r="AC216" s="69">
        <f t="shared" si="1748"/>
        <v>4.609218436873741E-2</v>
      </c>
      <c r="AD216" s="69">
        <f t="shared" si="1748"/>
        <v>0.11494252873563227</v>
      </c>
      <c r="AE216" s="69">
        <f t="shared" si="1748"/>
        <v>5.1546391752577136E-3</v>
      </c>
      <c r="AF216" s="69">
        <f t="shared" si="1748"/>
        <v>2.9059829059828957E-2</v>
      </c>
      <c r="AG216" s="69">
        <f t="shared" si="1748"/>
        <v>-7.3089700996677776E-2</v>
      </c>
      <c r="AH216" s="69">
        <f t="shared" si="1748"/>
        <v>9.3189964157706084E-2</v>
      </c>
      <c r="AI216" s="89">
        <f t="shared" ref="AI216" si="1749">IF(ISERROR(AI177/AH177),"n.a.",AI177/AH177-1)</f>
        <v>4.7540983606557452E-2</v>
      </c>
      <c r="AJ216" s="50">
        <f t="shared" ref="AJ216" si="1750">IF(ISERROR(AJ177/AI177),"n.a.",AJ177/AI177-1)</f>
        <v>8.0353505312183549E-2</v>
      </c>
      <c r="AK216" s="50">
        <f t="shared" ref="AK216" si="1751">IF(ISERROR(AK177/AJ177),"n.a.",AK177/AJ177-1)</f>
        <v>3.5442576263856385E-2</v>
      </c>
      <c r="AL216" s="50">
        <f t="shared" ref="AL216" si="1752">IF(ISERROR(AL177/AK177),"n.a.",AL177/AK177-1)</f>
        <v>1.8727334152085717E-2</v>
      </c>
      <c r="AM216" s="50">
        <f t="shared" ref="AM216" si="1753">IF(ISERROR(AM177/AL177),"n.a.",AM177/AL177-1)</f>
        <v>1.9071085520801834E-2</v>
      </c>
      <c r="AN216" s="50">
        <f t="shared" ref="AN216" si="1754">IF(ISERROR(AN177/AM177),"n.a.",AN177/AM177-1)</f>
        <v>2.4248061065188509E-2</v>
      </c>
      <c r="AO216" s="50">
        <f t="shared" ref="AO216" si="1755">IF(ISERROR(AO177/AN177),"n.a.",AO177/AN177-1)</f>
        <v>2.3470608973417795E-2</v>
      </c>
      <c r="AP216" s="50">
        <f t="shared" ref="AP216" si="1756">IF(ISERROR(AP177/AO177),"n.a.",AP177/AO177-1)</f>
        <v>1.2813776996731585E-2</v>
      </c>
      <c r="AQ216" s="50">
        <f t="shared" ref="AQ216" si="1757">IF(ISERROR(AQ177/AP177),"n.a.",AQ177/AP177-1)</f>
        <v>2.2986899421362228E-2</v>
      </c>
      <c r="AR216" s="50">
        <f t="shared" ref="AR216" si="1758">IF(ISERROR(AR177/AQ177),"n.a.",AR177/AQ177-1)</f>
        <v>1.1415915096777196E-2</v>
      </c>
      <c r="AS216" s="8"/>
      <c r="AT216" s="50">
        <f>IF(ISERROR(AT177/T177),"n.a.",AT177/T177-1)</f>
        <v>0.39999999999999991</v>
      </c>
      <c r="AU216" s="50">
        <f>IF(ISERROR(AU177/AT177),"n.a.",AU177/AT177-1)</f>
        <v>0.23296703296703303</v>
      </c>
      <c r="AV216" s="50">
        <f>IF(ISERROR(AV177/AU177),"n.a.",AV177/AU177-1)</f>
        <v>-0.14795008912655971</v>
      </c>
      <c r="AW216" s="50">
        <f>IF(ISERROR(AW177/AV177),"n.a.",AW177/AV177-1)</f>
        <v>-4.3933054393305415E-2</v>
      </c>
      <c r="AX216" s="50">
        <f t="shared" ref="AX216:BB216" si="1759">IF(ISERROR(AX177/AW177),"n.a.",AX177/AW177-1)</f>
        <v>6.7833698030634659E-2</v>
      </c>
      <c r="AY216" s="50">
        <f t="shared" si="1759"/>
        <v>4.098360655737654E-3</v>
      </c>
      <c r="AZ216" s="50">
        <f t="shared" si="1759"/>
        <v>0.14693877551020407</v>
      </c>
      <c r="BA216" s="50">
        <f t="shared" si="1759"/>
        <v>6.9395017793594249E-2</v>
      </c>
      <c r="BB216" s="50">
        <f t="shared" si="1759"/>
        <v>8.652246256239593E-2</v>
      </c>
      <c r="BC216" s="50">
        <f t="shared" ref="BC216" si="1760">IF(ISERROR(BC177/BB177),"n.a.",BC177/BB177-1)</f>
        <v>8.7289433384379889E-2</v>
      </c>
      <c r="BD216" s="50">
        <f t="shared" ref="BD216" si="1761">IF(ISERROR(BD177/BC177),"n.a.",BD177/BC177-1)</f>
        <v>4.2253521126760507E-2</v>
      </c>
      <c r="BE216" s="50">
        <f t="shared" ref="BE216" si="1762">IF(ISERROR(BE177/BD177),"n.a.",BE177/BD177-1)</f>
        <v>4.7297297297297369E-2</v>
      </c>
      <c r="BF216" s="50">
        <f t="shared" ref="BF216" si="1763">IF(ISERROR(BF177/BE177),"n.a.",BF177/BE177-1)</f>
        <v>0.17161290322580647</v>
      </c>
      <c r="BG216" s="50">
        <f t="shared" ref="BG216" si="1764">IF(ISERROR(BG177/BF177),"n.a.",BG177/BF177-1)</f>
        <v>0.21585903083700431</v>
      </c>
      <c r="BH216" s="50">
        <f t="shared" ref="BH216:BM216" si="1765">IF(ISERROR(BH177/BG177),"n.a.",BH177/BG177-1)</f>
        <v>7.51811594202898E-2</v>
      </c>
      <c r="BI216" s="51">
        <f t="shared" si="1765"/>
        <v>-1.6006739679865212E-2</v>
      </c>
      <c r="BJ216" s="50">
        <f t="shared" si="1765"/>
        <v>0.13813860436171677</v>
      </c>
      <c r="BK216" s="50">
        <f t="shared" si="1765"/>
        <v>8.550650077787636E-2</v>
      </c>
      <c r="BL216" s="50">
        <f t="shared" si="1765"/>
        <v>4.0994672553814837E-2</v>
      </c>
      <c r="BM216" s="50">
        <f t="shared" si="1765"/>
        <v>4.2366368089578277E-2</v>
      </c>
      <c r="BN216" s="50">
        <f>IF(ISERROR(BN177/BM177),"n.a.",BN177/BM177-1)</f>
        <v>3.5375676470848383E-2</v>
      </c>
    </row>
    <row r="217" spans="1:66" ht="12" customHeight="1" outlineLevel="1">
      <c r="B217" s="1" t="s">
        <v>80</v>
      </c>
      <c r="C217" s="50">
        <f>IF(ISERROR(-SUM(C175:C177)/C174),"n.a.",-SUM(C175:C177)/C174)</f>
        <v>0.76190476190476186</v>
      </c>
      <c r="D217" s="50">
        <f>IF(ISERROR(-SUM(D175:D177)/D174),"n.a.",-SUM(D175:D177)/D174)</f>
        <v>0.80844645550527905</v>
      </c>
      <c r="E217" s="50">
        <f t="shared" ref="E217:J217" si="1766">IF(ISERROR(-SUM(E175:E177)/E174),"n.a.",-SUM(E175:E177)/E174)</f>
        <v>0.80958904109589036</v>
      </c>
      <c r="F217" s="50">
        <f t="shared" si="1766"/>
        <v>0.81592689295039167</v>
      </c>
      <c r="G217" s="50">
        <f t="shared" si="1766"/>
        <v>0.79403409090909094</v>
      </c>
      <c r="H217" s="50">
        <f t="shared" si="1766"/>
        <v>0.80509745127436283</v>
      </c>
      <c r="I217" s="50">
        <f t="shared" si="1766"/>
        <v>0.81068702290076333</v>
      </c>
      <c r="J217" s="50">
        <f t="shared" si="1766"/>
        <v>0.81289308176100628</v>
      </c>
      <c r="K217" s="50">
        <f t="shared" ref="K217:L217" si="1767">IF(ISERROR(-SUM(K175:K177)/K174),"n.a.",-SUM(K175:K177)/K174)</f>
        <v>0.83358320839580213</v>
      </c>
      <c r="L217" s="50">
        <f t="shared" si="1767"/>
        <v>0.77182235834609492</v>
      </c>
      <c r="M217" s="69">
        <f t="shared" ref="M217" si="1768">IF(ISERROR(-SUM(M175:M177)/M174),"n.a.",-SUM(M175:M177)/M174)</f>
        <v>0.7879699248120301</v>
      </c>
      <c r="N217" s="69">
        <f t="shared" ref="N217:O217" si="1769">IF(ISERROR(-SUM(N175:N177)/N174),"n.a.",-SUM(N175:N177)/N174)</f>
        <v>0.78823529411764703</v>
      </c>
      <c r="O217" s="69">
        <f t="shared" si="1769"/>
        <v>0.76902173913043481</v>
      </c>
      <c r="P217" s="69">
        <f t="shared" ref="P217:Q217" si="1770">IF(ISERROR(-SUM(P175:P177)/P174),"n.a.",-SUM(P175:P177)/P174)</f>
        <v>0.75274725274725274</v>
      </c>
      <c r="Q217" s="69">
        <f t="shared" si="1770"/>
        <v>0.70307167235494883</v>
      </c>
      <c r="R217" s="69">
        <f t="shared" ref="R217:S217" si="1771">IF(ISERROR(-SUM(R175:R177)/R174),"n.a.",-SUM(R175:R177)/R174)</f>
        <v>0.67230169050715216</v>
      </c>
      <c r="S217" s="69">
        <f t="shared" si="1771"/>
        <v>0.62820512820512819</v>
      </c>
      <c r="T217" s="69">
        <f t="shared" ref="T217:U217" si="1772">IF(ISERROR(-SUM(T175:T177)/T174),"n.a.",-SUM(T175:T177)/T174)</f>
        <v>0.64426877470355737</v>
      </c>
      <c r="U217" s="69">
        <f t="shared" si="1772"/>
        <v>0.64034253092293059</v>
      </c>
      <c r="V217" s="69">
        <f t="shared" ref="V217:W217" si="1773">IF(ISERROR(-SUM(V175:V177)/V174),"n.a.",-SUM(V175:V177)/V174)</f>
        <v>0.64068441064638781</v>
      </c>
      <c r="W217" s="69">
        <f t="shared" si="1773"/>
        <v>0.62291870714985309</v>
      </c>
      <c r="X217" s="69">
        <f t="shared" ref="X217:Y217" si="1774">IF(ISERROR(-SUM(X175:X177)/X174),"n.a.",-SUM(X175:X177)/X174)</f>
        <v>0.62106299212598426</v>
      </c>
      <c r="Y217" s="69">
        <f t="shared" si="1774"/>
        <v>0.67817258883248732</v>
      </c>
      <c r="Z217" s="69">
        <f t="shared" ref="Z217:AA217" si="1775">IF(ISERROR(-SUM(Z175:Z177)/Z174),"n.a.",-SUM(Z175:Z177)/Z174)</f>
        <v>0.58462946020128093</v>
      </c>
      <c r="AA217" s="69">
        <f t="shared" si="1775"/>
        <v>0.58555460017196903</v>
      </c>
      <c r="AB217" s="69">
        <f t="shared" ref="AB217:AC217" si="1776">IF(ISERROR(-SUM(AB175:AB177)/AB174),"n.a.",-SUM(AB175:AB177)/AB174)</f>
        <v>0.60015408320493069</v>
      </c>
      <c r="AC217" s="69">
        <f t="shared" si="1776"/>
        <v>0.59241040056219252</v>
      </c>
      <c r="AD217" s="69">
        <f t="shared" ref="AD217:AE217" si="1777">IF(ISERROR(-SUM(AD175:AD177)/AD174),"n.a.",-SUM(AD175:AD177)/AD174)</f>
        <v>0.59557867360208061</v>
      </c>
      <c r="AE217" s="69">
        <f t="shared" si="1777"/>
        <v>0.60348042262274704</v>
      </c>
      <c r="AF217" s="69">
        <f t="shared" ref="AF217:AG217" si="1778">IF(ISERROR(-SUM(AF175:AF177)/AF174),"n.a.",-SUM(AF175:AF177)/AF174)</f>
        <v>0.62312500000000004</v>
      </c>
      <c r="AG217" s="69">
        <f t="shared" si="1778"/>
        <v>0.5901639344262295</v>
      </c>
      <c r="AH217" s="69">
        <f t="shared" ref="AH217" si="1779">IF(ISERROR(-SUM(AH175:AH177)/AH174),"n.a.",-SUM(AH175:AH177)/AH174)</f>
        <v>0.55784373107207752</v>
      </c>
      <c r="AI217" s="89">
        <f t="shared" ref="AI217:AJ217" si="1780">IF(ISERROR(-SUM(AI175:AI177)/AI174),"n.a.",-SUM(AI175:AI177)/AI174)</f>
        <v>0.54891922639362911</v>
      </c>
      <c r="AJ217" s="69">
        <f t="shared" si="1780"/>
        <v>0.58320086172927377</v>
      </c>
      <c r="AK217" s="69">
        <f t="shared" ref="AK217:AL217" si="1781">IF(ISERROR(-SUM(AK175:AK177)/AK174),"n.a.",-SUM(AK175:AK177)/AK174)</f>
        <v>0.57165267882368509</v>
      </c>
      <c r="AL217" s="69">
        <f t="shared" si="1781"/>
        <v>0.56077805571793848</v>
      </c>
      <c r="AM217" s="69">
        <f t="shared" ref="AM217:AN217" si="1782">IF(ISERROR(-SUM(AM175:AM177)/AM174),"n.a.",-SUM(AM175:AM177)/AM174)</f>
        <v>0.54948293247012958</v>
      </c>
      <c r="AN217" s="69">
        <f t="shared" si="1782"/>
        <v>0.54425831657661028</v>
      </c>
      <c r="AO217" s="69">
        <f t="shared" ref="AO217:AP217" si="1783">IF(ISERROR(-SUM(AO175:AO177)/AO174),"n.a.",-SUM(AO175:AO177)/AO174)</f>
        <v>0.54173777838739146</v>
      </c>
      <c r="AP217" s="69">
        <f t="shared" si="1783"/>
        <v>0.53805881279638101</v>
      </c>
      <c r="AQ217" s="69">
        <f t="shared" ref="AQ217:AR217" si="1784">IF(ISERROR(-SUM(AQ175:AQ177)/AQ174),"n.a.",-SUM(AQ175:AQ177)/AQ174)</f>
        <v>0.53475171249353537</v>
      </c>
      <c r="AR217" s="69">
        <f t="shared" si="1784"/>
        <v>0.53113878403032055</v>
      </c>
      <c r="AS217" s="8"/>
      <c r="AT217" s="50">
        <f t="shared" ref="AT217:BB217" si="1785">IF(ISERROR(-SUM(AT175:AT177)/AT174),"n.a.",-SUM(AT175:AT177)/AT174)</f>
        <v>0.78657074340527577</v>
      </c>
      <c r="AU217" s="50">
        <f t="shared" si="1785"/>
        <v>0.81283422459893051</v>
      </c>
      <c r="AV217" s="50">
        <f t="shared" si="1785"/>
        <v>0.79941648431801604</v>
      </c>
      <c r="AW217" s="50">
        <f t="shared" si="1785"/>
        <v>0.81177381874515875</v>
      </c>
      <c r="AX217" s="50">
        <f t="shared" si="1785"/>
        <v>0.80303030303030298</v>
      </c>
      <c r="AY217" s="50">
        <f t="shared" si="1785"/>
        <v>0.78810408921933084</v>
      </c>
      <c r="AZ217" s="50">
        <f t="shared" si="1785"/>
        <v>0.76092896174863389</v>
      </c>
      <c r="BA217" s="50">
        <f t="shared" si="1785"/>
        <v>0.68871359223300976</v>
      </c>
      <c r="BB217" s="50">
        <f t="shared" si="1785"/>
        <v>0.63622902270483717</v>
      </c>
      <c r="BC217" s="50">
        <f t="shared" ref="BC217:BH217" si="1786">IF(ISERROR(-SUM(BC175:BC177)/BC174),"n.a.",-SUM(BC175:BC177)/BC174)</f>
        <v>0.6405135520684736</v>
      </c>
      <c r="BD217" s="50">
        <f t="shared" si="1786"/>
        <v>0.62199312714776633</v>
      </c>
      <c r="BE217" s="50">
        <f t="shared" si="1786"/>
        <v>0.62897016361886426</v>
      </c>
      <c r="BF217" s="50">
        <f t="shared" si="1786"/>
        <v>0.59325477448191788</v>
      </c>
      <c r="BG217" s="50">
        <f t="shared" si="1786"/>
        <v>0.59405606214116857</v>
      </c>
      <c r="BH217" s="50">
        <f t="shared" si="1786"/>
        <v>0.61327516360236833</v>
      </c>
      <c r="BI217" s="51">
        <f t="shared" ref="BI217" si="1787">IF(ISERROR(-SUM(BI175:BI177)/BI174),"n.a.",-SUM(BI175:BI177)/BI174)</f>
        <v>0.57367933271547733</v>
      </c>
      <c r="BJ217" s="50">
        <f t="shared" ref="BJ217:BK217" si="1788">IF(ISERROR(-SUM(BJ175:BJ177)/BJ174),"n.a.",-SUM(BJ175:BJ177)/BJ174)</f>
        <v>0.56609733919286831</v>
      </c>
      <c r="BK217" s="50">
        <f t="shared" si="1788"/>
        <v>0.56610975088463578</v>
      </c>
      <c r="BL217" s="50">
        <f t="shared" ref="BL217" si="1789">IF(ISERROR(-SUM(BL175:BL177)/BL174),"n.a.",-SUM(BL175:BL177)/BL174)</f>
        <v>0.54682603505647775</v>
      </c>
      <c r="BM217" s="50">
        <f t="shared" ref="BM217" si="1790">IF(ISERROR(-SUM(BM175:BM177)/BM174),"n.a.",-SUM(BM175:BM177)/BM174)</f>
        <v>0.53987749388088691</v>
      </c>
      <c r="BN217" s="50">
        <f t="shared" ref="BN217" si="1791">IF(ISERROR(-SUM(BN175:BN177)/BN174),"n.a.",-SUM(BN175:BN177)/BN174)</f>
        <v>0.53292563764102874</v>
      </c>
    </row>
    <row r="218" spans="1:66" ht="12" customHeight="1" outlineLevel="1">
      <c r="B218" s="1" t="s">
        <v>81</v>
      </c>
      <c r="C218" s="70">
        <f>IF(ISERROR(C191/C192),"n.a.",C191/C192)</f>
        <v>44.78866963951436</v>
      </c>
      <c r="D218" s="70">
        <f>IF(ISERROR(D191/D192),"n.a.",D191/D192)</f>
        <v>44.070422457174139</v>
      </c>
      <c r="E218" s="70">
        <f t="shared" ref="E218:J218" si="1792">IF(ISERROR(E191/E192),"n.a.",E191/E192)</f>
        <v>42.67620072924877</v>
      </c>
      <c r="F218" s="70">
        <f t="shared" si="1792"/>
        <v>41.440404120695689</v>
      </c>
      <c r="G218" s="70">
        <f t="shared" si="1792"/>
        <v>38.805714285714288</v>
      </c>
      <c r="H218" s="70">
        <f t="shared" si="1792"/>
        <v>38.521428571428572</v>
      </c>
      <c r="I218" s="70">
        <f t="shared" si="1792"/>
        <v>29.36</v>
      </c>
      <c r="J218" s="70">
        <f t="shared" si="1792"/>
        <v>26.073</v>
      </c>
      <c r="K218" s="70">
        <f t="shared" ref="K218:L218" si="1793">IF(ISERROR(K191/K192),"n.a.",K191/K192)</f>
        <v>26.642727272727274</v>
      </c>
      <c r="L218" s="70">
        <f t="shared" si="1793"/>
        <v>22.778461538461539</v>
      </c>
      <c r="M218" s="70">
        <f t="shared" ref="M218" si="1794">IF(ISERROR(M191/M192),"n.a.",M191/M192)</f>
        <v>21.87</v>
      </c>
      <c r="N218" s="70">
        <f t="shared" ref="N218:O218" si="1795">IF(ISERROR(N191/N192),"n.a.",N191/N192)</f>
        <v>19.622105263157895</v>
      </c>
      <c r="O218" s="70">
        <f t="shared" si="1795"/>
        <v>19.945</v>
      </c>
      <c r="P218" s="70">
        <f t="shared" ref="P218:Q218" si="1796">IF(ISERROR(P191/P192),"n.a.",P191/P192)</f>
        <v>18.82</v>
      </c>
      <c r="Q218" s="70">
        <f t="shared" si="1796"/>
        <v>16.803478260869564</v>
      </c>
      <c r="R218" s="70">
        <f t="shared" ref="R218:S218" si="1797">IF(ISERROR(R191/R192),"n.a.",R191/R192)</f>
        <v>17.32090909090909</v>
      </c>
      <c r="S218" s="70">
        <f t="shared" si="1797"/>
        <v>16.365833333333335</v>
      </c>
      <c r="T218" s="70">
        <f t="shared" ref="T218:U218" si="1798">IF(ISERROR(T191/T192),"n.a.",T191/T192)</f>
        <v>23.406400000000001</v>
      </c>
      <c r="U218" s="70">
        <f t="shared" si="1798"/>
        <v>23.701153846153847</v>
      </c>
      <c r="V218" s="70">
        <f t="shared" ref="V218:W218" si="1799">IF(ISERROR(V191/V192),"n.a.",V191/V192)</f>
        <v>15.97325</v>
      </c>
      <c r="W218" s="70">
        <f t="shared" si="1799"/>
        <v>16.399999999999999</v>
      </c>
      <c r="X218" s="70">
        <f t="shared" ref="X218:Y218" si="1800">IF(ISERROR(X191/X192),"n.a.",X191/X192)</f>
        <v>17.854883720930232</v>
      </c>
      <c r="Y218" s="70">
        <f t="shared" si="1800"/>
        <v>18.191136363636364</v>
      </c>
      <c r="Z218" s="70">
        <f t="shared" ref="Z218:AA218" si="1801">IF(ISERROR(Z191/Z192),"n.a.",Z191/Z192)</f>
        <v>20.050222222222221</v>
      </c>
      <c r="AA218" s="70">
        <f t="shared" si="1801"/>
        <v>20.846875000000001</v>
      </c>
      <c r="AB218" s="70">
        <f t="shared" ref="AB218:AC218" si="1802">IF(ISERROR(AB191/AB192),"n.a.",AB191/AB192)</f>
        <v>22.220600000000001</v>
      </c>
      <c r="AC218" s="70">
        <f t="shared" si="1802"/>
        <v>23.507692307692309</v>
      </c>
      <c r="AD218" s="70">
        <f t="shared" ref="AD218:AE218" si="1803">IF(ISERROR(AD191/AD192),"n.a.",AD191/AD192)</f>
        <v>24.348301886792452</v>
      </c>
      <c r="AE218" s="70">
        <f t="shared" si="1803"/>
        <v>24.252678571428572</v>
      </c>
      <c r="AF218" s="70">
        <f t="shared" ref="AF218:AG218" si="1804">IF(ISERROR(AF191/AF192),"n.a.",AF191/AF192)</f>
        <v>24.0635593220339</v>
      </c>
      <c r="AG218" s="70">
        <f t="shared" si="1804"/>
        <v>23.398</v>
      </c>
      <c r="AH218" s="70">
        <f t="shared" ref="AH218:AI218" si="1805">IF(ISERROR(AH191/AH192),"n.a.",AH191/AH192)</f>
        <v>23.673333333333332</v>
      </c>
      <c r="AI218" s="71">
        <f t="shared" si="1805"/>
        <v>23.95078947368421</v>
      </c>
      <c r="AJ218" s="72">
        <f t="shared" ref="AJ218:AR218" si="1806">AI218-0.2</f>
        <v>23.750789473684211</v>
      </c>
      <c r="AK218" s="72">
        <f t="shared" si="1806"/>
        <v>23.550789473684212</v>
      </c>
      <c r="AL218" s="72">
        <f t="shared" si="1806"/>
        <v>23.350789473684213</v>
      </c>
      <c r="AM218" s="72">
        <f t="shared" si="1806"/>
        <v>23.150789473684213</v>
      </c>
      <c r="AN218" s="72">
        <f t="shared" si="1806"/>
        <v>22.950789473684214</v>
      </c>
      <c r="AO218" s="72">
        <f t="shared" si="1806"/>
        <v>22.750789473684215</v>
      </c>
      <c r="AP218" s="72">
        <f t="shared" si="1806"/>
        <v>22.550789473684215</v>
      </c>
      <c r="AQ218" s="72">
        <f t="shared" si="1806"/>
        <v>22.350789473684216</v>
      </c>
      <c r="AR218" s="72">
        <f t="shared" si="1806"/>
        <v>22.150789473684217</v>
      </c>
      <c r="AS218" s="8"/>
      <c r="AT218" s="70">
        <f t="shared" ref="AT218:BB218" si="1807">IF(ISERROR(AT191/AT192),"n.a.",AT191/AT192)</f>
        <v>44.070422457174139</v>
      </c>
      <c r="AU218" s="70">
        <f t="shared" si="1807"/>
        <v>41.440404120695689</v>
      </c>
      <c r="AV218" s="70">
        <f t="shared" si="1807"/>
        <v>38.521428571428572</v>
      </c>
      <c r="AW218" s="70">
        <f t="shared" si="1807"/>
        <v>26.073</v>
      </c>
      <c r="AX218" s="70">
        <f t="shared" si="1807"/>
        <v>22.778461538461539</v>
      </c>
      <c r="AY218" s="70">
        <f t="shared" si="1807"/>
        <v>19.622105263157895</v>
      </c>
      <c r="AZ218" s="70">
        <f t="shared" si="1807"/>
        <v>18.82</v>
      </c>
      <c r="BA218" s="70">
        <f t="shared" si="1807"/>
        <v>17.32090909090909</v>
      </c>
      <c r="BB218" s="70">
        <f t="shared" si="1807"/>
        <v>23.406400000000001</v>
      </c>
      <c r="BC218" s="70">
        <f t="shared" ref="BC218:BH218" si="1808">IF(ISERROR(BC191/BC192),"n.a.",BC191/BC192)</f>
        <v>15.97325</v>
      </c>
      <c r="BD218" s="70">
        <f t="shared" si="1808"/>
        <v>17.854883720930232</v>
      </c>
      <c r="BE218" s="70">
        <f t="shared" si="1808"/>
        <v>20.050222222222221</v>
      </c>
      <c r="BF218" s="70">
        <f t="shared" si="1808"/>
        <v>22.220600000000001</v>
      </c>
      <c r="BG218" s="70">
        <f t="shared" si="1808"/>
        <v>24.348301886792452</v>
      </c>
      <c r="BH218" s="70">
        <f t="shared" si="1808"/>
        <v>24.0635593220339</v>
      </c>
      <c r="BI218" s="71">
        <f t="shared" ref="BI218" si="1809">IF(ISERROR(BI191/BI192),"n.a.",BI191/BI192)</f>
        <v>23.673333333333332</v>
      </c>
      <c r="BJ218" s="70">
        <f t="shared" ref="BJ218:BK218" si="1810">IF(ISERROR(BJ191/BJ192),"n.a.",BJ191/BJ192)</f>
        <v>23.750789473684211</v>
      </c>
      <c r="BK218" s="70">
        <f t="shared" si="1810"/>
        <v>23.350789473684213</v>
      </c>
      <c r="BL218" s="70">
        <f t="shared" ref="BL218" si="1811">IF(ISERROR(BL191/BL192),"n.a.",BL191/BL192)</f>
        <v>22.950789473684214</v>
      </c>
      <c r="BM218" s="70">
        <f t="shared" ref="BM218" si="1812">IF(ISERROR(BM191/BM192),"n.a.",BM191/BM192)</f>
        <v>22.550789473684215</v>
      </c>
      <c r="BN218" s="70">
        <f t="shared" ref="BN218" si="1813">IF(ISERROR(BN191/BN192),"n.a.",BN191/BN192)</f>
        <v>22.150789473684217</v>
      </c>
    </row>
    <row r="219" spans="1:66" ht="12" customHeight="1" outlineLevel="1">
      <c r="B219" s="1" t="s">
        <v>27</v>
      </c>
      <c r="C219" s="28">
        <f>(21*43%+(8+(-1))*20%+556*30%)/C174</f>
        <v>0.30141156462585034</v>
      </c>
      <c r="D219" s="28">
        <f>((85-21)*43%+(20-8+(-4)-(-1))*20%+(1138-556)*30%)/D174</f>
        <v>0.30757164404223225</v>
      </c>
      <c r="E219" s="28">
        <f>(83*43%+(7+5)*20%+621*30%)/E174</f>
        <v>0.30738356164383562</v>
      </c>
      <c r="F219" s="28">
        <f>((179-83)*43%+(14-7+8-5)*20%+(1283-621)*30%)/F174</f>
        <v>0.31577023498694518</v>
      </c>
      <c r="G219" s="28">
        <f>(97*43%+(-5+4)*20%+625*30%)/G174</f>
        <v>0.32529829545454542</v>
      </c>
      <c r="H219" s="28">
        <f>((181-0)*43%+(-2-(-5)+7-4)*20%+(1226-625)*30%)/H174</f>
        <v>0.38880059970014991</v>
      </c>
      <c r="I219" s="28">
        <f>(107*43%+(0+4)*20%+604*30%)/I174</f>
        <v>0.3481068702290076</v>
      </c>
      <c r="J219" s="28">
        <f>(89*43%+(2+2)*20%+566*30%)/J174</f>
        <v>0.32841194968553455</v>
      </c>
      <c r="K219" s="28">
        <f>(90*43%+(0+2)*20%+665*30%)/K174</f>
        <v>0.35772113943028483</v>
      </c>
      <c r="L219" s="28">
        <f>((134-90)*43%+((1-0)+(3-2))*20%+(1177-665)*30%)/L174</f>
        <v>0.26480857580398159</v>
      </c>
      <c r="M219" s="29">
        <f>((14)*43%+((1)+(0))*20%+(650)*30%)/M174</f>
        <v>0.30258646616541351</v>
      </c>
      <c r="N219" s="29">
        <f>((21-14)*43%+((0-0)+(3-1))*20%+(1318-650)*30%)/N174</f>
        <v>0.29972058823529413</v>
      </c>
      <c r="O219" s="28">
        <f>((3)*43%+((0))*20%+(733)*30%)/O174</f>
        <v>0.30052989130434782</v>
      </c>
      <c r="P219" s="29">
        <f>((3-3)*43%+((0+0)-(0+0))*20%+(1457-733)*30%)/P174</f>
        <v>0.29835164835164835</v>
      </c>
      <c r="Q219" s="29">
        <f>((-48)*43%+((0))*20%+(926)*30%)/(Q174+Q183)</f>
        <v>0.29289293849658316</v>
      </c>
      <c r="R219" s="29">
        <f>((-47--48)*43%+((0+0)-(0+0))*20%+(1690-926)*30%)/R174</f>
        <v>0.29860858257477241</v>
      </c>
      <c r="S219" s="29">
        <f>((1)*43%+((0))*20%+(818)*30%)/(S174+S183)</f>
        <v>0.24315529179030662</v>
      </c>
      <c r="T219" s="29">
        <f>((3-1)*(43%+(21%-35%)/2)+((0-0))*20%+(1640-818)*30%)/(T174+T183)</f>
        <v>0.24438735177865611</v>
      </c>
      <c r="U219" s="29">
        <f>((0)*(43%+(21%-35%))+((0))*20%+(1049)*30%)/(U174+U183)</f>
        <v>0.3</v>
      </c>
      <c r="V219" s="29">
        <f>((1-0)*(43%+(21%-35%))+((0))*20%+(2100-1049)*30%)/(V174+V183)</f>
        <v>0.29999049429657798</v>
      </c>
      <c r="W219" s="29">
        <f>((0)*(43%+(21%-35%))+((0))*20%+(1019)*30%)/(W174+W183)</f>
        <v>0.3</v>
      </c>
      <c r="X219" s="29">
        <f>((1-0)*(43%+(21%-35%))+((0))*20%+(2035-1019)*30%)/(X174+X183)</f>
        <v>0.30028543307086619</v>
      </c>
      <c r="Y219" s="29">
        <f>((0)*(43%+(21%-35%))+((0))*20%+(984)*30%)/(Y174+Y183)</f>
        <v>0.3</v>
      </c>
      <c r="Z219" s="29">
        <f>((0-0)*(43%+(21%-35%))+((0))*20%+(2077-984)*30%)/(Z174+Z183)</f>
        <v>0.3</v>
      </c>
      <c r="AA219" s="29">
        <f>((0)*(43%+(21%-35%))+((0))*20%+(1163)*30%)/(AA174+AA183)</f>
        <v>0.3</v>
      </c>
      <c r="AB219" s="29">
        <f>((0-0)*(43%+(21%-35%))+((0))*20%+(2460-1163)*30%)/(AB174+AB183)</f>
        <v>0.3</v>
      </c>
      <c r="AC219" s="284">
        <f t="shared" ref="AC219:AG219" si="1814">-AC186/SUM(AC180,AC185)</f>
        <v>0.3</v>
      </c>
      <c r="AD219" s="284">
        <f t="shared" si="1814"/>
        <v>0.30000000000000016</v>
      </c>
      <c r="AE219" s="284">
        <f t="shared" si="1814"/>
        <v>0.30000000000000004</v>
      </c>
      <c r="AF219" s="284">
        <f t="shared" si="1814"/>
        <v>0.29999999999999993</v>
      </c>
      <c r="AG219" s="284">
        <f t="shared" si="1814"/>
        <v>0.3</v>
      </c>
      <c r="AH219" s="284">
        <f>-AH186/SUM(AH180,AH185)</f>
        <v>0.3</v>
      </c>
      <c r="AI219" s="515">
        <f t="shared" ref="AI219" si="1815">AH219</f>
        <v>0.3</v>
      </c>
      <c r="AJ219" s="176">
        <f t="shared" ref="AJ219" si="1816">AI219</f>
        <v>0.3</v>
      </c>
      <c r="AK219" s="176">
        <f t="shared" ref="AK219" si="1817">AJ219</f>
        <v>0.3</v>
      </c>
      <c r="AL219" s="176">
        <f t="shared" ref="AL219" si="1818">AK219</f>
        <v>0.3</v>
      </c>
      <c r="AM219" s="176">
        <f t="shared" ref="AM219" si="1819">AL219</f>
        <v>0.3</v>
      </c>
      <c r="AN219" s="176">
        <f t="shared" ref="AN219" si="1820">AM219</f>
        <v>0.3</v>
      </c>
      <c r="AO219" s="176">
        <f t="shared" ref="AO219" si="1821">AN219</f>
        <v>0.3</v>
      </c>
      <c r="AP219" s="176">
        <f t="shared" ref="AP219" si="1822">AO219</f>
        <v>0.3</v>
      </c>
      <c r="AQ219" s="176">
        <f t="shared" ref="AQ219" si="1823">AP219</f>
        <v>0.3</v>
      </c>
      <c r="AR219" s="176">
        <f t="shared" ref="AR219" si="1824">AQ219</f>
        <v>0.3</v>
      </c>
      <c r="AS219" s="8"/>
      <c r="AT219" s="44">
        <f>(C219*C174+D219*D174)/AT174</f>
        <v>0.30467625899280576</v>
      </c>
      <c r="AU219" s="44">
        <f>(E219*E174+F219*F174)/AU174</f>
        <v>0.31167780748663099</v>
      </c>
      <c r="AV219" s="44">
        <f>(G219*G174+H219*H174)/AV174</f>
        <v>0.35619256017505463</v>
      </c>
      <c r="AW219" s="44">
        <f>(I219*I174+J219*J174)/AW174</f>
        <v>0.33840433772269557</v>
      </c>
      <c r="AX219" s="44">
        <f>(K219*K174+L219*L174)/AX174</f>
        <v>0.31175757575757573</v>
      </c>
      <c r="AY219" s="44">
        <f>(M219*M174+N219*N174)/AY174</f>
        <v>0.30113754646840146</v>
      </c>
      <c r="AZ219" s="44">
        <f>(O219*O174+P219*P174)/AZ174</f>
        <v>0.29944672131147543</v>
      </c>
      <c r="BA219" s="44">
        <f>(Q219*Q174+R219*R174)/BA174</f>
        <v>0.29556000785102948</v>
      </c>
      <c r="BB219" s="44">
        <f>(S219*S174+T219*T174)/BB174</f>
        <v>0.24377071366010408</v>
      </c>
      <c r="BC219" s="44">
        <f>(U219*U174+V219*V174)/BC174</f>
        <v>0.29999524488825491</v>
      </c>
      <c r="BD219" s="44">
        <f>(W219*W174+X219*X174)/BD174</f>
        <v>0.30014236622484047</v>
      </c>
      <c r="BE219" s="44">
        <f>(Y219*Y174+Z219*Z174)/BE174</f>
        <v>0.3</v>
      </c>
      <c r="BF219" s="44">
        <f>(AA219*AA174+AB219*AB174)/BF174</f>
        <v>0.3</v>
      </c>
      <c r="BG219" s="44">
        <f>(AC219*AC174+AD219*AD174)/BG174</f>
        <v>0.30000000000000004</v>
      </c>
      <c r="BH219" s="44">
        <f>(AE219*AE174+AF219*AF174)/BH174</f>
        <v>0.3</v>
      </c>
      <c r="BI219" s="49">
        <f>(AF219*AF174+AG219*AG174)/BI174</f>
        <v>0.29527340129749763</v>
      </c>
      <c r="BJ219" s="44">
        <f>(AG219*AG174+AH219*AH174)/BJ174</f>
        <v>0.27559359290938956</v>
      </c>
      <c r="BK219" s="44">
        <f>(AI219*AI174+AJ219*AJ174)/BK174</f>
        <v>0.27833467513606924</v>
      </c>
      <c r="BL219" s="44">
        <f>(AJ219*AJ174+AK219*AK174)/BL174</f>
        <v>0.26488410885950597</v>
      </c>
      <c r="BM219" s="44">
        <f>(AK219*AK174+AL219*AL174)/BM174</f>
        <v>0.26176842546735801</v>
      </c>
      <c r="BN219" s="44">
        <f>(AM219*AM174+AN219*AN174)/BN174</f>
        <v>0.26845164323062809</v>
      </c>
    </row>
    <row r="220" spans="1:66" ht="12" customHeight="1" outlineLevel="1">
      <c r="A220" s="91" t="s">
        <v>1357</v>
      </c>
      <c r="B220" s="1" t="s">
        <v>28</v>
      </c>
      <c r="C220" s="33">
        <f t="shared" ref="C220:H220" si="1825">C219-C$69</f>
        <v>0.30141156462585034</v>
      </c>
      <c r="D220" s="33">
        <f t="shared" si="1825"/>
        <v>0.30757164404223225</v>
      </c>
      <c r="E220" s="33">
        <f t="shared" si="1825"/>
        <v>0.30738356164383562</v>
      </c>
      <c r="F220" s="33">
        <f t="shared" si="1825"/>
        <v>0.31577023498694518</v>
      </c>
      <c r="G220" s="33">
        <f t="shared" si="1825"/>
        <v>0.25829360795454537</v>
      </c>
      <c r="H220" s="33">
        <f t="shared" si="1825"/>
        <v>0.35842345894439248</v>
      </c>
      <c r="I220" s="33">
        <f t="shared" ref="I220:M220" si="1826">I219-I$69</f>
        <v>0.32979126111460777</v>
      </c>
      <c r="J220" s="33">
        <f t="shared" si="1826"/>
        <v>0.43192354221800211</v>
      </c>
      <c r="K220" s="33">
        <f t="shared" si="1826"/>
        <v>1.0437389464478266</v>
      </c>
      <c r="L220" s="33">
        <f t="shared" si="1826"/>
        <v>0.93983162894407601</v>
      </c>
      <c r="M220" s="33">
        <f t="shared" si="1826"/>
        <v>0.37593646616541354</v>
      </c>
      <c r="N220" s="33">
        <f t="shared" ref="N220:O220" si="1827">N219-N$69</f>
        <v>0.29207658823529414</v>
      </c>
      <c r="O220" s="33">
        <f t="shared" si="1827"/>
        <v>0.32473489130434779</v>
      </c>
      <c r="P220" s="33">
        <f t="shared" ref="P220:Q220" si="1828">P219-P$69</f>
        <v>0.29539164835164833</v>
      </c>
      <c r="Q220" s="33">
        <f t="shared" si="1828"/>
        <v>0.29389293849658316</v>
      </c>
      <c r="R220" s="33">
        <f t="shared" ref="R220:S220" si="1829">R219-R$69</f>
        <v>0.26530858257477241</v>
      </c>
      <c r="S220" s="33">
        <f t="shared" si="1829"/>
        <v>0.20815529179030662</v>
      </c>
      <c r="T220" s="33">
        <f t="shared" ref="T220:U220" si="1830">T219-T$69</f>
        <v>0.21688735177865612</v>
      </c>
      <c r="U220" s="33">
        <f t="shared" si="1830"/>
        <v>0.2858283333333333</v>
      </c>
      <c r="V220" s="33">
        <f t="shared" ref="V220:W220" si="1831">V219-V$69</f>
        <v>0.29891549429657799</v>
      </c>
      <c r="W220" s="33">
        <f t="shared" si="1831"/>
        <v>0.24349999999999999</v>
      </c>
      <c r="X220" s="33">
        <f t="shared" ref="X220:Y220" si="1832">X219-X$69</f>
        <v>0.25778543307086621</v>
      </c>
      <c r="Y220" s="33">
        <f t="shared" si="1832"/>
        <v>0.2545</v>
      </c>
      <c r="Z220" s="33">
        <f t="shared" ref="Z220:AA220" si="1833">Z219-Z$69</f>
        <v>0.27</v>
      </c>
      <c r="AA220" s="33">
        <f t="shared" si="1833"/>
        <v>0.25750001</v>
      </c>
      <c r="AB220" s="33">
        <f t="shared" ref="AB220:AC220" si="1834">AB219-AB$69</f>
        <v>0.2525</v>
      </c>
      <c r="AC220" s="34">
        <f t="shared" si="1834"/>
        <v>0.27949999999999997</v>
      </c>
      <c r="AD220" s="34">
        <f t="shared" ref="AD220:AE220" si="1835">AD219-AD$69</f>
        <v>0.31300000000000017</v>
      </c>
      <c r="AE220" s="34">
        <f t="shared" si="1835"/>
        <v>0.33000000000000007</v>
      </c>
      <c r="AF220" s="34">
        <f t="shared" ref="AF220:AG220" si="1836">AF219-AF$69</f>
        <v>0.28559999999999991</v>
      </c>
      <c r="AG220" s="34">
        <f t="shared" si="1836"/>
        <v>0.28559999999999997</v>
      </c>
      <c r="AH220" s="34">
        <f t="shared" ref="AH220" si="1837">AH219-AH$69</f>
        <v>0.28559999999999997</v>
      </c>
      <c r="AI220" s="35">
        <f t="shared" ref="AI220:AJ220" si="1838">AI219-AI$69</f>
        <v>0.28559999999999997</v>
      </c>
      <c r="AJ220" s="34">
        <f t="shared" si="1838"/>
        <v>0.28559999999999997</v>
      </c>
      <c r="AK220" s="34">
        <f t="shared" ref="AK220:AL220" si="1839">AK219-AK$69</f>
        <v>0.28559999999999997</v>
      </c>
      <c r="AL220" s="34">
        <f t="shared" si="1839"/>
        <v>0.28559999999999997</v>
      </c>
      <c r="AM220" s="34">
        <f t="shared" ref="AM220:AN220" si="1840">AM219-AM$69</f>
        <v>0.28559999999999997</v>
      </c>
      <c r="AN220" s="34">
        <f t="shared" si="1840"/>
        <v>0.28559999999999997</v>
      </c>
      <c r="AO220" s="34">
        <f t="shared" ref="AO220:AP220" si="1841">AO219-AO$69</f>
        <v>0.28559999999999997</v>
      </c>
      <c r="AP220" s="34">
        <f t="shared" si="1841"/>
        <v>0.28559999999999997</v>
      </c>
      <c r="AQ220" s="34">
        <f t="shared" ref="AQ220:AR220" si="1842">AQ219-AQ$69</f>
        <v>0.28559999999999997</v>
      </c>
      <c r="AR220" s="34">
        <f t="shared" si="1842"/>
        <v>0.28559999999999997</v>
      </c>
      <c r="AS220" s="8"/>
      <c r="AT220" s="33">
        <f>-AT186/SUM(AT183:AT185,AT178)</f>
        <v>0</v>
      </c>
      <c r="AU220" s="33">
        <f>-AU186/SUM(AU183:AU185,AU178)</f>
        <v>0</v>
      </c>
      <c r="AV220" s="33">
        <f>-AV186/SUM(AV183:AV185,AV178)</f>
        <v>0.30971128871099157</v>
      </c>
      <c r="AW220" s="33">
        <f>-AW186/SUM(AW183:AW185,AW178)</f>
        <v>0.38312924116371</v>
      </c>
      <c r="AX220" s="33">
        <f t="shared" ref="AX220:BB220" si="1843">-AX186/SUM(AX183:AX185,AX178)</f>
        <v>1.5378648341446655</v>
      </c>
      <c r="AY220" s="33">
        <f t="shared" si="1843"/>
        <v>0.33870569297753994</v>
      </c>
      <c r="AZ220" s="33">
        <f t="shared" si="1843"/>
        <v>0.31000844466121719</v>
      </c>
      <c r="BA220" s="33">
        <f t="shared" si="1843"/>
        <v>0.28044872001075938</v>
      </c>
      <c r="BB220" s="33">
        <f t="shared" si="1843"/>
        <v>0.21302402930674402</v>
      </c>
      <c r="BC220" s="33">
        <f t="shared" ref="BC220:BH220" si="1844">-BC186/SUM(BC183:BC185,BC178)</f>
        <v>0.2930783993922777</v>
      </c>
      <c r="BD220" s="33">
        <f t="shared" si="1844"/>
        <v>0.25083907806224776</v>
      </c>
      <c r="BE220" s="33">
        <f t="shared" si="1844"/>
        <v>0.26239823703656256</v>
      </c>
      <c r="BF220" s="33">
        <f t="shared" si="1844"/>
        <v>0.2554516054688693</v>
      </c>
      <c r="BG220" s="33">
        <f t="shared" si="1844"/>
        <v>0.29721393034825877</v>
      </c>
      <c r="BH220" s="33">
        <f t="shared" si="1844"/>
        <v>0.30027803521779428</v>
      </c>
      <c r="BI220" s="32">
        <f t="shared" ref="BI220" si="1845">-BI186/SUM(BI183:BI185,BI178)</f>
        <v>0.3</v>
      </c>
      <c r="BJ220" s="33">
        <f t="shared" ref="BJ220:BK220" si="1846">-BJ186/SUM(BJ183:BJ185,BJ178)</f>
        <v>0.29310868458487133</v>
      </c>
      <c r="BK220" s="33">
        <f t="shared" si="1846"/>
        <v>0.28559999999999991</v>
      </c>
      <c r="BL220" s="33">
        <f t="shared" ref="BL220" si="1847">-BL186/SUM(BL183:BL185,BL178)</f>
        <v>0.2855999999999998</v>
      </c>
      <c r="BM220" s="33">
        <f t="shared" ref="BM220" si="1848">-BM186/SUM(BM183:BM185,BM178)</f>
        <v>0.28560000000000002</v>
      </c>
      <c r="BN220" s="33">
        <f t="shared" ref="BN220" si="1849">-BN186/SUM(BN183:BN185,BN178)</f>
        <v>0.28559999999999991</v>
      </c>
    </row>
    <row r="221" spans="1:66" ht="12" customHeight="1" outlineLevel="1">
      <c r="B221" s="1" t="s">
        <v>70</v>
      </c>
      <c r="C221" s="33">
        <f>IF(ISERROR(-C185/(C178-((11%/(1-30%))*AVERAGE(B192:C192)/C$5))),"n.a.",-C185/(C178-((11%/(1-30%))*AVERAGE(B192:C192)/C$5)))</f>
        <v>0</v>
      </c>
      <c r="D221" s="33">
        <f>IF(ISERROR(-D185/(D178-((11%/(1-30%))*AVERAGE(C192:D192)/D$5))),"n.a.",-D185/(D178-((11%/(1-30%))*AVERAGE(C192:D192)/D$5)))</f>
        <v>0</v>
      </c>
      <c r="E221" s="33">
        <f t="shared" ref="E221:M221" si="1850">IF(ISERROR(-E185/(E178-((11%/(1-30%))*AVERAGE(D192:E192)/E$5))),"n.a.",-E185/(E178-((11%/(1-30%))*AVERAGE(D192:E192)/E$5)))</f>
        <v>0</v>
      </c>
      <c r="F221" s="33">
        <f t="shared" si="1850"/>
        <v>0</v>
      </c>
      <c r="G221" s="33">
        <f t="shared" si="1850"/>
        <v>1.3708347391413913</v>
      </c>
      <c r="H221" s="33">
        <f t="shared" si="1850"/>
        <v>1.2823824720614667</v>
      </c>
      <c r="I221" s="33">
        <f t="shared" si="1850"/>
        <v>1.874101257301968</v>
      </c>
      <c r="J221" s="33">
        <f t="shared" si="1850"/>
        <v>1.2798259721664642</v>
      </c>
      <c r="K221" s="33">
        <f t="shared" si="1850"/>
        <v>79.240822716989413</v>
      </c>
      <c r="L221" s="33">
        <f t="shared" si="1850"/>
        <v>-27.60432761829064</v>
      </c>
      <c r="M221" s="157">
        <f t="shared" si="1850"/>
        <v>0.35566348620681848</v>
      </c>
      <c r="N221" s="157">
        <f t="shared" ref="N221" si="1851">IF(ISERROR(-N185/(N178-((11%/(1-30%))*AVERAGE(M192:N192)/N$5))),"n.a.",-N185/(N178-((11%/(1-30%))*AVERAGE(M192:N192)/N$5)))</f>
        <v>3.7947325934977107</v>
      </c>
      <c r="O221" s="157">
        <f t="shared" ref="O221:AI221" si="1852">IF(ISERROR(-O185/(O178-((11%/(1-30%))*AVERAGE(N192:O192)/O$5))),"n.a.",-O185/(O178-((11%/(1-30%))*AVERAGE(N192:O192)/O$5)))</f>
        <v>2.6196569132458492</v>
      </c>
      <c r="P221" s="157">
        <f t="shared" si="1852"/>
        <v>3.744997506708073</v>
      </c>
      <c r="Q221" s="157">
        <f t="shared" si="1852"/>
        <v>0.86874025643623809</v>
      </c>
      <c r="R221" s="157">
        <f t="shared" si="1852"/>
        <v>1.0652880247187098</v>
      </c>
      <c r="S221" s="157">
        <f t="shared" si="1852"/>
        <v>0.94493352893688354</v>
      </c>
      <c r="T221" s="157">
        <f t="shared" si="1852"/>
        <v>0.63744374731262943</v>
      </c>
      <c r="U221" s="157">
        <f t="shared" si="1852"/>
        <v>0.65904385035233592</v>
      </c>
      <c r="V221" s="157">
        <f t="shared" si="1852"/>
        <v>-5.3719539528395498E-2</v>
      </c>
      <c r="W221" s="157">
        <f t="shared" si="1852"/>
        <v>0.15744704370854284</v>
      </c>
      <c r="X221" s="157">
        <f t="shared" si="1852"/>
        <v>-0.54220323738947873</v>
      </c>
      <c r="Y221" s="157">
        <f t="shared" si="1852"/>
        <v>1.3745543725377343</v>
      </c>
      <c r="Z221" s="157">
        <f t="shared" si="1852"/>
        <v>0.73490388332830681</v>
      </c>
      <c r="AA221" s="157">
        <f t="shared" si="1852"/>
        <v>9.5261189749870884E-2</v>
      </c>
      <c r="AB221" s="157">
        <f t="shared" si="1852"/>
        <v>1.4152683268873738</v>
      </c>
      <c r="AC221" s="157">
        <f t="shared" si="1852"/>
        <v>0.29062424495354378</v>
      </c>
      <c r="AD221" s="157">
        <f t="shared" si="1852"/>
        <v>0.39609038204251601</v>
      </c>
      <c r="AE221" s="157">
        <f t="shared" si="1852"/>
        <v>0.44330949948927489</v>
      </c>
      <c r="AF221" s="157">
        <f t="shared" si="1852"/>
        <v>0.44969296173830908</v>
      </c>
      <c r="AG221" s="157">
        <f t="shared" si="1852"/>
        <v>0.4599093750757226</v>
      </c>
      <c r="AH221" s="157">
        <f t="shared" si="1852"/>
        <v>0.45989958190947089</v>
      </c>
      <c r="AI221" s="158">
        <f t="shared" si="1852"/>
        <v>0.42332889233972726</v>
      </c>
      <c r="AJ221" s="68">
        <f t="shared" ref="AJ221:AK221" si="1853">AI221+($AL221-$AF221)/6</f>
        <v>0.51504673205000906</v>
      </c>
      <c r="AK221" s="68">
        <f t="shared" si="1853"/>
        <v>0.60676457176029086</v>
      </c>
      <c r="AL221" s="68">
        <v>1</v>
      </c>
      <c r="AM221" s="68">
        <f t="shared" ref="AM221" si="1854">AL221</f>
        <v>1</v>
      </c>
      <c r="AN221" s="68">
        <f t="shared" ref="AN221" si="1855">AM221</f>
        <v>1</v>
      </c>
      <c r="AO221" s="68">
        <f t="shared" ref="AO221" si="1856">AN221</f>
        <v>1</v>
      </c>
      <c r="AP221" s="68">
        <f t="shared" ref="AP221" si="1857">AO221</f>
        <v>1</v>
      </c>
      <c r="AQ221" s="68">
        <f t="shared" ref="AQ221" si="1858">AP221</f>
        <v>1</v>
      </c>
      <c r="AR221" s="68">
        <f t="shared" ref="AR221" si="1859">AQ221</f>
        <v>1</v>
      </c>
      <c r="AS221" s="8"/>
      <c r="AT221" s="44">
        <f>IF(ISERROR(-AT185/(AT178-((11%/(1-30%))*AVERAGE(T192:AT192)/AT$5))),"n.a.",-AT185/(AT178-((11%/(1-30%))*AVERAGE(T192:AT192)/AT$5)))</f>
        <v>0</v>
      </c>
      <c r="AU221" s="44">
        <f>IF(ISERROR(-AU185/(AU178-((11%/(1-30%))*AVERAGE(AT192:AU192)/AU$5))),"n.a.",-AU185/(AU178-((11%/(1-30%))*AVERAGE(AT192:AU192)/AU$5)))</f>
        <v>0</v>
      </c>
      <c r="AV221" s="44">
        <f>IF(ISERROR(-AV185/(AV178-((11%/(1-30%))*AVERAGE(AU192:AV192)/AV$5))),"n.a.",-AV185/(AV178-((11%/(1-30%))*AVERAGE(AU192:AV192)/AV$5)))</f>
        <v>1.3288304655099787</v>
      </c>
      <c r="AW221" s="44">
        <f>IF(ISERROR(-AW185/(AW178-((11%/(1-30%))*AVERAGE(AV192:AW192)/AW$5))),"n.a.",-AW185/(AW178-((11%/(1-30%))*AVERAGE(AV192:AW192)/AW$5)))</f>
        <v>1.5653710072731974</v>
      </c>
      <c r="AX221" s="44">
        <f t="shared" ref="AX221:BB221" si="1860">IF(ISERROR(-AX185/(AX178-((11%/(1-30%))*AVERAGE(AW192:AX192)/AX$5))),"n.a.",-AX185/(AX178-((11%/(1-30%))*AVERAGE(AW192:AX192)/AX$5)))</f>
        <v>9.1185545968076251</v>
      </c>
      <c r="AY221" s="44">
        <f t="shared" si="1860"/>
        <v>1.5453825761503772</v>
      </c>
      <c r="AZ221" s="44">
        <f t="shared" si="1860"/>
        <v>3.216087427780828</v>
      </c>
      <c r="BA221" s="44">
        <f t="shared" si="1860"/>
        <v>0.89528443228067844</v>
      </c>
      <c r="BB221" s="44">
        <f t="shared" si="1860"/>
        <v>0.79441330942918786</v>
      </c>
      <c r="BC221" s="44">
        <f t="shared" ref="BC221" si="1861">IF(ISERROR(-BC185/(BC178-((11%/(1-30%))*AVERAGE(BB192:BC192)/BC$5))),"n.a.",-BC185/(BC178-((11%/(1-30%))*AVERAGE(BB192:BC192)/BC$5)))</f>
        <v>0.44966838160198797</v>
      </c>
      <c r="BD221" s="44">
        <f t="shared" ref="BD221" si="1862">IF(ISERROR(-BD185/(BD178-((11%/(1-30%))*AVERAGE(BC192:BD192)/BD$5))),"n.a.",-BD185/(BD178-((11%/(1-30%))*AVERAGE(BC192:BD192)/BD$5)))</f>
        <v>-0.15098297955755108</v>
      </c>
      <c r="BE221" s="44">
        <f t="shared" ref="BE221" si="1863">IF(ISERROR(-BE185/(BE178-((11%/(1-30%))*AVERAGE(BD192:BE192)/BE$5))),"n.a.",-BE185/(BE178-((11%/(1-30%))*AVERAGE(BD192:BE192)/BE$5)))</f>
        <v>0.52833045701188208</v>
      </c>
      <c r="BF221" s="44">
        <f t="shared" ref="BF221" si="1864">IF(ISERROR(-BF185/(BF178-((11%/(1-30%))*AVERAGE(BE192:BF192)/BF$5))),"n.a.",-BF185/(BF178-((11%/(1-30%))*AVERAGE(BE192:BF192)/BF$5)))</f>
        <v>0.79409915386257912</v>
      </c>
      <c r="BG221" s="44">
        <f t="shared" ref="BG221" si="1865">IF(ISERROR(-BG185/(BG178-((11%/(1-30%))*AVERAGE(BF192:BG192)/BG$5))),"n.a.",-BG185/(BG178-((11%/(1-30%))*AVERAGE(BF192:BG192)/BG$5)))</f>
        <v>0.34430702073481295</v>
      </c>
      <c r="BH221" s="44">
        <f t="shared" ref="BH221:BJ221" si="1866">IF(ISERROR(-BH185/(BH178-((11%/(1-30%))*AVERAGE(BG192:BH192)/BH$5))),"n.a.",-BH185/(BH178-((11%/(1-30%))*AVERAGE(BG192:BH192)/BH$5)))</f>
        <v>0.44598337950138517</v>
      </c>
      <c r="BI221" s="49">
        <f t="shared" si="1866"/>
        <v>0.45038167938931284</v>
      </c>
      <c r="BJ221" s="44">
        <f t="shared" si="1866"/>
        <v>0.54106910524839225</v>
      </c>
      <c r="BK221" s="44">
        <f>IF(ISERROR(-BK185/(BK178-((11%/(1-30%))*AVERAGE(BK192:BK192)/BK$5))),"n.a.",-BK185/(BK178-((11%/(1-30%))*AVERAGE(BK192:BK192)/BK$5)))</f>
        <v>0.99124622636908388</v>
      </c>
      <c r="BL221" s="44">
        <f>IF(ISERROR(-BL185/(BL178-((11%/(1-30%))*AVERAGE(BL192:BL192)/BL$5))),"n.a.",-BL185/(BL178-((11%/(1-30%))*AVERAGE(BL192:BL192)/BL$5)))</f>
        <v>0.7982518342689614</v>
      </c>
      <c r="BM221" s="44">
        <f>IF(ISERROR(-BM185/(BM178-((11%/(1-30%))*AVERAGE(BM192:BM192)/BM$5))),"n.a.",-BM185/(BM178-((11%/(1-30%))*AVERAGE(BM192:BM192)/BM$5)))</f>
        <v>0.84376668622104256</v>
      </c>
      <c r="BN221" s="44">
        <f>IF(ISERROR(-BN185/(BN178-((11%/(1-30%))*AVERAGE(BN192:BN192)/BN$5))),"n.a.",-BN185/(BN178-((11%/(1-30%))*AVERAGE(BN192:BN192)/BN$5)))</f>
        <v>0.9163887252426075</v>
      </c>
    </row>
    <row r="222" spans="1:66" ht="12" customHeight="1" outlineLevel="1">
      <c r="B222" s="1" t="s">
        <v>69</v>
      </c>
      <c r="C222" s="37">
        <f t="shared" ref="C222:M222" si="1867">IF(ISERROR(C187/AVERAGE(B191:C191)),"n.a.",C187*C$5/AVERAGE(B191:C191))</f>
        <v>0</v>
      </c>
      <c r="D222" s="37">
        <f t="shared" si="1867"/>
        <v>0</v>
      </c>
      <c r="E222" s="37">
        <f t="shared" si="1867"/>
        <v>0</v>
      </c>
      <c r="F222" s="37">
        <f t="shared" si="1867"/>
        <v>0</v>
      </c>
      <c r="G222" s="37">
        <f t="shared" si="1867"/>
        <v>5.7331571491157259E-3</v>
      </c>
      <c r="H222" s="37">
        <f t="shared" si="1867"/>
        <v>5.4086932987386501E-3</v>
      </c>
      <c r="I222" s="37">
        <f t="shared" si="1867"/>
        <v>6.593118432635936E-3</v>
      </c>
      <c r="J222" s="37">
        <f t="shared" si="1867"/>
        <v>6.2467201160840789E-3</v>
      </c>
      <c r="K222" s="37">
        <f t="shared" si="1867"/>
        <v>6.5448436492514719E-3</v>
      </c>
      <c r="L222" s="37">
        <f t="shared" si="1867"/>
        <v>7.0305420040694408E-3</v>
      </c>
      <c r="M222" s="37">
        <f t="shared" si="1867"/>
        <v>7.1775317621801749E-3</v>
      </c>
      <c r="N222" s="37">
        <f t="shared" ref="N222" si="1868">IF(ISERROR(N187/AVERAGE(M191:N191)),"n.a.",N187*N$5/AVERAGE(M191:N191))</f>
        <v>5.8213363391213776E-3</v>
      </c>
      <c r="O222" s="37">
        <f t="shared" ref="O222:AH222" si="1869">IF(ISERROR(O187/AVERAGE(N191:O191)),"n.a.",O187*O$5/AVERAGE(N191:O191))</f>
        <v>6.0643756802985539E-3</v>
      </c>
      <c r="P222" s="37">
        <f t="shared" si="1869"/>
        <v>6.1955371984083012E-3</v>
      </c>
      <c r="Q222" s="37">
        <f t="shared" si="1869"/>
        <v>8.6752216515636731E-3</v>
      </c>
      <c r="R222" s="37">
        <f t="shared" si="1869"/>
        <v>8.20804127472184E-3</v>
      </c>
      <c r="S222" s="37">
        <f t="shared" si="1869"/>
        <v>1.0105448154657293E-2</v>
      </c>
      <c r="T222" s="37">
        <f t="shared" si="1869"/>
        <v>1.0021064686995112E-2</v>
      </c>
      <c r="U222" s="37">
        <f t="shared" si="1869"/>
        <v>8.0656572803169662E-3</v>
      </c>
      <c r="V222" s="37">
        <f t="shared" si="1869"/>
        <v>9.4649287740208414E-3</v>
      </c>
      <c r="W222" s="37">
        <f t="shared" si="1869"/>
        <v>1.0499122562569197E-2</v>
      </c>
      <c r="X222" s="37">
        <f t="shared" si="1869"/>
        <v>9.9206349206349201E-3</v>
      </c>
      <c r="Y222" s="37">
        <f t="shared" si="1869"/>
        <v>8.321801845463184E-3</v>
      </c>
      <c r="Z222" s="37">
        <f t="shared" si="1869"/>
        <v>7.8406267802921294E-3</v>
      </c>
      <c r="AA222" s="37">
        <f t="shared" si="1869"/>
        <v>7.3308774455964811E-3</v>
      </c>
      <c r="AB222" s="37">
        <f t="shared" si="1869"/>
        <v>4.6408546749507505E-3</v>
      </c>
      <c r="AC222" s="37">
        <f t="shared" si="1869"/>
        <v>6.3209910577709336E-3</v>
      </c>
      <c r="AD222" s="37">
        <f t="shared" si="1869"/>
        <v>6.0176168077125522E-3</v>
      </c>
      <c r="AE222" s="37">
        <f t="shared" si="1869"/>
        <v>5.7615126424803952E-3</v>
      </c>
      <c r="AF222" s="37">
        <f t="shared" si="1869"/>
        <v>5.3925627272400018E-3</v>
      </c>
      <c r="AG222" s="37">
        <f t="shared" si="1869"/>
        <v>5.4668594664230696E-3</v>
      </c>
      <c r="AH222" s="37">
        <f t="shared" si="1869"/>
        <v>5.6585395627284088E-3</v>
      </c>
      <c r="AI222" s="38">
        <f t="shared" ref="AI222" si="1870">IF(ISERROR(AI187/AVERAGE(AH191:AI191)),"n.a.",AI187*AI$5/AVERAGE(AH191:AI191))</f>
        <v>5.652315877790505E-3</v>
      </c>
      <c r="AJ222" s="37">
        <f t="shared" ref="AJ222" si="1871">IF(ISERROR(AJ187/AVERAGE(AI191:AJ191)),"n.a.",AJ187*AJ$5/AVERAGE(AI191:AJ191))</f>
        <v>4.9005205116108416E-3</v>
      </c>
      <c r="AK222" s="37">
        <f t="shared" ref="AK222" si="1872">IF(ISERROR(AK187/AVERAGE(AJ191:AK191)),"n.a.",AK187*AK$5/AVERAGE(AJ191:AK191))</f>
        <v>5.0102903542810487E-3</v>
      </c>
      <c r="AL222" s="37">
        <f t="shared" ref="AL222" si="1873">IF(ISERROR(AL187/AVERAGE(AK191:AL191)),"n.a.",AL187*AL$5/AVERAGE(AK191:AL191))</f>
        <v>5.1147881977854455E-3</v>
      </c>
      <c r="AM222" s="37">
        <f t="shared" ref="AM222" si="1874">IF(ISERROR(AM187/AVERAGE(AL191:AM191)),"n.a.",AM187*AM$5/AVERAGE(AL191:AM191))</f>
        <v>5.2342278256940402E-3</v>
      </c>
      <c r="AN222" s="37">
        <f t="shared" ref="AN222" si="1875">IF(ISERROR(AN187/AVERAGE(AM191:AN191)),"n.a.",AN187*AN$5/AVERAGE(AM191:AN191))</f>
        <v>5.2783562252164632E-3</v>
      </c>
      <c r="AO222" s="37">
        <f t="shared" ref="AO222" si="1876">IF(ISERROR(AO187/AVERAGE(AN191:AO191)),"n.a.",AO187*AO$5/AVERAGE(AN191:AO191))</f>
        <v>5.2643601438756241E-3</v>
      </c>
      <c r="AP222" s="37">
        <f t="shared" ref="AP222" si="1877">IF(ISERROR(AP187/AVERAGE(AO191:AP191)),"n.a.",AP187*AP$5/AVERAGE(AO191:AP191))</f>
        <v>5.2834439763340454E-3</v>
      </c>
      <c r="AQ222" s="37">
        <f t="shared" ref="AQ222" si="1878">IF(ISERROR(AQ187/AVERAGE(AP191:AQ191)),"n.a.",AQ187*AQ$5/AVERAGE(AP191:AQ191))</f>
        <v>5.2890322739179291E-3</v>
      </c>
      <c r="AR222" s="37">
        <f t="shared" ref="AR222" si="1879">IF(ISERROR(AR187/AVERAGE(AQ191:AR191)),"n.a.",AR187*AR$5/AVERAGE(AQ191:AR191))</f>
        <v>5.3065082328950285E-3</v>
      </c>
      <c r="AS222" s="8"/>
      <c r="AT222" s="37">
        <f>IF(ISERROR(AT187/AVERAGE(T191:AT191)),"n.a.",AT187*AT$5/AVERAGE(T191:AT191))</f>
        <v>0</v>
      </c>
      <c r="AU222" s="37">
        <f>IF(ISERROR(AU187/AVERAGE(AT191:AU191)),"n.a.",AU187*AU$5/AVERAGE(AT191:AU191))</f>
        <v>0</v>
      </c>
      <c r="AV222" s="37">
        <f>IF(ISERROR(AV187/AVERAGE(AU191:AV191)),"n.a.",AV187*AV$5/AVERAGE(AU191:AV191))</f>
        <v>5.5034712521112314E-3</v>
      </c>
      <c r="AW222" s="37">
        <f>IF(ISERROR(AW187/AVERAGE(AV191:AW191)),"n.a.",AW187*AW$5/AVERAGE(AV191:AW191))</f>
        <v>6.4104981334137789E-3</v>
      </c>
      <c r="AX222" s="37">
        <f t="shared" ref="AX222:BB222" si="1880">IF(ISERROR(AX187/AVERAGE(AW191:AX191)),"n.a.",AX187*AX$5/AVERAGE(AW191:AX191))</f>
        <v>6.9726504910355034E-3</v>
      </c>
      <c r="AY222" s="37">
        <f t="shared" si="1880"/>
        <v>6.3990013232957804E-3</v>
      </c>
      <c r="AZ222" s="37">
        <f t="shared" si="1880"/>
        <v>6.2496744961199934E-3</v>
      </c>
      <c r="BA222" s="37">
        <f t="shared" si="1880"/>
        <v>8.42655982765716E-3</v>
      </c>
      <c r="BB222" s="37">
        <f t="shared" si="1880"/>
        <v>9.115199096720079E-3</v>
      </c>
      <c r="BC222" s="37">
        <f t="shared" ref="BC222" si="1881">IF(ISERROR(BC187/AVERAGE(BB191:BC191)),"n.a.",BC187*BC$5/AVERAGE(BB191:BC191))</f>
        <v>8.8081758694213662E-3</v>
      </c>
      <c r="BD222" s="37">
        <f t="shared" ref="BD222" si="1882">IF(ISERROR(BD187/AVERAGE(BC191:BD191)),"n.a.",BD187*BD$5/AVERAGE(BC191:BD191))</f>
        <v>1.0091064840156681E-2</v>
      </c>
      <c r="BE222" s="37">
        <f t="shared" ref="BE222" si="1883">IF(ISERROR(BE187/AVERAGE(BD191:BE191)),"n.a.",BE187*BE$5/AVERAGE(BD191:BE191))</f>
        <v>7.9038508766936261E-3</v>
      </c>
      <c r="BF222" s="37">
        <f t="shared" ref="BF222" si="1884">IF(ISERROR(BF187/AVERAGE(BE191:BF191)),"n.a.",BF187*BF$5/AVERAGE(BE191:BF191))</f>
        <v>5.9011294604884787E-3</v>
      </c>
      <c r="BG222" s="37">
        <f t="shared" ref="BG222" si="1885">IF(ISERROR(BG187/AVERAGE(BF191:BG191)),"n.a.",BG187*BG$5/AVERAGE(BF191:BG191))</f>
        <v>6.219055669605119E-3</v>
      </c>
      <c r="BH222" s="37">
        <f t="shared" ref="BH222:BJ222" si="1886">IF(ISERROR(BH187/AVERAGE(BG191:BH191)),"n.a.",BH187*BH$5/AVERAGE(BG191:BH191))</f>
        <v>5.5789034798041483E-3</v>
      </c>
      <c r="BI222" s="38">
        <f t="shared" si="1886"/>
        <v>5.5548095283324767E-3</v>
      </c>
      <c r="BJ222" s="37">
        <f t="shared" si="1886"/>
        <v>5.3170752790279528E-3</v>
      </c>
      <c r="BK222" s="37">
        <f>IF(ISERROR(BK187/AVERAGE(BK191:BK191)),"n.a.",BK187*BK$5/AVERAGE(BK191:BK191))</f>
        <v>4.8136357464793854E-3</v>
      </c>
      <c r="BL222" s="37">
        <f>IF(ISERROR(BL187/AVERAGE(BL191:BL191)),"n.a.",BL187*BL$5/AVERAGE(BL191:BL191))</f>
        <v>5.0623959274355684E-3</v>
      </c>
      <c r="BM222" s="37">
        <f>IF(ISERROR(BM187/AVERAGE(BM191:BM191)),"n.a.",BM187*BM$5/AVERAGE(BM191:BM191))</f>
        <v>5.1022855660223217E-3</v>
      </c>
      <c r="BN222" s="37">
        <f>IF(ISERROR(BN187/AVERAGE(BN191:BN191)),"n.a.",BN187*BN$5/AVERAGE(BN191:BN191))</f>
        <v>5.1285346381056965E-3</v>
      </c>
    </row>
    <row r="223" spans="1:66" ht="12" customHeight="1" outlineLevel="1">
      <c r="A223" s="91" t="s">
        <v>522</v>
      </c>
      <c r="B223" s="1" t="s">
        <v>26</v>
      </c>
      <c r="C223" s="28"/>
      <c r="D223" s="28"/>
      <c r="E223" s="28"/>
      <c r="F223" s="28"/>
      <c r="G223" s="28">
        <v>0.23</v>
      </c>
      <c r="H223" s="28">
        <f>(22%*AVERAGE(H192,F192)-G187)/AVERAGE(H192,G192)*H$5</f>
        <v>0.20911939969101745</v>
      </c>
      <c r="I223" s="28">
        <v>0.22</v>
      </c>
      <c r="J223" s="28">
        <f>(20%*AVERAGE(J192,H192)-I187)/AVERAGE(J192,I192)*J$5</f>
        <v>0.1725968768074031</v>
      </c>
      <c r="K223" s="28">
        <f>J223</f>
        <v>0.1725968768074031</v>
      </c>
      <c r="L223" s="28">
        <f>K223</f>
        <v>0.1725968768074031</v>
      </c>
      <c r="M223" s="28">
        <v>0.16</v>
      </c>
      <c r="N223" s="28">
        <v>0.12</v>
      </c>
      <c r="O223" s="321">
        <v>0.12</v>
      </c>
      <c r="P223" s="321">
        <v>0.12</v>
      </c>
      <c r="Q223" s="321">
        <v>0.15412319920516643</v>
      </c>
      <c r="R223" s="321">
        <v>0.14000000000000001</v>
      </c>
      <c r="S223" s="321">
        <v>0.17</v>
      </c>
      <c r="T223" s="321">
        <v>0.2</v>
      </c>
      <c r="U223" s="321">
        <v>0.19</v>
      </c>
      <c r="V223" s="321">
        <v>0.18</v>
      </c>
      <c r="W223" s="321">
        <v>0.17</v>
      </c>
      <c r="X223" s="321">
        <v>0.17</v>
      </c>
      <c r="Y223" s="321">
        <v>0.15</v>
      </c>
      <c r="Z223" s="321">
        <v>0.15</v>
      </c>
      <c r="AA223" s="319">
        <v>0.15</v>
      </c>
      <c r="AB223" s="319">
        <v>0.1</v>
      </c>
      <c r="AC223" s="319">
        <f>'[2]MQG - Divisional ROE Reco'!D270</f>
        <v>0.14499999999999999</v>
      </c>
      <c r="AD223" s="319">
        <f>'[2]MQG - Divisional ROE Reco'!D243</f>
        <v>0.13834862385321095</v>
      </c>
      <c r="AE223" s="319">
        <f>'[2]MQG - Divisional ROE Reco'!D188</f>
        <v>0.14000000000000001</v>
      </c>
      <c r="AF223" s="319">
        <f>'[2]MQG - Divisional ROE Reco'!D161</f>
        <v>0.1302608695652174</v>
      </c>
      <c r="AG223" s="319">
        <f>'[2]MQG - Divisional ROE Reco'!D106</f>
        <v>0.13</v>
      </c>
      <c r="AH223" s="319">
        <f>'[2]MQG - Divisional ROE Reco'!D79</f>
        <v>0.1328358208955224</v>
      </c>
      <c r="AI223" s="352">
        <f t="shared" ref="AI223" si="1887">IF(ISERROR(AI187/AVERAGE(AH192:AI192)),"n.a.",AI187*AI$5/AVERAGE(AH192:AI192))</f>
        <v>0.1346311475409836</v>
      </c>
      <c r="AJ223" s="182">
        <f t="shared" ref="AJ223" si="1888">IF(ISERROR(AJ187/AVERAGE(AI192:AJ192)),"n.a.",AJ187*AJ$5/AVERAGE(AI192:AJ192))</f>
        <v>0.1168647029104344</v>
      </c>
      <c r="AK223" s="182">
        <f t="shared" ref="AK223" si="1889">IF(ISERROR(AK187/AVERAGE(AJ192:AK192)),"n.a.",AK187*AK$5/AVERAGE(AJ192:AK192))</f>
        <v>0.1184815625696783</v>
      </c>
      <c r="AL223" s="182">
        <f t="shared" ref="AL223" si="1890">IF(ISERROR(AL187/AVERAGE(AK192:AL192)),"n.a.",AL187*AL$5/AVERAGE(AK192:AL192))</f>
        <v>0.1199308058559953</v>
      </c>
      <c r="AM223" s="182">
        <f t="shared" ref="AM223" si="1891">IF(ISERROR(AM187/AVERAGE(AL192:AM192)),"n.a.",AM187*AM$5/AVERAGE(AL192:AM192))</f>
        <v>0.12168709318971398</v>
      </c>
      <c r="AN223" s="182">
        <f t="shared" ref="AN223" si="1892">IF(ISERROR(AN187/AVERAGE(AM192:AN192)),"n.a.",AN187*AN$5/AVERAGE(AM192:AN192))</f>
        <v>0.12165816166584542</v>
      </c>
      <c r="AO223" s="182">
        <f t="shared" ref="AO223" si="1893">IF(ISERROR(AO187/AVERAGE(AN192:AO192)),"n.a.",AO187*AO$5/AVERAGE(AN192:AO192))</f>
        <v>0.12028355781554963</v>
      </c>
      <c r="AP223" s="182">
        <f t="shared" ref="AP223" si="1894">IF(ISERROR(AP187/AVERAGE(AO192:AP192)),"n.a.",AP187*AP$5/AVERAGE(AO192:AP192))</f>
        <v>0.1196630879982212</v>
      </c>
      <c r="AQ223" s="182">
        <f t="shared" ref="AQ223" si="1895">IF(ISERROR(AQ187/AVERAGE(AP192:AQ192)),"n.a.",AQ187*AQ$5/AVERAGE(AP192:AQ192))</f>
        <v>0.11873201310270474</v>
      </c>
      <c r="AR223" s="182">
        <f t="shared" ref="AR223" si="1896">IF(ISERROR(AR187/AVERAGE(AQ192:AR192)),"n.a.",AR187*AR$5/AVERAGE(AQ192:AR192))</f>
        <v>0.11806291294534074</v>
      </c>
      <c r="AS223" s="8"/>
      <c r="AT223" s="44"/>
      <c r="AU223" s="44"/>
      <c r="AV223" s="44">
        <f>IF(ISERROR(AV187/AVERAGE(AU192:AV192)),"n.a.",AV187*AV$5/AVERAGE(AU192:AV192))</f>
        <v>0.22</v>
      </c>
      <c r="AW223" s="44">
        <f>IF(ISERROR(AW187/AVERAGE(AV192:AW192)),"n.a.",AW187*AW$5/AVERAGE(AV192:AW192))</f>
        <v>0.2</v>
      </c>
      <c r="AX223" s="44">
        <f t="shared" ref="AX223:BB223" si="1897">IF(ISERROR(AX187/AVERAGE(AW192:AX192)),"n.a.",AX187*AX$5/AVERAGE(AW192:AX192))</f>
        <v>0.16881393156230956</v>
      </c>
      <c r="AY223" s="44">
        <f t="shared" si="1897"/>
        <v>0.13376712328767124</v>
      </c>
      <c r="AZ223" s="44">
        <f t="shared" si="1897"/>
        <v>0.11999999999999998</v>
      </c>
      <c r="BA223" s="44">
        <f t="shared" si="1897"/>
        <v>0.15212488053520234</v>
      </c>
      <c r="BB223" s="44">
        <f t="shared" si="1897"/>
        <v>0.18738909938793352</v>
      </c>
      <c r="BC223" s="44">
        <f t="shared" ref="BC223" si="1898">IF(ISERROR(BC187/AVERAGE(BB192:BC192)),"n.a.",BC187*BC$5/AVERAGE(BB192:BC192))</f>
        <v>0.16587692307692309</v>
      </c>
      <c r="BD223" s="44">
        <f t="shared" ref="BD223" si="1899">IF(ISERROR(BD187/AVERAGE(BC192:BD192)),"n.a.",BD187*BD$5/AVERAGE(BC192:BD192))</f>
        <v>0.1710240963855422</v>
      </c>
      <c r="BE223" s="44">
        <f t="shared" ref="BE223" si="1900">IF(ISERROR(BE187/AVERAGE(BD192:BE192)),"n.a.",BE187*BE$5/AVERAGE(BD192:BE192))</f>
        <v>0.1499953300124533</v>
      </c>
      <c r="BF223" s="50">
        <f t="shared" ref="BF223" si="1901">IF(ISERROR(BF187/AVERAGE(BE192:BF192)),"n.a.",BF187*BF$5/AVERAGE(BE192:BF192))</f>
        <v>0.12505984138428261</v>
      </c>
      <c r="BG223" s="50">
        <f t="shared" ref="BG223" si="1902">IF(ISERROR(BG187/AVERAGE(BF192:BG192)),"n.a.",BG187*BG$5/AVERAGE(BF192:BG192))</f>
        <v>0.14499999999999999</v>
      </c>
      <c r="BH223" s="50">
        <f t="shared" ref="BH223:BJ223" si="1903">IF(ISERROR(BH187/AVERAGE(BG192:BH192)),"n.a.",BH187*BH$5/AVERAGE(BG192:BH192))</f>
        <v>0.13500000000000001</v>
      </c>
      <c r="BI223" s="51">
        <f t="shared" si="1903"/>
        <v>0.13250000000000001</v>
      </c>
      <c r="BJ223" s="50">
        <f t="shared" si="1903"/>
        <v>0.12609569587509828</v>
      </c>
      <c r="BK223" s="50">
        <f>IF(ISERROR(BK187/AVERAGE(BK192:BK192)),"n.a.",BK187*BK$5/AVERAGE(BK192:BK192))</f>
        <v>0.11240219491904088</v>
      </c>
      <c r="BL223" s="50">
        <f>IF(ISERROR(BL187/AVERAGE(BL192:BL192)),"n.a.",BL187*BL$5/AVERAGE(BL192:BL192))</f>
        <v>0.11618598316301007</v>
      </c>
      <c r="BM223" s="50">
        <f>IF(ISERROR(BM187/AVERAGE(BM192:BM192)),"n.a.",BM187*BM$5/AVERAGE(BM192:BM192))</f>
        <v>0.11506056763398709</v>
      </c>
      <c r="BN223" s="50">
        <f>IF(ISERROR(BN187/AVERAGE(BN192:BN192)),"n.a.",BN187*BN$5/AVERAGE(BN192:BN192))</f>
        <v>0.11360109107717656</v>
      </c>
    </row>
    <row r="224" spans="1:66" ht="12" customHeight="1">
      <c r="C224" s="285"/>
      <c r="D224" s="285"/>
      <c r="E224" s="285"/>
      <c r="F224" s="285"/>
      <c r="G224" s="285"/>
      <c r="H224" s="285"/>
      <c r="I224" s="285"/>
      <c r="J224" s="285"/>
      <c r="K224" s="285"/>
      <c r="L224" s="285"/>
      <c r="M224" s="19"/>
      <c r="N224" s="19"/>
      <c r="O224" s="19"/>
      <c r="P224" s="285"/>
      <c r="Q224" s="285"/>
      <c r="R224" s="285"/>
      <c r="S224" s="285"/>
      <c r="T224" s="285"/>
      <c r="U224" s="285"/>
      <c r="V224" s="285"/>
      <c r="W224" s="285"/>
      <c r="X224" s="285"/>
      <c r="Y224" s="285"/>
      <c r="Z224" s="285"/>
      <c r="AA224" s="33"/>
      <c r="AB224" s="33"/>
      <c r="AC224" s="33"/>
      <c r="AD224" s="33"/>
      <c r="AE224" s="33"/>
      <c r="AF224" s="33"/>
      <c r="AG224" s="33"/>
      <c r="AH224" s="33"/>
      <c r="AI224" s="32"/>
      <c r="AJ224" s="19"/>
      <c r="AK224" s="19"/>
      <c r="AL224" s="19"/>
      <c r="AM224" s="19"/>
      <c r="AN224" s="19"/>
      <c r="AO224" s="19"/>
      <c r="AP224" s="19"/>
      <c r="AQ224" s="19"/>
      <c r="AR224" s="19"/>
      <c r="AY224" s="33"/>
      <c r="BF224" s="285"/>
    </row>
    <row r="225" spans="1:66" s="9" customFormat="1" ht="12" customHeight="1">
      <c r="A225" s="91"/>
      <c r="B225" s="2" t="str">
        <f>UPPER("Commodities and Global Markets")</f>
        <v>COMMODITIES AND GLOBAL MARKETS</v>
      </c>
      <c r="C225" s="93">
        <f t="shared" ref="C225:Q225" si="1904">C256</f>
        <v>687</v>
      </c>
      <c r="D225" s="93">
        <f t="shared" si="1904"/>
        <v>720</v>
      </c>
      <c r="E225" s="93">
        <f t="shared" si="1904"/>
        <v>265</v>
      </c>
      <c r="F225" s="93">
        <f t="shared" si="1904"/>
        <v>494</v>
      </c>
      <c r="G225" s="93">
        <f t="shared" si="1904"/>
        <v>-13</v>
      </c>
      <c r="H225" s="93">
        <f t="shared" si="1904"/>
        <v>358</v>
      </c>
      <c r="I225" s="93">
        <f t="shared" si="1904"/>
        <v>155</v>
      </c>
      <c r="J225" s="93">
        <f t="shared" si="1904"/>
        <v>358</v>
      </c>
      <c r="K225" s="93">
        <f t="shared" si="1904"/>
        <v>274</v>
      </c>
      <c r="L225" s="93">
        <f t="shared" si="1904"/>
        <v>559</v>
      </c>
      <c r="M225" s="93">
        <f t="shared" si="1904"/>
        <v>267</v>
      </c>
      <c r="N225" s="93">
        <f t="shared" si="1904"/>
        <v>632</v>
      </c>
      <c r="O225" s="93">
        <f t="shared" si="1904"/>
        <v>522</v>
      </c>
      <c r="P225" s="93">
        <f t="shared" si="1904"/>
        <v>322</v>
      </c>
      <c r="Q225" s="93">
        <f t="shared" si="1904"/>
        <v>490</v>
      </c>
      <c r="R225" s="93">
        <f t="shared" ref="R225:S225" si="1905">R256</f>
        <v>481</v>
      </c>
      <c r="S225" s="93">
        <f t="shared" si="1905"/>
        <v>378</v>
      </c>
      <c r="T225" s="93">
        <f t="shared" ref="T225:U225" si="1906">T256</f>
        <v>532</v>
      </c>
      <c r="U225" s="93">
        <f t="shared" si="1906"/>
        <v>864</v>
      </c>
      <c r="V225" s="93">
        <f t="shared" ref="V225:W225" si="1907">V256</f>
        <v>879</v>
      </c>
      <c r="W225" s="93">
        <f t="shared" si="1907"/>
        <v>1140</v>
      </c>
      <c r="X225" s="93">
        <f t="shared" ref="X225:Y225" si="1908">X256</f>
        <v>598</v>
      </c>
      <c r="Y225" s="93">
        <f t="shared" si="1908"/>
        <v>1082</v>
      </c>
      <c r="Z225" s="93">
        <f t="shared" ref="Z225:AA225" si="1909">Z256</f>
        <v>1519</v>
      </c>
      <c r="AA225" s="93">
        <f t="shared" si="1909"/>
        <v>1729</v>
      </c>
      <c r="AB225" s="93">
        <f t="shared" ref="AB225:AC225" si="1910">AB256</f>
        <v>2182</v>
      </c>
      <c r="AC225" s="93">
        <f t="shared" si="1910"/>
        <v>1996</v>
      </c>
      <c r="AD225" s="93">
        <f t="shared" ref="AD225:AE225" si="1911">AD256</f>
        <v>4011</v>
      </c>
      <c r="AE225" s="93">
        <f t="shared" si="1911"/>
        <v>1383</v>
      </c>
      <c r="AF225" s="93">
        <f t="shared" ref="AF225:AG225" si="1912">AF256</f>
        <v>1830</v>
      </c>
      <c r="AG225" s="93">
        <f t="shared" si="1912"/>
        <v>1316</v>
      </c>
      <c r="AH225" s="93">
        <f t="shared" ref="AH225" si="1913">AH256</f>
        <v>1513</v>
      </c>
      <c r="AI225" s="94">
        <f t="shared" ref="AI225:AJ225" si="1914">AI256</f>
        <v>1113</v>
      </c>
      <c r="AJ225" s="93">
        <f t="shared" si="1914"/>
        <v>2022.1794104385385</v>
      </c>
      <c r="AK225" s="93">
        <f t="shared" ref="AK225:AL225" si="1915">AK256</f>
        <v>1587.6138251223372</v>
      </c>
      <c r="AL225" s="93">
        <f t="shared" si="1915"/>
        <v>1876.4297699052672</v>
      </c>
      <c r="AM225" s="93">
        <f t="shared" ref="AM225:AN225" si="1916">AM256</f>
        <v>1701.0926189650465</v>
      </c>
      <c r="AN225" s="93">
        <f t="shared" si="1916"/>
        <v>2082.8061156565136</v>
      </c>
      <c r="AO225" s="93">
        <f t="shared" ref="AO225:AP225" si="1917">AO256</f>
        <v>1814.3977483973561</v>
      </c>
      <c r="AP225" s="93">
        <f t="shared" si="1917"/>
        <v>2224.1831186168802</v>
      </c>
      <c r="AQ225" s="93">
        <f t="shared" ref="AQ225:AR225" si="1918">AQ256</f>
        <v>1992.0521607796607</v>
      </c>
      <c r="AR225" s="93">
        <f t="shared" si="1918"/>
        <v>2341.8048417942191</v>
      </c>
      <c r="AS225" s="93"/>
      <c r="AT225" s="93">
        <f t="shared" ref="AT225:BC225" si="1919">AT256</f>
        <v>1407</v>
      </c>
      <c r="AU225" s="93">
        <f t="shared" si="1919"/>
        <v>759</v>
      </c>
      <c r="AV225" s="93">
        <f t="shared" si="1919"/>
        <v>345</v>
      </c>
      <c r="AW225" s="93">
        <f t="shared" si="1919"/>
        <v>513</v>
      </c>
      <c r="AX225" s="93">
        <f t="shared" si="1919"/>
        <v>833</v>
      </c>
      <c r="AY225" s="93">
        <f t="shared" si="1919"/>
        <v>899</v>
      </c>
      <c r="AZ225" s="93">
        <f t="shared" si="1919"/>
        <v>844</v>
      </c>
      <c r="BA225" s="93">
        <f t="shared" si="1919"/>
        <v>971</v>
      </c>
      <c r="BB225" s="93">
        <f t="shared" si="1919"/>
        <v>910</v>
      </c>
      <c r="BC225" s="93">
        <f t="shared" si="1919"/>
        <v>1743</v>
      </c>
      <c r="BD225" s="93">
        <f t="shared" ref="BD225:BI225" si="1920">BD256</f>
        <v>1738</v>
      </c>
      <c r="BE225" s="93">
        <f t="shared" si="1920"/>
        <v>2601</v>
      </c>
      <c r="BF225" s="93">
        <f t="shared" si="1920"/>
        <v>3911</v>
      </c>
      <c r="BG225" s="93">
        <f t="shared" si="1920"/>
        <v>6007</v>
      </c>
      <c r="BH225" s="93">
        <f t="shared" si="1920"/>
        <v>3213</v>
      </c>
      <c r="BI225" s="94">
        <f t="shared" si="1920"/>
        <v>2829</v>
      </c>
      <c r="BJ225" s="93">
        <f t="shared" ref="BJ225:BK225" si="1921">BJ256</f>
        <v>3135.179410438539</v>
      </c>
      <c r="BK225" s="93">
        <f t="shared" si="1921"/>
        <v>3464.0435950276042</v>
      </c>
      <c r="BL225" s="93">
        <f t="shared" ref="BL225:BM225" si="1922">BL256</f>
        <v>3783.8987346215599</v>
      </c>
      <c r="BM225" s="93">
        <f t="shared" si="1922"/>
        <v>4038.5808670142355</v>
      </c>
      <c r="BN225" s="93">
        <f>BN256</f>
        <v>4333.8570025738809</v>
      </c>
    </row>
    <row r="226" spans="1:66" ht="12" customHeight="1" outlineLevel="1"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20"/>
      <c r="AJ226" s="19"/>
      <c r="AK226" s="19"/>
      <c r="AL226" s="19"/>
      <c r="AM226" s="19"/>
      <c r="AN226" s="19"/>
      <c r="AO226" s="19"/>
      <c r="AP226" s="19"/>
      <c r="AQ226" s="19"/>
      <c r="AR226" s="19"/>
      <c r="AY226" s="33"/>
      <c r="AZ226" s="33"/>
      <c r="BA226" s="33"/>
      <c r="BB226" s="33"/>
      <c r="BC226" s="33"/>
      <c r="BD226" s="33"/>
      <c r="BE226" s="33"/>
      <c r="BF226" s="33"/>
      <c r="BG226" s="33"/>
      <c r="BH226" s="33"/>
      <c r="BI226" s="32"/>
      <c r="BJ226" s="33"/>
      <c r="BK226" s="33"/>
      <c r="BL226" s="33"/>
      <c r="BM226" s="33"/>
      <c r="BN226" s="33"/>
    </row>
    <row r="227" spans="1:66" ht="12" customHeight="1" outlineLevel="1">
      <c r="B227" s="9" t="s">
        <v>40</v>
      </c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20"/>
      <c r="AJ227" s="19"/>
      <c r="AK227" s="19"/>
      <c r="AL227" s="19"/>
      <c r="AM227" s="19"/>
      <c r="AN227" s="19"/>
      <c r="AO227" s="19"/>
      <c r="AP227" s="19"/>
      <c r="AQ227" s="19"/>
      <c r="AR227" s="19"/>
      <c r="BG227" s="33"/>
      <c r="BH227" s="33"/>
      <c r="BI227" s="35"/>
    </row>
    <row r="228" spans="1:66" s="9" customFormat="1" ht="12" customHeight="1" outlineLevel="1">
      <c r="A228" s="91" t="s">
        <v>1518</v>
      </c>
      <c r="B228" s="16" t="s">
        <v>6</v>
      </c>
      <c r="C228" s="22">
        <f t="shared" ref="C228:Q228" si="1923">C525+C596</f>
        <v>0</v>
      </c>
      <c r="D228" s="22">
        <f t="shared" si="1923"/>
        <v>0</v>
      </c>
      <c r="E228" s="22">
        <f t="shared" si="1923"/>
        <v>0</v>
      </c>
      <c r="F228" s="22">
        <f t="shared" si="1923"/>
        <v>0</v>
      </c>
      <c r="G228" s="22">
        <f t="shared" si="1923"/>
        <v>0</v>
      </c>
      <c r="H228" s="22">
        <f t="shared" si="1923"/>
        <v>0</v>
      </c>
      <c r="I228" s="22">
        <f t="shared" si="1923"/>
        <v>0</v>
      </c>
      <c r="J228" s="22">
        <f t="shared" si="1923"/>
        <v>0</v>
      </c>
      <c r="K228" s="22">
        <f t="shared" si="1923"/>
        <v>0</v>
      </c>
      <c r="L228" s="22">
        <f t="shared" si="1923"/>
        <v>0</v>
      </c>
      <c r="M228" s="22">
        <f t="shared" si="1923"/>
        <v>0</v>
      </c>
      <c r="N228" s="22">
        <f t="shared" si="1923"/>
        <v>0</v>
      </c>
      <c r="O228" s="22">
        <f t="shared" si="1923"/>
        <v>0</v>
      </c>
      <c r="P228" s="22">
        <f t="shared" si="1923"/>
        <v>0</v>
      </c>
      <c r="Q228" s="22">
        <f t="shared" si="1923"/>
        <v>0</v>
      </c>
      <c r="R228" s="22">
        <f t="shared" ref="R228:S228" si="1924">R525+R596</f>
        <v>0</v>
      </c>
      <c r="S228" s="22">
        <f t="shared" si="1924"/>
        <v>0</v>
      </c>
      <c r="T228" s="22">
        <f t="shared" ref="T228" si="1925">T525+T596</f>
        <v>0</v>
      </c>
      <c r="U228" s="63">
        <f>U266</f>
        <v>13400</v>
      </c>
      <c r="V228" s="63">
        <f>AVERAGE(U266:V266)</f>
        <v>13200</v>
      </c>
      <c r="W228" s="63">
        <f t="shared" ref="W228:AI228" si="1926">IF(ISERROR(V228/AVERAGE(U266:V266)*AVERAGE(V266:W266)),0,V228/AVERAGE(U266:V266)*AVERAGE(V266:W266))</f>
        <v>13600</v>
      </c>
      <c r="X228" s="63">
        <f t="shared" si="1926"/>
        <v>14400</v>
      </c>
      <c r="Y228" s="63">
        <f t="shared" si="1926"/>
        <v>12750</v>
      </c>
      <c r="Z228" s="63">
        <f t="shared" si="1926"/>
        <v>11400</v>
      </c>
      <c r="AA228" s="63">
        <f t="shared" si="1926"/>
        <v>12700</v>
      </c>
      <c r="AB228" s="63">
        <f t="shared" si="1926"/>
        <v>14450</v>
      </c>
      <c r="AC228" s="63">
        <f t="shared" si="1926"/>
        <v>15500</v>
      </c>
      <c r="AD228" s="63">
        <f t="shared" si="1926"/>
        <v>16300</v>
      </c>
      <c r="AE228" s="63">
        <f t="shared" si="1926"/>
        <v>17400</v>
      </c>
      <c r="AF228" s="63">
        <f t="shared" si="1926"/>
        <v>18500</v>
      </c>
      <c r="AG228" s="63">
        <f t="shared" si="1926"/>
        <v>18750</v>
      </c>
      <c r="AH228" s="63">
        <f t="shared" si="1926"/>
        <v>18600</v>
      </c>
      <c r="AI228" s="64">
        <f t="shared" si="1926"/>
        <v>19550</v>
      </c>
      <c r="AJ228" s="39">
        <f t="shared" ref="AJ228" si="1927">IF(ISERROR(AI228/AVERAGE(AH266:AI266)*AVERAGE(AI266:AJ266)),0,AI228/AVERAGE(AH266:AI266)*AVERAGE(AI266:AJ266))</f>
        <v>20301</v>
      </c>
      <c r="AK228" s="39">
        <f t="shared" ref="AK228" si="1928">IF(ISERROR(AJ228/AVERAGE(AI266:AJ266)*AVERAGE(AJ266:AK266)),0,AJ228/AVERAGE(AI266:AJ266)*AVERAGE(AJ266:AK266))</f>
        <v>20504.010000000002</v>
      </c>
      <c r="AL228" s="39">
        <f t="shared" ref="AL228" si="1929">IF(ISERROR(AK228/AVERAGE(AJ266:AK266)*AVERAGE(AK266:AL266)),0,AK228/AVERAGE(AJ266:AK266)*AVERAGE(AK266:AL266))</f>
        <v>20709.0501</v>
      </c>
      <c r="AM228" s="39">
        <f t="shared" ref="AM228" si="1930">IF(ISERROR(AL228/AVERAGE(AK266:AL266)*AVERAGE(AL266:AM266)),0,AL228/AVERAGE(AK266:AL266)*AVERAGE(AL266:AM266))</f>
        <v>20916.140600999999</v>
      </c>
      <c r="AN228" s="39">
        <f t="shared" ref="AN228" si="1931">IF(ISERROR(AM228/AVERAGE(AL266:AM266)*AVERAGE(AM266:AN266)),0,AM228/AVERAGE(AL266:AM266)*AVERAGE(AM266:AN266))</f>
        <v>21125.302007010003</v>
      </c>
      <c r="AO228" s="39">
        <f t="shared" ref="AO228" si="1932">IF(ISERROR(AN228/AVERAGE(AM266:AN266)*AVERAGE(AN266:AO266)),0,AN228/AVERAGE(AM266:AN266)*AVERAGE(AN266:AO266))</f>
        <v>21336.555027080103</v>
      </c>
      <c r="AP228" s="39">
        <f t="shared" ref="AP228" si="1933">IF(ISERROR(AO228/AVERAGE(AN266:AO266)*AVERAGE(AO266:AP266)),0,AO228/AVERAGE(AN266:AO266)*AVERAGE(AO266:AP266))</f>
        <v>21549.920577350902</v>
      </c>
      <c r="AQ228" s="39">
        <f t="shared" ref="AQ228" si="1934">IF(ISERROR(AP228/AVERAGE(AO266:AP266)*AVERAGE(AP266:AQ266)),0,AP228/AVERAGE(AO266:AP266)*AVERAGE(AP266:AQ266))</f>
        <v>21765.419783124413</v>
      </c>
      <c r="AR228" s="39">
        <f t="shared" ref="AR228" si="1935">IF(ISERROR(AQ228/AVERAGE(AP266:AQ266)*AVERAGE(AQ266:AR266)),0,AQ228/AVERAGE(AP266:AQ266)*AVERAGE(AQ266:AR266))</f>
        <v>21983.073980955654</v>
      </c>
      <c r="AS228" s="74"/>
      <c r="AT228" s="63">
        <f>SUMPRODUCT(C228:D228,C$5:D$5)/SUM(C$5:D$5)</f>
        <v>0</v>
      </c>
      <c r="AU228" s="63">
        <f>SUMPRODUCT(E228:F228,E$5:F$5)/SUM(E$5:F$5)</f>
        <v>0</v>
      </c>
      <c r="AV228" s="63">
        <f>SUMPRODUCT(G228:H228,G$5:H$5)/SUM(G$5:H$5)</f>
        <v>0</v>
      </c>
      <c r="AW228" s="63">
        <f>SUMPRODUCT(I228:J228,I$5:J$5)/SUM(I$5:J$5)</f>
        <v>0</v>
      </c>
      <c r="AX228" s="63">
        <f>SUMPRODUCT(K228:L228,K$5:L$5)/SUM(K$5:L$5)</f>
        <v>0</v>
      </c>
      <c r="AY228" s="63">
        <f>SUMPRODUCT(M228:N228,M$5:N$5)/SUM(M$5:N$5)</f>
        <v>0</v>
      </c>
      <c r="AZ228" s="63">
        <f>SUMPRODUCT(O228:P228,O$5:P$5)/SUM(O$5:P$5)</f>
        <v>0</v>
      </c>
      <c r="BA228" s="63">
        <f>SUMPRODUCT(Q228:R228,Q$5:R$5)/SUM(Q$5:R$5)</f>
        <v>0</v>
      </c>
      <c r="BB228" s="63">
        <f>SUMPRODUCT(S228:T228,S$5:T$5)/SUM(S$5:T$5)</f>
        <v>0</v>
      </c>
      <c r="BC228" s="63">
        <f>SUMPRODUCT(U228:V228,U$5:V$5)/SUM(U$5:V$5)</f>
        <v>13299.726027397261</v>
      </c>
      <c r="BD228" s="63">
        <f>SUMPRODUCT(W228:X228,W$5:X$5)/SUM(W$5:X$5)</f>
        <v>14000</v>
      </c>
      <c r="BE228" s="63">
        <f>SUMPRODUCT(Y228:Z228,Y$5:Z$5)/SUM(Y$5:Z$5)</f>
        <v>12073.150684931506</v>
      </c>
      <c r="BF228" s="63">
        <f>SUMPRODUCT(AA228:AB228,AA$5:AB$5)/SUM(AA$5:AB$5)</f>
        <v>13577.397260273972</v>
      </c>
      <c r="BG228" s="63">
        <f>SUMPRODUCT(AC228:AD228,AC$5:AD$5)/SUM(AC$5:AD$5)</f>
        <v>15901.095890410959</v>
      </c>
      <c r="BH228" s="63">
        <f>SUMPRODUCT(AE228:AF228,AE$5:AF$5)/SUM(AE$5:AF$5)</f>
        <v>17950</v>
      </c>
      <c r="BI228" s="64">
        <f>SUMPRODUCT(AG228:AH228,AG$5:AH$5)/SUM(AG$5:AH$5)</f>
        <v>18674.794520547948</v>
      </c>
      <c r="BJ228" s="63">
        <f>SUMPRODUCT(AI228:AJ228,AI$5:AJ$5)/SUM(AI$5:AJ$5)</f>
        <v>19926.528767123291</v>
      </c>
      <c r="BK228" s="63">
        <f>SUMPRODUCT(AK228:AL228,AK$5:AL$5)/SUM(AK$5:AL$5)</f>
        <v>20606.810926849317</v>
      </c>
      <c r="BL228" s="63">
        <f>SUMPRODUCT(AM228:AN228,AM$5:AN$5)/SUM(AM$5:AN$5)</f>
        <v>21020.721304005001</v>
      </c>
      <c r="BM228" s="63">
        <f>SUMPRODUCT(AO228:AP228,AO$5:AP$5)/SUM(AO$5:AP$5)</f>
        <v>21443.530083791218</v>
      </c>
      <c r="BN228" s="63">
        <f>SUMPRODUCT(AQ228:AR228,AQ$5:AR$5)/SUM(AQ$5:AR$5)</f>
        <v>21874.545038475419</v>
      </c>
    </row>
    <row r="229" spans="1:66" ht="12" customHeight="1" outlineLevel="1">
      <c r="A229" s="91" t="s">
        <v>1519</v>
      </c>
      <c r="B229" s="1" t="s">
        <v>5</v>
      </c>
      <c r="C229" s="37" t="str">
        <f>IF(ISERROR(C230/C228),"n.a.",C230/C228*C$5)</f>
        <v>n.a.</v>
      </c>
      <c r="D229" s="37" t="str">
        <f t="shared" ref="D229:Q229" si="1936">IF(ISERROR(D230/D228),"n.a.",D230/D228*D$5)</f>
        <v>n.a.</v>
      </c>
      <c r="E229" s="37" t="str">
        <f t="shared" si="1936"/>
        <v>n.a.</v>
      </c>
      <c r="F229" s="37" t="str">
        <f t="shared" si="1936"/>
        <v>n.a.</v>
      </c>
      <c r="G229" s="37" t="str">
        <f t="shared" si="1936"/>
        <v>n.a.</v>
      </c>
      <c r="H229" s="37" t="str">
        <f t="shared" si="1936"/>
        <v>n.a.</v>
      </c>
      <c r="I229" s="37" t="str">
        <f t="shared" si="1936"/>
        <v>n.a.</v>
      </c>
      <c r="J229" s="37" t="str">
        <f t="shared" si="1936"/>
        <v>n.a.</v>
      </c>
      <c r="K229" s="37" t="str">
        <f t="shared" si="1936"/>
        <v>n.a.</v>
      </c>
      <c r="L229" s="37" t="str">
        <f t="shared" si="1936"/>
        <v>n.a.</v>
      </c>
      <c r="M229" s="37" t="str">
        <f t="shared" si="1936"/>
        <v>n.a.</v>
      </c>
      <c r="N229" s="37" t="str">
        <f t="shared" si="1936"/>
        <v>n.a.</v>
      </c>
      <c r="O229" s="37" t="str">
        <f t="shared" si="1936"/>
        <v>n.a.</v>
      </c>
      <c r="P229" s="37" t="str">
        <f t="shared" si="1936"/>
        <v>n.a.</v>
      </c>
      <c r="Q229" s="37" t="str">
        <f t="shared" si="1936"/>
        <v>n.a.</v>
      </c>
      <c r="R229" s="37" t="str">
        <f t="shared" ref="R229:S229" si="1937">IF(ISERROR(R230/R228),"n.a.",R230/R228*R$5)</f>
        <v>n.a.</v>
      </c>
      <c r="S229" s="37" t="str">
        <f t="shared" si="1937"/>
        <v>n.a.</v>
      </c>
      <c r="T229" s="37" t="str">
        <f t="shared" ref="T229:U229" si="1938">IF(ISERROR(T230/T228),"n.a.",T230/T228*T$5)</f>
        <v>n.a.</v>
      </c>
      <c r="U229" s="37">
        <f t="shared" si="1938"/>
        <v>0</v>
      </c>
      <c r="V229" s="37">
        <f t="shared" ref="V229:W229" si="1939">IF(ISERROR(V230/V228),"n.a.",V230/V228*V$5)</f>
        <v>0</v>
      </c>
      <c r="W229" s="37">
        <f t="shared" si="1939"/>
        <v>0</v>
      </c>
      <c r="X229" s="37">
        <f t="shared" ref="X229:Y229" si="1940">IF(ISERROR(X230/X228),"n.a.",X230/X228*X$5)</f>
        <v>0</v>
      </c>
      <c r="Y229" s="37">
        <f t="shared" si="1940"/>
        <v>0</v>
      </c>
      <c r="Z229" s="37">
        <f t="shared" ref="Z229:AA229" si="1941">IF(ISERROR(Z230/Z228),"n.a.",Z230/Z228*Z$5)</f>
        <v>0</v>
      </c>
      <c r="AA229" s="37">
        <f t="shared" si="1941"/>
        <v>0</v>
      </c>
      <c r="AB229" s="37">
        <f t="shared" ref="AB229:AC229" si="1942">IF(ISERROR(AB230/AB228),"n.a.",AB230/AB228*AB$5)</f>
        <v>0</v>
      </c>
      <c r="AC229" s="37">
        <f t="shared" si="1942"/>
        <v>0</v>
      </c>
      <c r="AD229" s="37">
        <f t="shared" ref="AD229:AE229" si="1943">IF(ISERROR(AD230/AD228),"n.a.",AD230/AD228*AD$5)</f>
        <v>0</v>
      </c>
      <c r="AE229" s="37">
        <f t="shared" si="1943"/>
        <v>0</v>
      </c>
      <c r="AF229" s="37">
        <f t="shared" ref="AF229:AG229" si="1944">IF(ISERROR(AF230/AF228),"n.a.",AF230/AF228*AF$5)</f>
        <v>0</v>
      </c>
      <c r="AG229" s="37">
        <f t="shared" si="1944"/>
        <v>0</v>
      </c>
      <c r="AH229" s="37">
        <f t="shared" ref="AH229" si="1945">IF(ISERROR(AH230/AH228),"n.a.",AH230/AH228*AH$5)</f>
        <v>0</v>
      </c>
      <c r="AI229" s="38">
        <f t="shared" ref="AI229" si="1946">IF(ISERROR(AI230/AI228),"n.a.",AI230/AI228*AI$5)</f>
        <v>0</v>
      </c>
      <c r="AJ229" s="48">
        <f t="shared" ref="AJ229" si="1947">IF(ISERROR(AI229+AJ277),"n.a.",AI229+AJ277)</f>
        <v>0</v>
      </c>
      <c r="AK229" s="48">
        <f t="shared" ref="AK229" si="1948">IF(ISERROR(AJ229+AK277),"n.a.",AJ229+AK277)</f>
        <v>0</v>
      </c>
      <c r="AL229" s="48">
        <f t="shared" ref="AL229" si="1949">IF(ISERROR(AK229+AL277),"n.a.",AK229+AL277)</f>
        <v>0</v>
      </c>
      <c r="AM229" s="48">
        <f t="shared" ref="AM229" si="1950">IF(ISERROR(AL229+AM277),"n.a.",AL229+AM277)</f>
        <v>0</v>
      </c>
      <c r="AN229" s="48">
        <f t="shared" ref="AN229" si="1951">IF(ISERROR(AM229+AN277),"n.a.",AM229+AN277)</f>
        <v>0</v>
      </c>
      <c r="AO229" s="48">
        <f t="shared" ref="AO229" si="1952">IF(ISERROR(AN229+AO277),"n.a.",AN229+AO277)</f>
        <v>0</v>
      </c>
      <c r="AP229" s="48">
        <f t="shared" ref="AP229" si="1953">IF(ISERROR(AO229+AP277),"n.a.",AO229+AP277)</f>
        <v>0</v>
      </c>
      <c r="AQ229" s="48">
        <f t="shared" ref="AQ229" si="1954">IF(ISERROR(AP229+AQ277),"n.a.",AP229+AQ277)</f>
        <v>0</v>
      </c>
      <c r="AR229" s="48">
        <f t="shared" ref="AR229" si="1955">IF(ISERROR(AQ229+AR277),"n.a.",AQ229+AR277)</f>
        <v>0</v>
      </c>
      <c r="AS229" s="8"/>
      <c r="AT229" s="37" t="str">
        <f t="shared" ref="AT229:BC229" si="1956">IF(ISERROR(AT230/AT228),"n.a.",AT230/AT228*AT$5)</f>
        <v>n.a.</v>
      </c>
      <c r="AU229" s="37" t="str">
        <f t="shared" si="1956"/>
        <v>n.a.</v>
      </c>
      <c r="AV229" s="37" t="str">
        <f t="shared" si="1956"/>
        <v>n.a.</v>
      </c>
      <c r="AW229" s="37" t="str">
        <f t="shared" si="1956"/>
        <v>n.a.</v>
      </c>
      <c r="AX229" s="37" t="str">
        <f t="shared" si="1956"/>
        <v>n.a.</v>
      </c>
      <c r="AY229" s="37" t="str">
        <f t="shared" si="1956"/>
        <v>n.a.</v>
      </c>
      <c r="AZ229" s="37" t="str">
        <f t="shared" si="1956"/>
        <v>n.a.</v>
      </c>
      <c r="BA229" s="37" t="str">
        <f t="shared" si="1956"/>
        <v>n.a.</v>
      </c>
      <c r="BB229" s="37" t="str">
        <f t="shared" si="1956"/>
        <v>n.a.</v>
      </c>
      <c r="BC229" s="37">
        <f t="shared" si="1956"/>
        <v>0</v>
      </c>
      <c r="BD229" s="37">
        <f>IF(ISERROR(BD230/BD228),"n.a.",BD230/BD228*BD$5)</f>
        <v>0</v>
      </c>
      <c r="BE229" s="37">
        <f>IF(ISERROR(BE230/BE228),"n.a.",BE230/BE228*BE$5)</f>
        <v>0</v>
      </c>
      <c r="BF229" s="37">
        <f>IF(ISERROR(BF230/BF228),"n.a.",BF230/BF228*BF$5)</f>
        <v>0</v>
      </c>
      <c r="BG229" s="37">
        <f t="shared" ref="BG229:BH229" si="1957">IF(ISERROR(BG230/BG228),"n.a.",BG230/BG228*BG$5)</f>
        <v>0</v>
      </c>
      <c r="BH229" s="37">
        <f t="shared" si="1957"/>
        <v>0</v>
      </c>
      <c r="BI229" s="38">
        <f t="shared" ref="BI229:BJ229" si="1958">IF(ISERROR(BI230/BI228),"n.a.",BI230/BI228*BI$5)</f>
        <v>0</v>
      </c>
      <c r="BJ229" s="37">
        <f t="shared" si="1958"/>
        <v>0</v>
      </c>
      <c r="BK229" s="37">
        <f t="shared" ref="BK229:BL229" si="1959">IF(ISERROR(BK230/BK228),"n.a.",BK230/BK228*BK$5)</f>
        <v>0</v>
      </c>
      <c r="BL229" s="37">
        <f t="shared" si="1959"/>
        <v>0</v>
      </c>
      <c r="BM229" s="37">
        <f t="shared" ref="BM229" si="1960">IF(ISERROR(BM230/BM228),"n.a.",BM230/BM228*BM$5)</f>
        <v>0</v>
      </c>
      <c r="BN229" s="37">
        <f>IF(ISERROR(BN230/BN228),"n.a.",BN230/BN228*BO$5)</f>
        <v>0</v>
      </c>
    </row>
    <row r="230" spans="1:66" s="9" customFormat="1" ht="12" customHeight="1" outlineLevel="1">
      <c r="A230" s="91" t="s">
        <v>1520</v>
      </c>
      <c r="B230" s="9" t="s">
        <v>7</v>
      </c>
      <c r="C230" s="22">
        <f t="shared" ref="C230:Q230" si="1961">C527+C598</f>
        <v>21</v>
      </c>
      <c r="D230" s="22">
        <f t="shared" si="1961"/>
        <v>49</v>
      </c>
      <c r="E230" s="22">
        <f t="shared" si="1961"/>
        <v>-53</v>
      </c>
      <c r="F230" s="22">
        <f t="shared" si="1961"/>
        <v>5</v>
      </c>
      <c r="G230" s="22">
        <f t="shared" si="1961"/>
        <v>0</v>
      </c>
      <c r="H230" s="22">
        <f t="shared" si="1961"/>
        <v>0</v>
      </c>
      <c r="I230" s="22">
        <f t="shared" si="1961"/>
        <v>0</v>
      </c>
      <c r="J230" s="22">
        <f t="shared" si="1961"/>
        <v>0</v>
      </c>
      <c r="K230" s="22">
        <f t="shared" si="1961"/>
        <v>0</v>
      </c>
      <c r="L230" s="22">
        <f t="shared" si="1961"/>
        <v>0</v>
      </c>
      <c r="M230" s="22">
        <f t="shared" si="1961"/>
        <v>0</v>
      </c>
      <c r="N230" s="22">
        <f t="shared" si="1961"/>
        <v>0</v>
      </c>
      <c r="O230" s="22">
        <f t="shared" si="1961"/>
        <v>0</v>
      </c>
      <c r="P230" s="22">
        <f t="shared" si="1961"/>
        <v>0</v>
      </c>
      <c r="Q230" s="22">
        <f t="shared" si="1961"/>
        <v>0</v>
      </c>
      <c r="R230" s="22">
        <f t="shared" ref="R230:S230" si="1962">R527+R598</f>
        <v>0</v>
      </c>
      <c r="S230" s="22">
        <f t="shared" si="1962"/>
        <v>0</v>
      </c>
      <c r="T230" s="22">
        <f t="shared" ref="T230:U230" si="1963">T527+T598</f>
        <v>0</v>
      </c>
      <c r="U230" s="22">
        <f t="shared" si="1963"/>
        <v>0</v>
      </c>
      <c r="V230" s="22">
        <f t="shared" ref="V230:W230" si="1964">V527+V598</f>
        <v>0</v>
      </c>
      <c r="W230" s="22">
        <f t="shared" si="1964"/>
        <v>0</v>
      </c>
      <c r="X230" s="22">
        <f t="shared" ref="X230:Y230" si="1965">X527+X598</f>
        <v>0</v>
      </c>
      <c r="Y230" s="22">
        <f t="shared" si="1965"/>
        <v>0</v>
      </c>
      <c r="Z230" s="22">
        <f t="shared" ref="Z230:AA230" si="1966">Z527+Z598</f>
        <v>0</v>
      </c>
      <c r="AA230" s="22">
        <f t="shared" si="1966"/>
        <v>0</v>
      </c>
      <c r="AB230" s="22">
        <f t="shared" ref="AB230:AC230" si="1967">AB527+AB598</f>
        <v>0</v>
      </c>
      <c r="AC230" s="22">
        <f t="shared" si="1967"/>
        <v>0</v>
      </c>
      <c r="AD230" s="22">
        <f t="shared" ref="AD230:AE230" si="1968">AD527+AD598</f>
        <v>0</v>
      </c>
      <c r="AE230" s="22">
        <f t="shared" si="1968"/>
        <v>0</v>
      </c>
      <c r="AF230" s="22">
        <f t="shared" ref="AF230:AG230" si="1969">AF527+AF598</f>
        <v>0</v>
      </c>
      <c r="AG230" s="22">
        <f t="shared" si="1969"/>
        <v>0</v>
      </c>
      <c r="AH230" s="22">
        <f t="shared" ref="AH230" si="1970">AH527+AH598</f>
        <v>0</v>
      </c>
      <c r="AI230" s="23">
        <f t="shared" ref="AI230" si="1971">AI527+AI598</f>
        <v>0</v>
      </c>
      <c r="AJ230" s="39">
        <f t="shared" ref="AJ230" si="1972">IF(ISERROR(AJ228*AJ229),0,AJ228*AJ229/AJ$5)</f>
        <v>0</v>
      </c>
      <c r="AK230" s="39">
        <f t="shared" ref="AK230:AL230" si="1973">IF(ISERROR(AK228*AK229),0,AK228*AK229/AK$5)</f>
        <v>0</v>
      </c>
      <c r="AL230" s="39">
        <f t="shared" si="1973"/>
        <v>0</v>
      </c>
      <c r="AM230" s="39">
        <f t="shared" ref="AM230:AN230" si="1974">IF(ISERROR(AM228*AM229),0,AM228*AM229/AM$5)</f>
        <v>0</v>
      </c>
      <c r="AN230" s="39">
        <f t="shared" si="1974"/>
        <v>0</v>
      </c>
      <c r="AO230" s="39">
        <f t="shared" ref="AO230:AP230" si="1975">IF(ISERROR(AO228*AO229),0,AO228*AO229/AO$5)</f>
        <v>0</v>
      </c>
      <c r="AP230" s="39">
        <f t="shared" si="1975"/>
        <v>0</v>
      </c>
      <c r="AQ230" s="39">
        <f t="shared" ref="AQ230:AR230" si="1976">IF(ISERROR(AQ228*AQ229),0,AQ228*AQ229/AQ$5)</f>
        <v>0</v>
      </c>
      <c r="AR230" s="39">
        <f t="shared" si="1976"/>
        <v>0</v>
      </c>
      <c r="AS230" s="74"/>
      <c r="AT230" s="39">
        <f t="shared" ref="AT230:AT237" si="1977">C230+D230</f>
        <v>70</v>
      </c>
      <c r="AU230" s="39">
        <f t="shared" ref="AU230:AU237" si="1978">E230+F230</f>
        <v>-48</v>
      </c>
      <c r="AV230" s="39">
        <f t="shared" ref="AV230:AV237" si="1979">G230+H230</f>
        <v>0</v>
      </c>
      <c r="AW230" s="39">
        <f t="shared" ref="AW230:AW237" si="1980">I230+J230</f>
        <v>0</v>
      </c>
      <c r="AX230" s="39">
        <f t="shared" ref="AX230:AX237" si="1981">K230+L230</f>
        <v>0</v>
      </c>
      <c r="AY230" s="39">
        <f t="shared" ref="AY230:AY237" si="1982">M230+N230</f>
        <v>0</v>
      </c>
      <c r="AZ230" s="39">
        <f t="shared" ref="AZ230:AZ237" si="1983">O230+P230</f>
        <v>0</v>
      </c>
      <c r="BA230" s="39">
        <f t="shared" ref="BA230:BA237" si="1984">Q230+R230</f>
        <v>0</v>
      </c>
      <c r="BB230" s="39">
        <f t="shared" ref="BB230:BB237" si="1985">S230+T230</f>
        <v>0</v>
      </c>
      <c r="BC230" s="39">
        <f t="shared" ref="BC230:BC237" si="1986">U230+V230</f>
        <v>0</v>
      </c>
      <c r="BD230" s="39">
        <f t="shared" ref="BD230:BD237" si="1987">W230+X230</f>
        <v>0</v>
      </c>
      <c r="BE230" s="39">
        <f t="shared" ref="BE230:BE237" si="1988">Y230+Z230</f>
        <v>0</v>
      </c>
      <c r="BF230" s="39">
        <f t="shared" ref="BF230:BF237" si="1989">AA230+AB230</f>
        <v>0</v>
      </c>
      <c r="BG230" s="39">
        <f t="shared" ref="BG230:BG237" si="1990">AC230+AD230</f>
        <v>0</v>
      </c>
      <c r="BH230" s="39">
        <f t="shared" ref="BH230:BH237" si="1991">AE230+AF230</f>
        <v>0</v>
      </c>
      <c r="BI230" s="40">
        <f t="shared" ref="BI230:BI237" si="1992">AG230+AH230</f>
        <v>0</v>
      </c>
      <c r="BJ230" s="39">
        <f t="shared" ref="BJ230:BJ237" si="1993">AI230+AJ230</f>
        <v>0</v>
      </c>
      <c r="BK230" s="39">
        <f t="shared" ref="BK230:BK237" si="1994">AK230+AL230</f>
        <v>0</v>
      </c>
      <c r="BL230" s="39">
        <f t="shared" ref="BL230:BL237" si="1995">AM230+AN230</f>
        <v>0</v>
      </c>
      <c r="BM230" s="39">
        <f t="shared" ref="BM230:BM237" si="1996">AO230+AP230</f>
        <v>0</v>
      </c>
      <c r="BN230" s="39">
        <f t="shared" ref="BN230:BN237" si="1997">AQ230+AR230</f>
        <v>0</v>
      </c>
    </row>
    <row r="231" spans="1:66" ht="12" customHeight="1" outlineLevel="1">
      <c r="A231" s="91" t="s">
        <v>1521</v>
      </c>
      <c r="B231" s="1" t="s">
        <v>31</v>
      </c>
      <c r="C231" s="19">
        <f t="shared" ref="C231:AB231" si="1998">C13-C81-C667-C159-C311-C454</f>
        <v>25</v>
      </c>
      <c r="D231" s="19">
        <f t="shared" si="1998"/>
        <v>5</v>
      </c>
      <c r="E231" s="19">
        <f t="shared" si="1998"/>
        <v>1</v>
      </c>
      <c r="F231" s="19">
        <f t="shared" si="1998"/>
        <v>1</v>
      </c>
      <c r="G231" s="19">
        <f t="shared" si="1998"/>
        <v>1</v>
      </c>
      <c r="H231" s="19">
        <f t="shared" si="1998"/>
        <v>-1</v>
      </c>
      <c r="I231" s="19">
        <f t="shared" si="1998"/>
        <v>1</v>
      </c>
      <c r="J231" s="19">
        <f t="shared" si="1998"/>
        <v>1</v>
      </c>
      <c r="K231" s="19">
        <f t="shared" si="1998"/>
        <v>2</v>
      </c>
      <c r="L231" s="19">
        <f t="shared" si="1998"/>
        <v>1</v>
      </c>
      <c r="M231" s="19">
        <f t="shared" si="1998"/>
        <v>3</v>
      </c>
      <c r="N231" s="19">
        <f t="shared" si="1998"/>
        <v>1</v>
      </c>
      <c r="O231" s="19">
        <f t="shared" si="1998"/>
        <v>7</v>
      </c>
      <c r="P231" s="19">
        <f t="shared" si="1998"/>
        <v>6</v>
      </c>
      <c r="Q231" s="19">
        <f t="shared" si="1998"/>
        <v>4</v>
      </c>
      <c r="R231" s="19">
        <f t="shared" si="1998"/>
        <v>2</v>
      </c>
      <c r="S231" s="19">
        <f t="shared" si="1998"/>
        <v>29</v>
      </c>
      <c r="T231" s="19">
        <f t="shared" si="1998"/>
        <v>35</v>
      </c>
      <c r="U231" s="19">
        <f t="shared" si="1998"/>
        <v>20</v>
      </c>
      <c r="V231" s="19">
        <f t="shared" si="1998"/>
        <v>17</v>
      </c>
      <c r="W231" s="19">
        <f t="shared" si="1998"/>
        <v>17</v>
      </c>
      <c r="X231" s="19">
        <f t="shared" si="1998"/>
        <v>15</v>
      </c>
      <c r="Y231" s="19">
        <f t="shared" si="1998"/>
        <v>14</v>
      </c>
      <c r="Z231" s="19">
        <f t="shared" si="1998"/>
        <v>12</v>
      </c>
      <c r="AA231" s="19">
        <f t="shared" si="1998"/>
        <v>12</v>
      </c>
      <c r="AB231" s="19">
        <f t="shared" si="1998"/>
        <v>13</v>
      </c>
      <c r="AC231" s="19">
        <v>0</v>
      </c>
      <c r="AD231" s="19">
        <v>0</v>
      </c>
      <c r="AE231" s="19">
        <v>0</v>
      </c>
      <c r="AF231" s="19">
        <v>0</v>
      </c>
      <c r="AG231" s="19">
        <v>0</v>
      </c>
      <c r="AH231" s="19">
        <v>0</v>
      </c>
      <c r="AI231" s="20">
        <v>0</v>
      </c>
      <c r="AJ231" s="58">
        <f t="shared" ref="AJ231:AN231" si="1999">AJ$237/AI$237*AI231</f>
        <v>0</v>
      </c>
      <c r="AK231" s="58">
        <f t="shared" si="1999"/>
        <v>0</v>
      </c>
      <c r="AL231" s="58">
        <f t="shared" si="1999"/>
        <v>0</v>
      </c>
      <c r="AM231" s="58">
        <f t="shared" si="1999"/>
        <v>0</v>
      </c>
      <c r="AN231" s="58">
        <f t="shared" si="1999"/>
        <v>0</v>
      </c>
      <c r="AO231" s="58">
        <f t="shared" ref="AO231:AO234" si="2000">AO$237/AN$237*AN231</f>
        <v>0</v>
      </c>
      <c r="AP231" s="58">
        <f t="shared" ref="AP231:AP234" si="2001">AP$237/AO$237*AO231</f>
        <v>0</v>
      </c>
      <c r="AQ231" s="58">
        <f t="shared" ref="AQ231:AQ234" si="2002">AQ$237/AP$237*AP231</f>
        <v>0</v>
      </c>
      <c r="AR231" s="58">
        <f t="shared" ref="AR231:AR234" si="2003">AR$237/AQ$237*AQ231</f>
        <v>0</v>
      </c>
      <c r="AS231" s="8"/>
      <c r="AT231" s="41">
        <f t="shared" si="1977"/>
        <v>30</v>
      </c>
      <c r="AU231" s="41">
        <f t="shared" si="1978"/>
        <v>2</v>
      </c>
      <c r="AV231" s="41">
        <f t="shared" si="1979"/>
        <v>0</v>
      </c>
      <c r="AW231" s="41">
        <f t="shared" si="1980"/>
        <v>2</v>
      </c>
      <c r="AX231" s="41">
        <f t="shared" si="1981"/>
        <v>3</v>
      </c>
      <c r="AY231" s="41">
        <f t="shared" si="1982"/>
        <v>4</v>
      </c>
      <c r="AZ231" s="41">
        <f t="shared" si="1983"/>
        <v>13</v>
      </c>
      <c r="BA231" s="41">
        <f t="shared" si="1984"/>
        <v>6</v>
      </c>
      <c r="BB231" s="41">
        <f t="shared" si="1985"/>
        <v>64</v>
      </c>
      <c r="BC231" s="41">
        <f t="shared" si="1986"/>
        <v>37</v>
      </c>
      <c r="BD231" s="41">
        <f t="shared" si="1987"/>
        <v>32</v>
      </c>
      <c r="BE231" s="41">
        <f t="shared" si="1988"/>
        <v>26</v>
      </c>
      <c r="BF231" s="41">
        <f t="shared" si="1989"/>
        <v>25</v>
      </c>
      <c r="BG231" s="41">
        <f t="shared" si="1990"/>
        <v>0</v>
      </c>
      <c r="BH231" s="41">
        <f t="shared" si="1991"/>
        <v>0</v>
      </c>
      <c r="BI231" s="42">
        <f t="shared" si="1992"/>
        <v>0</v>
      </c>
      <c r="BJ231" s="41">
        <f t="shared" si="1993"/>
        <v>0</v>
      </c>
      <c r="BK231" s="41">
        <f t="shared" si="1994"/>
        <v>0</v>
      </c>
      <c r="BL231" s="41">
        <f t="shared" si="1995"/>
        <v>0</v>
      </c>
      <c r="BM231" s="41">
        <f t="shared" si="1996"/>
        <v>0</v>
      </c>
      <c r="BN231" s="41">
        <f t="shared" si="1997"/>
        <v>0</v>
      </c>
    </row>
    <row r="232" spans="1:66" ht="12" customHeight="1" outlineLevel="1">
      <c r="A232" s="91" t="s">
        <v>1522</v>
      </c>
      <c r="B232" s="1" t="s">
        <v>30</v>
      </c>
      <c r="C232" s="19">
        <f t="shared" ref="C232:AH232" si="2004">C14-C82-C668-C160-C312-C455</f>
        <v>0</v>
      </c>
      <c r="D232" s="19">
        <f t="shared" si="2004"/>
        <v>0</v>
      </c>
      <c r="E232" s="19">
        <f t="shared" si="2004"/>
        <v>0</v>
      </c>
      <c r="F232" s="19">
        <f t="shared" si="2004"/>
        <v>0</v>
      </c>
      <c r="G232" s="19">
        <f t="shared" si="2004"/>
        <v>0</v>
      </c>
      <c r="H232" s="19">
        <f t="shared" si="2004"/>
        <v>0</v>
      </c>
      <c r="I232" s="19">
        <f t="shared" si="2004"/>
        <v>0</v>
      </c>
      <c r="J232" s="19">
        <f t="shared" si="2004"/>
        <v>0</v>
      </c>
      <c r="K232" s="19">
        <f t="shared" si="2004"/>
        <v>0</v>
      </c>
      <c r="L232" s="19">
        <f t="shared" si="2004"/>
        <v>0</v>
      </c>
      <c r="M232" s="19">
        <f t="shared" si="2004"/>
        <v>0</v>
      </c>
      <c r="N232" s="19">
        <f t="shared" si="2004"/>
        <v>0</v>
      </c>
      <c r="O232" s="19">
        <f t="shared" si="2004"/>
        <v>0</v>
      </c>
      <c r="P232" s="19">
        <f t="shared" si="2004"/>
        <v>0</v>
      </c>
      <c r="Q232" s="19">
        <f t="shared" si="2004"/>
        <v>0</v>
      </c>
      <c r="R232" s="19">
        <f t="shared" si="2004"/>
        <v>0</v>
      </c>
      <c r="S232" s="19">
        <f t="shared" si="2004"/>
        <v>0</v>
      </c>
      <c r="T232" s="19">
        <f t="shared" si="2004"/>
        <v>0</v>
      </c>
      <c r="U232" s="19">
        <f t="shared" si="2004"/>
        <v>0</v>
      </c>
      <c r="V232" s="19">
        <f t="shared" si="2004"/>
        <v>0</v>
      </c>
      <c r="W232" s="19">
        <f t="shared" si="2004"/>
        <v>0</v>
      </c>
      <c r="X232" s="19">
        <f t="shared" si="2004"/>
        <v>0</v>
      </c>
      <c r="Y232" s="19">
        <f t="shared" si="2004"/>
        <v>0</v>
      </c>
      <c r="Z232" s="19">
        <f t="shared" si="2004"/>
        <v>0</v>
      </c>
      <c r="AA232" s="19">
        <f t="shared" si="2004"/>
        <v>0</v>
      </c>
      <c r="AB232" s="19">
        <f t="shared" si="2004"/>
        <v>0</v>
      </c>
      <c r="AC232" s="19">
        <f t="shared" si="2004"/>
        <v>0</v>
      </c>
      <c r="AD232" s="19">
        <f t="shared" si="2004"/>
        <v>0</v>
      </c>
      <c r="AE232" s="19">
        <f t="shared" si="2004"/>
        <v>0</v>
      </c>
      <c r="AF232" s="19">
        <f t="shared" si="2004"/>
        <v>0</v>
      </c>
      <c r="AG232" s="19">
        <f t="shared" si="2004"/>
        <v>0</v>
      </c>
      <c r="AH232" s="19">
        <f t="shared" si="2004"/>
        <v>0</v>
      </c>
      <c r="AI232" s="20">
        <f t="shared" ref="AI232" si="2005">AI14-AI82-AI668-AI160-AI312-AI455</f>
        <v>0</v>
      </c>
      <c r="AJ232" s="58">
        <f t="shared" ref="AJ232:AN232" si="2006">AJ$237/AI$237*AI232</f>
        <v>0</v>
      </c>
      <c r="AK232" s="58">
        <f t="shared" si="2006"/>
        <v>0</v>
      </c>
      <c r="AL232" s="58">
        <f t="shared" si="2006"/>
        <v>0</v>
      </c>
      <c r="AM232" s="58">
        <f t="shared" si="2006"/>
        <v>0</v>
      </c>
      <c r="AN232" s="58">
        <f t="shared" si="2006"/>
        <v>0</v>
      </c>
      <c r="AO232" s="58">
        <f t="shared" si="2000"/>
        <v>0</v>
      </c>
      <c r="AP232" s="58">
        <f t="shared" si="2001"/>
        <v>0</v>
      </c>
      <c r="AQ232" s="58">
        <f t="shared" si="2002"/>
        <v>0</v>
      </c>
      <c r="AR232" s="58">
        <f t="shared" si="2003"/>
        <v>0</v>
      </c>
      <c r="AS232" s="8"/>
      <c r="AT232" s="41">
        <f t="shared" si="1977"/>
        <v>0</v>
      </c>
      <c r="AU232" s="41">
        <f t="shared" si="1978"/>
        <v>0</v>
      </c>
      <c r="AV232" s="41">
        <f t="shared" si="1979"/>
        <v>0</v>
      </c>
      <c r="AW232" s="41">
        <f t="shared" si="1980"/>
        <v>0</v>
      </c>
      <c r="AX232" s="41">
        <f t="shared" si="1981"/>
        <v>0</v>
      </c>
      <c r="AY232" s="41">
        <f t="shared" si="1982"/>
        <v>0</v>
      </c>
      <c r="AZ232" s="41">
        <f t="shared" si="1983"/>
        <v>0</v>
      </c>
      <c r="BA232" s="41">
        <f t="shared" si="1984"/>
        <v>0</v>
      </c>
      <c r="BB232" s="41">
        <f t="shared" si="1985"/>
        <v>0</v>
      </c>
      <c r="BC232" s="41">
        <f t="shared" si="1986"/>
        <v>0</v>
      </c>
      <c r="BD232" s="41">
        <f t="shared" si="1987"/>
        <v>0</v>
      </c>
      <c r="BE232" s="41">
        <f t="shared" si="1988"/>
        <v>0</v>
      </c>
      <c r="BF232" s="41">
        <f t="shared" si="1989"/>
        <v>0</v>
      </c>
      <c r="BG232" s="41">
        <f t="shared" si="1990"/>
        <v>0</v>
      </c>
      <c r="BH232" s="41">
        <f t="shared" si="1991"/>
        <v>0</v>
      </c>
      <c r="BI232" s="42">
        <f t="shared" si="1992"/>
        <v>0</v>
      </c>
      <c r="BJ232" s="41">
        <f t="shared" si="1993"/>
        <v>0</v>
      </c>
      <c r="BK232" s="41">
        <f t="shared" si="1994"/>
        <v>0</v>
      </c>
      <c r="BL232" s="41">
        <f t="shared" si="1995"/>
        <v>0</v>
      </c>
      <c r="BM232" s="41">
        <f t="shared" si="1996"/>
        <v>0</v>
      </c>
      <c r="BN232" s="41">
        <f t="shared" si="1997"/>
        <v>0</v>
      </c>
    </row>
    <row r="233" spans="1:66" ht="12" customHeight="1" outlineLevel="1">
      <c r="A233" s="91" t="s">
        <v>1523</v>
      </c>
      <c r="B233" s="1" t="s">
        <v>32</v>
      </c>
      <c r="C233" s="19">
        <f t="shared" ref="C233:AH233" si="2007">C15-C83-C669-C161-C313-C456</f>
        <v>35</v>
      </c>
      <c r="D233" s="19">
        <f t="shared" si="2007"/>
        <v>0</v>
      </c>
      <c r="E233" s="19">
        <f t="shared" si="2007"/>
        <v>1</v>
      </c>
      <c r="F233" s="19">
        <f t="shared" si="2007"/>
        <v>5</v>
      </c>
      <c r="G233" s="19">
        <f t="shared" si="2007"/>
        <v>0</v>
      </c>
      <c r="H233" s="19">
        <f t="shared" si="2007"/>
        <v>5</v>
      </c>
      <c r="I233" s="19">
        <f t="shared" si="2007"/>
        <v>0</v>
      </c>
      <c r="J233" s="19">
        <f t="shared" si="2007"/>
        <v>0</v>
      </c>
      <c r="K233" s="19">
        <f t="shared" si="2007"/>
        <v>1</v>
      </c>
      <c r="L233" s="19">
        <f t="shared" si="2007"/>
        <v>1</v>
      </c>
      <c r="M233" s="19">
        <f t="shared" si="2007"/>
        <v>0</v>
      </c>
      <c r="N233" s="19">
        <f t="shared" si="2007"/>
        <v>0</v>
      </c>
      <c r="O233" s="19">
        <f t="shared" si="2007"/>
        <v>20</v>
      </c>
      <c r="P233" s="19">
        <f t="shared" si="2007"/>
        <v>1</v>
      </c>
      <c r="Q233" s="19">
        <f t="shared" si="2007"/>
        <v>0</v>
      </c>
      <c r="R233" s="19">
        <f t="shared" si="2007"/>
        <v>0</v>
      </c>
      <c r="S233" s="19">
        <f t="shared" si="2007"/>
        <v>0</v>
      </c>
      <c r="T233" s="19">
        <f t="shared" si="2007"/>
        <v>0</v>
      </c>
      <c r="U233" s="19">
        <f t="shared" si="2007"/>
        <v>0</v>
      </c>
      <c r="V233" s="19">
        <f t="shared" si="2007"/>
        <v>94</v>
      </c>
      <c r="W233" s="19">
        <f t="shared" si="2007"/>
        <v>0</v>
      </c>
      <c r="X233" s="19">
        <f t="shared" si="2007"/>
        <v>0</v>
      </c>
      <c r="Y233" s="19">
        <f t="shared" si="2007"/>
        <v>0</v>
      </c>
      <c r="Z233" s="19">
        <f t="shared" si="2007"/>
        <v>0</v>
      </c>
      <c r="AA233" s="19">
        <f t="shared" si="2007"/>
        <v>0</v>
      </c>
      <c r="AB233" s="19">
        <f t="shared" si="2007"/>
        <v>0</v>
      </c>
      <c r="AC233" s="19">
        <f t="shared" si="2007"/>
        <v>0</v>
      </c>
      <c r="AD233" s="19">
        <f t="shared" si="2007"/>
        <v>0</v>
      </c>
      <c r="AE233" s="19">
        <f t="shared" si="2007"/>
        <v>0</v>
      </c>
      <c r="AF233" s="19">
        <f t="shared" si="2007"/>
        <v>1</v>
      </c>
      <c r="AG233" s="19">
        <f t="shared" si="2007"/>
        <v>0</v>
      </c>
      <c r="AH233" s="19">
        <f t="shared" si="2007"/>
        <v>0</v>
      </c>
      <c r="AI233" s="20">
        <f>AI15-AI83-AI669-AI161-AI313-AI456</f>
        <v>0</v>
      </c>
      <c r="AJ233" s="58">
        <f t="shared" ref="AJ233:AN233" si="2008">AJ$237/AI$237*AI233</f>
        <v>0</v>
      </c>
      <c r="AK233" s="58">
        <f t="shared" si="2008"/>
        <v>0</v>
      </c>
      <c r="AL233" s="58">
        <f t="shared" si="2008"/>
        <v>0</v>
      </c>
      <c r="AM233" s="58">
        <f t="shared" si="2008"/>
        <v>0</v>
      </c>
      <c r="AN233" s="58">
        <f t="shared" si="2008"/>
        <v>0</v>
      </c>
      <c r="AO233" s="58">
        <f t="shared" si="2000"/>
        <v>0</v>
      </c>
      <c r="AP233" s="58">
        <f t="shared" si="2001"/>
        <v>0</v>
      </c>
      <c r="AQ233" s="58">
        <f t="shared" si="2002"/>
        <v>0</v>
      </c>
      <c r="AR233" s="58">
        <f t="shared" si="2003"/>
        <v>0</v>
      </c>
      <c r="AS233" s="8"/>
      <c r="AT233" s="41">
        <f t="shared" si="1977"/>
        <v>35</v>
      </c>
      <c r="AU233" s="41">
        <f t="shared" si="1978"/>
        <v>6</v>
      </c>
      <c r="AV233" s="41">
        <f t="shared" si="1979"/>
        <v>5</v>
      </c>
      <c r="AW233" s="41">
        <f t="shared" si="1980"/>
        <v>0</v>
      </c>
      <c r="AX233" s="41">
        <f t="shared" si="1981"/>
        <v>2</v>
      </c>
      <c r="AY233" s="41">
        <f t="shared" si="1982"/>
        <v>0</v>
      </c>
      <c r="AZ233" s="41">
        <f t="shared" si="1983"/>
        <v>21</v>
      </c>
      <c r="BA233" s="41">
        <f t="shared" si="1984"/>
        <v>0</v>
      </c>
      <c r="BB233" s="41">
        <f t="shared" si="1985"/>
        <v>0</v>
      </c>
      <c r="BC233" s="41">
        <f t="shared" si="1986"/>
        <v>94</v>
      </c>
      <c r="BD233" s="41">
        <f t="shared" si="1987"/>
        <v>0</v>
      </c>
      <c r="BE233" s="41">
        <f t="shared" si="1988"/>
        <v>0</v>
      </c>
      <c r="BF233" s="41">
        <f t="shared" si="1989"/>
        <v>0</v>
      </c>
      <c r="BG233" s="41">
        <f t="shared" si="1990"/>
        <v>0</v>
      </c>
      <c r="BH233" s="41">
        <f t="shared" si="1991"/>
        <v>1</v>
      </c>
      <c r="BI233" s="42">
        <f t="shared" si="1992"/>
        <v>0</v>
      </c>
      <c r="BJ233" s="41">
        <f t="shared" si="1993"/>
        <v>0</v>
      </c>
      <c r="BK233" s="41">
        <f t="shared" si="1994"/>
        <v>0</v>
      </c>
      <c r="BL233" s="41">
        <f t="shared" si="1995"/>
        <v>0</v>
      </c>
      <c r="BM233" s="41">
        <f t="shared" si="1996"/>
        <v>0</v>
      </c>
      <c r="BN233" s="41">
        <f t="shared" si="1997"/>
        <v>0</v>
      </c>
    </row>
    <row r="234" spans="1:66" ht="12" customHeight="1" outlineLevel="1">
      <c r="A234" s="91" t="s">
        <v>1524</v>
      </c>
      <c r="B234" s="1" t="s">
        <v>33</v>
      </c>
      <c r="C234" s="19">
        <f t="shared" ref="C234:AH234" si="2009">C16-C84-C670-C162-C314-C457</f>
        <v>0</v>
      </c>
      <c r="D234" s="19">
        <f t="shared" si="2009"/>
        <v>0</v>
      </c>
      <c r="E234" s="19">
        <f t="shared" si="2009"/>
        <v>0</v>
      </c>
      <c r="F234" s="19">
        <f t="shared" si="2009"/>
        <v>0</v>
      </c>
      <c r="G234" s="19">
        <f t="shared" si="2009"/>
        <v>0</v>
      </c>
      <c r="H234" s="19">
        <f t="shared" si="2009"/>
        <v>0</v>
      </c>
      <c r="I234" s="19">
        <f t="shared" si="2009"/>
        <v>0</v>
      </c>
      <c r="J234" s="19">
        <f t="shared" si="2009"/>
        <v>0</v>
      </c>
      <c r="K234" s="19">
        <f t="shared" si="2009"/>
        <v>0</v>
      </c>
      <c r="L234" s="19">
        <f t="shared" si="2009"/>
        <v>0</v>
      </c>
      <c r="M234" s="19">
        <f t="shared" si="2009"/>
        <v>0</v>
      </c>
      <c r="N234" s="19">
        <f t="shared" si="2009"/>
        <v>0</v>
      </c>
      <c r="O234" s="19">
        <f t="shared" si="2009"/>
        <v>0</v>
      </c>
      <c r="P234" s="19">
        <f t="shared" si="2009"/>
        <v>0</v>
      </c>
      <c r="Q234" s="19">
        <f t="shared" si="2009"/>
        <v>0</v>
      </c>
      <c r="R234" s="19">
        <f t="shared" si="2009"/>
        <v>0</v>
      </c>
      <c r="S234" s="19">
        <f t="shared" si="2009"/>
        <v>0</v>
      </c>
      <c r="T234" s="19">
        <f t="shared" si="2009"/>
        <v>0</v>
      </c>
      <c r="U234" s="19">
        <f t="shared" si="2009"/>
        <v>0</v>
      </c>
      <c r="V234" s="19">
        <f t="shared" si="2009"/>
        <v>0</v>
      </c>
      <c r="W234" s="19">
        <f t="shared" si="2009"/>
        <v>0</v>
      </c>
      <c r="X234" s="19">
        <f t="shared" si="2009"/>
        <v>0</v>
      </c>
      <c r="Y234" s="19">
        <f t="shared" si="2009"/>
        <v>0</v>
      </c>
      <c r="Z234" s="19">
        <f t="shared" si="2009"/>
        <v>7</v>
      </c>
      <c r="AA234" s="19">
        <f t="shared" si="2009"/>
        <v>0</v>
      </c>
      <c r="AB234" s="19">
        <f t="shared" si="2009"/>
        <v>1</v>
      </c>
      <c r="AC234" s="19">
        <f t="shared" si="2009"/>
        <v>0</v>
      </c>
      <c r="AD234" s="19">
        <f t="shared" si="2009"/>
        <v>0</v>
      </c>
      <c r="AE234" s="19">
        <f t="shared" si="2009"/>
        <v>0</v>
      </c>
      <c r="AF234" s="19">
        <f t="shared" si="2009"/>
        <v>0</v>
      </c>
      <c r="AG234" s="19">
        <f t="shared" si="2009"/>
        <v>0</v>
      </c>
      <c r="AH234" s="19">
        <f t="shared" si="2009"/>
        <v>0</v>
      </c>
      <c r="AI234" s="20">
        <f t="shared" ref="AI234" si="2010">AI16-AI84-AI670-AI162-AI314-AI457</f>
        <v>0</v>
      </c>
      <c r="AJ234" s="58">
        <f t="shared" ref="AJ234:AN234" si="2011">AJ$237/AI$237*AI234</f>
        <v>0</v>
      </c>
      <c r="AK234" s="58">
        <f t="shared" si="2011"/>
        <v>0</v>
      </c>
      <c r="AL234" s="58">
        <f t="shared" si="2011"/>
        <v>0</v>
      </c>
      <c r="AM234" s="58">
        <f t="shared" si="2011"/>
        <v>0</v>
      </c>
      <c r="AN234" s="58">
        <f t="shared" si="2011"/>
        <v>0</v>
      </c>
      <c r="AO234" s="58">
        <f t="shared" si="2000"/>
        <v>0</v>
      </c>
      <c r="AP234" s="58">
        <f t="shared" si="2001"/>
        <v>0</v>
      </c>
      <c r="AQ234" s="58">
        <f t="shared" si="2002"/>
        <v>0</v>
      </c>
      <c r="AR234" s="58">
        <f t="shared" si="2003"/>
        <v>0</v>
      </c>
      <c r="AS234" s="8"/>
      <c r="AT234" s="41">
        <f t="shared" si="1977"/>
        <v>0</v>
      </c>
      <c r="AU234" s="41">
        <f t="shared" si="1978"/>
        <v>0</v>
      </c>
      <c r="AV234" s="41">
        <f t="shared" si="1979"/>
        <v>0</v>
      </c>
      <c r="AW234" s="41">
        <f t="shared" si="1980"/>
        <v>0</v>
      </c>
      <c r="AX234" s="41">
        <f t="shared" si="1981"/>
        <v>0</v>
      </c>
      <c r="AY234" s="41">
        <f t="shared" si="1982"/>
        <v>0</v>
      </c>
      <c r="AZ234" s="41">
        <f t="shared" si="1983"/>
        <v>0</v>
      </c>
      <c r="BA234" s="41">
        <f t="shared" si="1984"/>
        <v>0</v>
      </c>
      <c r="BB234" s="41">
        <f t="shared" si="1985"/>
        <v>0</v>
      </c>
      <c r="BC234" s="41">
        <f t="shared" si="1986"/>
        <v>0</v>
      </c>
      <c r="BD234" s="41">
        <f t="shared" si="1987"/>
        <v>0</v>
      </c>
      <c r="BE234" s="41">
        <f t="shared" si="1988"/>
        <v>7</v>
      </c>
      <c r="BF234" s="41">
        <f t="shared" si="1989"/>
        <v>1</v>
      </c>
      <c r="BG234" s="41">
        <f t="shared" si="1990"/>
        <v>0</v>
      </c>
      <c r="BH234" s="41">
        <f t="shared" si="1991"/>
        <v>0</v>
      </c>
      <c r="BI234" s="42">
        <f t="shared" si="1992"/>
        <v>0</v>
      </c>
      <c r="BJ234" s="41">
        <f t="shared" si="1993"/>
        <v>0</v>
      </c>
      <c r="BK234" s="41">
        <f t="shared" si="1994"/>
        <v>0</v>
      </c>
      <c r="BL234" s="41">
        <f t="shared" si="1995"/>
        <v>0</v>
      </c>
      <c r="BM234" s="41">
        <f t="shared" si="1996"/>
        <v>0</v>
      </c>
      <c r="BN234" s="41">
        <f t="shared" si="1997"/>
        <v>0</v>
      </c>
    </row>
    <row r="235" spans="1:66" ht="12" customHeight="1" outlineLevel="1">
      <c r="A235" s="91" t="s">
        <v>1525</v>
      </c>
      <c r="B235" s="1" t="s">
        <v>20</v>
      </c>
      <c r="C235" s="21">
        <f t="shared" ref="C235:Q235" si="2012">C532+C603</f>
        <v>0</v>
      </c>
      <c r="D235" s="21">
        <f t="shared" si="2012"/>
        <v>0</v>
      </c>
      <c r="E235" s="21">
        <f t="shared" si="2012"/>
        <v>0</v>
      </c>
      <c r="F235" s="21">
        <f t="shared" si="2012"/>
        <v>0</v>
      </c>
      <c r="G235" s="21">
        <f t="shared" si="2012"/>
        <v>0</v>
      </c>
      <c r="H235" s="21">
        <f t="shared" si="2012"/>
        <v>0</v>
      </c>
      <c r="I235" s="21">
        <f t="shared" si="2012"/>
        <v>0</v>
      </c>
      <c r="J235" s="21">
        <f t="shared" si="2012"/>
        <v>0</v>
      </c>
      <c r="K235" s="21">
        <f t="shared" si="2012"/>
        <v>0</v>
      </c>
      <c r="L235" s="21">
        <f t="shared" si="2012"/>
        <v>0</v>
      </c>
      <c r="M235" s="62">
        <f t="shared" si="2012"/>
        <v>0</v>
      </c>
      <c r="N235" s="62">
        <f t="shared" si="2012"/>
        <v>0</v>
      </c>
      <c r="O235" s="62">
        <f t="shared" si="2012"/>
        <v>0</v>
      </c>
      <c r="P235" s="62">
        <f t="shared" si="2012"/>
        <v>0</v>
      </c>
      <c r="Q235" s="62">
        <f t="shared" si="2012"/>
        <v>0</v>
      </c>
      <c r="R235" s="62">
        <f t="shared" ref="R235:S235" si="2013">R532+R603</f>
        <v>0</v>
      </c>
      <c r="S235" s="62">
        <f t="shared" si="2013"/>
        <v>0</v>
      </c>
      <c r="T235" s="62">
        <f t="shared" ref="T235:U235" si="2014">T532+T603</f>
        <v>0</v>
      </c>
      <c r="U235" s="62">
        <f t="shared" si="2014"/>
        <v>0</v>
      </c>
      <c r="V235" s="62">
        <f t="shared" ref="V235:W235" si="2015">V532+V603</f>
        <v>0</v>
      </c>
      <c r="W235" s="62">
        <f t="shared" si="2015"/>
        <v>0</v>
      </c>
      <c r="X235" s="62">
        <f t="shared" ref="X235:Y235" si="2016">X532+X603</f>
        <v>0</v>
      </c>
      <c r="Y235" s="62">
        <f t="shared" si="2016"/>
        <v>0</v>
      </c>
      <c r="Z235" s="62">
        <f t="shared" ref="Z235:AA235" si="2017">Z532+Z603</f>
        <v>0</v>
      </c>
      <c r="AA235" s="62">
        <f t="shared" si="2017"/>
        <v>0</v>
      </c>
      <c r="AB235" s="62">
        <f t="shared" ref="AB235:AC235" si="2018">AB532+AB603</f>
        <v>0</v>
      </c>
      <c r="AC235" s="62">
        <f t="shared" si="2018"/>
        <v>0</v>
      </c>
      <c r="AD235" s="62">
        <f t="shared" ref="AD235:AE235" si="2019">AD532+AD603</f>
        <v>0</v>
      </c>
      <c r="AE235" s="62">
        <f t="shared" si="2019"/>
        <v>0</v>
      </c>
      <c r="AF235" s="62">
        <f t="shared" ref="AF235:AG235" si="2020">AF532+AF603</f>
        <v>0</v>
      </c>
      <c r="AG235" s="62">
        <f t="shared" si="2020"/>
        <v>0</v>
      </c>
      <c r="AH235" s="62">
        <f t="shared" ref="AH235" si="2021">AH532+AH603</f>
        <v>0</v>
      </c>
      <c r="AI235" s="57">
        <f t="shared" ref="AI235" si="2022">AI532+AI603</f>
        <v>0</v>
      </c>
      <c r="AJ235" s="41">
        <f t="shared" ref="AJ235:AL235" si="2023">IF(ISERROR(AI235*(1+AJ282)),0,AI235*(1+AJ282))</f>
        <v>0</v>
      </c>
      <c r="AK235" s="41">
        <f t="shared" si="2023"/>
        <v>0</v>
      </c>
      <c r="AL235" s="41">
        <f t="shared" si="2023"/>
        <v>0</v>
      </c>
      <c r="AM235" s="41">
        <f t="shared" ref="AM235:AR237" si="2024">IF(ISERROR(AL235*(1+AM282)),0,AL235*(1+AM282))</f>
        <v>0</v>
      </c>
      <c r="AN235" s="41">
        <f t="shared" si="2024"/>
        <v>0</v>
      </c>
      <c r="AO235" s="41">
        <f t="shared" si="2024"/>
        <v>0</v>
      </c>
      <c r="AP235" s="41">
        <f t="shared" si="2024"/>
        <v>0</v>
      </c>
      <c r="AQ235" s="41">
        <f t="shared" si="2024"/>
        <v>0</v>
      </c>
      <c r="AR235" s="41">
        <f t="shared" si="2024"/>
        <v>0</v>
      </c>
      <c r="AS235" s="8"/>
      <c r="AT235" s="41">
        <f t="shared" si="1977"/>
        <v>0</v>
      </c>
      <c r="AU235" s="41">
        <f t="shared" si="1978"/>
        <v>0</v>
      </c>
      <c r="AV235" s="41">
        <f t="shared" si="1979"/>
        <v>0</v>
      </c>
      <c r="AW235" s="41">
        <f t="shared" si="1980"/>
        <v>0</v>
      </c>
      <c r="AX235" s="41">
        <f t="shared" si="1981"/>
        <v>0</v>
      </c>
      <c r="AY235" s="41">
        <f t="shared" si="1982"/>
        <v>0</v>
      </c>
      <c r="AZ235" s="41">
        <f t="shared" si="1983"/>
        <v>0</v>
      </c>
      <c r="BA235" s="41">
        <f t="shared" si="1984"/>
        <v>0</v>
      </c>
      <c r="BB235" s="41">
        <f t="shared" si="1985"/>
        <v>0</v>
      </c>
      <c r="BC235" s="41">
        <f t="shared" si="1986"/>
        <v>0</v>
      </c>
      <c r="BD235" s="41">
        <f t="shared" si="1987"/>
        <v>0</v>
      </c>
      <c r="BE235" s="41">
        <f t="shared" si="1988"/>
        <v>0</v>
      </c>
      <c r="BF235" s="41">
        <f t="shared" si="1989"/>
        <v>0</v>
      </c>
      <c r="BG235" s="41">
        <f t="shared" si="1990"/>
        <v>0</v>
      </c>
      <c r="BH235" s="41">
        <f t="shared" si="1991"/>
        <v>0</v>
      </c>
      <c r="BI235" s="42">
        <f t="shared" si="1992"/>
        <v>0</v>
      </c>
      <c r="BJ235" s="41">
        <f t="shared" si="1993"/>
        <v>0</v>
      </c>
      <c r="BK235" s="41">
        <f t="shared" si="1994"/>
        <v>0</v>
      </c>
      <c r="BL235" s="41">
        <f t="shared" si="1995"/>
        <v>0</v>
      </c>
      <c r="BM235" s="41">
        <f t="shared" si="1996"/>
        <v>0</v>
      </c>
      <c r="BN235" s="41">
        <f t="shared" si="1997"/>
        <v>0</v>
      </c>
    </row>
    <row r="236" spans="1:66" ht="12" customHeight="1" outlineLevel="1">
      <c r="A236" s="91" t="s">
        <v>1526</v>
      </c>
      <c r="B236" s="1" t="s">
        <v>19</v>
      </c>
      <c r="C236" s="21">
        <f t="shared" ref="C236:P236" si="2025">C533+C604</f>
        <v>409</v>
      </c>
      <c r="D236" s="21">
        <f t="shared" si="2025"/>
        <v>374</v>
      </c>
      <c r="E236" s="21">
        <f t="shared" si="2025"/>
        <v>414</v>
      </c>
      <c r="F236" s="21">
        <f t="shared" si="2025"/>
        <v>388</v>
      </c>
      <c r="G236" s="21">
        <f t="shared" si="2025"/>
        <v>334</v>
      </c>
      <c r="H236" s="21">
        <f t="shared" si="2025"/>
        <v>291</v>
      </c>
      <c r="I236" s="21">
        <f t="shared" si="2025"/>
        <v>260</v>
      </c>
      <c r="J236" s="21">
        <f t="shared" si="2025"/>
        <v>276</v>
      </c>
      <c r="K236" s="21">
        <f t="shared" si="2025"/>
        <v>323</v>
      </c>
      <c r="L236" s="21">
        <f t="shared" si="2025"/>
        <v>326</v>
      </c>
      <c r="M236" s="62">
        <f t="shared" si="2025"/>
        <v>313</v>
      </c>
      <c r="N236" s="62">
        <f t="shared" si="2025"/>
        <v>345</v>
      </c>
      <c r="O236" s="62">
        <f t="shared" si="2025"/>
        <v>380</v>
      </c>
      <c r="P236" s="62">
        <f t="shared" si="2025"/>
        <v>358</v>
      </c>
      <c r="Q236" s="62">
        <v>355</v>
      </c>
      <c r="R236" s="62">
        <v>349</v>
      </c>
      <c r="S236" s="62">
        <v>341</v>
      </c>
      <c r="T236" s="62">
        <v>345</v>
      </c>
      <c r="U236" s="62">
        <v>432</v>
      </c>
      <c r="V236" s="62">
        <v>425</v>
      </c>
      <c r="W236" s="62">
        <v>112</v>
      </c>
      <c r="X236" s="62">
        <v>139</v>
      </c>
      <c r="Y236" s="62">
        <v>112</v>
      </c>
      <c r="Z236" s="62">
        <f>209-Y236</f>
        <v>97</v>
      </c>
      <c r="AA236" s="62">
        <v>112</v>
      </c>
      <c r="AB236" s="62">
        <v>127</v>
      </c>
      <c r="AC236" s="62">
        <v>125</v>
      </c>
      <c r="AD236" s="62">
        <v>127</v>
      </c>
      <c r="AE236" s="62">
        <v>135</v>
      </c>
      <c r="AF236" s="62">
        <v>162</v>
      </c>
      <c r="AG236" s="62">
        <v>154</v>
      </c>
      <c r="AH236" s="62">
        <v>153</v>
      </c>
      <c r="AI236" s="57">
        <v>177</v>
      </c>
      <c r="AJ236" s="41">
        <f t="shared" ref="AJ236:AL236" si="2026">IF(ISERROR(AI236*(1+AJ283)),0,AI236*(1+AJ283))</f>
        <v>185.85</v>
      </c>
      <c r="AK236" s="41">
        <f t="shared" si="2026"/>
        <v>195.14250000000001</v>
      </c>
      <c r="AL236" s="41">
        <f t="shared" si="2026"/>
        <v>204.89962500000001</v>
      </c>
      <c r="AM236" s="41">
        <f t="shared" si="2024"/>
        <v>215.14460625000004</v>
      </c>
      <c r="AN236" s="41">
        <f t="shared" si="2024"/>
        <v>225.90183656250005</v>
      </c>
      <c r="AO236" s="41">
        <f t="shared" si="2024"/>
        <v>237.19692839062506</v>
      </c>
      <c r="AP236" s="41">
        <f t="shared" si="2024"/>
        <v>249.05677481015633</v>
      </c>
      <c r="AQ236" s="41">
        <f t="shared" si="2024"/>
        <v>261.50961355066414</v>
      </c>
      <c r="AR236" s="41">
        <f t="shared" si="2024"/>
        <v>274.58509422819736</v>
      </c>
      <c r="AS236" s="8"/>
      <c r="AT236" s="41">
        <f t="shared" si="1977"/>
        <v>783</v>
      </c>
      <c r="AU236" s="41">
        <f t="shared" si="1978"/>
        <v>802</v>
      </c>
      <c r="AV236" s="41">
        <f t="shared" si="1979"/>
        <v>625</v>
      </c>
      <c r="AW236" s="41">
        <f t="shared" si="1980"/>
        <v>536</v>
      </c>
      <c r="AX236" s="41">
        <f t="shared" si="1981"/>
        <v>649</v>
      </c>
      <c r="AY236" s="41">
        <f t="shared" si="1982"/>
        <v>658</v>
      </c>
      <c r="AZ236" s="41">
        <f t="shared" si="1983"/>
        <v>738</v>
      </c>
      <c r="BA236" s="41">
        <f t="shared" si="1984"/>
        <v>704</v>
      </c>
      <c r="BB236" s="41">
        <f t="shared" si="1985"/>
        <v>686</v>
      </c>
      <c r="BC236" s="41">
        <f t="shared" si="1986"/>
        <v>857</v>
      </c>
      <c r="BD236" s="41">
        <f t="shared" si="1987"/>
        <v>251</v>
      </c>
      <c r="BE236" s="41">
        <f t="shared" si="1988"/>
        <v>209</v>
      </c>
      <c r="BF236" s="41">
        <f t="shared" si="1989"/>
        <v>239</v>
      </c>
      <c r="BG236" s="41">
        <f t="shared" si="1990"/>
        <v>252</v>
      </c>
      <c r="BH236" s="41">
        <f t="shared" si="1991"/>
        <v>297</v>
      </c>
      <c r="BI236" s="42">
        <f t="shared" si="1992"/>
        <v>307</v>
      </c>
      <c r="BJ236" s="41">
        <f t="shared" si="1993"/>
        <v>362.85</v>
      </c>
      <c r="BK236" s="41">
        <f t="shared" si="1994"/>
        <v>400.04212500000006</v>
      </c>
      <c r="BL236" s="41">
        <f t="shared" si="1995"/>
        <v>441.04644281250012</v>
      </c>
      <c r="BM236" s="41">
        <f t="shared" si="1996"/>
        <v>486.25370320078139</v>
      </c>
      <c r="BN236" s="41">
        <f t="shared" si="1997"/>
        <v>536.09470777886145</v>
      </c>
    </row>
    <row r="237" spans="1:66" ht="12" customHeight="1" outlineLevel="1">
      <c r="A237" s="91" t="s">
        <v>1527</v>
      </c>
      <c r="B237" s="1" t="s">
        <v>29</v>
      </c>
      <c r="C237" s="25">
        <f t="shared" ref="C237:Q237" si="2027">C238-C231-C233-C235-C236-C232-C234</f>
        <v>101</v>
      </c>
      <c r="D237" s="25">
        <f t="shared" si="2027"/>
        <v>183</v>
      </c>
      <c r="E237" s="25">
        <f t="shared" si="2027"/>
        <v>134</v>
      </c>
      <c r="F237" s="25">
        <f t="shared" si="2027"/>
        <v>154</v>
      </c>
      <c r="G237" s="25">
        <f t="shared" si="2027"/>
        <v>117</v>
      </c>
      <c r="H237" s="25">
        <f t="shared" si="2027"/>
        <v>66</v>
      </c>
      <c r="I237" s="25">
        <f t="shared" si="2027"/>
        <v>61</v>
      </c>
      <c r="J237" s="25">
        <f t="shared" si="2027"/>
        <v>74</v>
      </c>
      <c r="K237" s="25">
        <f t="shared" si="2027"/>
        <v>70</v>
      </c>
      <c r="L237" s="25">
        <f t="shared" si="2027"/>
        <v>71</v>
      </c>
      <c r="M237" s="41">
        <f t="shared" si="2027"/>
        <v>100</v>
      </c>
      <c r="N237" s="41">
        <f t="shared" si="2027"/>
        <v>308</v>
      </c>
      <c r="O237" s="41">
        <f t="shared" si="2027"/>
        <v>79</v>
      </c>
      <c r="P237" s="41">
        <f t="shared" si="2027"/>
        <v>71</v>
      </c>
      <c r="Q237" s="41">
        <f t="shared" si="2027"/>
        <v>88</v>
      </c>
      <c r="R237" s="41">
        <f t="shared" ref="R237:S237" si="2028">R238-R231-R233-R235-R236-R232-R234</f>
        <v>59</v>
      </c>
      <c r="S237" s="41">
        <f t="shared" si="2028"/>
        <v>66</v>
      </c>
      <c r="T237" s="41">
        <f t="shared" ref="T237:U237" si="2029">T238-T231-T233-T235-T236-T232-T234</f>
        <v>77</v>
      </c>
      <c r="U237" s="41">
        <f t="shared" si="2029"/>
        <v>159</v>
      </c>
      <c r="V237" s="41">
        <f t="shared" ref="V237:W237" si="2030">V238-V231-V233-V235-V236-V232-V234</f>
        <v>75</v>
      </c>
      <c r="W237" s="41">
        <f t="shared" si="2030"/>
        <v>154</v>
      </c>
      <c r="X237" s="41">
        <f t="shared" ref="X237:Y237" si="2031">X238-X231-X233-X235-X236-X232-X234</f>
        <v>193</v>
      </c>
      <c r="Y237" s="41">
        <f t="shared" si="2031"/>
        <v>131</v>
      </c>
      <c r="Z237" s="41">
        <f t="shared" ref="Z237:AA237" si="2032">Z238-Z231-Z233-Z235-Z236-Z232-Z234</f>
        <v>112</v>
      </c>
      <c r="AA237" s="41">
        <f t="shared" si="2032"/>
        <v>104</v>
      </c>
      <c r="AB237" s="41">
        <f t="shared" ref="AB237:AC237" si="2033">AB238-AB231-AB233-AB235-AB236-AB232-AB234</f>
        <v>138</v>
      </c>
      <c r="AC237" s="41">
        <f t="shared" si="2033"/>
        <v>154</v>
      </c>
      <c r="AD237" s="41">
        <f t="shared" ref="AD237:AE237" si="2034">AD238-AD231-AD233-AD235-AD236-AD232-AD234</f>
        <v>180</v>
      </c>
      <c r="AE237" s="41">
        <f t="shared" si="2034"/>
        <v>148</v>
      </c>
      <c r="AF237" s="41">
        <f t="shared" ref="AF237:AG237" si="2035">AF238-AF231-AF233-AF235-AF236-AF232-AF234</f>
        <v>140</v>
      </c>
      <c r="AG237" s="41">
        <f t="shared" si="2035"/>
        <v>135</v>
      </c>
      <c r="AH237" s="41">
        <f t="shared" ref="AH237:AI237" si="2036">AH238-AH231-AH233-AH235-AH236-AH232-AH234</f>
        <v>87</v>
      </c>
      <c r="AI237" s="42">
        <f t="shared" si="2036"/>
        <v>141</v>
      </c>
      <c r="AJ237" s="41">
        <f t="shared" ref="AJ237:AL237" si="2037">IF(ISERROR(AI237*(1+AJ284)),0,AI237*(1+AJ284))</f>
        <v>176.25</v>
      </c>
      <c r="AK237" s="41">
        <f t="shared" si="2037"/>
        <v>179.77500000000001</v>
      </c>
      <c r="AL237" s="41">
        <f t="shared" si="2037"/>
        <v>183.37050000000002</v>
      </c>
      <c r="AM237" s="41">
        <f t="shared" si="2024"/>
        <v>187.03791000000001</v>
      </c>
      <c r="AN237" s="41">
        <f t="shared" si="2024"/>
        <v>190.77866820000003</v>
      </c>
      <c r="AO237" s="41">
        <f t="shared" si="2024"/>
        <v>194.59424156400004</v>
      </c>
      <c r="AP237" s="41">
        <f t="shared" si="2024"/>
        <v>198.48612639528005</v>
      </c>
      <c r="AQ237" s="41">
        <f t="shared" si="2024"/>
        <v>202.45584892318567</v>
      </c>
      <c r="AR237" s="41">
        <f t="shared" si="2024"/>
        <v>206.5049659016494</v>
      </c>
      <c r="AS237" s="8"/>
      <c r="AT237" s="41">
        <f t="shared" si="1977"/>
        <v>284</v>
      </c>
      <c r="AU237" s="41">
        <f t="shared" si="1978"/>
        <v>288</v>
      </c>
      <c r="AV237" s="41">
        <f t="shared" si="1979"/>
        <v>183</v>
      </c>
      <c r="AW237" s="41">
        <f t="shared" si="1980"/>
        <v>135</v>
      </c>
      <c r="AX237" s="41">
        <f t="shared" si="1981"/>
        <v>141</v>
      </c>
      <c r="AY237" s="41">
        <f t="shared" si="1982"/>
        <v>408</v>
      </c>
      <c r="AZ237" s="41">
        <f t="shared" si="1983"/>
        <v>150</v>
      </c>
      <c r="BA237" s="41">
        <f t="shared" si="1984"/>
        <v>147</v>
      </c>
      <c r="BB237" s="41">
        <f t="shared" si="1985"/>
        <v>143</v>
      </c>
      <c r="BC237" s="41">
        <f t="shared" si="1986"/>
        <v>234</v>
      </c>
      <c r="BD237" s="41">
        <f t="shared" si="1987"/>
        <v>347</v>
      </c>
      <c r="BE237" s="41">
        <f t="shared" si="1988"/>
        <v>243</v>
      </c>
      <c r="BF237" s="41">
        <f t="shared" si="1989"/>
        <v>242</v>
      </c>
      <c r="BG237" s="41">
        <f t="shared" si="1990"/>
        <v>334</v>
      </c>
      <c r="BH237" s="41">
        <f t="shared" si="1991"/>
        <v>288</v>
      </c>
      <c r="BI237" s="42">
        <f t="shared" si="1992"/>
        <v>222</v>
      </c>
      <c r="BJ237" s="41">
        <f t="shared" si="1993"/>
        <v>317.25</v>
      </c>
      <c r="BK237" s="41">
        <f t="shared" si="1994"/>
        <v>363.14550000000003</v>
      </c>
      <c r="BL237" s="41">
        <f t="shared" si="1995"/>
        <v>377.81657820000004</v>
      </c>
      <c r="BM237" s="41">
        <f t="shared" si="1996"/>
        <v>393.08036795928012</v>
      </c>
      <c r="BN237" s="41">
        <f t="shared" si="1997"/>
        <v>408.9608148248351</v>
      </c>
    </row>
    <row r="238" spans="1:66" ht="12" customHeight="1" outlineLevel="1">
      <c r="A238" s="91" t="s">
        <v>1528</v>
      </c>
      <c r="B238" s="9" t="s">
        <v>118</v>
      </c>
      <c r="C238" s="22">
        <f t="shared" ref="C238:P238" si="2038">C535+C606</f>
        <v>570</v>
      </c>
      <c r="D238" s="22">
        <f t="shared" si="2038"/>
        <v>562</v>
      </c>
      <c r="E238" s="22">
        <f t="shared" si="2038"/>
        <v>550</v>
      </c>
      <c r="F238" s="22">
        <f t="shared" si="2038"/>
        <v>548</v>
      </c>
      <c r="G238" s="22">
        <f t="shared" si="2038"/>
        <v>452</v>
      </c>
      <c r="H238" s="22">
        <f t="shared" si="2038"/>
        <v>361</v>
      </c>
      <c r="I238" s="22">
        <f t="shared" si="2038"/>
        <v>322</v>
      </c>
      <c r="J238" s="22">
        <f t="shared" si="2038"/>
        <v>351</v>
      </c>
      <c r="K238" s="22">
        <f t="shared" si="2038"/>
        <v>396</v>
      </c>
      <c r="L238" s="22">
        <f t="shared" si="2038"/>
        <v>399</v>
      </c>
      <c r="M238" s="61">
        <f t="shared" si="2038"/>
        <v>416</v>
      </c>
      <c r="N238" s="61">
        <f t="shared" si="2038"/>
        <v>654</v>
      </c>
      <c r="O238" s="61">
        <f t="shared" si="2038"/>
        <v>486</v>
      </c>
      <c r="P238" s="61">
        <f t="shared" si="2038"/>
        <v>436</v>
      </c>
      <c r="Q238" s="61">
        <v>447</v>
      </c>
      <c r="R238" s="61">
        <v>410</v>
      </c>
      <c r="S238" s="61">
        <v>436</v>
      </c>
      <c r="T238" s="61">
        <v>457</v>
      </c>
      <c r="U238" s="61">
        <v>611</v>
      </c>
      <c r="V238" s="61">
        <v>611</v>
      </c>
      <c r="W238" s="61">
        <v>283</v>
      </c>
      <c r="X238" s="61">
        <v>347</v>
      </c>
      <c r="Y238" s="61">
        <v>257</v>
      </c>
      <c r="Z238" s="61">
        <v>228</v>
      </c>
      <c r="AA238" s="61">
        <v>228</v>
      </c>
      <c r="AB238" s="61">
        <v>279</v>
      </c>
      <c r="AC238" s="61">
        <v>279</v>
      </c>
      <c r="AD238" s="61">
        <f>586-AC238</f>
        <v>307</v>
      </c>
      <c r="AE238" s="61">
        <v>283</v>
      </c>
      <c r="AF238" s="61">
        <v>303</v>
      </c>
      <c r="AG238" s="61">
        <v>289</v>
      </c>
      <c r="AH238" s="61">
        <v>240</v>
      </c>
      <c r="AI238" s="338">
        <v>318</v>
      </c>
      <c r="AJ238" s="39">
        <f t="shared" ref="AJ238" si="2039">AJ231+AJ232+AJ233+AJ234+AJ235+AJ236+AJ237</f>
        <v>362.1</v>
      </c>
      <c r="AK238" s="39">
        <f t="shared" ref="AK238:AL238" si="2040">AK231+AK232+AK233+AK234+AK235+AK236+AK237</f>
        <v>374.91750000000002</v>
      </c>
      <c r="AL238" s="39">
        <f t="shared" si="2040"/>
        <v>388.27012500000001</v>
      </c>
      <c r="AM238" s="39">
        <f t="shared" ref="AM238:AN238" si="2041">AM231+AM232+AM233+AM234+AM235+AM236+AM237</f>
        <v>402.18251625000005</v>
      </c>
      <c r="AN238" s="39">
        <f t="shared" si="2041"/>
        <v>416.68050476250005</v>
      </c>
      <c r="AO238" s="39">
        <f t="shared" ref="AO238:AP238" si="2042">AO231+AO232+AO233+AO234+AO235+AO236+AO237</f>
        <v>431.7911699546251</v>
      </c>
      <c r="AP238" s="39">
        <f t="shared" si="2042"/>
        <v>447.54290120543635</v>
      </c>
      <c r="AQ238" s="39">
        <f t="shared" ref="AQ238:AR238" si="2043">AQ231+AQ232+AQ233+AQ234+AQ235+AQ236+AQ237</f>
        <v>463.96546247384981</v>
      </c>
      <c r="AR238" s="39">
        <f t="shared" si="2043"/>
        <v>481.09006012984673</v>
      </c>
      <c r="AS238" s="8"/>
      <c r="AT238" s="39">
        <f t="shared" ref="AT238:BC238" si="2044">AT231+AT232+AT233+AT234+AT235+AT236+AT237</f>
        <v>1132</v>
      </c>
      <c r="AU238" s="39">
        <f t="shared" si="2044"/>
        <v>1098</v>
      </c>
      <c r="AV238" s="39">
        <f t="shared" si="2044"/>
        <v>813</v>
      </c>
      <c r="AW238" s="39">
        <f t="shared" si="2044"/>
        <v>673</v>
      </c>
      <c r="AX238" s="39">
        <f t="shared" si="2044"/>
        <v>795</v>
      </c>
      <c r="AY238" s="39">
        <f t="shared" si="2044"/>
        <v>1070</v>
      </c>
      <c r="AZ238" s="39">
        <f t="shared" si="2044"/>
        <v>922</v>
      </c>
      <c r="BA238" s="39">
        <f t="shared" si="2044"/>
        <v>857</v>
      </c>
      <c r="BB238" s="39">
        <f t="shared" si="2044"/>
        <v>893</v>
      </c>
      <c r="BC238" s="39">
        <f t="shared" si="2044"/>
        <v>1222</v>
      </c>
      <c r="BD238" s="39">
        <f t="shared" ref="BD238:BI238" si="2045">BD231+BD232+BD233+BD234+BD235+BD236+BD237</f>
        <v>630</v>
      </c>
      <c r="BE238" s="39">
        <f t="shared" si="2045"/>
        <v>485</v>
      </c>
      <c r="BF238" s="39">
        <f t="shared" si="2045"/>
        <v>507</v>
      </c>
      <c r="BG238" s="39">
        <f t="shared" si="2045"/>
        <v>586</v>
      </c>
      <c r="BH238" s="39">
        <f t="shared" si="2045"/>
        <v>586</v>
      </c>
      <c r="BI238" s="40">
        <f t="shared" si="2045"/>
        <v>529</v>
      </c>
      <c r="BJ238" s="39">
        <f t="shared" ref="BJ238:BK238" si="2046">BJ231+BJ232+BJ233+BJ234+BJ235+BJ236+BJ237</f>
        <v>680.1</v>
      </c>
      <c r="BK238" s="39">
        <f t="shared" si="2046"/>
        <v>763.18762500000003</v>
      </c>
      <c r="BL238" s="39">
        <f t="shared" ref="BL238:BM238" si="2047">BL231+BL232+BL233+BL234+BL235+BL236+BL237</f>
        <v>818.86302101250021</v>
      </c>
      <c r="BM238" s="39">
        <f t="shared" si="2047"/>
        <v>879.33407116006151</v>
      </c>
      <c r="BN238" s="39">
        <f>BN231+BN232+BN233+BN234+BN235+BN236+BN237</f>
        <v>945.05552260369655</v>
      </c>
    </row>
    <row r="239" spans="1:66" ht="12" customHeight="1" outlineLevel="1">
      <c r="A239" s="91" t="s">
        <v>1815</v>
      </c>
      <c r="B239" s="1" t="s">
        <v>1812</v>
      </c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62">
        <v>271</v>
      </c>
      <c r="N239" s="62">
        <v>323</v>
      </c>
      <c r="O239" s="62">
        <v>345</v>
      </c>
      <c r="P239" s="62">
        <v>474</v>
      </c>
      <c r="Q239" s="62">
        <v>321</v>
      </c>
      <c r="R239" s="62">
        <v>427</v>
      </c>
      <c r="S239" s="62">
        <v>285</v>
      </c>
      <c r="T239" s="62">
        <v>420</v>
      </c>
      <c r="U239" s="62">
        <v>457</v>
      </c>
      <c r="V239" s="62">
        <v>621</v>
      </c>
      <c r="W239" s="62">
        <v>632</v>
      </c>
      <c r="X239" s="62">
        <v>662</v>
      </c>
      <c r="Y239" s="62">
        <v>578</v>
      </c>
      <c r="Z239" s="62">
        <v>883</v>
      </c>
      <c r="AA239" s="62">
        <v>949</v>
      </c>
      <c r="AB239" s="62">
        <v>1084</v>
      </c>
      <c r="AC239" s="62">
        <v>1496</v>
      </c>
      <c r="AD239" s="62">
        <f>3129-AC239</f>
        <v>1633</v>
      </c>
      <c r="AE239" s="62">
        <v>1182</v>
      </c>
      <c r="AF239" s="62">
        <v>1077</v>
      </c>
      <c r="AG239" s="62">
        <v>886</v>
      </c>
      <c r="AH239" s="62">
        <v>1078</v>
      </c>
      <c r="AI239" s="57">
        <v>923</v>
      </c>
      <c r="AJ239" s="41">
        <f t="shared" ref="AJ239:AL239" si="2048">AI239*(1+AJ285)</f>
        <v>1338.35</v>
      </c>
      <c r="AK239" s="41">
        <f t="shared" si="2048"/>
        <v>1137.5974999999999</v>
      </c>
      <c r="AL239" s="41">
        <f t="shared" si="2048"/>
        <v>1177.4134124999998</v>
      </c>
      <c r="AM239" s="41">
        <f t="shared" ref="AM239:AM240" si="2049">AL239*(1+AM285)</f>
        <v>1089.1074065624998</v>
      </c>
      <c r="AN239" s="41">
        <f t="shared" ref="AN239:AN240" si="2050">AM239*(1+AN285)</f>
        <v>1306.9288878749996</v>
      </c>
      <c r="AO239" s="41">
        <f t="shared" ref="AO239:AO240" si="2051">AN239*(1+AO285)</f>
        <v>1143.5627768906247</v>
      </c>
      <c r="AP239" s="41">
        <f t="shared" ref="AP239:AP240" si="2052">AO239*(1+AP285)</f>
        <v>1372.2753322687497</v>
      </c>
      <c r="AQ239" s="41">
        <f t="shared" ref="AQ239:AQ240" si="2053">AP239*(1+AQ285)</f>
        <v>1200.740915735156</v>
      </c>
      <c r="AR239" s="41">
        <f t="shared" ref="AR239:AR240" si="2054">AQ239*(1+AR285)</f>
        <v>1440.8890988821872</v>
      </c>
      <c r="AS239" s="8"/>
      <c r="AT239" s="41"/>
      <c r="AU239" s="41"/>
      <c r="AV239" s="41"/>
      <c r="AW239" s="41"/>
      <c r="AX239" s="41"/>
      <c r="AY239" s="41">
        <f t="shared" ref="AY239:AY245" si="2055">M239+N239</f>
        <v>594</v>
      </c>
      <c r="AZ239" s="41">
        <f t="shared" ref="AZ239:AZ245" si="2056">O239+P239</f>
        <v>819</v>
      </c>
      <c r="BA239" s="41">
        <f t="shared" ref="BA239:BA245" si="2057">Q239+R239</f>
        <v>748</v>
      </c>
      <c r="BB239" s="41">
        <f t="shared" ref="BB239:BB245" si="2058">S239+T239</f>
        <v>705</v>
      </c>
      <c r="BC239" s="41">
        <f t="shared" ref="BC239:BC245" si="2059">U239+V239</f>
        <v>1078</v>
      </c>
      <c r="BD239" s="41">
        <f t="shared" ref="BD239:BD245" si="2060">W239+X239</f>
        <v>1294</v>
      </c>
      <c r="BE239" s="41">
        <f t="shared" ref="BE239:BE245" si="2061">Y239+Z239</f>
        <v>1461</v>
      </c>
      <c r="BF239" s="41">
        <f t="shared" ref="BF239:BF245" si="2062">AA239+AB239</f>
        <v>2033</v>
      </c>
      <c r="BG239" s="41">
        <f t="shared" ref="BG239:BG245" si="2063">AC239+AD239</f>
        <v>3129</v>
      </c>
      <c r="BH239" s="41">
        <f t="shared" ref="BH239:BH245" si="2064">AE239+AF239</f>
        <v>2259</v>
      </c>
      <c r="BI239" s="42">
        <f t="shared" ref="BI239:BI245" si="2065">AG239+AH239</f>
        <v>1964</v>
      </c>
      <c r="BJ239" s="41">
        <f t="shared" ref="BJ239:BJ249" si="2066">AI239+AJ239</f>
        <v>2261.35</v>
      </c>
      <c r="BK239" s="41">
        <f t="shared" ref="BK239:BK249" si="2067">AK239+AL239</f>
        <v>2315.0109124999999</v>
      </c>
      <c r="BL239" s="41">
        <f t="shared" ref="BL239:BL249" si="2068">AM239+AN239</f>
        <v>2396.0362944374992</v>
      </c>
      <c r="BM239" s="41">
        <f t="shared" ref="BM239:BM249" si="2069">AO239+AP239</f>
        <v>2515.8381091593747</v>
      </c>
      <c r="BN239" s="41">
        <f t="shared" ref="BN239:BN249" si="2070">AQ239+AR239</f>
        <v>2641.6300146173435</v>
      </c>
    </row>
    <row r="240" spans="1:66" ht="12" customHeight="1" outlineLevel="1">
      <c r="A240" s="91" t="s">
        <v>1816</v>
      </c>
      <c r="B240" s="1" t="s">
        <v>1813</v>
      </c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62">
        <v>141</v>
      </c>
      <c r="N240" s="62">
        <v>177</v>
      </c>
      <c r="O240" s="62">
        <v>148</v>
      </c>
      <c r="P240" s="62">
        <v>144</v>
      </c>
      <c r="Q240" s="62">
        <v>142</v>
      </c>
      <c r="R240" s="62">
        <v>118</v>
      </c>
      <c r="S240" s="62">
        <v>108</v>
      </c>
      <c r="T240" s="62">
        <v>129</v>
      </c>
      <c r="U240" s="62">
        <v>128</v>
      </c>
      <c r="V240" s="62">
        <v>122</v>
      </c>
      <c r="W240" s="62">
        <v>115</v>
      </c>
      <c r="X240" s="62">
        <v>151</v>
      </c>
      <c r="Y240" s="62">
        <v>118</v>
      </c>
      <c r="Z240" s="62">
        <v>116</v>
      </c>
      <c r="AA240" s="62">
        <v>116</v>
      </c>
      <c r="AB240" s="62">
        <v>96</v>
      </c>
      <c r="AC240" s="62">
        <v>184</v>
      </c>
      <c r="AD240" s="62">
        <f>337-AC240</f>
        <v>153</v>
      </c>
      <c r="AE240" s="62">
        <v>198</v>
      </c>
      <c r="AF240" s="62">
        <v>153</v>
      </c>
      <c r="AG240" s="62">
        <v>187</v>
      </c>
      <c r="AH240" s="62">
        <v>179</v>
      </c>
      <c r="AI240" s="57">
        <v>160</v>
      </c>
      <c r="AJ240" s="41">
        <f t="shared" ref="AJ240" si="2071">AI240*(1+AJ286)</f>
        <v>167.2</v>
      </c>
      <c r="AK240" s="41">
        <f t="shared" ref="AK240" si="2072">AJ240*(1+AK286)</f>
        <v>170.54399999999998</v>
      </c>
      <c r="AL240" s="41">
        <f t="shared" ref="AL240" si="2073">AK240*(1+AL286)</f>
        <v>173.95487999999997</v>
      </c>
      <c r="AM240" s="41">
        <f t="shared" si="2049"/>
        <v>177.43397759999996</v>
      </c>
      <c r="AN240" s="41">
        <f t="shared" si="2050"/>
        <v>180.98265715199997</v>
      </c>
      <c r="AO240" s="41">
        <f t="shared" si="2051"/>
        <v>184.60231029503998</v>
      </c>
      <c r="AP240" s="41">
        <f t="shared" si="2052"/>
        <v>188.29435650094078</v>
      </c>
      <c r="AQ240" s="41">
        <f t="shared" si="2053"/>
        <v>192.0602436309596</v>
      </c>
      <c r="AR240" s="41">
        <f t="shared" si="2054"/>
        <v>195.90144850357879</v>
      </c>
      <c r="AS240" s="8"/>
      <c r="AT240" s="41"/>
      <c r="AU240" s="41"/>
      <c r="AV240" s="41"/>
      <c r="AW240" s="41"/>
      <c r="AX240" s="41"/>
      <c r="AY240" s="41">
        <f t="shared" si="2055"/>
        <v>318</v>
      </c>
      <c r="AZ240" s="41">
        <f t="shared" si="2056"/>
        <v>292</v>
      </c>
      <c r="BA240" s="41">
        <f t="shared" si="2057"/>
        <v>260</v>
      </c>
      <c r="BB240" s="41">
        <f t="shared" si="2058"/>
        <v>237</v>
      </c>
      <c r="BC240" s="41">
        <f t="shared" si="2059"/>
        <v>250</v>
      </c>
      <c r="BD240" s="41">
        <f t="shared" si="2060"/>
        <v>266</v>
      </c>
      <c r="BE240" s="41">
        <f t="shared" si="2061"/>
        <v>234</v>
      </c>
      <c r="BF240" s="41">
        <f t="shared" si="2062"/>
        <v>212</v>
      </c>
      <c r="BG240" s="41">
        <f t="shared" si="2063"/>
        <v>337</v>
      </c>
      <c r="BH240" s="41">
        <f t="shared" si="2064"/>
        <v>351</v>
      </c>
      <c r="BI240" s="42">
        <f t="shared" si="2065"/>
        <v>366</v>
      </c>
      <c r="BJ240" s="41">
        <f t="shared" si="2066"/>
        <v>327.2</v>
      </c>
      <c r="BK240" s="41">
        <f t="shared" si="2067"/>
        <v>344.49887999999999</v>
      </c>
      <c r="BL240" s="41">
        <f t="shared" si="2068"/>
        <v>358.41663475199994</v>
      </c>
      <c r="BM240" s="41">
        <f t="shared" si="2069"/>
        <v>372.89666679598076</v>
      </c>
      <c r="BN240" s="41">
        <f t="shared" si="2070"/>
        <v>387.9616921345384</v>
      </c>
    </row>
    <row r="241" spans="1:69" s="87" customFormat="1" ht="12" customHeight="1" outlineLevel="1">
      <c r="A241" s="91" t="s">
        <v>1817</v>
      </c>
      <c r="B241" s="87" t="s">
        <v>1814</v>
      </c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59">
        <f t="shared" ref="M241:AB241" si="2074">M242-M239-M240</f>
        <v>6</v>
      </c>
      <c r="N241" s="59">
        <f t="shared" si="2074"/>
        <v>207</v>
      </c>
      <c r="O241" s="59">
        <f t="shared" si="2074"/>
        <v>90</v>
      </c>
      <c r="P241" s="59">
        <f t="shared" si="2074"/>
        <v>114</v>
      </c>
      <c r="Q241" s="59">
        <f t="shared" si="2074"/>
        <v>42</v>
      </c>
      <c r="R241" s="59">
        <f t="shared" si="2074"/>
        <v>82</v>
      </c>
      <c r="S241" s="59">
        <f t="shared" si="2074"/>
        <v>42</v>
      </c>
      <c r="T241" s="59">
        <f t="shared" si="2074"/>
        <v>109</v>
      </c>
      <c r="U241" s="59">
        <f t="shared" si="2074"/>
        <v>221</v>
      </c>
      <c r="V241" s="59">
        <f t="shared" si="2074"/>
        <v>434</v>
      </c>
      <c r="W241" s="59">
        <f t="shared" si="2074"/>
        <v>302</v>
      </c>
      <c r="X241" s="59">
        <f t="shared" si="2074"/>
        <v>-124</v>
      </c>
      <c r="Y241" s="59">
        <f t="shared" si="2074"/>
        <v>416</v>
      </c>
      <c r="Z241" s="59">
        <f t="shared" si="2074"/>
        <v>560</v>
      </c>
      <c r="AA241" s="59">
        <f t="shared" si="2074"/>
        <v>189</v>
      </c>
      <c r="AB241" s="59">
        <f t="shared" si="2074"/>
        <v>890</v>
      </c>
      <c r="AC241" s="59">
        <f t="shared" ref="AC241:AI241" si="2075">AC242-AC239-AC240</f>
        <v>209</v>
      </c>
      <c r="AD241" s="59">
        <f t="shared" si="2075"/>
        <v>2446</v>
      </c>
      <c r="AE241" s="59">
        <f t="shared" si="2075"/>
        <v>154</v>
      </c>
      <c r="AF241" s="59">
        <f t="shared" si="2075"/>
        <v>752</v>
      </c>
      <c r="AG241" s="59">
        <f t="shared" si="2075"/>
        <v>333</v>
      </c>
      <c r="AH241" s="59">
        <f t="shared" si="2075"/>
        <v>357</v>
      </c>
      <c r="AI241" s="60">
        <f t="shared" si="2075"/>
        <v>297</v>
      </c>
      <c r="AJ241" s="41">
        <f t="shared" ref="AJ241:AL241" si="2076">AI241*(1+AJ287)</f>
        <v>579.15</v>
      </c>
      <c r="AK241" s="41">
        <f t="shared" si="2076"/>
        <v>382.23899999999992</v>
      </c>
      <c r="AL241" s="41">
        <f t="shared" si="2076"/>
        <v>592.47044999999991</v>
      </c>
      <c r="AM241" s="41">
        <f t="shared" ref="AM241" si="2077">AL241*(1+AM287)</f>
        <v>533.22340499999996</v>
      </c>
      <c r="AN241" s="41">
        <f t="shared" ref="AN241" si="2078">AM241*(1+AN287)</f>
        <v>639.86808599999995</v>
      </c>
      <c r="AO241" s="41">
        <f t="shared" ref="AO241" si="2079">AN241*(1+AO287)</f>
        <v>543.88787309999998</v>
      </c>
      <c r="AP241" s="41">
        <f t="shared" ref="AP241" si="2080">AO241*(1+AP287)</f>
        <v>652.66544771999997</v>
      </c>
      <c r="AQ241" s="41">
        <f t="shared" ref="AQ241" si="2081">AP241*(1+AQ287)</f>
        <v>587.398902948</v>
      </c>
      <c r="AR241" s="41">
        <f t="shared" ref="AR241" si="2082">AQ241*(1+AR287)</f>
        <v>616.76884809540002</v>
      </c>
      <c r="AS241" s="330"/>
      <c r="AT241" s="59"/>
      <c r="AU241" s="59"/>
      <c r="AV241" s="59"/>
      <c r="AW241" s="59"/>
      <c r="AX241" s="59"/>
      <c r="AY241" s="41">
        <f t="shared" si="2055"/>
        <v>213</v>
      </c>
      <c r="AZ241" s="41">
        <f t="shared" si="2056"/>
        <v>204</v>
      </c>
      <c r="BA241" s="41">
        <f t="shared" si="2057"/>
        <v>124</v>
      </c>
      <c r="BB241" s="41">
        <f t="shared" si="2058"/>
        <v>151</v>
      </c>
      <c r="BC241" s="41">
        <f t="shared" si="2059"/>
        <v>655</v>
      </c>
      <c r="BD241" s="41">
        <f t="shared" si="2060"/>
        <v>178</v>
      </c>
      <c r="BE241" s="41">
        <f t="shared" si="2061"/>
        <v>976</v>
      </c>
      <c r="BF241" s="41">
        <f t="shared" si="2062"/>
        <v>1079</v>
      </c>
      <c r="BG241" s="41">
        <f t="shared" si="2063"/>
        <v>2655</v>
      </c>
      <c r="BH241" s="41">
        <f t="shared" si="2064"/>
        <v>906</v>
      </c>
      <c r="BI241" s="42">
        <f t="shared" si="2065"/>
        <v>690</v>
      </c>
      <c r="BJ241" s="41">
        <f t="shared" si="2066"/>
        <v>876.15</v>
      </c>
      <c r="BK241" s="41">
        <f t="shared" si="2067"/>
        <v>974.70944999999983</v>
      </c>
      <c r="BL241" s="41">
        <f t="shared" si="2068"/>
        <v>1173.0914909999999</v>
      </c>
      <c r="BM241" s="41">
        <f t="shared" si="2069"/>
        <v>1196.55332082</v>
      </c>
      <c r="BN241" s="41">
        <f t="shared" si="2070"/>
        <v>1204.1677510434001</v>
      </c>
    </row>
    <row r="242" spans="1:69" s="9" customFormat="1" ht="12" customHeight="1" outlineLevel="1">
      <c r="A242" s="92" t="s">
        <v>1529</v>
      </c>
      <c r="B242" s="9" t="s">
        <v>38</v>
      </c>
      <c r="C242" s="22">
        <v>346</v>
      </c>
      <c r="D242" s="22">
        <f>671-C242</f>
        <v>325</v>
      </c>
      <c r="E242" s="22">
        <v>197</v>
      </c>
      <c r="F242" s="22">
        <f>618-E242</f>
        <v>421</v>
      </c>
      <c r="G242" s="22">
        <v>279</v>
      </c>
      <c r="H242" s="22">
        <f>573-G242</f>
        <v>294</v>
      </c>
      <c r="I242" s="22">
        <v>347</v>
      </c>
      <c r="J242" s="22">
        <v>366</v>
      </c>
      <c r="K242" s="22">
        <v>393</v>
      </c>
      <c r="L242" s="22">
        <v>731</v>
      </c>
      <c r="M242" s="61">
        <v>418</v>
      </c>
      <c r="N242" s="61">
        <v>707</v>
      </c>
      <c r="O242" s="61">
        <v>583</v>
      </c>
      <c r="P242" s="61">
        <v>732</v>
      </c>
      <c r="Q242" s="61">
        <v>505</v>
      </c>
      <c r="R242" s="61">
        <v>627</v>
      </c>
      <c r="S242" s="61">
        <v>435</v>
      </c>
      <c r="T242" s="61">
        <v>658</v>
      </c>
      <c r="U242" s="61">
        <v>806</v>
      </c>
      <c r="V242" s="61">
        <v>1177</v>
      </c>
      <c r="W242" s="61">
        <v>1049</v>
      </c>
      <c r="X242" s="61">
        <v>689</v>
      </c>
      <c r="Y242" s="61">
        <v>1112</v>
      </c>
      <c r="Z242" s="61">
        <v>1559</v>
      </c>
      <c r="AA242" s="61">
        <v>1254</v>
      </c>
      <c r="AB242" s="61">
        <v>2070</v>
      </c>
      <c r="AC242" s="61">
        <v>1889</v>
      </c>
      <c r="AD242" s="61">
        <f>6121-AC242</f>
        <v>4232</v>
      </c>
      <c r="AE242" s="61">
        <v>1534</v>
      </c>
      <c r="AF242" s="61">
        <v>1982</v>
      </c>
      <c r="AG242" s="61">
        <v>1406</v>
      </c>
      <c r="AH242" s="61">
        <v>1614</v>
      </c>
      <c r="AI242" s="338">
        <v>1380</v>
      </c>
      <c r="AJ242" s="39">
        <f t="shared" ref="AJ242:AL242" si="2083">SUM(AJ239:AJ241)</f>
        <v>2084.6999999999998</v>
      </c>
      <c r="AK242" s="39">
        <f t="shared" si="2083"/>
        <v>1690.3804999999998</v>
      </c>
      <c r="AL242" s="39">
        <f t="shared" si="2083"/>
        <v>1943.8387424999996</v>
      </c>
      <c r="AM242" s="39">
        <f t="shared" ref="AM242:AN242" si="2084">SUM(AM239:AM241)</f>
        <v>1799.7647891624997</v>
      </c>
      <c r="AN242" s="39">
        <f t="shared" si="2084"/>
        <v>2127.7796310269996</v>
      </c>
      <c r="AO242" s="39">
        <f t="shared" ref="AO242:AP242" si="2085">SUM(AO239:AO241)</f>
        <v>1872.0529602856648</v>
      </c>
      <c r="AP242" s="39">
        <f t="shared" si="2085"/>
        <v>2213.2351364896904</v>
      </c>
      <c r="AQ242" s="39">
        <f t="shared" ref="AQ242:AR242" si="2086">SUM(AQ239:AQ241)</f>
        <v>1980.2000623141157</v>
      </c>
      <c r="AR242" s="39">
        <f t="shared" si="2086"/>
        <v>2253.5593954811661</v>
      </c>
      <c r="AS242" s="74"/>
      <c r="AT242" s="39">
        <f>C242+D242</f>
        <v>671</v>
      </c>
      <c r="AU242" s="39">
        <f>E242+F242</f>
        <v>618</v>
      </c>
      <c r="AV242" s="39">
        <f>G242+H242</f>
        <v>573</v>
      </c>
      <c r="AW242" s="39">
        <f>I242+J242</f>
        <v>713</v>
      </c>
      <c r="AX242" s="39">
        <f>K242+L242</f>
        <v>1124</v>
      </c>
      <c r="AY242" s="39">
        <f t="shared" si="2055"/>
        <v>1125</v>
      </c>
      <c r="AZ242" s="39">
        <f t="shared" si="2056"/>
        <v>1315</v>
      </c>
      <c r="BA242" s="39">
        <f t="shared" si="2057"/>
        <v>1132</v>
      </c>
      <c r="BB242" s="39">
        <f t="shared" si="2058"/>
        <v>1093</v>
      </c>
      <c r="BC242" s="39">
        <f t="shared" si="2059"/>
        <v>1983</v>
      </c>
      <c r="BD242" s="39">
        <f t="shared" si="2060"/>
        <v>1738</v>
      </c>
      <c r="BE242" s="39">
        <f t="shared" si="2061"/>
        <v>2671</v>
      </c>
      <c r="BF242" s="39">
        <f t="shared" si="2062"/>
        <v>3324</v>
      </c>
      <c r="BG242" s="39">
        <f t="shared" si="2063"/>
        <v>6121</v>
      </c>
      <c r="BH242" s="39">
        <f t="shared" si="2064"/>
        <v>3516</v>
      </c>
      <c r="BI242" s="40">
        <f t="shared" si="2065"/>
        <v>3020</v>
      </c>
      <c r="BJ242" s="39">
        <f t="shared" si="2066"/>
        <v>3464.7</v>
      </c>
      <c r="BK242" s="39">
        <f t="shared" si="2067"/>
        <v>3634.2192424999994</v>
      </c>
      <c r="BL242" s="39">
        <f t="shared" si="2068"/>
        <v>3927.5444201894993</v>
      </c>
      <c r="BM242" s="39">
        <f t="shared" si="2069"/>
        <v>4085.2880967753554</v>
      </c>
      <c r="BN242" s="39">
        <f t="shared" si="2070"/>
        <v>4233.7594577952823</v>
      </c>
      <c r="BQ242" s="657">
        <f>+BJ242/BI242-1</f>
        <v>0.147251655629139</v>
      </c>
    </row>
    <row r="243" spans="1:69" ht="12" customHeight="1" outlineLevel="1">
      <c r="A243" s="91" t="s">
        <v>1530</v>
      </c>
      <c r="B243" s="1" t="s">
        <v>39</v>
      </c>
      <c r="C243" s="21">
        <f t="shared" ref="C243:Q243" si="2087">C537+C607</f>
        <v>472</v>
      </c>
      <c r="D243" s="21">
        <f t="shared" si="2087"/>
        <v>452</v>
      </c>
      <c r="E243" s="21">
        <f t="shared" si="2087"/>
        <v>330</v>
      </c>
      <c r="F243" s="21">
        <f t="shared" si="2087"/>
        <v>391</v>
      </c>
      <c r="G243" s="21">
        <f t="shared" si="2087"/>
        <v>197</v>
      </c>
      <c r="H243" s="21">
        <f t="shared" si="2087"/>
        <v>340</v>
      </c>
      <c r="I243" s="21">
        <f t="shared" si="2087"/>
        <v>253</v>
      </c>
      <c r="J243" s="21">
        <f t="shared" si="2087"/>
        <v>341</v>
      </c>
      <c r="K243" s="21">
        <f t="shared" si="2087"/>
        <v>348</v>
      </c>
      <c r="L243" s="21">
        <f t="shared" si="2087"/>
        <v>342</v>
      </c>
      <c r="M243" s="21">
        <f t="shared" si="2087"/>
        <v>366</v>
      </c>
      <c r="N243" s="21">
        <f t="shared" si="2087"/>
        <v>491</v>
      </c>
      <c r="O243" s="21">
        <f t="shared" si="2087"/>
        <v>621</v>
      </c>
      <c r="P243" s="21">
        <f t="shared" si="2087"/>
        <v>349</v>
      </c>
      <c r="Q243" s="21">
        <f t="shared" si="2087"/>
        <v>430</v>
      </c>
      <c r="R243" s="21">
        <f>1125-R242</f>
        <v>498</v>
      </c>
      <c r="S243" s="21">
        <f>904-S242</f>
        <v>469</v>
      </c>
      <c r="T243" s="21">
        <f>1056-T242</f>
        <v>398</v>
      </c>
      <c r="U243" s="21">
        <f>1357-U242</f>
        <v>551</v>
      </c>
      <c r="V243" s="21">
        <f>1583-V242</f>
        <v>406</v>
      </c>
      <c r="W243" s="21">
        <f>1690-W242</f>
        <v>641</v>
      </c>
      <c r="X243" s="21">
        <f>1267-X242</f>
        <v>578</v>
      </c>
      <c r="Y243" s="21">
        <f>1737-Y242</f>
        <v>625</v>
      </c>
      <c r="Z243" s="21">
        <f>2119-Z242</f>
        <v>560</v>
      </c>
      <c r="AA243" s="21">
        <f>1878-AA242</f>
        <v>624</v>
      </c>
      <c r="AB243" s="21">
        <f>2854-AB242</f>
        <v>784</v>
      </c>
      <c r="AC243" s="21">
        <f>2774-AC242</f>
        <v>885</v>
      </c>
      <c r="AD243" s="21">
        <f>7639-AD242-AC242-AC243</f>
        <v>633</v>
      </c>
      <c r="AE243" s="21">
        <f>2363-AE242</f>
        <v>829</v>
      </c>
      <c r="AF243" s="21">
        <f>2793-AF242</f>
        <v>811</v>
      </c>
      <c r="AG243" s="21">
        <f>2269-AG242</f>
        <v>863</v>
      </c>
      <c r="AH243" s="21">
        <f>2621-AH242</f>
        <v>1007</v>
      </c>
      <c r="AI243" s="24">
        <f>2321-AI242</f>
        <v>941</v>
      </c>
      <c r="AJ243" s="41">
        <f>IF(ISERROR(AI243*(1+AJ289)),0,AI243*(1+AJ289))</f>
        <v>1058.625</v>
      </c>
      <c r="AK243" s="41">
        <f t="shared" ref="AK243:AL243" si="2088">IF(ISERROR(AJ243*(1+AK289)),0,AJ243*(1+AK289))</f>
        <v>1042.745625</v>
      </c>
      <c r="AL243" s="41">
        <f t="shared" si="2088"/>
        <v>1063.6005375</v>
      </c>
      <c r="AM243" s="41">
        <f t="shared" ref="AM243" si="2089">IF(ISERROR(AL243*(1+AM289)),0,AL243*(1+AM289))</f>
        <v>1084.8725482499999</v>
      </c>
      <c r="AN243" s="41">
        <f t="shared" ref="AN243" si="2090">IF(ISERROR(AM243*(1+AN289)),0,AM243*(1+AN289))</f>
        <v>1106.5699992149998</v>
      </c>
      <c r="AO243" s="41">
        <f t="shared" ref="AO243" si="2091">IF(ISERROR(AN243*(1+AO289)),0,AN243*(1+AO289))</f>
        <v>1128.7013991992999</v>
      </c>
      <c r="AP243" s="41">
        <f t="shared" ref="AP243" si="2092">IF(ISERROR(AO243*(1+AP289)),0,AO243*(1+AP289))</f>
        <v>1151.275427183286</v>
      </c>
      <c r="AQ243" s="41">
        <f t="shared" ref="AQ243" si="2093">IF(ISERROR(AP243*(1+AQ289)),0,AP243*(1+AQ289))</f>
        <v>1174.3009357269516</v>
      </c>
      <c r="AR243" s="41">
        <f t="shared" ref="AR243" si="2094">IF(ISERROR(AQ243*(1+AR289)),0,AQ243*(1+AR289))</f>
        <v>1197.7869544414907</v>
      </c>
      <c r="AT243" s="19">
        <f>C243+D243</f>
        <v>924</v>
      </c>
      <c r="AU243" s="19">
        <f>E243+F243</f>
        <v>721</v>
      </c>
      <c r="AV243" s="19">
        <f>G243+H243</f>
        <v>537</v>
      </c>
      <c r="AW243" s="19">
        <f>I243+J243</f>
        <v>594</v>
      </c>
      <c r="AX243" s="19">
        <f>K243+L243</f>
        <v>690</v>
      </c>
      <c r="AY243" s="19">
        <f t="shared" si="2055"/>
        <v>857</v>
      </c>
      <c r="AZ243" s="19">
        <f t="shared" si="2056"/>
        <v>970</v>
      </c>
      <c r="BA243" s="19">
        <f t="shared" si="2057"/>
        <v>928</v>
      </c>
      <c r="BB243" s="19">
        <f t="shared" si="2058"/>
        <v>867</v>
      </c>
      <c r="BC243" s="19">
        <f t="shared" si="2059"/>
        <v>957</v>
      </c>
      <c r="BD243" s="19">
        <f t="shared" si="2060"/>
        <v>1219</v>
      </c>
      <c r="BE243" s="19">
        <f t="shared" si="2061"/>
        <v>1185</v>
      </c>
      <c r="BF243" s="19">
        <f t="shared" si="2062"/>
        <v>1408</v>
      </c>
      <c r="BG243" s="19">
        <f t="shared" si="2063"/>
        <v>1518</v>
      </c>
      <c r="BH243" s="19">
        <f t="shared" si="2064"/>
        <v>1640</v>
      </c>
      <c r="BI243" s="20">
        <f t="shared" si="2065"/>
        <v>1870</v>
      </c>
      <c r="BJ243" s="19">
        <f t="shared" si="2066"/>
        <v>1999.625</v>
      </c>
      <c r="BK243" s="19">
        <f t="shared" si="2067"/>
        <v>2106.3461625</v>
      </c>
      <c r="BL243" s="19">
        <f t="shared" si="2068"/>
        <v>2191.4425474649997</v>
      </c>
      <c r="BM243" s="19">
        <f t="shared" si="2069"/>
        <v>2279.9768263825858</v>
      </c>
      <c r="BN243" s="19">
        <f t="shared" si="2070"/>
        <v>2372.0878901684423</v>
      </c>
    </row>
    <row r="244" spans="1:69" ht="12" customHeight="1" outlineLevel="1">
      <c r="A244" s="91" t="s">
        <v>1531</v>
      </c>
      <c r="B244" s="1" t="s">
        <v>9</v>
      </c>
      <c r="C244" s="21">
        <f t="shared" ref="C244:P244" si="2095">C538+C608</f>
        <v>4</v>
      </c>
      <c r="D244" s="21">
        <f t="shared" si="2095"/>
        <v>9</v>
      </c>
      <c r="E244" s="21">
        <f t="shared" si="2095"/>
        <v>15</v>
      </c>
      <c r="F244" s="21">
        <f t="shared" si="2095"/>
        <v>1</v>
      </c>
      <c r="G244" s="21">
        <f t="shared" si="2095"/>
        <v>9</v>
      </c>
      <c r="H244" s="21">
        <f t="shared" si="2095"/>
        <v>10</v>
      </c>
      <c r="I244" s="21">
        <f t="shared" si="2095"/>
        <v>15</v>
      </c>
      <c r="J244" s="21">
        <f t="shared" si="2095"/>
        <v>13</v>
      </c>
      <c r="K244" s="21">
        <f t="shared" si="2095"/>
        <v>15</v>
      </c>
      <c r="L244" s="21">
        <f t="shared" si="2095"/>
        <v>8</v>
      </c>
      <c r="M244" s="21">
        <f t="shared" si="2095"/>
        <v>2</v>
      </c>
      <c r="N244" s="21">
        <f t="shared" si="2095"/>
        <v>-3</v>
      </c>
      <c r="O244" s="21">
        <f t="shared" si="2095"/>
        <v>-7</v>
      </c>
      <c r="P244" s="21">
        <f t="shared" si="2095"/>
        <v>8</v>
      </c>
      <c r="Q244" s="21">
        <v>-10</v>
      </c>
      <c r="R244" s="21">
        <v>10</v>
      </c>
      <c r="S244" s="21">
        <v>8</v>
      </c>
      <c r="T244" s="21">
        <v>13</v>
      </c>
      <c r="U244" s="21">
        <v>10</v>
      </c>
      <c r="V244" s="21">
        <v>10</v>
      </c>
      <c r="W244" s="21">
        <v>9</v>
      </c>
      <c r="X244" s="21">
        <v>15</v>
      </c>
      <c r="Y244" s="21">
        <v>13</v>
      </c>
      <c r="Z244" s="21">
        <v>30</v>
      </c>
      <c r="AA244" s="21">
        <v>15</v>
      </c>
      <c r="AB244" s="21">
        <v>25</v>
      </c>
      <c r="AC244" s="21">
        <v>16</v>
      </c>
      <c r="AD244" s="21">
        <v>16</v>
      </c>
      <c r="AE244" s="21">
        <v>16</v>
      </c>
      <c r="AF244" s="21">
        <v>26</v>
      </c>
      <c r="AG244" s="21">
        <v>7</v>
      </c>
      <c r="AH244" s="21">
        <v>33</v>
      </c>
      <c r="AI244" s="24">
        <v>22</v>
      </c>
      <c r="AJ244" s="58">
        <f t="shared" ref="AJ244" si="2096">AI244</f>
        <v>22</v>
      </c>
      <c r="AK244" s="58">
        <f t="shared" ref="AK244" si="2097">AJ244</f>
        <v>22</v>
      </c>
      <c r="AL244" s="58">
        <f t="shared" ref="AL244" si="2098">AK244</f>
        <v>22</v>
      </c>
      <c r="AM244" s="58">
        <f t="shared" ref="AM244" si="2099">AL244</f>
        <v>22</v>
      </c>
      <c r="AN244" s="58">
        <f t="shared" ref="AN244" si="2100">AM244</f>
        <v>22</v>
      </c>
      <c r="AO244" s="58">
        <f t="shared" ref="AO244" si="2101">AN244</f>
        <v>22</v>
      </c>
      <c r="AP244" s="58">
        <f t="shared" ref="AP244" si="2102">AO244</f>
        <v>22</v>
      </c>
      <c r="AQ244" s="58">
        <f t="shared" ref="AQ244" si="2103">AP244</f>
        <v>22</v>
      </c>
      <c r="AR244" s="58">
        <f t="shared" ref="AR244" si="2104">AQ244</f>
        <v>22</v>
      </c>
      <c r="AS244" s="8"/>
      <c r="AT244" s="41">
        <f>C244+D244</f>
        <v>13</v>
      </c>
      <c r="AU244" s="41">
        <f>E244+F244</f>
        <v>16</v>
      </c>
      <c r="AV244" s="41">
        <f>G244+H244</f>
        <v>19</v>
      </c>
      <c r="AW244" s="41">
        <f>I244+J244</f>
        <v>28</v>
      </c>
      <c r="AX244" s="41">
        <f>K244+L244</f>
        <v>23</v>
      </c>
      <c r="AY244" s="41">
        <f t="shared" si="2055"/>
        <v>-1</v>
      </c>
      <c r="AZ244" s="41">
        <f t="shared" si="2056"/>
        <v>1</v>
      </c>
      <c r="BA244" s="41">
        <f t="shared" si="2057"/>
        <v>0</v>
      </c>
      <c r="BB244" s="41">
        <f t="shared" si="2058"/>
        <v>21</v>
      </c>
      <c r="BC244" s="41">
        <f t="shared" si="2059"/>
        <v>20</v>
      </c>
      <c r="BD244" s="41">
        <f t="shared" si="2060"/>
        <v>24</v>
      </c>
      <c r="BE244" s="41">
        <f t="shared" si="2061"/>
        <v>43</v>
      </c>
      <c r="BF244" s="41">
        <f t="shared" si="2062"/>
        <v>40</v>
      </c>
      <c r="BG244" s="41">
        <f t="shared" si="2063"/>
        <v>32</v>
      </c>
      <c r="BH244" s="41">
        <f t="shared" si="2064"/>
        <v>42</v>
      </c>
      <c r="BI244" s="42">
        <f t="shared" si="2065"/>
        <v>40</v>
      </c>
      <c r="BJ244" s="41">
        <f t="shared" si="2066"/>
        <v>44</v>
      </c>
      <c r="BK244" s="41">
        <f t="shared" si="2067"/>
        <v>44</v>
      </c>
      <c r="BL244" s="41">
        <f t="shared" si="2068"/>
        <v>44</v>
      </c>
      <c r="BM244" s="41">
        <f t="shared" si="2069"/>
        <v>44</v>
      </c>
      <c r="BN244" s="41">
        <f t="shared" si="2070"/>
        <v>44</v>
      </c>
    </row>
    <row r="245" spans="1:69" ht="12" customHeight="1" outlineLevel="1">
      <c r="A245" s="91" t="s">
        <v>1532</v>
      </c>
      <c r="B245" s="1" t="s">
        <v>1844</v>
      </c>
      <c r="C245" s="21">
        <f t="shared" ref="C245:O245" si="2105">C539+C609</f>
        <v>-50</v>
      </c>
      <c r="D245" s="21">
        <f t="shared" si="2105"/>
        <v>-3</v>
      </c>
      <c r="E245" s="21">
        <f t="shared" si="2105"/>
        <v>12</v>
      </c>
      <c r="F245" s="21">
        <f t="shared" si="2105"/>
        <v>1</v>
      </c>
      <c r="G245" s="21">
        <f t="shared" si="2105"/>
        <v>-15</v>
      </c>
      <c r="H245" s="21">
        <f t="shared" si="2105"/>
        <v>-14</v>
      </c>
      <c r="I245" s="21">
        <f t="shared" si="2105"/>
        <v>-34</v>
      </c>
      <c r="J245" s="21">
        <f t="shared" si="2105"/>
        <v>-23</v>
      </c>
      <c r="K245" s="21">
        <f t="shared" si="2105"/>
        <v>-29</v>
      </c>
      <c r="L245" s="21">
        <f t="shared" si="2105"/>
        <v>-60</v>
      </c>
      <c r="M245" s="21">
        <f t="shared" si="2105"/>
        <v>-48</v>
      </c>
      <c r="N245" s="21">
        <f t="shared" si="2105"/>
        <v>-187</v>
      </c>
      <c r="O245" s="21">
        <f t="shared" si="2105"/>
        <v>-166</v>
      </c>
      <c r="P245" s="21">
        <f>-302-O245</f>
        <v>-136</v>
      </c>
      <c r="Q245" s="21">
        <v>-41</v>
      </c>
      <c r="R245" s="21">
        <v>-88</v>
      </c>
      <c r="S245" s="21">
        <v>-56</v>
      </c>
      <c r="T245" s="21">
        <v>-32</v>
      </c>
      <c r="U245" s="21">
        <v>-18</v>
      </c>
      <c r="V245" s="21">
        <v>-147</v>
      </c>
      <c r="W245" s="21">
        <v>-32</v>
      </c>
      <c r="X245" s="21">
        <v>-211</v>
      </c>
      <c r="Y245" s="21">
        <v>-166</v>
      </c>
      <c r="Z245" s="21">
        <v>-71</v>
      </c>
      <c r="AA245" s="21">
        <v>-58</v>
      </c>
      <c r="AB245" s="21">
        <v>-7</v>
      </c>
      <c r="AC245" s="21">
        <v>-35</v>
      </c>
      <c r="AD245" s="21">
        <v>-22</v>
      </c>
      <c r="AE245" s="21">
        <v>-21</v>
      </c>
      <c r="AF245" s="21">
        <v>32</v>
      </c>
      <c r="AG245" s="21">
        <v>-16</v>
      </c>
      <c r="AH245" s="21">
        <v>-81</v>
      </c>
      <c r="AI245" s="24">
        <v>-68</v>
      </c>
      <c r="AJ245" s="41">
        <v>-60.2</v>
      </c>
      <c r="AK245" s="41">
        <f t="shared" ref="AK245" si="2106">AJ245*AK$23/AJ$23</f>
        <v>-45.370569785561955</v>
      </c>
      <c r="AL245" s="41">
        <f t="shared" ref="AL245" si="2107">AK245*AL$23/AK$23</f>
        <v>-58.66199416470635</v>
      </c>
      <c r="AM245" s="41">
        <f t="shared" ref="AM245" si="2108">AL245*AM$23/AL$23</f>
        <v>-68.244020913078117</v>
      </c>
      <c r="AN245" s="41">
        <f t="shared" ref="AN245" si="2109">AM245*AN$23/AM$23</f>
        <v>-66.576743278839359</v>
      </c>
      <c r="AO245" s="41">
        <f t="shared" ref="AO245" si="2110">AN245*AO$23/AN$23</f>
        <v>-79.571082497757502</v>
      </c>
      <c r="AP245" s="41">
        <f t="shared" ref="AP245" si="2111">AO245*AP$23/AO$23</f>
        <v>-79.747587025292631</v>
      </c>
      <c r="AQ245" s="41">
        <f t="shared" ref="AQ245" si="2112">AP245*AQ$23/AP$23</f>
        <v>-80.308542128300758</v>
      </c>
      <c r="AR245" s="41">
        <f t="shared" ref="AR245" si="2113">AQ245*AR$23/AQ$23</f>
        <v>-80.698120611447493</v>
      </c>
      <c r="AS245" s="8"/>
      <c r="AT245" s="41">
        <f>C245+D245</f>
        <v>-53</v>
      </c>
      <c r="AU245" s="41">
        <f>E245+F245</f>
        <v>13</v>
      </c>
      <c r="AV245" s="41">
        <f>G245+H245</f>
        <v>-29</v>
      </c>
      <c r="AW245" s="41">
        <f>I245+J245</f>
        <v>-57</v>
      </c>
      <c r="AX245" s="41">
        <f>K245+L245</f>
        <v>-89</v>
      </c>
      <c r="AY245" s="41">
        <f t="shared" si="2055"/>
        <v>-235</v>
      </c>
      <c r="AZ245" s="41">
        <f t="shared" si="2056"/>
        <v>-302</v>
      </c>
      <c r="BA245" s="41">
        <f t="shared" si="2057"/>
        <v>-129</v>
      </c>
      <c r="BB245" s="41">
        <f t="shared" si="2058"/>
        <v>-88</v>
      </c>
      <c r="BC245" s="41">
        <f t="shared" si="2059"/>
        <v>-165</v>
      </c>
      <c r="BD245" s="41">
        <f t="shared" si="2060"/>
        <v>-243</v>
      </c>
      <c r="BE245" s="41">
        <f t="shared" si="2061"/>
        <v>-237</v>
      </c>
      <c r="BF245" s="41">
        <f t="shared" si="2062"/>
        <v>-65</v>
      </c>
      <c r="BG245" s="41">
        <f t="shared" si="2063"/>
        <v>-57</v>
      </c>
      <c r="BH245" s="41">
        <f t="shared" si="2064"/>
        <v>11</v>
      </c>
      <c r="BI245" s="42">
        <f t="shared" si="2065"/>
        <v>-97</v>
      </c>
      <c r="BJ245" s="41">
        <f t="shared" si="2066"/>
        <v>-128.19999999999999</v>
      </c>
      <c r="BK245" s="41">
        <f t="shared" si="2067"/>
        <v>-104.0325639502683</v>
      </c>
      <c r="BL245" s="41">
        <f t="shared" si="2068"/>
        <v>-134.82076419191748</v>
      </c>
      <c r="BM245" s="41">
        <f t="shared" si="2069"/>
        <v>-159.31866952305012</v>
      </c>
      <c r="BN245" s="41">
        <f t="shared" si="2070"/>
        <v>-161.00666273974826</v>
      </c>
    </row>
    <row r="246" spans="1:69" ht="12" customHeight="1" outlineLevel="1">
      <c r="A246" s="91" t="s">
        <v>1850</v>
      </c>
      <c r="B246" s="1" t="s">
        <v>1842</v>
      </c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>
        <v>0</v>
      </c>
      <c r="X246" s="21">
        <v>6</v>
      </c>
      <c r="Y246" s="21">
        <v>44</v>
      </c>
      <c r="Z246" s="21">
        <v>28</v>
      </c>
      <c r="AA246" s="21">
        <v>473</v>
      </c>
      <c r="AB246" s="21">
        <v>47</v>
      </c>
      <c r="AC246" s="21">
        <v>-25</v>
      </c>
      <c r="AD246" s="21">
        <v>74</v>
      </c>
      <c r="AE246" s="21">
        <v>38</v>
      </c>
      <c r="AF246" s="21">
        <v>-36</v>
      </c>
      <c r="AG246" s="21">
        <v>42</v>
      </c>
      <c r="AH246" s="21">
        <v>48</v>
      </c>
      <c r="AI246" s="24">
        <v>27</v>
      </c>
      <c r="AJ246" s="58">
        <f t="shared" ref="AJ246:AJ247" si="2114">AJ$237/AI$237*AI246</f>
        <v>33.75</v>
      </c>
      <c r="AK246" s="58">
        <f t="shared" ref="AK246:AK247" si="2115">AK$237/AJ$237*AJ246</f>
        <v>34.424999999999997</v>
      </c>
      <c r="AL246" s="58">
        <f t="shared" ref="AL246:AL247" si="2116">AL$237/AK$237*AK246</f>
        <v>35.113499999999995</v>
      </c>
      <c r="AM246" s="58">
        <f t="shared" ref="AM246:AM247" si="2117">AM$237/AL$237*AL246</f>
        <v>35.815769999999993</v>
      </c>
      <c r="AN246" s="58">
        <f t="shared" ref="AN246:AN247" si="2118">AN$237/AM$237*AM246</f>
        <v>36.532085399999993</v>
      </c>
      <c r="AO246" s="58">
        <f t="shared" ref="AO246:AO247" si="2119">AO$237/AN$237*AN246</f>
        <v>37.262727107999993</v>
      </c>
      <c r="AP246" s="58">
        <f t="shared" ref="AP246:AP247" si="2120">AP$237/AO$237*AO246</f>
        <v>38.007981650159991</v>
      </c>
      <c r="AQ246" s="58">
        <f t="shared" ref="AQ246:AQ247" si="2121">AQ$237/AP$237*AP246</f>
        <v>38.768141283163189</v>
      </c>
      <c r="AR246" s="58">
        <f t="shared" ref="AR246:AR247" si="2122">AR$237/AQ$237*AQ246</f>
        <v>39.543504108826454</v>
      </c>
      <c r="AS246" s="8"/>
      <c r="AT246" s="41">
        <f t="shared" ref="AT246:AT249" si="2123">C246+D246</f>
        <v>0</v>
      </c>
      <c r="AU246" s="41">
        <f t="shared" ref="AU246:AU249" si="2124">E246+F246</f>
        <v>0</v>
      </c>
      <c r="AV246" s="41">
        <f t="shared" ref="AV246:AV249" si="2125">G246+H246</f>
        <v>0</v>
      </c>
      <c r="AW246" s="41">
        <f t="shared" ref="AW246:AW249" si="2126">I246+J246</f>
        <v>0</v>
      </c>
      <c r="AX246" s="41">
        <f t="shared" ref="AX246:AX249" si="2127">K246+L246</f>
        <v>0</v>
      </c>
      <c r="AY246" s="41">
        <f t="shared" ref="AY246:AY249" si="2128">M246+N246</f>
        <v>0</v>
      </c>
      <c r="AZ246" s="41">
        <f t="shared" ref="AZ246:AZ249" si="2129">O246+P246</f>
        <v>0</v>
      </c>
      <c r="BA246" s="41">
        <f t="shared" ref="BA246:BA249" si="2130">Q246+R246</f>
        <v>0</v>
      </c>
      <c r="BB246" s="41">
        <f t="shared" ref="BB246:BB249" si="2131">S246+T246</f>
        <v>0</v>
      </c>
      <c r="BC246" s="41">
        <f t="shared" ref="BC246:BC249" si="2132">U246+V246</f>
        <v>0</v>
      </c>
      <c r="BD246" s="41">
        <f t="shared" ref="BD246:BD249" si="2133">W246+X246</f>
        <v>6</v>
      </c>
      <c r="BE246" s="41">
        <f t="shared" ref="BE246:BE249" si="2134">Y246+Z246</f>
        <v>72</v>
      </c>
      <c r="BF246" s="41">
        <f t="shared" ref="BF246:BF249" si="2135">AA246+AB246</f>
        <v>520</v>
      </c>
      <c r="BG246" s="41">
        <f t="shared" ref="BG246:BG249" si="2136">AC246+AD246</f>
        <v>49</v>
      </c>
      <c r="BH246" s="41">
        <f t="shared" ref="BH246:BH249" si="2137">AE246+AF246</f>
        <v>2</v>
      </c>
      <c r="BI246" s="42">
        <f t="shared" ref="BI246:BI249" si="2138">AG246+AH246</f>
        <v>90</v>
      </c>
      <c r="BJ246" s="41">
        <f t="shared" ref="BJ246:BJ248" si="2139">AI246+AJ246</f>
        <v>60.75</v>
      </c>
      <c r="BK246" s="41">
        <f t="shared" ref="BK246:BK248" si="2140">AK246+AL246</f>
        <v>69.538499999999999</v>
      </c>
      <c r="BL246" s="41">
        <f t="shared" ref="BL246:BL248" si="2141">AM246+AN246</f>
        <v>72.347855399999986</v>
      </c>
      <c r="BM246" s="41">
        <f t="shared" ref="BM246:BM248" si="2142">AO246+AP246</f>
        <v>75.270708758159984</v>
      </c>
      <c r="BN246" s="41">
        <f t="shared" ref="BN246:BN248" si="2143">AQ246+AR246</f>
        <v>78.311645391989643</v>
      </c>
    </row>
    <row r="247" spans="1:69" ht="12" customHeight="1" outlineLevel="1">
      <c r="A247" s="91" t="s">
        <v>1851</v>
      </c>
      <c r="B247" s="1" t="s">
        <v>1838</v>
      </c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>
        <v>0</v>
      </c>
      <c r="X247" s="21">
        <v>0</v>
      </c>
      <c r="Y247" s="21">
        <v>0</v>
      </c>
      <c r="Z247" s="21">
        <v>0</v>
      </c>
      <c r="AA247" s="21">
        <v>0</v>
      </c>
      <c r="AB247" s="21">
        <v>0</v>
      </c>
      <c r="AC247" s="21">
        <v>0</v>
      </c>
      <c r="AD247" s="21">
        <v>0</v>
      </c>
      <c r="AE247" s="21">
        <v>0</v>
      </c>
      <c r="AF247" s="21">
        <v>0</v>
      </c>
      <c r="AG247" s="21">
        <v>0</v>
      </c>
      <c r="AH247" s="21">
        <v>0</v>
      </c>
      <c r="AI247" s="24">
        <v>0</v>
      </c>
      <c r="AJ247" s="58">
        <f t="shared" si="2114"/>
        <v>0</v>
      </c>
      <c r="AK247" s="58">
        <f t="shared" si="2115"/>
        <v>0</v>
      </c>
      <c r="AL247" s="58">
        <f t="shared" si="2116"/>
        <v>0</v>
      </c>
      <c r="AM247" s="58">
        <f t="shared" si="2117"/>
        <v>0</v>
      </c>
      <c r="AN247" s="58">
        <f t="shared" si="2118"/>
        <v>0</v>
      </c>
      <c r="AO247" s="58">
        <f t="shared" si="2119"/>
        <v>0</v>
      </c>
      <c r="AP247" s="58">
        <f t="shared" si="2120"/>
        <v>0</v>
      </c>
      <c r="AQ247" s="58">
        <f t="shared" si="2121"/>
        <v>0</v>
      </c>
      <c r="AR247" s="58">
        <f t="shared" si="2122"/>
        <v>0</v>
      </c>
      <c r="AS247" s="8"/>
      <c r="AT247" s="41">
        <f t="shared" si="2123"/>
        <v>0</v>
      </c>
      <c r="AU247" s="41">
        <f t="shared" si="2124"/>
        <v>0</v>
      </c>
      <c r="AV247" s="41">
        <f t="shared" si="2125"/>
        <v>0</v>
      </c>
      <c r="AW247" s="41">
        <f t="shared" si="2126"/>
        <v>0</v>
      </c>
      <c r="AX247" s="41">
        <f t="shared" si="2127"/>
        <v>0</v>
      </c>
      <c r="AY247" s="41">
        <f t="shared" si="2128"/>
        <v>0</v>
      </c>
      <c r="AZ247" s="41">
        <f t="shared" si="2129"/>
        <v>0</v>
      </c>
      <c r="BA247" s="41">
        <f t="shared" si="2130"/>
        <v>0</v>
      </c>
      <c r="BB247" s="41">
        <f t="shared" si="2131"/>
        <v>0</v>
      </c>
      <c r="BC247" s="41">
        <f t="shared" si="2132"/>
        <v>0</v>
      </c>
      <c r="BD247" s="41">
        <f t="shared" si="2133"/>
        <v>0</v>
      </c>
      <c r="BE247" s="41">
        <f t="shared" si="2134"/>
        <v>0</v>
      </c>
      <c r="BF247" s="41">
        <f t="shared" si="2135"/>
        <v>0</v>
      </c>
      <c r="BG247" s="41">
        <f t="shared" si="2136"/>
        <v>0</v>
      </c>
      <c r="BH247" s="41">
        <f t="shared" si="2137"/>
        <v>0</v>
      </c>
      <c r="BI247" s="42">
        <f t="shared" si="2138"/>
        <v>0</v>
      </c>
      <c r="BJ247" s="41">
        <f t="shared" si="2139"/>
        <v>0</v>
      </c>
      <c r="BK247" s="41">
        <f t="shared" si="2140"/>
        <v>0</v>
      </c>
      <c r="BL247" s="41">
        <f t="shared" si="2141"/>
        <v>0</v>
      </c>
      <c r="BM247" s="41">
        <f t="shared" si="2142"/>
        <v>0</v>
      </c>
      <c r="BN247" s="41">
        <f t="shared" si="2143"/>
        <v>0</v>
      </c>
    </row>
    <row r="248" spans="1:69" ht="12" customHeight="1" outlineLevel="1">
      <c r="A248" s="91" t="s">
        <v>1852</v>
      </c>
      <c r="B248" s="1" t="s">
        <v>1839</v>
      </c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>
        <v>157</v>
      </c>
      <c r="X248" s="21">
        <v>203</v>
      </c>
      <c r="Y248" s="21">
        <v>198</v>
      </c>
      <c r="Z248" s="21">
        <v>185</v>
      </c>
      <c r="AA248" s="21">
        <v>152</v>
      </c>
      <c r="AB248" s="21">
        <v>183</v>
      </c>
      <c r="AC248" s="21">
        <v>174</v>
      </c>
      <c r="AD248" s="21">
        <v>203</v>
      </c>
      <c r="AE248" s="21">
        <v>213</v>
      </c>
      <c r="AF248" s="21">
        <v>218</v>
      </c>
      <c r="AG248" s="21">
        <v>211</v>
      </c>
      <c r="AH248" s="21">
        <v>207</v>
      </c>
      <c r="AI248" s="24">
        <v>216</v>
      </c>
      <c r="AJ248" s="58">
        <f t="shared" ref="AJ248:AR248" si="2144">AI248*1.02</f>
        <v>220.32</v>
      </c>
      <c r="AK248" s="58">
        <f t="shared" si="2144"/>
        <v>224.72639999999998</v>
      </c>
      <c r="AL248" s="58">
        <f t="shared" si="2144"/>
        <v>229.22092799999999</v>
      </c>
      <c r="AM248" s="58">
        <f t="shared" si="2144"/>
        <v>233.80534656</v>
      </c>
      <c r="AN248" s="58">
        <f t="shared" si="2144"/>
        <v>238.4814534912</v>
      </c>
      <c r="AO248" s="58">
        <f t="shared" si="2144"/>
        <v>243.25108256102399</v>
      </c>
      <c r="AP248" s="58">
        <f t="shared" si="2144"/>
        <v>248.11610421224447</v>
      </c>
      <c r="AQ248" s="58">
        <f t="shared" si="2144"/>
        <v>253.07842629648937</v>
      </c>
      <c r="AR248" s="58">
        <f t="shared" si="2144"/>
        <v>258.13999482241917</v>
      </c>
      <c r="AS248" s="8"/>
      <c r="AT248" s="41">
        <f t="shared" si="2123"/>
        <v>0</v>
      </c>
      <c r="AU248" s="41">
        <f t="shared" si="2124"/>
        <v>0</v>
      </c>
      <c r="AV248" s="41">
        <f t="shared" si="2125"/>
        <v>0</v>
      </c>
      <c r="AW248" s="41">
        <f t="shared" si="2126"/>
        <v>0</v>
      </c>
      <c r="AX248" s="41">
        <f t="shared" si="2127"/>
        <v>0</v>
      </c>
      <c r="AY248" s="41">
        <f t="shared" si="2128"/>
        <v>0</v>
      </c>
      <c r="AZ248" s="41">
        <f t="shared" si="2129"/>
        <v>0</v>
      </c>
      <c r="BA248" s="41">
        <f t="shared" si="2130"/>
        <v>0</v>
      </c>
      <c r="BB248" s="41">
        <f t="shared" si="2131"/>
        <v>0</v>
      </c>
      <c r="BC248" s="41">
        <f t="shared" si="2132"/>
        <v>0</v>
      </c>
      <c r="BD248" s="41">
        <f t="shared" si="2133"/>
        <v>360</v>
      </c>
      <c r="BE248" s="41">
        <f t="shared" si="2134"/>
        <v>383</v>
      </c>
      <c r="BF248" s="41">
        <f t="shared" si="2135"/>
        <v>335</v>
      </c>
      <c r="BG248" s="41">
        <f t="shared" si="2136"/>
        <v>377</v>
      </c>
      <c r="BH248" s="41">
        <f t="shared" si="2137"/>
        <v>431</v>
      </c>
      <c r="BI248" s="42">
        <f t="shared" si="2138"/>
        <v>418</v>
      </c>
      <c r="BJ248" s="41">
        <f t="shared" si="2139"/>
        <v>436.32</v>
      </c>
      <c r="BK248" s="41">
        <f t="shared" si="2140"/>
        <v>453.94732799999997</v>
      </c>
      <c r="BL248" s="41">
        <f t="shared" si="2141"/>
        <v>472.28680005119998</v>
      </c>
      <c r="BM248" s="41">
        <f t="shared" si="2142"/>
        <v>491.36718677326849</v>
      </c>
      <c r="BN248" s="41">
        <f t="shared" si="2143"/>
        <v>511.21842111890851</v>
      </c>
    </row>
    <row r="249" spans="1:69" ht="12" customHeight="1" outlineLevel="1">
      <c r="A249" s="91" t="s">
        <v>1533</v>
      </c>
      <c r="B249" s="1" t="s">
        <v>10</v>
      </c>
      <c r="C249" s="19">
        <f t="shared" ref="C249:Q249" si="2145">C250-C230-C243-C238-C244-C245-C242</f>
        <v>64</v>
      </c>
      <c r="D249" s="19">
        <f t="shared" si="2145"/>
        <v>100</v>
      </c>
      <c r="E249" s="19">
        <f t="shared" si="2145"/>
        <v>120</v>
      </c>
      <c r="F249" s="19">
        <f t="shared" si="2145"/>
        <v>208</v>
      </c>
      <c r="G249" s="19">
        <f t="shared" si="2145"/>
        <v>34</v>
      </c>
      <c r="H249" s="19">
        <f t="shared" si="2145"/>
        <v>310</v>
      </c>
      <c r="I249" s="19">
        <f t="shared" si="2145"/>
        <v>-17</v>
      </c>
      <c r="J249" s="19">
        <f t="shared" si="2145"/>
        <v>32</v>
      </c>
      <c r="K249" s="19">
        <f t="shared" si="2145"/>
        <v>-34</v>
      </c>
      <c r="L249" s="19">
        <f t="shared" si="2145"/>
        <v>38</v>
      </c>
      <c r="M249" s="41">
        <f t="shared" si="2145"/>
        <v>2</v>
      </c>
      <c r="N249" s="41">
        <f t="shared" si="2145"/>
        <v>-69</v>
      </c>
      <c r="O249" s="41">
        <f t="shared" si="2145"/>
        <v>12</v>
      </c>
      <c r="P249" s="41">
        <f t="shared" si="2145"/>
        <v>-3</v>
      </c>
      <c r="Q249" s="41">
        <f t="shared" si="2145"/>
        <v>154</v>
      </c>
      <c r="R249" s="41">
        <f t="shared" ref="R249:S249" si="2146">R250-R230-R243-R238-R244-R245-R242</f>
        <v>6</v>
      </c>
      <c r="S249" s="41">
        <f t="shared" si="2146"/>
        <v>29</v>
      </c>
      <c r="T249" s="41">
        <f t="shared" ref="T249" si="2147">T250-T230-T243-T238-T244-T245-T242</f>
        <v>92</v>
      </c>
      <c r="U249" s="41">
        <f t="shared" ref="U249" si="2148">U250-U230-U243-U238-U244-U245-U242-U246-U247-U248</f>
        <v>191</v>
      </c>
      <c r="V249" s="41">
        <f t="shared" ref="V249" si="2149">V250-V230-V243-V238-V244-V245-V242-V246-V247-V248</f>
        <v>226</v>
      </c>
      <c r="W249" s="41">
        <f t="shared" ref="W249" si="2150">W250-W230-W243-W238-W244-W245-W242-W246-W247-W248</f>
        <v>51</v>
      </c>
      <c r="X249" s="41">
        <f t="shared" ref="X249" si="2151">X250-X230-X243-X238-X244-X245-X242-X246-X247-X248</f>
        <v>55</v>
      </c>
      <c r="Y249" s="41">
        <f t="shared" ref="Y249" si="2152">Y250-Y230-Y243-Y238-Y244-Y245-Y242-Y246-Y247-Y248</f>
        <v>47</v>
      </c>
      <c r="Z249" s="41">
        <f t="shared" ref="Z249" si="2153">Z250-Z230-Z243-Z238-Z244-Z245-Z242-Z246-Z247-Z248</f>
        <v>29</v>
      </c>
      <c r="AA249" s="41">
        <f t="shared" ref="AA249" si="2154">AA250-AA230-AA243-AA238-AA244-AA245-AA242-AA246-AA247-AA248</f>
        <v>81</v>
      </c>
      <c r="AB249" s="41">
        <f t="shared" ref="AB249" si="2155">AB250-AB230-AB243-AB238-AB244-AB245-AB242-AB246-AB247-AB248</f>
        <v>29</v>
      </c>
      <c r="AC249" s="41">
        <f t="shared" ref="AC249" si="2156">AC250-AC230-AC243-AC238-AC244-AC245-AC242-AC246-AC247-AC248</f>
        <v>56</v>
      </c>
      <c r="AD249" s="41">
        <f t="shared" ref="AD249" si="2157">AD250-AD230-AD243-AD238-AD244-AD245-AD242-AD246-AD247-AD248</f>
        <v>35</v>
      </c>
      <c r="AE249" s="41">
        <f t="shared" ref="AE249:AF249" si="2158">AE250-AE230-AE243-AE238-AE244-AE245-AE242-AE246-AE247-AE248</f>
        <v>37</v>
      </c>
      <c r="AF249" s="41">
        <f t="shared" si="2158"/>
        <v>57</v>
      </c>
      <c r="AG249" s="41">
        <f>AG250-AG230-AG243-AG238-AG244-AG245-AG242-AG246-AG247-AG248</f>
        <v>92</v>
      </c>
      <c r="AH249" s="41">
        <f>AH250-AH230-AH243-AH238-AH244-AH245-AH242-AH246-AH247-AH248</f>
        <v>56</v>
      </c>
      <c r="AI249" s="42">
        <f>AI250-AI230-AI243-AI238-AI244-AI245-AI242-AI246-AI247-AI248</f>
        <v>47</v>
      </c>
      <c r="AJ249" s="41">
        <f t="shared" ref="AJ249" si="2159">IF(ISERROR(AI249*(1+AJ291)),0,AI249*(1+AJ291))</f>
        <v>48.410000000000004</v>
      </c>
      <c r="AK249" s="41">
        <f t="shared" ref="AK249" si="2160">IF(ISERROR(AJ249*(1+AK291)),0,AJ249*(1+AK291))</f>
        <v>49.862300000000005</v>
      </c>
      <c r="AL249" s="41">
        <f t="shared" ref="AL249" si="2161">IF(ISERROR(AK249*(1+AL291)),0,AK249*(1+AL291))</f>
        <v>51.358169000000004</v>
      </c>
      <c r="AM249" s="41">
        <f t="shared" ref="AM249" si="2162">IF(ISERROR(AL249*(1+AM291)),0,AL249*(1+AM291))</f>
        <v>52.898914070000004</v>
      </c>
      <c r="AN249" s="41">
        <f t="shared" ref="AN249" si="2163">IF(ISERROR(AM249*(1+AN291)),0,AM249*(1+AN291))</f>
        <v>54.485881492100006</v>
      </c>
      <c r="AO249" s="41">
        <f t="shared" ref="AO249" si="2164">IF(ISERROR(AN249*(1+AO291)),0,AN249*(1+AO291))</f>
        <v>56.120457936863005</v>
      </c>
      <c r="AP249" s="41">
        <f t="shared" ref="AP249" si="2165">IF(ISERROR(AO249*(1+AP291)),0,AO249*(1+AP291))</f>
        <v>57.804071674968895</v>
      </c>
      <c r="AQ249" s="41">
        <f t="shared" ref="AQ249" si="2166">IF(ISERROR(AP249*(1+AQ291)),0,AP249*(1+AQ291))</f>
        <v>59.538193825217967</v>
      </c>
      <c r="AR249" s="41">
        <f t="shared" ref="AR249" si="2167">IF(ISERROR(AQ249*(1+AR291)),0,AQ249*(1+AR291))</f>
        <v>61.324339639974504</v>
      </c>
      <c r="AS249" s="8"/>
      <c r="AT249" s="41">
        <f t="shared" si="2123"/>
        <v>164</v>
      </c>
      <c r="AU249" s="41">
        <f t="shared" si="2124"/>
        <v>328</v>
      </c>
      <c r="AV249" s="41">
        <f t="shared" si="2125"/>
        <v>344</v>
      </c>
      <c r="AW249" s="41">
        <f t="shared" si="2126"/>
        <v>15</v>
      </c>
      <c r="AX249" s="41">
        <f t="shared" si="2127"/>
        <v>4</v>
      </c>
      <c r="AY249" s="41">
        <f t="shared" si="2128"/>
        <v>-67</v>
      </c>
      <c r="AZ249" s="41">
        <f t="shared" si="2129"/>
        <v>9</v>
      </c>
      <c r="BA249" s="41">
        <f t="shared" si="2130"/>
        <v>160</v>
      </c>
      <c r="BB249" s="41">
        <f t="shared" si="2131"/>
        <v>121</v>
      </c>
      <c r="BC249" s="41">
        <f t="shared" si="2132"/>
        <v>417</v>
      </c>
      <c r="BD249" s="41">
        <f t="shared" si="2133"/>
        <v>106</v>
      </c>
      <c r="BE249" s="41">
        <f t="shared" si="2134"/>
        <v>76</v>
      </c>
      <c r="BF249" s="41">
        <f t="shared" si="2135"/>
        <v>110</v>
      </c>
      <c r="BG249" s="41">
        <f t="shared" si="2136"/>
        <v>91</v>
      </c>
      <c r="BH249" s="41">
        <f t="shared" si="2137"/>
        <v>94</v>
      </c>
      <c r="BI249" s="42">
        <f t="shared" si="2138"/>
        <v>148</v>
      </c>
      <c r="BJ249" s="41">
        <f t="shared" si="2066"/>
        <v>95.41</v>
      </c>
      <c r="BK249" s="41">
        <f t="shared" si="2067"/>
        <v>101.22046900000001</v>
      </c>
      <c r="BL249" s="41">
        <f t="shared" si="2068"/>
        <v>107.38479556210001</v>
      </c>
      <c r="BM249" s="41">
        <f t="shared" si="2069"/>
        <v>113.9245296118319</v>
      </c>
      <c r="BN249" s="41">
        <f t="shared" si="2070"/>
        <v>120.86253346519247</v>
      </c>
    </row>
    <row r="250" spans="1:69" s="9" customFormat="1" ht="12" customHeight="1" outlineLevel="1">
      <c r="A250" s="91" t="s">
        <v>1534</v>
      </c>
      <c r="B250" s="9" t="s">
        <v>35</v>
      </c>
      <c r="C250" s="22">
        <f t="shared" ref="C250:Q250" si="2168">C541+C611</f>
        <v>1427</v>
      </c>
      <c r="D250" s="22">
        <f t="shared" si="2168"/>
        <v>1494</v>
      </c>
      <c r="E250" s="22">
        <f t="shared" si="2168"/>
        <v>1171</v>
      </c>
      <c r="F250" s="22">
        <f t="shared" si="2168"/>
        <v>1575</v>
      </c>
      <c r="G250" s="22">
        <f t="shared" si="2168"/>
        <v>956</v>
      </c>
      <c r="H250" s="22">
        <f t="shared" si="2168"/>
        <v>1301</v>
      </c>
      <c r="I250" s="22">
        <f t="shared" si="2168"/>
        <v>886</v>
      </c>
      <c r="J250" s="22">
        <f t="shared" si="2168"/>
        <v>1080</v>
      </c>
      <c r="K250" s="22">
        <f t="shared" si="2168"/>
        <v>1089</v>
      </c>
      <c r="L250" s="22">
        <f t="shared" si="2168"/>
        <v>1458</v>
      </c>
      <c r="M250" s="22">
        <f t="shared" si="2168"/>
        <v>1156</v>
      </c>
      <c r="N250" s="22">
        <f t="shared" si="2168"/>
        <v>1593</v>
      </c>
      <c r="O250" s="22">
        <f t="shared" si="2168"/>
        <v>1529</v>
      </c>
      <c r="P250" s="22">
        <f t="shared" si="2168"/>
        <v>1386</v>
      </c>
      <c r="Q250" s="22">
        <f t="shared" si="2168"/>
        <v>1485</v>
      </c>
      <c r="R250" s="22">
        <v>1463</v>
      </c>
      <c r="S250" s="22">
        <v>1321</v>
      </c>
      <c r="T250" s="22">
        <v>1586</v>
      </c>
      <c r="U250" s="22">
        <v>2151</v>
      </c>
      <c r="V250" s="22">
        <v>2283</v>
      </c>
      <c r="W250" s="22">
        <v>2158</v>
      </c>
      <c r="X250" s="22">
        <v>1682</v>
      </c>
      <c r="Y250" s="22">
        <v>2130</v>
      </c>
      <c r="Z250" s="22">
        <v>2548</v>
      </c>
      <c r="AA250" s="22">
        <v>2769</v>
      </c>
      <c r="AB250" s="22">
        <v>3410</v>
      </c>
      <c r="AC250" s="22">
        <v>3239</v>
      </c>
      <c r="AD250" s="22">
        <v>5478</v>
      </c>
      <c r="AE250" s="22">
        <v>2929</v>
      </c>
      <c r="AF250" s="22">
        <v>3393</v>
      </c>
      <c r="AG250" s="22">
        <v>2894</v>
      </c>
      <c r="AH250" s="22">
        <v>3124</v>
      </c>
      <c r="AI250" s="23">
        <v>2883</v>
      </c>
      <c r="AJ250" s="39">
        <f t="shared" ref="AJ250:AR250" si="2169">AJ230+AJ242+AJ243+AJ244+AJ245+AJ249+AJ238+AJ246+AJ247+AJ248</f>
        <v>3769.7049999999999</v>
      </c>
      <c r="AK250" s="39">
        <f t="shared" si="2169"/>
        <v>3393.6867552144377</v>
      </c>
      <c r="AL250" s="39">
        <f t="shared" si="2169"/>
        <v>3674.7400078352935</v>
      </c>
      <c r="AM250" s="39">
        <f t="shared" si="2169"/>
        <v>3563.0958633794216</v>
      </c>
      <c r="AN250" s="39">
        <f t="shared" si="2169"/>
        <v>3935.9528121089606</v>
      </c>
      <c r="AO250" s="39">
        <f t="shared" si="2169"/>
        <v>3711.60871454772</v>
      </c>
      <c r="AP250" s="39">
        <f t="shared" si="2169"/>
        <v>4098.2340353904938</v>
      </c>
      <c r="AQ250" s="39">
        <f t="shared" si="2169"/>
        <v>3911.542679791487</v>
      </c>
      <c r="AR250" s="39">
        <f t="shared" si="2169"/>
        <v>4232.7461280122761</v>
      </c>
      <c r="AS250" s="74"/>
      <c r="AT250" s="39">
        <f t="shared" ref="AT250:BG250" si="2170">AT230+AT242+AT243+AT244+AT245+AT249+AT238+AT246+AT247+AT248</f>
        <v>2921</v>
      </c>
      <c r="AU250" s="39">
        <f t="shared" si="2170"/>
        <v>2746</v>
      </c>
      <c r="AV250" s="39">
        <f t="shared" si="2170"/>
        <v>2257</v>
      </c>
      <c r="AW250" s="39">
        <f t="shared" si="2170"/>
        <v>1966</v>
      </c>
      <c r="AX250" s="39">
        <f t="shared" si="2170"/>
        <v>2547</v>
      </c>
      <c r="AY250" s="39">
        <f t="shared" si="2170"/>
        <v>2749</v>
      </c>
      <c r="AZ250" s="39">
        <f t="shared" si="2170"/>
        <v>2915</v>
      </c>
      <c r="BA250" s="39">
        <f t="shared" si="2170"/>
        <v>2948</v>
      </c>
      <c r="BB250" s="39">
        <f t="shared" si="2170"/>
        <v>2907</v>
      </c>
      <c r="BC250" s="39">
        <f t="shared" si="2170"/>
        <v>4434</v>
      </c>
      <c r="BD250" s="39">
        <f t="shared" si="2170"/>
        <v>3840</v>
      </c>
      <c r="BE250" s="39">
        <f t="shared" si="2170"/>
        <v>4678</v>
      </c>
      <c r="BF250" s="39">
        <f t="shared" si="2170"/>
        <v>6179</v>
      </c>
      <c r="BG250" s="39">
        <f t="shared" si="2170"/>
        <v>8717</v>
      </c>
      <c r="BH250" s="39">
        <f>BH230+BH242+BH243+BH244+BH245+BH249+BH238+BH246+BH247+BH248</f>
        <v>6322</v>
      </c>
      <c r="BI250" s="40">
        <f>BI230+BI242+BI243+BI244+BI245+BI249+BI238+BI246+BI247+BI248</f>
        <v>6018</v>
      </c>
      <c r="BJ250" s="39">
        <f>BJ230+BJ242+BJ243+BJ244+BJ245+BJ249+BJ238+BJ246+BJ247+BJ248</f>
        <v>6652.7049999999999</v>
      </c>
      <c r="BK250" s="39">
        <f t="shared" ref="BK250:BN250" si="2171">BK230+BK242+BK243+BK244+BK245+BK249+BK238+BK246+BK247+BK248</f>
        <v>7068.4267630497316</v>
      </c>
      <c r="BL250" s="39">
        <f t="shared" si="2171"/>
        <v>7499.0486754883823</v>
      </c>
      <c r="BM250" s="39">
        <f t="shared" si="2171"/>
        <v>7809.8427499382133</v>
      </c>
      <c r="BN250" s="39">
        <f t="shared" si="2171"/>
        <v>8144.288807803764</v>
      </c>
    </row>
    <row r="251" spans="1:69" ht="12" customHeight="1" outlineLevel="1">
      <c r="A251" s="91" t="s">
        <v>1535</v>
      </c>
      <c r="B251" s="1" t="s">
        <v>14</v>
      </c>
      <c r="C251" s="21">
        <f t="shared" ref="C251:P251" si="2172">C542+C612</f>
        <v>-224</v>
      </c>
      <c r="D251" s="21">
        <f t="shared" si="2172"/>
        <v>-263</v>
      </c>
      <c r="E251" s="21">
        <f t="shared" si="2172"/>
        <v>-297</v>
      </c>
      <c r="F251" s="21">
        <f t="shared" si="2172"/>
        <v>-386</v>
      </c>
      <c r="G251" s="21">
        <f t="shared" si="2172"/>
        <v>-271</v>
      </c>
      <c r="H251" s="21">
        <f t="shared" si="2172"/>
        <v>-294</v>
      </c>
      <c r="I251" s="21">
        <f t="shared" si="2172"/>
        <v>-232</v>
      </c>
      <c r="J251" s="21">
        <f t="shared" si="2172"/>
        <v>-230</v>
      </c>
      <c r="K251" s="21">
        <f t="shared" si="2172"/>
        <v>-239</v>
      </c>
      <c r="L251" s="21">
        <f t="shared" si="2172"/>
        <v>-265</v>
      </c>
      <c r="M251" s="21">
        <f t="shared" si="2172"/>
        <v>-260</v>
      </c>
      <c r="N251" s="21">
        <f t="shared" si="2172"/>
        <v>-274</v>
      </c>
      <c r="O251" s="21">
        <f t="shared" si="2172"/>
        <v>-293</v>
      </c>
      <c r="P251" s="21">
        <f t="shared" si="2172"/>
        <v>-321</v>
      </c>
      <c r="Q251" s="21">
        <v>-290</v>
      </c>
      <c r="R251" s="21">
        <v>-275</v>
      </c>
      <c r="S251" s="21">
        <v>-278</v>
      </c>
      <c r="T251" s="21">
        <v>-320</v>
      </c>
      <c r="U251" s="21">
        <v>-361</v>
      </c>
      <c r="V251" s="21">
        <v>-420</v>
      </c>
      <c r="W251" s="21">
        <v>-276</v>
      </c>
      <c r="X251" s="21">
        <v>-308</v>
      </c>
      <c r="Y251" s="21">
        <v>-298</v>
      </c>
      <c r="Z251" s="21">
        <v>-284</v>
      </c>
      <c r="AA251" s="21">
        <v>-286</v>
      </c>
      <c r="AB251" s="21">
        <v>-305</v>
      </c>
      <c r="AC251" s="21">
        <v>-336</v>
      </c>
      <c r="AD251" s="21">
        <v>-388</v>
      </c>
      <c r="AE251" s="21">
        <v>-401</v>
      </c>
      <c r="AF251" s="21">
        <v>-410</v>
      </c>
      <c r="AG251" s="21">
        <v>-403</v>
      </c>
      <c r="AH251" s="21">
        <v>-401</v>
      </c>
      <c r="AI251" s="24">
        <v>-438</v>
      </c>
      <c r="AJ251" s="41">
        <f>-AJ292*AVERAGE(AI273:AJ273)/AJ$5/1000000</f>
        <v>-450.99119108397764</v>
      </c>
      <c r="AK251" s="41">
        <f t="shared" ref="AK251" si="2173">-AK292*AVERAGE(AJ273:AK273)/AK$5/1000000</f>
        <v>-464.87391415259532</v>
      </c>
      <c r="AL251" s="41">
        <f t="shared" ref="AL251" si="2174">-AL292*AVERAGE(AK273:AL273)/AL$5/1000000</f>
        <v>-473.96131007116406</v>
      </c>
      <c r="AM251" s="41">
        <f t="shared" ref="AM251" si="2175">-AM292*AVERAGE(AL273:AM273)/AM$5/1000000</f>
        <v>-487.21627613214463</v>
      </c>
      <c r="AN251" s="41">
        <f t="shared" ref="AN251" si="2176">-AN292*AVERAGE(AM273:AN273)/AN$5/1000000</f>
        <v>-499.46976547686796</v>
      </c>
      <c r="AO251" s="41">
        <f t="shared" ref="AO251" si="2177">-AO292*AVERAGE(AN273:AO273)/AO$5/1000000</f>
        <v>-513.43425591444304</v>
      </c>
      <c r="AP251" s="41">
        <f t="shared" ref="AP251" si="2178">-AP292*AVERAGE(AO273:AP273)/AP$5/1000000</f>
        <v>-523.47091363948527</v>
      </c>
      <c r="AQ251" s="41">
        <f t="shared" ref="AQ251" si="2179">-AQ292*AVERAGE(AP273:AQ273)/AQ$5/1000000</f>
        <v>-539.58475770607606</v>
      </c>
      <c r="AR251" s="41">
        <f t="shared" ref="AR251" si="2180">-AR292*AVERAGE(AQ273:AR273)/AR$5/1000000</f>
        <v>-550.13260772652393</v>
      </c>
      <c r="AS251" s="8"/>
      <c r="AT251" s="41">
        <f>C251+D251</f>
        <v>-487</v>
      </c>
      <c r="AU251" s="41">
        <f>E251+F251</f>
        <v>-683</v>
      </c>
      <c r="AV251" s="41">
        <f>G251+H251</f>
        <v>-565</v>
      </c>
      <c r="AW251" s="41">
        <f>I251+J251</f>
        <v>-462</v>
      </c>
      <c r="AX251" s="41">
        <f>K251+L251</f>
        <v>-504</v>
      </c>
      <c r="AY251" s="41">
        <f>M251+N251</f>
        <v>-534</v>
      </c>
      <c r="AZ251" s="41">
        <f>O251+P251</f>
        <v>-614</v>
      </c>
      <c r="BA251" s="41">
        <f>Q251+R251</f>
        <v>-565</v>
      </c>
      <c r="BB251" s="41">
        <f>S251+T251</f>
        <v>-598</v>
      </c>
      <c r="BC251" s="41">
        <f>U251+V251</f>
        <v>-781</v>
      </c>
      <c r="BD251" s="41">
        <f>W251+X251</f>
        <v>-584</v>
      </c>
      <c r="BE251" s="41">
        <f>Y251+Z251</f>
        <v>-582</v>
      </c>
      <c r="BF251" s="41">
        <f>AA251+AB251</f>
        <v>-591</v>
      </c>
      <c r="BG251" s="41">
        <f>AC251+AD251</f>
        <v>-724</v>
      </c>
      <c r="BH251" s="41">
        <f>AE251+AF251</f>
        <v>-811</v>
      </c>
      <c r="BI251" s="42">
        <f>AG251+AH251</f>
        <v>-804</v>
      </c>
      <c r="BJ251" s="41">
        <f>AI251+AJ251</f>
        <v>-888.99119108397758</v>
      </c>
      <c r="BK251" s="41">
        <f>AK251+AL251</f>
        <v>-938.83522422375938</v>
      </c>
      <c r="BL251" s="41">
        <f>AM251+AN251</f>
        <v>-986.68604160901259</v>
      </c>
      <c r="BM251" s="41">
        <f>AO251+AP251</f>
        <v>-1036.9051695539283</v>
      </c>
      <c r="BN251" s="41">
        <f>AQ251+AR251</f>
        <v>-1089.7173654326</v>
      </c>
    </row>
    <row r="252" spans="1:69" ht="12" customHeight="1" outlineLevel="1">
      <c r="A252" s="91" t="s">
        <v>1536</v>
      </c>
      <c r="B252" s="1" t="s">
        <v>21</v>
      </c>
      <c r="C252" s="21">
        <f t="shared" ref="C252:P252" si="2181">C543+C613</f>
        <v>-195</v>
      </c>
      <c r="D252" s="21">
        <f t="shared" si="2181"/>
        <v>-161</v>
      </c>
      <c r="E252" s="21">
        <f t="shared" si="2181"/>
        <v>-197</v>
      </c>
      <c r="F252" s="21">
        <f t="shared" si="2181"/>
        <v>-218</v>
      </c>
      <c r="G252" s="21">
        <f t="shared" si="2181"/>
        <v>-219</v>
      </c>
      <c r="H252" s="21">
        <f t="shared" si="2181"/>
        <v>-173</v>
      </c>
      <c r="I252" s="21">
        <f t="shared" si="2181"/>
        <v>-140</v>
      </c>
      <c r="J252" s="21">
        <f t="shared" si="2181"/>
        <v>-127</v>
      </c>
      <c r="K252" s="21">
        <f t="shared" si="2181"/>
        <v>-190</v>
      </c>
      <c r="L252" s="21">
        <f t="shared" si="2181"/>
        <v>-221</v>
      </c>
      <c r="M252" s="21">
        <f t="shared" si="2181"/>
        <v>-195</v>
      </c>
      <c r="N252" s="21">
        <f t="shared" si="2181"/>
        <v>-221</v>
      </c>
      <c r="O252" s="21">
        <f t="shared" si="2181"/>
        <v>-227</v>
      </c>
      <c r="P252" s="21">
        <f t="shared" si="2181"/>
        <v>-216</v>
      </c>
      <c r="Q252" s="21">
        <v>-205</v>
      </c>
      <c r="R252" s="21">
        <v>-218</v>
      </c>
      <c r="S252" s="21">
        <v>-190</v>
      </c>
      <c r="T252" s="21">
        <v>-208</v>
      </c>
      <c r="U252" s="21">
        <v>-320</v>
      </c>
      <c r="V252" s="21">
        <v>-316</v>
      </c>
      <c r="W252" s="21">
        <v>-218</v>
      </c>
      <c r="X252" s="21">
        <v>-200</v>
      </c>
      <c r="Y252" s="21">
        <v>-216</v>
      </c>
      <c r="Z252" s="21">
        <v>-172</v>
      </c>
      <c r="AA252" s="21">
        <v>-195</v>
      </c>
      <c r="AB252" s="21">
        <v>-194</v>
      </c>
      <c r="AC252" s="21">
        <v>-193</v>
      </c>
      <c r="AD252" s="21">
        <v>-222</v>
      </c>
      <c r="AE252" s="21">
        <v>-222</v>
      </c>
      <c r="AF252" s="21">
        <v>-229</v>
      </c>
      <c r="AG252" s="21">
        <v>-244</v>
      </c>
      <c r="AH252" s="21">
        <v>-237</v>
      </c>
      <c r="AI252" s="24">
        <v>-248</v>
      </c>
      <c r="AJ252" s="41">
        <f>AH252/SUM(AH236,AH242:AH243)*SUM(AJ236,AJ242:AJ243)*0.9</f>
        <v>-255.98883471521268</v>
      </c>
      <c r="AK252" s="41">
        <f t="shared" ref="AK252:AR252" si="2182">AI252/SUM(AI236,AI242:AI243)*SUM(AK236,AK242:AK243)*0.9</f>
        <v>-261.6451389511609</v>
      </c>
      <c r="AL252" s="41">
        <f t="shared" si="2182"/>
        <v>-222.30450598156094</v>
      </c>
      <c r="AM252" s="41">
        <f t="shared" si="2182"/>
        <v>-249.27309721494109</v>
      </c>
      <c r="AN252" s="41">
        <f t="shared" si="2182"/>
        <v>-215.51478971673177</v>
      </c>
      <c r="AO252" s="41">
        <f t="shared" si="2182"/>
        <v>-234.34575229687889</v>
      </c>
      <c r="AP252" s="41">
        <f t="shared" si="2182"/>
        <v>-202.55738384807921</v>
      </c>
      <c r="AQ252" s="41">
        <f t="shared" si="2182"/>
        <v>-222.5094681512422</v>
      </c>
      <c r="AR252" s="41">
        <f t="shared" si="2182"/>
        <v>-187.97032669582671</v>
      </c>
      <c r="AS252" s="8"/>
      <c r="AT252" s="41">
        <f>C252+D252</f>
        <v>-356</v>
      </c>
      <c r="AU252" s="41">
        <f>E252+F252</f>
        <v>-415</v>
      </c>
      <c r="AV252" s="41">
        <f>G252+H252</f>
        <v>-392</v>
      </c>
      <c r="AW252" s="41">
        <f>I252+J252</f>
        <v>-267</v>
      </c>
      <c r="AX252" s="41">
        <f>K252+L252</f>
        <v>-411</v>
      </c>
      <c r="AY252" s="41">
        <f>M252+N252</f>
        <v>-416</v>
      </c>
      <c r="AZ252" s="41">
        <f>O252+P252</f>
        <v>-443</v>
      </c>
      <c r="BA252" s="41">
        <f>Q252+R252</f>
        <v>-423</v>
      </c>
      <c r="BB252" s="41">
        <f>S252+T252</f>
        <v>-398</v>
      </c>
      <c r="BC252" s="41">
        <f>U252+V252</f>
        <v>-636</v>
      </c>
      <c r="BD252" s="41">
        <f>W252+X252</f>
        <v>-418</v>
      </c>
      <c r="BE252" s="41">
        <f>Y252+Z252</f>
        <v>-388</v>
      </c>
      <c r="BF252" s="41">
        <f>AA252+AB252</f>
        <v>-389</v>
      </c>
      <c r="BG252" s="41">
        <f>AC252+AD252</f>
        <v>-415</v>
      </c>
      <c r="BH252" s="41">
        <f>AE252+AF252</f>
        <v>-451</v>
      </c>
      <c r="BI252" s="42">
        <f>AG252+AH252</f>
        <v>-481</v>
      </c>
      <c r="BJ252" s="41">
        <f>AI252+AJ252</f>
        <v>-503.98883471521265</v>
      </c>
      <c r="BK252" s="41">
        <f>AK252+AL252</f>
        <v>-483.94964493272187</v>
      </c>
      <c r="BL252" s="41">
        <f>AM252+AN252</f>
        <v>-464.78788693167286</v>
      </c>
      <c r="BM252" s="41">
        <f>AO252+AP252</f>
        <v>-436.90313614495813</v>
      </c>
      <c r="BN252" s="41">
        <f>AQ252+AR252</f>
        <v>-410.47979484706889</v>
      </c>
    </row>
    <row r="253" spans="1:69" ht="12" customHeight="1" outlineLevel="1">
      <c r="A253" s="91" t="s">
        <v>1537</v>
      </c>
      <c r="B253" s="1" t="s">
        <v>11</v>
      </c>
      <c r="C253" s="21">
        <f t="shared" ref="C253:P253" si="2183">C544+C614</f>
        <v>-321</v>
      </c>
      <c r="D253" s="21">
        <f t="shared" si="2183"/>
        <v>-350</v>
      </c>
      <c r="E253" s="21">
        <f t="shared" si="2183"/>
        <v>-412</v>
      </c>
      <c r="F253" s="21">
        <f t="shared" si="2183"/>
        <v>-477</v>
      </c>
      <c r="G253" s="21">
        <f t="shared" si="2183"/>
        <v>-479</v>
      </c>
      <c r="H253" s="21">
        <f t="shared" si="2183"/>
        <v>-476</v>
      </c>
      <c r="I253" s="21">
        <f t="shared" si="2183"/>
        <v>-359</v>
      </c>
      <c r="J253" s="21">
        <f t="shared" si="2183"/>
        <v>-365</v>
      </c>
      <c r="K253" s="21">
        <f t="shared" si="2183"/>
        <v>-386</v>
      </c>
      <c r="L253" s="21">
        <f t="shared" si="2183"/>
        <v>-413</v>
      </c>
      <c r="M253" s="21">
        <f t="shared" si="2183"/>
        <v>-434</v>
      </c>
      <c r="N253" s="21">
        <f t="shared" si="2183"/>
        <v>-466</v>
      </c>
      <c r="O253" s="21">
        <f t="shared" si="2183"/>
        <v>-487</v>
      </c>
      <c r="P253" s="21">
        <f t="shared" si="2183"/>
        <v>-527</v>
      </c>
      <c r="Q253" s="21">
        <v>-499</v>
      </c>
      <c r="R253" s="21">
        <v>-489</v>
      </c>
      <c r="S253" s="21">
        <v>-475</v>
      </c>
      <c r="T253" s="21">
        <v>-526</v>
      </c>
      <c r="U253" s="21">
        <v>-605</v>
      </c>
      <c r="V253" s="21">
        <v>-667</v>
      </c>
      <c r="W253" s="21">
        <v>-524</v>
      </c>
      <c r="X253" s="21">
        <v>-576</v>
      </c>
      <c r="Y253" s="21">
        <v>-534</v>
      </c>
      <c r="Z253" s="21">
        <v>-573</v>
      </c>
      <c r="AA253" s="21">
        <v>-559</v>
      </c>
      <c r="AB253" s="21">
        <v>-729</v>
      </c>
      <c r="AC253" s="21">
        <v>-714</v>
      </c>
      <c r="AD253" s="21">
        <v>-857</v>
      </c>
      <c r="AE253" s="21">
        <v>-922</v>
      </c>
      <c r="AF253" s="21">
        <v>-924</v>
      </c>
      <c r="AG253" s="21">
        <v>-931</v>
      </c>
      <c r="AH253" s="21">
        <v>-974</v>
      </c>
      <c r="AI253" s="24">
        <v>-1085</v>
      </c>
      <c r="AJ253" s="41">
        <f t="shared" ref="AJ253" si="2184">-AJ295*AVERAGE(AI267:AJ267)/AJ$5</f>
        <v>-1041.5455637622708</v>
      </c>
      <c r="AK253" s="41">
        <f t="shared" ref="AK253" si="2185">-AK295*AVERAGE(AJ267:AK267)/AK$5</f>
        <v>-1080.5538769883444</v>
      </c>
      <c r="AL253" s="41">
        <f t="shared" ref="AL253" si="2186">-AL295*AVERAGE(AK267:AL267)/AL$5</f>
        <v>-1103.0444218773014</v>
      </c>
      <c r="AM253" s="41">
        <f t="shared" ref="AM253" si="2187">-AM295*AVERAGE(AL267:AM267)/AM$5</f>
        <v>-1126.5138710672893</v>
      </c>
      <c r="AN253" s="41">
        <f t="shared" ref="AN253" si="2188">-AN295*AVERAGE(AM267:AN267)/AN$5</f>
        <v>-1139.1621412588474</v>
      </c>
      <c r="AO253" s="41">
        <f t="shared" ref="AO253" si="2189">-AO295*AVERAGE(AN267:AO267)/AO$5</f>
        <v>-1150.4309579390422</v>
      </c>
      <c r="AP253" s="41">
        <f t="shared" ref="AP253" si="2190">-AP295*AVERAGE(AO267:AP267)/AP$5</f>
        <v>-1149.0226192860493</v>
      </c>
      <c r="AQ253" s="41">
        <f t="shared" ref="AQ253" si="2191">-AQ295*AVERAGE(AP267:AQ267)/AQ$5</f>
        <v>-1158.3962931545082</v>
      </c>
      <c r="AR253" s="41">
        <f t="shared" ref="AR253" si="2192">-AR295*AVERAGE(AQ267:AR267)/AR$5</f>
        <v>-1153.8383517957061</v>
      </c>
      <c r="AS253" s="8"/>
      <c r="AT253" s="41">
        <f>C253+D253</f>
        <v>-671</v>
      </c>
      <c r="AU253" s="41">
        <f>E253+F253</f>
        <v>-889</v>
      </c>
      <c r="AV253" s="41">
        <f>G253+H253</f>
        <v>-955</v>
      </c>
      <c r="AW253" s="41">
        <f>I253+J253</f>
        <v>-724</v>
      </c>
      <c r="AX253" s="41">
        <f>K253+L253</f>
        <v>-799</v>
      </c>
      <c r="AY253" s="41">
        <f>M253+N253</f>
        <v>-900</v>
      </c>
      <c r="AZ253" s="41">
        <f>O253+P253</f>
        <v>-1014</v>
      </c>
      <c r="BA253" s="41">
        <f>Q253+R253</f>
        <v>-988</v>
      </c>
      <c r="BB253" s="41">
        <f>S253+T253</f>
        <v>-1001</v>
      </c>
      <c r="BC253" s="41">
        <f>U253+V253</f>
        <v>-1272</v>
      </c>
      <c r="BD253" s="41">
        <f>W253+X253</f>
        <v>-1100</v>
      </c>
      <c r="BE253" s="41">
        <f>Y253+Z253</f>
        <v>-1107</v>
      </c>
      <c r="BF253" s="41">
        <f>AA253+AB253</f>
        <v>-1288</v>
      </c>
      <c r="BG253" s="41">
        <f>AC253+AD253</f>
        <v>-1571</v>
      </c>
      <c r="BH253" s="41">
        <f>AE253+AF253</f>
        <v>-1846</v>
      </c>
      <c r="BI253" s="42">
        <f>AG253+AH253</f>
        <v>-1905</v>
      </c>
      <c r="BJ253" s="41">
        <f>AI253+AJ253</f>
        <v>-2126.5455637622708</v>
      </c>
      <c r="BK253" s="41">
        <f>AK253+AL253</f>
        <v>-2183.598298865646</v>
      </c>
      <c r="BL253" s="41">
        <f>AM253+AN253</f>
        <v>-2265.6760123261365</v>
      </c>
      <c r="BM253" s="41">
        <f>AO253+AP253</f>
        <v>-2299.4535772250915</v>
      </c>
      <c r="BN253" s="41">
        <f>AQ253+AR253</f>
        <v>-2312.2346449502143</v>
      </c>
    </row>
    <row r="254" spans="1:69" s="9" customFormat="1" ht="12" customHeight="1" outlineLevel="1">
      <c r="A254" s="91" t="s">
        <v>1538</v>
      </c>
      <c r="B254" s="9" t="s">
        <v>52</v>
      </c>
      <c r="C254" s="17">
        <f t="shared" ref="C254:H254" si="2193">C250+C251+C252+C253</f>
        <v>687</v>
      </c>
      <c r="D254" s="17">
        <f t="shared" si="2193"/>
        <v>720</v>
      </c>
      <c r="E254" s="17">
        <f t="shared" si="2193"/>
        <v>265</v>
      </c>
      <c r="F254" s="17">
        <f t="shared" si="2193"/>
        <v>494</v>
      </c>
      <c r="G254" s="17">
        <f t="shared" si="2193"/>
        <v>-13</v>
      </c>
      <c r="H254" s="17">
        <f t="shared" si="2193"/>
        <v>358</v>
      </c>
      <c r="I254" s="17">
        <f>I250+I251+I252+I253</f>
        <v>155</v>
      </c>
      <c r="J254" s="17">
        <f>J250+J251+J252+J253</f>
        <v>358</v>
      </c>
      <c r="K254" s="17">
        <f>K250+K251+K252+K253</f>
        <v>274</v>
      </c>
      <c r="L254" s="17">
        <f t="shared" ref="L254:Q254" si="2194">L250+L251+L252+L253</f>
        <v>559</v>
      </c>
      <c r="M254" s="39">
        <f t="shared" si="2194"/>
        <v>267</v>
      </c>
      <c r="N254" s="39">
        <f t="shared" si="2194"/>
        <v>632</v>
      </c>
      <c r="O254" s="39">
        <f t="shared" si="2194"/>
        <v>522</v>
      </c>
      <c r="P254" s="39">
        <f t="shared" si="2194"/>
        <v>322</v>
      </c>
      <c r="Q254" s="39">
        <f t="shared" si="2194"/>
        <v>491</v>
      </c>
      <c r="R254" s="39">
        <f t="shared" ref="R254:S254" si="2195">R250+R251+R252+R253</f>
        <v>481</v>
      </c>
      <c r="S254" s="39">
        <f t="shared" si="2195"/>
        <v>378</v>
      </c>
      <c r="T254" s="39">
        <f t="shared" ref="T254:U254" si="2196">T250+T251+T252+T253</f>
        <v>532</v>
      </c>
      <c r="U254" s="39">
        <f t="shared" si="2196"/>
        <v>865</v>
      </c>
      <c r="V254" s="39">
        <f t="shared" ref="V254:W254" si="2197">V250+V251+V252+V253</f>
        <v>880</v>
      </c>
      <c r="W254" s="39">
        <f t="shared" si="2197"/>
        <v>1140</v>
      </c>
      <c r="X254" s="39">
        <f t="shared" ref="X254:Y254" si="2198">X250+X251+X252+X253</f>
        <v>598</v>
      </c>
      <c r="Y254" s="39">
        <f t="shared" si="2198"/>
        <v>1082</v>
      </c>
      <c r="Z254" s="39">
        <f t="shared" ref="Z254:AA254" si="2199">Z250+Z251+Z252+Z253</f>
        <v>1519</v>
      </c>
      <c r="AA254" s="39">
        <f t="shared" si="2199"/>
        <v>1729</v>
      </c>
      <c r="AB254" s="39">
        <f t="shared" ref="AB254:AC254" si="2200">AB250+AB251+AB252+AB253</f>
        <v>2182</v>
      </c>
      <c r="AC254" s="39">
        <f t="shared" si="2200"/>
        <v>1996</v>
      </c>
      <c r="AD254" s="39">
        <f t="shared" ref="AD254:AE254" si="2201">AD250+AD251+AD252+AD253</f>
        <v>4011</v>
      </c>
      <c r="AE254" s="39">
        <f t="shared" si="2201"/>
        <v>1384</v>
      </c>
      <c r="AF254" s="39">
        <f t="shared" ref="AF254:AG254" si="2202">AF250+AF251+AF252+AF253</f>
        <v>1830</v>
      </c>
      <c r="AG254" s="39">
        <f t="shared" si="2202"/>
        <v>1316</v>
      </c>
      <c r="AH254" s="39">
        <f t="shared" ref="AH254" si="2203">AH250+AH251+AH252+AH253</f>
        <v>1512</v>
      </c>
      <c r="AI254" s="40">
        <f t="shared" ref="AI254:AJ254" si="2204">AI250+AI251+AI252+AI253</f>
        <v>1112</v>
      </c>
      <c r="AJ254" s="39">
        <f t="shared" si="2204"/>
        <v>2021.1794104385385</v>
      </c>
      <c r="AK254" s="39">
        <f t="shared" ref="AK254:AL254" si="2205">AK250+AK251+AK252+AK253</f>
        <v>1586.6138251223372</v>
      </c>
      <c r="AL254" s="39">
        <f t="shared" si="2205"/>
        <v>1875.4297699052672</v>
      </c>
      <c r="AM254" s="39">
        <f t="shared" ref="AM254:AN254" si="2206">AM250+AM251+AM252+AM253</f>
        <v>1700.0926189650465</v>
      </c>
      <c r="AN254" s="39">
        <f t="shared" si="2206"/>
        <v>2081.8061156565136</v>
      </c>
      <c r="AO254" s="39">
        <f t="shared" ref="AO254:AP254" si="2207">AO250+AO251+AO252+AO253</f>
        <v>1813.3977483973561</v>
      </c>
      <c r="AP254" s="39">
        <f t="shared" si="2207"/>
        <v>2223.1831186168802</v>
      </c>
      <c r="AQ254" s="39">
        <f t="shared" ref="AQ254:AR254" si="2208">AQ250+AQ251+AQ252+AQ253</f>
        <v>1991.0521607796607</v>
      </c>
      <c r="AR254" s="39">
        <f t="shared" si="2208"/>
        <v>2340.8048417942191</v>
      </c>
      <c r="AS254" s="74"/>
      <c r="AT254" s="39">
        <f t="shared" ref="AT254:BC254" si="2209">AT250+AT251+AT252+AT253</f>
        <v>1407</v>
      </c>
      <c r="AU254" s="39">
        <f t="shared" si="2209"/>
        <v>759</v>
      </c>
      <c r="AV254" s="39">
        <f t="shared" si="2209"/>
        <v>345</v>
      </c>
      <c r="AW254" s="39">
        <f t="shared" si="2209"/>
        <v>513</v>
      </c>
      <c r="AX254" s="39">
        <f t="shared" si="2209"/>
        <v>833</v>
      </c>
      <c r="AY254" s="39">
        <f t="shared" si="2209"/>
        <v>899</v>
      </c>
      <c r="AZ254" s="39">
        <f t="shared" si="2209"/>
        <v>844</v>
      </c>
      <c r="BA254" s="39">
        <f t="shared" si="2209"/>
        <v>972</v>
      </c>
      <c r="BB254" s="39">
        <f t="shared" si="2209"/>
        <v>910</v>
      </c>
      <c r="BC254" s="39">
        <f t="shared" si="2209"/>
        <v>1745</v>
      </c>
      <c r="BD254" s="39">
        <f t="shared" ref="BD254:BI254" si="2210">BD250+BD251+BD252+BD253</f>
        <v>1738</v>
      </c>
      <c r="BE254" s="39">
        <f t="shared" si="2210"/>
        <v>2601</v>
      </c>
      <c r="BF254" s="39">
        <f t="shared" si="2210"/>
        <v>3911</v>
      </c>
      <c r="BG254" s="39">
        <f t="shared" si="2210"/>
        <v>6007</v>
      </c>
      <c r="BH254" s="39">
        <f t="shared" si="2210"/>
        <v>3214</v>
      </c>
      <c r="BI254" s="40">
        <f t="shared" si="2210"/>
        <v>2828</v>
      </c>
      <c r="BJ254" s="39">
        <f t="shared" ref="BJ254:BK254" si="2211">BJ250+BJ251+BJ252+BJ253</f>
        <v>3133.179410438539</v>
      </c>
      <c r="BK254" s="39">
        <f t="shared" si="2211"/>
        <v>3462.0435950276042</v>
      </c>
      <c r="BL254" s="39">
        <f t="shared" ref="BL254:BM254" si="2212">BL250+BL251+BL252+BL253</f>
        <v>3781.8987346215599</v>
      </c>
      <c r="BM254" s="39">
        <f t="shared" si="2212"/>
        <v>4036.5808670142355</v>
      </c>
      <c r="BN254" s="39">
        <f>BN250+BN251+BN252+BN253</f>
        <v>4331.8570025738809</v>
      </c>
    </row>
    <row r="255" spans="1:69" ht="12" customHeight="1" outlineLevel="1">
      <c r="A255" s="91" t="s">
        <v>1539</v>
      </c>
      <c r="B255" s="1" t="s">
        <v>16</v>
      </c>
      <c r="C255" s="21">
        <f t="shared" ref="C255:Q255" si="2213">C546+C616</f>
        <v>0</v>
      </c>
      <c r="D255" s="21">
        <f t="shared" si="2213"/>
        <v>0</v>
      </c>
      <c r="E255" s="21">
        <f t="shared" si="2213"/>
        <v>0</v>
      </c>
      <c r="F255" s="21">
        <f t="shared" si="2213"/>
        <v>0</v>
      </c>
      <c r="G255" s="21">
        <f t="shared" si="2213"/>
        <v>0</v>
      </c>
      <c r="H255" s="21">
        <f t="shared" si="2213"/>
        <v>0</v>
      </c>
      <c r="I255" s="21">
        <f t="shared" si="2213"/>
        <v>0</v>
      </c>
      <c r="J255" s="21">
        <f t="shared" si="2213"/>
        <v>0</v>
      </c>
      <c r="K255" s="21">
        <f t="shared" si="2213"/>
        <v>0</v>
      </c>
      <c r="L255" s="21">
        <f t="shared" si="2213"/>
        <v>0</v>
      </c>
      <c r="M255" s="21">
        <f t="shared" si="2213"/>
        <v>0</v>
      </c>
      <c r="N255" s="21">
        <f t="shared" si="2213"/>
        <v>0</v>
      </c>
      <c r="O255" s="21">
        <f t="shared" si="2213"/>
        <v>0</v>
      </c>
      <c r="P255" s="21">
        <f t="shared" si="2213"/>
        <v>0</v>
      </c>
      <c r="Q255" s="21">
        <f t="shared" si="2213"/>
        <v>-1</v>
      </c>
      <c r="R255" s="21">
        <f t="shared" ref="R255:S255" si="2214">R546+R616</f>
        <v>0</v>
      </c>
      <c r="S255" s="21">
        <f t="shared" si="2214"/>
        <v>0</v>
      </c>
      <c r="T255" s="21">
        <f t="shared" ref="T255" si="2215">T546+T616</f>
        <v>0</v>
      </c>
      <c r="U255" s="21">
        <v>-1</v>
      </c>
      <c r="V255" s="21">
        <v>-1</v>
      </c>
      <c r="W255" s="21">
        <v>0</v>
      </c>
      <c r="X255" s="21">
        <v>0</v>
      </c>
      <c r="Y255" s="21">
        <v>0</v>
      </c>
      <c r="Z255" s="21">
        <v>0</v>
      </c>
      <c r="AA255" s="21">
        <v>0</v>
      </c>
      <c r="AB255" s="21">
        <v>0</v>
      </c>
      <c r="AC255" s="21">
        <v>0</v>
      </c>
      <c r="AD255" s="21">
        <v>0</v>
      </c>
      <c r="AE255" s="21">
        <v>-1</v>
      </c>
      <c r="AF255" s="21">
        <v>0</v>
      </c>
      <c r="AG255" s="21">
        <v>0</v>
      </c>
      <c r="AH255" s="21">
        <v>1</v>
      </c>
      <c r="AI255" s="24">
        <v>1</v>
      </c>
      <c r="AJ255" s="58">
        <f t="shared" ref="AJ255" si="2216">AI255</f>
        <v>1</v>
      </c>
      <c r="AK255" s="58">
        <f t="shared" ref="AK255" si="2217">AJ255</f>
        <v>1</v>
      </c>
      <c r="AL255" s="58">
        <f t="shared" ref="AL255" si="2218">AK255</f>
        <v>1</v>
      </c>
      <c r="AM255" s="58">
        <f t="shared" ref="AM255" si="2219">AL255</f>
        <v>1</v>
      </c>
      <c r="AN255" s="58">
        <f t="shared" ref="AN255" si="2220">AM255</f>
        <v>1</v>
      </c>
      <c r="AO255" s="58">
        <f t="shared" ref="AO255" si="2221">AN255</f>
        <v>1</v>
      </c>
      <c r="AP255" s="58">
        <f t="shared" ref="AP255" si="2222">AO255</f>
        <v>1</v>
      </c>
      <c r="AQ255" s="58">
        <f t="shared" ref="AQ255" si="2223">AP255</f>
        <v>1</v>
      </c>
      <c r="AR255" s="58">
        <f t="shared" ref="AR255" si="2224">AQ255</f>
        <v>1</v>
      </c>
      <c r="AS255" s="8"/>
      <c r="AT255" s="41">
        <f>C255+D255</f>
        <v>0</v>
      </c>
      <c r="AU255" s="41">
        <f>E255+F255</f>
        <v>0</v>
      </c>
      <c r="AV255" s="41">
        <f>G255+H255</f>
        <v>0</v>
      </c>
      <c r="AW255" s="41">
        <f>I255+J255</f>
        <v>0</v>
      </c>
      <c r="AX255" s="41">
        <f>K255+L255</f>
        <v>0</v>
      </c>
      <c r="AY255" s="41">
        <f>M255+N255</f>
        <v>0</v>
      </c>
      <c r="AZ255" s="41">
        <f>O255+P255</f>
        <v>0</v>
      </c>
      <c r="BA255" s="41">
        <f>Q255+R255</f>
        <v>-1</v>
      </c>
      <c r="BB255" s="41">
        <f>S255+T255</f>
        <v>0</v>
      </c>
      <c r="BC255" s="41">
        <f>U255+V255</f>
        <v>-2</v>
      </c>
      <c r="BD255" s="41">
        <f>W255+X255</f>
        <v>0</v>
      </c>
      <c r="BE255" s="41">
        <f>Y255+Z255</f>
        <v>0</v>
      </c>
      <c r="BF255" s="41">
        <f>AA255+AB255</f>
        <v>0</v>
      </c>
      <c r="BG255" s="41">
        <f>AC255+AD255</f>
        <v>0</v>
      </c>
      <c r="BH255" s="41">
        <f>AE255+AF255</f>
        <v>-1</v>
      </c>
      <c r="BI255" s="42">
        <f>AG255+AH255</f>
        <v>1</v>
      </c>
      <c r="BJ255" s="41">
        <f>AI255+AJ255</f>
        <v>2</v>
      </c>
      <c r="BK255" s="41">
        <f>AK255+AL255</f>
        <v>2</v>
      </c>
      <c r="BL255" s="41">
        <f>AM255+AN255</f>
        <v>2</v>
      </c>
      <c r="BM255" s="41">
        <f>AO255+AP255</f>
        <v>2</v>
      </c>
      <c r="BN255" s="41">
        <f>AQ255+AR255</f>
        <v>2</v>
      </c>
    </row>
    <row r="256" spans="1:69" s="9" customFormat="1" ht="12" customHeight="1" outlineLevel="1">
      <c r="A256" s="91" t="s">
        <v>1540</v>
      </c>
      <c r="B256" s="16" t="s">
        <v>51</v>
      </c>
      <c r="C256" s="17">
        <f t="shared" ref="C256:H256" si="2225">C254+C255</f>
        <v>687</v>
      </c>
      <c r="D256" s="17">
        <f t="shared" si="2225"/>
        <v>720</v>
      </c>
      <c r="E256" s="17">
        <f t="shared" si="2225"/>
        <v>265</v>
      </c>
      <c r="F256" s="17">
        <f t="shared" si="2225"/>
        <v>494</v>
      </c>
      <c r="G256" s="17">
        <f t="shared" si="2225"/>
        <v>-13</v>
      </c>
      <c r="H256" s="17">
        <f t="shared" si="2225"/>
        <v>358</v>
      </c>
      <c r="I256" s="17">
        <f>I254+I255</f>
        <v>155</v>
      </c>
      <c r="J256" s="17">
        <f>J254+J255</f>
        <v>358</v>
      </c>
      <c r="K256" s="17">
        <f>K254+K255</f>
        <v>274</v>
      </c>
      <c r="L256" s="17">
        <f t="shared" ref="L256:Q256" si="2226">L254+L255</f>
        <v>559</v>
      </c>
      <c r="M256" s="63">
        <f t="shared" si="2226"/>
        <v>267</v>
      </c>
      <c r="N256" s="63">
        <f t="shared" si="2226"/>
        <v>632</v>
      </c>
      <c r="O256" s="63">
        <f t="shared" si="2226"/>
        <v>522</v>
      </c>
      <c r="P256" s="63">
        <f t="shared" si="2226"/>
        <v>322</v>
      </c>
      <c r="Q256" s="63">
        <f t="shared" si="2226"/>
        <v>490</v>
      </c>
      <c r="R256" s="63">
        <f t="shared" ref="R256:S256" si="2227">R254+R255</f>
        <v>481</v>
      </c>
      <c r="S256" s="63">
        <f t="shared" si="2227"/>
        <v>378</v>
      </c>
      <c r="T256" s="63">
        <f t="shared" ref="T256:U256" si="2228">T254+T255</f>
        <v>532</v>
      </c>
      <c r="U256" s="63">
        <f t="shared" si="2228"/>
        <v>864</v>
      </c>
      <c r="V256" s="63">
        <f t="shared" ref="V256:W256" si="2229">V254+V255</f>
        <v>879</v>
      </c>
      <c r="W256" s="63">
        <f t="shared" si="2229"/>
        <v>1140</v>
      </c>
      <c r="X256" s="63">
        <f t="shared" ref="X256:Y256" si="2230">X254+X255</f>
        <v>598</v>
      </c>
      <c r="Y256" s="63">
        <f t="shared" si="2230"/>
        <v>1082</v>
      </c>
      <c r="Z256" s="63">
        <f t="shared" ref="Z256:AA256" si="2231">Z254+Z255</f>
        <v>1519</v>
      </c>
      <c r="AA256" s="63">
        <f t="shared" si="2231"/>
        <v>1729</v>
      </c>
      <c r="AB256" s="63">
        <f t="shared" ref="AB256:AC256" si="2232">AB254+AB255</f>
        <v>2182</v>
      </c>
      <c r="AC256" s="63">
        <f t="shared" si="2232"/>
        <v>1996</v>
      </c>
      <c r="AD256" s="63">
        <f t="shared" ref="AD256:AE256" si="2233">AD254+AD255</f>
        <v>4011</v>
      </c>
      <c r="AE256" s="63">
        <f t="shared" si="2233"/>
        <v>1383</v>
      </c>
      <c r="AF256" s="63">
        <f t="shared" ref="AF256:AG256" si="2234">AF254+AF255</f>
        <v>1830</v>
      </c>
      <c r="AG256" s="63">
        <f t="shared" si="2234"/>
        <v>1316</v>
      </c>
      <c r="AH256" s="63">
        <f t="shared" ref="AH256" si="2235">AH254+AH255</f>
        <v>1513</v>
      </c>
      <c r="AI256" s="64">
        <f t="shared" ref="AI256:AJ256" si="2236">AI254+AI255</f>
        <v>1113</v>
      </c>
      <c r="AJ256" s="63">
        <f t="shared" si="2236"/>
        <v>2022.1794104385385</v>
      </c>
      <c r="AK256" s="63">
        <f t="shared" ref="AK256:AL256" si="2237">AK254+AK255</f>
        <v>1587.6138251223372</v>
      </c>
      <c r="AL256" s="63">
        <f t="shared" si="2237"/>
        <v>1876.4297699052672</v>
      </c>
      <c r="AM256" s="63">
        <f t="shared" ref="AM256:AN256" si="2238">AM254+AM255</f>
        <v>1701.0926189650465</v>
      </c>
      <c r="AN256" s="63">
        <f t="shared" si="2238"/>
        <v>2082.8061156565136</v>
      </c>
      <c r="AO256" s="63">
        <f t="shared" ref="AO256:AP256" si="2239">AO254+AO255</f>
        <v>1814.3977483973561</v>
      </c>
      <c r="AP256" s="63">
        <f t="shared" si="2239"/>
        <v>2224.1831186168802</v>
      </c>
      <c r="AQ256" s="63">
        <f t="shared" ref="AQ256:AR256" si="2240">AQ254+AQ255</f>
        <v>1992.0521607796607</v>
      </c>
      <c r="AR256" s="63">
        <f t="shared" si="2240"/>
        <v>2341.8048417942191</v>
      </c>
      <c r="AS256" s="75"/>
      <c r="AT256" s="63">
        <f t="shared" ref="AT256:BC256" si="2241">AT254+AT255</f>
        <v>1407</v>
      </c>
      <c r="AU256" s="63">
        <f t="shared" si="2241"/>
        <v>759</v>
      </c>
      <c r="AV256" s="63">
        <f t="shared" si="2241"/>
        <v>345</v>
      </c>
      <c r="AW256" s="63">
        <f t="shared" si="2241"/>
        <v>513</v>
      </c>
      <c r="AX256" s="63">
        <f t="shared" si="2241"/>
        <v>833</v>
      </c>
      <c r="AY256" s="63">
        <f t="shared" si="2241"/>
        <v>899</v>
      </c>
      <c r="AZ256" s="63">
        <f t="shared" si="2241"/>
        <v>844</v>
      </c>
      <c r="BA256" s="63">
        <f t="shared" si="2241"/>
        <v>971</v>
      </c>
      <c r="BB256" s="63">
        <f t="shared" si="2241"/>
        <v>910</v>
      </c>
      <c r="BC256" s="63">
        <f t="shared" si="2241"/>
        <v>1743</v>
      </c>
      <c r="BD256" s="63">
        <f t="shared" ref="BD256:BI256" si="2242">BD254+BD255</f>
        <v>1738</v>
      </c>
      <c r="BE256" s="63">
        <f t="shared" si="2242"/>
        <v>2601</v>
      </c>
      <c r="BF256" s="63">
        <f t="shared" si="2242"/>
        <v>3911</v>
      </c>
      <c r="BG256" s="63">
        <f t="shared" si="2242"/>
        <v>6007</v>
      </c>
      <c r="BH256" s="63">
        <f t="shared" si="2242"/>
        <v>3213</v>
      </c>
      <c r="BI256" s="64">
        <f t="shared" si="2242"/>
        <v>2829</v>
      </c>
      <c r="BJ256" s="63">
        <f t="shared" ref="BJ256:BK256" si="2243">BJ254+BJ255</f>
        <v>3135.179410438539</v>
      </c>
      <c r="BK256" s="63">
        <f t="shared" si="2243"/>
        <v>3464.0435950276042</v>
      </c>
      <c r="BL256" s="63">
        <f t="shared" ref="BL256:BM256" si="2244">BL254+BL255</f>
        <v>3783.8987346215599</v>
      </c>
      <c r="BM256" s="63">
        <f t="shared" si="2244"/>
        <v>4038.5808670142355</v>
      </c>
      <c r="BN256" s="63">
        <f>BN254+BN255</f>
        <v>4333.8570025738809</v>
      </c>
    </row>
    <row r="257" spans="1:66" ht="12" customHeight="1" outlineLevel="1">
      <c r="B257" s="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39"/>
      <c r="N257" s="41"/>
      <c r="O257" s="41"/>
      <c r="P257" s="41">
        <f>(O256+P256)</f>
        <v>844</v>
      </c>
      <c r="Q257" s="41"/>
      <c r="R257" s="41">
        <f>(Q256+R256)</f>
        <v>971</v>
      </c>
      <c r="S257" s="41"/>
      <c r="T257" s="41">
        <f>(S256+T256)</f>
        <v>910</v>
      </c>
      <c r="U257" s="41"/>
      <c r="V257" s="41">
        <f>(U256+V256)</f>
        <v>1743</v>
      </c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2"/>
      <c r="AJ257" s="41"/>
      <c r="AK257" s="41"/>
      <c r="AL257" s="41"/>
      <c r="AM257" s="41"/>
      <c r="AN257" s="41"/>
      <c r="AO257" s="41"/>
      <c r="AP257" s="41"/>
      <c r="AQ257" s="41"/>
      <c r="AR257" s="41"/>
      <c r="AS257" s="74"/>
      <c r="AT257" s="39"/>
      <c r="AU257" s="39"/>
      <c r="AV257" s="39"/>
      <c r="AW257" s="39"/>
      <c r="AX257" s="39"/>
      <c r="AY257" s="44"/>
      <c r="AZ257" s="44"/>
      <c r="BA257" s="270"/>
      <c r="BB257" s="39"/>
      <c r="BC257" s="39"/>
      <c r="BD257" s="39"/>
      <c r="BE257" s="39"/>
      <c r="BF257" s="39"/>
      <c r="BG257" s="39"/>
      <c r="BH257" s="39"/>
      <c r="BJ257" s="39"/>
      <c r="BK257" s="39"/>
      <c r="BL257" s="39"/>
      <c r="BM257" s="39"/>
      <c r="BN257" s="39"/>
    </row>
    <row r="258" spans="1:66" s="9" customFormat="1" ht="12" customHeight="1" outlineLevel="1">
      <c r="A258" s="91"/>
      <c r="B258" s="9" t="s">
        <v>50</v>
      </c>
      <c r="C258" s="17"/>
      <c r="D258" s="17"/>
      <c r="E258" s="17"/>
      <c r="F258" s="17"/>
      <c r="G258" s="17"/>
      <c r="H258" s="272"/>
      <c r="I258" s="272"/>
      <c r="J258" s="272"/>
      <c r="K258" s="272"/>
      <c r="L258" s="272"/>
      <c r="M258" s="39"/>
      <c r="N258" s="39"/>
      <c r="O258" s="39"/>
      <c r="P258" s="44"/>
      <c r="Q258" s="44"/>
      <c r="R258" s="44">
        <f>R257/P257-1</f>
        <v>0.15047393364928907</v>
      </c>
      <c r="S258" s="44"/>
      <c r="T258" s="44">
        <f>T257/R257-1</f>
        <v>-6.2821833161688989E-2</v>
      </c>
      <c r="U258" s="44"/>
      <c r="V258" s="44">
        <f>V257/T257-1</f>
        <v>0.91538461538461546</v>
      </c>
      <c r="W258" s="44"/>
      <c r="X258" s="44"/>
      <c r="Y258" s="44"/>
      <c r="Z258" s="44"/>
      <c r="AA258" s="44"/>
      <c r="AB258" s="44"/>
      <c r="AC258" s="21"/>
      <c r="AD258" s="516"/>
      <c r="AE258" s="21"/>
      <c r="AF258" s="516"/>
      <c r="AG258" s="21"/>
      <c r="AH258" s="559"/>
      <c r="AI258" s="517"/>
      <c r="AJ258" s="516"/>
      <c r="AK258" s="21"/>
      <c r="AL258" s="516"/>
      <c r="AM258" s="21"/>
      <c r="AN258" s="516"/>
      <c r="AO258" s="21"/>
      <c r="AP258" s="516"/>
      <c r="AQ258" s="21"/>
      <c r="AR258" s="516"/>
      <c r="AS258" s="74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40"/>
      <c r="BJ258" s="39"/>
      <c r="BK258" s="39"/>
      <c r="BL258" s="39"/>
      <c r="BM258" s="39"/>
      <c r="BN258" s="39"/>
    </row>
    <row r="259" spans="1:66" ht="12" customHeight="1" outlineLevel="1">
      <c r="A259" s="91" t="str">
        <f>LEFT(A256,3)&amp;"_CapEarnings"</f>
        <v>CGM_CapEarnings</v>
      </c>
      <c r="B259" s="1" t="s">
        <v>53</v>
      </c>
      <c r="C259" s="21">
        <f t="shared" ref="C259:P259" si="2245">C550+C620</f>
        <v>-467</v>
      </c>
      <c r="D259" s="21">
        <f t="shared" si="2245"/>
        <v>-308</v>
      </c>
      <c r="E259" s="21">
        <f t="shared" si="2245"/>
        <v>-306</v>
      </c>
      <c r="F259" s="21">
        <f t="shared" si="2245"/>
        <v>-333</v>
      </c>
      <c r="G259" s="21">
        <f t="shared" si="2245"/>
        <v>-205</v>
      </c>
      <c r="H259" s="21">
        <f t="shared" si="2245"/>
        <v>42</v>
      </c>
      <c r="I259" s="21">
        <f t="shared" si="2245"/>
        <v>42</v>
      </c>
      <c r="J259" s="21">
        <f t="shared" si="2245"/>
        <v>24</v>
      </c>
      <c r="K259" s="21">
        <f t="shared" si="2245"/>
        <v>-5</v>
      </c>
      <c r="L259" s="21">
        <f t="shared" si="2245"/>
        <v>-13</v>
      </c>
      <c r="M259" s="21">
        <f t="shared" si="2245"/>
        <v>6</v>
      </c>
      <c r="N259" s="21">
        <f t="shared" si="2245"/>
        <v>14</v>
      </c>
      <c r="O259" s="21">
        <f t="shared" si="2245"/>
        <v>4</v>
      </c>
      <c r="P259" s="21">
        <f t="shared" si="2245"/>
        <v>-1</v>
      </c>
      <c r="Q259" s="21">
        <v>-8</v>
      </c>
      <c r="R259" s="21">
        <v>9</v>
      </c>
      <c r="S259" s="21">
        <v>-7</v>
      </c>
      <c r="T259" s="21">
        <v>-5</v>
      </c>
      <c r="U259" s="21">
        <v>-5</v>
      </c>
      <c r="V259" s="21">
        <v>9</v>
      </c>
      <c r="W259" s="21">
        <v>-2</v>
      </c>
      <c r="X259" s="21">
        <v>-13</v>
      </c>
      <c r="Y259" s="21">
        <v>-1</v>
      </c>
      <c r="Z259" s="21">
        <v>6</v>
      </c>
      <c r="AA259" s="21">
        <v>-34</v>
      </c>
      <c r="AB259" s="21">
        <f>-5-AA259</f>
        <v>29</v>
      </c>
      <c r="AC259" s="21">
        <v>1</v>
      </c>
      <c r="AD259" s="21">
        <v>-30</v>
      </c>
      <c r="AE259" s="21">
        <v>1</v>
      </c>
      <c r="AF259" s="21">
        <v>-20</v>
      </c>
      <c r="AG259" s="21">
        <v>5</v>
      </c>
      <c r="AH259" s="21">
        <v>6</v>
      </c>
      <c r="AI259" s="24">
        <v>2</v>
      </c>
      <c r="AJ259" s="41">
        <f t="shared" ref="AJ259" si="2246">AI259*AJ$480/AI$480</f>
        <v>2</v>
      </c>
      <c r="AK259" s="41">
        <f t="shared" ref="AK259" si="2247">AJ259*AK$480/AJ$480</f>
        <v>2</v>
      </c>
      <c r="AL259" s="41">
        <f t="shared" ref="AL259" si="2248">AK259*AL$480/AK$480</f>
        <v>2</v>
      </c>
      <c r="AM259" s="41">
        <f t="shared" ref="AM259" si="2249">AL259*AM$480/AL$480</f>
        <v>2</v>
      </c>
      <c r="AN259" s="41">
        <f t="shared" ref="AN259" si="2250">AM259*AN$480/AM$480</f>
        <v>2</v>
      </c>
      <c r="AO259" s="41">
        <f t="shared" ref="AO259" si="2251">AN259*AO$480/AN$480</f>
        <v>2</v>
      </c>
      <c r="AP259" s="41">
        <f t="shared" ref="AP259" si="2252">AO259*AP$480/AO$480</f>
        <v>2</v>
      </c>
      <c r="AQ259" s="41">
        <f t="shared" ref="AQ259" si="2253">AP259*AQ$480/AP$480</f>
        <v>2</v>
      </c>
      <c r="AR259" s="41">
        <f t="shared" ref="AR259" si="2254">AQ259*AR$480/AQ$480</f>
        <v>2</v>
      </c>
      <c r="AS259" s="8"/>
      <c r="AT259" s="41">
        <f>C259+D259</f>
        <v>-775</v>
      </c>
      <c r="AU259" s="41">
        <f>E259+F259</f>
        <v>-639</v>
      </c>
      <c r="AV259" s="41">
        <f>G259+H259</f>
        <v>-163</v>
      </c>
      <c r="AW259" s="41">
        <f>I259+J259</f>
        <v>66</v>
      </c>
      <c r="AX259" s="41">
        <f>K259+L259</f>
        <v>-18</v>
      </c>
      <c r="AY259" s="41">
        <f>M259+N259</f>
        <v>20</v>
      </c>
      <c r="AZ259" s="41">
        <f>O259+P259</f>
        <v>3</v>
      </c>
      <c r="BA259" s="41">
        <f>Q259+R259</f>
        <v>1</v>
      </c>
      <c r="BB259" s="41">
        <f>S259+T259</f>
        <v>-12</v>
      </c>
      <c r="BC259" s="41">
        <f>U259+V259</f>
        <v>4</v>
      </c>
      <c r="BD259" s="41">
        <f>W259+X259</f>
        <v>-15</v>
      </c>
      <c r="BE259" s="41">
        <f>Y259+Z259</f>
        <v>5</v>
      </c>
      <c r="BF259" s="41">
        <f>AA259+AB259</f>
        <v>-5</v>
      </c>
      <c r="BG259" s="41">
        <f>AC259+AD259</f>
        <v>-29</v>
      </c>
      <c r="BH259" s="41">
        <f>AE259+AF259</f>
        <v>-19</v>
      </c>
      <c r="BI259" s="42">
        <f>AG259+AH259</f>
        <v>11</v>
      </c>
      <c r="BJ259" s="41">
        <f>AI259+AJ259</f>
        <v>4</v>
      </c>
      <c r="BK259" s="41">
        <f>AK259+AL259</f>
        <v>4</v>
      </c>
      <c r="BL259" s="41">
        <f>AM259+AN259</f>
        <v>4</v>
      </c>
      <c r="BM259" s="41">
        <f>AO259+AP259</f>
        <v>4</v>
      </c>
      <c r="BN259" s="41">
        <f>AQ259+AR259</f>
        <v>4</v>
      </c>
    </row>
    <row r="260" spans="1:66" ht="12" customHeight="1" outlineLevel="1">
      <c r="A260" s="91" t="str">
        <f>LEFT(A256,3)&amp;"_CenCosts"</f>
        <v>CGM_CenCosts</v>
      </c>
      <c r="B260" s="1" t="s">
        <v>12</v>
      </c>
      <c r="C260" s="19">
        <f t="shared" ref="C260:AB260" si="2255">C$472*(C250)/(C$28-C$469)</f>
        <v>51.519452225334575</v>
      </c>
      <c r="D260" s="19">
        <f t="shared" si="2255"/>
        <v>55.629901269393514</v>
      </c>
      <c r="E260" s="19">
        <f t="shared" si="2255"/>
        <v>90.487982963188315</v>
      </c>
      <c r="F260" s="19">
        <f t="shared" si="2255"/>
        <v>119.65478841870824</v>
      </c>
      <c r="G260" s="19">
        <f t="shared" si="2255"/>
        <v>94.74405680765669</v>
      </c>
      <c r="H260" s="19">
        <f t="shared" si="2255"/>
        <v>109.73620152844607</v>
      </c>
      <c r="I260" s="19">
        <f t="shared" si="2255"/>
        <v>83.767272727272726</v>
      </c>
      <c r="J260" s="19">
        <f t="shared" si="2255"/>
        <v>100.10973144672249</v>
      </c>
      <c r="K260" s="19">
        <f t="shared" si="2255"/>
        <v>88.31358981455854</v>
      </c>
      <c r="L260" s="19">
        <f t="shared" si="2255"/>
        <v>118.20684736091299</v>
      </c>
      <c r="M260" s="41">
        <f t="shared" si="2255"/>
        <v>86.70692547328062</v>
      </c>
      <c r="N260" s="41">
        <f t="shared" si="2255"/>
        <v>102.25877632898695</v>
      </c>
      <c r="O260" s="41">
        <f t="shared" si="2255"/>
        <v>98.134575569358176</v>
      </c>
      <c r="P260" s="41">
        <f t="shared" si="2255"/>
        <v>132.22690159003008</v>
      </c>
      <c r="Q260" s="41">
        <f t="shared" si="2255"/>
        <v>96.159275740371342</v>
      </c>
      <c r="R260" s="41">
        <f t="shared" si="2255"/>
        <v>88.330254041570441</v>
      </c>
      <c r="S260" s="41">
        <f t="shared" si="2255"/>
        <v>76.312331375972065</v>
      </c>
      <c r="T260" s="41">
        <f t="shared" si="2255"/>
        <v>92.628944174757279</v>
      </c>
      <c r="U260" s="41">
        <f t="shared" si="2255"/>
        <v>165.46153846153845</v>
      </c>
      <c r="V260" s="41">
        <f t="shared" si="2255"/>
        <v>82.581495892779941</v>
      </c>
      <c r="W260" s="41">
        <f t="shared" si="2255"/>
        <v>185.09093845905346</v>
      </c>
      <c r="X260" s="41">
        <f t="shared" si="2255"/>
        <v>122.55422499578344</v>
      </c>
      <c r="Y260" s="41">
        <f t="shared" si="2255"/>
        <v>189.14461761507792</v>
      </c>
      <c r="Z260" s="41">
        <f t="shared" si="2255"/>
        <v>184.94715909090908</v>
      </c>
      <c r="AA260" s="41">
        <f t="shared" si="2255"/>
        <v>192.27162584679522</v>
      </c>
      <c r="AB260" s="41">
        <f t="shared" si="2255"/>
        <v>231.192423144602</v>
      </c>
      <c r="AC260" s="41">
        <v>0</v>
      </c>
      <c r="AD260" s="41">
        <v>0</v>
      </c>
      <c r="AE260" s="41">
        <v>0</v>
      </c>
      <c r="AF260" s="41">
        <v>0</v>
      </c>
      <c r="AG260" s="41">
        <v>0</v>
      </c>
      <c r="AH260" s="41">
        <v>0</v>
      </c>
      <c r="AI260" s="42">
        <v>0</v>
      </c>
      <c r="AJ260" s="41">
        <f>AI260</f>
        <v>0</v>
      </c>
      <c r="AK260" s="41">
        <f t="shared" ref="AK260:AR260" si="2256">AJ260</f>
        <v>0</v>
      </c>
      <c r="AL260" s="41">
        <f t="shared" si="2256"/>
        <v>0</v>
      </c>
      <c r="AM260" s="41">
        <f t="shared" si="2256"/>
        <v>0</v>
      </c>
      <c r="AN260" s="41">
        <f t="shared" si="2256"/>
        <v>0</v>
      </c>
      <c r="AO260" s="41">
        <f t="shared" si="2256"/>
        <v>0</v>
      </c>
      <c r="AP260" s="41">
        <f t="shared" si="2256"/>
        <v>0</v>
      </c>
      <c r="AQ260" s="41">
        <f t="shared" si="2256"/>
        <v>0</v>
      </c>
      <c r="AR260" s="41">
        <f t="shared" si="2256"/>
        <v>0</v>
      </c>
      <c r="AS260" s="8"/>
      <c r="AT260" s="41"/>
      <c r="AU260" s="41"/>
      <c r="AV260" s="41">
        <f>G260+H260</f>
        <v>204.48025833610276</v>
      </c>
      <c r="AW260" s="41">
        <f>I260+J260</f>
        <v>183.8770041739952</v>
      </c>
      <c r="AX260" s="41">
        <f>K260+L260</f>
        <v>206.52043717547153</v>
      </c>
      <c r="AY260" s="41">
        <f>M260+N260</f>
        <v>188.96570180226757</v>
      </c>
      <c r="AZ260" s="41">
        <f>O260+P260</f>
        <v>230.36147715938824</v>
      </c>
      <c r="BA260" s="41">
        <f>Q260+R260</f>
        <v>184.48952978194177</v>
      </c>
      <c r="BB260" s="41">
        <f>S260+T260</f>
        <v>168.94127555072936</v>
      </c>
      <c r="BC260" s="41">
        <f>U260+V260</f>
        <v>248.04303435431839</v>
      </c>
      <c r="BD260" s="41">
        <f>W260+X260</f>
        <v>307.6451634548369</v>
      </c>
      <c r="BE260" s="41">
        <f>Y260+Z260</f>
        <v>374.091776705987</v>
      </c>
      <c r="BF260" s="41">
        <f>AA260+AB260</f>
        <v>423.46404899139725</v>
      </c>
      <c r="BG260" s="41">
        <f>AC260+AD260</f>
        <v>0</v>
      </c>
      <c r="BH260" s="41">
        <f>AE260+AF260</f>
        <v>0</v>
      </c>
      <c r="BI260" s="42">
        <f>AG260+AH260</f>
        <v>0</v>
      </c>
      <c r="BJ260" s="41">
        <f>AI260+AJ260</f>
        <v>0</v>
      </c>
      <c r="BK260" s="41">
        <f>AK260+AL260</f>
        <v>0</v>
      </c>
      <c r="BL260" s="41">
        <f>AM260+AN260</f>
        <v>0</v>
      </c>
      <c r="BM260" s="41">
        <f>AO260+AP260</f>
        <v>0</v>
      </c>
      <c r="BN260" s="41">
        <f>AQ260+AR260</f>
        <v>0</v>
      </c>
    </row>
    <row r="261" spans="1:66" ht="12" customHeight="1" outlineLevel="1">
      <c r="A261" s="91" t="str">
        <f>LEFT(A256,3)&amp;"_ProfitShare"</f>
        <v>CGM_ProfitShare</v>
      </c>
      <c r="B261" s="1" t="s">
        <v>13</v>
      </c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>
        <f>'[2]MQG - Divisional ROE Reco'!F255</f>
        <v>-692.63648124191468</v>
      </c>
      <c r="AD261" s="19">
        <f>'[2]MQG - Divisional ROE Reco'!F228</f>
        <v>-980.62110821681063</v>
      </c>
      <c r="AE261" s="19">
        <f>'[2]MQG - Divisional ROE Reco'!F173</f>
        <v>-474.79301252471987</v>
      </c>
      <c r="AF261" s="19">
        <f>'[2]MQG - Divisional ROE Reco'!F146</f>
        <v>-449.90867308876523</v>
      </c>
      <c r="AG261" s="19">
        <f>'[2]MQG - Divisional ROE Reco'!F91</f>
        <v>-348.09459459459458</v>
      </c>
      <c r="AH261" s="19">
        <f>'[2]MQG - Divisional ROE Reco'!F64</f>
        <v>-554.26437976438001</v>
      </c>
      <c r="AI261" s="20">
        <f>'[2]MQG - Divisional ROE Reco'!$F$9</f>
        <v>-257.36619718309885</v>
      </c>
      <c r="AJ261" s="41">
        <f t="shared" ref="AJ261" si="2257">AH261/AH250*AJ250</f>
        <v>-668.82624959016709</v>
      </c>
      <c r="AK261" s="41">
        <f>AJ261/AJ250*AK250*1.05</f>
        <v>-632.21820381504403</v>
      </c>
      <c r="AL261" s="41">
        <f>AK261/AK250*AL250*1.05</f>
        <v>-718.8051165461253</v>
      </c>
      <c r="AM261" s="41">
        <f t="shared" ref="AM261:AR261" si="2258">AL261/AL250*AM250</f>
        <v>-696.9667328519904</v>
      </c>
      <c r="AN261" s="41">
        <f t="shared" si="2258"/>
        <v>-769.90018716851728</v>
      </c>
      <c r="AO261" s="41">
        <f t="shared" si="2258"/>
        <v>-726.01689614653901</v>
      </c>
      <c r="AP261" s="41">
        <f t="shared" si="2258"/>
        <v>-801.64354135559222</v>
      </c>
      <c r="AQ261" s="41">
        <f t="shared" si="2258"/>
        <v>-765.12539277001395</v>
      </c>
      <c r="AR261" s="41">
        <f t="shared" si="2258"/>
        <v>-827.95505732888694</v>
      </c>
      <c r="AS261" s="8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>
        <f t="shared" ref="BF261:BF263" si="2259">AA261+AB261</f>
        <v>0</v>
      </c>
      <c r="BG261" s="41">
        <f t="shared" ref="BG261:BG263" si="2260">AC261+AD261</f>
        <v>-1673.2575894587253</v>
      </c>
      <c r="BH261" s="41">
        <f t="shared" ref="BH261:BH263" si="2261">AE261+AF261</f>
        <v>-924.7016856134851</v>
      </c>
      <c r="BI261" s="42">
        <f t="shared" ref="BI261:BI263" si="2262">AG261+AH261</f>
        <v>-902.35897435897459</v>
      </c>
      <c r="BJ261" s="41">
        <f t="shared" ref="BJ261:BJ263" si="2263">AI261+AJ261</f>
        <v>-926.19244677326594</v>
      </c>
      <c r="BK261" s="41">
        <f t="shared" ref="BK261:BK263" si="2264">AK261+AL261</f>
        <v>-1351.0233203611692</v>
      </c>
      <c r="BL261" s="41">
        <f t="shared" ref="BL261:BL263" si="2265">AM261+AN261</f>
        <v>-1466.8669200205077</v>
      </c>
      <c r="BM261" s="41">
        <f t="shared" ref="BM261:BM263" si="2266">AO261+AP261</f>
        <v>-1527.6604375021311</v>
      </c>
      <c r="BN261" s="41">
        <f t="shared" ref="BN261:BN263" si="2267">AQ261+AR261</f>
        <v>-1593.0804500989009</v>
      </c>
    </row>
    <row r="262" spans="1:66" ht="12" customHeight="1" outlineLevel="1">
      <c r="A262" s="91" t="str">
        <f>LEFT(A256,3)&amp;"_Tax"</f>
        <v>CGM_Tax</v>
      </c>
      <c r="B262" s="1" t="s">
        <v>15</v>
      </c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33"/>
      <c r="AC262" s="19">
        <f>'[2]MQG - Divisional ROE Reco'!F262</f>
        <v>-295.86351875808538</v>
      </c>
      <c r="AD262" s="19">
        <f>'[2]MQG - Divisional ROE Reco'!F235</f>
        <v>-683.12889178318846</v>
      </c>
      <c r="AE262" s="19">
        <f>'[2]MQG - Divisional ROE Reco'!F180</f>
        <v>-219.33198747528016</v>
      </c>
      <c r="AF262" s="19">
        <f>'[2]MQG - Divisional ROE Reco'!F153</f>
        <v>-317.966326911235</v>
      </c>
      <c r="AG262" s="19">
        <f>'[2]MQG - Divisional ROE Reco'!F98</f>
        <v>-251.65540540540542</v>
      </c>
      <c r="AH262" s="19">
        <f>'[2]MQG - Divisional ROE Reco'!F71</f>
        <v>-171.98562023562022</v>
      </c>
      <c r="AI262" s="20">
        <f>'[2]MQG - Divisional ROE Reco'!$F$16</f>
        <v>-248.13380281690141</v>
      </c>
      <c r="AJ262" s="41">
        <f t="shared" ref="AJ262:AR262" si="2268">-SUM(AJ256,AJ261)*AJ300</f>
        <v>-242.7752530036816</v>
      </c>
      <c r="AK262" s="41">
        <f t="shared" si="2268"/>
        <v>-171.3864646653563</v>
      </c>
      <c r="AL262" s="41">
        <f t="shared" si="2268"/>
        <v>-207.66391673137912</v>
      </c>
      <c r="AM262" s="41">
        <f t="shared" si="2268"/>
        <v>-180.12808711055706</v>
      </c>
      <c r="AN262" s="41">
        <f t="shared" si="2268"/>
        <v>-235.51950679222475</v>
      </c>
      <c r="AO262" s="41">
        <f t="shared" si="2268"/>
        <v>-195.24241300320801</v>
      </c>
      <c r="AP262" s="41">
        <f t="shared" si="2268"/>
        <v>-255.18646260881863</v>
      </c>
      <c r="AQ262" s="41">
        <f t="shared" si="2268"/>
        <v>-220.09588120650514</v>
      </c>
      <c r="AR262" s="41">
        <f t="shared" si="2268"/>
        <v>-271.56641375319259</v>
      </c>
      <c r="AS262" s="8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>
        <f t="shared" si="2259"/>
        <v>0</v>
      </c>
      <c r="BG262" s="41">
        <f t="shared" si="2260"/>
        <v>-978.99241054127378</v>
      </c>
      <c r="BH262" s="41">
        <f t="shared" si="2261"/>
        <v>-537.29831438651513</v>
      </c>
      <c r="BI262" s="42">
        <f t="shared" si="2262"/>
        <v>-423.64102564102564</v>
      </c>
      <c r="BJ262" s="41">
        <f t="shared" si="2263"/>
        <v>-490.90905582058303</v>
      </c>
      <c r="BK262" s="41">
        <f t="shared" si="2264"/>
        <v>-379.05038139673542</v>
      </c>
      <c r="BL262" s="41">
        <f t="shared" si="2265"/>
        <v>-415.64759390278181</v>
      </c>
      <c r="BM262" s="41">
        <f t="shared" si="2266"/>
        <v>-450.42887561202667</v>
      </c>
      <c r="BN262" s="41">
        <f t="shared" si="2267"/>
        <v>-491.66229495969776</v>
      </c>
    </row>
    <row r="263" spans="1:66" s="9" customFormat="1" ht="12" customHeight="1" outlineLevel="1">
      <c r="A263" s="91" t="str">
        <f>LEFT(A256,3)&amp;"_CE"</f>
        <v>CGM_CE</v>
      </c>
      <c r="B263" s="9" t="s">
        <v>54</v>
      </c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>
        <f t="shared" ref="AC263:AH263" si="2269">SUM(AC256,AC261,AC262)</f>
        <v>1007.5</v>
      </c>
      <c r="AD263" s="17">
        <f t="shared" si="2269"/>
        <v>2347.2500000000009</v>
      </c>
      <c r="AE263" s="17">
        <f t="shared" si="2269"/>
        <v>688.875</v>
      </c>
      <c r="AF263" s="17">
        <f t="shared" si="2269"/>
        <v>1062.1249999999998</v>
      </c>
      <c r="AG263" s="17">
        <f t="shared" si="2269"/>
        <v>716.25</v>
      </c>
      <c r="AH263" s="17">
        <f t="shared" si="2269"/>
        <v>786.74999999999977</v>
      </c>
      <c r="AI263" s="18">
        <f t="shared" ref="AI263" si="2270">SUM(AI256,AI261,AI262)</f>
        <v>607.49999999999977</v>
      </c>
      <c r="AJ263" s="17">
        <f t="shared" ref="AJ263" si="2271">SUM(AJ256,AJ261,AJ262)</f>
        <v>1110.5779078446897</v>
      </c>
      <c r="AK263" s="17">
        <f t="shared" ref="AK263" si="2272">SUM(AK256,AK261,AK262)</f>
        <v>784.0091566419369</v>
      </c>
      <c r="AL263" s="17">
        <f t="shared" ref="AL263" si="2273">SUM(AL256,AL261,AL262)</f>
        <v>949.96073662776291</v>
      </c>
      <c r="AM263" s="17">
        <f t="shared" ref="AM263" si="2274">SUM(AM256,AM261,AM262)</f>
        <v>823.99779900249905</v>
      </c>
      <c r="AN263" s="17">
        <f t="shared" ref="AN263" si="2275">SUM(AN256,AN261,AN262)</f>
        <v>1077.3864216957716</v>
      </c>
      <c r="AO263" s="17">
        <f t="shared" ref="AO263" si="2276">SUM(AO256,AO261,AO262)</f>
        <v>893.13843924760909</v>
      </c>
      <c r="AP263" s="17">
        <f t="shared" ref="AP263" si="2277">SUM(AP256,AP261,AP262)</f>
        <v>1167.3531146524692</v>
      </c>
      <c r="AQ263" s="17">
        <f t="shared" ref="AQ263" si="2278">SUM(AQ256,AQ261,AQ262)</f>
        <v>1006.8308868031417</v>
      </c>
      <c r="AR263" s="17">
        <f t="shared" ref="AR263" si="2279">SUM(AR256,AR261,AR262)</f>
        <v>1242.2833707121395</v>
      </c>
      <c r="AS263" s="74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41">
        <f t="shared" si="2259"/>
        <v>0</v>
      </c>
      <c r="BG263" s="39">
        <f t="shared" si="2260"/>
        <v>3354.7500000000009</v>
      </c>
      <c r="BH263" s="39">
        <f t="shared" si="2261"/>
        <v>1750.9999999999998</v>
      </c>
      <c r="BI263" s="40">
        <f t="shared" si="2262"/>
        <v>1502.9999999999998</v>
      </c>
      <c r="BJ263" s="39">
        <f t="shared" si="2263"/>
        <v>1718.0779078446894</v>
      </c>
      <c r="BK263" s="39">
        <f t="shared" si="2264"/>
        <v>1733.9698932696997</v>
      </c>
      <c r="BL263" s="39">
        <f t="shared" si="2265"/>
        <v>1901.3842206982706</v>
      </c>
      <c r="BM263" s="39">
        <f t="shared" si="2266"/>
        <v>2060.4915539000785</v>
      </c>
      <c r="BN263" s="39">
        <f t="shared" si="2267"/>
        <v>2249.1142575152812</v>
      </c>
    </row>
    <row r="264" spans="1:66" ht="12" customHeight="1" outlineLevel="1">
      <c r="C264" s="41"/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2"/>
      <c r="AJ264" s="41"/>
      <c r="AK264" s="41"/>
      <c r="AL264" s="41"/>
      <c r="AM264" s="41"/>
      <c r="AN264" s="41"/>
      <c r="AO264" s="41"/>
      <c r="AP264" s="41"/>
      <c r="AQ264" s="41"/>
      <c r="AR264" s="41"/>
      <c r="AS264" s="8"/>
      <c r="AT264" s="8"/>
      <c r="AU264" s="8"/>
      <c r="AV264" s="8"/>
      <c r="AW264" s="8"/>
      <c r="AX264" s="8"/>
      <c r="AY264" s="44"/>
      <c r="AZ264" s="44"/>
      <c r="BA264" s="8"/>
      <c r="BB264" s="8"/>
      <c r="BC264" s="8"/>
      <c r="BD264" s="8"/>
      <c r="BE264" s="8"/>
      <c r="BF264" s="8"/>
      <c r="BG264" s="8"/>
      <c r="BH264" s="8"/>
      <c r="BI264" s="43"/>
      <c r="BJ264" s="8"/>
      <c r="BK264" s="8"/>
      <c r="BL264" s="8"/>
      <c r="BM264" s="8"/>
      <c r="BN264" s="8"/>
    </row>
    <row r="265" spans="1:66" ht="12" customHeight="1" outlineLevel="1">
      <c r="B265" s="9" t="s">
        <v>41</v>
      </c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2"/>
      <c r="AJ265" s="270"/>
      <c r="AL265" s="270"/>
      <c r="AM265" s="41"/>
      <c r="AN265" s="41"/>
      <c r="AO265" s="41"/>
      <c r="AP265" s="41"/>
      <c r="AQ265" s="41"/>
      <c r="AR265" s="41"/>
      <c r="AS265" s="8"/>
      <c r="AT265" s="8"/>
      <c r="AU265" s="8"/>
      <c r="AV265" s="8"/>
      <c r="AW265" s="8"/>
      <c r="AX265" s="41"/>
      <c r="AY265" s="41"/>
      <c r="AZ265" s="41"/>
      <c r="BA265" s="41"/>
      <c r="BB265" s="41"/>
      <c r="BC265" s="41"/>
      <c r="BD265" s="41"/>
      <c r="BE265" s="8"/>
      <c r="BF265" s="8"/>
      <c r="BG265" s="8"/>
      <c r="BH265" s="8"/>
      <c r="BI265" s="49"/>
      <c r="BJ265" s="50"/>
      <c r="BK265" s="50"/>
      <c r="BL265" s="50"/>
      <c r="BM265" s="50"/>
      <c r="BN265" s="50"/>
    </row>
    <row r="266" spans="1:66" ht="12" customHeight="1" outlineLevel="1">
      <c r="B266" s="1" t="s">
        <v>42</v>
      </c>
      <c r="C266" s="21">
        <f t="shared" ref="C266:Q266" si="2280">C557+C627</f>
        <v>0</v>
      </c>
      <c r="D266" s="21">
        <f t="shared" si="2280"/>
        <v>0</v>
      </c>
      <c r="E266" s="21">
        <f t="shared" si="2280"/>
        <v>0</v>
      </c>
      <c r="F266" s="21">
        <f t="shared" si="2280"/>
        <v>0</v>
      </c>
      <c r="G266" s="21">
        <f t="shared" si="2280"/>
        <v>0</v>
      </c>
      <c r="H266" s="21">
        <f t="shared" si="2280"/>
        <v>0</v>
      </c>
      <c r="I266" s="21">
        <f t="shared" si="2280"/>
        <v>0</v>
      </c>
      <c r="J266" s="21">
        <f t="shared" si="2280"/>
        <v>0</v>
      </c>
      <c r="K266" s="21">
        <f t="shared" si="2280"/>
        <v>0</v>
      </c>
      <c r="L266" s="21">
        <f t="shared" si="2280"/>
        <v>0</v>
      </c>
      <c r="M266" s="21">
        <f t="shared" si="2280"/>
        <v>0</v>
      </c>
      <c r="N266" s="21">
        <f t="shared" si="2280"/>
        <v>0</v>
      </c>
      <c r="O266" s="21">
        <f t="shared" si="2280"/>
        <v>0</v>
      </c>
      <c r="P266" s="21">
        <f t="shared" si="2280"/>
        <v>0</v>
      </c>
      <c r="Q266" s="21">
        <f t="shared" si="2280"/>
        <v>0</v>
      </c>
      <c r="R266" s="21">
        <v>0</v>
      </c>
      <c r="S266" s="21">
        <v>0</v>
      </c>
      <c r="T266" s="21">
        <v>0</v>
      </c>
      <c r="U266" s="21">
        <v>13400</v>
      </c>
      <c r="V266" s="21">
        <v>13000</v>
      </c>
      <c r="W266" s="21">
        <v>14200</v>
      </c>
      <c r="X266" s="21">
        <v>14600</v>
      </c>
      <c r="Y266" s="21">
        <v>10900</v>
      </c>
      <c r="Z266" s="21">
        <v>11900</v>
      </c>
      <c r="AA266" s="21">
        <v>13500</v>
      </c>
      <c r="AB266" s="21">
        <v>15400</v>
      </c>
      <c r="AC266" s="21">
        <v>15600</v>
      </c>
      <c r="AD266" s="21">
        <v>17000</v>
      </c>
      <c r="AE266" s="21">
        <v>17800</v>
      </c>
      <c r="AF266" s="21">
        <v>19200</v>
      </c>
      <c r="AG266" s="21">
        <v>18300</v>
      </c>
      <c r="AH266" s="21">
        <v>18900</v>
      </c>
      <c r="AI266" s="24">
        <v>20200</v>
      </c>
      <c r="AJ266" s="59">
        <f t="shared" ref="AJ266" si="2281">AI266*(1+AJ276)</f>
        <v>20402</v>
      </c>
      <c r="AK266" s="59">
        <f t="shared" ref="AK266" si="2282">AJ266*(1+AK276)</f>
        <v>20606.02</v>
      </c>
      <c r="AL266" s="59">
        <f t="shared" ref="AL266" si="2283">AK266*(1+AL276)</f>
        <v>20812.0802</v>
      </c>
      <c r="AM266" s="59">
        <f t="shared" ref="AM266" si="2284">AL266*(1+AM276)</f>
        <v>21020.201002000002</v>
      </c>
      <c r="AN266" s="59">
        <f t="shared" ref="AN266" si="2285">AM266*(1+AN276)</f>
        <v>21230.40301202</v>
      </c>
      <c r="AO266" s="59">
        <f t="shared" ref="AO266" si="2286">AN266*(1+AO276)</f>
        <v>21442.707042140202</v>
      </c>
      <c r="AP266" s="59">
        <f t="shared" ref="AP266" si="2287">AO266*(1+AP276)</f>
        <v>21657.134112561605</v>
      </c>
      <c r="AQ266" s="59">
        <f t="shared" ref="AQ266" si="2288">AP266*(1+AQ276)</f>
        <v>21873.70545368722</v>
      </c>
      <c r="AR266" s="59">
        <f t="shared" ref="AR266" si="2289">AQ266*(1+AR276)</f>
        <v>22092.442508224092</v>
      </c>
      <c r="AS266" s="8"/>
      <c r="AT266" s="41">
        <f t="shared" ref="AT266:AT273" si="2290">D266</f>
        <v>0</v>
      </c>
      <c r="AU266" s="41">
        <f t="shared" ref="AU266:AU273" si="2291">F266</f>
        <v>0</v>
      </c>
      <c r="AV266" s="41">
        <f t="shared" ref="AV266:AV273" si="2292">H266</f>
        <v>0</v>
      </c>
      <c r="AW266" s="41">
        <f t="shared" ref="AW266:AW273" si="2293">J266</f>
        <v>0</v>
      </c>
      <c r="AX266" s="41">
        <f t="shared" ref="AX266:AX273" si="2294">L266</f>
        <v>0</v>
      </c>
      <c r="AY266" s="41">
        <f t="shared" ref="AY266:AY273" si="2295">N266</f>
        <v>0</v>
      </c>
      <c r="AZ266" s="41">
        <f t="shared" ref="AZ266:AZ273" si="2296">P266</f>
        <v>0</v>
      </c>
      <c r="BA266" s="41">
        <f t="shared" ref="BA266:BA273" si="2297">R266</f>
        <v>0</v>
      </c>
      <c r="BB266" s="41">
        <f t="shared" ref="BB266:BB273" si="2298">T266</f>
        <v>0</v>
      </c>
      <c r="BC266" s="41">
        <f t="shared" ref="BC266:BC273" si="2299">V266</f>
        <v>13000</v>
      </c>
      <c r="BD266" s="41">
        <f t="shared" ref="BD266:BD273" si="2300">X266</f>
        <v>14600</v>
      </c>
      <c r="BE266" s="41">
        <f t="shared" ref="BE266:BE273" si="2301">Z266</f>
        <v>11900</v>
      </c>
      <c r="BF266" s="41">
        <f t="shared" ref="BF266:BF273" si="2302">AB266</f>
        <v>15400</v>
      </c>
      <c r="BG266" s="41">
        <f t="shared" ref="BG266:BG273" si="2303">AD266</f>
        <v>17000</v>
      </c>
      <c r="BH266" s="41">
        <f t="shared" ref="BH266:BH273" si="2304">AF266</f>
        <v>19200</v>
      </c>
      <c r="BI266" s="42">
        <f t="shared" ref="BI266:BI273" si="2305">AH266</f>
        <v>18900</v>
      </c>
      <c r="BJ266" s="41">
        <f t="shared" ref="BJ266:BJ273" si="2306">AJ266</f>
        <v>20402</v>
      </c>
      <c r="BK266" s="41">
        <f t="shared" ref="BK266:BK273" si="2307">AL266</f>
        <v>20812.0802</v>
      </c>
      <c r="BL266" s="41">
        <f t="shared" ref="BL266:BL273" si="2308">AN266</f>
        <v>21230.40301202</v>
      </c>
      <c r="BM266" s="41">
        <f t="shared" ref="BM266:BM273" si="2309">AP266</f>
        <v>21657.134112561605</v>
      </c>
      <c r="BN266" s="41">
        <f t="shared" ref="BN266:BN273" si="2310">AR266</f>
        <v>22092.442508224092</v>
      </c>
    </row>
    <row r="267" spans="1:66" ht="12" customHeight="1" outlineLevel="1">
      <c r="A267" s="91" t="str">
        <f>LEFT(A268,3)&amp;"_PEAssetsTotal"</f>
        <v>CGM_PEAssetsTotal</v>
      </c>
      <c r="B267" s="1" t="s">
        <v>43</v>
      </c>
      <c r="C267" s="21">
        <f t="shared" ref="C267:Q267" si="2311">C558+C628</f>
        <v>62640</v>
      </c>
      <c r="D267" s="21">
        <f t="shared" si="2311"/>
        <v>63314</v>
      </c>
      <c r="E267" s="21">
        <f t="shared" si="2311"/>
        <v>70312</v>
      </c>
      <c r="F267" s="21">
        <f t="shared" si="2311"/>
        <v>68737</v>
      </c>
      <c r="G267" s="21">
        <f t="shared" si="2311"/>
        <v>82972</v>
      </c>
      <c r="H267" s="21">
        <f t="shared" si="2311"/>
        <v>64534</v>
      </c>
      <c r="I267" s="21">
        <f t="shared" si="2311"/>
        <v>68147</v>
      </c>
      <c r="J267" s="21">
        <f t="shared" si="2311"/>
        <v>64053</v>
      </c>
      <c r="K267" s="21">
        <f t="shared" si="2311"/>
        <v>68058</v>
      </c>
      <c r="L267" s="21">
        <f t="shared" si="2311"/>
        <v>70826</v>
      </c>
      <c r="M267" s="21">
        <f t="shared" si="2311"/>
        <v>79475</v>
      </c>
      <c r="N267" s="21">
        <f t="shared" si="2311"/>
        <v>100685</v>
      </c>
      <c r="O267" s="21">
        <f t="shared" si="2311"/>
        <v>110084</v>
      </c>
      <c r="P267" s="21">
        <f t="shared" si="2311"/>
        <v>92673</v>
      </c>
      <c r="Q267" s="21">
        <f t="shared" si="2311"/>
        <v>95342</v>
      </c>
      <c r="R267" s="21">
        <v>86107</v>
      </c>
      <c r="S267" s="21">
        <v>89202</v>
      </c>
      <c r="T267" s="62">
        <v>89644</v>
      </c>
      <c r="U267" s="62">
        <v>107651</v>
      </c>
      <c r="V267" s="62">
        <v>98030</v>
      </c>
      <c r="W267" s="62">
        <v>100498</v>
      </c>
      <c r="X267" s="62">
        <v>126612</v>
      </c>
      <c r="Y267" s="62">
        <v>102925</v>
      </c>
      <c r="Z267" s="62">
        <v>94972</v>
      </c>
      <c r="AA267" s="62">
        <v>163719</v>
      </c>
      <c r="AB267" s="62">
        <v>172698</v>
      </c>
      <c r="AC267" s="62">
        <v>234146</v>
      </c>
      <c r="AD267" s="62">
        <v>141453</v>
      </c>
      <c r="AE267" s="62">
        <v>136791</v>
      </c>
      <c r="AF267" s="62">
        <v>135640</v>
      </c>
      <c r="AG267" s="62">
        <v>140977</v>
      </c>
      <c r="AH267" s="62">
        <v>152559</v>
      </c>
      <c r="AI267" s="57">
        <v>170327</v>
      </c>
      <c r="AJ267" s="41">
        <f t="shared" ref="AJ267" si="2312">AI267*AJ$40/AI$40</f>
        <v>180734.16056259006</v>
      </c>
      <c r="AK267" s="41">
        <f t="shared" ref="AK267" si="2313">AJ267*AK$40/AJ$40</f>
        <v>190852.57874468871</v>
      </c>
      <c r="AL267" s="41">
        <f t="shared" ref="AL267" si="2314">AK267*AL$40/AK$40</f>
        <v>200678.31105907954</v>
      </c>
      <c r="AM267" s="41">
        <f t="shared" ref="AM267" si="2315">AL267*AM$40/AL$40</f>
        <v>208963.09660175283</v>
      </c>
      <c r="AN267" s="41">
        <f t="shared" ref="AN267" si="2316">AM267*AN$40/AM$40</f>
        <v>216891.9094763209</v>
      </c>
      <c r="AO267" s="41">
        <f t="shared" ref="AO267" si="2317">AN267*AO$40/AN$40</f>
        <v>224372.59204506449</v>
      </c>
      <c r="AP267" s="41">
        <f t="shared" ref="AP267" si="2318">AO267*AP$40/AO$40</f>
        <v>231936.03165138638</v>
      </c>
      <c r="AQ267" s="41">
        <f t="shared" ref="AQ267" si="2319">AP267*AQ$40/AP$40</f>
        <v>239586.93812824503</v>
      </c>
      <c r="AR267" s="41">
        <f t="shared" ref="AR267" si="2320">AQ267*AR$40/AQ$40</f>
        <v>247574.42497809694</v>
      </c>
      <c r="AS267" s="8"/>
      <c r="AT267" s="41">
        <f t="shared" si="2290"/>
        <v>63314</v>
      </c>
      <c r="AU267" s="41">
        <f t="shared" si="2291"/>
        <v>68737</v>
      </c>
      <c r="AV267" s="41">
        <f t="shared" si="2292"/>
        <v>64534</v>
      </c>
      <c r="AW267" s="41">
        <f t="shared" si="2293"/>
        <v>64053</v>
      </c>
      <c r="AX267" s="41">
        <f t="shared" si="2294"/>
        <v>70826</v>
      </c>
      <c r="AY267" s="41">
        <f t="shared" si="2295"/>
        <v>100685</v>
      </c>
      <c r="AZ267" s="41">
        <f t="shared" si="2296"/>
        <v>92673</v>
      </c>
      <c r="BA267" s="41">
        <f t="shared" si="2297"/>
        <v>86107</v>
      </c>
      <c r="BB267" s="41">
        <f t="shared" si="2298"/>
        <v>89644</v>
      </c>
      <c r="BC267" s="41">
        <f t="shared" si="2299"/>
        <v>98030</v>
      </c>
      <c r="BD267" s="41">
        <f t="shared" si="2300"/>
        <v>126612</v>
      </c>
      <c r="BE267" s="41">
        <f t="shared" si="2301"/>
        <v>94972</v>
      </c>
      <c r="BF267" s="41">
        <f t="shared" si="2302"/>
        <v>172698</v>
      </c>
      <c r="BG267" s="41">
        <f t="shared" si="2303"/>
        <v>141453</v>
      </c>
      <c r="BH267" s="41">
        <f t="shared" si="2304"/>
        <v>135640</v>
      </c>
      <c r="BI267" s="42">
        <f t="shared" si="2305"/>
        <v>152559</v>
      </c>
      <c r="BJ267" s="41">
        <f t="shared" si="2306"/>
        <v>180734.16056259006</v>
      </c>
      <c r="BK267" s="41">
        <f t="shared" si="2307"/>
        <v>200678.31105907954</v>
      </c>
      <c r="BL267" s="41">
        <f t="shared" si="2308"/>
        <v>216891.9094763209</v>
      </c>
      <c r="BM267" s="41">
        <f t="shared" si="2309"/>
        <v>231936.03165138638</v>
      </c>
      <c r="BN267" s="41">
        <f t="shared" si="2310"/>
        <v>247574.42497809694</v>
      </c>
    </row>
    <row r="268" spans="1:66" ht="12" customHeight="1" outlineLevel="1">
      <c r="A268" s="91" t="s">
        <v>1541</v>
      </c>
      <c r="B268" s="1" t="s">
        <v>49</v>
      </c>
      <c r="C268" s="21">
        <f t="shared" ref="C268:Q268" si="2321">C559+C629</f>
        <v>3018.2123151622159</v>
      </c>
      <c r="D268" s="21">
        <f t="shared" si="2321"/>
        <v>3095.6168616199516</v>
      </c>
      <c r="E268" s="21">
        <f t="shared" si="2321"/>
        <v>3148.8677996027373</v>
      </c>
      <c r="F268" s="21">
        <f t="shared" si="2321"/>
        <v>3173.1626572500554</v>
      </c>
      <c r="G268" s="21">
        <f t="shared" si="2321"/>
        <v>3200</v>
      </c>
      <c r="H268" s="21">
        <f t="shared" si="2321"/>
        <v>3300</v>
      </c>
      <c r="I268" s="21">
        <f t="shared" si="2321"/>
        <v>3100</v>
      </c>
      <c r="J268" s="21">
        <f t="shared" si="2321"/>
        <v>3100</v>
      </c>
      <c r="K268" s="21">
        <f t="shared" si="2321"/>
        <v>3100</v>
      </c>
      <c r="L268" s="21">
        <f t="shared" si="2321"/>
        <v>3100</v>
      </c>
      <c r="M268" s="21">
        <f t="shared" si="2321"/>
        <v>3200</v>
      </c>
      <c r="N268" s="21">
        <f t="shared" si="2321"/>
        <v>3100</v>
      </c>
      <c r="O268" s="21">
        <f t="shared" si="2321"/>
        <v>3400</v>
      </c>
      <c r="P268" s="21">
        <f t="shared" si="2321"/>
        <v>3000</v>
      </c>
      <c r="Q268" s="21">
        <f t="shared" si="2321"/>
        <v>2800</v>
      </c>
      <c r="R268" s="21">
        <v>2900</v>
      </c>
      <c r="S268" s="21">
        <v>3000</v>
      </c>
      <c r="T268" s="21">
        <v>3300</v>
      </c>
      <c r="U268" s="21">
        <f>3700+4200*164/389</f>
        <v>5470.694087403599</v>
      </c>
      <c r="V268" s="21">
        <f>3500+3000*74/639</f>
        <v>3847.4178403755868</v>
      </c>
      <c r="W268" s="21">
        <v>5000</v>
      </c>
      <c r="X268" s="21">
        <v>5900</v>
      </c>
      <c r="Y268" s="21">
        <v>4600</v>
      </c>
      <c r="Z268" s="21">
        <v>5000</v>
      </c>
      <c r="AA268" s="21">
        <v>6700</v>
      </c>
      <c r="AB268" s="21">
        <v>7900</v>
      </c>
      <c r="AC268" s="21">
        <v>8200</v>
      </c>
      <c r="AD268" s="21">
        <v>9400</v>
      </c>
      <c r="AE268" s="21">
        <v>9400</v>
      </c>
      <c r="AF268" s="21">
        <v>9800</v>
      </c>
      <c r="AG268" s="21">
        <v>9800</v>
      </c>
      <c r="AH268" s="21">
        <v>11000</v>
      </c>
      <c r="AI268" s="24">
        <v>11400</v>
      </c>
      <c r="AJ268" s="41">
        <f t="shared" ref="AJ268" si="2322">AJ267/AJ298</f>
        <v>11660.268423392907</v>
      </c>
      <c r="AK268" s="41">
        <f t="shared" ref="AK268:AL268" si="2323">AK267/AK298</f>
        <v>12012.750825786859</v>
      </c>
      <c r="AL268" s="41">
        <f t="shared" si="2323"/>
        <v>12323.129385140463</v>
      </c>
      <c r="AM268" s="41">
        <f t="shared" ref="AM268:AN268" si="2324">AM267/AM298</f>
        <v>12518.903768280919</v>
      </c>
      <c r="AN268" s="41">
        <f t="shared" si="2324"/>
        <v>12676.991305930518</v>
      </c>
      <c r="AO268" s="41">
        <f t="shared" ref="AO268:AP268" si="2325">AO267/AO298</f>
        <v>12794.366290392987</v>
      </c>
      <c r="AP268" s="41">
        <f t="shared" si="2325"/>
        <v>12903.078270729477</v>
      </c>
      <c r="AQ268" s="41">
        <f t="shared" ref="AQ268:AR268" si="2326">AQ267/AQ298</f>
        <v>13003.623343701593</v>
      </c>
      <c r="AR268" s="41">
        <f t="shared" si="2326"/>
        <v>13109.410343341689</v>
      </c>
      <c r="AS268" s="8"/>
      <c r="AT268" s="41">
        <f t="shared" si="2290"/>
        <v>3095.6168616199516</v>
      </c>
      <c r="AU268" s="41">
        <f t="shared" si="2291"/>
        <v>3173.1626572500554</v>
      </c>
      <c r="AV268" s="41">
        <f t="shared" si="2292"/>
        <v>3300</v>
      </c>
      <c r="AW268" s="41">
        <f t="shared" si="2293"/>
        <v>3100</v>
      </c>
      <c r="AX268" s="41">
        <f t="shared" si="2294"/>
        <v>3100</v>
      </c>
      <c r="AY268" s="41">
        <f t="shared" si="2295"/>
        <v>3100</v>
      </c>
      <c r="AZ268" s="41">
        <f t="shared" si="2296"/>
        <v>3000</v>
      </c>
      <c r="BA268" s="41">
        <f t="shared" si="2297"/>
        <v>2900</v>
      </c>
      <c r="BB268" s="41">
        <f t="shared" si="2298"/>
        <v>3300</v>
      </c>
      <c r="BC268" s="41">
        <f t="shared" si="2299"/>
        <v>3847.4178403755868</v>
      </c>
      <c r="BD268" s="41">
        <f t="shared" si="2300"/>
        <v>5900</v>
      </c>
      <c r="BE268" s="41">
        <f t="shared" si="2301"/>
        <v>5000</v>
      </c>
      <c r="BF268" s="41">
        <f t="shared" si="2302"/>
        <v>7900</v>
      </c>
      <c r="BG268" s="41">
        <f t="shared" si="2303"/>
        <v>9400</v>
      </c>
      <c r="BH268" s="41">
        <f t="shared" si="2304"/>
        <v>9800</v>
      </c>
      <c r="BI268" s="42">
        <f t="shared" si="2305"/>
        <v>11000</v>
      </c>
      <c r="BJ268" s="41">
        <f t="shared" si="2306"/>
        <v>11660.268423392907</v>
      </c>
      <c r="BK268" s="41">
        <f t="shared" si="2307"/>
        <v>12323.129385140463</v>
      </c>
      <c r="BL268" s="41">
        <f t="shared" si="2308"/>
        <v>12676.991305930518</v>
      </c>
      <c r="BM268" s="41">
        <f t="shared" si="2309"/>
        <v>12903.078270729477</v>
      </c>
      <c r="BN268" s="41">
        <f t="shared" si="2310"/>
        <v>13109.410343341689</v>
      </c>
    </row>
    <row r="269" spans="1:66" ht="12" customHeight="1" outlineLevel="1">
      <c r="B269" s="1" t="s">
        <v>24</v>
      </c>
      <c r="C269" s="25">
        <f t="shared" ref="C269:Q269" si="2327">C271-C270</f>
        <v>0</v>
      </c>
      <c r="D269" s="25">
        <f t="shared" si="2327"/>
        <v>0</v>
      </c>
      <c r="E269" s="25">
        <f t="shared" si="2327"/>
        <v>0</v>
      </c>
      <c r="F269" s="25">
        <f t="shared" si="2327"/>
        <v>0</v>
      </c>
      <c r="G269" s="25">
        <f t="shared" si="2327"/>
        <v>0</v>
      </c>
      <c r="H269" s="25">
        <f t="shared" si="2327"/>
        <v>0</v>
      </c>
      <c r="I269" s="25">
        <f t="shared" si="2327"/>
        <v>0</v>
      </c>
      <c r="J269" s="25">
        <f t="shared" si="2327"/>
        <v>0</v>
      </c>
      <c r="K269" s="25">
        <f t="shared" si="2327"/>
        <v>0</v>
      </c>
      <c r="L269" s="25">
        <f t="shared" si="2327"/>
        <v>0</v>
      </c>
      <c r="M269" s="41">
        <f t="shared" si="2327"/>
        <v>0</v>
      </c>
      <c r="N269" s="41">
        <f t="shared" si="2327"/>
        <v>0</v>
      </c>
      <c r="O269" s="41">
        <f t="shared" si="2327"/>
        <v>0</v>
      </c>
      <c r="P269" s="41">
        <f t="shared" si="2327"/>
        <v>0</v>
      </c>
      <c r="Q269" s="41">
        <f t="shared" si="2327"/>
        <v>0</v>
      </c>
      <c r="R269" s="41">
        <f t="shared" ref="R269:S269" si="2328">R271-R270</f>
        <v>0</v>
      </c>
      <c r="S269" s="41">
        <f t="shared" si="2328"/>
        <v>0</v>
      </c>
      <c r="T269" s="41">
        <f t="shared" ref="T269:U269" si="2329">T271-T270</f>
        <v>0</v>
      </c>
      <c r="U269" s="41">
        <f t="shared" si="2329"/>
        <v>0</v>
      </c>
      <c r="V269" s="41">
        <f t="shared" ref="V269:W269" si="2330">V271-V270</f>
        <v>0</v>
      </c>
      <c r="W269" s="41">
        <f t="shared" si="2330"/>
        <v>0</v>
      </c>
      <c r="X269" s="41">
        <f t="shared" ref="X269:Y269" si="2331">X271-X270</f>
        <v>0</v>
      </c>
      <c r="Y269" s="41">
        <f t="shared" si="2331"/>
        <v>0</v>
      </c>
      <c r="Z269" s="41">
        <f t="shared" ref="Z269:AA269" si="2332">Z271-Z270</f>
        <v>0</v>
      </c>
      <c r="AA269" s="41">
        <f t="shared" si="2332"/>
        <v>0</v>
      </c>
      <c r="AB269" s="41">
        <f t="shared" ref="AB269:AC269" si="2333">AB271-AB270</f>
        <v>0</v>
      </c>
      <c r="AC269" s="41">
        <f t="shared" si="2333"/>
        <v>0</v>
      </c>
      <c r="AD269" s="41">
        <f t="shared" ref="AD269:AE269" si="2334">AD271-AD270</f>
        <v>0</v>
      </c>
      <c r="AE269" s="41">
        <f t="shared" si="2334"/>
        <v>0</v>
      </c>
      <c r="AF269" s="41">
        <f t="shared" ref="AF269:AG269" si="2335">AF271-AF270</f>
        <v>0</v>
      </c>
      <c r="AG269" s="41">
        <f t="shared" si="2335"/>
        <v>0</v>
      </c>
      <c r="AH269" s="41">
        <f t="shared" ref="AH269:AI269" si="2336">AH271-AH270</f>
        <v>0</v>
      </c>
      <c r="AI269" s="42">
        <f t="shared" si="2336"/>
        <v>0</v>
      </c>
      <c r="AJ269" s="41">
        <f>IF(ISERROR(50%*AI269*(1+AJ278)+50%*AI269*(1+AJ278)/'Group Model'!AK358*'Group Model'!AJ358),AI269,50%*AI269*(1+AJ278)+50%*AI269*(1+AJ278)/'Group Model'!AK358*'Group Model'!AJ358)</f>
        <v>0</v>
      </c>
      <c r="AK269" s="41">
        <f>IF(ISERROR(50%*AJ269*(1+AK278)+50%*AJ269*(1+AK278)/'Group Model'!AT358*'Group Model'!AK358),AJ269,50%*AJ269*(1+AK278)+50%*AJ269*(1+AK278)/'Group Model'!AT358*'Group Model'!AK358)</f>
        <v>0</v>
      </c>
      <c r="AL269" s="41">
        <f>IF(ISERROR(50%*AK269*(1+AL278)+50%*AK269*(1+AL278)/'Group Model'!AU358*'Group Model'!AT358),AK269,50%*AK269*(1+AL278)+50%*AK269*(1+AL278)/'Group Model'!AU358*'Group Model'!AT358)</f>
        <v>0</v>
      </c>
      <c r="AM269" s="41">
        <f>IF(ISERROR(50%*AL269*(1+AM278)+50%*AL269*(1+AM278)/'Group Model'!AV358*'Group Model'!AU358),AL269,50%*AL269*(1+AM278)+50%*AL269*(1+AM278)/'Group Model'!AV358*'Group Model'!AU358)</f>
        <v>0</v>
      </c>
      <c r="AN269" s="41">
        <f>IF(ISERROR(50%*AM269*(1+AN278)+50%*AM269*(1+AN278)/'Group Model'!AW358*'Group Model'!AV358),AM269,50%*AM269*(1+AN278)+50%*AM269*(1+AN278)/'Group Model'!AW358*'Group Model'!AV358)</f>
        <v>0</v>
      </c>
      <c r="AO269" s="41">
        <f>IF(ISERROR(50%*AN269*(1+AO278)+50%*AN269*(1+AO278)/'Group Model'!AX358*'Group Model'!AW358),AN269,50%*AN269*(1+AO278)+50%*AN269*(1+AO278)/'Group Model'!AX358*'Group Model'!AW358)</f>
        <v>0</v>
      </c>
      <c r="AP269" s="41">
        <f>IF(ISERROR(50%*AO269*(1+AP278)+50%*AO269*(1+AP278)/'Group Model'!AY358*'Group Model'!AX358),AO269,50%*AO269*(1+AP278)+50%*AO269*(1+AP278)/'Group Model'!AY358*'Group Model'!AX358)</f>
        <v>0</v>
      </c>
      <c r="AQ269" s="41">
        <f>IF(ISERROR(50%*AP269*(1+AQ278)+50%*AP269*(1+AQ278)/'Group Model'!AZ358*'Group Model'!AY358),AP269,50%*AP269*(1+AQ278)+50%*AP269*(1+AQ278)/'Group Model'!AZ358*'Group Model'!AY358)</f>
        <v>0</v>
      </c>
      <c r="AR269" s="41">
        <f>IF(ISERROR(50%*AQ269*(1+AR278)+50%*AQ269*(1+AR278)/'Group Model'!BA358*'Group Model'!AZ358),AQ269,50%*AQ269*(1+AR278)+50%*AQ269*(1+AR278)/'Group Model'!BA358*'Group Model'!AZ358)</f>
        <v>0</v>
      </c>
      <c r="AS269" s="8"/>
      <c r="AT269" s="41">
        <f t="shared" si="2290"/>
        <v>0</v>
      </c>
      <c r="AU269" s="41">
        <f t="shared" si="2291"/>
        <v>0</v>
      </c>
      <c r="AV269" s="41">
        <f t="shared" si="2292"/>
        <v>0</v>
      </c>
      <c r="AW269" s="41">
        <f t="shared" si="2293"/>
        <v>0</v>
      </c>
      <c r="AX269" s="41">
        <f t="shared" si="2294"/>
        <v>0</v>
      </c>
      <c r="AY269" s="41">
        <f t="shared" si="2295"/>
        <v>0</v>
      </c>
      <c r="AZ269" s="41">
        <f t="shared" si="2296"/>
        <v>0</v>
      </c>
      <c r="BA269" s="41">
        <f t="shared" si="2297"/>
        <v>0</v>
      </c>
      <c r="BB269" s="41">
        <f t="shared" si="2298"/>
        <v>0</v>
      </c>
      <c r="BC269" s="41">
        <f t="shared" si="2299"/>
        <v>0</v>
      </c>
      <c r="BD269" s="41">
        <f t="shared" si="2300"/>
        <v>0</v>
      </c>
      <c r="BE269" s="41">
        <f t="shared" si="2301"/>
        <v>0</v>
      </c>
      <c r="BF269" s="41">
        <f t="shared" si="2302"/>
        <v>0</v>
      </c>
      <c r="BG269" s="41">
        <f t="shared" si="2303"/>
        <v>0</v>
      </c>
      <c r="BH269" s="41">
        <f t="shared" si="2304"/>
        <v>0</v>
      </c>
      <c r="BI269" s="42">
        <f t="shared" si="2305"/>
        <v>0</v>
      </c>
      <c r="BJ269" s="41">
        <f t="shared" si="2306"/>
        <v>0</v>
      </c>
      <c r="BK269" s="41">
        <f t="shared" si="2307"/>
        <v>0</v>
      </c>
      <c r="BL269" s="41">
        <f t="shared" si="2308"/>
        <v>0</v>
      </c>
      <c r="BM269" s="41">
        <f t="shared" si="2309"/>
        <v>0</v>
      </c>
      <c r="BN269" s="41">
        <f t="shared" si="2310"/>
        <v>0</v>
      </c>
    </row>
    <row r="270" spans="1:66" ht="12" customHeight="1" outlineLevel="1">
      <c r="B270" s="1" t="s">
        <v>23</v>
      </c>
      <c r="C270" s="21">
        <f t="shared" ref="C270:Q270" si="2337">C561+C631</f>
        <v>0</v>
      </c>
      <c r="D270" s="21">
        <f t="shared" si="2337"/>
        <v>0</v>
      </c>
      <c r="E270" s="21">
        <f t="shared" si="2337"/>
        <v>0</v>
      </c>
      <c r="F270" s="21">
        <f t="shared" si="2337"/>
        <v>0</v>
      </c>
      <c r="G270" s="21">
        <f t="shared" si="2337"/>
        <v>0</v>
      </c>
      <c r="H270" s="21">
        <f t="shared" si="2337"/>
        <v>0</v>
      </c>
      <c r="I270" s="21">
        <f t="shared" si="2337"/>
        <v>0</v>
      </c>
      <c r="J270" s="21">
        <f t="shared" si="2337"/>
        <v>0</v>
      </c>
      <c r="K270" s="21">
        <f t="shared" si="2337"/>
        <v>0</v>
      </c>
      <c r="L270" s="21">
        <f t="shared" si="2337"/>
        <v>0</v>
      </c>
      <c r="M270" s="21">
        <f t="shared" si="2337"/>
        <v>0</v>
      </c>
      <c r="N270" s="21">
        <f t="shared" si="2337"/>
        <v>0</v>
      </c>
      <c r="O270" s="21">
        <f t="shared" si="2337"/>
        <v>0</v>
      </c>
      <c r="P270" s="21">
        <f t="shared" si="2337"/>
        <v>0</v>
      </c>
      <c r="Q270" s="21">
        <f t="shared" si="2337"/>
        <v>0</v>
      </c>
      <c r="R270" s="21">
        <f t="shared" ref="R270:S270" si="2338">R561+R631</f>
        <v>0</v>
      </c>
      <c r="S270" s="21">
        <f t="shared" si="2338"/>
        <v>0</v>
      </c>
      <c r="T270" s="21">
        <f t="shared" ref="T270:U270" si="2339">T561+T631</f>
        <v>0</v>
      </c>
      <c r="U270" s="21">
        <f t="shared" si="2339"/>
        <v>0</v>
      </c>
      <c r="V270" s="21">
        <f t="shared" ref="V270:W270" si="2340">V561+V631</f>
        <v>0</v>
      </c>
      <c r="W270" s="21">
        <f t="shared" si="2340"/>
        <v>0</v>
      </c>
      <c r="X270" s="21">
        <f t="shared" ref="X270:Y270" si="2341">X561+X631</f>
        <v>0</v>
      </c>
      <c r="Y270" s="21">
        <f t="shared" si="2341"/>
        <v>0</v>
      </c>
      <c r="Z270" s="21">
        <f t="shared" ref="Z270:AA270" si="2342">Z561+Z631</f>
        <v>0</v>
      </c>
      <c r="AA270" s="21">
        <f t="shared" si="2342"/>
        <v>0</v>
      </c>
      <c r="AB270" s="21">
        <f t="shared" ref="AB270:AC270" si="2343">AB561+AB631</f>
        <v>0</v>
      </c>
      <c r="AC270" s="21">
        <f t="shared" si="2343"/>
        <v>0</v>
      </c>
      <c r="AD270" s="21">
        <f t="shared" ref="AD270:AE270" si="2344">AD561+AD631</f>
        <v>0</v>
      </c>
      <c r="AE270" s="21">
        <f t="shared" si="2344"/>
        <v>0</v>
      </c>
      <c r="AF270" s="21">
        <f t="shared" ref="AF270:AG270" si="2345">AF561+AF631</f>
        <v>0</v>
      </c>
      <c r="AG270" s="21">
        <f t="shared" si="2345"/>
        <v>0</v>
      </c>
      <c r="AH270" s="21">
        <f t="shared" ref="AH270" si="2346">AH561+AH631</f>
        <v>0</v>
      </c>
      <c r="AI270" s="24">
        <f t="shared" ref="AI270" si="2347">IF(ISERROR(AI272/AH272*AH270),AH270,AI272/AH272*AH270)</f>
        <v>0</v>
      </c>
      <c r="AJ270" s="58">
        <f t="shared" ref="AJ270" si="2348">IF(ISERROR(AJ272/AI272*AI270),AI270,AJ272/AI272*AI270)</f>
        <v>0</v>
      </c>
      <c r="AK270" s="58">
        <f t="shared" ref="AK270" si="2349">IF(ISERROR(AK272/AJ272*AJ270),AJ270,AK272/AJ272*AJ270)</f>
        <v>0</v>
      </c>
      <c r="AL270" s="58">
        <f t="shared" ref="AL270" si="2350">IF(ISERROR(AL272/AK272*AK270),AK270,AL272/AK272*AK270)</f>
        <v>0</v>
      </c>
      <c r="AM270" s="58">
        <f t="shared" ref="AM270" si="2351">IF(ISERROR(AM272/AL272*AL270),AL270,AM272/AL272*AL270)</f>
        <v>0</v>
      </c>
      <c r="AN270" s="58">
        <f t="shared" ref="AN270" si="2352">IF(ISERROR(AN272/AM272*AM270),AM270,AN272/AM272*AM270)</f>
        <v>0</v>
      </c>
      <c r="AO270" s="58">
        <f t="shared" ref="AO270" si="2353">IF(ISERROR(AO272/AN272*AN270),AN270,AO272/AN272*AN270)</f>
        <v>0</v>
      </c>
      <c r="AP270" s="58">
        <f t="shared" ref="AP270" si="2354">IF(ISERROR(AP272/AO272*AO270),AO270,AP272/AO272*AO270)</f>
        <v>0</v>
      </c>
      <c r="AQ270" s="58">
        <f t="shared" ref="AQ270" si="2355">IF(ISERROR(AQ272/AP272*AP270),AP270,AQ272/AP272*AP270)</f>
        <v>0</v>
      </c>
      <c r="AR270" s="58">
        <f t="shared" ref="AR270" si="2356">IF(ISERROR(AR272/AQ272*AQ270),AQ270,AR272/AQ272*AQ270)</f>
        <v>0</v>
      </c>
      <c r="AS270" s="8"/>
      <c r="AT270" s="41">
        <f t="shared" si="2290"/>
        <v>0</v>
      </c>
      <c r="AU270" s="41">
        <f t="shared" si="2291"/>
        <v>0</v>
      </c>
      <c r="AV270" s="41">
        <f t="shared" si="2292"/>
        <v>0</v>
      </c>
      <c r="AW270" s="41">
        <f t="shared" si="2293"/>
        <v>0</v>
      </c>
      <c r="AX270" s="41">
        <f t="shared" si="2294"/>
        <v>0</v>
      </c>
      <c r="AY270" s="41">
        <f t="shared" si="2295"/>
        <v>0</v>
      </c>
      <c r="AZ270" s="41">
        <f t="shared" si="2296"/>
        <v>0</v>
      </c>
      <c r="BA270" s="41">
        <f t="shared" si="2297"/>
        <v>0</v>
      </c>
      <c r="BB270" s="41">
        <f t="shared" si="2298"/>
        <v>0</v>
      </c>
      <c r="BC270" s="41">
        <f t="shared" si="2299"/>
        <v>0</v>
      </c>
      <c r="BD270" s="41">
        <f t="shared" si="2300"/>
        <v>0</v>
      </c>
      <c r="BE270" s="41">
        <f t="shared" si="2301"/>
        <v>0</v>
      </c>
      <c r="BF270" s="41">
        <f t="shared" si="2302"/>
        <v>0</v>
      </c>
      <c r="BG270" s="41">
        <f t="shared" si="2303"/>
        <v>0</v>
      </c>
      <c r="BH270" s="41">
        <f t="shared" si="2304"/>
        <v>0</v>
      </c>
      <c r="BI270" s="42">
        <f t="shared" si="2305"/>
        <v>0</v>
      </c>
      <c r="BJ270" s="41">
        <f t="shared" si="2306"/>
        <v>0</v>
      </c>
      <c r="BK270" s="41">
        <f t="shared" si="2307"/>
        <v>0</v>
      </c>
      <c r="BL270" s="41">
        <f t="shared" si="2308"/>
        <v>0</v>
      </c>
      <c r="BM270" s="41">
        <f t="shared" si="2309"/>
        <v>0</v>
      </c>
      <c r="BN270" s="41">
        <f t="shared" si="2310"/>
        <v>0</v>
      </c>
    </row>
    <row r="271" spans="1:66" ht="12" customHeight="1" outlineLevel="1">
      <c r="B271" s="1" t="s">
        <v>22</v>
      </c>
      <c r="C271" s="21">
        <f t="shared" ref="C271:Q271" si="2357">C562+C632</f>
        <v>0</v>
      </c>
      <c r="D271" s="21">
        <f t="shared" si="2357"/>
        <v>0</v>
      </c>
      <c r="E271" s="21">
        <f t="shared" si="2357"/>
        <v>0</v>
      </c>
      <c r="F271" s="21">
        <f t="shared" si="2357"/>
        <v>0</v>
      </c>
      <c r="G271" s="21">
        <f t="shared" si="2357"/>
        <v>0</v>
      </c>
      <c r="H271" s="21">
        <f t="shared" si="2357"/>
        <v>0</v>
      </c>
      <c r="I271" s="21">
        <f t="shared" si="2357"/>
        <v>0</v>
      </c>
      <c r="J271" s="21">
        <f t="shared" si="2357"/>
        <v>0</v>
      </c>
      <c r="K271" s="21">
        <f t="shared" si="2357"/>
        <v>0</v>
      </c>
      <c r="L271" s="21">
        <f t="shared" si="2357"/>
        <v>0</v>
      </c>
      <c r="M271" s="21">
        <f t="shared" si="2357"/>
        <v>0</v>
      </c>
      <c r="N271" s="21">
        <f t="shared" si="2357"/>
        <v>0</v>
      </c>
      <c r="O271" s="21">
        <f t="shared" si="2357"/>
        <v>0</v>
      </c>
      <c r="P271" s="21">
        <f t="shared" si="2357"/>
        <v>0</v>
      </c>
      <c r="Q271" s="21">
        <f t="shared" si="2357"/>
        <v>0</v>
      </c>
      <c r="R271" s="21">
        <f t="shared" ref="R271:S271" si="2358">R562+R632</f>
        <v>0</v>
      </c>
      <c r="S271" s="21">
        <f t="shared" si="2358"/>
        <v>0</v>
      </c>
      <c r="T271" s="21">
        <f t="shared" ref="T271:U271" si="2359">T562+T632</f>
        <v>0</v>
      </c>
      <c r="U271" s="21">
        <f t="shared" si="2359"/>
        <v>0</v>
      </c>
      <c r="V271" s="21">
        <f t="shared" ref="V271:W271" si="2360">V562+V632</f>
        <v>0</v>
      </c>
      <c r="W271" s="21">
        <f t="shared" si="2360"/>
        <v>0</v>
      </c>
      <c r="X271" s="21">
        <f t="shared" ref="X271:Y271" si="2361">X562+X632</f>
        <v>0</v>
      </c>
      <c r="Y271" s="21">
        <f t="shared" si="2361"/>
        <v>0</v>
      </c>
      <c r="Z271" s="21">
        <f t="shared" ref="Z271:AA271" si="2362">Z562+Z632</f>
        <v>0</v>
      </c>
      <c r="AA271" s="21">
        <f t="shared" si="2362"/>
        <v>0</v>
      </c>
      <c r="AB271" s="21">
        <f t="shared" ref="AB271:AC271" si="2363">AB562+AB632</f>
        <v>0</v>
      </c>
      <c r="AC271" s="21">
        <f t="shared" si="2363"/>
        <v>0</v>
      </c>
      <c r="AD271" s="21">
        <f t="shared" ref="AD271:AE271" si="2364">AD562+AD632</f>
        <v>0</v>
      </c>
      <c r="AE271" s="21">
        <f t="shared" si="2364"/>
        <v>0</v>
      </c>
      <c r="AF271" s="21">
        <f t="shared" ref="AF271:AG271" si="2365">AF562+AF632</f>
        <v>0</v>
      </c>
      <c r="AG271" s="21">
        <f t="shared" si="2365"/>
        <v>0</v>
      </c>
      <c r="AH271" s="21">
        <f t="shared" ref="AH271:AI271" si="2366">AH562+AH632</f>
        <v>0</v>
      </c>
      <c r="AI271" s="24">
        <f t="shared" si="2366"/>
        <v>0</v>
      </c>
      <c r="AJ271" s="41">
        <f t="shared" ref="AJ271" si="2367">AJ269+AJ270</f>
        <v>0</v>
      </c>
      <c r="AK271" s="41">
        <f t="shared" ref="AK271:AL271" si="2368">AK269+AK270</f>
        <v>0</v>
      </c>
      <c r="AL271" s="41">
        <f t="shared" si="2368"/>
        <v>0</v>
      </c>
      <c r="AM271" s="41">
        <f t="shared" ref="AM271:AN271" si="2369">AM269+AM270</f>
        <v>0</v>
      </c>
      <c r="AN271" s="41">
        <f t="shared" si="2369"/>
        <v>0</v>
      </c>
      <c r="AO271" s="41">
        <f t="shared" ref="AO271:AP271" si="2370">AO269+AO270</f>
        <v>0</v>
      </c>
      <c r="AP271" s="41">
        <f t="shared" si="2370"/>
        <v>0</v>
      </c>
      <c r="AQ271" s="41">
        <f t="shared" ref="AQ271:AR271" si="2371">AQ269+AQ270</f>
        <v>0</v>
      </c>
      <c r="AR271" s="41">
        <f t="shared" si="2371"/>
        <v>0</v>
      </c>
      <c r="AS271" s="8"/>
      <c r="AT271" s="41">
        <f t="shared" si="2290"/>
        <v>0</v>
      </c>
      <c r="AU271" s="41">
        <f t="shared" si="2291"/>
        <v>0</v>
      </c>
      <c r="AV271" s="41">
        <f t="shared" si="2292"/>
        <v>0</v>
      </c>
      <c r="AW271" s="41">
        <f t="shared" si="2293"/>
        <v>0</v>
      </c>
      <c r="AX271" s="41">
        <f t="shared" si="2294"/>
        <v>0</v>
      </c>
      <c r="AY271" s="41">
        <f t="shared" si="2295"/>
        <v>0</v>
      </c>
      <c r="AZ271" s="41">
        <f t="shared" si="2296"/>
        <v>0</v>
      </c>
      <c r="BA271" s="41">
        <f t="shared" si="2297"/>
        <v>0</v>
      </c>
      <c r="BB271" s="41">
        <f t="shared" si="2298"/>
        <v>0</v>
      </c>
      <c r="BC271" s="41">
        <f t="shared" si="2299"/>
        <v>0</v>
      </c>
      <c r="BD271" s="41">
        <f t="shared" si="2300"/>
        <v>0</v>
      </c>
      <c r="BE271" s="41">
        <f t="shared" si="2301"/>
        <v>0</v>
      </c>
      <c r="BF271" s="41">
        <f t="shared" si="2302"/>
        <v>0</v>
      </c>
      <c r="BG271" s="41">
        <f t="shared" si="2303"/>
        <v>0</v>
      </c>
      <c r="BH271" s="41">
        <f t="shared" si="2304"/>
        <v>0</v>
      </c>
      <c r="BI271" s="42">
        <f t="shared" si="2305"/>
        <v>0</v>
      </c>
      <c r="BJ271" s="41">
        <f t="shared" si="2306"/>
        <v>0</v>
      </c>
      <c r="BK271" s="41">
        <f t="shared" si="2307"/>
        <v>0</v>
      </c>
      <c r="BL271" s="41">
        <f t="shared" si="2308"/>
        <v>0</v>
      </c>
      <c r="BM271" s="41">
        <f t="shared" si="2309"/>
        <v>0</v>
      </c>
      <c r="BN271" s="41">
        <f t="shared" si="2310"/>
        <v>0</v>
      </c>
    </row>
    <row r="272" spans="1:66" ht="12" customHeight="1" outlineLevel="1">
      <c r="B272" s="1" t="s">
        <v>44</v>
      </c>
      <c r="C272" s="21">
        <f t="shared" ref="C272:Q272" si="2372">C563+C633</f>
        <v>0</v>
      </c>
      <c r="D272" s="21">
        <f t="shared" si="2372"/>
        <v>0</v>
      </c>
      <c r="E272" s="21">
        <f t="shared" si="2372"/>
        <v>0</v>
      </c>
      <c r="F272" s="21">
        <f t="shared" si="2372"/>
        <v>0</v>
      </c>
      <c r="G272" s="21">
        <f t="shared" si="2372"/>
        <v>0</v>
      </c>
      <c r="H272" s="21">
        <f t="shared" si="2372"/>
        <v>0</v>
      </c>
      <c r="I272" s="21">
        <f t="shared" si="2372"/>
        <v>0</v>
      </c>
      <c r="J272" s="21">
        <f t="shared" si="2372"/>
        <v>0</v>
      </c>
      <c r="K272" s="21">
        <f t="shared" si="2372"/>
        <v>0</v>
      </c>
      <c r="L272" s="21">
        <f t="shared" si="2372"/>
        <v>0</v>
      </c>
      <c r="M272" s="21">
        <f t="shared" si="2372"/>
        <v>0</v>
      </c>
      <c r="N272" s="21">
        <f t="shared" si="2372"/>
        <v>0</v>
      </c>
      <c r="O272" s="21">
        <f t="shared" si="2372"/>
        <v>0</v>
      </c>
      <c r="P272" s="21">
        <f t="shared" si="2372"/>
        <v>0</v>
      </c>
      <c r="Q272" s="21">
        <f t="shared" si="2372"/>
        <v>0</v>
      </c>
      <c r="R272" s="21">
        <f t="shared" ref="R272:S272" si="2373">R563+R633</f>
        <v>0</v>
      </c>
      <c r="S272" s="21">
        <f t="shared" si="2373"/>
        <v>0</v>
      </c>
      <c r="T272" s="21">
        <f t="shared" ref="T272:U272" si="2374">T563+T633</f>
        <v>0</v>
      </c>
      <c r="U272" s="21">
        <f t="shared" si="2374"/>
        <v>0</v>
      </c>
      <c r="V272" s="21">
        <f t="shared" ref="V272:W272" si="2375">V563+V633</f>
        <v>0</v>
      </c>
      <c r="W272" s="21">
        <f t="shared" si="2375"/>
        <v>0</v>
      </c>
      <c r="X272" s="21">
        <f t="shared" ref="X272:Y272" si="2376">X563+X633</f>
        <v>0</v>
      </c>
      <c r="Y272" s="21">
        <f t="shared" si="2376"/>
        <v>0</v>
      </c>
      <c r="Z272" s="21">
        <f t="shared" ref="Z272:AA272" si="2377">Z563+Z633</f>
        <v>0</v>
      </c>
      <c r="AA272" s="21">
        <f t="shared" si="2377"/>
        <v>0</v>
      </c>
      <c r="AB272" s="21">
        <f t="shared" ref="AB272:AC272" si="2378">AB563+AB633</f>
        <v>0</v>
      </c>
      <c r="AC272" s="21">
        <f t="shared" si="2378"/>
        <v>0</v>
      </c>
      <c r="AD272" s="21">
        <f t="shared" ref="AD272:AE272" si="2379">AD563+AD633</f>
        <v>0</v>
      </c>
      <c r="AE272" s="21">
        <f t="shared" si="2379"/>
        <v>0</v>
      </c>
      <c r="AF272" s="21">
        <f t="shared" ref="AF272:AG272" si="2380">AF563+AF633</f>
        <v>0</v>
      </c>
      <c r="AG272" s="21">
        <f t="shared" si="2380"/>
        <v>0</v>
      </c>
      <c r="AH272" s="21">
        <f t="shared" ref="AH272:AI272" si="2381">AH563+AH633</f>
        <v>0</v>
      </c>
      <c r="AI272" s="24">
        <f t="shared" si="2381"/>
        <v>0</v>
      </c>
      <c r="AJ272" s="41">
        <f t="shared" ref="AJ272" si="2382">AI272*(1+AJ279)</f>
        <v>0</v>
      </c>
      <c r="AK272" s="41">
        <f t="shared" ref="AK272" si="2383">AJ272*(1+AK279)</f>
        <v>0</v>
      </c>
      <c r="AL272" s="41">
        <f t="shared" ref="AL272" si="2384">AK272*(1+AL279)</f>
        <v>0</v>
      </c>
      <c r="AM272" s="41">
        <f t="shared" ref="AM272" si="2385">AL272*(1+AM279)</f>
        <v>0</v>
      </c>
      <c r="AN272" s="41">
        <f t="shared" ref="AN272" si="2386">AM272*(1+AN279)</f>
        <v>0</v>
      </c>
      <c r="AO272" s="41">
        <f t="shared" ref="AO272" si="2387">AN272*(1+AO279)</f>
        <v>0</v>
      </c>
      <c r="AP272" s="41">
        <f t="shared" ref="AP272" si="2388">AO272*(1+AP279)</f>
        <v>0</v>
      </c>
      <c r="AQ272" s="41">
        <f t="shared" ref="AQ272" si="2389">AP272*(1+AQ279)</f>
        <v>0</v>
      </c>
      <c r="AR272" s="41">
        <f t="shared" ref="AR272" si="2390">AQ272*(1+AR279)</f>
        <v>0</v>
      </c>
      <c r="AS272" s="8"/>
      <c r="AT272" s="41">
        <f t="shared" si="2290"/>
        <v>0</v>
      </c>
      <c r="AU272" s="41">
        <f t="shared" si="2291"/>
        <v>0</v>
      </c>
      <c r="AV272" s="41">
        <f t="shared" si="2292"/>
        <v>0</v>
      </c>
      <c r="AW272" s="41">
        <f t="shared" si="2293"/>
        <v>0</v>
      </c>
      <c r="AX272" s="41">
        <f t="shared" si="2294"/>
        <v>0</v>
      </c>
      <c r="AY272" s="41">
        <f t="shared" si="2295"/>
        <v>0</v>
      </c>
      <c r="AZ272" s="41">
        <f t="shared" si="2296"/>
        <v>0</v>
      </c>
      <c r="BA272" s="41">
        <f t="shared" si="2297"/>
        <v>0</v>
      </c>
      <c r="BB272" s="41">
        <f t="shared" si="2298"/>
        <v>0</v>
      </c>
      <c r="BC272" s="41">
        <f t="shared" si="2299"/>
        <v>0</v>
      </c>
      <c r="BD272" s="41">
        <f t="shared" si="2300"/>
        <v>0</v>
      </c>
      <c r="BE272" s="41">
        <f t="shared" si="2301"/>
        <v>0</v>
      </c>
      <c r="BF272" s="41">
        <f t="shared" si="2302"/>
        <v>0</v>
      </c>
      <c r="BG272" s="41">
        <f t="shared" si="2303"/>
        <v>0</v>
      </c>
      <c r="BH272" s="41">
        <f t="shared" si="2304"/>
        <v>0</v>
      </c>
      <c r="BI272" s="42">
        <f t="shared" si="2305"/>
        <v>0</v>
      </c>
      <c r="BJ272" s="41">
        <f t="shared" si="2306"/>
        <v>0</v>
      </c>
      <c r="BK272" s="41">
        <f t="shared" si="2307"/>
        <v>0</v>
      </c>
      <c r="BL272" s="41">
        <f t="shared" si="2308"/>
        <v>0</v>
      </c>
      <c r="BM272" s="41">
        <f t="shared" si="2309"/>
        <v>0</v>
      </c>
      <c r="BN272" s="41">
        <f t="shared" si="2310"/>
        <v>0</v>
      </c>
    </row>
    <row r="273" spans="1:66" ht="12" customHeight="1" outlineLevel="1">
      <c r="A273" s="91" t="s">
        <v>1564</v>
      </c>
      <c r="B273" s="1" t="s">
        <v>25</v>
      </c>
      <c r="C273" s="21">
        <f t="shared" ref="C273:O273" si="2391">C564+C634</f>
        <v>2308</v>
      </c>
      <c r="D273" s="21">
        <f t="shared" si="2391"/>
        <v>2557</v>
      </c>
      <c r="E273" s="21">
        <f t="shared" si="2391"/>
        <v>2687</v>
      </c>
      <c r="F273" s="21">
        <f t="shared" si="2391"/>
        <v>2748</v>
      </c>
      <c r="G273" s="21">
        <f t="shared" si="2391"/>
        <v>2271</v>
      </c>
      <c r="H273" s="21">
        <f t="shared" si="2391"/>
        <v>2136</v>
      </c>
      <c r="I273" s="21">
        <f t="shared" si="2391"/>
        <v>1986</v>
      </c>
      <c r="J273" s="21">
        <f t="shared" si="2391"/>
        <v>1966</v>
      </c>
      <c r="K273" s="21">
        <f t="shared" si="2391"/>
        <v>1970</v>
      </c>
      <c r="L273" s="21">
        <f t="shared" si="2391"/>
        <v>1994</v>
      </c>
      <c r="M273" s="21">
        <f t="shared" si="2391"/>
        <v>1972</v>
      </c>
      <c r="N273" s="21">
        <f t="shared" si="2391"/>
        <v>1982</v>
      </c>
      <c r="O273" s="21">
        <f t="shared" si="2391"/>
        <v>1966</v>
      </c>
      <c r="P273" s="21">
        <v>2012</v>
      </c>
      <c r="Q273" s="21">
        <v>1922</v>
      </c>
      <c r="R273" s="21">
        <v>1888</v>
      </c>
      <c r="S273" s="21">
        <v>1986</v>
      </c>
      <c r="T273" s="21">
        <v>2261</v>
      </c>
      <c r="U273" s="21">
        <v>2786</v>
      </c>
      <c r="V273" s="21">
        <v>2866</v>
      </c>
      <c r="W273" s="21">
        <v>2145</v>
      </c>
      <c r="X273" s="21">
        <v>2136</v>
      </c>
      <c r="Y273" s="21">
        <v>2167</v>
      </c>
      <c r="Z273" s="21">
        <v>2133</v>
      </c>
      <c r="AA273" s="21">
        <v>2120</v>
      </c>
      <c r="AB273" s="21">
        <v>2179</v>
      </c>
      <c r="AC273" s="21">
        <v>2272</v>
      </c>
      <c r="AD273" s="21">
        <v>2378</v>
      </c>
      <c r="AE273" s="21">
        <v>2469</v>
      </c>
      <c r="AF273" s="21">
        <v>2523</v>
      </c>
      <c r="AG273" s="21">
        <v>2544</v>
      </c>
      <c r="AH273" s="21">
        <v>2538</v>
      </c>
      <c r="AI273" s="24">
        <v>2615</v>
      </c>
      <c r="AJ273" s="58">
        <f>AI273*1.01</f>
        <v>2641.15</v>
      </c>
      <c r="AK273" s="58">
        <f t="shared" ref="AK273:AR273" si="2392">AJ273*1.01</f>
        <v>2667.5615000000003</v>
      </c>
      <c r="AL273" s="58">
        <f t="shared" si="2392"/>
        <v>2694.2371150000004</v>
      </c>
      <c r="AM273" s="58">
        <f t="shared" si="2392"/>
        <v>2721.1794861500002</v>
      </c>
      <c r="AN273" s="58">
        <f t="shared" si="2392"/>
        <v>2748.3912810115003</v>
      </c>
      <c r="AO273" s="58">
        <f t="shared" si="2392"/>
        <v>2775.8751938216151</v>
      </c>
      <c r="AP273" s="58">
        <f t="shared" si="2392"/>
        <v>2803.6339457598315</v>
      </c>
      <c r="AQ273" s="58">
        <f t="shared" si="2392"/>
        <v>2831.6702852174299</v>
      </c>
      <c r="AR273" s="58">
        <f t="shared" si="2392"/>
        <v>2859.9869880696042</v>
      </c>
      <c r="AS273" s="8"/>
      <c r="AT273" s="41">
        <f t="shared" si="2290"/>
        <v>2557</v>
      </c>
      <c r="AU273" s="41">
        <f t="shared" si="2291"/>
        <v>2748</v>
      </c>
      <c r="AV273" s="41">
        <f t="shared" si="2292"/>
        <v>2136</v>
      </c>
      <c r="AW273" s="41">
        <f t="shared" si="2293"/>
        <v>1966</v>
      </c>
      <c r="AX273" s="41">
        <f t="shared" si="2294"/>
        <v>1994</v>
      </c>
      <c r="AY273" s="41">
        <f t="shared" si="2295"/>
        <v>1982</v>
      </c>
      <c r="AZ273" s="41">
        <f t="shared" si="2296"/>
        <v>2012</v>
      </c>
      <c r="BA273" s="41">
        <f t="shared" si="2297"/>
        <v>1888</v>
      </c>
      <c r="BB273" s="41">
        <f t="shared" si="2298"/>
        <v>2261</v>
      </c>
      <c r="BC273" s="41">
        <f t="shared" si="2299"/>
        <v>2866</v>
      </c>
      <c r="BD273" s="41">
        <f t="shared" si="2300"/>
        <v>2136</v>
      </c>
      <c r="BE273" s="41">
        <f t="shared" si="2301"/>
        <v>2133</v>
      </c>
      <c r="BF273" s="41">
        <f t="shared" si="2302"/>
        <v>2179</v>
      </c>
      <c r="BG273" s="41">
        <f t="shared" si="2303"/>
        <v>2378</v>
      </c>
      <c r="BH273" s="41">
        <f t="shared" si="2304"/>
        <v>2523</v>
      </c>
      <c r="BI273" s="42">
        <f t="shared" si="2305"/>
        <v>2538</v>
      </c>
      <c r="BJ273" s="41">
        <f t="shared" si="2306"/>
        <v>2641.15</v>
      </c>
      <c r="BK273" s="41">
        <f t="shared" si="2307"/>
        <v>2694.2371150000004</v>
      </c>
      <c r="BL273" s="41">
        <f t="shared" si="2308"/>
        <v>2748.3912810115003</v>
      </c>
      <c r="BM273" s="41">
        <f t="shared" si="2309"/>
        <v>2803.6339457598315</v>
      </c>
      <c r="BN273" s="41">
        <f t="shared" si="2310"/>
        <v>2859.9869880696042</v>
      </c>
    </row>
    <row r="274" spans="1:66" ht="12" customHeight="1" outlineLevel="1"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20"/>
      <c r="AJ274" s="19"/>
      <c r="AK274" s="19"/>
      <c r="AL274" s="19"/>
      <c r="AM274" s="19"/>
      <c r="AN274" s="19"/>
      <c r="AO274" s="19"/>
      <c r="AP274" s="19"/>
      <c r="AQ274" s="19"/>
      <c r="AR274" s="19"/>
      <c r="AT274" s="19"/>
      <c r="AU274" s="19"/>
      <c r="AV274" s="19"/>
      <c r="AW274" s="19"/>
      <c r="AX274" s="19"/>
      <c r="AY274" s="19"/>
      <c r="AZ274" s="33"/>
      <c r="BA274" s="33"/>
      <c r="BB274" s="33"/>
      <c r="BC274" s="33"/>
      <c r="BD274" s="33"/>
      <c r="BE274" s="33"/>
      <c r="BF274" s="33"/>
      <c r="BG274" s="33"/>
      <c r="BH274" s="33"/>
      <c r="BI274" s="32"/>
      <c r="BJ274" s="33"/>
      <c r="BK274" s="33"/>
      <c r="BL274" s="33"/>
      <c r="BM274" s="33"/>
      <c r="BN274" s="33"/>
    </row>
    <row r="275" spans="1:66" ht="12" customHeight="1" outlineLevel="1">
      <c r="B275" s="9" t="s">
        <v>158</v>
      </c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34"/>
      <c r="N275" s="34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35"/>
      <c r="AJ275" s="19"/>
      <c r="AK275" s="19"/>
      <c r="AL275" s="19"/>
      <c r="AM275" s="19"/>
      <c r="AN275" s="19"/>
      <c r="AO275" s="19"/>
      <c r="AP275" s="19"/>
      <c r="AQ275" s="19"/>
      <c r="AR275" s="19"/>
      <c r="AT275" s="19"/>
      <c r="AU275" s="19"/>
      <c r="AV275" s="19"/>
      <c r="AW275" s="19"/>
      <c r="AX275" s="19"/>
      <c r="AY275" s="19"/>
      <c r="AZ275" s="19"/>
      <c r="BA275" s="19"/>
      <c r="BB275" s="19"/>
      <c r="BC275" s="19"/>
      <c r="BD275" s="19"/>
      <c r="BE275" s="19"/>
      <c r="BF275" s="19"/>
      <c r="BG275" s="19"/>
      <c r="BH275" s="19"/>
      <c r="BI275" s="20"/>
      <c r="BJ275" s="19"/>
      <c r="BK275" s="19"/>
      <c r="BL275" s="19"/>
      <c r="BM275" s="19"/>
      <c r="BN275" s="19"/>
    </row>
    <row r="276" spans="1:66" ht="12" customHeight="1" outlineLevel="1">
      <c r="B276" s="1" t="s">
        <v>58</v>
      </c>
      <c r="C276" s="50" t="str">
        <f>IF(ISERROR(C266/B266),"n.a.",C266/B266-1)</f>
        <v>n.a.</v>
      </c>
      <c r="D276" s="50" t="str">
        <f>IF(ISERROR(D266/C266),"n.a.",D266/C266-1)</f>
        <v>n.a.</v>
      </c>
      <c r="E276" s="50" t="str">
        <f t="shared" ref="E276" si="2393">IF(ISERROR(E266/D266),"n.a.",E266/D266-1)</f>
        <v>n.a.</v>
      </c>
      <c r="F276" s="50" t="str">
        <f t="shared" ref="F276" si="2394">IF(ISERROR(F266/E266),"n.a.",F266/E266-1)</f>
        <v>n.a.</v>
      </c>
      <c r="G276" s="50" t="str">
        <f t="shared" ref="G276" si="2395">IF(ISERROR(G266/F266),"n.a.",G266/F266-1)</f>
        <v>n.a.</v>
      </c>
      <c r="H276" s="50" t="str">
        <f t="shared" ref="H276" si="2396">IF(ISERROR(H266/G266),"n.a.",H266/G266-1)</f>
        <v>n.a.</v>
      </c>
      <c r="I276" s="50" t="str">
        <f t="shared" ref="I276" si="2397">IF(ISERROR(I266/H266),"n.a.",I266/H266-1)</f>
        <v>n.a.</v>
      </c>
      <c r="J276" s="50" t="str">
        <f t="shared" ref="J276" si="2398">IF(ISERROR(J266/I266),"n.a.",J266/I266-1)</f>
        <v>n.a.</v>
      </c>
      <c r="K276" s="50" t="str">
        <f t="shared" ref="K276" si="2399">IF(ISERROR(K266/J266),"n.a.",K266/J266-1)</f>
        <v>n.a.</v>
      </c>
      <c r="L276" s="50" t="str">
        <f t="shared" ref="L276" si="2400">IF(ISERROR(L266/K266),"n.a.",L266/K266-1)</f>
        <v>n.a.</v>
      </c>
      <c r="M276" s="69" t="str">
        <f t="shared" ref="M276" si="2401">IF(ISERROR(M266/L266),"n.a.",M266/L266-1)</f>
        <v>n.a.</v>
      </c>
      <c r="N276" s="69" t="str">
        <f t="shared" ref="N276" si="2402">IF(ISERROR(N266/M266),"n.a.",N266/M266-1)</f>
        <v>n.a.</v>
      </c>
      <c r="O276" s="69" t="str">
        <f t="shared" ref="O276" si="2403">IF(ISERROR(O266/N266),"n.a.",O266/N266-1)</f>
        <v>n.a.</v>
      </c>
      <c r="P276" s="69" t="str">
        <f t="shared" ref="P276" si="2404">IF(ISERROR(P266/O266),"n.a.",P266/O266-1)</f>
        <v>n.a.</v>
      </c>
      <c r="Q276" s="69" t="str">
        <f t="shared" ref="Q276:AI276" si="2405">IF(ISERROR(Q266/P266),"n.a.",Q266/P266-1)</f>
        <v>n.a.</v>
      </c>
      <c r="R276" s="69" t="str">
        <f t="shared" si="2405"/>
        <v>n.a.</v>
      </c>
      <c r="S276" s="69" t="str">
        <f t="shared" si="2405"/>
        <v>n.a.</v>
      </c>
      <c r="T276" s="69" t="str">
        <f t="shared" si="2405"/>
        <v>n.a.</v>
      </c>
      <c r="U276" s="69" t="str">
        <f t="shared" si="2405"/>
        <v>n.a.</v>
      </c>
      <c r="V276" s="69">
        <f t="shared" si="2405"/>
        <v>-2.9850746268656692E-2</v>
      </c>
      <c r="W276" s="69">
        <f t="shared" si="2405"/>
        <v>9.2307692307692202E-2</v>
      </c>
      <c r="X276" s="69">
        <f t="shared" si="2405"/>
        <v>2.8169014084507005E-2</v>
      </c>
      <c r="Y276" s="69">
        <f t="shared" si="2405"/>
        <v>-0.25342465753424659</v>
      </c>
      <c r="Z276" s="69">
        <f t="shared" si="2405"/>
        <v>9.174311926605494E-2</v>
      </c>
      <c r="AA276" s="69">
        <f t="shared" si="2405"/>
        <v>0.13445378151260501</v>
      </c>
      <c r="AB276" s="69">
        <f t="shared" si="2405"/>
        <v>0.14074074074074083</v>
      </c>
      <c r="AC276" s="69">
        <f t="shared" si="2405"/>
        <v>1.298701298701288E-2</v>
      </c>
      <c r="AD276" s="69">
        <f t="shared" si="2405"/>
        <v>8.9743589743589647E-2</v>
      </c>
      <c r="AE276" s="69">
        <f t="shared" si="2405"/>
        <v>4.705882352941182E-2</v>
      </c>
      <c r="AF276" s="69">
        <f t="shared" si="2405"/>
        <v>7.8651685393258397E-2</v>
      </c>
      <c r="AG276" s="69">
        <f t="shared" si="2405"/>
        <v>-4.6875E-2</v>
      </c>
      <c r="AH276" s="69">
        <f t="shared" si="2405"/>
        <v>3.2786885245901676E-2</v>
      </c>
      <c r="AI276" s="89">
        <f t="shared" si="2405"/>
        <v>6.8783068783068835E-2</v>
      </c>
      <c r="AJ276" s="56">
        <v>0.01</v>
      </c>
      <c r="AK276" s="56">
        <v>0.01</v>
      </c>
      <c r="AL276" s="56">
        <v>0.01</v>
      </c>
      <c r="AM276" s="56">
        <v>0.01</v>
      </c>
      <c r="AN276" s="56">
        <v>0.01</v>
      </c>
      <c r="AO276" s="56">
        <v>0.01</v>
      </c>
      <c r="AP276" s="56">
        <v>0.01</v>
      </c>
      <c r="AQ276" s="56">
        <v>0.01</v>
      </c>
      <c r="AR276" s="56">
        <v>0.01</v>
      </c>
      <c r="AS276" s="8"/>
      <c r="AT276" s="50" t="str">
        <f t="shared" ref="AT276" si="2406">IF(ISERROR(AT266/AS266),"n.a.",AT266/AS266-1)</f>
        <v>n.a.</v>
      </c>
      <c r="AU276" s="50" t="str">
        <f t="shared" ref="AU276" si="2407">IF(ISERROR(AU266/AT266),"n.a.",AU266/AT266-1)</f>
        <v>n.a.</v>
      </c>
      <c r="AV276" s="50" t="str">
        <f t="shared" ref="AV276" si="2408">IF(ISERROR(AV266/AU266),"n.a.",AV266/AU266-1)</f>
        <v>n.a.</v>
      </c>
      <c r="AW276" s="50" t="str">
        <f t="shared" ref="AW276" si="2409">IF(ISERROR(AW266/AV266),"n.a.",AW266/AV266-1)</f>
        <v>n.a.</v>
      </c>
      <c r="AX276" s="50" t="str">
        <f t="shared" ref="AX276" si="2410">IF(ISERROR(AX266/AW266),"n.a.",AX266/AW266-1)</f>
        <v>n.a.</v>
      </c>
      <c r="AY276" s="50" t="str">
        <f t="shared" ref="AY276" si="2411">IF(ISERROR(AY266/AX266),"n.a.",AY266/AX266-1)</f>
        <v>n.a.</v>
      </c>
      <c r="AZ276" s="50" t="str">
        <f t="shared" ref="AZ276" si="2412">IF(ISERROR(AZ266/AY266),"n.a.",AZ266/AY266-1)</f>
        <v>n.a.</v>
      </c>
      <c r="BA276" s="50" t="str">
        <f t="shared" ref="BA276" si="2413">IF(ISERROR(BA266/AZ266),"n.a.",BA266/AZ266-1)</f>
        <v>n.a.</v>
      </c>
      <c r="BB276" s="50" t="str">
        <f t="shared" ref="BB276" si="2414">IF(ISERROR(BB266/BA266),"n.a.",BB266/BA266-1)</f>
        <v>n.a.</v>
      </c>
      <c r="BC276" s="50" t="str">
        <f t="shared" ref="BC276" si="2415">IF(ISERROR(BC266/BB266),"n.a.",BC266/BB266-1)</f>
        <v>n.a.</v>
      </c>
      <c r="BD276" s="50">
        <f t="shared" ref="BD276" si="2416">IF(ISERROR(BD266/BC266),"n.a.",BD266/BC266-1)</f>
        <v>0.12307692307692308</v>
      </c>
      <c r="BE276" s="50">
        <f t="shared" ref="BE276" si="2417">IF(ISERROR(BE266/BD266),"n.a.",BE266/BD266-1)</f>
        <v>-0.18493150684931503</v>
      </c>
      <c r="BF276" s="50">
        <f t="shared" ref="BF276" si="2418">IF(ISERROR(BF266/BE266),"n.a.",BF266/BE266-1)</f>
        <v>0.29411764705882359</v>
      </c>
      <c r="BG276" s="50">
        <f t="shared" ref="BG276" si="2419">IF(ISERROR(BG266/BF266),"n.a.",BG266/BF266-1)</f>
        <v>0.10389610389610393</v>
      </c>
      <c r="BH276" s="50">
        <f t="shared" ref="BH276:BN276" si="2420">IF(ISERROR(BH266/BG266),"n.a.",BH266/BG266-1)</f>
        <v>0.12941176470588234</v>
      </c>
      <c r="BI276" s="51">
        <f t="shared" si="2420"/>
        <v>-1.5625E-2</v>
      </c>
      <c r="BJ276" s="50">
        <f t="shared" si="2420"/>
        <v>7.947089947089947E-2</v>
      </c>
      <c r="BK276" s="50">
        <f t="shared" si="2420"/>
        <v>2.0100000000000007E-2</v>
      </c>
      <c r="BL276" s="50">
        <f t="shared" si="2420"/>
        <v>2.0100000000000007E-2</v>
      </c>
      <c r="BM276" s="50">
        <f t="shared" si="2420"/>
        <v>2.0100000000000229E-2</v>
      </c>
      <c r="BN276" s="50">
        <f t="shared" si="2420"/>
        <v>2.0100000000000007E-2</v>
      </c>
    </row>
    <row r="277" spans="1:66" ht="12" customHeight="1" outlineLevel="1">
      <c r="B277" s="1" t="s">
        <v>59</v>
      </c>
      <c r="C277" s="37" t="str">
        <f t="shared" ref="C277" si="2421">IF(ISERROR(C229-B229),"n.a.",C229-B229)</f>
        <v>n.a.</v>
      </c>
      <c r="D277" s="37" t="str">
        <f t="shared" ref="D277" si="2422">IF(ISERROR(D229-C229),"n.a.",D229-C229)</f>
        <v>n.a.</v>
      </c>
      <c r="E277" s="37" t="str">
        <f t="shared" ref="E277" si="2423">IF(ISERROR(E229-D229),"n.a.",E229-D229)</f>
        <v>n.a.</v>
      </c>
      <c r="F277" s="37" t="str">
        <f t="shared" ref="F277" si="2424">IF(ISERROR(F229-E229),"n.a.",F229-E229)</f>
        <v>n.a.</v>
      </c>
      <c r="G277" s="37" t="str">
        <f t="shared" ref="G277" si="2425">IF(ISERROR(G229-F229),"n.a.",G229-F229)</f>
        <v>n.a.</v>
      </c>
      <c r="H277" s="37" t="str">
        <f t="shared" ref="H277" si="2426">IF(ISERROR(H229-G229),"n.a.",H229-G229)</f>
        <v>n.a.</v>
      </c>
      <c r="I277" s="37" t="str">
        <f t="shared" ref="I277" si="2427">IF(ISERROR(I229-H229),"n.a.",I229-H229)</f>
        <v>n.a.</v>
      </c>
      <c r="J277" s="37" t="str">
        <f t="shared" ref="J277" si="2428">IF(ISERROR(J229-I229),"n.a.",J229-I229)</f>
        <v>n.a.</v>
      </c>
      <c r="K277" s="37" t="str">
        <f t="shared" ref="K277" si="2429">IF(ISERROR(K229-J229),"n.a.",K229-J229)</f>
        <v>n.a.</v>
      </c>
      <c r="L277" s="37" t="str">
        <f t="shared" ref="L277" si="2430">IF(ISERROR(L229-K229),"n.a.",L229-K229)</f>
        <v>n.a.</v>
      </c>
      <c r="M277" s="78" t="str">
        <f t="shared" ref="M277" si="2431">IF(ISERROR(M229-L229),"n.a.",M229-L229)</f>
        <v>n.a.</v>
      </c>
      <c r="N277" s="78" t="str">
        <f t="shared" ref="N277" si="2432">IF(ISERROR(N229-M229),"n.a.",N229-M229)</f>
        <v>n.a.</v>
      </c>
      <c r="O277" s="78" t="str">
        <f t="shared" ref="O277" si="2433">IF(ISERROR(O229-N229),"n.a.",O229-N229)</f>
        <v>n.a.</v>
      </c>
      <c r="P277" s="78" t="str">
        <f t="shared" ref="P277" si="2434">IF(ISERROR(P229-O229),"n.a.",P229-O229)</f>
        <v>n.a.</v>
      </c>
      <c r="Q277" s="78" t="str">
        <f t="shared" ref="Q277:AI277" si="2435">IF(ISERROR(Q229-P229),"n.a.",Q229-P229)</f>
        <v>n.a.</v>
      </c>
      <c r="R277" s="78" t="str">
        <f t="shared" si="2435"/>
        <v>n.a.</v>
      </c>
      <c r="S277" s="78" t="str">
        <f t="shared" si="2435"/>
        <v>n.a.</v>
      </c>
      <c r="T277" s="78" t="str">
        <f t="shared" si="2435"/>
        <v>n.a.</v>
      </c>
      <c r="U277" s="78" t="str">
        <f t="shared" si="2435"/>
        <v>n.a.</v>
      </c>
      <c r="V277" s="78">
        <f t="shared" si="2435"/>
        <v>0</v>
      </c>
      <c r="W277" s="78">
        <f t="shared" si="2435"/>
        <v>0</v>
      </c>
      <c r="X277" s="78">
        <f t="shared" si="2435"/>
        <v>0</v>
      </c>
      <c r="Y277" s="78">
        <f t="shared" si="2435"/>
        <v>0</v>
      </c>
      <c r="Z277" s="78">
        <f t="shared" si="2435"/>
        <v>0</v>
      </c>
      <c r="AA277" s="78">
        <f t="shared" si="2435"/>
        <v>0</v>
      </c>
      <c r="AB277" s="78">
        <f t="shared" si="2435"/>
        <v>0</v>
      </c>
      <c r="AC277" s="78">
        <f t="shared" si="2435"/>
        <v>0</v>
      </c>
      <c r="AD277" s="78">
        <f t="shared" si="2435"/>
        <v>0</v>
      </c>
      <c r="AE277" s="78">
        <f t="shared" si="2435"/>
        <v>0</v>
      </c>
      <c r="AF277" s="78">
        <f t="shared" si="2435"/>
        <v>0</v>
      </c>
      <c r="AG277" s="78">
        <f t="shared" si="2435"/>
        <v>0</v>
      </c>
      <c r="AH277" s="78">
        <f t="shared" si="2435"/>
        <v>0</v>
      </c>
      <c r="AI277" s="88">
        <f t="shared" si="2435"/>
        <v>0</v>
      </c>
      <c r="AJ277" s="66">
        <v>0</v>
      </c>
      <c r="AK277" s="66">
        <v>0</v>
      </c>
      <c r="AL277" s="66">
        <v>0</v>
      </c>
      <c r="AM277" s="66">
        <v>0</v>
      </c>
      <c r="AN277" s="66">
        <v>0</v>
      </c>
      <c r="AO277" s="66">
        <v>0</v>
      </c>
      <c r="AP277" s="66">
        <v>0</v>
      </c>
      <c r="AQ277" s="66">
        <v>0</v>
      </c>
      <c r="AR277" s="66">
        <v>0</v>
      </c>
      <c r="AS277" s="8"/>
      <c r="AT277" s="37" t="str">
        <f t="shared" ref="AT277" si="2436">IF(ISERROR(AT229-AS229),"n.a.",AT229-AS229)</f>
        <v>n.a.</v>
      </c>
      <c r="AU277" s="37" t="str">
        <f t="shared" ref="AU277" si="2437">IF(ISERROR(AU229-AT229),"n.a.",AU229-AT229)</f>
        <v>n.a.</v>
      </c>
      <c r="AV277" s="37" t="str">
        <f t="shared" ref="AV277" si="2438">IF(ISERROR(AV229-AU229),"n.a.",AV229-AU229)</f>
        <v>n.a.</v>
      </c>
      <c r="AW277" s="37" t="str">
        <f t="shared" ref="AW277" si="2439">IF(ISERROR(AW229-AV229),"n.a.",AW229-AV229)</f>
        <v>n.a.</v>
      </c>
      <c r="AX277" s="37" t="str">
        <f t="shared" ref="AX277" si="2440">IF(ISERROR(AX229-AW229),"n.a.",AX229-AW229)</f>
        <v>n.a.</v>
      </c>
      <c r="AY277" s="37" t="str">
        <f t="shared" ref="AY277" si="2441">IF(ISERROR(AY229-AX229),"n.a.",AY229-AX229)</f>
        <v>n.a.</v>
      </c>
      <c r="AZ277" s="37" t="str">
        <f t="shared" ref="AZ277" si="2442">IF(ISERROR(AZ229-AY229),"n.a.",AZ229-AY229)</f>
        <v>n.a.</v>
      </c>
      <c r="BA277" s="37" t="str">
        <f t="shared" ref="BA277" si="2443">IF(ISERROR(BA229-AZ229),"n.a.",BA229-AZ229)</f>
        <v>n.a.</v>
      </c>
      <c r="BB277" s="37" t="str">
        <f t="shared" ref="BB277" si="2444">IF(ISERROR(BB229-BA229),"n.a.",BB229-BA229)</f>
        <v>n.a.</v>
      </c>
      <c r="BC277" s="37" t="str">
        <f t="shared" ref="BC277" si="2445">IF(ISERROR(BC229-BB229),"n.a.",BC229-BB229)</f>
        <v>n.a.</v>
      </c>
      <c r="BD277" s="37">
        <f t="shared" ref="BD277" si="2446">IF(ISERROR(BD229-BC229),"n.a.",BD229-BC229)</f>
        <v>0</v>
      </c>
      <c r="BE277" s="37">
        <f t="shared" ref="BE277" si="2447">IF(ISERROR(BE229-BD229),"n.a.",BE229-BD229)</f>
        <v>0</v>
      </c>
      <c r="BF277" s="37">
        <f t="shared" ref="BF277" si="2448">IF(ISERROR(BF229-BE229),"n.a.",BF229-BE229)</f>
        <v>0</v>
      </c>
      <c r="BG277" s="37">
        <f t="shared" ref="BG277" si="2449">IF(ISERROR(BG229-BF229),"n.a.",BG229-BF229)</f>
        <v>0</v>
      </c>
      <c r="BH277" s="37">
        <f t="shared" ref="BH277:BN277" si="2450">IF(ISERROR(BH229-BG229),"n.a.",BH229-BG229)</f>
        <v>0</v>
      </c>
      <c r="BI277" s="38">
        <f t="shared" si="2450"/>
        <v>0</v>
      </c>
      <c r="BJ277" s="37">
        <f t="shared" si="2450"/>
        <v>0</v>
      </c>
      <c r="BK277" s="37">
        <f t="shared" si="2450"/>
        <v>0</v>
      </c>
      <c r="BL277" s="37">
        <f t="shared" si="2450"/>
        <v>0</v>
      </c>
      <c r="BM277" s="37">
        <f t="shared" si="2450"/>
        <v>0</v>
      </c>
      <c r="BN277" s="37">
        <f t="shared" si="2450"/>
        <v>0</v>
      </c>
    </row>
    <row r="278" spans="1:66" ht="12" customHeight="1" outlineLevel="1">
      <c r="B278" s="1" t="s">
        <v>60</v>
      </c>
      <c r="C278" s="50" t="str">
        <f>IF(ISERROR(C269/B269),"n.a.",C269/B269-1)</f>
        <v>n.a.</v>
      </c>
      <c r="D278" s="50" t="str">
        <f>IF(ISERROR(D269/C269),"n.a.",D269/C269-1)</f>
        <v>n.a.</v>
      </c>
      <c r="E278" s="50" t="str">
        <f t="shared" ref="E278" si="2451">IF(ISERROR(E269/D269),"n.a.",E269/D269-1)</f>
        <v>n.a.</v>
      </c>
      <c r="F278" s="50" t="str">
        <f t="shared" ref="F278" si="2452">IF(ISERROR(F269/E269),"n.a.",F269/E269-1)</f>
        <v>n.a.</v>
      </c>
      <c r="G278" s="50" t="str">
        <f t="shared" ref="G278" si="2453">IF(ISERROR(G269/F269),"n.a.",G269/F269-1)</f>
        <v>n.a.</v>
      </c>
      <c r="H278" s="50" t="str">
        <f t="shared" ref="H278" si="2454">IF(ISERROR(H269/G269),"n.a.",H269/G269-1)</f>
        <v>n.a.</v>
      </c>
      <c r="I278" s="50" t="str">
        <f t="shared" ref="I278" si="2455">IF(ISERROR(I269/H269),"n.a.",I269/H269-1)</f>
        <v>n.a.</v>
      </c>
      <c r="J278" s="50" t="str">
        <f t="shared" ref="J278" si="2456">IF(ISERROR(J269/I269),"n.a.",J269/I269-1)</f>
        <v>n.a.</v>
      </c>
      <c r="K278" s="50" t="str">
        <f t="shared" ref="K278" si="2457">IF(ISERROR(K269/J269),"n.a.",K269/J269-1)</f>
        <v>n.a.</v>
      </c>
      <c r="L278" s="50" t="str">
        <f t="shared" ref="L278" si="2458">IF(ISERROR(L269/K269),"n.a.",L269/K269-1)</f>
        <v>n.a.</v>
      </c>
      <c r="M278" s="69" t="str">
        <f t="shared" ref="M278" si="2459">IF(ISERROR(M269/L269),"n.a.",M269/L269-1)</f>
        <v>n.a.</v>
      </c>
      <c r="N278" s="69" t="str">
        <f t="shared" ref="N278" si="2460">IF(ISERROR(N269/M269),"n.a.",N269/M269-1)</f>
        <v>n.a.</v>
      </c>
      <c r="O278" s="69" t="str">
        <f t="shared" ref="O278" si="2461">IF(ISERROR(O269/N269),"n.a.",O269/N269-1)</f>
        <v>n.a.</v>
      </c>
      <c r="P278" s="69" t="str">
        <f t="shared" ref="P278" si="2462">IF(ISERROR(P269/O269),"n.a.",P269/O269-1)</f>
        <v>n.a.</v>
      </c>
      <c r="Q278" s="69" t="str">
        <f t="shared" ref="Q278:AI278" si="2463">IF(ISERROR(Q269/P269),"n.a.",Q269/P269-1)</f>
        <v>n.a.</v>
      </c>
      <c r="R278" s="69" t="str">
        <f t="shared" si="2463"/>
        <v>n.a.</v>
      </c>
      <c r="S278" s="69" t="str">
        <f t="shared" si="2463"/>
        <v>n.a.</v>
      </c>
      <c r="T278" s="69" t="str">
        <f t="shared" si="2463"/>
        <v>n.a.</v>
      </c>
      <c r="U278" s="69" t="str">
        <f t="shared" si="2463"/>
        <v>n.a.</v>
      </c>
      <c r="V278" s="69" t="str">
        <f t="shared" si="2463"/>
        <v>n.a.</v>
      </c>
      <c r="W278" s="69" t="str">
        <f t="shared" si="2463"/>
        <v>n.a.</v>
      </c>
      <c r="X278" s="69" t="str">
        <f t="shared" si="2463"/>
        <v>n.a.</v>
      </c>
      <c r="Y278" s="69" t="str">
        <f t="shared" si="2463"/>
        <v>n.a.</v>
      </c>
      <c r="Z278" s="69" t="str">
        <f t="shared" si="2463"/>
        <v>n.a.</v>
      </c>
      <c r="AA278" s="69" t="str">
        <f t="shared" si="2463"/>
        <v>n.a.</v>
      </c>
      <c r="AB278" s="69" t="str">
        <f t="shared" si="2463"/>
        <v>n.a.</v>
      </c>
      <c r="AC278" s="69" t="str">
        <f t="shared" si="2463"/>
        <v>n.a.</v>
      </c>
      <c r="AD278" s="69" t="str">
        <f t="shared" si="2463"/>
        <v>n.a.</v>
      </c>
      <c r="AE278" s="69" t="str">
        <f t="shared" si="2463"/>
        <v>n.a.</v>
      </c>
      <c r="AF278" s="69" t="str">
        <f t="shared" si="2463"/>
        <v>n.a.</v>
      </c>
      <c r="AG278" s="69" t="str">
        <f t="shared" si="2463"/>
        <v>n.a.</v>
      </c>
      <c r="AH278" s="69" t="str">
        <f t="shared" si="2463"/>
        <v>n.a.</v>
      </c>
      <c r="AI278" s="89" t="str">
        <f t="shared" si="2463"/>
        <v>n.a.</v>
      </c>
      <c r="AJ278" s="56">
        <v>0.03</v>
      </c>
      <c r="AK278" s="56">
        <v>0.03</v>
      </c>
      <c r="AL278" s="56">
        <v>0.03</v>
      </c>
      <c r="AM278" s="56">
        <v>0.03</v>
      </c>
      <c r="AN278" s="56">
        <v>0.03</v>
      </c>
      <c r="AO278" s="56">
        <v>0.03</v>
      </c>
      <c r="AP278" s="56">
        <v>0.03</v>
      </c>
      <c r="AQ278" s="56">
        <v>0.03</v>
      </c>
      <c r="AR278" s="56">
        <v>0.03</v>
      </c>
      <c r="AS278" s="8"/>
      <c r="AT278" s="50" t="str">
        <f t="shared" ref="AT278" si="2464">IF(ISERROR(AT269/AS269),"n.a.",AT269/AS269-1)</f>
        <v>n.a.</v>
      </c>
      <c r="AU278" s="50" t="str">
        <f t="shared" ref="AU278" si="2465">IF(ISERROR(AU269/AT269),"n.a.",AU269/AT269-1)</f>
        <v>n.a.</v>
      </c>
      <c r="AV278" s="50" t="str">
        <f t="shared" ref="AV278" si="2466">IF(ISERROR(AV269/AU269),"n.a.",AV269/AU269-1)</f>
        <v>n.a.</v>
      </c>
      <c r="AW278" s="50" t="str">
        <f t="shared" ref="AW278" si="2467">IF(ISERROR(AW269/AV269),"n.a.",AW269/AV269-1)</f>
        <v>n.a.</v>
      </c>
      <c r="AX278" s="50" t="str">
        <f t="shared" ref="AX278" si="2468">IF(ISERROR(AX269/AW269),"n.a.",AX269/AW269-1)</f>
        <v>n.a.</v>
      </c>
      <c r="AY278" s="50" t="str">
        <f t="shared" ref="AY278" si="2469">IF(ISERROR(AY269/AX269),"n.a.",AY269/AX269-1)</f>
        <v>n.a.</v>
      </c>
      <c r="AZ278" s="50" t="str">
        <f t="shared" ref="AZ278" si="2470">IF(ISERROR(AZ269/AY269),"n.a.",AZ269/AY269-1)</f>
        <v>n.a.</v>
      </c>
      <c r="BA278" s="50" t="str">
        <f t="shared" ref="BA278" si="2471">IF(ISERROR(BA269/AZ269),"n.a.",BA269/AZ269-1)</f>
        <v>n.a.</v>
      </c>
      <c r="BB278" s="50" t="str">
        <f t="shared" ref="BB278" si="2472">IF(ISERROR(BB269/BA269),"n.a.",BB269/BA269-1)</f>
        <v>n.a.</v>
      </c>
      <c r="BC278" s="50" t="str">
        <f t="shared" ref="BC278" si="2473">IF(ISERROR(BC269/BB269),"n.a.",BC269/BB269-1)</f>
        <v>n.a.</v>
      </c>
      <c r="BD278" s="50" t="str">
        <f t="shared" ref="BD278" si="2474">IF(ISERROR(BD269/BC269),"n.a.",BD269/BC269-1)</f>
        <v>n.a.</v>
      </c>
      <c r="BE278" s="50" t="str">
        <f t="shared" ref="BE278" si="2475">IF(ISERROR(BE269/BD269),"n.a.",BE269/BD269-1)</f>
        <v>n.a.</v>
      </c>
      <c r="BF278" s="50" t="str">
        <f t="shared" ref="BF278" si="2476">IF(ISERROR(BF269/BE269),"n.a.",BF269/BE269-1)</f>
        <v>n.a.</v>
      </c>
      <c r="BG278" s="50" t="str">
        <f t="shared" ref="BG278" si="2477">IF(ISERROR(BG269/BF269),"n.a.",BG269/BF269-1)</f>
        <v>n.a.</v>
      </c>
      <c r="BH278" s="50" t="str">
        <f t="shared" ref="BH278:BN278" si="2478">IF(ISERROR(BH269/BG269),"n.a.",BH269/BG269-1)</f>
        <v>n.a.</v>
      </c>
      <c r="BI278" s="51" t="str">
        <f t="shared" si="2478"/>
        <v>n.a.</v>
      </c>
      <c r="BJ278" s="50" t="str">
        <f t="shared" si="2478"/>
        <v>n.a.</v>
      </c>
      <c r="BK278" s="50" t="str">
        <f t="shared" si="2478"/>
        <v>n.a.</v>
      </c>
      <c r="BL278" s="50" t="str">
        <f t="shared" si="2478"/>
        <v>n.a.</v>
      </c>
      <c r="BM278" s="50" t="str">
        <f t="shared" si="2478"/>
        <v>n.a.</v>
      </c>
      <c r="BN278" s="50" t="str">
        <f t="shared" si="2478"/>
        <v>n.a.</v>
      </c>
    </row>
    <row r="279" spans="1:66" ht="12" customHeight="1" outlineLevel="1">
      <c r="B279" s="1" t="s">
        <v>61</v>
      </c>
      <c r="C279" s="50" t="str">
        <f>IF(ISERROR(C272/B272),"n.a.",C272/B272-1)</f>
        <v>n.a.</v>
      </c>
      <c r="D279" s="50" t="str">
        <f>IF(ISERROR(D272/C272),"n.a.",D272/C272-1)</f>
        <v>n.a.</v>
      </c>
      <c r="E279" s="50" t="str">
        <f t="shared" ref="E279" si="2479">IF(ISERROR(E272/D272),"n.a.",E272/D272-1)</f>
        <v>n.a.</v>
      </c>
      <c r="F279" s="50" t="str">
        <f t="shared" ref="F279" si="2480">IF(ISERROR(F272/E272),"n.a.",F272/E272-1)</f>
        <v>n.a.</v>
      </c>
      <c r="G279" s="50" t="str">
        <f t="shared" ref="G279" si="2481">IF(ISERROR(G272/F272),"n.a.",G272/F272-1)</f>
        <v>n.a.</v>
      </c>
      <c r="H279" s="50" t="str">
        <f t="shared" ref="H279" si="2482">IF(ISERROR(H272/G272),"n.a.",H272/G272-1)</f>
        <v>n.a.</v>
      </c>
      <c r="I279" s="50" t="str">
        <f t="shared" ref="I279" si="2483">IF(ISERROR(I272/H272),"n.a.",I272/H272-1)</f>
        <v>n.a.</v>
      </c>
      <c r="J279" s="50" t="str">
        <f t="shared" ref="J279" si="2484">IF(ISERROR(J272/I272),"n.a.",J272/I272-1)</f>
        <v>n.a.</v>
      </c>
      <c r="K279" s="50" t="str">
        <f t="shared" ref="K279" si="2485">IF(ISERROR(K272/J272),"n.a.",K272/J272-1)</f>
        <v>n.a.</v>
      </c>
      <c r="L279" s="50" t="str">
        <f t="shared" ref="L279" si="2486">IF(ISERROR(L272/K272),"n.a.",L272/K272-1)</f>
        <v>n.a.</v>
      </c>
      <c r="M279" s="69" t="str">
        <f t="shared" ref="M279" si="2487">IF(ISERROR(M272/L272),"n.a.",M272/L272-1)</f>
        <v>n.a.</v>
      </c>
      <c r="N279" s="69" t="str">
        <f t="shared" ref="N279" si="2488">IF(ISERROR(N272/M272),"n.a.",N272/M272-1)</f>
        <v>n.a.</v>
      </c>
      <c r="O279" s="69" t="str">
        <f t="shared" ref="O279" si="2489">IF(ISERROR(O272/N272),"n.a.",O272/N272-1)</f>
        <v>n.a.</v>
      </c>
      <c r="P279" s="69" t="str">
        <f t="shared" ref="P279" si="2490">IF(ISERROR(P272/O272),"n.a.",P272/O272-1)</f>
        <v>n.a.</v>
      </c>
      <c r="Q279" s="69" t="str">
        <f t="shared" ref="Q279:AI279" si="2491">IF(ISERROR(Q272/P272),"n.a.",Q272/P272-1)</f>
        <v>n.a.</v>
      </c>
      <c r="R279" s="69" t="str">
        <f t="shared" si="2491"/>
        <v>n.a.</v>
      </c>
      <c r="S279" s="69" t="str">
        <f t="shared" si="2491"/>
        <v>n.a.</v>
      </c>
      <c r="T279" s="69" t="str">
        <f t="shared" si="2491"/>
        <v>n.a.</v>
      </c>
      <c r="U279" s="69" t="str">
        <f t="shared" si="2491"/>
        <v>n.a.</v>
      </c>
      <c r="V279" s="69" t="str">
        <f t="shared" si="2491"/>
        <v>n.a.</v>
      </c>
      <c r="W279" s="69" t="str">
        <f t="shared" si="2491"/>
        <v>n.a.</v>
      </c>
      <c r="X279" s="69" t="str">
        <f t="shared" si="2491"/>
        <v>n.a.</v>
      </c>
      <c r="Y279" s="69" t="str">
        <f t="shared" si="2491"/>
        <v>n.a.</v>
      </c>
      <c r="Z279" s="69" t="str">
        <f t="shared" si="2491"/>
        <v>n.a.</v>
      </c>
      <c r="AA279" s="69" t="str">
        <f t="shared" si="2491"/>
        <v>n.a.</v>
      </c>
      <c r="AB279" s="69" t="str">
        <f t="shared" si="2491"/>
        <v>n.a.</v>
      </c>
      <c r="AC279" s="69" t="str">
        <f t="shared" si="2491"/>
        <v>n.a.</v>
      </c>
      <c r="AD279" s="69" t="str">
        <f t="shared" si="2491"/>
        <v>n.a.</v>
      </c>
      <c r="AE279" s="69" t="str">
        <f t="shared" si="2491"/>
        <v>n.a.</v>
      </c>
      <c r="AF279" s="69" t="str">
        <f t="shared" si="2491"/>
        <v>n.a.</v>
      </c>
      <c r="AG279" s="69" t="str">
        <f t="shared" si="2491"/>
        <v>n.a.</v>
      </c>
      <c r="AH279" s="69" t="str">
        <f t="shared" si="2491"/>
        <v>n.a.</v>
      </c>
      <c r="AI279" s="89" t="str">
        <f t="shared" si="2491"/>
        <v>n.a.</v>
      </c>
      <c r="AJ279" s="56">
        <v>0.03</v>
      </c>
      <c r="AK279" s="56">
        <v>0.03</v>
      </c>
      <c r="AL279" s="56">
        <v>0.03</v>
      </c>
      <c r="AM279" s="56">
        <v>0.03</v>
      </c>
      <c r="AN279" s="56">
        <v>0.03</v>
      </c>
      <c r="AO279" s="56">
        <v>0.03</v>
      </c>
      <c r="AP279" s="56">
        <v>0.03</v>
      </c>
      <c r="AQ279" s="56">
        <v>0.03</v>
      </c>
      <c r="AR279" s="56">
        <v>0.03</v>
      </c>
      <c r="AS279" s="8"/>
      <c r="AT279" s="50" t="str">
        <f t="shared" ref="AT279" si="2492">IF(ISERROR(AT272/AS272),"n.a.",AT272/AS272-1)</f>
        <v>n.a.</v>
      </c>
      <c r="AU279" s="50" t="str">
        <f t="shared" ref="AU279" si="2493">IF(ISERROR(AU272/AT272),"n.a.",AU272/AT272-1)</f>
        <v>n.a.</v>
      </c>
      <c r="AV279" s="50" t="str">
        <f t="shared" ref="AV279" si="2494">IF(ISERROR(AV272/AU272),"n.a.",AV272/AU272-1)</f>
        <v>n.a.</v>
      </c>
      <c r="AW279" s="50" t="str">
        <f t="shared" ref="AW279" si="2495">IF(ISERROR(AW272/AV272),"n.a.",AW272/AV272-1)</f>
        <v>n.a.</v>
      </c>
      <c r="AX279" s="50" t="str">
        <f t="shared" ref="AX279" si="2496">IF(ISERROR(AX272/AW272),"n.a.",AX272/AW272-1)</f>
        <v>n.a.</v>
      </c>
      <c r="AY279" s="50" t="str">
        <f t="shared" ref="AY279" si="2497">IF(ISERROR(AY272/AX272),"n.a.",AY272/AX272-1)</f>
        <v>n.a.</v>
      </c>
      <c r="AZ279" s="50" t="str">
        <f t="shared" ref="AZ279" si="2498">IF(ISERROR(AZ272/AY272),"n.a.",AZ272/AY272-1)</f>
        <v>n.a.</v>
      </c>
      <c r="BA279" s="50" t="str">
        <f t="shared" ref="BA279" si="2499">IF(ISERROR(BA272/AZ272),"n.a.",BA272/AZ272-1)</f>
        <v>n.a.</v>
      </c>
      <c r="BB279" s="50" t="str">
        <f t="shared" ref="BB279" si="2500">IF(ISERROR(BB272/BA272),"n.a.",BB272/BA272-1)</f>
        <v>n.a.</v>
      </c>
      <c r="BC279" s="50" t="str">
        <f t="shared" ref="BC279" si="2501">IF(ISERROR(BC272/BB272),"n.a.",BC272/BB272-1)</f>
        <v>n.a.</v>
      </c>
      <c r="BD279" s="50" t="str">
        <f t="shared" ref="BD279" si="2502">IF(ISERROR(BD272/BC272),"n.a.",BD272/BC272-1)</f>
        <v>n.a.</v>
      </c>
      <c r="BE279" s="50" t="str">
        <f t="shared" ref="BE279" si="2503">IF(ISERROR(BE272/BD272),"n.a.",BE272/BD272-1)</f>
        <v>n.a.</v>
      </c>
      <c r="BF279" s="50" t="str">
        <f t="shared" ref="BF279" si="2504">IF(ISERROR(BF272/BE272),"n.a.",BF272/BE272-1)</f>
        <v>n.a.</v>
      </c>
      <c r="BG279" s="50" t="str">
        <f t="shared" ref="BG279" si="2505">IF(ISERROR(BG272/BF272),"n.a.",BG272/BF272-1)</f>
        <v>n.a.</v>
      </c>
      <c r="BH279" s="50" t="str">
        <f t="shared" ref="BH279:BN279" si="2506">IF(ISERROR(BH272/BG272),"n.a.",BH272/BG272-1)</f>
        <v>n.a.</v>
      </c>
      <c r="BI279" s="51" t="str">
        <f t="shared" si="2506"/>
        <v>n.a.</v>
      </c>
      <c r="BJ279" s="50" t="str">
        <f t="shared" si="2506"/>
        <v>n.a.</v>
      </c>
      <c r="BK279" s="50" t="str">
        <f t="shared" si="2506"/>
        <v>n.a.</v>
      </c>
      <c r="BL279" s="50" t="str">
        <f t="shared" si="2506"/>
        <v>n.a.</v>
      </c>
      <c r="BM279" s="50" t="str">
        <f t="shared" si="2506"/>
        <v>n.a.</v>
      </c>
      <c r="BN279" s="50" t="str">
        <f t="shared" si="2506"/>
        <v>n.a.</v>
      </c>
    </row>
    <row r="280" spans="1:66" ht="12" customHeight="1" outlineLevel="1">
      <c r="B280" s="1" t="s">
        <v>75</v>
      </c>
      <c r="C280" s="37" t="str">
        <f t="shared" ref="C280" si="2507">IF(ISERROR(C231/AVERAGE(B269:C269)),"n.a.",C231*C$5/AVERAGE(B269:C269))</f>
        <v>n.a.</v>
      </c>
      <c r="D280" s="37" t="str">
        <f t="shared" ref="D280" si="2508">IF(ISERROR(D231/AVERAGE(C269:D269)),"n.a.",D231*D$5/AVERAGE(C269:D269))</f>
        <v>n.a.</v>
      </c>
      <c r="E280" s="37" t="str">
        <f t="shared" ref="E280" si="2509">IF(ISERROR(E231/AVERAGE(D269:E269)),"n.a.",E231*E$5/AVERAGE(D269:E269))</f>
        <v>n.a.</v>
      </c>
      <c r="F280" s="37" t="str">
        <f t="shared" ref="F280" si="2510">IF(ISERROR(F231/AVERAGE(E269:F269)),"n.a.",F231*F$5/AVERAGE(E269:F269))</f>
        <v>n.a.</v>
      </c>
      <c r="G280" s="37" t="str">
        <f t="shared" ref="G280" si="2511">IF(ISERROR(G231/AVERAGE(F269:G269)),"n.a.",G231*G$5/AVERAGE(F269:G269))</f>
        <v>n.a.</v>
      </c>
      <c r="H280" s="37" t="str">
        <f t="shared" ref="H280" si="2512">IF(ISERROR(H231/AVERAGE(G269:H269)),"n.a.",H231*H$5/AVERAGE(G269:H269))</f>
        <v>n.a.</v>
      </c>
      <c r="I280" s="37" t="str">
        <f t="shared" ref="I280" si="2513">IF(ISERROR(I231/AVERAGE(H269:I269)),"n.a.",I231*I$5/AVERAGE(H269:I269))</f>
        <v>n.a.</v>
      </c>
      <c r="J280" s="37" t="str">
        <f t="shared" ref="J280" si="2514">IF(ISERROR(J231/AVERAGE(I269:J269)),"n.a.",J231*J$5/AVERAGE(I269:J269))</f>
        <v>n.a.</v>
      </c>
      <c r="K280" s="37" t="str">
        <f t="shared" ref="K280" si="2515">IF(ISERROR(K231/AVERAGE(J269:K269)),"n.a.",K231*K$5/AVERAGE(J269:K269))</f>
        <v>n.a.</v>
      </c>
      <c r="L280" s="37" t="str">
        <f t="shared" ref="L280" si="2516">IF(ISERROR(L231/AVERAGE(K269:L269)),"n.a.",L231*L$5/AVERAGE(K269:L269))</f>
        <v>n.a.</v>
      </c>
      <c r="M280" s="78" t="str">
        <f t="shared" ref="M280" si="2517">IF(ISERROR(M231/AVERAGE(L269:M269)),"n.a.",M231*M$5/AVERAGE(L269:M269))</f>
        <v>n.a.</v>
      </c>
      <c r="N280" s="78" t="str">
        <f t="shared" ref="N280" si="2518">IF(ISERROR(N231/AVERAGE(M269:N269)),"n.a.",N231*N$5/AVERAGE(M269:N269))</f>
        <v>n.a.</v>
      </c>
      <c r="O280" s="78" t="str">
        <f t="shared" ref="O280" si="2519">IF(ISERROR(O231/AVERAGE(N269:O269)),"n.a.",O231*O$5/AVERAGE(N269:O269))</f>
        <v>n.a.</v>
      </c>
      <c r="P280" s="78" t="str">
        <f t="shared" ref="P280" si="2520">IF(ISERROR(P231/AVERAGE(O269:P269)),"n.a.",P231*P$5/AVERAGE(O269:P269))</f>
        <v>n.a.</v>
      </c>
      <c r="Q280" s="78" t="str">
        <f t="shared" ref="Q280:AI280" si="2521">IF(ISERROR(Q231/AVERAGE(P269:Q269)),"n.a.",Q231*Q$5/AVERAGE(P269:Q269))</f>
        <v>n.a.</v>
      </c>
      <c r="R280" s="78" t="str">
        <f t="shared" si="2521"/>
        <v>n.a.</v>
      </c>
      <c r="S280" s="78" t="str">
        <f t="shared" si="2521"/>
        <v>n.a.</v>
      </c>
      <c r="T280" s="78" t="str">
        <f t="shared" si="2521"/>
        <v>n.a.</v>
      </c>
      <c r="U280" s="78" t="str">
        <f t="shared" si="2521"/>
        <v>n.a.</v>
      </c>
      <c r="V280" s="78" t="str">
        <f t="shared" si="2521"/>
        <v>n.a.</v>
      </c>
      <c r="W280" s="78" t="str">
        <f t="shared" si="2521"/>
        <v>n.a.</v>
      </c>
      <c r="X280" s="78" t="str">
        <f t="shared" si="2521"/>
        <v>n.a.</v>
      </c>
      <c r="Y280" s="78" t="str">
        <f t="shared" si="2521"/>
        <v>n.a.</v>
      </c>
      <c r="Z280" s="78" t="str">
        <f t="shared" si="2521"/>
        <v>n.a.</v>
      </c>
      <c r="AA280" s="78" t="str">
        <f t="shared" si="2521"/>
        <v>n.a.</v>
      </c>
      <c r="AB280" s="78" t="str">
        <f t="shared" si="2521"/>
        <v>n.a.</v>
      </c>
      <c r="AC280" s="78" t="str">
        <f t="shared" si="2521"/>
        <v>n.a.</v>
      </c>
      <c r="AD280" s="78" t="str">
        <f t="shared" si="2521"/>
        <v>n.a.</v>
      </c>
      <c r="AE280" s="78" t="str">
        <f t="shared" si="2521"/>
        <v>n.a.</v>
      </c>
      <c r="AF280" s="78" t="str">
        <f t="shared" si="2521"/>
        <v>n.a.</v>
      </c>
      <c r="AG280" s="78" t="str">
        <f t="shared" si="2521"/>
        <v>n.a.</v>
      </c>
      <c r="AH280" s="78" t="str">
        <f t="shared" si="2521"/>
        <v>n.a.</v>
      </c>
      <c r="AI280" s="88" t="str">
        <f t="shared" si="2521"/>
        <v>n.a.</v>
      </c>
      <c r="AJ280" s="77" t="str">
        <f t="shared" ref="AJ280:AJ281" si="2522">AI280</f>
        <v>n.a.</v>
      </c>
      <c r="AK280" s="77" t="str">
        <f t="shared" ref="AK280:AK281" si="2523">AJ280</f>
        <v>n.a.</v>
      </c>
      <c r="AL280" s="77" t="str">
        <f t="shared" ref="AL280:AL281" si="2524">AK280</f>
        <v>n.a.</v>
      </c>
      <c r="AM280" s="77" t="str">
        <f t="shared" ref="AM280:AM281" si="2525">AL280</f>
        <v>n.a.</v>
      </c>
      <c r="AN280" s="77" t="str">
        <f t="shared" ref="AN280:AN281" si="2526">AM280</f>
        <v>n.a.</v>
      </c>
      <c r="AO280" s="77" t="str">
        <f t="shared" ref="AO280:AO281" si="2527">AN280</f>
        <v>n.a.</v>
      </c>
      <c r="AP280" s="77" t="str">
        <f t="shared" ref="AP280:AP281" si="2528">AO280</f>
        <v>n.a.</v>
      </c>
      <c r="AQ280" s="77" t="str">
        <f t="shared" ref="AQ280:AQ281" si="2529">AP280</f>
        <v>n.a.</v>
      </c>
      <c r="AR280" s="77" t="str">
        <f t="shared" ref="AR280:AR281" si="2530">AQ280</f>
        <v>n.a.</v>
      </c>
      <c r="AS280" s="8"/>
      <c r="AT280" s="37" t="str">
        <f t="shared" ref="AT280" si="2531">IF(ISERROR(AT231/AVERAGE(AS269:AT269)),"n.a.",AT231*AT$5/AVERAGE(AS269:AT269))</f>
        <v>n.a.</v>
      </c>
      <c r="AU280" s="37" t="str">
        <f t="shared" ref="AU280" si="2532">IF(ISERROR(AU231/AVERAGE(AT269:AU269)),"n.a.",AU231*AU$5/AVERAGE(AT269:AU269))</f>
        <v>n.a.</v>
      </c>
      <c r="AV280" s="37" t="str">
        <f t="shared" ref="AV280" si="2533">IF(ISERROR(AV231/AVERAGE(AU269:AV269)),"n.a.",AV231*AV$5/AVERAGE(AU269:AV269))</f>
        <v>n.a.</v>
      </c>
      <c r="AW280" s="37" t="str">
        <f t="shared" ref="AW280" si="2534">IF(ISERROR(AW231/AVERAGE(AV269:AW269)),"n.a.",AW231*AW$5/AVERAGE(AV269:AW269))</f>
        <v>n.a.</v>
      </c>
      <c r="AX280" s="37" t="str">
        <f t="shared" ref="AX280" si="2535">IF(ISERROR(AX231/AVERAGE(AW269:AX269)),"n.a.",AX231*AX$5/AVERAGE(AW269:AX269))</f>
        <v>n.a.</v>
      </c>
      <c r="AY280" s="37" t="str">
        <f t="shared" ref="AY280" si="2536">IF(ISERROR(AY231/AVERAGE(AX269:AY269)),"n.a.",AY231*AY$5/AVERAGE(AX269:AY269))</f>
        <v>n.a.</v>
      </c>
      <c r="AZ280" s="37" t="str">
        <f t="shared" ref="AZ280" si="2537">IF(ISERROR(AZ231/AVERAGE(AY269:AZ269)),"n.a.",AZ231*AZ$5/AVERAGE(AY269:AZ269))</f>
        <v>n.a.</v>
      </c>
      <c r="BA280" s="37" t="str">
        <f t="shared" ref="BA280" si="2538">IF(ISERROR(BA231/AVERAGE(AZ269:BA269)),"n.a.",BA231*BA$5/AVERAGE(AZ269:BA269))</f>
        <v>n.a.</v>
      </c>
      <c r="BB280" s="37" t="str">
        <f t="shared" ref="BB280" si="2539">IF(ISERROR(BB231/AVERAGE(BA269:BB269)),"n.a.",BB231*BB$5/AVERAGE(BA269:BB269))</f>
        <v>n.a.</v>
      </c>
      <c r="BC280" s="37" t="str">
        <f t="shared" ref="BC280" si="2540">IF(ISERROR(BC231/AVERAGE(BB269:BC269)),"n.a.",BC231*BC$5/AVERAGE(BB269:BC269))</f>
        <v>n.a.</v>
      </c>
      <c r="BD280" s="37" t="str">
        <f t="shared" ref="BD280" si="2541">IF(ISERROR(BD231/AVERAGE(BC269:BD269)),"n.a.",BD231*BD$5/AVERAGE(BC269:BD269))</f>
        <v>n.a.</v>
      </c>
      <c r="BE280" s="37" t="str">
        <f t="shared" ref="BE280" si="2542">IF(ISERROR(BE231/AVERAGE(BD269:BE269)),"n.a.",BE231*BE$5/AVERAGE(BD269:BE269))</f>
        <v>n.a.</v>
      </c>
      <c r="BF280" s="37" t="str">
        <f t="shared" ref="BF280" si="2543">IF(ISERROR(BF231/AVERAGE(BE269:BF269)),"n.a.",BF231*BF$5/AVERAGE(BE269:BF269))</f>
        <v>n.a.</v>
      </c>
      <c r="BG280" s="37" t="str">
        <f t="shared" ref="BG280" si="2544">IF(ISERROR(BG231/AVERAGE(BF269:BG269)),"n.a.",BG231*BG$5/AVERAGE(BF269:BG269))</f>
        <v>n.a.</v>
      </c>
      <c r="BH280" s="37" t="str">
        <f t="shared" ref="BH280:BJ280" si="2545">IF(ISERROR(BH231/AVERAGE(BG269:BH269)),"n.a.",BH231*BH$5/AVERAGE(BG269:BH269))</f>
        <v>n.a.</v>
      </c>
      <c r="BI280" s="38" t="str">
        <f t="shared" si="2545"/>
        <v>n.a.</v>
      </c>
      <c r="BJ280" s="37" t="str">
        <f t="shared" si="2545"/>
        <v>n.a.</v>
      </c>
      <c r="BK280" s="37" t="str">
        <f>IF(ISERROR(BK231/AVERAGE(BK269:BK269)),"n.a.",BK231*BK$5/AVERAGE(BK269:BK269))</f>
        <v>n.a.</v>
      </c>
      <c r="BL280" s="37" t="str">
        <f>IF(ISERROR(BL231/AVERAGE(BL269:BL269)),"n.a.",BL231*BL$5/AVERAGE(BL269:BL269))</f>
        <v>n.a.</v>
      </c>
      <c r="BM280" s="37" t="str">
        <f>IF(ISERROR(BM231/AVERAGE(BM269:BM269)),"n.a.",BM231*BM$5/AVERAGE(BM269:BM269))</f>
        <v>n.a.</v>
      </c>
      <c r="BN280" s="37" t="str">
        <f>IF(ISERROR(BN231/AVERAGE(BN269:BN269)),"n.a.",BN231*BN$5/AVERAGE(BN269:BN269))</f>
        <v>n.a.</v>
      </c>
    </row>
    <row r="281" spans="1:66" ht="12" customHeight="1" outlineLevel="1">
      <c r="B281" s="1" t="s">
        <v>76</v>
      </c>
      <c r="C281" s="37" t="str">
        <f t="shared" ref="C281" si="2546">IF(ISERROR(C232/AVERAGE(B272:C272)),"n.a.",C232*C$5/AVERAGE(B272:C272))</f>
        <v>n.a.</v>
      </c>
      <c r="D281" s="37" t="str">
        <f t="shared" ref="D281" si="2547">IF(ISERROR(D232/AVERAGE(C272:D272)),"n.a.",D232*D$5/AVERAGE(C272:D272))</f>
        <v>n.a.</v>
      </c>
      <c r="E281" s="37" t="str">
        <f t="shared" ref="E281" si="2548">IF(ISERROR(E232/AVERAGE(D272:E272)),"n.a.",E232*E$5/AVERAGE(D272:E272))</f>
        <v>n.a.</v>
      </c>
      <c r="F281" s="37" t="str">
        <f t="shared" ref="F281" si="2549">IF(ISERROR(F232/AVERAGE(E272:F272)),"n.a.",F232*F$5/AVERAGE(E272:F272))</f>
        <v>n.a.</v>
      </c>
      <c r="G281" s="37" t="str">
        <f t="shared" ref="G281" si="2550">IF(ISERROR(G232/AVERAGE(F272:G272)),"n.a.",G232*G$5/AVERAGE(F272:G272))</f>
        <v>n.a.</v>
      </c>
      <c r="H281" s="37" t="str">
        <f t="shared" ref="H281" si="2551">IF(ISERROR(H232/AVERAGE(G272:H272)),"n.a.",H232*H$5/AVERAGE(G272:H272))</f>
        <v>n.a.</v>
      </c>
      <c r="I281" s="37" t="str">
        <f t="shared" ref="I281" si="2552">IF(ISERROR(I232/AVERAGE(H272:I272)),"n.a.",I232*I$5/AVERAGE(H272:I272))</f>
        <v>n.a.</v>
      </c>
      <c r="J281" s="37" t="str">
        <f t="shared" ref="J281" si="2553">IF(ISERROR(J232/AVERAGE(I272:J272)),"n.a.",J232*J$5/AVERAGE(I272:J272))</f>
        <v>n.a.</v>
      </c>
      <c r="K281" s="37" t="str">
        <f t="shared" ref="K281" si="2554">IF(ISERROR(K232/AVERAGE(J272:K272)),"n.a.",K232*K$5/AVERAGE(J272:K272))</f>
        <v>n.a.</v>
      </c>
      <c r="L281" s="37" t="str">
        <f t="shared" ref="L281" si="2555">IF(ISERROR(L232/AVERAGE(K272:L272)),"n.a.",L232*L$5/AVERAGE(K272:L272))</f>
        <v>n.a.</v>
      </c>
      <c r="M281" s="78" t="str">
        <f t="shared" ref="M281" si="2556">IF(ISERROR(M232/AVERAGE(L272:M272)),"n.a.",M232*M$5/AVERAGE(L272:M272))</f>
        <v>n.a.</v>
      </c>
      <c r="N281" s="78" t="str">
        <f t="shared" ref="N281" si="2557">IF(ISERROR(N232/AVERAGE(M272:N272)),"n.a.",N232*N$5/AVERAGE(M272:N272))</f>
        <v>n.a.</v>
      </c>
      <c r="O281" s="78" t="str">
        <f t="shared" ref="O281" si="2558">IF(ISERROR(O232/AVERAGE(N272:O272)),"n.a.",O232*O$5/AVERAGE(N272:O272))</f>
        <v>n.a.</v>
      </c>
      <c r="P281" s="78" t="str">
        <f t="shared" ref="P281" si="2559">IF(ISERROR(P232/AVERAGE(O272:P272)),"n.a.",P232*P$5/AVERAGE(O272:P272))</f>
        <v>n.a.</v>
      </c>
      <c r="Q281" s="78" t="str">
        <f t="shared" ref="Q281:AI281" si="2560">IF(ISERROR(Q232/AVERAGE(P272:Q272)),"n.a.",Q232*Q$5/AVERAGE(P272:Q272))</f>
        <v>n.a.</v>
      </c>
      <c r="R281" s="78" t="str">
        <f t="shared" si="2560"/>
        <v>n.a.</v>
      </c>
      <c r="S281" s="78" t="str">
        <f t="shared" si="2560"/>
        <v>n.a.</v>
      </c>
      <c r="T281" s="78" t="str">
        <f t="shared" si="2560"/>
        <v>n.a.</v>
      </c>
      <c r="U281" s="78" t="str">
        <f t="shared" si="2560"/>
        <v>n.a.</v>
      </c>
      <c r="V281" s="78" t="str">
        <f t="shared" si="2560"/>
        <v>n.a.</v>
      </c>
      <c r="W281" s="78" t="str">
        <f t="shared" si="2560"/>
        <v>n.a.</v>
      </c>
      <c r="X281" s="78" t="str">
        <f t="shared" si="2560"/>
        <v>n.a.</v>
      </c>
      <c r="Y281" s="78" t="str">
        <f t="shared" si="2560"/>
        <v>n.a.</v>
      </c>
      <c r="Z281" s="78" t="str">
        <f t="shared" si="2560"/>
        <v>n.a.</v>
      </c>
      <c r="AA281" s="78" t="str">
        <f t="shared" si="2560"/>
        <v>n.a.</v>
      </c>
      <c r="AB281" s="78" t="str">
        <f t="shared" si="2560"/>
        <v>n.a.</v>
      </c>
      <c r="AC281" s="78" t="str">
        <f t="shared" si="2560"/>
        <v>n.a.</v>
      </c>
      <c r="AD281" s="78" t="str">
        <f t="shared" si="2560"/>
        <v>n.a.</v>
      </c>
      <c r="AE281" s="78" t="str">
        <f t="shared" si="2560"/>
        <v>n.a.</v>
      </c>
      <c r="AF281" s="78" t="str">
        <f t="shared" si="2560"/>
        <v>n.a.</v>
      </c>
      <c r="AG281" s="78" t="str">
        <f t="shared" si="2560"/>
        <v>n.a.</v>
      </c>
      <c r="AH281" s="78" t="str">
        <f t="shared" si="2560"/>
        <v>n.a.</v>
      </c>
      <c r="AI281" s="88" t="str">
        <f t="shared" si="2560"/>
        <v>n.a.</v>
      </c>
      <c r="AJ281" s="77" t="str">
        <f t="shared" si="2522"/>
        <v>n.a.</v>
      </c>
      <c r="AK281" s="77" t="str">
        <f t="shared" si="2523"/>
        <v>n.a.</v>
      </c>
      <c r="AL281" s="77" t="str">
        <f t="shared" si="2524"/>
        <v>n.a.</v>
      </c>
      <c r="AM281" s="77" t="str">
        <f t="shared" si="2525"/>
        <v>n.a.</v>
      </c>
      <c r="AN281" s="77" t="str">
        <f t="shared" si="2526"/>
        <v>n.a.</v>
      </c>
      <c r="AO281" s="77" t="str">
        <f t="shared" si="2527"/>
        <v>n.a.</v>
      </c>
      <c r="AP281" s="77" t="str">
        <f t="shared" si="2528"/>
        <v>n.a.</v>
      </c>
      <c r="AQ281" s="77" t="str">
        <f t="shared" si="2529"/>
        <v>n.a.</v>
      </c>
      <c r="AR281" s="77" t="str">
        <f t="shared" si="2530"/>
        <v>n.a.</v>
      </c>
      <c r="AS281" s="8"/>
      <c r="AT281" s="37" t="str">
        <f t="shared" ref="AT281" si="2561">IF(ISERROR(AT232/AVERAGE(AS272:AT272)),"n.a.",AT232*AT$5/AVERAGE(AS272:AT272))</f>
        <v>n.a.</v>
      </c>
      <c r="AU281" s="37" t="str">
        <f t="shared" ref="AU281" si="2562">IF(ISERROR(AU232/AVERAGE(AT272:AU272)),"n.a.",AU232*AU$5/AVERAGE(AT272:AU272))</f>
        <v>n.a.</v>
      </c>
      <c r="AV281" s="37" t="str">
        <f t="shared" ref="AV281" si="2563">IF(ISERROR(AV232/AVERAGE(AU272:AV272)),"n.a.",AV232*AV$5/AVERAGE(AU272:AV272))</f>
        <v>n.a.</v>
      </c>
      <c r="AW281" s="37" t="str">
        <f t="shared" ref="AW281" si="2564">IF(ISERROR(AW232/AVERAGE(AV272:AW272)),"n.a.",AW232*AW$5/AVERAGE(AV272:AW272))</f>
        <v>n.a.</v>
      </c>
      <c r="AX281" s="37" t="str">
        <f t="shared" ref="AX281" si="2565">IF(ISERROR(AX232/AVERAGE(AW272:AX272)),"n.a.",AX232*AX$5/AVERAGE(AW272:AX272))</f>
        <v>n.a.</v>
      </c>
      <c r="AY281" s="37" t="str">
        <f t="shared" ref="AY281" si="2566">IF(ISERROR(AY232/AVERAGE(AX272:AY272)),"n.a.",AY232*AY$5/AVERAGE(AX272:AY272))</f>
        <v>n.a.</v>
      </c>
      <c r="AZ281" s="37" t="str">
        <f t="shared" ref="AZ281" si="2567">IF(ISERROR(AZ232/AVERAGE(AY272:AZ272)),"n.a.",AZ232*AZ$5/AVERAGE(AY272:AZ272))</f>
        <v>n.a.</v>
      </c>
      <c r="BA281" s="37" t="str">
        <f t="shared" ref="BA281" si="2568">IF(ISERROR(BA232/AVERAGE(AZ272:BA272)),"n.a.",BA232*BA$5/AVERAGE(AZ272:BA272))</f>
        <v>n.a.</v>
      </c>
      <c r="BB281" s="37" t="str">
        <f t="shared" ref="BB281" si="2569">IF(ISERROR(BB232/AVERAGE(BA272:BB272)),"n.a.",BB232*BB$5/AVERAGE(BA272:BB272))</f>
        <v>n.a.</v>
      </c>
      <c r="BC281" s="37" t="str">
        <f t="shared" ref="BC281" si="2570">IF(ISERROR(BC232/AVERAGE(BB272:BC272)),"n.a.",BC232*BC$5/AVERAGE(BB272:BC272))</f>
        <v>n.a.</v>
      </c>
      <c r="BD281" s="37" t="str">
        <f t="shared" ref="BD281" si="2571">IF(ISERROR(BD232/AVERAGE(BC272:BD272)),"n.a.",BD232*BD$5/AVERAGE(BC272:BD272))</f>
        <v>n.a.</v>
      </c>
      <c r="BE281" s="37" t="str">
        <f t="shared" ref="BE281" si="2572">IF(ISERROR(BE232/AVERAGE(BD272:BE272)),"n.a.",BE232*BE$5/AVERAGE(BD272:BE272))</f>
        <v>n.a.</v>
      </c>
      <c r="BF281" s="37" t="str">
        <f t="shared" ref="BF281" si="2573">IF(ISERROR(BF232/AVERAGE(BE272:BF272)),"n.a.",BF232*BF$5/AVERAGE(BE272:BF272))</f>
        <v>n.a.</v>
      </c>
      <c r="BG281" s="37" t="str">
        <f t="shared" ref="BG281" si="2574">IF(ISERROR(BG232/AVERAGE(BF272:BG272)),"n.a.",BG232*BG$5/AVERAGE(BF272:BG272))</f>
        <v>n.a.</v>
      </c>
      <c r="BH281" s="37" t="str">
        <f t="shared" ref="BH281:BJ281" si="2575">IF(ISERROR(BH232/AVERAGE(BG272:BH272)),"n.a.",BH232*BH$5/AVERAGE(BG272:BH272))</f>
        <v>n.a.</v>
      </c>
      <c r="BI281" s="38" t="str">
        <f t="shared" si="2575"/>
        <v>n.a.</v>
      </c>
      <c r="BJ281" s="37" t="str">
        <f t="shared" si="2575"/>
        <v>n.a.</v>
      </c>
      <c r="BK281" s="37" t="str">
        <f>IF(ISERROR(BK232/AVERAGE(BK272:BK272)),"n.a.",BK232*BK$5/AVERAGE(BK272:BK272))</f>
        <v>n.a.</v>
      </c>
      <c r="BL281" s="37" t="str">
        <f>IF(ISERROR(BL232/AVERAGE(BL272:BL272)),"n.a.",BL232*BL$5/AVERAGE(BL272:BL272))</f>
        <v>n.a.</v>
      </c>
      <c r="BM281" s="37" t="str">
        <f>IF(ISERROR(BM232/AVERAGE(BM272:BM272)),"n.a.",BM232*BM$5/AVERAGE(BM272:BM272))</f>
        <v>n.a.</v>
      </c>
      <c r="BN281" s="37" t="str">
        <f>IF(ISERROR(BN232/AVERAGE(BN272:BN272)),"n.a.",BN232*BN$5/AVERAGE(BN272:BN272))</f>
        <v>n.a.</v>
      </c>
    </row>
    <row r="282" spans="1:66" ht="12" customHeight="1" outlineLevel="1">
      <c r="B282" s="1" t="s">
        <v>62</v>
      </c>
      <c r="C282" s="50" t="str">
        <f t="shared" ref="C282:AI282" si="2576">IF(ISERROR(C235/B235),"n.a.",C235/B235-1)</f>
        <v>n.a.</v>
      </c>
      <c r="D282" s="50" t="str">
        <f t="shared" si="2576"/>
        <v>n.a.</v>
      </c>
      <c r="E282" s="50" t="str">
        <f t="shared" si="2576"/>
        <v>n.a.</v>
      </c>
      <c r="F282" s="50" t="str">
        <f t="shared" si="2576"/>
        <v>n.a.</v>
      </c>
      <c r="G282" s="50" t="str">
        <f t="shared" si="2576"/>
        <v>n.a.</v>
      </c>
      <c r="H282" s="50" t="str">
        <f t="shared" si="2576"/>
        <v>n.a.</v>
      </c>
      <c r="I282" s="50" t="str">
        <f t="shared" si="2576"/>
        <v>n.a.</v>
      </c>
      <c r="J282" s="50" t="str">
        <f t="shared" si="2576"/>
        <v>n.a.</v>
      </c>
      <c r="K282" s="50" t="str">
        <f t="shared" si="2576"/>
        <v>n.a.</v>
      </c>
      <c r="L282" s="50" t="str">
        <f t="shared" si="2576"/>
        <v>n.a.</v>
      </c>
      <c r="M282" s="69" t="str">
        <f t="shared" si="2576"/>
        <v>n.a.</v>
      </c>
      <c r="N282" s="69" t="str">
        <f t="shared" si="2576"/>
        <v>n.a.</v>
      </c>
      <c r="O282" s="69" t="str">
        <f t="shared" si="2576"/>
        <v>n.a.</v>
      </c>
      <c r="P282" s="69" t="str">
        <f t="shared" si="2576"/>
        <v>n.a.</v>
      </c>
      <c r="Q282" s="69" t="str">
        <f t="shared" si="2576"/>
        <v>n.a.</v>
      </c>
      <c r="R282" s="69" t="str">
        <f t="shared" si="2576"/>
        <v>n.a.</v>
      </c>
      <c r="S282" s="69" t="str">
        <f t="shared" si="2576"/>
        <v>n.a.</v>
      </c>
      <c r="T282" s="69" t="str">
        <f t="shared" si="2576"/>
        <v>n.a.</v>
      </c>
      <c r="U282" s="69" t="str">
        <f t="shared" si="2576"/>
        <v>n.a.</v>
      </c>
      <c r="V282" s="69" t="str">
        <f t="shared" si="2576"/>
        <v>n.a.</v>
      </c>
      <c r="W282" s="69" t="str">
        <f t="shared" si="2576"/>
        <v>n.a.</v>
      </c>
      <c r="X282" s="69" t="str">
        <f t="shared" si="2576"/>
        <v>n.a.</v>
      </c>
      <c r="Y282" s="69" t="str">
        <f t="shared" si="2576"/>
        <v>n.a.</v>
      </c>
      <c r="Z282" s="69" t="str">
        <f t="shared" si="2576"/>
        <v>n.a.</v>
      </c>
      <c r="AA282" s="69" t="str">
        <f t="shared" si="2576"/>
        <v>n.a.</v>
      </c>
      <c r="AB282" s="69" t="str">
        <f t="shared" si="2576"/>
        <v>n.a.</v>
      </c>
      <c r="AC282" s="69" t="str">
        <f t="shared" si="2576"/>
        <v>n.a.</v>
      </c>
      <c r="AD282" s="69" t="str">
        <f t="shared" si="2576"/>
        <v>n.a.</v>
      </c>
      <c r="AE282" s="69" t="str">
        <f t="shared" si="2576"/>
        <v>n.a.</v>
      </c>
      <c r="AF282" s="69" t="str">
        <f t="shared" si="2576"/>
        <v>n.a.</v>
      </c>
      <c r="AG282" s="69" t="str">
        <f t="shared" si="2576"/>
        <v>n.a.</v>
      </c>
      <c r="AH282" s="69" t="str">
        <f t="shared" si="2576"/>
        <v>n.a.</v>
      </c>
      <c r="AI282" s="89" t="str">
        <f t="shared" si="2576"/>
        <v>n.a.</v>
      </c>
      <c r="AJ282" s="56">
        <v>0.05</v>
      </c>
      <c r="AK282" s="56">
        <v>0.05</v>
      </c>
      <c r="AL282" s="56">
        <v>0.05</v>
      </c>
      <c r="AM282" s="56">
        <v>0.05</v>
      </c>
      <c r="AN282" s="56">
        <v>0.05</v>
      </c>
      <c r="AO282" s="56">
        <v>0.05</v>
      </c>
      <c r="AP282" s="56">
        <v>0.05</v>
      </c>
      <c r="AQ282" s="56">
        <v>0.05</v>
      </c>
      <c r="AR282" s="56">
        <v>0.05</v>
      </c>
      <c r="AS282" s="8"/>
      <c r="AT282" s="50" t="str">
        <f t="shared" ref="AT282:BN282" si="2577">IF(ISERROR(AT235/AS235),"n.a.",AT235/AS235-1)</f>
        <v>n.a.</v>
      </c>
      <c r="AU282" s="50" t="str">
        <f t="shared" si="2577"/>
        <v>n.a.</v>
      </c>
      <c r="AV282" s="50" t="str">
        <f t="shared" si="2577"/>
        <v>n.a.</v>
      </c>
      <c r="AW282" s="50" t="str">
        <f t="shared" si="2577"/>
        <v>n.a.</v>
      </c>
      <c r="AX282" s="50" t="str">
        <f t="shared" si="2577"/>
        <v>n.a.</v>
      </c>
      <c r="AY282" s="50" t="str">
        <f t="shared" si="2577"/>
        <v>n.a.</v>
      </c>
      <c r="AZ282" s="50" t="str">
        <f t="shared" si="2577"/>
        <v>n.a.</v>
      </c>
      <c r="BA282" s="50" t="str">
        <f t="shared" si="2577"/>
        <v>n.a.</v>
      </c>
      <c r="BB282" s="50" t="str">
        <f t="shared" si="2577"/>
        <v>n.a.</v>
      </c>
      <c r="BC282" s="50" t="str">
        <f t="shared" si="2577"/>
        <v>n.a.</v>
      </c>
      <c r="BD282" s="50" t="str">
        <f t="shared" si="2577"/>
        <v>n.a.</v>
      </c>
      <c r="BE282" s="50" t="str">
        <f t="shared" si="2577"/>
        <v>n.a.</v>
      </c>
      <c r="BF282" s="50" t="str">
        <f t="shared" si="2577"/>
        <v>n.a.</v>
      </c>
      <c r="BG282" s="50" t="str">
        <f t="shared" si="2577"/>
        <v>n.a.</v>
      </c>
      <c r="BH282" s="50" t="str">
        <f t="shared" si="2577"/>
        <v>n.a.</v>
      </c>
      <c r="BI282" s="51" t="str">
        <f t="shared" si="2577"/>
        <v>n.a.</v>
      </c>
      <c r="BJ282" s="50" t="str">
        <f t="shared" si="2577"/>
        <v>n.a.</v>
      </c>
      <c r="BK282" s="50" t="str">
        <f t="shared" si="2577"/>
        <v>n.a.</v>
      </c>
      <c r="BL282" s="50" t="str">
        <f t="shared" si="2577"/>
        <v>n.a.</v>
      </c>
      <c r="BM282" s="50" t="str">
        <f t="shared" si="2577"/>
        <v>n.a.</v>
      </c>
      <c r="BN282" s="50" t="str">
        <f t="shared" si="2577"/>
        <v>n.a.</v>
      </c>
    </row>
    <row r="283" spans="1:66" ht="12" customHeight="1" outlineLevel="1">
      <c r="B283" s="1" t="s">
        <v>63</v>
      </c>
      <c r="C283" s="50" t="str">
        <f t="shared" ref="C283:AI283" si="2578">IF(ISERROR(C236/B236),"n.a.",C236/B236-1)</f>
        <v>n.a.</v>
      </c>
      <c r="D283" s="50">
        <f t="shared" si="2578"/>
        <v>-8.557457212713937E-2</v>
      </c>
      <c r="E283" s="50">
        <f t="shared" si="2578"/>
        <v>0.10695187165775399</v>
      </c>
      <c r="F283" s="50">
        <f t="shared" si="2578"/>
        <v>-6.2801932367149704E-2</v>
      </c>
      <c r="G283" s="50">
        <f t="shared" si="2578"/>
        <v>-0.13917525773195871</v>
      </c>
      <c r="H283" s="50">
        <f t="shared" si="2578"/>
        <v>-0.12874251497005984</v>
      </c>
      <c r="I283" s="50">
        <f t="shared" si="2578"/>
        <v>-0.10652920962199308</v>
      </c>
      <c r="J283" s="50">
        <f t="shared" si="2578"/>
        <v>6.1538461538461542E-2</v>
      </c>
      <c r="K283" s="50">
        <f t="shared" si="2578"/>
        <v>0.17028985507246386</v>
      </c>
      <c r="L283" s="50">
        <f t="shared" si="2578"/>
        <v>9.2879256965945345E-3</v>
      </c>
      <c r="M283" s="69">
        <f t="shared" si="2578"/>
        <v>-3.9877300613496924E-2</v>
      </c>
      <c r="N283" s="69">
        <f t="shared" si="2578"/>
        <v>0.10223642172523961</v>
      </c>
      <c r="O283" s="69">
        <f t="shared" si="2578"/>
        <v>0.10144927536231885</v>
      </c>
      <c r="P283" s="69">
        <f t="shared" si="2578"/>
        <v>-5.7894736842105221E-2</v>
      </c>
      <c r="Q283" s="69">
        <f t="shared" si="2578"/>
        <v>-8.379888268156388E-3</v>
      </c>
      <c r="R283" s="69">
        <f t="shared" si="2578"/>
        <v>-1.6901408450704203E-2</v>
      </c>
      <c r="S283" s="69">
        <f t="shared" si="2578"/>
        <v>-2.2922636103151817E-2</v>
      </c>
      <c r="T283" s="69">
        <f t="shared" si="2578"/>
        <v>1.1730205278592365E-2</v>
      </c>
      <c r="U283" s="69">
        <f t="shared" si="2578"/>
        <v>0.25217391304347836</v>
      </c>
      <c r="V283" s="69">
        <f t="shared" si="2578"/>
        <v>-1.620370370370372E-2</v>
      </c>
      <c r="W283" s="69">
        <f t="shared" si="2578"/>
        <v>-0.7364705882352941</v>
      </c>
      <c r="X283" s="69">
        <f t="shared" si="2578"/>
        <v>0.2410714285714286</v>
      </c>
      <c r="Y283" s="69">
        <f t="shared" si="2578"/>
        <v>-0.19424460431654678</v>
      </c>
      <c r="Z283" s="69">
        <f t="shared" si="2578"/>
        <v>-0.1339285714285714</v>
      </c>
      <c r="AA283" s="69">
        <f t="shared" si="2578"/>
        <v>0.15463917525773185</v>
      </c>
      <c r="AB283" s="69">
        <f t="shared" si="2578"/>
        <v>0.1339285714285714</v>
      </c>
      <c r="AC283" s="69">
        <f t="shared" si="2578"/>
        <v>-1.5748031496062964E-2</v>
      </c>
      <c r="AD283" s="69">
        <f t="shared" si="2578"/>
        <v>1.6000000000000014E-2</v>
      </c>
      <c r="AE283" s="69">
        <f t="shared" si="2578"/>
        <v>6.2992125984252079E-2</v>
      </c>
      <c r="AF283" s="69">
        <f t="shared" si="2578"/>
        <v>0.19999999999999996</v>
      </c>
      <c r="AG283" s="69">
        <f t="shared" si="2578"/>
        <v>-4.9382716049382713E-2</v>
      </c>
      <c r="AH283" s="69">
        <f t="shared" si="2578"/>
        <v>-6.4935064935064402E-3</v>
      </c>
      <c r="AI283" s="89">
        <f t="shared" si="2578"/>
        <v>0.15686274509803932</v>
      </c>
      <c r="AJ283" s="56">
        <v>0.05</v>
      </c>
      <c r="AK283" s="56">
        <f t="shared" ref="AK283:AR283" si="2579">AJ283</f>
        <v>0.05</v>
      </c>
      <c r="AL283" s="56">
        <f t="shared" si="2579"/>
        <v>0.05</v>
      </c>
      <c r="AM283" s="56">
        <f t="shared" si="2579"/>
        <v>0.05</v>
      </c>
      <c r="AN283" s="56">
        <f t="shared" si="2579"/>
        <v>0.05</v>
      </c>
      <c r="AO283" s="56">
        <f t="shared" si="2579"/>
        <v>0.05</v>
      </c>
      <c r="AP283" s="56">
        <f t="shared" si="2579"/>
        <v>0.05</v>
      </c>
      <c r="AQ283" s="56">
        <f t="shared" si="2579"/>
        <v>0.05</v>
      </c>
      <c r="AR283" s="56">
        <f t="shared" si="2579"/>
        <v>0.05</v>
      </c>
      <c r="AS283" s="50"/>
      <c r="AT283" s="50" t="str">
        <f t="shared" ref="AT283:BN283" si="2580">IF(ISERROR(AT236/AS236),"n.a.",AT236/AS236-1)</f>
        <v>n.a.</v>
      </c>
      <c r="AU283" s="50">
        <f t="shared" si="2580"/>
        <v>2.4265644955300036E-2</v>
      </c>
      <c r="AV283" s="50">
        <f t="shared" si="2580"/>
        <v>-0.22069825436408974</v>
      </c>
      <c r="AW283" s="50">
        <f t="shared" si="2580"/>
        <v>-0.14239999999999997</v>
      </c>
      <c r="AX283" s="50">
        <f t="shared" si="2580"/>
        <v>0.21082089552238803</v>
      </c>
      <c r="AY283" s="50">
        <f t="shared" si="2580"/>
        <v>1.3867488443759735E-2</v>
      </c>
      <c r="AZ283" s="50">
        <f t="shared" si="2580"/>
        <v>0.12158054711246202</v>
      </c>
      <c r="BA283" s="50">
        <f t="shared" si="2580"/>
        <v>-4.6070460704607075E-2</v>
      </c>
      <c r="BB283" s="50">
        <f t="shared" si="2580"/>
        <v>-2.5568181818181768E-2</v>
      </c>
      <c r="BC283" s="50">
        <f t="shared" si="2580"/>
        <v>0.24927113702623904</v>
      </c>
      <c r="BD283" s="50">
        <f t="shared" si="2580"/>
        <v>-0.7071178529754959</v>
      </c>
      <c r="BE283" s="50">
        <f t="shared" si="2580"/>
        <v>-0.16733067729083662</v>
      </c>
      <c r="BF283" s="50">
        <f t="shared" si="2580"/>
        <v>0.14354066985645941</v>
      </c>
      <c r="BG283" s="50">
        <f t="shared" si="2580"/>
        <v>5.439330543933063E-2</v>
      </c>
      <c r="BH283" s="50">
        <f t="shared" si="2580"/>
        <v>0.1785714285714286</v>
      </c>
      <c r="BI283" s="51">
        <f t="shared" si="2580"/>
        <v>3.3670033670033739E-2</v>
      </c>
      <c r="BJ283" s="50">
        <f t="shared" si="2580"/>
        <v>0.18192182410423463</v>
      </c>
      <c r="BK283" s="50">
        <f t="shared" si="2580"/>
        <v>0.10250000000000004</v>
      </c>
      <c r="BL283" s="50">
        <f t="shared" si="2580"/>
        <v>0.10250000000000004</v>
      </c>
      <c r="BM283" s="50">
        <f t="shared" si="2580"/>
        <v>0.10250000000000004</v>
      </c>
      <c r="BN283" s="50">
        <f t="shared" si="2580"/>
        <v>0.10250000000000004</v>
      </c>
    </row>
    <row r="284" spans="1:66" ht="12" customHeight="1" outlineLevel="1">
      <c r="B284" s="1" t="s">
        <v>64</v>
      </c>
      <c r="C284" s="50" t="str">
        <f t="shared" ref="C284:AI284" si="2581">IF(ISERROR(C237/B237),"n.a.",C237/B237-1)</f>
        <v>n.a.</v>
      </c>
      <c r="D284" s="50">
        <f t="shared" si="2581"/>
        <v>0.81188118811881194</v>
      </c>
      <c r="E284" s="50">
        <f t="shared" si="2581"/>
        <v>-0.26775956284153002</v>
      </c>
      <c r="F284" s="50">
        <f t="shared" si="2581"/>
        <v>0.14925373134328357</v>
      </c>
      <c r="G284" s="50">
        <f t="shared" si="2581"/>
        <v>-0.24025974025974028</v>
      </c>
      <c r="H284" s="50">
        <f t="shared" si="2581"/>
        <v>-0.4358974358974359</v>
      </c>
      <c r="I284" s="50">
        <f t="shared" si="2581"/>
        <v>-7.5757575757575801E-2</v>
      </c>
      <c r="J284" s="50">
        <f t="shared" si="2581"/>
        <v>0.21311475409836067</v>
      </c>
      <c r="K284" s="50">
        <f t="shared" si="2581"/>
        <v>-5.4054054054054057E-2</v>
      </c>
      <c r="L284" s="50">
        <f t="shared" si="2581"/>
        <v>1.4285714285714235E-2</v>
      </c>
      <c r="M284" s="69">
        <f t="shared" si="2581"/>
        <v>0.40845070422535201</v>
      </c>
      <c r="N284" s="69">
        <f t="shared" si="2581"/>
        <v>2.08</v>
      </c>
      <c r="O284" s="69">
        <f t="shared" si="2581"/>
        <v>-0.74350649350649345</v>
      </c>
      <c r="P284" s="69">
        <f t="shared" si="2581"/>
        <v>-0.10126582278481011</v>
      </c>
      <c r="Q284" s="69">
        <f t="shared" si="2581"/>
        <v>0.23943661971830976</v>
      </c>
      <c r="R284" s="69">
        <f t="shared" si="2581"/>
        <v>-0.32954545454545459</v>
      </c>
      <c r="S284" s="69">
        <f t="shared" si="2581"/>
        <v>0.11864406779661008</v>
      </c>
      <c r="T284" s="69">
        <f t="shared" si="2581"/>
        <v>0.16666666666666674</v>
      </c>
      <c r="U284" s="69">
        <f t="shared" si="2581"/>
        <v>1.0649350649350651</v>
      </c>
      <c r="V284" s="69">
        <f t="shared" si="2581"/>
        <v>-0.52830188679245282</v>
      </c>
      <c r="W284" s="69">
        <f t="shared" si="2581"/>
        <v>1.0533333333333332</v>
      </c>
      <c r="X284" s="69">
        <f t="shared" si="2581"/>
        <v>0.25324675324675328</v>
      </c>
      <c r="Y284" s="69">
        <f t="shared" si="2581"/>
        <v>-0.32124352331606221</v>
      </c>
      <c r="Z284" s="69">
        <f t="shared" si="2581"/>
        <v>-0.14503816793893132</v>
      </c>
      <c r="AA284" s="69">
        <f t="shared" si="2581"/>
        <v>-7.1428571428571397E-2</v>
      </c>
      <c r="AB284" s="69">
        <f t="shared" si="2581"/>
        <v>0.32692307692307687</v>
      </c>
      <c r="AC284" s="69">
        <f t="shared" si="2581"/>
        <v>0.11594202898550732</v>
      </c>
      <c r="AD284" s="69">
        <f t="shared" si="2581"/>
        <v>0.16883116883116878</v>
      </c>
      <c r="AE284" s="69">
        <f t="shared" si="2581"/>
        <v>-0.17777777777777781</v>
      </c>
      <c r="AF284" s="69">
        <f t="shared" si="2581"/>
        <v>-5.4054054054054057E-2</v>
      </c>
      <c r="AG284" s="69">
        <f t="shared" si="2581"/>
        <v>-3.5714285714285698E-2</v>
      </c>
      <c r="AH284" s="69">
        <f t="shared" si="2581"/>
        <v>-0.35555555555555551</v>
      </c>
      <c r="AI284" s="89">
        <f t="shared" si="2581"/>
        <v>0.6206896551724137</v>
      </c>
      <c r="AJ284" s="56">
        <v>0.25</v>
      </c>
      <c r="AK284" s="56">
        <v>0.02</v>
      </c>
      <c r="AL284" s="56">
        <v>0.02</v>
      </c>
      <c r="AM284" s="56">
        <f t="shared" ref="AM284:AR284" si="2582">AL284</f>
        <v>0.02</v>
      </c>
      <c r="AN284" s="56">
        <f t="shared" si="2582"/>
        <v>0.02</v>
      </c>
      <c r="AO284" s="56">
        <f t="shared" si="2582"/>
        <v>0.02</v>
      </c>
      <c r="AP284" s="56">
        <f t="shared" si="2582"/>
        <v>0.02</v>
      </c>
      <c r="AQ284" s="56">
        <f t="shared" si="2582"/>
        <v>0.02</v>
      </c>
      <c r="AR284" s="56">
        <f t="shared" si="2582"/>
        <v>0.02</v>
      </c>
      <c r="AS284" s="50"/>
      <c r="AT284" s="50" t="str">
        <f t="shared" ref="AT284:BN284" si="2583">IF(ISERROR(AT237/AS237),"n.a.",AT237/AS237-1)</f>
        <v>n.a.</v>
      </c>
      <c r="AU284" s="50">
        <f t="shared" si="2583"/>
        <v>1.4084507042253502E-2</v>
      </c>
      <c r="AV284" s="50">
        <f t="shared" si="2583"/>
        <v>-0.36458333333333337</v>
      </c>
      <c r="AW284" s="50">
        <f t="shared" si="2583"/>
        <v>-0.26229508196721307</v>
      </c>
      <c r="AX284" s="50">
        <f t="shared" si="2583"/>
        <v>4.4444444444444509E-2</v>
      </c>
      <c r="AY284" s="50">
        <f t="shared" si="2583"/>
        <v>1.8936170212765959</v>
      </c>
      <c r="AZ284" s="50">
        <f t="shared" si="2583"/>
        <v>-0.63235294117647056</v>
      </c>
      <c r="BA284" s="50">
        <f t="shared" si="2583"/>
        <v>-2.0000000000000018E-2</v>
      </c>
      <c r="BB284" s="50">
        <f t="shared" si="2583"/>
        <v>-2.7210884353741527E-2</v>
      </c>
      <c r="BC284" s="50">
        <f t="shared" si="2583"/>
        <v>0.63636363636363646</v>
      </c>
      <c r="BD284" s="50">
        <f t="shared" si="2583"/>
        <v>0.48290598290598297</v>
      </c>
      <c r="BE284" s="50">
        <f t="shared" si="2583"/>
        <v>-0.29971181556195969</v>
      </c>
      <c r="BF284" s="50">
        <f t="shared" si="2583"/>
        <v>-4.1152263374485409E-3</v>
      </c>
      <c r="BG284" s="50">
        <f t="shared" si="2583"/>
        <v>0.38016528925619841</v>
      </c>
      <c r="BH284" s="50">
        <f t="shared" si="2583"/>
        <v>-0.13772455089820357</v>
      </c>
      <c r="BI284" s="51">
        <f t="shared" si="2583"/>
        <v>-0.22916666666666663</v>
      </c>
      <c r="BJ284" s="50">
        <f t="shared" si="2583"/>
        <v>0.42905405405405395</v>
      </c>
      <c r="BK284" s="50">
        <f t="shared" si="2583"/>
        <v>0.14466666666666672</v>
      </c>
      <c r="BL284" s="50">
        <f t="shared" si="2583"/>
        <v>4.0399999999999991E-2</v>
      </c>
      <c r="BM284" s="50">
        <f t="shared" si="2583"/>
        <v>4.0400000000000214E-2</v>
      </c>
      <c r="BN284" s="50">
        <f t="shared" si="2583"/>
        <v>4.0400000000000214E-2</v>
      </c>
    </row>
    <row r="285" spans="1:66" ht="12" customHeight="1" outlineLevel="1">
      <c r="B285" s="1" t="s">
        <v>1818</v>
      </c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69" t="str">
        <f t="shared" ref="M285:AI285" si="2584">IF(ISERROR(M239/L239),"n.a.",M239/L239-1)</f>
        <v>n.a.</v>
      </c>
      <c r="N285" s="69">
        <f t="shared" si="2584"/>
        <v>0.19188191881918826</v>
      </c>
      <c r="O285" s="69">
        <f t="shared" si="2584"/>
        <v>6.8111455108359031E-2</v>
      </c>
      <c r="P285" s="69">
        <f t="shared" si="2584"/>
        <v>0.37391304347826093</v>
      </c>
      <c r="Q285" s="69">
        <f t="shared" si="2584"/>
        <v>-0.32278481012658233</v>
      </c>
      <c r="R285" s="69">
        <f t="shared" si="2584"/>
        <v>0.33021806853582558</v>
      </c>
      <c r="S285" s="69">
        <f t="shared" si="2584"/>
        <v>-0.33255269320843095</v>
      </c>
      <c r="T285" s="69">
        <f t="shared" si="2584"/>
        <v>0.47368421052631571</v>
      </c>
      <c r="U285" s="69">
        <f t="shared" si="2584"/>
        <v>8.8095238095238004E-2</v>
      </c>
      <c r="V285" s="69">
        <f t="shared" si="2584"/>
        <v>0.3588621444201312</v>
      </c>
      <c r="W285" s="69">
        <f t="shared" si="2584"/>
        <v>1.7713365539452575E-2</v>
      </c>
      <c r="X285" s="69">
        <f t="shared" si="2584"/>
        <v>4.7468354430379778E-2</v>
      </c>
      <c r="Y285" s="69">
        <f t="shared" si="2584"/>
        <v>-0.12688821752265866</v>
      </c>
      <c r="Z285" s="69">
        <f t="shared" si="2584"/>
        <v>0.52768166089965396</v>
      </c>
      <c r="AA285" s="69">
        <f t="shared" si="2584"/>
        <v>7.4745186862967161E-2</v>
      </c>
      <c r="AB285" s="69">
        <f t="shared" si="2584"/>
        <v>0.14225500526870394</v>
      </c>
      <c r="AC285" s="69">
        <f t="shared" si="2584"/>
        <v>0.38007380073800734</v>
      </c>
      <c r="AD285" s="69">
        <f t="shared" si="2584"/>
        <v>9.1577540106951849E-2</v>
      </c>
      <c r="AE285" s="69">
        <f t="shared" si="2584"/>
        <v>-0.27617881200244943</v>
      </c>
      <c r="AF285" s="69">
        <f t="shared" si="2584"/>
        <v>-8.8832487309644659E-2</v>
      </c>
      <c r="AG285" s="69">
        <f t="shared" si="2584"/>
        <v>-0.17734447539461462</v>
      </c>
      <c r="AH285" s="69">
        <f t="shared" si="2584"/>
        <v>0.21670428893905203</v>
      </c>
      <c r="AI285" s="89">
        <f t="shared" si="2584"/>
        <v>-0.14378478664192951</v>
      </c>
      <c r="AJ285" s="56">
        <v>0.45</v>
      </c>
      <c r="AK285" s="56">
        <v>-0.15</v>
      </c>
      <c r="AL285" s="56">
        <v>3.5000000000000003E-2</v>
      </c>
      <c r="AM285" s="56">
        <v>-7.4999999999999997E-2</v>
      </c>
      <c r="AN285" s="56">
        <v>0.2</v>
      </c>
      <c r="AO285" s="56">
        <v>-0.125</v>
      </c>
      <c r="AP285" s="56">
        <f t="shared" ref="AP285:AR285" si="2585">AN285</f>
        <v>0.2</v>
      </c>
      <c r="AQ285" s="56">
        <f t="shared" si="2585"/>
        <v>-0.125</v>
      </c>
      <c r="AR285" s="56">
        <f t="shared" si="2585"/>
        <v>0.2</v>
      </c>
      <c r="AS285" s="50"/>
      <c r="AT285" s="50"/>
      <c r="AU285" s="50"/>
      <c r="AV285" s="50"/>
      <c r="AW285" s="50"/>
      <c r="AX285" s="50"/>
      <c r="AY285" s="50"/>
      <c r="AZ285" s="50"/>
      <c r="BA285" s="50"/>
      <c r="BB285" s="50"/>
      <c r="BC285" s="50"/>
      <c r="BD285" s="50"/>
      <c r="BE285" s="50"/>
      <c r="BF285" s="50"/>
      <c r="BG285" s="50"/>
      <c r="BH285" s="50"/>
      <c r="BI285" s="51"/>
      <c r="BJ285" s="50"/>
      <c r="BK285" s="50"/>
      <c r="BL285" s="50"/>
      <c r="BM285" s="50"/>
      <c r="BN285" s="50"/>
    </row>
    <row r="286" spans="1:66" ht="12" customHeight="1" outlineLevel="1">
      <c r="B286" s="1" t="s">
        <v>1819</v>
      </c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69" t="str">
        <f t="shared" ref="M286:AI286" si="2586">IF(ISERROR(M240/L240),"n.a.",M240/L240-1)</f>
        <v>n.a.</v>
      </c>
      <c r="N286" s="69">
        <f t="shared" si="2586"/>
        <v>0.25531914893617014</v>
      </c>
      <c r="O286" s="69">
        <f t="shared" si="2586"/>
        <v>-0.16384180790960456</v>
      </c>
      <c r="P286" s="69">
        <f t="shared" si="2586"/>
        <v>-2.7027027027026973E-2</v>
      </c>
      <c r="Q286" s="69">
        <f t="shared" si="2586"/>
        <v>-1.388888888888884E-2</v>
      </c>
      <c r="R286" s="69">
        <f t="shared" si="2586"/>
        <v>-0.16901408450704225</v>
      </c>
      <c r="S286" s="69">
        <f t="shared" si="2586"/>
        <v>-8.4745762711864403E-2</v>
      </c>
      <c r="T286" s="69">
        <f t="shared" si="2586"/>
        <v>0.19444444444444442</v>
      </c>
      <c r="U286" s="69">
        <f t="shared" si="2586"/>
        <v>-7.7519379844961378E-3</v>
      </c>
      <c r="V286" s="69">
        <f t="shared" si="2586"/>
        <v>-4.6875E-2</v>
      </c>
      <c r="W286" s="69">
        <f t="shared" si="2586"/>
        <v>-5.7377049180327822E-2</v>
      </c>
      <c r="X286" s="69">
        <f t="shared" si="2586"/>
        <v>0.31304347826086953</v>
      </c>
      <c r="Y286" s="69">
        <f t="shared" si="2586"/>
        <v>-0.2185430463576159</v>
      </c>
      <c r="Z286" s="69">
        <f t="shared" si="2586"/>
        <v>-1.6949152542372836E-2</v>
      </c>
      <c r="AA286" s="69">
        <f t="shared" si="2586"/>
        <v>0</v>
      </c>
      <c r="AB286" s="69">
        <f t="shared" si="2586"/>
        <v>-0.17241379310344829</v>
      </c>
      <c r="AC286" s="69">
        <f t="shared" si="2586"/>
        <v>0.91666666666666674</v>
      </c>
      <c r="AD286" s="69">
        <f t="shared" si="2586"/>
        <v>-0.16847826086956519</v>
      </c>
      <c r="AE286" s="69">
        <f t="shared" si="2586"/>
        <v>0.29411764705882359</v>
      </c>
      <c r="AF286" s="69">
        <f t="shared" si="2586"/>
        <v>-0.22727272727272729</v>
      </c>
      <c r="AG286" s="69">
        <f t="shared" si="2586"/>
        <v>0.22222222222222232</v>
      </c>
      <c r="AH286" s="69">
        <f t="shared" si="2586"/>
        <v>-4.2780748663101553E-2</v>
      </c>
      <c r="AI286" s="89">
        <f t="shared" si="2586"/>
        <v>-0.1061452513966481</v>
      </c>
      <c r="AJ286" s="56">
        <v>4.4999999999999998E-2</v>
      </c>
      <c r="AK286" s="56">
        <v>0.02</v>
      </c>
      <c r="AL286" s="56">
        <v>0.02</v>
      </c>
      <c r="AM286" s="56">
        <v>0.02</v>
      </c>
      <c r="AN286" s="56">
        <v>0.02</v>
      </c>
      <c r="AO286" s="56">
        <v>0.02</v>
      </c>
      <c r="AP286" s="56">
        <v>0.02</v>
      </c>
      <c r="AQ286" s="56">
        <v>0.02</v>
      </c>
      <c r="AR286" s="56">
        <v>0.02</v>
      </c>
      <c r="AS286" s="50"/>
      <c r="AT286" s="50"/>
      <c r="AU286" s="50"/>
      <c r="AV286" s="50"/>
      <c r="AW286" s="50"/>
      <c r="AX286" s="50"/>
      <c r="AY286" s="50"/>
      <c r="AZ286" s="50"/>
      <c r="BA286" s="50"/>
      <c r="BB286" s="50"/>
      <c r="BC286" s="50"/>
      <c r="BD286" s="50"/>
      <c r="BE286" s="50"/>
      <c r="BF286" s="50"/>
      <c r="BG286" s="50"/>
      <c r="BH286" s="50"/>
      <c r="BI286" s="51"/>
      <c r="BJ286" s="50"/>
      <c r="BK286" s="50"/>
      <c r="BL286" s="50"/>
      <c r="BM286" s="50"/>
      <c r="BN286" s="50"/>
    </row>
    <row r="287" spans="1:66" ht="12" customHeight="1" outlineLevel="1">
      <c r="B287" s="1" t="s">
        <v>1820</v>
      </c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69" t="str">
        <f t="shared" ref="M287:AI287" si="2587">IF(ISERROR(M241/L241),"n.a.",M241/L241-1)</f>
        <v>n.a.</v>
      </c>
      <c r="N287" s="69">
        <f t="shared" si="2587"/>
        <v>33.5</v>
      </c>
      <c r="O287" s="69">
        <f t="shared" si="2587"/>
        <v>-0.56521739130434789</v>
      </c>
      <c r="P287" s="69">
        <f t="shared" si="2587"/>
        <v>0.26666666666666661</v>
      </c>
      <c r="Q287" s="69">
        <f t="shared" si="2587"/>
        <v>-0.63157894736842102</v>
      </c>
      <c r="R287" s="69">
        <f t="shared" si="2587"/>
        <v>0.95238095238095233</v>
      </c>
      <c r="S287" s="69">
        <f t="shared" si="2587"/>
        <v>-0.48780487804878048</v>
      </c>
      <c r="T287" s="69">
        <f t="shared" si="2587"/>
        <v>1.5952380952380953</v>
      </c>
      <c r="U287" s="69">
        <f t="shared" si="2587"/>
        <v>1.0275229357798166</v>
      </c>
      <c r="V287" s="69">
        <f t="shared" si="2587"/>
        <v>0.96380090497737547</v>
      </c>
      <c r="W287" s="69">
        <f t="shared" si="2587"/>
        <v>-0.30414746543778803</v>
      </c>
      <c r="X287" s="69">
        <f t="shared" si="2587"/>
        <v>-1.4105960264900661</v>
      </c>
      <c r="Y287" s="69">
        <f t="shared" si="2587"/>
        <v>-4.3548387096774199</v>
      </c>
      <c r="Z287" s="69">
        <f t="shared" si="2587"/>
        <v>0.34615384615384626</v>
      </c>
      <c r="AA287" s="69">
        <f t="shared" si="2587"/>
        <v>-0.66249999999999998</v>
      </c>
      <c r="AB287" s="69">
        <f t="shared" si="2587"/>
        <v>3.7089947089947088</v>
      </c>
      <c r="AC287" s="69">
        <f t="shared" si="2587"/>
        <v>-0.76516853932584272</v>
      </c>
      <c r="AD287" s="69">
        <f t="shared" si="2587"/>
        <v>10.703349282296651</v>
      </c>
      <c r="AE287" s="69">
        <f t="shared" si="2587"/>
        <v>-0.93704006541291907</v>
      </c>
      <c r="AF287" s="69">
        <f t="shared" si="2587"/>
        <v>3.883116883116883</v>
      </c>
      <c r="AG287" s="69">
        <f t="shared" si="2587"/>
        <v>-0.55718085106382986</v>
      </c>
      <c r="AH287" s="69">
        <f t="shared" si="2587"/>
        <v>7.2072072072072002E-2</v>
      </c>
      <c r="AI287" s="89">
        <f t="shared" si="2587"/>
        <v>-0.16806722689075626</v>
      </c>
      <c r="AJ287" s="56">
        <v>0.95</v>
      </c>
      <c r="AK287" s="56">
        <v>-0.34</v>
      </c>
      <c r="AL287" s="56">
        <v>0.55000000000000004</v>
      </c>
      <c r="AM287" s="56">
        <v>-0.1</v>
      </c>
      <c r="AN287" s="56">
        <v>0.2</v>
      </c>
      <c r="AO287" s="56">
        <v>-0.15</v>
      </c>
      <c r="AP287" s="56">
        <f t="shared" ref="AP287" si="2588">AN287</f>
        <v>0.2</v>
      </c>
      <c r="AQ287" s="56">
        <v>-0.1</v>
      </c>
      <c r="AR287" s="56">
        <v>0.05</v>
      </c>
      <c r="AS287" s="50"/>
      <c r="AT287" s="50"/>
      <c r="AU287" s="50"/>
      <c r="AV287" s="50"/>
      <c r="AW287" s="50"/>
      <c r="AX287" s="50"/>
      <c r="AY287" s="50"/>
      <c r="AZ287" s="50"/>
      <c r="BA287" s="50"/>
      <c r="BB287" s="50"/>
      <c r="BC287" s="50"/>
      <c r="BD287" s="50"/>
      <c r="BE287" s="50"/>
      <c r="BF287" s="50"/>
      <c r="BG287" s="50"/>
      <c r="BH287" s="50"/>
      <c r="BI287" s="51"/>
      <c r="BJ287" s="50"/>
      <c r="BK287" s="50"/>
      <c r="BL287" s="50"/>
      <c r="BM287" s="50"/>
      <c r="BN287" s="50"/>
    </row>
    <row r="288" spans="1:66" ht="12" customHeight="1" outlineLevel="1">
      <c r="B288" s="1" t="s">
        <v>71</v>
      </c>
      <c r="C288" s="50" t="str">
        <f t="shared" ref="C288:AI288" si="2589">IF(ISERROR(C242/B242),"n.a.",C242/B242-1)</f>
        <v>n.a.</v>
      </c>
      <c r="D288" s="50">
        <f t="shared" si="2589"/>
        <v>-6.0693641618497107E-2</v>
      </c>
      <c r="E288" s="50">
        <f t="shared" si="2589"/>
        <v>-0.39384615384615385</v>
      </c>
      <c r="F288" s="50">
        <f t="shared" si="2589"/>
        <v>1.1370558375634516</v>
      </c>
      <c r="G288" s="50">
        <f t="shared" si="2589"/>
        <v>-0.33729216152019004</v>
      </c>
      <c r="H288" s="50">
        <f t="shared" si="2589"/>
        <v>5.3763440860215006E-2</v>
      </c>
      <c r="I288" s="50">
        <f t="shared" si="2589"/>
        <v>0.1802721088435375</v>
      </c>
      <c r="J288" s="50">
        <f t="shared" si="2589"/>
        <v>5.4755043227665778E-2</v>
      </c>
      <c r="K288" s="50">
        <f t="shared" si="2589"/>
        <v>7.3770491803278659E-2</v>
      </c>
      <c r="L288" s="50">
        <f t="shared" si="2589"/>
        <v>0.86005089058524176</v>
      </c>
      <c r="M288" s="69">
        <f t="shared" si="2589"/>
        <v>-0.42818057455540359</v>
      </c>
      <c r="N288" s="69">
        <f t="shared" si="2589"/>
        <v>0.69138755980861255</v>
      </c>
      <c r="O288" s="69">
        <f t="shared" si="2589"/>
        <v>-0.17538896746817534</v>
      </c>
      <c r="P288" s="69">
        <f t="shared" si="2589"/>
        <v>0.25557461406518001</v>
      </c>
      <c r="Q288" s="69">
        <f t="shared" si="2589"/>
        <v>-0.31010928961748629</v>
      </c>
      <c r="R288" s="69">
        <f t="shared" si="2589"/>
        <v>0.24158415841584158</v>
      </c>
      <c r="S288" s="69">
        <f t="shared" si="2589"/>
        <v>-0.30622009569377995</v>
      </c>
      <c r="T288" s="69">
        <f t="shared" si="2589"/>
        <v>0.5126436781609196</v>
      </c>
      <c r="U288" s="69">
        <f t="shared" si="2589"/>
        <v>0.22492401215805469</v>
      </c>
      <c r="V288" s="69">
        <f t="shared" si="2589"/>
        <v>0.46029776674937972</v>
      </c>
      <c r="W288" s="69">
        <f t="shared" si="2589"/>
        <v>-0.10875106202209006</v>
      </c>
      <c r="X288" s="69">
        <f t="shared" si="2589"/>
        <v>-0.34318398474737843</v>
      </c>
      <c r="Y288" s="69">
        <f t="shared" si="2589"/>
        <v>0.61393323657474608</v>
      </c>
      <c r="Z288" s="69">
        <f t="shared" si="2589"/>
        <v>0.4019784172661871</v>
      </c>
      <c r="AA288" s="69">
        <f t="shared" si="2589"/>
        <v>-0.19563822963438104</v>
      </c>
      <c r="AB288" s="69">
        <f t="shared" si="2589"/>
        <v>0.65071770334928236</v>
      </c>
      <c r="AC288" s="69">
        <f t="shared" si="2589"/>
        <v>-8.7439613526570037E-2</v>
      </c>
      <c r="AD288" s="69">
        <f t="shared" si="2589"/>
        <v>1.2403388035997884</v>
      </c>
      <c r="AE288" s="69">
        <f t="shared" si="2589"/>
        <v>-0.63752362948960295</v>
      </c>
      <c r="AF288" s="69">
        <f t="shared" si="2589"/>
        <v>0.29204693611473265</v>
      </c>
      <c r="AG288" s="69">
        <f t="shared" si="2589"/>
        <v>-0.29061553985872857</v>
      </c>
      <c r="AH288" s="69">
        <f t="shared" si="2589"/>
        <v>0.14793741109530578</v>
      </c>
      <c r="AI288" s="89">
        <f t="shared" si="2589"/>
        <v>-0.14498141263940523</v>
      </c>
      <c r="AJ288" s="69">
        <f t="shared" ref="AJ288:AL288" si="2590">IF(ISERROR(AJ242/AI242),"n.a.",AJ242/AI242-1)</f>
        <v>0.51065217391304341</v>
      </c>
      <c r="AK288" s="69">
        <f t="shared" si="2590"/>
        <v>-0.18914927807358373</v>
      </c>
      <c r="AL288" s="69">
        <f t="shared" si="2590"/>
        <v>0.14994153239462937</v>
      </c>
      <c r="AM288" s="69">
        <f t="shared" ref="AM288" si="2591">IF(ISERROR(AM242/AL242),"n.a.",AM242/AL242-1)</f>
        <v>-7.4118264127303268E-2</v>
      </c>
      <c r="AN288" s="69">
        <f t="shared" ref="AN288" si="2592">IF(ISERROR(AN242/AM242),"n.a.",AN242/AM242-1)</f>
        <v>0.18225428335951488</v>
      </c>
      <c r="AO288" s="69">
        <f t="shared" ref="AO288" si="2593">IF(ISERROR(AO242/AN242),"n.a.",AO242/AN242-1)</f>
        <v>-0.12018475363348846</v>
      </c>
      <c r="AP288" s="69">
        <f t="shared" ref="AP288" si="2594">IF(ISERROR(AP242/AO242),"n.a.",AP242/AO242-1)</f>
        <v>0.18225028000915278</v>
      </c>
      <c r="AQ288" s="69">
        <f t="shared" ref="AQ288" si="2595">IF(ISERROR(AQ242/AP242),"n.a.",AQ242/AP242-1)</f>
        <v>-0.10529160247527103</v>
      </c>
      <c r="AR288" s="69">
        <f t="shared" ref="AR288" si="2596">IF(ISERROR(AR242/AQ242),"n.a.",AR242/AQ242-1)</f>
        <v>0.13804632085891111</v>
      </c>
      <c r="AS288" s="8"/>
      <c r="AT288" s="50" t="str">
        <f t="shared" ref="AT288:BN288" si="2597">IF(ISERROR(AT242/AS242),"n.a.",AT242/AS242-1)</f>
        <v>n.a.</v>
      </c>
      <c r="AU288" s="50">
        <f t="shared" si="2597"/>
        <v>-7.8986587183308532E-2</v>
      </c>
      <c r="AV288" s="50">
        <f t="shared" si="2597"/>
        <v>-7.2815533980582492E-2</v>
      </c>
      <c r="AW288" s="50">
        <f t="shared" si="2597"/>
        <v>0.2443280977312392</v>
      </c>
      <c r="AX288" s="50">
        <f t="shared" si="2597"/>
        <v>0.57643758765778408</v>
      </c>
      <c r="AY288" s="50">
        <f t="shared" si="2597"/>
        <v>8.8967971530240497E-4</v>
      </c>
      <c r="AZ288" s="50">
        <f t="shared" si="2597"/>
        <v>0.16888888888888887</v>
      </c>
      <c r="BA288" s="50">
        <f t="shared" si="2597"/>
        <v>-0.13916349809885931</v>
      </c>
      <c r="BB288" s="50">
        <f t="shared" si="2597"/>
        <v>-3.4452296819788009E-2</v>
      </c>
      <c r="BC288" s="50">
        <f t="shared" si="2597"/>
        <v>0.81427264409881062</v>
      </c>
      <c r="BD288" s="50">
        <f t="shared" si="2597"/>
        <v>-0.12355017650025213</v>
      </c>
      <c r="BE288" s="50">
        <f t="shared" si="2597"/>
        <v>0.53682393555811281</v>
      </c>
      <c r="BF288" s="50">
        <f t="shared" si="2597"/>
        <v>0.24447772369898924</v>
      </c>
      <c r="BG288" s="50">
        <f t="shared" si="2597"/>
        <v>0.84145607701564384</v>
      </c>
      <c r="BH288" s="50">
        <f t="shared" si="2597"/>
        <v>-0.42558405489299134</v>
      </c>
      <c r="BI288" s="51">
        <f t="shared" si="2597"/>
        <v>-0.14106939704209331</v>
      </c>
      <c r="BJ288" s="50">
        <f t="shared" si="2597"/>
        <v>0.147251655629139</v>
      </c>
      <c r="BK288" s="50">
        <f t="shared" si="2597"/>
        <v>4.8927538459318187E-2</v>
      </c>
      <c r="BL288" s="50">
        <f t="shared" si="2597"/>
        <v>8.0712020413969299E-2</v>
      </c>
      <c r="BM288" s="50">
        <f t="shared" si="2597"/>
        <v>4.0163435396166625E-2</v>
      </c>
      <c r="BN288" s="50">
        <f t="shared" si="2597"/>
        <v>3.6342935309047197E-2</v>
      </c>
    </row>
    <row r="289" spans="1:66" ht="12" customHeight="1" outlineLevel="1">
      <c r="B289" s="1" t="s">
        <v>72</v>
      </c>
      <c r="C289" s="50" t="str">
        <f t="shared" ref="C289:AI289" si="2598">IF(ISERROR(C243/B243),"n.a.",C243/B243-1)</f>
        <v>n.a.</v>
      </c>
      <c r="D289" s="50">
        <f t="shared" si="2598"/>
        <v>-4.2372881355932202E-2</v>
      </c>
      <c r="E289" s="50">
        <f t="shared" si="2598"/>
        <v>-0.26991150442477874</v>
      </c>
      <c r="F289" s="50">
        <f t="shared" si="2598"/>
        <v>0.18484848484848482</v>
      </c>
      <c r="G289" s="50">
        <f t="shared" si="2598"/>
        <v>-0.49616368286445012</v>
      </c>
      <c r="H289" s="50">
        <f t="shared" si="2598"/>
        <v>0.72588832487309651</v>
      </c>
      <c r="I289" s="50">
        <f t="shared" si="2598"/>
        <v>-0.25588235294117645</v>
      </c>
      <c r="J289" s="50">
        <f t="shared" si="2598"/>
        <v>0.34782608695652173</v>
      </c>
      <c r="K289" s="50">
        <f t="shared" si="2598"/>
        <v>2.0527859237536639E-2</v>
      </c>
      <c r="L289" s="50">
        <f t="shared" si="2598"/>
        <v>-1.7241379310344862E-2</v>
      </c>
      <c r="M289" s="69">
        <f t="shared" si="2598"/>
        <v>7.0175438596491224E-2</v>
      </c>
      <c r="N289" s="69">
        <f t="shared" si="2598"/>
        <v>0.34153005464480879</v>
      </c>
      <c r="O289" s="69">
        <f t="shared" si="2598"/>
        <v>0.26476578411405294</v>
      </c>
      <c r="P289" s="69">
        <f t="shared" si="2598"/>
        <v>-0.43800322061191621</v>
      </c>
      <c r="Q289" s="69">
        <f t="shared" si="2598"/>
        <v>0.23209169054441259</v>
      </c>
      <c r="R289" s="69">
        <f t="shared" si="2598"/>
        <v>0.1581395348837209</v>
      </c>
      <c r="S289" s="69">
        <f t="shared" si="2598"/>
        <v>-5.8232931726907577E-2</v>
      </c>
      <c r="T289" s="69">
        <f t="shared" si="2598"/>
        <v>-0.15138592750533053</v>
      </c>
      <c r="U289" s="69">
        <f t="shared" si="2598"/>
        <v>0.38442211055276387</v>
      </c>
      <c r="V289" s="69">
        <f t="shared" si="2598"/>
        <v>-0.26315789473684215</v>
      </c>
      <c r="W289" s="69">
        <f t="shared" si="2598"/>
        <v>0.57881773399014769</v>
      </c>
      <c r="X289" s="69">
        <f t="shared" si="2598"/>
        <v>-9.8283931357254328E-2</v>
      </c>
      <c r="Y289" s="69">
        <f t="shared" si="2598"/>
        <v>8.1314878892733589E-2</v>
      </c>
      <c r="Z289" s="69">
        <f t="shared" si="2598"/>
        <v>-0.10399999999999998</v>
      </c>
      <c r="AA289" s="69">
        <f t="shared" si="2598"/>
        <v>0.11428571428571432</v>
      </c>
      <c r="AB289" s="69">
        <f t="shared" si="2598"/>
        <v>0.25641025641025639</v>
      </c>
      <c r="AC289" s="69">
        <f t="shared" si="2598"/>
        <v>0.12882653061224492</v>
      </c>
      <c r="AD289" s="69">
        <f t="shared" si="2598"/>
        <v>-0.28474576271186436</v>
      </c>
      <c r="AE289" s="69">
        <f t="shared" si="2598"/>
        <v>0.30963665086887837</v>
      </c>
      <c r="AF289" s="69">
        <f t="shared" si="2598"/>
        <v>-2.1712907117008462E-2</v>
      </c>
      <c r="AG289" s="69">
        <f t="shared" si="2598"/>
        <v>6.4118372379778021E-2</v>
      </c>
      <c r="AH289" s="69">
        <f t="shared" si="2598"/>
        <v>0.16685979142526075</v>
      </c>
      <c r="AI289" s="89">
        <f t="shared" si="2598"/>
        <v>-6.5541211519364428E-2</v>
      </c>
      <c r="AJ289" s="56">
        <v>0.125</v>
      </c>
      <c r="AK289" s="56">
        <v>-1.4999999999999999E-2</v>
      </c>
      <c r="AL289" s="56">
        <v>0.02</v>
      </c>
      <c r="AM289" s="56">
        <v>0.02</v>
      </c>
      <c r="AN289" s="56">
        <f t="shared" ref="AN289" si="2599">AL289</f>
        <v>0.02</v>
      </c>
      <c r="AO289" s="56">
        <f t="shared" ref="AO289" si="2600">AM289</f>
        <v>0.02</v>
      </c>
      <c r="AP289" s="56">
        <f t="shared" ref="AP289" si="2601">AN289</f>
        <v>0.02</v>
      </c>
      <c r="AQ289" s="56">
        <f t="shared" ref="AQ289" si="2602">AO289</f>
        <v>0.02</v>
      </c>
      <c r="AR289" s="56">
        <f t="shared" ref="AR289" si="2603">AP289</f>
        <v>0.02</v>
      </c>
      <c r="AS289" s="8"/>
      <c r="AT289" s="50" t="str">
        <f t="shared" ref="AT289:BN289" si="2604">IF(ISERROR(AT243/AS243),"n.a.",AT243/AS243-1)</f>
        <v>n.a.</v>
      </c>
      <c r="AU289" s="50">
        <f t="shared" si="2604"/>
        <v>-0.21969696969696972</v>
      </c>
      <c r="AV289" s="50">
        <f t="shared" si="2604"/>
        <v>-0.25520110957004161</v>
      </c>
      <c r="AW289" s="50">
        <f t="shared" si="2604"/>
        <v>0.1061452513966481</v>
      </c>
      <c r="AX289" s="50">
        <f t="shared" si="2604"/>
        <v>0.16161616161616155</v>
      </c>
      <c r="AY289" s="50">
        <f t="shared" si="2604"/>
        <v>0.24202898550724639</v>
      </c>
      <c r="AZ289" s="50">
        <f t="shared" si="2604"/>
        <v>0.1318553092182031</v>
      </c>
      <c r="BA289" s="50">
        <f t="shared" si="2604"/>
        <v>-4.3298969072164906E-2</v>
      </c>
      <c r="BB289" s="50">
        <f t="shared" si="2604"/>
        <v>-6.5732758620689613E-2</v>
      </c>
      <c r="BC289" s="50">
        <f t="shared" si="2604"/>
        <v>0.10380622837370246</v>
      </c>
      <c r="BD289" s="50">
        <f t="shared" si="2604"/>
        <v>0.27377220480668751</v>
      </c>
      <c r="BE289" s="50">
        <f t="shared" si="2604"/>
        <v>-2.7891714520098421E-2</v>
      </c>
      <c r="BF289" s="50">
        <f t="shared" si="2604"/>
        <v>0.18818565400843879</v>
      </c>
      <c r="BG289" s="50">
        <f t="shared" si="2604"/>
        <v>7.8125E-2</v>
      </c>
      <c r="BH289" s="50">
        <f t="shared" si="2604"/>
        <v>8.0368906455863032E-2</v>
      </c>
      <c r="BI289" s="51">
        <f t="shared" si="2604"/>
        <v>0.14024390243902429</v>
      </c>
      <c r="BJ289" s="50">
        <f t="shared" si="2604"/>
        <v>6.9318181818181834E-2</v>
      </c>
      <c r="BK289" s="50">
        <f t="shared" si="2604"/>
        <v>5.337058823529417E-2</v>
      </c>
      <c r="BL289" s="50">
        <f t="shared" si="2604"/>
        <v>4.0399999999999769E-2</v>
      </c>
      <c r="BM289" s="50">
        <f t="shared" si="2604"/>
        <v>4.0399999999999991E-2</v>
      </c>
      <c r="BN289" s="50">
        <f t="shared" si="2604"/>
        <v>4.0399999999999991E-2</v>
      </c>
    </row>
    <row r="290" spans="1:66" ht="12" customHeight="1" outlineLevel="1">
      <c r="B290" s="1" t="s">
        <v>77</v>
      </c>
      <c r="C290" s="37" t="str">
        <f>IF(ISERROR(-C245/AVERAGE(B266:C266)),"n.a.",-C245*C$5/AVERAGE(B266:C266))</f>
        <v>n.a.</v>
      </c>
      <c r="D290" s="37" t="str">
        <f t="shared" ref="D290" si="2605">IF(ISERROR(-D245/AVERAGE(C266:D266)),"n.a.",-D245*D$5/AVERAGE(C266:D266))</f>
        <v>n.a.</v>
      </c>
      <c r="E290" s="37" t="str">
        <f t="shared" ref="E290" si="2606">IF(ISERROR(-E245/AVERAGE(D266:E266)),"n.a.",-E245*E$5/AVERAGE(D266:E266))</f>
        <v>n.a.</v>
      </c>
      <c r="F290" s="37" t="str">
        <f t="shared" ref="F290" si="2607">IF(ISERROR(-F245/AVERAGE(E266:F266)),"n.a.",-F245*F$5/AVERAGE(E266:F266))</f>
        <v>n.a.</v>
      </c>
      <c r="G290" s="37" t="str">
        <f t="shared" ref="G290" si="2608">IF(ISERROR(-G245/AVERAGE(F266:G266)),"n.a.",-G245*G$5/AVERAGE(F266:G266))</f>
        <v>n.a.</v>
      </c>
      <c r="H290" s="37" t="str">
        <f t="shared" ref="H290" si="2609">IF(ISERROR(-H245/AVERAGE(G266:H266)),"n.a.",-H245*H$5/AVERAGE(G266:H266))</f>
        <v>n.a.</v>
      </c>
      <c r="I290" s="37" t="str">
        <f t="shared" ref="I290" si="2610">IF(ISERROR(-I245/AVERAGE(H266:I266)),"n.a.",-I245*I$5/AVERAGE(H266:I266))</f>
        <v>n.a.</v>
      </c>
      <c r="J290" s="37" t="str">
        <f t="shared" ref="J290" si="2611">IF(ISERROR(-J245/AVERAGE(I266:J266)),"n.a.",-J245*J$5/AVERAGE(I266:J266))</f>
        <v>n.a.</v>
      </c>
      <c r="K290" s="37" t="str">
        <f t="shared" ref="K290" si="2612">IF(ISERROR(-K245/AVERAGE(J266:K266)),"n.a.",-K245*K$5/AVERAGE(J266:K266))</f>
        <v>n.a.</v>
      </c>
      <c r="L290" s="37" t="str">
        <f t="shared" ref="L290" si="2613">IF(ISERROR(-L245/AVERAGE(K266:L266)),"n.a.",-L245*L$5/AVERAGE(K266:L266))</f>
        <v>n.a.</v>
      </c>
      <c r="M290" s="78" t="str">
        <f t="shared" ref="M290" si="2614">IF(ISERROR(-M245/AVERAGE(L266:M266)),"n.a.",-M245*M$5/AVERAGE(L266:M266))</f>
        <v>n.a.</v>
      </c>
      <c r="N290" s="78" t="str">
        <f t="shared" ref="N290" si="2615">IF(ISERROR(-N245/AVERAGE(M266:N266)),"n.a.",-N245*N$5/AVERAGE(M266:N266))</f>
        <v>n.a.</v>
      </c>
      <c r="O290" s="78" t="str">
        <f t="shared" ref="O290" si="2616">IF(ISERROR(-O245/AVERAGE(N266:O266)),"n.a.",-O245*O$5/AVERAGE(N266:O266))</f>
        <v>n.a.</v>
      </c>
      <c r="P290" s="78" t="str">
        <f t="shared" ref="P290" si="2617">IF(ISERROR(-P245/AVERAGE(O266:P266)),"n.a.",-P245*P$5/AVERAGE(O266:P266))</f>
        <v>n.a.</v>
      </c>
      <c r="Q290" s="78" t="str">
        <f t="shared" ref="Q290:AI290" si="2618">IF(ISERROR(-Q245/AVERAGE(P266:Q266)),"n.a.",-Q245*Q$5/AVERAGE(P266:Q266))</f>
        <v>n.a.</v>
      </c>
      <c r="R290" s="78" t="str">
        <f t="shared" si="2618"/>
        <v>n.a.</v>
      </c>
      <c r="S290" s="78" t="str">
        <f t="shared" si="2618"/>
        <v>n.a.</v>
      </c>
      <c r="T290" s="78" t="str">
        <f t="shared" si="2618"/>
        <v>n.a.</v>
      </c>
      <c r="U290" s="78">
        <f t="shared" si="2618"/>
        <v>5.3584536334719841E-3</v>
      </c>
      <c r="V290" s="78">
        <f t="shared" si="2618"/>
        <v>2.2333916083916085E-2</v>
      </c>
      <c r="W290" s="78">
        <f t="shared" si="2618"/>
        <v>4.7058823529411761E-3</v>
      </c>
      <c r="X290" s="78">
        <f t="shared" si="2618"/>
        <v>2.9305555555555557E-2</v>
      </c>
      <c r="Y290" s="78">
        <f t="shared" si="2618"/>
        <v>2.5968070288224579E-2</v>
      </c>
      <c r="Z290" s="78">
        <f t="shared" si="2618"/>
        <v>1.2490360516676307E-2</v>
      </c>
      <c r="AA290" s="78">
        <f t="shared" si="2618"/>
        <v>9.1089023708102058E-3</v>
      </c>
      <c r="AB290" s="78">
        <f t="shared" si="2618"/>
        <v>9.7151982965131749E-4</v>
      </c>
      <c r="AC290" s="78">
        <f t="shared" si="2618"/>
        <v>4.5037898818967035E-3</v>
      </c>
      <c r="AD290" s="78">
        <f t="shared" si="2618"/>
        <v>2.7068024000539339E-3</v>
      </c>
      <c r="AE290" s="78">
        <f t="shared" si="2618"/>
        <v>2.413793103448276E-3</v>
      </c>
      <c r="AF290" s="78">
        <f t="shared" si="2618"/>
        <v>-3.4594594594594594E-3</v>
      </c>
      <c r="AG290" s="78">
        <f t="shared" si="2618"/>
        <v>1.7020036429872495E-3</v>
      </c>
      <c r="AH290" s="78">
        <f t="shared" si="2618"/>
        <v>8.7336051045728471E-3</v>
      </c>
      <c r="AI290" s="88">
        <f t="shared" si="2618"/>
        <v>6.9375148491328097E-3</v>
      </c>
      <c r="AJ290" s="37">
        <f t="shared" ref="AJ290" si="2619">IF(ISERROR(-AJ245/AVERAGE(AI266:AJ266)),"n.a.",-AJ245*AJ$5/AVERAGE(AI266:AJ266))</f>
        <v>5.9470355761178876E-3</v>
      </c>
      <c r="AK290" s="37">
        <f t="shared" ref="AK290" si="2620">IF(ISERROR(-AK245/AVERAGE(AJ266:AK266)),"n.a.",-AK245*AK$5/AVERAGE(AJ266:AK266))</f>
        <v>4.4134397593579905E-3</v>
      </c>
      <c r="AL290" s="37">
        <f t="shared" ref="AL290" si="2621">IF(ISERROR(-AL245/AVERAGE(AK266:AL266)),"n.a.",-AL245*AL$5/AVERAGE(AK266:AL266))</f>
        <v>5.6809127608740163E-3</v>
      </c>
      <c r="AM290" s="37">
        <f t="shared" ref="AM290" si="2622">IF(ISERROR(-AM245/AVERAGE(AL266:AM266)),"n.a.",-AM245*AM$5/AVERAGE(AL266:AM266))</f>
        <v>6.5254888284519731E-3</v>
      </c>
      <c r="AN290" s="37">
        <f t="shared" ref="AN290" si="2623">IF(ISERROR(-AN245/AVERAGE(AM266:AN266)),"n.a.",-AN245*AN$5/AVERAGE(AM266:AN266))</f>
        <v>6.3030335146685443E-3</v>
      </c>
      <c r="AO290" s="37">
        <f t="shared" ref="AO290" si="2624">IF(ISERROR(-AO245/AVERAGE(AN266:AO266)),"n.a.",-AO245*AO$5/AVERAGE(AN266:AO266))</f>
        <v>7.4382837405395493E-3</v>
      </c>
      <c r="AP290" s="37">
        <f t="shared" ref="AP290" si="2625">IF(ISERROR(-AP245/AVERAGE(AO266:AP266)),"n.a.",-AP245*AP$5/AVERAGE(AO266:AP266))</f>
        <v>7.4215284010726345E-3</v>
      </c>
      <c r="AQ290" s="37">
        <f t="shared" ref="AQ290" si="2626">IF(ISERROR(-AQ245/AVERAGE(AP266:AQ266)),"n.a.",-AQ245*AQ$5/AVERAGE(AP266:AQ266))</f>
        <v>7.359299354671286E-3</v>
      </c>
      <c r="AR290" s="37">
        <f t="shared" ref="AR290" si="2627">IF(ISERROR(-AR245/AVERAGE(AQ266:AR266)),"n.a.",-AR245*AR$5/AVERAGE(AQ266:AR266))</f>
        <v>7.3620112287387804E-3</v>
      </c>
      <c r="AS290" s="37"/>
      <c r="AT290" s="37" t="str">
        <f t="shared" ref="AT290" si="2628">IF(ISERROR(-AT245/AVERAGE(AS266:AT266)),"n.a.",-AT245*AT$5/AVERAGE(AS266:AT266))</f>
        <v>n.a.</v>
      </c>
      <c r="AU290" s="37" t="str">
        <f t="shared" ref="AU290" si="2629">IF(ISERROR(-AU245/AVERAGE(AT266:AU266)),"n.a.",-AU245*AU$5/AVERAGE(AT266:AU266))</f>
        <v>n.a.</v>
      </c>
      <c r="AV290" s="37" t="str">
        <f t="shared" ref="AV290" si="2630">IF(ISERROR(-AV245/AVERAGE(AU266:AV266)),"n.a.",-AV245*AV$5/AVERAGE(AU266:AV266))</f>
        <v>n.a.</v>
      </c>
      <c r="AW290" s="37" t="str">
        <f t="shared" ref="AW290" si="2631">IF(ISERROR(-AW245/AVERAGE(AV266:AW266)),"n.a.",-AW245*AW$5/AVERAGE(AV266:AW266))</f>
        <v>n.a.</v>
      </c>
      <c r="AX290" s="37" t="str">
        <f t="shared" ref="AX290" si="2632">IF(ISERROR(-AX245/AVERAGE(AW266:AX266)),"n.a.",-AX245*AX$5/AVERAGE(AW266:AX266))</f>
        <v>n.a.</v>
      </c>
      <c r="AY290" s="37" t="str">
        <f t="shared" ref="AY290" si="2633">IF(ISERROR(-AY245/AVERAGE(AX266:AY266)),"n.a.",-AY245*AY$5/AVERAGE(AX266:AY266))</f>
        <v>n.a.</v>
      </c>
      <c r="AZ290" s="37" t="str">
        <f t="shared" ref="AZ290" si="2634">IF(ISERROR(-AZ245/AVERAGE(AY266:AZ266)),"n.a.",-AZ245*AZ$5/AVERAGE(AY266:AZ266))</f>
        <v>n.a.</v>
      </c>
      <c r="BA290" s="37" t="str">
        <f t="shared" ref="BA290" si="2635">IF(ISERROR(-BA245/AVERAGE(AZ266:BA266)),"n.a.",-BA245*BA$5/AVERAGE(AZ266:BA266))</f>
        <v>n.a.</v>
      </c>
      <c r="BB290" s="37" t="str">
        <f t="shared" ref="BB290" si="2636">IF(ISERROR(-BB245/AVERAGE(BA266:BB266)),"n.a.",-BB245*BB$5/AVERAGE(BA266:BB266))</f>
        <v>n.a.</v>
      </c>
      <c r="BC290" s="37">
        <f t="shared" ref="BC290" si="2637">IF(ISERROR(-BC245/AVERAGE(BB266:BC266)),"n.a.",-BC245*BC$5/AVERAGE(BB266:BC266))</f>
        <v>2.5384615384615384E-2</v>
      </c>
      <c r="BD290" s="37">
        <f t="shared" ref="BD290" si="2638">IF(ISERROR(-BD245/AVERAGE(BC266:BD266)),"n.a.",-BD245*BD$5/AVERAGE(BC266:BD266))</f>
        <v>1.7608695652173913E-2</v>
      </c>
      <c r="BE290" s="37">
        <f t="shared" ref="BE290" si="2639">IF(ISERROR(-BE245/AVERAGE(BD266:BE266)),"n.a.",-BE245*BE$5/AVERAGE(BD266:BE266))</f>
        <v>1.7886792452830189E-2</v>
      </c>
      <c r="BF290" s="37">
        <f t="shared" ref="BF290" si="2640">IF(ISERROR(-BF245/AVERAGE(BE266:BF266)),"n.a.",-BF245*BF$5/AVERAGE(BE266:BF266))</f>
        <v>4.7619047619047623E-3</v>
      </c>
      <c r="BG290" s="37">
        <f t="shared" ref="BG290" si="2641">IF(ISERROR(-BG245/AVERAGE(BF266:BG266)),"n.a.",-BG245*BG$5/AVERAGE(BF266:BG266))</f>
        <v>3.5185185185185185E-3</v>
      </c>
      <c r="BH290" s="37">
        <f t="shared" ref="BH290:BJ290" si="2642">IF(ISERROR(-BH245/AVERAGE(BG266:BH266)),"n.a.",-BH245*BH$5/AVERAGE(BG266:BH266))</f>
        <v>-6.0773480662983429E-4</v>
      </c>
      <c r="BI290" s="38">
        <f t="shared" si="2642"/>
        <v>5.091863517060367E-3</v>
      </c>
      <c r="BJ290" s="37">
        <f t="shared" si="2642"/>
        <v>6.5238410259019887E-3</v>
      </c>
      <c r="BK290" s="37">
        <f>IF(ISERROR(-BK245/AVERAGE(BK266:BK266)),"n.a.",-BK245*BK$5/AVERAGE(BK266:BK266))</f>
        <v>4.998662457117972E-3</v>
      </c>
      <c r="BL290" s="37">
        <f>IF(ISERROR(-BL245/AVERAGE(BL266:BL266)),"n.a.",-BL245*BL$5/AVERAGE(BL266:BL266))</f>
        <v>6.3503629260163418E-3</v>
      </c>
      <c r="BM290" s="37">
        <f>IF(ISERROR(-BM245/AVERAGE(BM266:BM266)),"n.a.",-BM245*BM$5/AVERAGE(BM266:BM266))</f>
        <v>7.3564059166370422E-3</v>
      </c>
      <c r="BN290" s="37">
        <f>IF(ISERROR(-BN245/AVERAGE(BN266:BN266)),"n.a.",-BN245*BN$5/AVERAGE(BN266:BN266))</f>
        <v>7.287861569847346E-3</v>
      </c>
    </row>
    <row r="291" spans="1:66" ht="12" customHeight="1" outlineLevel="1">
      <c r="B291" s="1" t="s">
        <v>66</v>
      </c>
      <c r="C291" s="50" t="str">
        <f t="shared" ref="C291" si="2643">IF(ISERROR(C249/B249),"n.a.",C249/B249-1)</f>
        <v>n.a.</v>
      </c>
      <c r="D291" s="50">
        <f t="shared" ref="D291" si="2644">IF(ISERROR(D249/C249),"n.a.",D249/C249-1)</f>
        <v>0.5625</v>
      </c>
      <c r="E291" s="50">
        <f t="shared" ref="E291" si="2645">IF(ISERROR(E249/D249),"n.a.",E249/D249-1)</f>
        <v>0.19999999999999996</v>
      </c>
      <c r="F291" s="50">
        <f t="shared" ref="F291" si="2646">IF(ISERROR(F249/E249),"n.a.",F249/E249-1)</f>
        <v>0.73333333333333339</v>
      </c>
      <c r="G291" s="50">
        <f t="shared" ref="G291" si="2647">IF(ISERROR(G249/F249),"n.a.",G249/F249-1)</f>
        <v>-0.83653846153846156</v>
      </c>
      <c r="H291" s="50">
        <f t="shared" ref="H291" si="2648">IF(ISERROR(H249/G249),"n.a.",H249/G249-1)</f>
        <v>8.117647058823529</v>
      </c>
      <c r="I291" s="50">
        <f t="shared" ref="I291" si="2649">IF(ISERROR(I249/H249),"n.a.",I249/H249-1)</f>
        <v>-1.0548387096774194</v>
      </c>
      <c r="J291" s="50">
        <f t="shared" ref="J291" si="2650">IF(ISERROR(J249/I249),"n.a.",J249/I249-1)</f>
        <v>-2.8823529411764706</v>
      </c>
      <c r="K291" s="50">
        <f t="shared" ref="K291" si="2651">IF(ISERROR(K249/J249),"n.a.",K249/J249-1)</f>
        <v>-2.0625</v>
      </c>
      <c r="L291" s="50">
        <f t="shared" ref="L291" si="2652">IF(ISERROR(L249/K249),"n.a.",L249/K249-1)</f>
        <v>-2.1176470588235294</v>
      </c>
      <c r="M291" s="69">
        <f t="shared" ref="M291" si="2653">IF(ISERROR(M249/L249),"n.a.",M249/L249-1)</f>
        <v>-0.94736842105263164</v>
      </c>
      <c r="N291" s="69">
        <f t="shared" ref="N291" si="2654">IF(ISERROR(N249/M249),"n.a.",N249/M249-1)</f>
        <v>-35.5</v>
      </c>
      <c r="O291" s="69">
        <f t="shared" ref="O291" si="2655">IF(ISERROR(O249/N249),"n.a.",O249/N249-1)</f>
        <v>-1.1739130434782608</v>
      </c>
      <c r="P291" s="69">
        <f t="shared" ref="P291" si="2656">IF(ISERROR(P249/O249),"n.a.",P249/O249-1)</f>
        <v>-1.25</v>
      </c>
      <c r="Q291" s="69">
        <f t="shared" ref="Q291:AI291" si="2657">IF(ISERROR(Q249/P249),"n.a.",Q249/P249-1)</f>
        <v>-52.333333333333336</v>
      </c>
      <c r="R291" s="69">
        <f t="shared" si="2657"/>
        <v>-0.96103896103896103</v>
      </c>
      <c r="S291" s="69">
        <f t="shared" si="2657"/>
        <v>3.833333333333333</v>
      </c>
      <c r="T291" s="69">
        <f t="shared" si="2657"/>
        <v>2.1724137931034484</v>
      </c>
      <c r="U291" s="69">
        <f t="shared" si="2657"/>
        <v>1.0760869565217392</v>
      </c>
      <c r="V291" s="69">
        <f t="shared" si="2657"/>
        <v>0.18324607329842935</v>
      </c>
      <c r="W291" s="69">
        <f t="shared" si="2657"/>
        <v>-0.77433628318584069</v>
      </c>
      <c r="X291" s="69">
        <f t="shared" si="2657"/>
        <v>7.8431372549019551E-2</v>
      </c>
      <c r="Y291" s="69">
        <f t="shared" si="2657"/>
        <v>-0.1454545454545455</v>
      </c>
      <c r="Z291" s="69">
        <f t="shared" si="2657"/>
        <v>-0.38297872340425532</v>
      </c>
      <c r="AA291" s="69">
        <f t="shared" si="2657"/>
        <v>1.7931034482758621</v>
      </c>
      <c r="AB291" s="69">
        <f t="shared" si="2657"/>
        <v>-0.64197530864197527</v>
      </c>
      <c r="AC291" s="69">
        <f t="shared" si="2657"/>
        <v>0.93103448275862077</v>
      </c>
      <c r="AD291" s="69">
        <f t="shared" si="2657"/>
        <v>-0.375</v>
      </c>
      <c r="AE291" s="69">
        <f t="shared" si="2657"/>
        <v>5.7142857142857162E-2</v>
      </c>
      <c r="AF291" s="69">
        <f t="shared" si="2657"/>
        <v>0.54054054054054057</v>
      </c>
      <c r="AG291" s="69">
        <f t="shared" si="2657"/>
        <v>0.61403508771929816</v>
      </c>
      <c r="AH291" s="69">
        <f t="shared" si="2657"/>
        <v>-0.39130434782608692</v>
      </c>
      <c r="AI291" s="89">
        <f t="shared" si="2657"/>
        <v>-0.1607142857142857</v>
      </c>
      <c r="AJ291" s="56">
        <v>0.03</v>
      </c>
      <c r="AK291" s="56">
        <v>0.03</v>
      </c>
      <c r="AL291" s="56">
        <v>0.03</v>
      </c>
      <c r="AM291" s="56">
        <v>0.03</v>
      </c>
      <c r="AN291" s="56">
        <v>0.03</v>
      </c>
      <c r="AO291" s="56">
        <v>0.03</v>
      </c>
      <c r="AP291" s="56">
        <v>0.03</v>
      </c>
      <c r="AQ291" s="56">
        <v>0.03</v>
      </c>
      <c r="AR291" s="56">
        <v>0.03</v>
      </c>
      <c r="AS291" s="8"/>
      <c r="AT291" s="50">
        <f>IF(ISERROR(AT249/T249),"n.a.",AT249/T249-1)</f>
        <v>0.78260869565217384</v>
      </c>
      <c r="AU291" s="50">
        <f>IF(ISERROR(AU249/AT249),"n.a.",AU249/AT249-1)</f>
        <v>1</v>
      </c>
      <c r="AV291" s="50">
        <f>IF(ISERROR(AV249/AU249),"n.a.",AV249/AU249-1)</f>
        <v>4.8780487804878092E-2</v>
      </c>
      <c r="AW291" s="50">
        <f>IF(ISERROR(AW249/AV249),"n.a.",AW249/AV249-1)</f>
        <v>-0.95639534883720934</v>
      </c>
      <c r="AX291" s="50">
        <f t="shared" ref="AX291" si="2658">IF(ISERROR(AX249/AW249),"n.a.",AX249/AW249-1)</f>
        <v>-0.73333333333333339</v>
      </c>
      <c r="AY291" s="50">
        <f t="shared" ref="AY291" si="2659">IF(ISERROR(AY249/AX249),"n.a.",AY249/AX249-1)</f>
        <v>-17.75</v>
      </c>
      <c r="AZ291" s="50">
        <f t="shared" ref="AZ291" si="2660">IF(ISERROR(AZ249/AY249),"n.a.",AZ249/AY249-1)</f>
        <v>-1.1343283582089552</v>
      </c>
      <c r="BA291" s="50">
        <f t="shared" ref="BA291" si="2661">IF(ISERROR(BA249/AZ249),"n.a.",BA249/AZ249-1)</f>
        <v>16.777777777777779</v>
      </c>
      <c r="BB291" s="50">
        <f t="shared" ref="BB291" si="2662">IF(ISERROR(BB249/BA249),"n.a.",BB249/BA249-1)</f>
        <v>-0.24375000000000002</v>
      </c>
      <c r="BC291" s="50">
        <f t="shared" ref="BC291" si="2663">IF(ISERROR(BC249/BB249),"n.a.",BC249/BB249-1)</f>
        <v>2.446280991735537</v>
      </c>
      <c r="BD291" s="50">
        <f t="shared" ref="BD291" si="2664">IF(ISERROR(BD249/BC249),"n.a.",BD249/BC249-1)</f>
        <v>-0.74580335731414871</v>
      </c>
      <c r="BE291" s="50">
        <f t="shared" ref="BE291" si="2665">IF(ISERROR(BE249/BD249),"n.a.",BE249/BD249-1)</f>
        <v>-0.28301886792452835</v>
      </c>
      <c r="BF291" s="50">
        <f t="shared" ref="BF291" si="2666">IF(ISERROR(BF249/BE249),"n.a.",BF249/BE249-1)</f>
        <v>0.44736842105263164</v>
      </c>
      <c r="BG291" s="50">
        <f t="shared" ref="BG291" si="2667">IF(ISERROR(BG249/BF249),"n.a.",BG249/BF249-1)</f>
        <v>-0.17272727272727273</v>
      </c>
      <c r="BH291" s="50">
        <f t="shared" ref="BH291:BN291" si="2668">IF(ISERROR(BH249/BG249),"n.a.",BH249/BG249-1)</f>
        <v>3.2967032967033072E-2</v>
      </c>
      <c r="BI291" s="51">
        <f t="shared" si="2668"/>
        <v>0.57446808510638303</v>
      </c>
      <c r="BJ291" s="50">
        <f t="shared" si="2668"/>
        <v>-0.3553378378378379</v>
      </c>
      <c r="BK291" s="50">
        <f t="shared" si="2668"/>
        <v>6.0900000000000176E-2</v>
      </c>
      <c r="BL291" s="50">
        <f t="shared" si="2668"/>
        <v>6.0899999999999954E-2</v>
      </c>
      <c r="BM291" s="50">
        <f t="shared" si="2668"/>
        <v>6.0899999999999954E-2</v>
      </c>
      <c r="BN291" s="50">
        <f t="shared" si="2668"/>
        <v>6.0899999999999954E-2</v>
      </c>
    </row>
    <row r="292" spans="1:66" ht="12" customHeight="1" outlineLevel="1">
      <c r="B292" s="1" t="s">
        <v>67</v>
      </c>
      <c r="C292" s="54">
        <f t="shared" ref="C292" si="2669">IF(ISERROR(-C251/AVERAGE(B273:C273)*1000000),"n.a.",-C251*C$5/AVERAGE(B273:C273)*1000000)</f>
        <v>193577.10410925173</v>
      </c>
      <c r="D292" s="54">
        <f t="shared" ref="D292" si="2670">IF(ISERROR(-D251/AVERAGE(C273:D273)*1000000),"n.a.",-D251*D$5/AVERAGE(C273:D273)*1000000)</f>
        <v>216832.4994635375</v>
      </c>
      <c r="E292" s="54">
        <f t="shared" ref="E292" si="2671">IF(ISERROR(-E251/AVERAGE(D273:E273)*1000000),"n.a.",-E251*E$5/AVERAGE(D273:E273)*1000000)</f>
        <v>225925.6480474172</v>
      </c>
      <c r="F292" s="54">
        <f t="shared" ref="F292" si="2672">IF(ISERROR(-F251/AVERAGE(E273:F273)*1000000),"n.a.",-F251*F$5/AVERAGE(E273:F273)*1000000)</f>
        <v>284865.08891292702</v>
      </c>
      <c r="G292" s="54">
        <f t="shared" ref="G292" si="2673">IF(ISERROR(-G251/AVERAGE(F273:G273)*1000000),"n.a.",-G251*G$5/AVERAGE(F273:G273)*1000000)</f>
        <v>215979.27874078503</v>
      </c>
      <c r="H292" s="54">
        <f t="shared" ref="H292" si="2674">IF(ISERROR(-H251/AVERAGE(G273:H273)*1000000),"n.a.",-H251*H$5/AVERAGE(G273:H273)*1000000)</f>
        <v>266848.1960517359</v>
      </c>
      <c r="I292" s="54">
        <f t="shared" ref="I292" si="2675">IF(ISERROR(-I251/AVERAGE(H273:I273)*1000000),"n.a.",-I251*I$5/AVERAGE(H273:I273)*1000000)</f>
        <v>224518.31171138206</v>
      </c>
      <c r="J292" s="54">
        <f t="shared" ref="J292" si="2676">IF(ISERROR(-J251/AVERAGE(I273:J273)*1000000),"n.a.",-J251*J$5/AVERAGE(I273:J273)*1000000)</f>
        <v>233433.06491079769</v>
      </c>
      <c r="K292" s="54">
        <f t="shared" ref="K292" si="2677">IF(ISERROR(-K251/AVERAGE(J273:K273)*1000000),"n.a.",-K251*K$5/AVERAGE(J273:K273)*1000000)</f>
        <v>242222.55542227553</v>
      </c>
      <c r="L292" s="54">
        <f t="shared" ref="L292" si="2678">IF(ISERROR(-L251/AVERAGE(K273:L273)*1000000),"n.a.",-L251*L$5/AVERAGE(K273:L273)*1000000)</f>
        <v>268141.29362060741</v>
      </c>
      <c r="M292" s="79">
        <f t="shared" ref="M292" si="2679">IF(ISERROR(-M251/AVERAGE(L273:M273)*1000000),"n.a.",-M251*M$5/AVERAGE(L273:M273)*1000000)</f>
        <v>261512.47351118384</v>
      </c>
      <c r="N292" s="79">
        <f t="shared" ref="N292" si="2680">IF(ISERROR(-N251/AVERAGE(M273:N273)*1000000),"n.a.",-N251*N$5/AVERAGE(M273:N273)*1000000)</f>
        <v>277949.16262291075</v>
      </c>
      <c r="O292" s="79">
        <f t="shared" ref="O292" si="2681">IF(ISERROR(-O251/AVERAGE(N273:O273)*1000000),"n.a.",-O251*O$5/AVERAGE(N273:O273)*1000000)</f>
        <v>296859.1691995947</v>
      </c>
      <c r="P292" s="79">
        <f t="shared" ref="P292" si="2682">IF(ISERROR(-P251/AVERAGE(O273:P273)*1000000),"n.a.",-P251*P$5/AVERAGE(O273:P273)*1000000)</f>
        <v>322775.26395173458</v>
      </c>
      <c r="Q292" s="79">
        <f t="shared" ref="Q292:AI292" si="2683">IF(ISERROR(-Q251/AVERAGE(P273:Q273)*1000000),"n.a.",-Q251*Q$5/AVERAGE(P273:Q273)*1000000)</f>
        <v>294059.63423815358</v>
      </c>
      <c r="R292" s="79">
        <f t="shared" si="2683"/>
        <v>289507.0808456635</v>
      </c>
      <c r="S292" s="79">
        <f t="shared" si="2683"/>
        <v>286257.54998293228</v>
      </c>
      <c r="T292" s="79">
        <f t="shared" si="2683"/>
        <v>302217.20826853858</v>
      </c>
      <c r="U292" s="79">
        <f t="shared" si="2683"/>
        <v>285328.8378856238</v>
      </c>
      <c r="V292" s="79">
        <f t="shared" si="2683"/>
        <v>298056.50824759103</v>
      </c>
      <c r="W292" s="79">
        <f t="shared" si="2683"/>
        <v>220315.30632608262</v>
      </c>
      <c r="X292" s="79">
        <f t="shared" si="2683"/>
        <v>287783.22821770614</v>
      </c>
      <c r="Y292" s="79">
        <f t="shared" si="2683"/>
        <v>276259.1609107384</v>
      </c>
      <c r="Z292" s="79">
        <f t="shared" si="2683"/>
        <v>264911.83235369279</v>
      </c>
      <c r="AA292" s="79">
        <f t="shared" si="2683"/>
        <v>268251.66163646616</v>
      </c>
      <c r="AB292" s="79">
        <f t="shared" si="2683"/>
        <v>284566.56160773395</v>
      </c>
      <c r="AC292" s="79">
        <f t="shared" si="2683"/>
        <v>301129.60432542331</v>
      </c>
      <c r="AD292" s="79">
        <f t="shared" si="2683"/>
        <v>334680.37339005078</v>
      </c>
      <c r="AE292" s="79">
        <f t="shared" si="2683"/>
        <v>330926.34619352181</v>
      </c>
      <c r="AF292" s="79">
        <f t="shared" si="2683"/>
        <v>328525.641025641</v>
      </c>
      <c r="AG292" s="79">
        <f t="shared" si="2683"/>
        <v>317267.73799394129</v>
      </c>
      <c r="AH292" s="79">
        <f t="shared" si="2683"/>
        <v>316490.86843892036</v>
      </c>
      <c r="AI292" s="90">
        <f t="shared" si="2683"/>
        <v>339067.1676215987</v>
      </c>
      <c r="AJ292" s="55">
        <f>AI292*1.015</f>
        <v>344153.17513592262</v>
      </c>
      <c r="AK292" s="55">
        <f t="shared" ref="AK292:AR292" si="2684">AJ292*1.015</f>
        <v>349315.47276296141</v>
      </c>
      <c r="AL292" s="55">
        <f t="shared" si="2684"/>
        <v>354555.20485440578</v>
      </c>
      <c r="AM292" s="55">
        <f t="shared" si="2684"/>
        <v>359873.53292722185</v>
      </c>
      <c r="AN292" s="55">
        <f t="shared" si="2684"/>
        <v>365271.63592113013</v>
      </c>
      <c r="AO292" s="55">
        <f t="shared" si="2684"/>
        <v>370750.71045994706</v>
      </c>
      <c r="AP292" s="55">
        <f t="shared" si="2684"/>
        <v>376311.97111684625</v>
      </c>
      <c r="AQ292" s="55">
        <f t="shared" si="2684"/>
        <v>381956.65068359888</v>
      </c>
      <c r="AR292" s="55">
        <f t="shared" si="2684"/>
        <v>387686.00044385286</v>
      </c>
      <c r="AS292" s="8"/>
      <c r="AT292" s="54">
        <f>IF(ISERROR(-AT251/AVERAGE(T273:AT273)*1000000),"n.a.",-AT251*AT$5/AVERAGE(T273:AT273)*1000000)</f>
        <v>193511.84879777249</v>
      </c>
      <c r="AU292" s="54">
        <f>IF(ISERROR(-AU251/AVERAGE(AT273:AU273)*1000000),"n.a.",-AU251*AU$5/AVERAGE(AT273:AU273)*1000000)</f>
        <v>257492.93119698396</v>
      </c>
      <c r="AV292" s="54">
        <f>IF(ISERROR(-AV251/AVERAGE(AU273:AV273)*1000000),"n.a.",-AV251*AV$5/AVERAGE(AU273:AV273)*1000000)</f>
        <v>231367.73136773138</v>
      </c>
      <c r="AW292" s="54">
        <f>IF(ISERROR(-AW251/AVERAGE(AV273:AW273)*1000000),"n.a.",-AW251*AW$5/AVERAGE(AV273:AW273)*1000000)</f>
        <v>225255.97269624574</v>
      </c>
      <c r="AX292" s="54">
        <f t="shared" ref="AX292" si="2685">IF(ISERROR(-AX251/AVERAGE(AW273:AX273)*1000000),"n.a.",-AX251*AX$5/AVERAGE(AW273:AX273)*1000000)</f>
        <v>254545.45454545453</v>
      </c>
      <c r="AY292" s="54">
        <f t="shared" ref="AY292" si="2686">IF(ISERROR(-AY251/AVERAGE(AX273:AY273)*1000000),"n.a.",-AY251*AY$5/AVERAGE(AX273:AY273)*1000000)</f>
        <v>268611.67002012068</v>
      </c>
      <c r="AZ292" s="54">
        <f t="shared" ref="AZ292" si="2687">IF(ISERROR(-AZ251/AVERAGE(AY273:AZ273)*1000000),"n.a.",-AZ251*AZ$5/AVERAGE(AY273:AZ273)*1000000)</f>
        <v>307461.19178768148</v>
      </c>
      <c r="BA292" s="54">
        <f t="shared" ref="BA292" si="2688">IF(ISERROR(-BA251/AVERAGE(AZ273:BA273)*1000000),"n.a.",-BA251*BA$5/AVERAGE(AZ273:BA273)*1000000)</f>
        <v>289743.58974358975</v>
      </c>
      <c r="BB292" s="54">
        <f t="shared" ref="BB292" si="2689">IF(ISERROR(-BB251/AVERAGE(BA273:BB273)*1000000),"n.a.",-BB251*BB$5/AVERAGE(BA273:BB273)*1000000)</f>
        <v>288262.2318630995</v>
      </c>
      <c r="BC292" s="54">
        <f t="shared" ref="BC292" si="2690">IF(ISERROR(-BC251/AVERAGE(BB273:BC273)*1000000),"n.a.",-BC251*BC$5/AVERAGE(BB273:BC273)*1000000)</f>
        <v>304661.59547493659</v>
      </c>
      <c r="BD292" s="54">
        <f t="shared" ref="BD292" si="2691">IF(ISERROR(-BD251/AVERAGE(BC273:BD273)*1000000),"n.a.",-BD251*BD$5/AVERAGE(BC273:BD273)*1000000)</f>
        <v>233506.59736105558</v>
      </c>
      <c r="BE292" s="54">
        <f t="shared" ref="BE292" si="2692">IF(ISERROR(-BE251/AVERAGE(BD273:BE273)*1000000),"n.a.",-BE251*BE$5/AVERAGE(BD273:BE273)*1000000)</f>
        <v>272663.38721011946</v>
      </c>
      <c r="BF292" s="54">
        <f t="shared" ref="BF292" si="2693">IF(ISERROR(-BF251/AVERAGE(BE273:BF273)*1000000),"n.a.",-BF251*BF$5/AVERAGE(BE273:BF273)*1000000)</f>
        <v>274118.73840445268</v>
      </c>
      <c r="BG292" s="54">
        <f t="shared" ref="BG292" si="2694">IF(ISERROR(-BG251/AVERAGE(BF273:BG273)*1000000),"n.a.",-BG251*BG$5/AVERAGE(BF273:BG273)*1000000)</f>
        <v>317752.90761465876</v>
      </c>
      <c r="BH292" s="54">
        <f t="shared" ref="BH292:BJ292" si="2695">IF(ISERROR(-BH251/AVERAGE(BG273:BH273)*1000000),"n.a.",-BH251*BH$5/AVERAGE(BG273:BH273)*1000000)</f>
        <v>330952.86676188535</v>
      </c>
      <c r="BI292" s="53">
        <f t="shared" si="2695"/>
        <v>317723.77000592765</v>
      </c>
      <c r="BJ292" s="54">
        <f t="shared" si="2695"/>
        <v>343296.17450121266</v>
      </c>
      <c r="BK292" s="54">
        <f>IF(ISERROR(-BK251/AVERAGE(BK273:BK273)*1000000),"n.a.",-BK251*BK$5/AVERAGE(BK273:BK273)*1000000)</f>
        <v>348460.50445851689</v>
      </c>
      <c r="BL292" s="54">
        <f>IF(ISERROR(-BL251/AVERAGE(BL273:BL273)*1000000),"n.a.",-BL251*BL$5/AVERAGE(BL273:BL273)*1000000)</f>
        <v>359004.93806175917</v>
      </c>
      <c r="BM292" s="54">
        <f>IF(ISERROR(-BM251/AVERAGE(BM273:BM273)*1000000),"n.a.",-BM251*BM$5/AVERAGE(BM273:BM273)*1000000)</f>
        <v>369843.27826467005</v>
      </c>
      <c r="BN292" s="54">
        <f>IF(ISERROR(-BN251/AVERAGE(BN273:BN273)*1000000),"n.a.",-BN251*BN$5/AVERAGE(BN273:BN273)*1000000)</f>
        <v>381021.79135021969</v>
      </c>
    </row>
    <row r="293" spans="1:66" ht="12" customHeight="1" outlineLevel="1">
      <c r="B293" s="1" t="s">
        <v>78</v>
      </c>
      <c r="C293" s="50">
        <f>IF(ISERROR(-C251/C250),"n.a.",-C251/C250)</f>
        <v>0.15697266993693063</v>
      </c>
      <c r="D293" s="50">
        <f>IF(ISERROR(-D251/D250),"n.a.",-D251/D250)</f>
        <v>0.17603748326639893</v>
      </c>
      <c r="E293" s="50">
        <f t="shared" ref="E293:Q293" si="2696">IF(ISERROR(-E251/E250),"n.a.",-E251/E250)</f>
        <v>0.25362937660119556</v>
      </c>
      <c r="F293" s="50">
        <f t="shared" si="2696"/>
        <v>0.24507936507936509</v>
      </c>
      <c r="G293" s="50">
        <f t="shared" si="2696"/>
        <v>0.28347280334728031</v>
      </c>
      <c r="H293" s="50">
        <f t="shared" si="2696"/>
        <v>0.22598001537279017</v>
      </c>
      <c r="I293" s="50">
        <f t="shared" si="2696"/>
        <v>0.26185101580135439</v>
      </c>
      <c r="J293" s="50">
        <f t="shared" si="2696"/>
        <v>0.21296296296296297</v>
      </c>
      <c r="K293" s="50">
        <f t="shared" si="2696"/>
        <v>0.21946740128558309</v>
      </c>
      <c r="L293" s="50">
        <f t="shared" si="2696"/>
        <v>0.18175582990397804</v>
      </c>
      <c r="M293" s="69">
        <f t="shared" si="2696"/>
        <v>0.22491349480968859</v>
      </c>
      <c r="N293" s="69">
        <f t="shared" si="2696"/>
        <v>0.17200251098556182</v>
      </c>
      <c r="O293" s="69">
        <f t="shared" si="2696"/>
        <v>0.19162851536952255</v>
      </c>
      <c r="P293" s="69">
        <f t="shared" si="2696"/>
        <v>0.23160173160173161</v>
      </c>
      <c r="Q293" s="69">
        <f t="shared" si="2696"/>
        <v>0.19528619528619529</v>
      </c>
      <c r="R293" s="69">
        <f t="shared" ref="R293:S293" si="2697">IF(ISERROR(-R251/R250),"n.a.",-R251/R250)</f>
        <v>0.18796992481203006</v>
      </c>
      <c r="S293" s="69">
        <f t="shared" si="2697"/>
        <v>0.21044663133989402</v>
      </c>
      <c r="T293" s="69">
        <f t="shared" ref="T293:U293" si="2698">IF(ISERROR(-T251/T250),"n.a.",-T251/T250)</f>
        <v>0.20176544766708701</v>
      </c>
      <c r="U293" s="69">
        <f t="shared" si="2698"/>
        <v>0.16782891678289169</v>
      </c>
      <c r="V293" s="69">
        <f t="shared" ref="V293:W293" si="2699">IF(ISERROR(-V251/V250),"n.a.",-V251/V250)</f>
        <v>0.18396846254927726</v>
      </c>
      <c r="W293" s="69">
        <f t="shared" si="2699"/>
        <v>0.1278962001853568</v>
      </c>
      <c r="X293" s="69">
        <f t="shared" ref="X293:Y293" si="2700">IF(ISERROR(-X251/X250),"n.a.",-X251/X250)</f>
        <v>0.18311533888228299</v>
      </c>
      <c r="Y293" s="69">
        <f t="shared" si="2700"/>
        <v>0.13990610328638498</v>
      </c>
      <c r="Z293" s="69">
        <f t="shared" ref="Z293:AA293" si="2701">IF(ISERROR(-Z251/Z250),"n.a.",-Z251/Z250)</f>
        <v>0.11145996860282574</v>
      </c>
      <c r="AA293" s="69">
        <f t="shared" si="2701"/>
        <v>0.10328638497652583</v>
      </c>
      <c r="AB293" s="69">
        <f t="shared" ref="AB293:AC293" si="2702">IF(ISERROR(-AB251/AB250),"n.a.",-AB251/AB250)</f>
        <v>8.9442815249266866E-2</v>
      </c>
      <c r="AC293" s="69">
        <f t="shared" si="2702"/>
        <v>0.10373572090151281</v>
      </c>
      <c r="AD293" s="69">
        <f t="shared" ref="AD293:AE293" si="2703">IF(ISERROR(-AD251/AD250),"n.a.",-AD251/AD250)</f>
        <v>7.0828769623950349E-2</v>
      </c>
      <c r="AE293" s="69">
        <f t="shared" si="2703"/>
        <v>0.13690679412768864</v>
      </c>
      <c r="AF293" s="69">
        <f t="shared" ref="AF293:AG293" si="2704">IF(ISERROR(-AF251/AF250),"n.a.",-AF251/AF250)</f>
        <v>0.12083701738874153</v>
      </c>
      <c r="AG293" s="69">
        <f t="shared" si="2704"/>
        <v>0.13925362819626813</v>
      </c>
      <c r="AH293" s="69">
        <f t="shared" ref="AH293" si="2705">IF(ISERROR(-AH251/AH250),"n.a.",-AH251/AH250)</f>
        <v>0.12836107554417414</v>
      </c>
      <c r="AI293" s="89">
        <f t="shared" ref="AI293:AJ293" si="2706">IF(ISERROR(-AI251/AI250),"n.a.",-AI251/AI250)</f>
        <v>0.15192507804370448</v>
      </c>
      <c r="AJ293" s="50">
        <f t="shared" si="2706"/>
        <v>0.11963567204435828</v>
      </c>
      <c r="AK293" s="50">
        <f t="shared" ref="AK293:AL293" si="2707">IF(ISERROR(-AK251/AK250),"n.a.",-AK251/AK250)</f>
        <v>0.13698197496817033</v>
      </c>
      <c r="AL293" s="50">
        <f t="shared" si="2707"/>
        <v>0.12897818867745259</v>
      </c>
      <c r="AM293" s="50">
        <f t="shared" ref="AM293:AN293" si="2708">IF(ISERROR(-AM251/AM250),"n.a.",-AM251/AM250)</f>
        <v>0.13673959242568454</v>
      </c>
      <c r="AN293" s="50">
        <f t="shared" si="2708"/>
        <v>0.12689932763935813</v>
      </c>
      <c r="AO293" s="50">
        <f t="shared" ref="AO293:AP293" si="2709">IF(ISERROR(-AO251/AO250),"n.a.",-AO251/AO250)</f>
        <v>0.13833199978813171</v>
      </c>
      <c r="AP293" s="50">
        <f t="shared" si="2709"/>
        <v>0.12773084921920697</v>
      </c>
      <c r="AQ293" s="50">
        <f t="shared" ref="AQ293:AR293" si="2710">IF(ISERROR(-AQ251/AQ250),"n.a.",-AQ251/AQ250)</f>
        <v>0.13794679027632131</v>
      </c>
      <c r="AR293" s="50">
        <f t="shared" si="2710"/>
        <v>0.12997061271540744</v>
      </c>
      <c r="AS293" s="8"/>
      <c r="AT293" s="50">
        <f t="shared" ref="AT293:BB293" si="2711">IF(ISERROR(-AT251/AT250),"n.a.",-AT251/AT250)</f>
        <v>0.16672372475179734</v>
      </c>
      <c r="AU293" s="50">
        <f t="shared" si="2711"/>
        <v>0.24872541879096868</v>
      </c>
      <c r="AV293" s="50">
        <f t="shared" si="2711"/>
        <v>0.25033229951262737</v>
      </c>
      <c r="AW293" s="50">
        <f t="shared" si="2711"/>
        <v>0.23499491353001017</v>
      </c>
      <c r="AX293" s="50">
        <f t="shared" si="2711"/>
        <v>0.19787985865724381</v>
      </c>
      <c r="AY293" s="50">
        <f t="shared" si="2711"/>
        <v>0.19425245543834121</v>
      </c>
      <c r="AZ293" s="50">
        <f t="shared" si="2711"/>
        <v>0.21063464837049742</v>
      </c>
      <c r="BA293" s="50">
        <f t="shared" si="2711"/>
        <v>0.19165535956580732</v>
      </c>
      <c r="BB293" s="50">
        <f t="shared" si="2711"/>
        <v>0.20571035431716547</v>
      </c>
      <c r="BC293" s="50">
        <f t="shared" ref="BC293:BH293" si="2712">IF(ISERROR(-BC251/BC250),"n.a.",-BC251/BC250)</f>
        <v>0.17613892647722146</v>
      </c>
      <c r="BD293" s="50">
        <f t="shared" si="2712"/>
        <v>0.15208333333333332</v>
      </c>
      <c r="BE293" s="50">
        <f t="shared" si="2712"/>
        <v>0.12441214194100043</v>
      </c>
      <c r="BF293" s="50">
        <f t="shared" si="2712"/>
        <v>9.5646544748341153E-2</v>
      </c>
      <c r="BG293" s="50">
        <f t="shared" si="2712"/>
        <v>8.3056097281174718E-2</v>
      </c>
      <c r="BH293" s="50">
        <f t="shared" si="2712"/>
        <v>0.12828218918063905</v>
      </c>
      <c r="BI293" s="51">
        <f t="shared" ref="BI293" si="2713">IF(ISERROR(-BI251/BI250),"n.a.",-BI251/BI250)</f>
        <v>0.13359920239282153</v>
      </c>
      <c r="BJ293" s="50">
        <f t="shared" ref="BJ293:BK293" si="2714">IF(ISERROR(-BJ251/BJ250),"n.a.",-BJ251/BJ250)</f>
        <v>0.13362853021199311</v>
      </c>
      <c r="BK293" s="50">
        <f t="shared" si="2714"/>
        <v>0.1328209594151176</v>
      </c>
      <c r="BL293" s="50">
        <f t="shared" ref="BL293" si="2715">IF(ISERROR(-BL251/BL250),"n.a.",-BL251/BL250)</f>
        <v>0.13157482826243341</v>
      </c>
      <c r="BM293" s="50">
        <f t="shared" ref="BM293" si="2716">IF(ISERROR(-BM251/BM250),"n.a.",-BM251/BM250)</f>
        <v>0.13276902016524361</v>
      </c>
      <c r="BN293" s="50">
        <f t="shared" ref="BN293" si="2717">IF(ISERROR(-BN251/BN250),"n.a.",-BN251/BN250)</f>
        <v>0.13380141485017641</v>
      </c>
    </row>
    <row r="294" spans="1:66" ht="12" customHeight="1" outlineLevel="1">
      <c r="B294" s="1" t="s">
        <v>1110</v>
      </c>
      <c r="C294" s="69" t="str">
        <f t="shared" ref="C294:Q294" si="2718">IF(OR(ISERROR(-(C251+C261)/C250),C261=""),"n.a.",-(C251+C261)/C250)</f>
        <v>n.a.</v>
      </c>
      <c r="D294" s="69" t="str">
        <f t="shared" si="2718"/>
        <v>n.a.</v>
      </c>
      <c r="E294" s="69" t="str">
        <f t="shared" si="2718"/>
        <v>n.a.</v>
      </c>
      <c r="F294" s="69" t="str">
        <f t="shared" si="2718"/>
        <v>n.a.</v>
      </c>
      <c r="G294" s="69" t="str">
        <f t="shared" si="2718"/>
        <v>n.a.</v>
      </c>
      <c r="H294" s="69" t="str">
        <f t="shared" si="2718"/>
        <v>n.a.</v>
      </c>
      <c r="I294" s="69" t="str">
        <f t="shared" si="2718"/>
        <v>n.a.</v>
      </c>
      <c r="J294" s="69" t="str">
        <f t="shared" si="2718"/>
        <v>n.a.</v>
      </c>
      <c r="K294" s="69" t="str">
        <f t="shared" si="2718"/>
        <v>n.a.</v>
      </c>
      <c r="L294" s="69" t="str">
        <f t="shared" si="2718"/>
        <v>n.a.</v>
      </c>
      <c r="M294" s="69" t="str">
        <f t="shared" si="2718"/>
        <v>n.a.</v>
      </c>
      <c r="N294" s="69" t="str">
        <f t="shared" si="2718"/>
        <v>n.a.</v>
      </c>
      <c r="O294" s="69" t="str">
        <f t="shared" si="2718"/>
        <v>n.a.</v>
      </c>
      <c r="P294" s="69" t="str">
        <f t="shared" si="2718"/>
        <v>n.a.</v>
      </c>
      <c r="Q294" s="69" t="str">
        <f t="shared" si="2718"/>
        <v>n.a.</v>
      </c>
      <c r="R294" s="69" t="str">
        <f t="shared" ref="R294:S294" si="2719">IF(OR(ISERROR(-(R251+R261)/R250),R261=""),"n.a.",-(R251+R261)/R250)</f>
        <v>n.a.</v>
      </c>
      <c r="S294" s="69" t="str">
        <f t="shared" si="2719"/>
        <v>n.a.</v>
      </c>
      <c r="T294" s="69" t="str">
        <f t="shared" ref="T294:U294" si="2720">IF(OR(ISERROR(-(T251+T261)/T250),T261=""),"n.a.",-(T251+T261)/T250)</f>
        <v>n.a.</v>
      </c>
      <c r="U294" s="69" t="str">
        <f t="shared" si="2720"/>
        <v>n.a.</v>
      </c>
      <c r="V294" s="69" t="str">
        <f t="shared" ref="V294:W294" si="2721">IF(OR(ISERROR(-(V251+V261)/V250),V261=""),"n.a.",-(V251+V261)/V250)</f>
        <v>n.a.</v>
      </c>
      <c r="W294" s="69" t="str">
        <f t="shared" si="2721"/>
        <v>n.a.</v>
      </c>
      <c r="X294" s="69" t="str">
        <f t="shared" ref="X294:Y294" si="2722">IF(OR(ISERROR(-(X251+X261)/X250),X261=""),"n.a.",-(X251+X261)/X250)</f>
        <v>n.a.</v>
      </c>
      <c r="Y294" s="69" t="str">
        <f t="shared" si="2722"/>
        <v>n.a.</v>
      </c>
      <c r="Z294" s="69" t="str">
        <f t="shared" ref="Z294:AA294" si="2723">IF(OR(ISERROR(-(Z251+Z261)/Z250),Z261=""),"n.a.",-(Z251+Z261)/Z250)</f>
        <v>n.a.</v>
      </c>
      <c r="AA294" s="69" t="str">
        <f t="shared" si="2723"/>
        <v>n.a.</v>
      </c>
      <c r="AB294" s="69" t="str">
        <f t="shared" ref="AB294:AC294" si="2724">IF(OR(ISERROR(-(AB251+AB261)/AB250),AB261=""),"n.a.",-(AB251+AB261)/AB250)</f>
        <v>n.a.</v>
      </c>
      <c r="AC294" s="69">
        <f t="shared" si="2724"/>
        <v>0.31757841347388538</v>
      </c>
      <c r="AD294" s="69">
        <f t="shared" ref="AD294:AE294" si="2725">IF(OR(ISERROR(-(AD251+AD261)/AD250),AD261=""),"n.a.",-(AD251+AD261)/AD250)</f>
        <v>0.24983955973289715</v>
      </c>
      <c r="AE294" s="69">
        <f t="shared" si="2725"/>
        <v>0.29900751537204501</v>
      </c>
      <c r="AF294" s="69">
        <f t="shared" ref="AF294:AG294" si="2726">IF(OR(ISERROR(-(AF251+AF261)/AF250),AF261=""),"n.a.",-(AF251+AF261)/AF250)</f>
        <v>0.25343609581160187</v>
      </c>
      <c r="AG294" s="69">
        <f t="shared" si="2726"/>
        <v>0.25953510525037821</v>
      </c>
      <c r="AH294" s="69">
        <f t="shared" ref="AH294" si="2727">IF(OR(ISERROR(-(AH251+AH261)/AH250),AH261=""),"n.a.",-(AH251+AH261)/AH250)</f>
        <v>0.30578245190921255</v>
      </c>
      <c r="AI294" s="89">
        <f t="shared" ref="AI294:AJ294" si="2728">IF(OR(ISERROR(-(AI251+AI261)/AI250),AI261=""),"n.a.",-(AI251+AI261)/AI250)</f>
        <v>0.24119535108674953</v>
      </c>
      <c r="AJ294" s="69">
        <f t="shared" si="2728"/>
        <v>0.29705704840939673</v>
      </c>
      <c r="AK294" s="69">
        <f t="shared" ref="AK294:AL294" si="2729">IF(OR(ISERROR(-(AK251+AK261)/AK250),AK261=""),"n.a.",-(AK251+AK261)/AK250)</f>
        <v>0.32327442015146063</v>
      </c>
      <c r="AL294" s="69">
        <f t="shared" si="2729"/>
        <v>0.32458525611990746</v>
      </c>
      <c r="AM294" s="69">
        <f t="shared" ref="AM294:AN294" si="2730">IF(OR(ISERROR(-(AM251+AM261)/AM250),AM261=""),"n.a.",-(AM251+AM261)/AM250)</f>
        <v>0.33234665986813938</v>
      </c>
      <c r="AN294" s="69">
        <f t="shared" si="2730"/>
        <v>0.32250639508181295</v>
      </c>
      <c r="AO294" s="69">
        <f t="shared" ref="AO294:AP294" si="2731">IF(OR(ISERROR(-(AO251+AO261)/AO250),AO261=""),"n.a.",-(AO251+AO261)/AO250)</f>
        <v>0.33393906723058658</v>
      </c>
      <c r="AP294" s="69">
        <f t="shared" si="2731"/>
        <v>0.32333791666166184</v>
      </c>
      <c r="AQ294" s="69">
        <f t="shared" ref="AQ294:AR294" si="2732">IF(OR(ISERROR(-(AQ251+AQ261)/AQ250),AQ261=""),"n.a.",-(AQ251+AQ261)/AQ250)</f>
        <v>0.3335538577187761</v>
      </c>
      <c r="AR294" s="69">
        <f t="shared" si="2732"/>
        <v>0.32557768015786231</v>
      </c>
      <c r="AT294" s="69" t="str">
        <f t="shared" ref="AT294:BB294" si="2733">IF(OR(ISERROR(-(AT251+AT261)/AT250),AT261=""),"n.a.",-(AT251+AT261)/AT250)</f>
        <v>n.a.</v>
      </c>
      <c r="AU294" s="69" t="str">
        <f t="shared" si="2733"/>
        <v>n.a.</v>
      </c>
      <c r="AV294" s="69" t="str">
        <f t="shared" si="2733"/>
        <v>n.a.</v>
      </c>
      <c r="AW294" s="69" t="str">
        <f t="shared" si="2733"/>
        <v>n.a.</v>
      </c>
      <c r="AX294" s="69" t="str">
        <f t="shared" si="2733"/>
        <v>n.a.</v>
      </c>
      <c r="AY294" s="69" t="str">
        <f t="shared" si="2733"/>
        <v>n.a.</v>
      </c>
      <c r="AZ294" s="69" t="str">
        <f t="shared" si="2733"/>
        <v>n.a.</v>
      </c>
      <c r="BA294" s="69" t="str">
        <f t="shared" si="2733"/>
        <v>n.a.</v>
      </c>
      <c r="BB294" s="69" t="str">
        <f t="shared" si="2733"/>
        <v>n.a.</v>
      </c>
      <c r="BC294" s="69" t="str">
        <f t="shared" ref="BC294:BH294" si="2734">IF(OR(ISERROR(-(BC251+BC261)/BC250),BC261=""),"n.a.",-(BC251+BC261)/BC250)</f>
        <v>n.a.</v>
      </c>
      <c r="BD294" s="69" t="str">
        <f t="shared" si="2734"/>
        <v>n.a.</v>
      </c>
      <c r="BE294" s="69" t="str">
        <f t="shared" si="2734"/>
        <v>n.a.</v>
      </c>
      <c r="BF294" s="69">
        <f t="shared" si="2734"/>
        <v>9.5646544748341153E-2</v>
      </c>
      <c r="BG294" s="69">
        <f t="shared" si="2734"/>
        <v>0.27500947452778768</v>
      </c>
      <c r="BH294" s="69">
        <f t="shared" si="2734"/>
        <v>0.27454945991988061</v>
      </c>
      <c r="BI294" s="89">
        <f t="shared" ref="BI294" si="2735">IF(OR(ISERROR(-(BI251+BI261)/BI250),BI261=""),"n.a.",-(BI251+BI261)/BI250)</f>
        <v>0.28354253478879604</v>
      </c>
      <c r="BJ294" s="69">
        <f t="shared" ref="BJ294:BK294" si="2736">IF(OR(ISERROR(-(BJ251+BJ261)/BJ250),BJ261=""),"n.a.",-(BJ251+BJ261)/BJ250)</f>
        <v>0.27284895961225447</v>
      </c>
      <c r="BK294" s="69">
        <f t="shared" si="2736"/>
        <v>0.32395589872348768</v>
      </c>
      <c r="BL294" s="69">
        <f t="shared" ref="BL294" si="2737">IF(OR(ISERROR(-(BL251+BL261)/BL250),BL261=""),"n.a.",-(BL251+BL261)/BL250)</f>
        <v>0.32718189570488826</v>
      </c>
      <c r="BM294" s="69">
        <f t="shared" ref="BM294" si="2738">IF(OR(ISERROR(-(BM251+BM261)/BM250),BM261=""),"n.a.",-(BM251+BM261)/BM250)</f>
        <v>0.32837608760769849</v>
      </c>
      <c r="BN294" s="69">
        <f t="shared" ref="BN294" si="2739">IF(OR(ISERROR(-(BN251+BN261)/BN250),BN261=""),"n.a.",-(BN251+BN261)/BN250)</f>
        <v>0.3294084822926312</v>
      </c>
    </row>
    <row r="295" spans="1:66" ht="12" customHeight="1" outlineLevel="1">
      <c r="B295" s="1" t="s">
        <v>79</v>
      </c>
      <c r="C295" s="37">
        <f t="shared" ref="C295" si="2740">IF(ISERROR(-C253*C$5/AVERAGE(B267:C267)),"n.a.",-C253*C$5/AVERAGE(B267:C267))</f>
        <v>1.0221039298201538E-2</v>
      </c>
      <c r="D295" s="37">
        <f t="shared" ref="D295" si="2741">IF(ISERROR(-D253*D$5/AVERAGE(C267:D267)),"n.a.",-D253*D$5/AVERAGE(C267:D267))</f>
        <v>1.1145705208617065E-2</v>
      </c>
      <c r="E295" s="37">
        <f t="shared" ref="E295" si="2742">IF(ISERROR(-E253*E$5/AVERAGE(D267:E267)),"n.a.",-E253*E$5/AVERAGE(D267:E267))</f>
        <v>1.2299232692436823E-2</v>
      </c>
      <c r="F295" s="37">
        <f t="shared" ref="F295" si="2743">IF(ISERROR(-F253*F$5/AVERAGE(E267:F267)),"n.a.",-F253*F$5/AVERAGE(E267:F267))</f>
        <v>1.3759478732258112E-2</v>
      </c>
      <c r="G295" s="37">
        <f t="shared" ref="G295" si="2744">IF(ISERROR(-G253*G$5/AVERAGE(F267:G267)),"n.a.",-G253*G$5/AVERAGE(F267:G267))</f>
        <v>1.2629441892043319E-2</v>
      </c>
      <c r="H295" s="37">
        <f t="shared" ref="H295" si="2745">IF(ISERROR(-H253*H$5/AVERAGE(G267:H267)),"n.a.",-H253*H$5/AVERAGE(G267:H267))</f>
        <v>1.2907949507138692E-2</v>
      </c>
      <c r="I295" s="37">
        <f t="shared" ref="I295" si="2746">IF(ISERROR(-I253*I$5/AVERAGE(H267:I267)),"n.a.",-I253*I$5/AVERAGE(H267:I267))</f>
        <v>1.0793380384020624E-2</v>
      </c>
      <c r="J295" s="37">
        <f t="shared" ref="J295" si="2747">IF(ISERROR(-J253*J$5/AVERAGE(I267:J267)),"n.a.",-J253*J$5/AVERAGE(I267:J267))</f>
        <v>1.1074213230037738E-2</v>
      </c>
      <c r="K295" s="37">
        <f t="shared" ref="K295" si="2748">IF(ISERROR(-K253*K$5/AVERAGE(J267:K267)),"n.a.",-K253*K$5/AVERAGE(J267:K267))</f>
        <v>1.1655209791501293E-2</v>
      </c>
      <c r="L295" s="37">
        <f t="shared" ref="L295" si="2749">IF(ISERROR(-L253*L$5/AVERAGE(K267:L267)),"n.a.",-L253*L$5/AVERAGE(K267:L267))</f>
        <v>1.1927496770963259E-2</v>
      </c>
      <c r="M295" s="78">
        <f t="shared" ref="M295" si="2750">IF(ISERROR(-M253*M$5/AVERAGE(L267:M267)),"n.a.",-M253*M$5/AVERAGE(L267:M267))</f>
        <v>1.1518598216918668E-2</v>
      </c>
      <c r="N295" s="78">
        <f t="shared" ref="N295" si="2751">IF(ISERROR(-N253*N$5/AVERAGE(M267:N267)),"n.a.",-N253*N$5/AVERAGE(M267:N267))</f>
        <v>1.0374782854800617E-2</v>
      </c>
      <c r="O295" s="78">
        <f t="shared" ref="O295" si="2752">IF(ISERROR(-O253*O$5/AVERAGE(N267:O267)),"n.a.",-O253*O$5/AVERAGE(N267:O267))</f>
        <v>9.242345885780167E-3</v>
      </c>
      <c r="P295" s="78">
        <f t="shared" ref="P295" si="2753">IF(ISERROR(-P253*P$5/AVERAGE(O267:P267)),"n.a.",-P253*P$5/AVERAGE(O267:P267))</f>
        <v>1.0396681742183994E-2</v>
      </c>
      <c r="Q295" s="78">
        <f t="shared" ref="Q295:AI295" si="2754">IF(ISERROR(-Q253*Q$5/AVERAGE(P267:Q267)),"n.a.",-Q253*Q$5/AVERAGE(P267:Q267))</f>
        <v>1.0587168300866588E-2</v>
      </c>
      <c r="R295" s="78">
        <f t="shared" si="2754"/>
        <v>1.0809503642200433E-2</v>
      </c>
      <c r="S295" s="78">
        <f t="shared" si="2754"/>
        <v>1.0808393996710944E-2</v>
      </c>
      <c r="T295" s="78">
        <f t="shared" si="2754"/>
        <v>1.1796630731356696E-2</v>
      </c>
      <c r="U295" s="78">
        <f t="shared" si="2754"/>
        <v>1.2232382869013793E-2</v>
      </c>
      <c r="V295" s="78">
        <f t="shared" si="2754"/>
        <v>1.3007179420217084E-2</v>
      </c>
      <c r="W295" s="78">
        <f t="shared" si="2754"/>
        <v>1.0557704706640877E-2</v>
      </c>
      <c r="X295" s="78">
        <f t="shared" si="2754"/>
        <v>1.0144863722425257E-2</v>
      </c>
      <c r="Y295" s="78">
        <f t="shared" si="2754"/>
        <v>9.2802638983093336E-3</v>
      </c>
      <c r="Z295" s="78">
        <f t="shared" si="2754"/>
        <v>1.1613600526014558E-2</v>
      </c>
      <c r="AA295" s="78">
        <f t="shared" si="2754"/>
        <v>8.6199006164981145E-3</v>
      </c>
      <c r="AB295" s="78">
        <f t="shared" si="2754"/>
        <v>8.6916267281706601E-3</v>
      </c>
      <c r="AC295" s="78">
        <f t="shared" si="2754"/>
        <v>7.000709660979332E-3</v>
      </c>
      <c r="AD295" s="78">
        <f t="shared" si="2754"/>
        <v>9.1518283659370297E-3</v>
      </c>
      <c r="AE295" s="78">
        <f t="shared" si="2754"/>
        <v>1.3254553557309413E-2</v>
      </c>
      <c r="AF295" s="78">
        <f t="shared" si="2754"/>
        <v>1.3566737999713689E-2</v>
      </c>
      <c r="AG295" s="78">
        <f t="shared" si="2754"/>
        <v>1.3425874536315633E-2</v>
      </c>
      <c r="AH295" s="78">
        <f t="shared" si="2754"/>
        <v>1.3309111307312549E-2</v>
      </c>
      <c r="AI295" s="88">
        <f t="shared" si="2754"/>
        <v>1.3404551688530109E-2</v>
      </c>
      <c r="AJ295" s="66">
        <v>1.1900000000000001E-2</v>
      </c>
      <c r="AK295" s="66">
        <f t="shared" ref="AK295:AR295" si="2755">AJ295-0.03%</f>
        <v>1.1600000000000001E-2</v>
      </c>
      <c r="AL295" s="66">
        <f t="shared" si="2755"/>
        <v>1.1300000000000001E-2</v>
      </c>
      <c r="AM295" s="66">
        <f t="shared" si="2755"/>
        <v>1.1000000000000001E-2</v>
      </c>
      <c r="AN295" s="66">
        <f t="shared" si="2755"/>
        <v>1.0700000000000001E-2</v>
      </c>
      <c r="AO295" s="66">
        <f t="shared" si="2755"/>
        <v>1.0400000000000001E-2</v>
      </c>
      <c r="AP295" s="66">
        <f t="shared" si="2755"/>
        <v>1.0100000000000001E-2</v>
      </c>
      <c r="AQ295" s="66">
        <f t="shared" si="2755"/>
        <v>9.8000000000000014E-3</v>
      </c>
      <c r="AR295" s="66">
        <f t="shared" si="2755"/>
        <v>9.5000000000000015E-3</v>
      </c>
      <c r="AS295" s="8"/>
      <c r="AT295" s="37">
        <f>IF(ISERROR(-AT253*AT$5/AVERAGE(T267:AT267)),"n.a.",-AT253*AT$5/AVERAGE(T267:AT267))</f>
        <v>4.1801383809404796E-3</v>
      </c>
      <c r="AU295" s="37">
        <f>IF(ISERROR(-AU253*AU$5/AVERAGE(AT267:AU267)),"n.a.",-AU253*AU$5/AVERAGE(AT267:AU267))</f>
        <v>1.3464494778532538E-2</v>
      </c>
      <c r="AV295" s="37">
        <f>IF(ISERROR(-AV253*AV$5/AVERAGE(AU267:AV267)),"n.a.",-AV253*AV$5/AVERAGE(AU267:AV267))</f>
        <v>1.4331700069782623E-2</v>
      </c>
      <c r="AW295" s="37">
        <f>IF(ISERROR(-AW253*AW$5/AVERAGE(AV267:AW267)),"n.a.",-AW253*AW$5/AVERAGE(AV267:AW267))</f>
        <v>1.1260858407148468E-2</v>
      </c>
      <c r="AX295" s="37">
        <f t="shared" ref="AX295" si="2756">IF(ISERROR(-AX253*AX$5/AVERAGE(AW267:AX267)),"n.a.",-AX253*AX$5/AVERAGE(AW267:AX267))</f>
        <v>1.1847656047271999E-2</v>
      </c>
      <c r="AY295" s="37">
        <f t="shared" ref="AY295" si="2757">IF(ISERROR(-AY253*AY$5/AVERAGE(AX267:AY267)),"n.a.",-AY253*AY$5/AVERAGE(AX267:AY267))</f>
        <v>1.0494953676440578E-2</v>
      </c>
      <c r="AZ295" s="37">
        <f t="shared" ref="AZ295" si="2758">IF(ISERROR(-AZ253*AZ$5/AVERAGE(AY267:AZ267)),"n.a.",-AZ253*AZ$5/AVERAGE(AY267:AZ267))</f>
        <v>1.0488317007830036E-2</v>
      </c>
      <c r="BA295" s="37">
        <f t="shared" ref="BA295" si="2759">IF(ISERROR(-BA253*BA$5/AVERAGE(AZ267:BA267)),"n.a.",-BA253*BA$5/AVERAGE(AZ267:BA267))</f>
        <v>1.1052690457545587E-2</v>
      </c>
      <c r="BB295" s="37">
        <f t="shared" ref="BB295" si="2760">IF(ISERROR(-BB253*BB$5/AVERAGE(BA267:BB267)),"n.a.",-BB253*BB$5/AVERAGE(BA267:BB267))</f>
        <v>1.1391115840023671E-2</v>
      </c>
      <c r="BC295" s="37">
        <f t="shared" ref="BC295" si="2761">IF(ISERROR(-BC253*BC$5/AVERAGE(BB267:BC267)),"n.a.",-BC253*BC$5/AVERAGE(BB267:BC267))</f>
        <v>1.3555420569711308E-2</v>
      </c>
      <c r="BD295" s="37">
        <f t="shared" ref="BD295" si="2762">IF(ISERROR(-BD253*BD$5/AVERAGE(BC267:BD267)),"n.a.",-BD253*BD$5/AVERAGE(BC267:BD267))</f>
        <v>9.7933601018509453E-3</v>
      </c>
      <c r="BE295" s="37">
        <f t="shared" ref="BE295" si="2763">IF(ISERROR(-BE253*BE$5/AVERAGE(BD267:BE267)),"n.a.",-BE253*BE$5/AVERAGE(BD267:BE267))</f>
        <v>9.9916961513466674E-3</v>
      </c>
      <c r="BF295" s="37">
        <f t="shared" ref="BF295" si="2764">IF(ISERROR(-BF253*BF$5/AVERAGE(BE267:BF267)),"n.a.",-BF253*BF$5/AVERAGE(BE267:BF267))</f>
        <v>9.6237904882878166E-3</v>
      </c>
      <c r="BG295" s="37">
        <f t="shared" ref="BG295" si="2765">IF(ISERROR(-BG253*BG$5/AVERAGE(BF267:BG267)),"n.a.",-BG253*BG$5/AVERAGE(BF267:BG267))</f>
        <v>1.0001559759478721E-2</v>
      </c>
      <c r="BH295" s="37">
        <f t="shared" ref="BH295:BJ295" si="2766">IF(ISERROR(-BH253*BH$5/AVERAGE(BG267:BH267)),"n.a.",-BH253*BH$5/AVERAGE(BG267:BH267))</f>
        <v>1.3324046439282118E-2</v>
      </c>
      <c r="BI295" s="38">
        <f t="shared" si="2766"/>
        <v>1.3220031991783456E-2</v>
      </c>
      <c r="BJ295" s="37">
        <f t="shared" si="2766"/>
        <v>1.2760811294013463E-2</v>
      </c>
      <c r="BK295" s="37">
        <f>IF(ISERROR(-BK253*BK$5/AVERAGE(BK267:BK267)),"n.a.",-BK253*BK$5/AVERAGE(BK267:BK267))</f>
        <v>1.0881087683774637E-2</v>
      </c>
      <c r="BL295" s="37">
        <f>IF(ISERROR(-BL253*BL$5/AVERAGE(BL267:BL267)),"n.a.",-BL253*BL$5/AVERAGE(BL267:BL267))</f>
        <v>1.0446106624246816E-2</v>
      </c>
      <c r="BM295" s="37">
        <f>IF(ISERROR(-BM253*BM$5/AVERAGE(BM267:BM267)),"n.a.",-BM253*BM$5/AVERAGE(BM267:BM267))</f>
        <v>9.9141714241334725E-3</v>
      </c>
      <c r="BN295" s="37">
        <f>IF(ISERROR(-BN253*BN$5/AVERAGE(BN267:BN267)),"n.a.",-BN253*BN$5/AVERAGE(BN267:BN267))</f>
        <v>9.3395537328008708E-3</v>
      </c>
    </row>
    <row r="296" spans="1:66" ht="12" customHeight="1" outlineLevel="1">
      <c r="B296" s="1" t="s">
        <v>68</v>
      </c>
      <c r="C296" s="50" t="str">
        <f>IF(ISERROR(C253/B253),"n.a.",C253/B253-1)</f>
        <v>n.a.</v>
      </c>
      <c r="D296" s="50">
        <f>IF(ISERROR(D253/C253),"n.a.",D253/C253-1)</f>
        <v>9.0342679127725756E-2</v>
      </c>
      <c r="E296" s="50">
        <f t="shared" ref="E296" si="2767">IF(ISERROR(E253/D253),"n.a.",E253/D253-1)</f>
        <v>0.17714285714285705</v>
      </c>
      <c r="F296" s="50">
        <f t="shared" ref="F296" si="2768">IF(ISERROR(F253/E253),"n.a.",F253/E253-1)</f>
        <v>0.15776699029126218</v>
      </c>
      <c r="G296" s="50">
        <f t="shared" ref="G296" si="2769">IF(ISERROR(G253/F253),"n.a.",G253/F253-1)</f>
        <v>4.1928721174004924E-3</v>
      </c>
      <c r="H296" s="50">
        <f t="shared" ref="H296" si="2770">IF(ISERROR(H253/G253),"n.a.",H253/G253-1)</f>
        <v>-6.2630480167014113E-3</v>
      </c>
      <c r="I296" s="50">
        <f t="shared" ref="I296" si="2771">IF(ISERROR(I253/H253),"n.a.",I253/H253-1)</f>
        <v>-0.24579831932773111</v>
      </c>
      <c r="J296" s="50">
        <f t="shared" ref="J296" si="2772">IF(ISERROR(J253/I253),"n.a.",J253/I253-1)</f>
        <v>1.6713091922005541E-2</v>
      </c>
      <c r="K296" s="50">
        <f t="shared" ref="K296" si="2773">IF(ISERROR(K253/J253),"n.a.",K253/J253-1)</f>
        <v>5.7534246575342562E-2</v>
      </c>
      <c r="L296" s="50">
        <f t="shared" ref="L296" si="2774">IF(ISERROR(L253/K253),"n.a.",L253/K253-1)</f>
        <v>6.9948186528497436E-2</v>
      </c>
      <c r="M296" s="69">
        <f t="shared" ref="M296" si="2775">IF(ISERROR(M253/L253),"n.a.",M253/L253-1)</f>
        <v>5.0847457627118731E-2</v>
      </c>
      <c r="N296" s="69">
        <f t="shared" ref="N296" si="2776">IF(ISERROR(N253/M253),"n.a.",N253/M253-1)</f>
        <v>7.3732718894009119E-2</v>
      </c>
      <c r="O296" s="69">
        <f t="shared" ref="O296" si="2777">IF(ISERROR(O253/N253),"n.a.",O253/N253-1)</f>
        <v>4.5064377682403345E-2</v>
      </c>
      <c r="P296" s="69">
        <f t="shared" ref="P296" si="2778">IF(ISERROR(P253/O253),"n.a.",P253/O253-1)</f>
        <v>8.2135523613963146E-2</v>
      </c>
      <c r="Q296" s="69">
        <f t="shared" ref="Q296:AH296" si="2779">IF(ISERROR(Q253/P253),"n.a.",Q253/P253-1)</f>
        <v>-5.313092979127132E-2</v>
      </c>
      <c r="R296" s="69">
        <f t="shared" si="2779"/>
        <v>-2.0040080160320661E-2</v>
      </c>
      <c r="S296" s="69">
        <f t="shared" si="2779"/>
        <v>-2.8629856850715729E-2</v>
      </c>
      <c r="T296" s="69">
        <f t="shared" si="2779"/>
        <v>0.10736842105263156</v>
      </c>
      <c r="U296" s="69">
        <f t="shared" si="2779"/>
        <v>0.15019011406844096</v>
      </c>
      <c r="V296" s="69">
        <f t="shared" si="2779"/>
        <v>0.10247933884297522</v>
      </c>
      <c r="W296" s="69">
        <f t="shared" si="2779"/>
        <v>-0.2143928035982009</v>
      </c>
      <c r="X296" s="69">
        <f t="shared" si="2779"/>
        <v>9.92366412213741E-2</v>
      </c>
      <c r="Y296" s="69">
        <f t="shared" si="2779"/>
        <v>-7.291666666666663E-2</v>
      </c>
      <c r="Z296" s="69">
        <f t="shared" si="2779"/>
        <v>7.3033707865168607E-2</v>
      </c>
      <c r="AA296" s="69">
        <f t="shared" si="2779"/>
        <v>-2.4432809773123898E-2</v>
      </c>
      <c r="AB296" s="69">
        <f t="shared" si="2779"/>
        <v>0.30411449016100178</v>
      </c>
      <c r="AC296" s="69">
        <f t="shared" si="2779"/>
        <v>-2.0576131687242816E-2</v>
      </c>
      <c r="AD296" s="69">
        <f t="shared" si="2779"/>
        <v>0.20028011204481788</v>
      </c>
      <c r="AE296" s="69">
        <f t="shared" si="2779"/>
        <v>7.5845974329054933E-2</v>
      </c>
      <c r="AF296" s="69">
        <f t="shared" si="2779"/>
        <v>2.1691973969630851E-3</v>
      </c>
      <c r="AG296" s="69">
        <f t="shared" si="2779"/>
        <v>7.575757575757569E-3</v>
      </c>
      <c r="AH296" s="69">
        <f t="shared" si="2779"/>
        <v>4.6186895810955919E-2</v>
      </c>
      <c r="AI296" s="89">
        <f t="shared" ref="AI296" si="2780">IF(ISERROR(AI253/AH253),"n.a.",AI253/AH253-1)</f>
        <v>0.11396303901437377</v>
      </c>
      <c r="AJ296" s="50">
        <f t="shared" ref="AJ296" si="2781">IF(ISERROR(AJ253/AI253),"n.a.",AJ253/AI253-1)</f>
        <v>-4.0050171647676658E-2</v>
      </c>
      <c r="AK296" s="50">
        <f t="shared" ref="AK296" si="2782">IF(ISERROR(AK253/AJ253),"n.a.",AK253/AJ253-1)</f>
        <v>3.7452334860097469E-2</v>
      </c>
      <c r="AL296" s="50">
        <f t="shared" ref="AL296" si="2783">IF(ISERROR(AL253/AK253),"n.a.",AL253/AK253-1)</f>
        <v>2.0813904209608936E-2</v>
      </c>
      <c r="AM296" s="50">
        <f t="shared" ref="AM296" si="2784">IF(ISERROR(AM253/AL253),"n.a.",AM253/AL253-1)</f>
        <v>2.1276975545594601E-2</v>
      </c>
      <c r="AN296" s="50">
        <f t="shared" ref="AN296" si="2785">IF(ISERROR(AN253/AM253),"n.a.",AN253/AM253-1)</f>
        <v>1.1227798002677813E-2</v>
      </c>
      <c r="AO296" s="50">
        <f t="shared" ref="AO296" si="2786">IF(ISERROR(AO253/AN253),"n.a.",AO253/AN253-1)</f>
        <v>9.8921973194632251E-3</v>
      </c>
      <c r="AP296" s="50">
        <f t="shared" ref="AP296" si="2787">IF(ISERROR(AP253/AO253),"n.a.",AP253/AO253-1)</f>
        <v>-1.22418354902043E-3</v>
      </c>
      <c r="AQ296" s="50">
        <f t="shared" ref="AQ296" si="2788">IF(ISERROR(AQ253/AP253),"n.a.",AQ253/AP253-1)</f>
        <v>8.1579541700260716E-3</v>
      </c>
      <c r="AR296" s="50">
        <f t="shared" ref="AR296" si="2789">IF(ISERROR(AR253/AQ253),"n.a.",AR253/AQ253-1)</f>
        <v>-3.9346995374009985E-3</v>
      </c>
      <c r="AS296" s="8"/>
      <c r="AT296" s="50">
        <f>IF(ISERROR(AT253/T253),"n.a.",AT253/T253-1)</f>
        <v>0.2756653992395437</v>
      </c>
      <c r="AU296" s="50">
        <f>IF(ISERROR(AU253/AT253),"n.a.",AU253/AT253-1)</f>
        <v>0.32488822652757077</v>
      </c>
      <c r="AV296" s="50">
        <f>IF(ISERROR(AV253/AU253),"n.a.",AV253/AU253-1)</f>
        <v>7.4240719910011244E-2</v>
      </c>
      <c r="AW296" s="50">
        <f>IF(ISERROR(AW253/AV253),"n.a.",AW253/AV253-1)</f>
        <v>-0.2418848167539267</v>
      </c>
      <c r="AX296" s="50">
        <f t="shared" ref="AX296" si="2790">IF(ISERROR(AX253/AW253),"n.a.",AX253/AW253-1)</f>
        <v>0.10359116022099446</v>
      </c>
      <c r="AY296" s="50">
        <f t="shared" ref="AY296" si="2791">IF(ISERROR(AY253/AX253),"n.a.",AY253/AX253-1)</f>
        <v>0.12640801001251556</v>
      </c>
      <c r="AZ296" s="50">
        <f t="shared" ref="AZ296" si="2792">IF(ISERROR(AZ253/AY253),"n.a.",AZ253/AY253-1)</f>
        <v>0.12666666666666671</v>
      </c>
      <c r="BA296" s="50">
        <f t="shared" ref="BA296" si="2793">IF(ISERROR(BA253/AZ253),"n.a.",BA253/AZ253-1)</f>
        <v>-2.5641025641025661E-2</v>
      </c>
      <c r="BB296" s="50">
        <f t="shared" ref="BB296" si="2794">IF(ISERROR(BB253/BA253),"n.a.",BB253/BA253-1)</f>
        <v>1.3157894736842035E-2</v>
      </c>
      <c r="BC296" s="50">
        <f t="shared" ref="BC296" si="2795">IF(ISERROR(BC253/BB253),"n.a.",BC253/BB253-1)</f>
        <v>0.27072927072927078</v>
      </c>
      <c r="BD296" s="50">
        <f t="shared" ref="BD296" si="2796">IF(ISERROR(BD253/BC253),"n.a.",BD253/BC253-1)</f>
        <v>-0.13522012578616349</v>
      </c>
      <c r="BE296" s="50">
        <f t="shared" ref="BE296" si="2797">IF(ISERROR(BE253/BD253),"n.a.",BE253/BD253-1)</f>
        <v>6.3636363636363491E-3</v>
      </c>
      <c r="BF296" s="50">
        <f t="shared" ref="BF296" si="2798">IF(ISERROR(BF253/BE253),"n.a.",BF253/BE253-1)</f>
        <v>0.1635049683830172</v>
      </c>
      <c r="BG296" s="50">
        <f t="shared" ref="BG296" si="2799">IF(ISERROR(BG253/BF253),"n.a.",BG253/BF253-1)</f>
        <v>0.21972049689440998</v>
      </c>
      <c r="BH296" s="50">
        <f t="shared" ref="BH296:BN296" si="2800">IF(ISERROR(BH253/BG253),"n.a.",BH253/BG253-1)</f>
        <v>0.17504774029280723</v>
      </c>
      <c r="BI296" s="51">
        <f t="shared" si="2800"/>
        <v>3.1960996749729187E-2</v>
      </c>
      <c r="BJ296" s="50">
        <f t="shared" si="2800"/>
        <v>0.11629688386470916</v>
      </c>
      <c r="BK296" s="50">
        <f t="shared" si="2800"/>
        <v>2.6828832673793102E-2</v>
      </c>
      <c r="BL296" s="50">
        <f t="shared" si="2800"/>
        <v>3.7588284211033107E-2</v>
      </c>
      <c r="BM296" s="50">
        <f t="shared" si="2800"/>
        <v>1.4908382626285688E-2</v>
      </c>
      <c r="BN296" s="50">
        <f t="shared" si="2800"/>
        <v>5.5583064827717799E-3</v>
      </c>
    </row>
    <row r="297" spans="1:66" ht="12" customHeight="1" outlineLevel="1">
      <c r="B297" s="1" t="s">
        <v>80</v>
      </c>
      <c r="C297" s="50">
        <f>IF(ISERROR(-SUM(C251:C253)/C250),"n.a.",-SUM(C251:C253)/C250)</f>
        <v>0.5185704274702172</v>
      </c>
      <c r="D297" s="50">
        <f>IF(ISERROR(-SUM(D251:D253)/D250),"n.a.",-SUM(D251:D253)/D250)</f>
        <v>0.51807228915662651</v>
      </c>
      <c r="E297" s="50">
        <f t="shared" ref="E297:J297" si="2801">IF(ISERROR(-SUM(E251:E253)/E250),"n.a.",-SUM(E251:E253)/E250)</f>
        <v>0.77369769427839452</v>
      </c>
      <c r="F297" s="50">
        <f t="shared" si="2801"/>
        <v>0.68634920634920638</v>
      </c>
      <c r="G297" s="50">
        <f t="shared" si="2801"/>
        <v>1.0135983263598327</v>
      </c>
      <c r="H297" s="50">
        <f t="shared" si="2801"/>
        <v>0.7248270561106841</v>
      </c>
      <c r="I297" s="50">
        <f t="shared" si="2801"/>
        <v>0.82505643340857793</v>
      </c>
      <c r="J297" s="50">
        <f t="shared" si="2801"/>
        <v>0.66851851851851851</v>
      </c>
      <c r="K297" s="50">
        <f t="shared" ref="K297:Q297" si="2802">IF(ISERROR(-SUM(K251:K253)/K250),"n.a.",-SUM(K251:K253)/K250)</f>
        <v>0.74839302112029382</v>
      </c>
      <c r="L297" s="50">
        <f t="shared" si="2802"/>
        <v>0.61659807956104251</v>
      </c>
      <c r="M297" s="69">
        <f t="shared" si="2802"/>
        <v>0.76903114186851207</v>
      </c>
      <c r="N297" s="69">
        <f t="shared" si="2802"/>
        <v>0.60326428123038289</v>
      </c>
      <c r="O297" s="69">
        <f t="shared" si="2802"/>
        <v>0.65860039241334201</v>
      </c>
      <c r="P297" s="69">
        <f t="shared" si="2802"/>
        <v>0.76767676767676762</v>
      </c>
      <c r="Q297" s="69">
        <f t="shared" si="2802"/>
        <v>0.66936026936026938</v>
      </c>
      <c r="R297" s="69">
        <f t="shared" ref="R297:S297" si="2803">IF(ISERROR(-SUM(R251:R253)/R250),"n.a.",-SUM(R251:R253)/R250)</f>
        <v>0.6712235133287765</v>
      </c>
      <c r="S297" s="69">
        <f t="shared" si="2803"/>
        <v>0.7138531415594247</v>
      </c>
      <c r="T297" s="69">
        <f t="shared" ref="T297:U297" si="2804">IF(ISERROR(-SUM(T251:T253)/T250),"n.a.",-SUM(T251:T253)/T250)</f>
        <v>0.66456494325346782</v>
      </c>
      <c r="U297" s="69">
        <f t="shared" si="2804"/>
        <v>0.59786145978614602</v>
      </c>
      <c r="V297" s="69">
        <f t="shared" ref="V297:W297" si="2805">IF(ISERROR(-SUM(V251:V253)/V250),"n.a.",-SUM(V251:V253)/V250)</f>
        <v>0.61454226894437147</v>
      </c>
      <c r="W297" s="69">
        <f t="shared" si="2805"/>
        <v>0.47173308619091753</v>
      </c>
      <c r="X297" s="69">
        <f t="shared" ref="X297:Y297" si="2806">IF(ISERROR(-SUM(X251:X253)/X250),"n.a.",-SUM(X251:X253)/X250)</f>
        <v>0.64447086801426878</v>
      </c>
      <c r="Y297" s="69">
        <f t="shared" si="2806"/>
        <v>0.49201877934272298</v>
      </c>
      <c r="Z297" s="69">
        <f t="shared" ref="Z297:AA297" si="2807">IF(ISERROR(-SUM(Z251:Z253)/Z250),"n.a.",-SUM(Z251:Z253)/Z250)</f>
        <v>0.40384615384615385</v>
      </c>
      <c r="AA297" s="69">
        <f t="shared" si="2807"/>
        <v>0.37558685446009388</v>
      </c>
      <c r="AB297" s="69">
        <f t="shared" ref="AB297:AC297" si="2808">IF(ISERROR(-SUM(AB251:AB253)/AB250),"n.a.",-SUM(AB251:AB253)/AB250)</f>
        <v>0.36011730205278591</v>
      </c>
      <c r="AC297" s="69">
        <f t="shared" si="2808"/>
        <v>0.38376041988267984</v>
      </c>
      <c r="AD297" s="69">
        <f t="shared" ref="AD297:AE297" si="2809">IF(ISERROR(-SUM(AD251:AD253)/AD250),"n.a.",-SUM(AD251:AD253)/AD250)</f>
        <v>0.26779846659364731</v>
      </c>
      <c r="AE297" s="69">
        <f t="shared" si="2809"/>
        <v>0.52748378286104469</v>
      </c>
      <c r="AF297" s="69">
        <f t="shared" ref="AF297:AG297" si="2810">IF(ISERROR(-SUM(AF251:AF253)/AF250),"n.a.",-SUM(AF251:AF253)/AF250)</f>
        <v>0.46065428824049515</v>
      </c>
      <c r="AG297" s="69">
        <f t="shared" si="2810"/>
        <v>0.54526606772633035</v>
      </c>
      <c r="AH297" s="69">
        <f t="shared" ref="AH297" si="2811">IF(ISERROR(-SUM(AH251:AH253)/AH250),"n.a.",-SUM(AH251:AH253)/AH250)</f>
        <v>0.51600512163892442</v>
      </c>
      <c r="AI297" s="89">
        <f>IF(ISERROR(-SUM(AI251:AI253)/AI250),"n.a.",-SUM(AI251:AI253)/AI250)</f>
        <v>0.61429066944155397</v>
      </c>
      <c r="AJ297" s="69">
        <f t="shared" ref="AJ297" si="2812">IF(ISERROR(-SUM(AJ251:AJ253)/AJ250),"n.a.",-SUM(AJ251:AJ253)/AJ250)</f>
        <v>0.46383618600433224</v>
      </c>
      <c r="AK297" s="69">
        <f t="shared" ref="AK297:AL297" si="2813">IF(ISERROR(-SUM(AK251:AK253)/AK250),"n.a.",-SUM(AK251:AK253)/AK250)</f>
        <v>0.5324807680954976</v>
      </c>
      <c r="AL297" s="69">
        <f t="shared" si="2813"/>
        <v>0.48964286836443682</v>
      </c>
      <c r="AM297" s="69">
        <f t="shared" ref="AM297:AN297" si="2814">IF(ISERROR(-SUM(AM251:AM253)/AM250),"n.a.",-SUM(AM251:AM253)/AM250)</f>
        <v>0.52286082548657775</v>
      </c>
      <c r="AN297" s="69">
        <f t="shared" si="2814"/>
        <v>0.47107950348087607</v>
      </c>
      <c r="AO297" s="69">
        <f t="shared" ref="AO297:AP297" si="2815">IF(ISERROR(-SUM(AO251:AO253)/AO250),"n.a.",-SUM(AO251:AO253)/AO250)</f>
        <v>0.51142539856377922</v>
      </c>
      <c r="AP297" s="69">
        <f t="shared" si="2815"/>
        <v>0.45752655914267537</v>
      </c>
      <c r="AQ297" s="69">
        <f t="shared" ref="AQ297:AR297" si="2816">IF(ISERROR(-SUM(AQ251:AQ253)/AQ250),"n.a.",-SUM(AQ251:AQ253)/AQ250)</f>
        <v>0.49098033083821607</v>
      </c>
      <c r="AR297" s="69">
        <f t="shared" si="2816"/>
        <v>0.44697726464084542</v>
      </c>
      <c r="AS297" s="8"/>
      <c r="AT297" s="50">
        <f t="shared" ref="AT297:BB297" si="2817">IF(ISERROR(-SUM(AT251:AT253)/AT250),"n.a.",-SUM(AT251:AT253)/AT250)</f>
        <v>0.51831564532694285</v>
      </c>
      <c r="AU297" s="50">
        <f t="shared" si="2817"/>
        <v>0.72359796067006554</v>
      </c>
      <c r="AV297" s="50">
        <f t="shared" si="2817"/>
        <v>0.8471422241914045</v>
      </c>
      <c r="AW297" s="50">
        <f t="shared" si="2817"/>
        <v>0.73906408952187186</v>
      </c>
      <c r="AX297" s="50">
        <f t="shared" si="2817"/>
        <v>0.67294856694149985</v>
      </c>
      <c r="AY297" s="50">
        <f t="shared" si="2817"/>
        <v>0.67297198981447803</v>
      </c>
      <c r="AZ297" s="50">
        <f t="shared" si="2817"/>
        <v>0.71046312178387649</v>
      </c>
      <c r="BA297" s="50">
        <f t="shared" si="2817"/>
        <v>0.67028493894165531</v>
      </c>
      <c r="BB297" s="50">
        <f t="shared" si="2817"/>
        <v>0.68696250429996564</v>
      </c>
      <c r="BC297" s="50">
        <f t="shared" ref="BC297:BH297" si="2818">IF(ISERROR(-SUM(BC251:BC253)/BC250),"n.a.",-SUM(BC251:BC253)/BC250)</f>
        <v>0.60645015787099688</v>
      </c>
      <c r="BD297" s="50">
        <f t="shared" si="2818"/>
        <v>0.5473958333333333</v>
      </c>
      <c r="BE297" s="50">
        <f t="shared" si="2818"/>
        <v>0.4439931594698589</v>
      </c>
      <c r="BF297" s="50">
        <f t="shared" si="2818"/>
        <v>0.36704968441495389</v>
      </c>
      <c r="BG297" s="50">
        <f t="shared" si="2818"/>
        <v>0.3108867729723529</v>
      </c>
      <c r="BH297" s="50">
        <f t="shared" si="2818"/>
        <v>0.4916165770325846</v>
      </c>
      <c r="BI297" s="51">
        <f t="shared" ref="BI297" si="2819">IF(ISERROR(-SUM(BI251:BI253)/BI250),"n.a.",-SUM(BI251:BI253)/BI250)</f>
        <v>0.53007643735460286</v>
      </c>
      <c r="BJ297" s="50">
        <f t="shared" ref="BJ297:BK297" si="2820">IF(ISERROR(-SUM(BJ251:BJ253)/BJ250),"n.a.",-SUM(BJ251:BJ253)/BJ250)</f>
        <v>0.52903677369753521</v>
      </c>
      <c r="BK297" s="50">
        <f t="shared" si="2820"/>
        <v>0.51021016258872909</v>
      </c>
      <c r="BL297" s="50">
        <f t="shared" ref="BL297" si="2821">IF(ISERROR(-SUM(BL251:BL253)/BL250),"n.a.",-SUM(BL251:BL253)/BL250)</f>
        <v>0.49568286615031726</v>
      </c>
      <c r="BM297" s="50">
        <f t="shared" ref="BM297" si="2822">IF(ISERROR(-SUM(BM251:BM253)/BM250),"n.a.",-SUM(BM251:BM253)/BM250)</f>
        <v>0.48314185108961766</v>
      </c>
      <c r="BN297" s="50">
        <f t="shared" ref="BN297" si="2823">IF(ISERROR(-SUM(BN251:BN253)/BN250),"n.a.",-SUM(BN251:BN253)/BN250)</f>
        <v>0.46811107700120541</v>
      </c>
    </row>
    <row r="298" spans="1:66" ht="12" customHeight="1" outlineLevel="1">
      <c r="B298" s="1" t="s">
        <v>81</v>
      </c>
      <c r="C298" s="70">
        <f>IF(ISERROR(C267/C268),"n.a.",C267/C268)</f>
        <v>20.75400716023961</v>
      </c>
      <c r="D298" s="70">
        <f>IF(ISERROR(D267/D268),"n.a.",D267/D268)</f>
        <v>20.452789485991968</v>
      </c>
      <c r="E298" s="70">
        <f t="shared" ref="E298:Q298" si="2824">IF(ISERROR(E267/E268),"n.a.",E267/E268)</f>
        <v>22.329295630915531</v>
      </c>
      <c r="F298" s="70">
        <f t="shared" si="2824"/>
        <v>21.661984406298686</v>
      </c>
      <c r="G298" s="70">
        <f t="shared" si="2824"/>
        <v>25.928750000000001</v>
      </c>
      <c r="H298" s="70">
        <f t="shared" si="2824"/>
        <v>19.555757575757575</v>
      </c>
      <c r="I298" s="70">
        <f t="shared" si="2824"/>
        <v>21.982903225806453</v>
      </c>
      <c r="J298" s="70">
        <f t="shared" si="2824"/>
        <v>20.662258064516131</v>
      </c>
      <c r="K298" s="70">
        <f t="shared" si="2824"/>
        <v>21.954193548387096</v>
      </c>
      <c r="L298" s="70">
        <f t="shared" si="2824"/>
        <v>22.847096774193549</v>
      </c>
      <c r="M298" s="70">
        <f t="shared" si="2824"/>
        <v>24.8359375</v>
      </c>
      <c r="N298" s="70">
        <f t="shared" si="2824"/>
        <v>32.479032258064514</v>
      </c>
      <c r="O298" s="70">
        <f t="shared" si="2824"/>
        <v>32.377647058823527</v>
      </c>
      <c r="P298" s="70">
        <f t="shared" si="2824"/>
        <v>30.890999999999998</v>
      </c>
      <c r="Q298" s="70">
        <f t="shared" si="2824"/>
        <v>34.050714285714285</v>
      </c>
      <c r="R298" s="70">
        <f t="shared" ref="R298:S298" si="2825">IF(ISERROR(R267/R268),"n.a.",R267/R268)</f>
        <v>29.69206896551724</v>
      </c>
      <c r="S298" s="70">
        <f t="shared" si="2825"/>
        <v>29.734000000000002</v>
      </c>
      <c r="T298" s="70">
        <f t="shared" ref="T298:U298" si="2826">IF(ISERROR(T267/T268),"n.a.",T267/T268)</f>
        <v>27.164848484848484</v>
      </c>
      <c r="U298" s="70">
        <f t="shared" si="2826"/>
        <v>19.677759033879987</v>
      </c>
      <c r="V298" s="70">
        <f t="shared" ref="V298:W298" si="2827">IF(ISERROR(V267/V268),"n.a.",V267/V268)</f>
        <v>25.479426479560708</v>
      </c>
      <c r="W298" s="70">
        <f t="shared" si="2827"/>
        <v>20.099599999999999</v>
      </c>
      <c r="X298" s="70">
        <f t="shared" ref="X298:Y298" si="2828">IF(ISERROR(X267/X268),"n.a.",X267/X268)</f>
        <v>21.459661016949152</v>
      </c>
      <c r="Y298" s="70">
        <f t="shared" si="2828"/>
        <v>22.375</v>
      </c>
      <c r="Z298" s="70">
        <f t="shared" ref="Z298:AA298" si="2829">IF(ISERROR(Z267/Z268),"n.a.",Z267/Z268)</f>
        <v>18.994399999999999</v>
      </c>
      <c r="AA298" s="70">
        <f t="shared" si="2829"/>
        <v>24.435671641791046</v>
      </c>
      <c r="AB298" s="70">
        <f t="shared" ref="AB298:AC298" si="2830">IF(ISERROR(AB267/AB268),"n.a.",AB267/AB268)</f>
        <v>21.860506329113925</v>
      </c>
      <c r="AC298" s="70">
        <f t="shared" si="2830"/>
        <v>28.554390243902439</v>
      </c>
      <c r="AD298" s="70">
        <f t="shared" ref="AD298:AE298" si="2831">IF(ISERROR(AD267/AD268),"n.a.",AD267/AD268)</f>
        <v>15.048191489361702</v>
      </c>
      <c r="AE298" s="70">
        <f t="shared" si="2831"/>
        <v>14.552234042553192</v>
      </c>
      <c r="AF298" s="70">
        <f t="shared" ref="AF298:AG298" si="2832">IF(ISERROR(AF267/AF268),"n.a.",AF267/AF268)</f>
        <v>13.840816326530613</v>
      </c>
      <c r="AG298" s="70">
        <f t="shared" si="2832"/>
        <v>14.385408163265305</v>
      </c>
      <c r="AH298" s="70">
        <f t="shared" ref="AH298" si="2833">IF(ISERROR(AH267/AH268),"n.a.",AH267/AH268)</f>
        <v>13.869</v>
      </c>
      <c r="AI298" s="505">
        <f>AH298*1.025</f>
        <v>14.215724999999999</v>
      </c>
      <c r="AJ298" s="72">
        <v>15.5</v>
      </c>
      <c r="AK298" s="72">
        <f t="shared" ref="AK298:AR298" si="2834">AJ298*1.025</f>
        <v>15.887499999999999</v>
      </c>
      <c r="AL298" s="72">
        <f t="shared" si="2834"/>
        <v>16.284687499999997</v>
      </c>
      <c r="AM298" s="72">
        <f t="shared" si="2834"/>
        <v>16.691804687499996</v>
      </c>
      <c r="AN298" s="72">
        <f t="shared" si="2834"/>
        <v>17.109099804687496</v>
      </c>
      <c r="AO298" s="72">
        <f t="shared" si="2834"/>
        <v>17.536827299804681</v>
      </c>
      <c r="AP298" s="72">
        <f t="shared" si="2834"/>
        <v>17.975247982299798</v>
      </c>
      <c r="AQ298" s="72">
        <f t="shared" si="2834"/>
        <v>18.424629181857291</v>
      </c>
      <c r="AR298" s="72">
        <f t="shared" si="2834"/>
        <v>18.885244911403721</v>
      </c>
      <c r="AS298" s="8"/>
      <c r="AT298" s="70">
        <f t="shared" ref="AT298:BB298" si="2835">IF(ISERROR(AT267/AT268),"n.a.",AT267/AT268)</f>
        <v>20.452789485991968</v>
      </c>
      <c r="AU298" s="70">
        <f t="shared" si="2835"/>
        <v>21.661984406298686</v>
      </c>
      <c r="AV298" s="70">
        <f t="shared" si="2835"/>
        <v>19.555757575757575</v>
      </c>
      <c r="AW298" s="70">
        <f t="shared" si="2835"/>
        <v>20.662258064516131</v>
      </c>
      <c r="AX298" s="70">
        <f t="shared" si="2835"/>
        <v>22.847096774193549</v>
      </c>
      <c r="AY298" s="70">
        <f t="shared" si="2835"/>
        <v>32.479032258064514</v>
      </c>
      <c r="AZ298" s="70">
        <f t="shared" si="2835"/>
        <v>30.890999999999998</v>
      </c>
      <c r="BA298" s="70">
        <f t="shared" si="2835"/>
        <v>29.69206896551724</v>
      </c>
      <c r="BB298" s="70">
        <f t="shared" si="2835"/>
        <v>27.164848484848484</v>
      </c>
      <c r="BC298" s="70">
        <f t="shared" ref="BC298:BH298" si="2836">IF(ISERROR(BC267/BC268),"n.a.",BC267/BC268)</f>
        <v>25.479426479560708</v>
      </c>
      <c r="BD298" s="70">
        <f t="shared" si="2836"/>
        <v>21.459661016949152</v>
      </c>
      <c r="BE298" s="70">
        <f t="shared" si="2836"/>
        <v>18.994399999999999</v>
      </c>
      <c r="BF298" s="70">
        <f t="shared" si="2836"/>
        <v>21.860506329113925</v>
      </c>
      <c r="BG298" s="70">
        <f t="shared" si="2836"/>
        <v>15.048191489361702</v>
      </c>
      <c r="BH298" s="70">
        <f t="shared" si="2836"/>
        <v>13.840816326530613</v>
      </c>
      <c r="BI298" s="71">
        <f t="shared" ref="BI298" si="2837">IF(ISERROR(BI267/BI268),"n.a.",BI267/BI268)</f>
        <v>13.869</v>
      </c>
      <c r="BJ298" s="70">
        <f t="shared" ref="BJ298:BK298" si="2838">IF(ISERROR(BJ267/BJ268),"n.a.",BJ267/BJ268)</f>
        <v>15.5</v>
      </c>
      <c r="BK298" s="70">
        <f t="shared" si="2838"/>
        <v>16.284687499999997</v>
      </c>
      <c r="BL298" s="70">
        <f t="shared" ref="BL298" si="2839">IF(ISERROR(BL267/BL268),"n.a.",BL267/BL268)</f>
        <v>17.109099804687496</v>
      </c>
      <c r="BM298" s="70">
        <f t="shared" ref="BM298" si="2840">IF(ISERROR(BM267/BM268),"n.a.",BM267/BM268)</f>
        <v>17.975247982299798</v>
      </c>
      <c r="BN298" s="70">
        <f t="shared" ref="BN298" si="2841">IF(ISERROR(BN267/BN268),"n.a.",BN267/BN268)</f>
        <v>18.885244911403721</v>
      </c>
    </row>
    <row r="299" spans="1:66" ht="12" customHeight="1" outlineLevel="1">
      <c r="B299" s="1" t="s">
        <v>27</v>
      </c>
      <c r="C299" s="28">
        <f t="shared" ref="C299:Q299" si="2842">(C587*C541+C655*C611)/(C541+C611)</f>
        <v>0.27009810791871058</v>
      </c>
      <c r="D299" s="28">
        <f t="shared" si="2842"/>
        <v>0.30447121820615797</v>
      </c>
      <c r="E299" s="28">
        <f t="shared" si="2842"/>
        <v>0.28018787361229719</v>
      </c>
      <c r="F299" s="28">
        <f t="shared" si="2842"/>
        <v>0.28057777777777776</v>
      </c>
      <c r="G299" s="28">
        <f t="shared" si="2842"/>
        <v>0.27492677824267786</v>
      </c>
      <c r="H299" s="28">
        <f t="shared" si="2842"/>
        <v>0.30705611068408917</v>
      </c>
      <c r="I299" s="28">
        <f t="shared" si="2842"/>
        <v>0.31718961625282172</v>
      </c>
      <c r="J299" s="28">
        <f t="shared" si="2842"/>
        <v>0.30665740740740738</v>
      </c>
      <c r="K299" s="28">
        <f t="shared" si="2842"/>
        <v>0.28855831037649221</v>
      </c>
      <c r="L299" s="28">
        <f t="shared" si="2842"/>
        <v>0.31543895747599454</v>
      </c>
      <c r="M299" s="28">
        <f t="shared" si="2842"/>
        <v>0.27309688581314884</v>
      </c>
      <c r="N299" s="28">
        <f t="shared" si="2842"/>
        <v>0.29779661016949149</v>
      </c>
      <c r="O299" s="28">
        <f t="shared" si="2842"/>
        <v>0.28262262916939174</v>
      </c>
      <c r="P299" s="28">
        <f t="shared" si="2842"/>
        <v>0.28613275613275613</v>
      </c>
      <c r="Q299" s="28">
        <f t="shared" si="2842"/>
        <v>0.26892702475835001</v>
      </c>
      <c r="R299" s="163">
        <f>((706-42-274)*43%+((841+815)-(293+47+115+415))*20%+(587-99-192)*30%)/R250</f>
        <v>0.28277511961722485</v>
      </c>
      <c r="S299" s="163">
        <f>((299)*43%+(446+268)*20%+(301)*30%)/S250</f>
        <v>0.27378501135503408</v>
      </c>
      <c r="T299" s="163">
        <f>((815-299)*(43%+(21%-35%)/2)+(864+645-(446+268))*20%+(571-301)*30%)/(T250+T259)</f>
        <v>0.26929791271347248</v>
      </c>
      <c r="U299" s="321">
        <f>((576)*(43%+(21%-35%))+(458+447)*20%+(378)*30%)/(U250+U259)</f>
        <v>0.2150232991612302</v>
      </c>
      <c r="V299" s="321">
        <f>((1528-576)*(43%+(21%-35%))+((821+885)-(458+447))*20%+(657-378)*30%)/(V250+V259)</f>
        <v>0.22686736474694597</v>
      </c>
      <c r="W299" s="321">
        <f>((851)*(43%+(21%-35%))+(480+696)*20%+(447)*30%)/(W250+W259)</f>
        <v>0.28575602968460112</v>
      </c>
      <c r="X299" s="321">
        <f>((1343-851)*(43%+(21%-35%))+((1057+1097)-(480+696))*20%+(936-447)*30%)/(X250+X259)</f>
        <v>0.29058118633912522</v>
      </c>
      <c r="Y299" s="321">
        <f>((753)*(43%+(21%-35%))+(330+664)*20%+(382)*30%)/(Y250+Y259)</f>
        <v>0.24977454203851579</v>
      </c>
      <c r="Z299" s="321">
        <f>((1941-753)*(43%+(21%-35%))+((716+1217)-(330+664))*20%+(809-382)*30%)/(Z250+Z259)</f>
        <v>0.2585826155050901</v>
      </c>
      <c r="AA299" s="321">
        <f>((796)*(43%+(21%-35%))+(376+1118)*20%+(445)*30%)/(AA250+AA259)</f>
        <v>0.2424643510054845</v>
      </c>
      <c r="AB299" s="321">
        <f>((2368-796)*(43%+(21%-35%))+((771+2149)-(376+1118))*20%+(886-445)*30%)/(AB250+AB259)</f>
        <v>0.25396336144227971</v>
      </c>
      <c r="AC299" s="321">
        <f>((1447)*(43%+(21%-35%))+(432+785)*20%+(593)*30%)/(AC250+AC259)</f>
        <v>0.25954629629629633</v>
      </c>
      <c r="AD299" s="321">
        <f>((3838-1447)*(43%+(21%-35%))+((811+2670)-(432+785))*20%+(1369-593)*30%)/(AD250+AD259)</f>
        <v>0.25311857562408224</v>
      </c>
      <c r="AE299" s="321">
        <f>((868)*(43%+(21%-35%))+(370+1089)*20%+(603)*30%)/(AE250+AE259)</f>
        <v>0.24724232081911263</v>
      </c>
      <c r="AF299" s="321">
        <f>((2255-868)*(43%+(21%-35%))+((725+2194)-(370+1089))*20%+(1129-603)*30%)/(AF250+AF259)</f>
        <v>0.25260302401423063</v>
      </c>
      <c r="AG299" s="321">
        <f>((913)*(43%+(21%-35%))+(325+1945)*20%+(706)*30%)/(AG250+AG259)</f>
        <v>0.32099689548120042</v>
      </c>
      <c r="AH299" s="560">
        <f>((913)*(43%+(21%-35%))+(325+1945)*20%+(706)*30%)/(AH250+AH259)</f>
        <v>0.29730670926517572</v>
      </c>
      <c r="AI299" s="510">
        <f t="shared" ref="AI299" si="2843">AH299</f>
        <v>0.29730670926517572</v>
      </c>
      <c r="AJ299" s="36">
        <f t="shared" ref="AJ299" si="2844">AI299</f>
        <v>0.29730670926517572</v>
      </c>
      <c r="AK299" s="36">
        <f t="shared" ref="AK299:AK300" si="2845">AJ299</f>
        <v>0.29730670926517572</v>
      </c>
      <c r="AL299" s="36">
        <f t="shared" ref="AL299:AL300" si="2846">AK299</f>
        <v>0.29730670926517572</v>
      </c>
      <c r="AM299" s="36">
        <f t="shared" ref="AM299:AM300" si="2847">AL299</f>
        <v>0.29730670926517572</v>
      </c>
      <c r="AN299" s="36">
        <f t="shared" ref="AN299:AN300" si="2848">AM299</f>
        <v>0.29730670926517572</v>
      </c>
      <c r="AO299" s="36">
        <f t="shared" ref="AO299:AO300" si="2849">AN299</f>
        <v>0.29730670926517572</v>
      </c>
      <c r="AP299" s="36">
        <f t="shared" ref="AP299:AP300" si="2850">AO299</f>
        <v>0.29730670926517572</v>
      </c>
      <c r="AQ299" s="36">
        <f t="shared" ref="AQ299:AQ300" si="2851">AP299</f>
        <v>0.29730670926517572</v>
      </c>
      <c r="AR299" s="36">
        <f t="shared" ref="AR299:AR300" si="2852">AQ299</f>
        <v>0.29730670926517572</v>
      </c>
      <c r="AT299" s="44">
        <f>(C299*C250+D299*D250)/AT250</f>
        <v>0.28767887709688461</v>
      </c>
      <c r="AU299" s="44">
        <f>(E299*E250+F299*F250)/AU250</f>
        <v>0.28041150764748723</v>
      </c>
      <c r="AV299" s="44">
        <f>(G299*G250+H299*H250)/AV250</f>
        <v>0.29344705361098805</v>
      </c>
      <c r="AW299" s="44">
        <f>(I299*I250+J299*J250)/AW250</f>
        <v>0.31140386571719231</v>
      </c>
      <c r="AX299" s="44">
        <f>(K299*K250+L299*L250)/AX250</f>
        <v>0.30394581861012959</v>
      </c>
      <c r="AY299" s="44">
        <f>(M299*M250+N299*N250)/AY250</f>
        <v>0.28740996726082207</v>
      </c>
      <c r="AZ299" s="44">
        <f>(O299*O250+P299*P250)/AZ250</f>
        <v>0.28429159519725555</v>
      </c>
      <c r="BA299" s="44">
        <f>(Q299*Q250+R299*R250)/BA250</f>
        <v>0.27579940019204535</v>
      </c>
      <c r="BB299" s="44">
        <f>(S299*S250+T299*T250)/BB250</f>
        <v>0.27133694171433342</v>
      </c>
      <c r="BC299" s="44">
        <f>(U299*U250+V299*V250)/BC250</f>
        <v>0.22112163062992418</v>
      </c>
      <c r="BD299" s="44">
        <f>(W299*W250+X299*X250)/BD250</f>
        <v>0.28786954882337962</v>
      </c>
      <c r="BE299" s="44">
        <f>(Y299*Y250+Z299*Z250)/BE250</f>
        <v>0.25457209894164345</v>
      </c>
      <c r="BF299" s="44">
        <f>(AA299*AA250+AB299*AB250)/BF250</f>
        <v>0.24881030109279179</v>
      </c>
      <c r="BG299" s="44">
        <f>(AC299*AC250+AD299*AD250)/BG250</f>
        <v>0.25550694171990668</v>
      </c>
      <c r="BH299" s="44">
        <f>(AE299*AE250+AF299*AF250)/BH250</f>
        <v>0.25011939546970346</v>
      </c>
      <c r="BI299" s="49">
        <f>(AF299*AF250+AG299*AG250)/BI250</f>
        <v>0.29678416018658665</v>
      </c>
      <c r="BJ299" s="44">
        <f>(AG299*AG250+AH299*AH250)/BJ250</f>
        <v>0.27924749034670904</v>
      </c>
      <c r="BK299" s="44">
        <f>(AI299*AI250+AJ299*AJ250)/BK250</f>
        <v>0.27982094142949032</v>
      </c>
      <c r="BL299" s="44">
        <f>(AJ299*AJ250+AK299*AK250)/BL250</f>
        <v>0.28399928071961678</v>
      </c>
      <c r="BM299" s="44">
        <f>(AK299*AK250+AL299*AL250)/BM250</f>
        <v>0.26908233211492499</v>
      </c>
      <c r="BN299" s="44">
        <f>(AM299*AM250+AN299*AN250)/BN250</f>
        <v>0.27375226209961112</v>
      </c>
    </row>
    <row r="300" spans="1:66" ht="12" customHeight="1" outlineLevel="1">
      <c r="A300" s="91" t="s">
        <v>1542</v>
      </c>
      <c r="B300" s="1" t="s">
        <v>28</v>
      </c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>
        <f t="shared" ref="AC300:AG300" si="2853">-AC262/SUM(AC256,AC261)</f>
        <v>0.22700000000000001</v>
      </c>
      <c r="AD300" s="33">
        <f t="shared" si="2853"/>
        <v>0.22542689088664078</v>
      </c>
      <c r="AE300" s="33">
        <f t="shared" si="2853"/>
        <v>0.24150000000000002</v>
      </c>
      <c r="AF300" s="33">
        <f t="shared" si="2853"/>
        <v>0.23039513451828691</v>
      </c>
      <c r="AG300" s="33">
        <f t="shared" si="2853"/>
        <v>0.26</v>
      </c>
      <c r="AH300" s="33">
        <f>-AH262/SUM(AH256,AH261)</f>
        <v>0.17938795284705583</v>
      </c>
      <c r="AI300" s="32">
        <f>AH300</f>
        <v>0.17938795284705583</v>
      </c>
      <c r="AJ300" s="33">
        <f>AI300</f>
        <v>0.17938795284705583</v>
      </c>
      <c r="AK300" s="33">
        <f t="shared" si="2845"/>
        <v>0.17938795284705583</v>
      </c>
      <c r="AL300" s="33">
        <f t="shared" si="2846"/>
        <v>0.17938795284705583</v>
      </c>
      <c r="AM300" s="33">
        <f t="shared" si="2847"/>
        <v>0.17938795284705583</v>
      </c>
      <c r="AN300" s="33">
        <f t="shared" si="2848"/>
        <v>0.17938795284705583</v>
      </c>
      <c r="AO300" s="33">
        <f t="shared" si="2849"/>
        <v>0.17938795284705583</v>
      </c>
      <c r="AP300" s="33">
        <f t="shared" si="2850"/>
        <v>0.17938795284705583</v>
      </c>
      <c r="AQ300" s="33">
        <f t="shared" si="2851"/>
        <v>0.17938795284705583</v>
      </c>
      <c r="AR300" s="33">
        <f t="shared" si="2852"/>
        <v>0.17938795284705583</v>
      </c>
      <c r="AT300" s="33"/>
      <c r="AU300" s="33"/>
      <c r="AV300" s="33"/>
      <c r="AW300" s="33"/>
      <c r="AX300" s="33"/>
      <c r="AY300" s="33"/>
      <c r="AZ300" s="33"/>
      <c r="BA300" s="33"/>
      <c r="BB300" s="33"/>
      <c r="BC300" s="33"/>
      <c r="BD300" s="33"/>
      <c r="BE300" s="33"/>
      <c r="BF300" s="33"/>
      <c r="BG300" s="33"/>
      <c r="BH300" s="33"/>
      <c r="BI300" s="32"/>
      <c r="BJ300" s="33"/>
      <c r="BK300" s="33"/>
      <c r="BL300" s="33"/>
      <c r="BM300" s="33"/>
      <c r="BN300" s="33"/>
    </row>
    <row r="301" spans="1:66" ht="12" customHeight="1" outlineLevel="1">
      <c r="B301" s="1" t="s">
        <v>70</v>
      </c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157"/>
      <c r="N301" s="157"/>
      <c r="O301" s="157"/>
      <c r="P301" s="157"/>
      <c r="Q301" s="157"/>
      <c r="R301" s="157"/>
      <c r="S301" s="157"/>
      <c r="T301" s="157"/>
      <c r="U301" s="157"/>
      <c r="V301" s="157"/>
      <c r="W301" s="157"/>
      <c r="X301" s="157"/>
      <c r="Y301" s="157"/>
      <c r="Z301" s="157"/>
      <c r="AA301" s="157"/>
      <c r="AB301" s="157"/>
      <c r="AC301" s="157"/>
      <c r="AD301" s="157"/>
      <c r="AE301" s="157"/>
      <c r="AF301" s="157"/>
      <c r="AG301" s="157"/>
      <c r="AH301" s="157"/>
      <c r="AI301" s="158"/>
      <c r="AJ301" s="68"/>
      <c r="AK301" s="68"/>
      <c r="AL301" s="68"/>
      <c r="AM301" s="68"/>
      <c r="AN301" s="68"/>
      <c r="AO301" s="68"/>
      <c r="AP301" s="68"/>
      <c r="AQ301" s="68"/>
      <c r="AR301" s="68"/>
      <c r="AS301" s="8"/>
      <c r="AT301" s="44"/>
      <c r="AU301" s="44"/>
      <c r="AV301" s="44"/>
      <c r="AW301" s="44"/>
      <c r="AX301" s="44"/>
      <c r="AY301" s="44"/>
      <c r="AZ301" s="44"/>
      <c r="BA301" s="44"/>
      <c r="BB301" s="44"/>
      <c r="BC301" s="44"/>
      <c r="BD301" s="44"/>
      <c r="BE301" s="44"/>
      <c r="BF301" s="44"/>
      <c r="BG301" s="44"/>
      <c r="BH301" s="44"/>
      <c r="BI301" s="49"/>
      <c r="BJ301" s="44"/>
      <c r="BK301" s="44"/>
      <c r="BL301" s="44"/>
      <c r="BM301" s="44"/>
      <c r="BN301" s="44"/>
    </row>
    <row r="302" spans="1:66" ht="12" customHeight="1" outlineLevel="1">
      <c r="B302" s="1" t="s">
        <v>69</v>
      </c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  <c r="AA302" s="37"/>
      <c r="AB302" s="37"/>
      <c r="AC302" s="37">
        <f t="shared" ref="AC302:AG302" si="2854">AC$263/AVERAGE(AB$267:AC$267)*AC$5</f>
        <v>9.8784523577544487E-3</v>
      </c>
      <c r="AD302" s="37">
        <f t="shared" si="2854"/>
        <v>2.5066078333658929E-2</v>
      </c>
      <c r="AE302" s="37">
        <f t="shared" si="2854"/>
        <v>9.9031785051968777E-3</v>
      </c>
      <c r="AF302" s="37">
        <f t="shared" si="2854"/>
        <v>1.5594774456651406E-2</v>
      </c>
      <c r="AG302" s="37">
        <f t="shared" si="2854"/>
        <v>1.0328982423884074E-2</v>
      </c>
      <c r="AH302" s="37">
        <f>AH$263/AVERAGE(AG$267:AH$267)*AH$5</f>
        <v>1.0750455155059697E-2</v>
      </c>
      <c r="AI302" s="38">
        <f t="shared" ref="AI302:AR302" si="2855">AI$263/AVERAGE(AH$267:AI$267)*AI$5</f>
        <v>7.505313503024919E-3</v>
      </c>
      <c r="AJ302" s="37">
        <f t="shared" si="2855"/>
        <v>1.268871719410279E-2</v>
      </c>
      <c r="AK302" s="37">
        <f t="shared" si="2855"/>
        <v>8.4165226840832181E-3</v>
      </c>
      <c r="AL302" s="37">
        <f t="shared" si="2855"/>
        <v>9.7317534189822474E-3</v>
      </c>
      <c r="AM302" s="37">
        <f t="shared" si="2855"/>
        <v>8.0460401081790846E-3</v>
      </c>
      <c r="AN302" s="37">
        <f t="shared" si="2855"/>
        <v>1.0119748800118601E-2</v>
      </c>
      <c r="AO302" s="37">
        <f t="shared" si="2855"/>
        <v>8.0740523401903377E-3</v>
      </c>
      <c r="AP302" s="37">
        <f t="shared" si="2855"/>
        <v>1.0261126508820061E-2</v>
      </c>
      <c r="AQ302" s="37">
        <f t="shared" si="2855"/>
        <v>8.5177609329199783E-3</v>
      </c>
      <c r="AR302" s="37">
        <f t="shared" si="2855"/>
        <v>1.0228202246353211E-2</v>
      </c>
      <c r="AS302" s="37"/>
      <c r="AT302" s="37"/>
      <c r="AU302" s="37"/>
      <c r="AV302" s="37"/>
      <c r="AW302" s="37"/>
      <c r="AX302" s="37"/>
      <c r="AY302" s="37"/>
      <c r="AZ302" s="37"/>
      <c r="BA302" s="37"/>
      <c r="BB302" s="37"/>
      <c r="BC302" s="37"/>
      <c r="BD302" s="37"/>
      <c r="BE302" s="37"/>
      <c r="BF302" s="37"/>
      <c r="BG302" s="37"/>
      <c r="BH302" s="37"/>
      <c r="BI302" s="38"/>
      <c r="BJ302" s="37"/>
      <c r="BK302" s="37"/>
      <c r="BL302" s="37"/>
      <c r="BM302" s="37"/>
      <c r="BN302" s="37"/>
    </row>
    <row r="303" spans="1:66" ht="12" customHeight="1" outlineLevel="1">
      <c r="A303" s="91" t="s">
        <v>1543</v>
      </c>
      <c r="B303" s="1" t="s">
        <v>26</v>
      </c>
      <c r="C303" s="28"/>
      <c r="D303" s="28"/>
      <c r="E303" s="28"/>
      <c r="F303" s="28"/>
      <c r="G303" s="28"/>
      <c r="H303" s="28"/>
      <c r="I303" s="28"/>
      <c r="J303" s="28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  <c r="AA303" s="44"/>
      <c r="AB303" s="44"/>
      <c r="AC303" s="50">
        <f t="shared" ref="AC303:AG303" si="2856">AC$263/AVERAGE(AB$268:AC$268)*AC$5</f>
        <v>0.24962665037504667</v>
      </c>
      <c r="AD303" s="50">
        <f t="shared" si="2856"/>
        <v>0.53493147477522496</v>
      </c>
      <c r="AE303" s="50">
        <f t="shared" si="2856"/>
        <v>0.14656914893617021</v>
      </c>
      <c r="AF303" s="50">
        <f t="shared" si="2856"/>
        <v>0.22127604166666662</v>
      </c>
      <c r="AG303" s="50">
        <f t="shared" si="2856"/>
        <v>0.14577408832385413</v>
      </c>
      <c r="AH303" s="50">
        <f>AH$263/AVERAGE(AG$268:AH$268)*AH$5</f>
        <v>0.15171373098055785</v>
      </c>
      <c r="AI303" s="51">
        <f t="shared" ref="AI303:AR303" si="2857">AI$263/AVERAGE(AH$268:AI$268)*AI$5</f>
        <v>0.10818574355971892</v>
      </c>
      <c r="AJ303" s="50">
        <f t="shared" si="2857"/>
        <v>0.19316842728913969</v>
      </c>
      <c r="AK303" s="50">
        <f t="shared" si="2857"/>
        <v>0.13211108340532404</v>
      </c>
      <c r="AL303" s="50">
        <f t="shared" si="2857"/>
        <v>0.15657054696439893</v>
      </c>
      <c r="AM303" s="50">
        <f t="shared" si="2857"/>
        <v>0.1326779968311915</v>
      </c>
      <c r="AN303" s="50">
        <f t="shared" si="2857"/>
        <v>0.17104157935607545</v>
      </c>
      <c r="AO303" s="50">
        <f t="shared" si="2857"/>
        <v>0.13987447145989235</v>
      </c>
      <c r="AP303" s="50">
        <f t="shared" si="2857"/>
        <v>0.1822064642917291</v>
      </c>
      <c r="AQ303" s="50">
        <f t="shared" si="2857"/>
        <v>0.15503015361577721</v>
      </c>
      <c r="AR303" s="50">
        <f t="shared" si="2857"/>
        <v>0.19081601196467374</v>
      </c>
      <c r="AS303" s="50"/>
      <c r="AT303" s="44"/>
      <c r="AU303" s="44"/>
      <c r="AV303" s="44"/>
      <c r="AW303" s="44"/>
      <c r="AX303" s="44"/>
      <c r="AY303" s="44"/>
      <c r="AZ303" s="44"/>
      <c r="BA303" s="44"/>
      <c r="BB303" s="44"/>
      <c r="BC303" s="44"/>
      <c r="BD303" s="44"/>
      <c r="BE303" s="44"/>
      <c r="BF303" s="44"/>
      <c r="BG303" s="44"/>
      <c r="BH303" s="44"/>
      <c r="BI303" s="49"/>
      <c r="BJ303" s="44"/>
      <c r="BK303" s="44"/>
      <c r="BL303" s="44"/>
      <c r="BM303" s="44"/>
      <c r="BN303" s="44"/>
    </row>
    <row r="304" spans="1:66" ht="12" customHeight="1"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20"/>
      <c r="AJ304" s="19"/>
      <c r="AK304" s="19"/>
      <c r="AL304" s="19"/>
      <c r="AM304" s="19"/>
      <c r="AN304" s="19"/>
      <c r="AO304" s="19"/>
      <c r="AP304" s="19"/>
      <c r="AQ304" s="19"/>
      <c r="AR304" s="19"/>
      <c r="AY304" s="33"/>
    </row>
    <row r="305" spans="1:67" s="9" customFormat="1" ht="12" customHeight="1">
      <c r="A305" s="91"/>
      <c r="B305" s="2" t="s">
        <v>47</v>
      </c>
      <c r="C305" s="93">
        <f>C332</f>
        <v>-123</v>
      </c>
      <c r="D305" s="93">
        <f t="shared" ref="D305:BB305" si="2858">D332</f>
        <v>67</v>
      </c>
      <c r="E305" s="93">
        <f t="shared" si="2858"/>
        <v>44</v>
      </c>
      <c r="F305" s="93">
        <f t="shared" si="2858"/>
        <v>170</v>
      </c>
      <c r="G305" s="93">
        <f t="shared" si="2858"/>
        <v>8</v>
      </c>
      <c r="H305" s="93">
        <f t="shared" si="2858"/>
        <v>77</v>
      </c>
      <c r="I305" s="93">
        <f t="shared" si="2858"/>
        <v>10</v>
      </c>
      <c r="J305" s="93">
        <f t="shared" si="2858"/>
        <v>140</v>
      </c>
      <c r="K305" s="93">
        <f t="shared" ref="K305" si="2859">K332</f>
        <v>101</v>
      </c>
      <c r="L305" s="93">
        <f t="shared" si="2858"/>
        <v>179</v>
      </c>
      <c r="M305" s="93">
        <f t="shared" ref="M305:N305" si="2860">M332</f>
        <v>150</v>
      </c>
      <c r="N305" s="93">
        <f t="shared" si="2860"/>
        <v>280</v>
      </c>
      <c r="O305" s="93">
        <f t="shared" ref="O305:P305" si="2861">O332</f>
        <v>170</v>
      </c>
      <c r="P305" s="93">
        <f t="shared" si="2861"/>
        <v>281</v>
      </c>
      <c r="Q305" s="93">
        <f t="shared" ref="Q305:R305" si="2862">Q332</f>
        <v>205</v>
      </c>
      <c r="R305" s="93">
        <f t="shared" si="2862"/>
        <v>278</v>
      </c>
      <c r="S305" s="93">
        <f t="shared" ref="S305:T305" si="2863">S332</f>
        <v>199</v>
      </c>
      <c r="T305" s="93">
        <f t="shared" si="2863"/>
        <v>517</v>
      </c>
      <c r="U305" s="93">
        <f t="shared" ref="U305:V305" si="2864">U332</f>
        <v>509</v>
      </c>
      <c r="V305" s="93">
        <f t="shared" si="2864"/>
        <v>1265</v>
      </c>
      <c r="W305" s="93">
        <f t="shared" ref="W305:X305" si="2865">W332</f>
        <v>221</v>
      </c>
      <c r="X305" s="93">
        <f t="shared" si="2865"/>
        <v>542</v>
      </c>
      <c r="Y305" s="93">
        <f t="shared" ref="Y305:Z305" si="2866">Y332</f>
        <v>-189</v>
      </c>
      <c r="Z305" s="93">
        <f t="shared" si="2866"/>
        <v>840</v>
      </c>
      <c r="AA305" s="93">
        <f t="shared" ref="AA305:AB305" si="2867">AA332</f>
        <v>676</v>
      </c>
      <c r="AB305" s="93">
        <f t="shared" si="2867"/>
        <v>845</v>
      </c>
      <c r="AC305" s="93">
        <f t="shared" ref="AC305:AD305" si="2868">AC332</f>
        <v>595</v>
      </c>
      <c r="AD305" s="93">
        <f t="shared" si="2868"/>
        <v>206</v>
      </c>
      <c r="AE305" s="93">
        <f t="shared" ref="AE305:AF305" si="2869">AE332</f>
        <v>430</v>
      </c>
      <c r="AF305" s="93">
        <f t="shared" si="2869"/>
        <v>621</v>
      </c>
      <c r="AG305" s="93">
        <f t="shared" ref="AG305:AH305" si="2870">AG332</f>
        <v>371</v>
      </c>
      <c r="AH305" s="93">
        <f t="shared" si="2870"/>
        <v>672</v>
      </c>
      <c r="AI305" s="94">
        <f t="shared" ref="AI305:AJ305" si="2871">AI332</f>
        <v>711</v>
      </c>
      <c r="AJ305" s="93">
        <f t="shared" si="2871"/>
        <v>708.5964200669232</v>
      </c>
      <c r="AK305" s="93">
        <f t="shared" ref="AK305:AL305" si="2872">AK332</f>
        <v>766.25634906960477</v>
      </c>
      <c r="AL305" s="93">
        <f t="shared" si="2872"/>
        <v>798.66709126777573</v>
      </c>
      <c r="AM305" s="93">
        <f t="shared" ref="AM305:AN305" si="2873">AM332</f>
        <v>856.10766751963342</v>
      </c>
      <c r="AN305" s="93">
        <f t="shared" si="2873"/>
        <v>908.90067068144504</v>
      </c>
      <c r="AO305" s="93">
        <f t="shared" ref="AO305:AP305" si="2874">AO332</f>
        <v>976.42400079754634</v>
      </c>
      <c r="AP305" s="93">
        <f t="shared" si="2874"/>
        <v>1028.498933661306</v>
      </c>
      <c r="AQ305" s="93">
        <f t="shared" ref="AQ305:AR305" si="2875">AQ332</f>
        <v>1094.2435792758909</v>
      </c>
      <c r="AR305" s="93">
        <f t="shared" si="2875"/>
        <v>1141.2205054788387</v>
      </c>
      <c r="AS305" s="93"/>
      <c r="AT305" s="93">
        <f t="shared" ref="AT305:AV305" si="2876">AT332</f>
        <v>-56</v>
      </c>
      <c r="AU305" s="93">
        <f t="shared" si="2876"/>
        <v>214</v>
      </c>
      <c r="AV305" s="93">
        <f t="shared" si="2876"/>
        <v>85</v>
      </c>
      <c r="AW305" s="93">
        <f t="shared" si="2858"/>
        <v>150</v>
      </c>
      <c r="AX305" s="93">
        <f t="shared" si="2858"/>
        <v>280</v>
      </c>
      <c r="AY305" s="93">
        <f t="shared" si="2858"/>
        <v>430</v>
      </c>
      <c r="AZ305" s="93">
        <f t="shared" si="2858"/>
        <v>451</v>
      </c>
      <c r="BA305" s="93">
        <f t="shared" si="2858"/>
        <v>483</v>
      </c>
      <c r="BB305" s="93">
        <f t="shared" si="2858"/>
        <v>716</v>
      </c>
      <c r="BC305" s="93">
        <f t="shared" ref="BC305" si="2877">BC332</f>
        <v>1774</v>
      </c>
      <c r="BD305" s="93">
        <f t="shared" ref="BD305:BI305" si="2878">BD332</f>
        <v>763</v>
      </c>
      <c r="BE305" s="93">
        <f t="shared" si="2878"/>
        <v>651</v>
      </c>
      <c r="BF305" s="93">
        <f t="shared" si="2878"/>
        <v>1521</v>
      </c>
      <c r="BG305" s="93">
        <f t="shared" si="2878"/>
        <v>801</v>
      </c>
      <c r="BH305" s="93">
        <f t="shared" si="2878"/>
        <v>1051</v>
      </c>
      <c r="BI305" s="94">
        <f t="shared" si="2878"/>
        <v>1043</v>
      </c>
      <c r="BJ305" s="93">
        <f t="shared" ref="BJ305:BK305" si="2879">BJ332</f>
        <v>1419.596420066923</v>
      </c>
      <c r="BK305" s="93">
        <f t="shared" si="2879"/>
        <v>1564.9234403373803</v>
      </c>
      <c r="BL305" s="93">
        <f t="shared" ref="BL305:BM305" si="2880">BL332</f>
        <v>1765.0083382010775</v>
      </c>
      <c r="BM305" s="93">
        <f t="shared" si="2880"/>
        <v>2004.9229344588523</v>
      </c>
      <c r="BN305" s="93">
        <f>BN332</f>
        <v>2235.4640847547298</v>
      </c>
    </row>
    <row r="306" spans="1:67" ht="12" customHeight="1" outlineLevel="1">
      <c r="C306" s="19"/>
      <c r="D306" s="19"/>
      <c r="E306" s="33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AI306" s="15"/>
      <c r="AJ306" s="19"/>
      <c r="AK306" s="19"/>
      <c r="AL306" s="19"/>
      <c r="AM306" s="19"/>
      <c r="AN306" s="19"/>
      <c r="AO306" s="19"/>
      <c r="AP306" s="19"/>
      <c r="AQ306" s="19"/>
      <c r="AR306" s="19"/>
    </row>
    <row r="307" spans="1:67" ht="12" customHeight="1" outlineLevel="1">
      <c r="B307" s="9" t="s">
        <v>40</v>
      </c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33"/>
      <c r="N307" s="33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20"/>
      <c r="AJ307" s="19"/>
      <c r="AK307" s="19"/>
      <c r="AL307" s="19"/>
      <c r="AM307" s="19"/>
      <c r="AN307" s="19"/>
      <c r="AO307" s="19"/>
      <c r="AP307" s="19"/>
      <c r="AQ307" s="19"/>
      <c r="AR307" s="19"/>
      <c r="BG307" s="34"/>
      <c r="BH307" s="34"/>
    </row>
    <row r="308" spans="1:67" s="9" customFormat="1" ht="12" customHeight="1" outlineLevel="1">
      <c r="A308" s="91" t="s">
        <v>1220</v>
      </c>
      <c r="B308" s="16" t="s">
        <v>6</v>
      </c>
      <c r="C308" s="22">
        <v>0</v>
      </c>
      <c r="D308" s="22">
        <v>0</v>
      </c>
      <c r="E308" s="22">
        <v>0</v>
      </c>
      <c r="F308" s="22">
        <v>0</v>
      </c>
      <c r="G308" s="22">
        <v>0</v>
      </c>
      <c r="H308" s="22">
        <v>0</v>
      </c>
      <c r="I308" s="22">
        <v>0</v>
      </c>
      <c r="J308" s="22">
        <v>0</v>
      </c>
      <c r="K308" s="22">
        <v>0</v>
      </c>
      <c r="L308" s="22">
        <f t="shared" ref="L308:M308" si="2881">IF(ISERROR(K308/AVERAGE(J342:K342)*AVERAGE(K342:L342)),0,K308/AVERAGE(J342:K342)*AVERAGE(K342:L342))</f>
        <v>0</v>
      </c>
      <c r="M308" s="22">
        <f t="shared" si="2881"/>
        <v>0</v>
      </c>
      <c r="N308" s="22">
        <f t="shared" ref="N308" si="2882">IF(ISERROR(M308/AVERAGE(L342:M342)*AVERAGE(M342:N342)),0,M308/AVERAGE(L342:M342)*AVERAGE(M342:N342))</f>
        <v>0</v>
      </c>
      <c r="O308" s="22">
        <f t="shared" ref="O308:T308" si="2883">IF(ISERROR(N308/AVERAGE(M342:N342)*AVERAGE(N342:O342)),0,N308/AVERAGE(M342:N342)*AVERAGE(N342:O342))</f>
        <v>0</v>
      </c>
      <c r="P308" s="22">
        <f t="shared" si="2883"/>
        <v>0</v>
      </c>
      <c r="Q308" s="22">
        <f t="shared" si="2883"/>
        <v>0</v>
      </c>
      <c r="R308" s="22">
        <f t="shared" si="2883"/>
        <v>0</v>
      </c>
      <c r="S308" s="22">
        <f t="shared" si="2883"/>
        <v>0</v>
      </c>
      <c r="T308" s="22">
        <f t="shared" si="2883"/>
        <v>0</v>
      </c>
      <c r="U308" s="63">
        <f>U342</f>
        <v>5200</v>
      </c>
      <c r="V308" s="63">
        <f>AVERAGE(U342:V342)</f>
        <v>4650</v>
      </c>
      <c r="W308" s="63">
        <f t="shared" ref="W308:AH308" si="2884">IF(ISERROR(V308/AVERAGE(U342:V342)*AVERAGE(V342:W342)),0,V308/AVERAGE(U342:V342)*AVERAGE(V342:W342))</f>
        <v>4150</v>
      </c>
      <c r="X308" s="63">
        <f t="shared" si="2884"/>
        <v>5450</v>
      </c>
      <c r="Y308" s="63">
        <f t="shared" si="2884"/>
        <v>6050</v>
      </c>
      <c r="Z308" s="63">
        <f t="shared" si="2884"/>
        <v>5700</v>
      </c>
      <c r="AA308" s="63">
        <f t="shared" si="2884"/>
        <v>7450</v>
      </c>
      <c r="AB308" s="63">
        <f t="shared" si="2884"/>
        <v>10400</v>
      </c>
      <c r="AC308" s="63">
        <f t="shared" si="2884"/>
        <v>13450</v>
      </c>
      <c r="AD308" s="63">
        <f t="shared" si="2884"/>
        <v>16050</v>
      </c>
      <c r="AE308" s="63">
        <f t="shared" si="2884"/>
        <v>17650</v>
      </c>
      <c r="AF308" s="63">
        <f t="shared" si="2884"/>
        <v>19000</v>
      </c>
      <c r="AG308" s="63">
        <f t="shared" si="2884"/>
        <v>20400</v>
      </c>
      <c r="AH308" s="63">
        <f t="shared" si="2884"/>
        <v>22550</v>
      </c>
      <c r="AI308" s="64">
        <f t="shared" ref="AI308" si="2885">IF(ISERROR(AH308/AVERAGE(AG342:AH342)*AVERAGE(AH342:AI342)),0,AH308/AVERAGE(AG342:AH342)*AVERAGE(AH342:AI342))</f>
        <v>23750</v>
      </c>
      <c r="AJ308" s="39">
        <f t="shared" ref="AJ308" si="2886">IF(ISERROR(AI308/AVERAGE(AH342:AI342)*AVERAGE(AI342:AJ342)),0,AI308/AVERAGE(AH342:AI342)*AVERAGE(AI342:AJ342))</f>
        <v>23751</v>
      </c>
      <c r="AK308" s="39">
        <f t="shared" ref="AK308" si="2887">IF(ISERROR(AJ308/AVERAGE(AI342:AJ342)*AVERAGE(AJ342:AK342)),0,AJ308/AVERAGE(AI342:AJ342)*AVERAGE(AJ342:AK342))</f>
        <v>24704.550000000003</v>
      </c>
      <c r="AL308" s="39">
        <f t="shared" ref="AL308" si="2888">IF(ISERROR(AK308/AVERAGE(AJ342:AK342)*AVERAGE(AK342:AL342)),0,AK308/AVERAGE(AJ342:AK342)*AVERAGE(AK342:AL342))</f>
        <v>26192.848500000004</v>
      </c>
      <c r="AM308" s="39">
        <f t="shared" ref="AM308" si="2889">IF(ISERROR(AL308/AVERAGE(AK342:AL342)*AVERAGE(AL342:AM342)),0,AL308/AVERAGE(AK342:AL342)*AVERAGE(AL342:AM342))</f>
        <v>27890.954910000008</v>
      </c>
      <c r="AN308" s="39">
        <f t="shared" ref="AN308" si="2890">IF(ISERROR(AM308/AVERAGE(AL342:AM342)*AVERAGE(AM342:AN342)),0,AM308/AVERAGE(AL342:AM342)*AVERAGE(AM342:AN342))</f>
        <v>29420.895640500006</v>
      </c>
      <c r="AO308" s="39">
        <f t="shared" ref="AO308" si="2891">IF(ISERROR(AN308/AVERAGE(AM342:AN342)*AVERAGE(AN342:AO342)),0,AN308/AVERAGE(AM342:AN342)*AVERAGE(AN342:AO342))</f>
        <v>30741.248030220013</v>
      </c>
      <c r="AP308" s="39">
        <f t="shared" ref="AP308" si="2892">IF(ISERROR(AO308/AVERAGE(AN342:AO342)*AVERAGE(AO342:AP342)),0,AO308/AVERAGE(AN342:AO342)*AVERAGE(AO342:AP342))</f>
        <v>31814.177863431614</v>
      </c>
      <c r="AQ308" s="39">
        <f t="shared" ref="AQ308" si="2893">IF(ISERROR(AP308/AVERAGE(AO342:AP342)*AVERAGE(AP342:AQ342)),0,AP308/AVERAGE(AO342:AP342)*AVERAGE(AP342:AQ342))</f>
        <v>32607.181508697446</v>
      </c>
      <c r="AR308" s="39">
        <f t="shared" ref="AR308" si="2894">IF(ISERROR(AQ308/AVERAGE(AP342:AQ342)*AVERAGE(AQ342:AR342)),0,AQ308/AVERAGE(AP342:AQ342)*AVERAGE(AQ342:AR342))</f>
        <v>33259.325138871391</v>
      </c>
      <c r="AS308" s="74"/>
      <c r="AT308" s="63">
        <f>SUMPRODUCT(C308:D308,C$5:D$5)/SUM(C$5:D$5)</f>
        <v>0</v>
      </c>
      <c r="AU308" s="63">
        <f>SUMPRODUCT(E308:F308,E$5:F$5)/SUM(E$5:F$5)</f>
        <v>0</v>
      </c>
      <c r="AV308" s="63">
        <f>SUMPRODUCT(G308:H308,G$5:H$5)/SUM(G$5:H$5)</f>
        <v>0</v>
      </c>
      <c r="AW308" s="63">
        <f>SUMPRODUCT(I308:J308,I$5:J$5)/SUM(I$5:J$5)</f>
        <v>0</v>
      </c>
      <c r="AX308" s="63">
        <f>SUMPRODUCT(K308:L308,K$5:L$5)/SUM(K$5:L$5)</f>
        <v>0</v>
      </c>
      <c r="AY308" s="63">
        <f>SUMPRODUCT(M308:N308,M$5:N$5)/SUM(M$5:N$5)</f>
        <v>0</v>
      </c>
      <c r="AZ308" s="63">
        <f>SUMPRODUCT(O308:P308,O$5:P$5)/SUM(O$5:P$5)</f>
        <v>0</v>
      </c>
      <c r="BA308" s="63">
        <f>SUMPRODUCT(Q308:R308,Q$5:R$5)/SUM(Q$5:R$5)</f>
        <v>0</v>
      </c>
      <c r="BB308" s="63">
        <f>SUMPRODUCT(S308:T308,S$5:T$5)/SUM(S$5:T$5)</f>
        <v>0</v>
      </c>
      <c r="BC308" s="63">
        <f>SUMPRODUCT(U308:V308,U$5:V$5)/SUM(U$5:V$5)</f>
        <v>4924.2465753424658</v>
      </c>
      <c r="BD308" s="63">
        <f>SUMPRODUCT(W308:X308,W$5:X$5)/SUM(W$5:X$5)</f>
        <v>4800</v>
      </c>
      <c r="BE308" s="63">
        <f>SUMPRODUCT(Y308:Z308,Y$5:Z$5)/SUM(Y$5:Z$5)</f>
        <v>5874.5205479452052</v>
      </c>
      <c r="BF308" s="63">
        <f>SUMPRODUCT(AA308:AB308,AA$5:AB$5)/SUM(AA$5:AB$5)</f>
        <v>8929.0410958904122</v>
      </c>
      <c r="BG308" s="63">
        <f>SUMPRODUCT(AC308:AD308,AC$5:AD$5)/SUM(AC$5:AD$5)</f>
        <v>14753.561643835617</v>
      </c>
      <c r="BH308" s="63">
        <f>SUMPRODUCT(AE308:AF308,AE$5:AF$5)/SUM(AE$5:AF$5)</f>
        <v>18325</v>
      </c>
      <c r="BI308" s="64">
        <f>SUMPRODUCT(AG308:AH308,AG$5:AH$5)/SUM(AG$5:AH$5)</f>
        <v>21477.945205479456</v>
      </c>
      <c r="BJ308" s="63">
        <f>SUMPRODUCT(AI308:AJ308,AI$5:AJ$5)/SUM(AI$5:AJ$5)</f>
        <v>23750.501369863014</v>
      </c>
      <c r="BK308" s="63">
        <f>SUMPRODUCT(AK308:AL308,AK$5:AL$5)/SUM(AK$5:AL$5)</f>
        <v>25450.738015068498</v>
      </c>
      <c r="BL308" s="63">
        <f>SUMPRODUCT(AM308:AN308,AM$5:AN$5)/SUM(AM$5:AN$5)</f>
        <v>28655.925275250007</v>
      </c>
      <c r="BM308" s="63">
        <f>SUMPRODUCT(AO308:AP308,AO$5:AP$5)/SUM(AO$5:AP$5)</f>
        <v>31279.182713720627</v>
      </c>
      <c r="BN308" s="63">
        <f>SUMPRODUCT(AQ308:AR308,AQ$5:AR$5)/SUM(AQ$5:AR$5)</f>
        <v>32934.146671223018</v>
      </c>
    </row>
    <row r="309" spans="1:67" ht="12" customHeight="1" outlineLevel="1">
      <c r="A309" s="91" t="s">
        <v>1221</v>
      </c>
      <c r="B309" s="1" t="s">
        <v>5</v>
      </c>
      <c r="C309" s="37" t="str">
        <f>IF(ISERROR(C310/C308),"n.a.",C310/C308*C$5)</f>
        <v>n.a.</v>
      </c>
      <c r="D309" s="37" t="str">
        <f t="shared" ref="D309:J309" si="2895">IF(ISERROR(D310/D308),"n.a.",D310/D308*D$5)</f>
        <v>n.a.</v>
      </c>
      <c r="E309" s="37" t="str">
        <f t="shared" si="2895"/>
        <v>n.a.</v>
      </c>
      <c r="F309" s="37" t="str">
        <f t="shared" si="2895"/>
        <v>n.a.</v>
      </c>
      <c r="G309" s="37" t="str">
        <f t="shared" si="2895"/>
        <v>n.a.</v>
      </c>
      <c r="H309" s="37" t="str">
        <f t="shared" si="2895"/>
        <v>n.a.</v>
      </c>
      <c r="I309" s="37" t="str">
        <f t="shared" si="2895"/>
        <v>n.a.</v>
      </c>
      <c r="J309" s="37" t="str">
        <f t="shared" si="2895"/>
        <v>n.a.</v>
      </c>
      <c r="K309" s="37" t="str">
        <f t="shared" ref="K309:L309" si="2896">IF(ISERROR(K310/K308),"n.a.",K310/K308*K$5)</f>
        <v>n.a.</v>
      </c>
      <c r="L309" s="37" t="str">
        <f t="shared" si="2896"/>
        <v>n.a.</v>
      </c>
      <c r="M309" s="37" t="str">
        <f t="shared" ref="M309" si="2897">IF(ISERROR(M310/M308),"n.a.",M310/M308*M$5)</f>
        <v>n.a.</v>
      </c>
      <c r="N309" s="37" t="str">
        <f t="shared" ref="N309:O309" si="2898">IF(ISERROR(N310/N308),"n.a.",N310/N308*N$5)</f>
        <v>n.a.</v>
      </c>
      <c r="O309" s="37" t="str">
        <f t="shared" si="2898"/>
        <v>n.a.</v>
      </c>
      <c r="P309" s="37" t="str">
        <f t="shared" ref="P309:Q309" si="2899">IF(ISERROR(P310/P308),"n.a.",P310/P308*P$5)</f>
        <v>n.a.</v>
      </c>
      <c r="Q309" s="37" t="str">
        <f t="shared" si="2899"/>
        <v>n.a.</v>
      </c>
      <c r="R309" s="37" t="str">
        <f t="shared" ref="R309:S309" si="2900">IF(ISERROR(R310/R308),"n.a.",R310/R308*R$5)</f>
        <v>n.a.</v>
      </c>
      <c r="S309" s="37" t="str">
        <f t="shared" si="2900"/>
        <v>n.a.</v>
      </c>
      <c r="T309" s="37" t="str">
        <f t="shared" ref="T309:U309" si="2901">IF(ISERROR(T310/T308),"n.a.",T310/T308*T$5)</f>
        <v>n.a.</v>
      </c>
      <c r="U309" s="470">
        <f t="shared" si="2901"/>
        <v>0</v>
      </c>
      <c r="V309" s="470">
        <f t="shared" ref="V309:W309" si="2902">IF(ISERROR(V310/V308),"n.a.",V310/V308*V$5)</f>
        <v>0</v>
      </c>
      <c r="W309" s="470">
        <f t="shared" si="2902"/>
        <v>0</v>
      </c>
      <c r="X309" s="470">
        <f t="shared" ref="X309" si="2903">IF(ISERROR(X310/X308),"n.a.",X310/X308*X$5)</f>
        <v>0</v>
      </c>
      <c r="Y309" s="470">
        <f t="shared" ref="Y309:Z309" si="2904">IF(ISERROR(Y310/Y308),"n.a.",Y310/Y308*Y$5)</f>
        <v>0</v>
      </c>
      <c r="Z309" s="470">
        <f t="shared" si="2904"/>
        <v>0</v>
      </c>
      <c r="AA309" s="470">
        <f t="shared" ref="AA309:AB309" si="2905">IF(ISERROR(AA310/AA308),"n.a.",AA310/AA308*AA$5)</f>
        <v>0</v>
      </c>
      <c r="AB309" s="470">
        <f t="shared" si="2905"/>
        <v>0</v>
      </c>
      <c r="AC309" s="470">
        <f t="shared" ref="AC309:AD309" si="2906">IF(ISERROR(AC310/AC308),"n.a.",AC310/AC308*AC$5)</f>
        <v>0</v>
      </c>
      <c r="AD309" s="470">
        <f t="shared" si="2906"/>
        <v>0</v>
      </c>
      <c r="AE309" s="470">
        <f t="shared" ref="AE309:AF309" si="2907">IF(ISERROR(AE310/AE308),"n.a.",AE310/AE308*AE$5)</f>
        <v>0</v>
      </c>
      <c r="AF309" s="470">
        <f t="shared" si="2907"/>
        <v>0</v>
      </c>
      <c r="AG309" s="470">
        <f t="shared" ref="AG309:AI309" si="2908">IF(ISERROR(AG310/AG308),"n.a.",AG310/AG308*AG$5)</f>
        <v>0</v>
      </c>
      <c r="AH309" s="470">
        <f t="shared" si="2908"/>
        <v>0</v>
      </c>
      <c r="AI309" s="471">
        <f t="shared" si="2908"/>
        <v>0</v>
      </c>
      <c r="AJ309" s="48">
        <f t="shared" ref="AJ309" si="2909">IF(ISERROR(AI309+AJ353),"n.a.",AI309+AJ353)</f>
        <v>0</v>
      </c>
      <c r="AK309" s="48">
        <f t="shared" ref="AK309" si="2910">IF(ISERROR(AJ309+AK353),"n.a.",AJ309+AK353)</f>
        <v>0</v>
      </c>
      <c r="AL309" s="48">
        <f t="shared" ref="AL309" si="2911">IF(ISERROR(AK309+AL353),"n.a.",AK309+AL353)</f>
        <v>0</v>
      </c>
      <c r="AM309" s="48">
        <f t="shared" ref="AM309" si="2912">IF(ISERROR(AL309+AM353),"n.a.",AL309+AM353)</f>
        <v>0</v>
      </c>
      <c r="AN309" s="48">
        <f t="shared" ref="AN309" si="2913">IF(ISERROR(AM309+AN353),"n.a.",AM309+AN353)</f>
        <v>0</v>
      </c>
      <c r="AO309" s="48">
        <f t="shared" ref="AO309" si="2914">IF(ISERROR(AN309+AO353),"n.a.",AN309+AO353)</f>
        <v>0</v>
      </c>
      <c r="AP309" s="48">
        <f t="shared" ref="AP309" si="2915">IF(ISERROR(AO309+AP353),"n.a.",AO309+AP353)</f>
        <v>0</v>
      </c>
      <c r="AQ309" s="48">
        <f t="shared" ref="AQ309" si="2916">IF(ISERROR(AP309+AQ353),"n.a.",AP309+AQ353)</f>
        <v>0</v>
      </c>
      <c r="AR309" s="48">
        <f t="shared" ref="AR309" si="2917">IF(ISERROR(AQ309+AR353),"n.a.",AQ309+AR353)</f>
        <v>0</v>
      </c>
      <c r="AS309" s="8"/>
      <c r="AT309" s="37" t="str">
        <f t="shared" ref="AT309:AW309" si="2918">IF(ISERROR(AT310/AT308),"n.a.",AT310/AT308*AT$5)</f>
        <v>n.a.</v>
      </c>
      <c r="AU309" s="37" t="str">
        <f t="shared" si="2918"/>
        <v>n.a.</v>
      </c>
      <c r="AV309" s="37" t="str">
        <f t="shared" si="2918"/>
        <v>n.a.</v>
      </c>
      <c r="AW309" s="37" t="str">
        <f t="shared" si="2918"/>
        <v>n.a.</v>
      </c>
      <c r="AX309" s="37" t="str">
        <f t="shared" ref="AX309:BC309" si="2919">IF(ISERROR(AX310/AX308),"n.a.",AX310/AX308*AX$5)</f>
        <v>n.a.</v>
      </c>
      <c r="AY309" s="37" t="str">
        <f t="shared" si="2919"/>
        <v>n.a.</v>
      </c>
      <c r="AZ309" s="37" t="str">
        <f t="shared" si="2919"/>
        <v>n.a.</v>
      </c>
      <c r="BA309" s="37" t="str">
        <f t="shared" si="2919"/>
        <v>n.a.</v>
      </c>
      <c r="BB309" s="37" t="str">
        <f t="shared" si="2919"/>
        <v>n.a.</v>
      </c>
      <c r="BC309" s="37">
        <f t="shared" si="2919"/>
        <v>0</v>
      </c>
      <c r="BD309" s="37">
        <f>IF(ISERROR(BD310/BD308),"n.a.",BD310/BD308*BD$5)</f>
        <v>0</v>
      </c>
      <c r="BE309" s="37">
        <f>IF(ISERROR(BE310/BE308),"n.a.",BE310/BE308*BE$5)</f>
        <v>0</v>
      </c>
      <c r="BF309" s="37">
        <f>IF(ISERROR(BF310/BF308),"n.a.",BF310/BF308*BF$5)</f>
        <v>0</v>
      </c>
      <c r="BG309" s="37">
        <f t="shared" ref="BG309:BH309" si="2920">IF(ISERROR(BG310/BG308),"n.a.",BG310/BG308*BG$5)</f>
        <v>0</v>
      </c>
      <c r="BH309" s="37">
        <f t="shared" si="2920"/>
        <v>0</v>
      </c>
      <c r="BI309" s="38">
        <f t="shared" ref="BI309:BJ309" si="2921">IF(ISERROR(BI310/BI308),"n.a.",BI310/BI308*BI$5)</f>
        <v>0</v>
      </c>
      <c r="BJ309" s="37">
        <f t="shared" si="2921"/>
        <v>0</v>
      </c>
      <c r="BK309" s="37">
        <f t="shared" ref="BK309:BL309" si="2922">IF(ISERROR(BK310/BK308),"n.a.",BK310/BK308*BK$5)</f>
        <v>0</v>
      </c>
      <c r="BL309" s="37">
        <f t="shared" si="2922"/>
        <v>0</v>
      </c>
      <c r="BM309" s="37">
        <f t="shared" ref="BM309" si="2923">IF(ISERROR(BM310/BM308),"n.a.",BM310/BM308*BM$5)</f>
        <v>0</v>
      </c>
      <c r="BN309" s="37">
        <f>IF(ISERROR(BN310/BN308),"n.a.",BN310/BN308*BO$5)</f>
        <v>0</v>
      </c>
    </row>
    <row r="310" spans="1:67" s="9" customFormat="1" ht="12" customHeight="1" outlineLevel="1">
      <c r="A310" s="91" t="s">
        <v>1222</v>
      </c>
      <c r="B310" s="9" t="s">
        <v>7</v>
      </c>
      <c r="C310" s="22">
        <v>-54</v>
      </c>
      <c r="D310" s="22">
        <f>-113-C310</f>
        <v>-59</v>
      </c>
      <c r="E310" s="22">
        <v>-59</v>
      </c>
      <c r="F310" s="22">
        <f>-108-E310</f>
        <v>-49</v>
      </c>
      <c r="G310" s="22">
        <v>-44</v>
      </c>
      <c r="H310" s="22">
        <f>-77-G310</f>
        <v>-33</v>
      </c>
      <c r="I310" s="22">
        <v>-30</v>
      </c>
      <c r="J310" s="22">
        <v>-15</v>
      </c>
      <c r="K310" s="22">
        <v>0</v>
      </c>
      <c r="L310" s="22">
        <v>3</v>
      </c>
      <c r="M310" s="61">
        <v>0</v>
      </c>
      <c r="N310" s="61">
        <v>0</v>
      </c>
      <c r="O310" s="61">
        <v>0</v>
      </c>
      <c r="P310" s="61">
        <v>0</v>
      </c>
      <c r="Q310" s="61">
        <v>0</v>
      </c>
      <c r="R310" s="61">
        <v>0</v>
      </c>
      <c r="S310" s="61">
        <v>0</v>
      </c>
      <c r="T310" s="61">
        <v>0</v>
      </c>
      <c r="U310" s="61">
        <v>0</v>
      </c>
      <c r="V310" s="61">
        <v>0</v>
      </c>
      <c r="W310" s="61">
        <v>0</v>
      </c>
      <c r="X310" s="61">
        <v>0</v>
      </c>
      <c r="Y310" s="61">
        <v>0</v>
      </c>
      <c r="Z310" s="61">
        <v>0</v>
      </c>
      <c r="AA310" s="61">
        <v>0</v>
      </c>
      <c r="AB310" s="61">
        <v>0</v>
      </c>
      <c r="AC310" s="61">
        <v>0</v>
      </c>
      <c r="AD310" s="61">
        <v>0</v>
      </c>
      <c r="AE310" s="61">
        <v>0</v>
      </c>
      <c r="AF310" s="61">
        <v>0</v>
      </c>
      <c r="AG310" s="61">
        <v>0</v>
      </c>
      <c r="AH310" s="61">
        <v>0</v>
      </c>
      <c r="AI310" s="338">
        <v>0</v>
      </c>
      <c r="AJ310" s="39">
        <f t="shared" ref="AJ310" si="2924">IF(ISERROR(AJ308*AJ309),0,AJ308*AJ309/AJ$5)</f>
        <v>0</v>
      </c>
      <c r="AK310" s="39">
        <f t="shared" ref="AK310:AL310" si="2925">IF(ISERROR(AK308*AK309),0,AK308*AK309/AK$5)</f>
        <v>0</v>
      </c>
      <c r="AL310" s="39">
        <f t="shared" si="2925"/>
        <v>0</v>
      </c>
      <c r="AM310" s="39">
        <f t="shared" ref="AM310:AN310" si="2926">IF(ISERROR(AM308*AM309),0,AM308*AM309/AM$5)</f>
        <v>0</v>
      </c>
      <c r="AN310" s="39">
        <f t="shared" si="2926"/>
        <v>0</v>
      </c>
      <c r="AO310" s="39">
        <f t="shared" ref="AO310:AP310" si="2927">IF(ISERROR(AO308*AO309),0,AO308*AO309/AO$5)</f>
        <v>0</v>
      </c>
      <c r="AP310" s="39">
        <f t="shared" si="2927"/>
        <v>0</v>
      </c>
      <c r="AQ310" s="39">
        <f t="shared" ref="AQ310:AR310" si="2928">IF(ISERROR(AQ308*AQ309),0,AQ308*AQ309/AQ$5)</f>
        <v>0</v>
      </c>
      <c r="AR310" s="39">
        <f t="shared" si="2928"/>
        <v>0</v>
      </c>
      <c r="AS310" s="74"/>
      <c r="AT310" s="39">
        <f t="shared" ref="AT310:AT317" si="2929">C310+D310</f>
        <v>-113</v>
      </c>
      <c r="AU310" s="39">
        <f t="shared" ref="AU310:AU317" si="2930">E310+F310</f>
        <v>-108</v>
      </c>
      <c r="AV310" s="39">
        <f t="shared" ref="AV310:AV317" si="2931">G310+H310</f>
        <v>-77</v>
      </c>
      <c r="AW310" s="39">
        <f t="shared" ref="AW310:AW317" si="2932">I310+J310</f>
        <v>-45</v>
      </c>
      <c r="AX310" s="39">
        <f t="shared" ref="AX310:AX317" si="2933">K310+L310</f>
        <v>3</v>
      </c>
      <c r="AY310" s="39">
        <f t="shared" ref="AY310:AY317" si="2934">M310+N310</f>
        <v>0</v>
      </c>
      <c r="AZ310" s="39">
        <f t="shared" ref="AZ310:AZ317" si="2935">O310+P310</f>
        <v>0</v>
      </c>
      <c r="BA310" s="39">
        <f t="shared" ref="BA310:BA317" si="2936">Q310+R310</f>
        <v>0</v>
      </c>
      <c r="BB310" s="39">
        <f t="shared" ref="BB310:BB317" si="2937">S310+T310</f>
        <v>0</v>
      </c>
      <c r="BC310" s="39">
        <f t="shared" ref="BC310:BC317" si="2938">U310+V310</f>
        <v>0</v>
      </c>
      <c r="BD310" s="39">
        <f t="shared" ref="BD310:BD317" si="2939">W310+X310</f>
        <v>0</v>
      </c>
      <c r="BE310" s="39">
        <f t="shared" ref="BE310:BE317" si="2940">Y310+Z310</f>
        <v>0</v>
      </c>
      <c r="BF310" s="39">
        <f t="shared" ref="BF310:BF317" si="2941">AA310+AB310</f>
        <v>0</v>
      </c>
      <c r="BG310" s="39">
        <f t="shared" ref="BG310:BG317" si="2942">AC310+AD310</f>
        <v>0</v>
      </c>
      <c r="BH310" s="39">
        <f t="shared" ref="BH310:BH317" si="2943">AE310+AF310</f>
        <v>0</v>
      </c>
      <c r="BI310" s="40">
        <f t="shared" ref="BI310:BI317" si="2944">AG310+AH310</f>
        <v>0</v>
      </c>
      <c r="BJ310" s="39">
        <f t="shared" ref="BJ310:BJ317" si="2945">AI310+AJ310</f>
        <v>0</v>
      </c>
      <c r="BK310" s="39">
        <f t="shared" ref="BK310:BK317" si="2946">AK310+AL310</f>
        <v>0</v>
      </c>
      <c r="BL310" s="39">
        <f t="shared" ref="BL310:BL317" si="2947">AM310+AN310</f>
        <v>0</v>
      </c>
      <c r="BM310" s="39">
        <f t="shared" ref="BM310:BM317" si="2948">AO310+AP310</f>
        <v>0</v>
      </c>
      <c r="BN310" s="39">
        <f t="shared" ref="BN310:BN317" si="2949">AQ310+AR310</f>
        <v>0</v>
      </c>
    </row>
    <row r="311" spans="1:67" ht="12" customHeight="1" outlineLevel="1">
      <c r="A311" s="91" t="s">
        <v>1223</v>
      </c>
      <c r="B311" s="1" t="s">
        <v>31</v>
      </c>
      <c r="C311" s="21">
        <v>0</v>
      </c>
      <c r="D311" s="21">
        <v>0</v>
      </c>
      <c r="E311" s="21">
        <v>0</v>
      </c>
      <c r="F311" s="21">
        <v>0</v>
      </c>
      <c r="G311" s="21">
        <v>0</v>
      </c>
      <c r="H311" s="21">
        <v>0</v>
      </c>
      <c r="I311" s="21">
        <v>0</v>
      </c>
      <c r="J311" s="21">
        <v>0</v>
      </c>
      <c r="K311" s="21">
        <v>0</v>
      </c>
      <c r="L311" s="21">
        <v>0</v>
      </c>
      <c r="M311" s="62">
        <v>0</v>
      </c>
      <c r="N311" s="62">
        <v>0</v>
      </c>
      <c r="O311" s="62">
        <v>0</v>
      </c>
      <c r="P311" s="62">
        <v>0</v>
      </c>
      <c r="Q311" s="62">
        <v>0</v>
      </c>
      <c r="R311" s="62">
        <v>0</v>
      </c>
      <c r="S311" s="62">
        <v>0</v>
      </c>
      <c r="T311" s="62">
        <v>0</v>
      </c>
      <c r="U311" s="62">
        <v>0</v>
      </c>
      <c r="V311" s="62">
        <v>0</v>
      </c>
      <c r="W311" s="62">
        <v>0</v>
      </c>
      <c r="X311" s="62">
        <v>0</v>
      </c>
      <c r="Y311" s="62">
        <v>0</v>
      </c>
      <c r="Z311" s="62">
        <v>0</v>
      </c>
      <c r="AA311" s="62">
        <v>0</v>
      </c>
      <c r="AB311" s="62">
        <v>0</v>
      </c>
      <c r="AC311" s="62">
        <v>0</v>
      </c>
      <c r="AD311" s="62">
        <v>0</v>
      </c>
      <c r="AE311" s="62">
        <v>0</v>
      </c>
      <c r="AF311" s="62">
        <v>0</v>
      </c>
      <c r="AG311" s="62">
        <v>0</v>
      </c>
      <c r="AH311" s="62">
        <v>0</v>
      </c>
      <c r="AI311" s="57">
        <v>0</v>
      </c>
      <c r="AJ311" s="58">
        <f t="shared" ref="AJ311:AJ314" si="2950">AI311</f>
        <v>0</v>
      </c>
      <c r="AK311" s="58">
        <f t="shared" ref="AK311:AK314" si="2951">AJ311</f>
        <v>0</v>
      </c>
      <c r="AL311" s="58">
        <f t="shared" ref="AL311:AL314" si="2952">AK311</f>
        <v>0</v>
      </c>
      <c r="AM311" s="58">
        <f t="shared" ref="AM311:AM314" si="2953">AL311</f>
        <v>0</v>
      </c>
      <c r="AN311" s="58">
        <f t="shared" ref="AN311:AN314" si="2954">AM311</f>
        <v>0</v>
      </c>
      <c r="AO311" s="58">
        <f t="shared" ref="AO311:AO314" si="2955">AN311</f>
        <v>0</v>
      </c>
      <c r="AP311" s="58">
        <f t="shared" ref="AP311:AP314" si="2956">AO311</f>
        <v>0</v>
      </c>
      <c r="AQ311" s="58">
        <f t="shared" ref="AQ311:AQ314" si="2957">AP311</f>
        <v>0</v>
      </c>
      <c r="AR311" s="58">
        <f t="shared" ref="AR311:AR314" si="2958">AQ311</f>
        <v>0</v>
      </c>
      <c r="AS311" s="8"/>
      <c r="AT311" s="41">
        <f t="shared" si="2929"/>
        <v>0</v>
      </c>
      <c r="AU311" s="41">
        <f t="shared" si="2930"/>
        <v>0</v>
      </c>
      <c r="AV311" s="41">
        <f t="shared" si="2931"/>
        <v>0</v>
      </c>
      <c r="AW311" s="41">
        <f t="shared" si="2932"/>
        <v>0</v>
      </c>
      <c r="AX311" s="41">
        <f t="shared" si="2933"/>
        <v>0</v>
      </c>
      <c r="AY311" s="41">
        <f t="shared" si="2934"/>
        <v>0</v>
      </c>
      <c r="AZ311" s="41">
        <f t="shared" si="2935"/>
        <v>0</v>
      </c>
      <c r="BA311" s="41">
        <f t="shared" si="2936"/>
        <v>0</v>
      </c>
      <c r="BB311" s="41">
        <f t="shared" si="2937"/>
        <v>0</v>
      </c>
      <c r="BC311" s="41">
        <f t="shared" si="2938"/>
        <v>0</v>
      </c>
      <c r="BD311" s="41">
        <f t="shared" si="2939"/>
        <v>0</v>
      </c>
      <c r="BE311" s="41">
        <f t="shared" si="2940"/>
        <v>0</v>
      </c>
      <c r="BF311" s="41">
        <f t="shared" si="2941"/>
        <v>0</v>
      </c>
      <c r="BG311" s="41">
        <f t="shared" si="2942"/>
        <v>0</v>
      </c>
      <c r="BH311" s="41">
        <f t="shared" si="2943"/>
        <v>0</v>
      </c>
      <c r="BI311" s="42">
        <f t="shared" si="2944"/>
        <v>0</v>
      </c>
      <c r="BJ311" s="41">
        <f t="shared" si="2945"/>
        <v>0</v>
      </c>
      <c r="BK311" s="41">
        <f t="shared" si="2946"/>
        <v>0</v>
      </c>
      <c r="BL311" s="41">
        <f t="shared" si="2947"/>
        <v>0</v>
      </c>
      <c r="BM311" s="41">
        <f t="shared" si="2948"/>
        <v>0</v>
      </c>
      <c r="BN311" s="41">
        <f t="shared" si="2949"/>
        <v>0</v>
      </c>
    </row>
    <row r="312" spans="1:67" ht="12" customHeight="1" outlineLevel="1">
      <c r="A312" s="91" t="s">
        <v>1224</v>
      </c>
      <c r="B312" s="1" t="s">
        <v>30</v>
      </c>
      <c r="C312" s="21">
        <v>0</v>
      </c>
      <c r="D312" s="21">
        <v>0</v>
      </c>
      <c r="E312" s="21">
        <v>0</v>
      </c>
      <c r="F312" s="21">
        <v>0</v>
      </c>
      <c r="G312" s="21">
        <v>0</v>
      </c>
      <c r="H312" s="21">
        <v>0</v>
      </c>
      <c r="I312" s="21">
        <v>0</v>
      </c>
      <c r="J312" s="21">
        <v>0</v>
      </c>
      <c r="K312" s="21">
        <v>0</v>
      </c>
      <c r="L312" s="21">
        <v>0</v>
      </c>
      <c r="M312" s="62">
        <v>0</v>
      </c>
      <c r="N312" s="62">
        <v>0</v>
      </c>
      <c r="O312" s="62">
        <v>0</v>
      </c>
      <c r="P312" s="62">
        <v>0</v>
      </c>
      <c r="Q312" s="62">
        <v>0</v>
      </c>
      <c r="R312" s="62">
        <v>0</v>
      </c>
      <c r="S312" s="62">
        <v>0</v>
      </c>
      <c r="T312" s="62">
        <v>0</v>
      </c>
      <c r="U312" s="62">
        <v>0</v>
      </c>
      <c r="V312" s="62">
        <v>0</v>
      </c>
      <c r="W312" s="62">
        <v>0</v>
      </c>
      <c r="X312" s="62">
        <v>0</v>
      </c>
      <c r="Y312" s="62">
        <v>0</v>
      </c>
      <c r="Z312" s="62">
        <v>0</v>
      </c>
      <c r="AA312" s="62">
        <v>0</v>
      </c>
      <c r="AB312" s="62">
        <v>0</v>
      </c>
      <c r="AC312" s="62">
        <v>0</v>
      </c>
      <c r="AD312" s="62">
        <v>0</v>
      </c>
      <c r="AE312" s="62">
        <v>0</v>
      </c>
      <c r="AF312" s="62">
        <v>0</v>
      </c>
      <c r="AG312" s="62">
        <v>0</v>
      </c>
      <c r="AH312" s="62">
        <v>0</v>
      </c>
      <c r="AI312" s="57">
        <v>0</v>
      </c>
      <c r="AJ312" s="58">
        <f t="shared" si="2950"/>
        <v>0</v>
      </c>
      <c r="AK312" s="58">
        <f t="shared" si="2951"/>
        <v>0</v>
      </c>
      <c r="AL312" s="58">
        <f t="shared" si="2952"/>
        <v>0</v>
      </c>
      <c r="AM312" s="58">
        <f t="shared" si="2953"/>
        <v>0</v>
      </c>
      <c r="AN312" s="58">
        <f t="shared" si="2954"/>
        <v>0</v>
      </c>
      <c r="AO312" s="58">
        <f t="shared" si="2955"/>
        <v>0</v>
      </c>
      <c r="AP312" s="58">
        <f t="shared" si="2956"/>
        <v>0</v>
      </c>
      <c r="AQ312" s="58">
        <f t="shared" si="2957"/>
        <v>0</v>
      </c>
      <c r="AR312" s="58">
        <f t="shared" si="2958"/>
        <v>0</v>
      </c>
      <c r="AS312" s="8"/>
      <c r="AT312" s="41">
        <f t="shared" si="2929"/>
        <v>0</v>
      </c>
      <c r="AU312" s="41">
        <f t="shared" si="2930"/>
        <v>0</v>
      </c>
      <c r="AV312" s="41">
        <f t="shared" si="2931"/>
        <v>0</v>
      </c>
      <c r="AW312" s="41">
        <f t="shared" si="2932"/>
        <v>0</v>
      </c>
      <c r="AX312" s="41">
        <f t="shared" si="2933"/>
        <v>0</v>
      </c>
      <c r="AY312" s="41">
        <f t="shared" si="2934"/>
        <v>0</v>
      </c>
      <c r="AZ312" s="41">
        <f t="shared" si="2935"/>
        <v>0</v>
      </c>
      <c r="BA312" s="41">
        <f t="shared" si="2936"/>
        <v>0</v>
      </c>
      <c r="BB312" s="41">
        <f t="shared" si="2937"/>
        <v>0</v>
      </c>
      <c r="BC312" s="41">
        <f t="shared" si="2938"/>
        <v>0</v>
      </c>
      <c r="BD312" s="41">
        <f t="shared" si="2939"/>
        <v>0</v>
      </c>
      <c r="BE312" s="41">
        <f t="shared" si="2940"/>
        <v>0</v>
      </c>
      <c r="BF312" s="41">
        <f t="shared" si="2941"/>
        <v>0</v>
      </c>
      <c r="BG312" s="41">
        <f t="shared" si="2942"/>
        <v>0</v>
      </c>
      <c r="BH312" s="41">
        <f t="shared" si="2943"/>
        <v>0</v>
      </c>
      <c r="BI312" s="42">
        <f t="shared" si="2944"/>
        <v>0</v>
      </c>
      <c r="BJ312" s="41">
        <f t="shared" si="2945"/>
        <v>0</v>
      </c>
      <c r="BK312" s="41">
        <f t="shared" si="2946"/>
        <v>0</v>
      </c>
      <c r="BL312" s="41">
        <f t="shared" si="2947"/>
        <v>0</v>
      </c>
      <c r="BM312" s="41">
        <f t="shared" si="2948"/>
        <v>0</v>
      </c>
      <c r="BN312" s="41">
        <f t="shared" si="2949"/>
        <v>0</v>
      </c>
    </row>
    <row r="313" spans="1:67" ht="12" customHeight="1" outlineLevel="1">
      <c r="A313" s="91" t="s">
        <v>1225</v>
      </c>
      <c r="B313" s="1" t="s">
        <v>32</v>
      </c>
      <c r="C313" s="21">
        <v>0</v>
      </c>
      <c r="D313" s="21">
        <v>0</v>
      </c>
      <c r="E313" s="21">
        <v>0</v>
      </c>
      <c r="F313" s="21">
        <v>0</v>
      </c>
      <c r="G313" s="21">
        <v>0</v>
      </c>
      <c r="H313" s="21">
        <v>0</v>
      </c>
      <c r="I313" s="21">
        <v>0</v>
      </c>
      <c r="J313" s="21">
        <v>0</v>
      </c>
      <c r="K313" s="21">
        <v>0</v>
      </c>
      <c r="L313" s="21">
        <v>0</v>
      </c>
      <c r="M313" s="62">
        <v>0</v>
      </c>
      <c r="N313" s="62">
        <v>0</v>
      </c>
      <c r="O313" s="62">
        <v>0</v>
      </c>
      <c r="P313" s="62">
        <v>0</v>
      </c>
      <c r="Q313" s="62">
        <v>0</v>
      </c>
      <c r="R313" s="62">
        <v>0</v>
      </c>
      <c r="S313" s="62">
        <v>0</v>
      </c>
      <c r="T313" s="62">
        <v>0</v>
      </c>
      <c r="U313" s="62">
        <v>0</v>
      </c>
      <c r="V313" s="62">
        <v>0</v>
      </c>
      <c r="W313" s="62">
        <v>0</v>
      </c>
      <c r="X313" s="62">
        <v>0</v>
      </c>
      <c r="Y313" s="62">
        <v>0</v>
      </c>
      <c r="Z313" s="62">
        <v>0</v>
      </c>
      <c r="AA313" s="62">
        <v>0</v>
      </c>
      <c r="AB313" s="62">
        <v>0</v>
      </c>
      <c r="AC313" s="62">
        <v>0</v>
      </c>
      <c r="AD313" s="62">
        <v>0</v>
      </c>
      <c r="AE313" s="62">
        <v>0</v>
      </c>
      <c r="AF313" s="62">
        <v>0</v>
      </c>
      <c r="AG313" s="62">
        <v>0</v>
      </c>
      <c r="AH313" s="62">
        <v>0</v>
      </c>
      <c r="AI313" s="57">
        <v>0</v>
      </c>
      <c r="AJ313" s="58">
        <f t="shared" si="2950"/>
        <v>0</v>
      </c>
      <c r="AK313" s="58">
        <f t="shared" si="2951"/>
        <v>0</v>
      </c>
      <c r="AL313" s="58">
        <f t="shared" si="2952"/>
        <v>0</v>
      </c>
      <c r="AM313" s="58">
        <f t="shared" si="2953"/>
        <v>0</v>
      </c>
      <c r="AN313" s="58">
        <f t="shared" si="2954"/>
        <v>0</v>
      </c>
      <c r="AO313" s="58">
        <f t="shared" si="2955"/>
        <v>0</v>
      </c>
      <c r="AP313" s="58">
        <f t="shared" si="2956"/>
        <v>0</v>
      </c>
      <c r="AQ313" s="58">
        <f t="shared" si="2957"/>
        <v>0</v>
      </c>
      <c r="AR313" s="58">
        <f t="shared" si="2958"/>
        <v>0</v>
      </c>
      <c r="AS313" s="8"/>
      <c r="AT313" s="41">
        <f t="shared" si="2929"/>
        <v>0</v>
      </c>
      <c r="AU313" s="41">
        <f t="shared" si="2930"/>
        <v>0</v>
      </c>
      <c r="AV313" s="41">
        <f t="shared" si="2931"/>
        <v>0</v>
      </c>
      <c r="AW313" s="41">
        <f t="shared" si="2932"/>
        <v>0</v>
      </c>
      <c r="AX313" s="41">
        <f t="shared" si="2933"/>
        <v>0</v>
      </c>
      <c r="AY313" s="41">
        <f t="shared" si="2934"/>
        <v>0</v>
      </c>
      <c r="AZ313" s="41">
        <f t="shared" si="2935"/>
        <v>0</v>
      </c>
      <c r="BA313" s="41">
        <f t="shared" si="2936"/>
        <v>0</v>
      </c>
      <c r="BB313" s="41">
        <f t="shared" si="2937"/>
        <v>0</v>
      </c>
      <c r="BC313" s="41">
        <f t="shared" si="2938"/>
        <v>0</v>
      </c>
      <c r="BD313" s="41">
        <f t="shared" si="2939"/>
        <v>0</v>
      </c>
      <c r="BE313" s="41">
        <f t="shared" si="2940"/>
        <v>0</v>
      </c>
      <c r="BF313" s="41">
        <f t="shared" si="2941"/>
        <v>0</v>
      </c>
      <c r="BG313" s="41">
        <f t="shared" si="2942"/>
        <v>0</v>
      </c>
      <c r="BH313" s="41">
        <f t="shared" si="2943"/>
        <v>0</v>
      </c>
      <c r="BI313" s="42">
        <f t="shared" si="2944"/>
        <v>0</v>
      </c>
      <c r="BJ313" s="41">
        <f t="shared" si="2945"/>
        <v>0</v>
      </c>
      <c r="BK313" s="41">
        <f t="shared" si="2946"/>
        <v>0</v>
      </c>
      <c r="BL313" s="41">
        <f t="shared" si="2947"/>
        <v>0</v>
      </c>
      <c r="BM313" s="41">
        <f t="shared" si="2948"/>
        <v>0</v>
      </c>
      <c r="BN313" s="41">
        <f t="shared" si="2949"/>
        <v>0</v>
      </c>
    </row>
    <row r="314" spans="1:67" ht="12" customHeight="1" outlineLevel="1">
      <c r="A314" s="91" t="s">
        <v>1226</v>
      </c>
      <c r="B314" s="1" t="s">
        <v>33</v>
      </c>
      <c r="C314" s="21">
        <v>0</v>
      </c>
      <c r="D314" s="21">
        <v>0</v>
      </c>
      <c r="E314" s="21">
        <v>0</v>
      </c>
      <c r="F314" s="21">
        <v>0</v>
      </c>
      <c r="G314" s="21">
        <v>0</v>
      </c>
      <c r="H314" s="21">
        <v>0</v>
      </c>
      <c r="I314" s="21">
        <v>0</v>
      </c>
      <c r="J314" s="21">
        <v>0</v>
      </c>
      <c r="K314" s="21">
        <v>0</v>
      </c>
      <c r="L314" s="21">
        <v>0</v>
      </c>
      <c r="M314" s="62">
        <v>0</v>
      </c>
      <c r="N314" s="62">
        <v>0</v>
      </c>
      <c r="O314" s="62">
        <v>0</v>
      </c>
      <c r="P314" s="62">
        <v>0</v>
      </c>
      <c r="Q314" s="62">
        <v>0</v>
      </c>
      <c r="R314" s="62">
        <v>0</v>
      </c>
      <c r="S314" s="62">
        <v>0</v>
      </c>
      <c r="T314" s="62">
        <v>0</v>
      </c>
      <c r="U314" s="62">
        <v>0</v>
      </c>
      <c r="V314" s="62">
        <v>0</v>
      </c>
      <c r="W314" s="62">
        <v>0</v>
      </c>
      <c r="X314" s="62">
        <v>0</v>
      </c>
      <c r="Y314" s="62">
        <v>0</v>
      </c>
      <c r="Z314" s="62">
        <v>0</v>
      </c>
      <c r="AA314" s="62">
        <v>0</v>
      </c>
      <c r="AB314" s="62">
        <v>0</v>
      </c>
      <c r="AC314" s="62">
        <v>0</v>
      </c>
      <c r="AD314" s="62">
        <v>0</v>
      </c>
      <c r="AE314" s="62">
        <v>0</v>
      </c>
      <c r="AF314" s="62">
        <v>0</v>
      </c>
      <c r="AG314" s="62">
        <v>0</v>
      </c>
      <c r="AH314" s="62">
        <v>0</v>
      </c>
      <c r="AI314" s="57">
        <v>0</v>
      </c>
      <c r="AJ314" s="58">
        <f t="shared" si="2950"/>
        <v>0</v>
      </c>
      <c r="AK314" s="58">
        <f t="shared" si="2951"/>
        <v>0</v>
      </c>
      <c r="AL314" s="58">
        <f t="shared" si="2952"/>
        <v>0</v>
      </c>
      <c r="AM314" s="58">
        <f t="shared" si="2953"/>
        <v>0</v>
      </c>
      <c r="AN314" s="58">
        <f t="shared" si="2954"/>
        <v>0</v>
      </c>
      <c r="AO314" s="58">
        <f t="shared" si="2955"/>
        <v>0</v>
      </c>
      <c r="AP314" s="58">
        <f t="shared" si="2956"/>
        <v>0</v>
      </c>
      <c r="AQ314" s="58">
        <f t="shared" si="2957"/>
        <v>0</v>
      </c>
      <c r="AR314" s="58">
        <f t="shared" si="2958"/>
        <v>0</v>
      </c>
      <c r="AS314" s="8"/>
      <c r="AT314" s="41">
        <f t="shared" si="2929"/>
        <v>0</v>
      </c>
      <c r="AU314" s="41">
        <f t="shared" si="2930"/>
        <v>0</v>
      </c>
      <c r="AV314" s="41">
        <f t="shared" si="2931"/>
        <v>0</v>
      </c>
      <c r="AW314" s="41">
        <f t="shared" si="2932"/>
        <v>0</v>
      </c>
      <c r="AX314" s="41">
        <f t="shared" si="2933"/>
        <v>0</v>
      </c>
      <c r="AY314" s="41">
        <f t="shared" si="2934"/>
        <v>0</v>
      </c>
      <c r="AZ314" s="41">
        <f t="shared" si="2935"/>
        <v>0</v>
      </c>
      <c r="BA314" s="41">
        <f t="shared" si="2936"/>
        <v>0</v>
      </c>
      <c r="BB314" s="41">
        <f t="shared" si="2937"/>
        <v>0</v>
      </c>
      <c r="BC314" s="41">
        <f t="shared" si="2938"/>
        <v>0</v>
      </c>
      <c r="BD314" s="41">
        <f t="shared" si="2939"/>
        <v>0</v>
      </c>
      <c r="BE314" s="41">
        <f t="shared" si="2940"/>
        <v>0</v>
      </c>
      <c r="BF314" s="41">
        <f t="shared" si="2941"/>
        <v>0</v>
      </c>
      <c r="BG314" s="41">
        <f t="shared" si="2942"/>
        <v>0</v>
      </c>
      <c r="BH314" s="41">
        <f t="shared" si="2943"/>
        <v>0</v>
      </c>
      <c r="BI314" s="42">
        <f t="shared" si="2944"/>
        <v>0</v>
      </c>
      <c r="BJ314" s="41">
        <f t="shared" si="2945"/>
        <v>0</v>
      </c>
      <c r="BK314" s="41">
        <f t="shared" si="2946"/>
        <v>0</v>
      </c>
      <c r="BL314" s="41">
        <f t="shared" si="2947"/>
        <v>0</v>
      </c>
      <c r="BM314" s="41">
        <f t="shared" si="2948"/>
        <v>0</v>
      </c>
      <c r="BN314" s="41">
        <f t="shared" si="2949"/>
        <v>0</v>
      </c>
    </row>
    <row r="315" spans="1:67" ht="12" customHeight="1" outlineLevel="1">
      <c r="A315" s="91" t="s">
        <v>1227</v>
      </c>
      <c r="B315" s="1" t="s">
        <v>20</v>
      </c>
      <c r="C315" s="21">
        <v>546</v>
      </c>
      <c r="D315" s="21">
        <f>996-C315</f>
        <v>450</v>
      </c>
      <c r="E315" s="21">
        <v>376</v>
      </c>
      <c r="F315" s="21">
        <f>853-E315</f>
        <v>477</v>
      </c>
      <c r="G315" s="21">
        <v>313</v>
      </c>
      <c r="H315" s="21">
        <f>635-G315</f>
        <v>322</v>
      </c>
      <c r="I315" s="21">
        <v>273</v>
      </c>
      <c r="J315" s="21">
        <v>267</v>
      </c>
      <c r="K315" s="21">
        <v>288</v>
      </c>
      <c r="L315" s="21">
        <v>379</v>
      </c>
      <c r="M315" s="62">
        <v>332</v>
      </c>
      <c r="N315" s="62">
        <v>465</v>
      </c>
      <c r="O315" s="62">
        <f>O318</f>
        <v>501</v>
      </c>
      <c r="P315" s="62">
        <f t="shared" ref="P315" si="2959">P318</f>
        <v>369</v>
      </c>
      <c r="Q315" s="62">
        <f t="shared" ref="Q315:U315" si="2960">Q318</f>
        <v>416</v>
      </c>
      <c r="R315" s="62">
        <f t="shared" si="2960"/>
        <v>471</v>
      </c>
      <c r="S315" s="62">
        <f t="shared" si="2960"/>
        <v>422</v>
      </c>
      <c r="T315" s="62">
        <f t="shared" si="2960"/>
        <v>423</v>
      </c>
      <c r="U315" s="62">
        <f t="shared" si="2960"/>
        <v>526</v>
      </c>
      <c r="V315" s="62">
        <v>497</v>
      </c>
      <c r="W315" s="62">
        <v>415</v>
      </c>
      <c r="X315" s="62">
        <v>536</v>
      </c>
      <c r="Y315" s="62">
        <f t="shared" ref="Y315:AD315" si="2961">AVERAGE($W315:$X315)/AVERAGE($W318:$X318)*Y318</f>
        <v>397.2456030150754</v>
      </c>
      <c r="Z315" s="62">
        <f t="shared" si="2961"/>
        <v>431.2952261306533</v>
      </c>
      <c r="AA315" s="62">
        <v>618</v>
      </c>
      <c r="AB315" s="62">
        <v>755</v>
      </c>
      <c r="AC315" s="62">
        <v>438</v>
      </c>
      <c r="AD315" s="62">
        <f t="shared" si="2961"/>
        <v>413.3743718592965</v>
      </c>
      <c r="AE315" s="62">
        <v>408</v>
      </c>
      <c r="AF315" s="62">
        <v>335</v>
      </c>
      <c r="AG315" s="62">
        <v>413</v>
      </c>
      <c r="AH315" s="62">
        <v>503</v>
      </c>
      <c r="AI315" s="57">
        <v>558</v>
      </c>
      <c r="AJ315" s="41">
        <f t="shared" ref="AJ315" si="2962">IF(ISERROR(AH315*(1+AJ358)),0,AH315*(1+AJ358))</f>
        <v>440.125</v>
      </c>
      <c r="AK315" s="41">
        <f t="shared" ref="AK315" si="2963">IF(ISERROR(AI315*(1+AK358)),0,AI315*(1+AK358))</f>
        <v>513.36</v>
      </c>
      <c r="AL315" s="41">
        <f t="shared" ref="AL315" si="2964">IF(ISERROR(AJ315*(1+AL358)),0,AJ315*(1+AL358))</f>
        <v>510.54499999999996</v>
      </c>
      <c r="AM315" s="41">
        <f t="shared" ref="AM315" si="2965">IF(ISERROR(AK315*(1+AM358)),0,AK315*(1+AM358))</f>
        <v>528.76080000000002</v>
      </c>
      <c r="AN315" s="41">
        <f t="shared" ref="AN315" si="2966">IF(ISERROR(AL315*(1+AN358)),0,AL315*(1+AN358))</f>
        <v>530.96679999999992</v>
      </c>
      <c r="AO315" s="41">
        <f t="shared" ref="AO315" si="2967">IF(ISERROR(AM315*(1+AO358)),0,AM315*(1+AO358))</f>
        <v>549.91123200000004</v>
      </c>
      <c r="AP315" s="41">
        <f t="shared" ref="AP315" si="2968">IF(ISERROR(AN315*(1+AP358)),0,AN315*(1+AP358))</f>
        <v>552.20547199999999</v>
      </c>
      <c r="AQ315" s="41">
        <f t="shared" ref="AQ315" si="2969">IF(ISERROR(AO315*(1+AQ358)),0,AO315*(1+AQ358))</f>
        <v>571.90768128000002</v>
      </c>
      <c r="AR315" s="41">
        <f t="shared" ref="AR315" si="2970">IF(ISERROR(AP315*(1+AR358)),0,AP315*(1+AR358))</f>
        <v>574.29369087999999</v>
      </c>
      <c r="AS315" s="8"/>
      <c r="AT315" s="41">
        <f t="shared" si="2929"/>
        <v>996</v>
      </c>
      <c r="AU315" s="41">
        <f t="shared" si="2930"/>
        <v>853</v>
      </c>
      <c r="AV315" s="41">
        <f t="shared" si="2931"/>
        <v>635</v>
      </c>
      <c r="AW315" s="41">
        <f t="shared" si="2932"/>
        <v>540</v>
      </c>
      <c r="AX315" s="41">
        <f t="shared" si="2933"/>
        <v>667</v>
      </c>
      <c r="AY315" s="41">
        <f t="shared" si="2934"/>
        <v>797</v>
      </c>
      <c r="AZ315" s="41">
        <f t="shared" si="2935"/>
        <v>870</v>
      </c>
      <c r="BA315" s="41">
        <f t="shared" si="2936"/>
        <v>887</v>
      </c>
      <c r="BB315" s="41">
        <f t="shared" si="2937"/>
        <v>845</v>
      </c>
      <c r="BC315" s="41">
        <f t="shared" si="2938"/>
        <v>1023</v>
      </c>
      <c r="BD315" s="41">
        <f t="shared" si="2939"/>
        <v>951</v>
      </c>
      <c r="BE315" s="41">
        <f t="shared" si="2940"/>
        <v>828.54082914572871</v>
      </c>
      <c r="BF315" s="41">
        <f t="shared" si="2941"/>
        <v>1373</v>
      </c>
      <c r="BG315" s="41">
        <f t="shared" si="2942"/>
        <v>851.3743718592965</v>
      </c>
      <c r="BH315" s="41">
        <f t="shared" si="2943"/>
        <v>743</v>
      </c>
      <c r="BI315" s="42">
        <f t="shared" si="2944"/>
        <v>916</v>
      </c>
      <c r="BJ315" s="41">
        <f t="shared" si="2945"/>
        <v>998.125</v>
      </c>
      <c r="BK315" s="41">
        <f t="shared" si="2946"/>
        <v>1023.905</v>
      </c>
      <c r="BL315" s="41">
        <f t="shared" si="2947"/>
        <v>1059.7275999999999</v>
      </c>
      <c r="BM315" s="41">
        <f t="shared" si="2948"/>
        <v>1102.116704</v>
      </c>
      <c r="BN315" s="41">
        <f t="shared" si="2949"/>
        <v>1146.2013721600001</v>
      </c>
      <c r="BO315" s="19">
        <f>+BK315-BJ315</f>
        <v>25.779999999999973</v>
      </c>
    </row>
    <row r="316" spans="1:67" ht="12" customHeight="1" outlineLevel="1">
      <c r="A316" s="91" t="s">
        <v>1228</v>
      </c>
      <c r="B316" s="1" t="s">
        <v>19</v>
      </c>
      <c r="C316" s="21">
        <v>14</v>
      </c>
      <c r="D316" s="21">
        <f>33-C316</f>
        <v>19</v>
      </c>
      <c r="E316" s="21">
        <v>21</v>
      </c>
      <c r="F316" s="21">
        <f>43-E316</f>
        <v>22</v>
      </c>
      <c r="G316" s="21">
        <v>21</v>
      </c>
      <c r="H316" s="21">
        <f>39-G316</f>
        <v>18</v>
      </c>
      <c r="I316" s="21">
        <v>16</v>
      </c>
      <c r="J316" s="21">
        <v>18</v>
      </c>
      <c r="K316" s="21">
        <v>24</v>
      </c>
      <c r="L316" s="21">
        <v>22</v>
      </c>
      <c r="M316" s="62">
        <v>18</v>
      </c>
      <c r="N316" s="62">
        <v>25</v>
      </c>
      <c r="O316" s="62">
        <v>0</v>
      </c>
      <c r="P316" s="62">
        <v>0</v>
      </c>
      <c r="Q316" s="62">
        <v>0</v>
      </c>
      <c r="R316" s="62">
        <v>0</v>
      </c>
      <c r="S316" s="62">
        <v>0</v>
      </c>
      <c r="T316" s="62">
        <v>0</v>
      </c>
      <c r="U316" s="62">
        <v>0</v>
      </c>
      <c r="V316" s="62">
        <v>0</v>
      </c>
      <c r="W316" s="62">
        <v>323</v>
      </c>
      <c r="X316" s="62">
        <v>318</v>
      </c>
      <c r="Y316" s="62">
        <f t="shared" ref="Y316:AD316" si="2971">Y318-Y315</f>
        <v>267.7543969849246</v>
      </c>
      <c r="Z316" s="62">
        <f t="shared" si="2971"/>
        <v>290.7047738693467</v>
      </c>
      <c r="AA316" s="62">
        <f t="shared" si="2971"/>
        <v>247</v>
      </c>
      <c r="AB316" s="62">
        <f t="shared" si="2971"/>
        <v>248</v>
      </c>
      <c r="AC316" s="62">
        <f t="shared" si="2971"/>
        <v>226</v>
      </c>
      <c r="AD316" s="62">
        <f t="shared" si="2971"/>
        <v>278.6256281407035</v>
      </c>
      <c r="AE316" s="62">
        <f t="shared" ref="AE316:AF316" si="2972">AE318-AE315</f>
        <v>220</v>
      </c>
      <c r="AF316" s="62">
        <f t="shared" si="2972"/>
        <v>238</v>
      </c>
      <c r="AG316" s="62">
        <f t="shared" ref="AG316:AI316" si="2973">AG318-AG315</f>
        <v>258</v>
      </c>
      <c r="AH316" s="62">
        <f t="shared" si="2973"/>
        <v>279</v>
      </c>
      <c r="AI316" s="57">
        <f t="shared" si="2973"/>
        <v>292</v>
      </c>
      <c r="AJ316" s="41">
        <f t="shared" ref="AJ316" si="2974">IF(ISERROR(AI316*(1+AJ359)),0,AI316*(1+AJ359))</f>
        <v>297.84000000000003</v>
      </c>
      <c r="AK316" s="41">
        <f t="shared" ref="AK316:AR316" si="2975">IF(ISERROR(AI316*(1+AK359)),0,AI316*(1+AK359))</f>
        <v>297.84000000000003</v>
      </c>
      <c r="AL316" s="41">
        <f t="shared" si="2975"/>
        <v>303.79680000000002</v>
      </c>
      <c r="AM316" s="41">
        <f t="shared" si="2975"/>
        <v>312.73200000000003</v>
      </c>
      <c r="AN316" s="41">
        <f t="shared" si="2975"/>
        <v>318.98664000000002</v>
      </c>
      <c r="AO316" s="41">
        <f t="shared" si="2975"/>
        <v>328.36860000000001</v>
      </c>
      <c r="AP316" s="41">
        <f t="shared" si="2975"/>
        <v>334.93597200000005</v>
      </c>
      <c r="AQ316" s="41">
        <f t="shared" si="2975"/>
        <v>344.78703000000002</v>
      </c>
      <c r="AR316" s="41">
        <f t="shared" si="2975"/>
        <v>351.68277060000008</v>
      </c>
      <c r="AS316" s="8"/>
      <c r="AT316" s="41">
        <f t="shared" si="2929"/>
        <v>33</v>
      </c>
      <c r="AU316" s="41">
        <f t="shared" si="2930"/>
        <v>43</v>
      </c>
      <c r="AV316" s="41">
        <f t="shared" si="2931"/>
        <v>39</v>
      </c>
      <c r="AW316" s="41">
        <f t="shared" si="2932"/>
        <v>34</v>
      </c>
      <c r="AX316" s="41">
        <f t="shared" si="2933"/>
        <v>46</v>
      </c>
      <c r="AY316" s="41">
        <f t="shared" si="2934"/>
        <v>43</v>
      </c>
      <c r="AZ316" s="41">
        <f t="shared" si="2935"/>
        <v>0</v>
      </c>
      <c r="BA316" s="41">
        <f t="shared" si="2936"/>
        <v>0</v>
      </c>
      <c r="BB316" s="41">
        <f t="shared" si="2937"/>
        <v>0</v>
      </c>
      <c r="BC316" s="41">
        <f t="shared" si="2938"/>
        <v>0</v>
      </c>
      <c r="BD316" s="41">
        <f t="shared" si="2939"/>
        <v>641</v>
      </c>
      <c r="BE316" s="41">
        <f t="shared" si="2940"/>
        <v>558.45917085427129</v>
      </c>
      <c r="BF316" s="41">
        <f t="shared" si="2941"/>
        <v>495</v>
      </c>
      <c r="BG316" s="41">
        <f t="shared" si="2942"/>
        <v>504.6256281407035</v>
      </c>
      <c r="BH316" s="41">
        <f t="shared" si="2943"/>
        <v>458</v>
      </c>
      <c r="BI316" s="42">
        <f t="shared" si="2944"/>
        <v>537</v>
      </c>
      <c r="BJ316" s="41">
        <f t="shared" si="2945"/>
        <v>589.84</v>
      </c>
      <c r="BK316" s="41">
        <f t="shared" si="2946"/>
        <v>601.63679999999999</v>
      </c>
      <c r="BL316" s="41">
        <f t="shared" si="2947"/>
        <v>631.71864000000005</v>
      </c>
      <c r="BM316" s="41">
        <f t="shared" si="2948"/>
        <v>663.30457200000001</v>
      </c>
      <c r="BN316" s="41">
        <f t="shared" si="2949"/>
        <v>696.4698006000001</v>
      </c>
      <c r="BO316" s="19">
        <f>+BK316-BJ316</f>
        <v>11.796799999999962</v>
      </c>
    </row>
    <row r="317" spans="1:67" ht="12" customHeight="1" outlineLevel="1">
      <c r="A317" s="91" t="s">
        <v>1229</v>
      </c>
      <c r="B317" s="1" t="s">
        <v>29</v>
      </c>
      <c r="C317" s="25">
        <f t="shared" ref="C317:H317" si="2976">C318-C311-C313-C315-C316-C312-C314</f>
        <v>-87</v>
      </c>
      <c r="D317" s="25">
        <f t="shared" si="2976"/>
        <v>-105</v>
      </c>
      <c r="E317" s="25">
        <f t="shared" si="2976"/>
        <v>-94</v>
      </c>
      <c r="F317" s="25">
        <f t="shared" si="2976"/>
        <v>-86</v>
      </c>
      <c r="G317" s="25">
        <f t="shared" si="2976"/>
        <v>-42</v>
      </c>
      <c r="H317" s="25">
        <f t="shared" si="2976"/>
        <v>-59</v>
      </c>
      <c r="I317" s="25">
        <f t="shared" ref="I317:N317" si="2977">I318-I311-I313-I315-I316-I312-I314</f>
        <v>11</v>
      </c>
      <c r="J317" s="25">
        <f t="shared" si="2977"/>
        <v>1</v>
      </c>
      <c r="K317" s="25">
        <f t="shared" si="2977"/>
        <v>9</v>
      </c>
      <c r="L317" s="25">
        <f t="shared" si="2977"/>
        <v>5</v>
      </c>
      <c r="M317" s="41">
        <f t="shared" si="2977"/>
        <v>11</v>
      </c>
      <c r="N317" s="41">
        <f t="shared" si="2977"/>
        <v>9</v>
      </c>
      <c r="O317" s="41">
        <f t="shared" ref="O317:P317" si="2978">O318-O311-O313-O315-O316-O312-O314</f>
        <v>0</v>
      </c>
      <c r="P317" s="41">
        <f t="shared" si="2978"/>
        <v>0</v>
      </c>
      <c r="Q317" s="41">
        <f t="shared" ref="Q317:R317" si="2979">Q318-Q311-Q313-Q315-Q316-Q312-Q314</f>
        <v>0</v>
      </c>
      <c r="R317" s="41">
        <f t="shared" si="2979"/>
        <v>0</v>
      </c>
      <c r="S317" s="41">
        <f t="shared" ref="S317:T317" si="2980">S318-S311-S313-S315-S316-S312-S314</f>
        <v>0</v>
      </c>
      <c r="T317" s="41">
        <f t="shared" si="2980"/>
        <v>0</v>
      </c>
      <c r="U317" s="41">
        <f t="shared" ref="U317:V317" si="2981">U318-U311-U313-U315-U316-U312-U314</f>
        <v>0</v>
      </c>
      <c r="V317" s="41">
        <f t="shared" si="2981"/>
        <v>0</v>
      </c>
      <c r="W317" s="41">
        <f t="shared" ref="W317:X317" si="2982">W318-W311-W313-W315-W316-W312-W314</f>
        <v>0</v>
      </c>
      <c r="X317" s="41">
        <f t="shared" si="2982"/>
        <v>0</v>
      </c>
      <c r="Y317" s="41">
        <f t="shared" ref="Y317:Z317" si="2983">Y318-Y311-Y313-Y315-Y316-Y312-Y314</f>
        <v>0</v>
      </c>
      <c r="Z317" s="41">
        <f t="shared" si="2983"/>
        <v>0</v>
      </c>
      <c r="AA317" s="41">
        <f t="shared" ref="AA317:AB317" si="2984">AA318-AA311-AA313-AA315-AA316-AA312-AA314</f>
        <v>0</v>
      </c>
      <c r="AB317" s="41">
        <f t="shared" si="2984"/>
        <v>0</v>
      </c>
      <c r="AC317" s="41">
        <f t="shared" ref="AC317:AD317" si="2985">AC318-AC311-AC313-AC315-AC316-AC312-AC314</f>
        <v>0</v>
      </c>
      <c r="AD317" s="41">
        <f t="shared" si="2985"/>
        <v>0</v>
      </c>
      <c r="AE317" s="41">
        <f t="shared" ref="AE317:AF317" si="2986">AE318-AE311-AE313-AE315-AE316-AE312-AE314</f>
        <v>0</v>
      </c>
      <c r="AF317" s="41">
        <f t="shared" si="2986"/>
        <v>0</v>
      </c>
      <c r="AG317" s="41">
        <f t="shared" ref="AG317:AI317" si="2987">AG318-AG311-AG313-AG315-AG316-AG312-AG314</f>
        <v>0</v>
      </c>
      <c r="AH317" s="41">
        <f t="shared" si="2987"/>
        <v>0</v>
      </c>
      <c r="AI317" s="42">
        <f t="shared" si="2987"/>
        <v>0</v>
      </c>
      <c r="AJ317" s="41">
        <f t="shared" ref="AJ317:AR317" si="2988">IF(ISERROR(AI317*(1+AJ360)),0,AI317*(1+AJ360))</f>
        <v>0</v>
      </c>
      <c r="AK317" s="41">
        <f t="shared" si="2988"/>
        <v>0</v>
      </c>
      <c r="AL317" s="41">
        <f t="shared" si="2988"/>
        <v>0</v>
      </c>
      <c r="AM317" s="41">
        <f t="shared" si="2988"/>
        <v>0</v>
      </c>
      <c r="AN317" s="41">
        <f t="shared" si="2988"/>
        <v>0</v>
      </c>
      <c r="AO317" s="41">
        <f t="shared" si="2988"/>
        <v>0</v>
      </c>
      <c r="AP317" s="41">
        <f t="shared" si="2988"/>
        <v>0</v>
      </c>
      <c r="AQ317" s="41">
        <f t="shared" si="2988"/>
        <v>0</v>
      </c>
      <c r="AR317" s="41">
        <f t="shared" si="2988"/>
        <v>0</v>
      </c>
      <c r="AS317" s="8"/>
      <c r="AT317" s="41">
        <f t="shared" si="2929"/>
        <v>-192</v>
      </c>
      <c r="AU317" s="41">
        <f t="shared" si="2930"/>
        <v>-180</v>
      </c>
      <c r="AV317" s="41">
        <f t="shared" si="2931"/>
        <v>-101</v>
      </c>
      <c r="AW317" s="41">
        <f t="shared" si="2932"/>
        <v>12</v>
      </c>
      <c r="AX317" s="41">
        <f t="shared" si="2933"/>
        <v>14</v>
      </c>
      <c r="AY317" s="41">
        <f t="shared" si="2934"/>
        <v>20</v>
      </c>
      <c r="AZ317" s="41">
        <f t="shared" si="2935"/>
        <v>0</v>
      </c>
      <c r="BA317" s="41">
        <f t="shared" si="2936"/>
        <v>0</v>
      </c>
      <c r="BB317" s="41">
        <f t="shared" si="2937"/>
        <v>0</v>
      </c>
      <c r="BC317" s="41">
        <f t="shared" si="2938"/>
        <v>0</v>
      </c>
      <c r="BD317" s="41">
        <f t="shared" si="2939"/>
        <v>0</v>
      </c>
      <c r="BE317" s="41">
        <f t="shared" si="2940"/>
        <v>0</v>
      </c>
      <c r="BF317" s="41">
        <f t="shared" si="2941"/>
        <v>0</v>
      </c>
      <c r="BG317" s="41">
        <f t="shared" si="2942"/>
        <v>0</v>
      </c>
      <c r="BH317" s="41">
        <f t="shared" si="2943"/>
        <v>0</v>
      </c>
      <c r="BI317" s="42">
        <f t="shared" si="2944"/>
        <v>0</v>
      </c>
      <c r="BJ317" s="41">
        <f t="shared" si="2945"/>
        <v>0</v>
      </c>
      <c r="BK317" s="41">
        <f t="shared" si="2946"/>
        <v>0</v>
      </c>
      <c r="BL317" s="41">
        <f t="shared" si="2947"/>
        <v>0</v>
      </c>
      <c r="BM317" s="41">
        <f t="shared" si="2948"/>
        <v>0</v>
      </c>
      <c r="BN317" s="41">
        <f t="shared" si="2949"/>
        <v>0</v>
      </c>
    </row>
    <row r="318" spans="1:67" ht="12" customHeight="1" outlineLevel="1">
      <c r="A318" s="91" t="s">
        <v>1230</v>
      </c>
      <c r="B318" s="9" t="s">
        <v>118</v>
      </c>
      <c r="C318" s="22">
        <v>473</v>
      </c>
      <c r="D318" s="22">
        <f>837-C318</f>
        <v>364</v>
      </c>
      <c r="E318" s="22">
        <v>303</v>
      </c>
      <c r="F318" s="22">
        <f>716-E318</f>
        <v>413</v>
      </c>
      <c r="G318" s="22">
        <v>292</v>
      </c>
      <c r="H318" s="22">
        <f>573-G318</f>
        <v>281</v>
      </c>
      <c r="I318" s="22">
        <v>300</v>
      </c>
      <c r="J318" s="22">
        <v>286</v>
      </c>
      <c r="K318" s="22">
        <v>321</v>
      </c>
      <c r="L318" s="22">
        <v>406</v>
      </c>
      <c r="M318" s="61">
        <v>361</v>
      </c>
      <c r="N318" s="61">
        <v>499</v>
      </c>
      <c r="O318" s="61">
        <v>501</v>
      </c>
      <c r="P318" s="61">
        <v>369</v>
      </c>
      <c r="Q318" s="61">
        <v>416</v>
      </c>
      <c r="R318" s="61">
        <v>471</v>
      </c>
      <c r="S318" s="61">
        <v>422</v>
      </c>
      <c r="T318" s="61">
        <v>423</v>
      </c>
      <c r="U318" s="61">
        <v>526</v>
      </c>
      <c r="V318" s="61">
        <v>497</v>
      </c>
      <c r="W318" s="61">
        <v>738</v>
      </c>
      <c r="X318" s="61">
        <v>854</v>
      </c>
      <c r="Y318" s="61">
        <v>665</v>
      </c>
      <c r="Z318" s="61">
        <v>722</v>
      </c>
      <c r="AA318" s="61">
        <v>865</v>
      </c>
      <c r="AB318" s="61">
        <v>1003</v>
      </c>
      <c r="AC318" s="61">
        <v>664</v>
      </c>
      <c r="AD318" s="61">
        <v>692</v>
      </c>
      <c r="AE318" s="61">
        <v>628</v>
      </c>
      <c r="AF318" s="61">
        <v>573</v>
      </c>
      <c r="AG318" s="61">
        <v>671</v>
      </c>
      <c r="AH318" s="61">
        <v>782</v>
      </c>
      <c r="AI318" s="338">
        <v>850</v>
      </c>
      <c r="AJ318" s="39">
        <f t="shared" ref="AJ318" si="2989">AJ311+AJ312+AJ313+AJ314+AJ315+AJ316+AJ317</f>
        <v>737.96500000000003</v>
      </c>
      <c r="AK318" s="39">
        <f t="shared" ref="AK318:AL318" si="2990">AK311+AK312+AK313+AK314+AK315+AK316+AK317</f>
        <v>811.2</v>
      </c>
      <c r="AL318" s="39">
        <f t="shared" si="2990"/>
        <v>814.34179999999992</v>
      </c>
      <c r="AM318" s="39">
        <f t="shared" ref="AM318:AN318" si="2991">AM311+AM312+AM313+AM314+AM315+AM316+AM317</f>
        <v>841.49279999999999</v>
      </c>
      <c r="AN318" s="39">
        <f t="shared" si="2991"/>
        <v>849.95344</v>
      </c>
      <c r="AO318" s="39">
        <f t="shared" ref="AO318:AP318" si="2992">AO311+AO312+AO313+AO314+AO315+AO316+AO317</f>
        <v>878.27983200000006</v>
      </c>
      <c r="AP318" s="39">
        <f t="shared" si="2992"/>
        <v>887.14144400000009</v>
      </c>
      <c r="AQ318" s="39">
        <f t="shared" ref="AQ318:AR318" si="2993">AQ311+AQ312+AQ313+AQ314+AQ315+AQ316+AQ317</f>
        <v>916.69471128000009</v>
      </c>
      <c r="AR318" s="39">
        <f t="shared" si="2993"/>
        <v>925.97646148000013</v>
      </c>
      <c r="AS318" s="8"/>
      <c r="AT318" s="39">
        <f t="shared" ref="AT318:BB318" si="2994">AT311+AT312+AT313+AT314+AT315+AT316+AT317</f>
        <v>837</v>
      </c>
      <c r="AU318" s="39">
        <f t="shared" si="2994"/>
        <v>716</v>
      </c>
      <c r="AV318" s="39">
        <f t="shared" si="2994"/>
        <v>573</v>
      </c>
      <c r="AW318" s="39">
        <f t="shared" si="2994"/>
        <v>586</v>
      </c>
      <c r="AX318" s="39">
        <f t="shared" si="2994"/>
        <v>727</v>
      </c>
      <c r="AY318" s="39">
        <f t="shared" si="2994"/>
        <v>860</v>
      </c>
      <c r="AZ318" s="39">
        <f t="shared" si="2994"/>
        <v>870</v>
      </c>
      <c r="BA318" s="39">
        <f t="shared" si="2994"/>
        <v>887</v>
      </c>
      <c r="BB318" s="39">
        <f t="shared" si="2994"/>
        <v>845</v>
      </c>
      <c r="BC318" s="39">
        <f t="shared" ref="BC318" si="2995">BC311+BC312+BC313+BC314+BC315+BC316+BC317</f>
        <v>1023</v>
      </c>
      <c r="BD318" s="39">
        <f t="shared" ref="BD318:BI318" si="2996">BD311+BD312+BD313+BD314+BD315+BD316+BD317</f>
        <v>1592</v>
      </c>
      <c r="BE318" s="39">
        <f t="shared" si="2996"/>
        <v>1387</v>
      </c>
      <c r="BF318" s="39">
        <f t="shared" si="2996"/>
        <v>1868</v>
      </c>
      <c r="BG318" s="39">
        <f t="shared" si="2996"/>
        <v>1356</v>
      </c>
      <c r="BH318" s="39">
        <f t="shared" si="2996"/>
        <v>1201</v>
      </c>
      <c r="BI318" s="40">
        <f t="shared" si="2996"/>
        <v>1453</v>
      </c>
      <c r="BJ318" s="39">
        <f t="shared" ref="BJ318:BK318" si="2997">BJ311+BJ312+BJ313+BJ314+BJ315+BJ316+BJ317</f>
        <v>1587.9650000000001</v>
      </c>
      <c r="BK318" s="39">
        <f t="shared" si="2997"/>
        <v>1625.5418</v>
      </c>
      <c r="BL318" s="39">
        <f t="shared" ref="BL318:BM318" si="2998">BL311+BL312+BL313+BL314+BL315+BL316+BL317</f>
        <v>1691.44624</v>
      </c>
      <c r="BM318" s="39">
        <f t="shared" si="2998"/>
        <v>1765.421276</v>
      </c>
      <c r="BN318" s="39">
        <f>BN311+BN312+BN313+BN314+BN315+BN316+BN317</f>
        <v>1842.6711727600002</v>
      </c>
      <c r="BO318" s="19">
        <f>+BK318-BJ318</f>
        <v>37.576799999999821</v>
      </c>
    </row>
    <row r="319" spans="1:67" ht="12" customHeight="1" outlineLevel="1">
      <c r="A319" s="91" t="s">
        <v>1231</v>
      </c>
      <c r="B319" s="1" t="s">
        <v>8</v>
      </c>
      <c r="C319" s="21">
        <v>70</v>
      </c>
      <c r="D319" s="21">
        <f>77-C319</f>
        <v>7</v>
      </c>
      <c r="E319" s="21">
        <v>28</v>
      </c>
      <c r="F319" s="21">
        <f>27-E319</f>
        <v>-1</v>
      </c>
      <c r="G319" s="21">
        <v>-27</v>
      </c>
      <c r="H319" s="21">
        <f>-44-G319</f>
        <v>-17</v>
      </c>
      <c r="I319" s="21">
        <v>-7</v>
      </c>
      <c r="J319" s="21">
        <v>-7</v>
      </c>
      <c r="K319" s="21">
        <v>-3</v>
      </c>
      <c r="L319" s="21">
        <v>-35</v>
      </c>
      <c r="M319" s="62">
        <f>-13-M310</f>
        <v>-13</v>
      </c>
      <c r="N319" s="62">
        <f>-11-N310</f>
        <v>-11</v>
      </c>
      <c r="O319" s="62">
        <v>31</v>
      </c>
      <c r="P319" s="62">
        <v>-15</v>
      </c>
      <c r="Q319" s="62">
        <f>11-Q310</f>
        <v>11</v>
      </c>
      <c r="R319" s="62">
        <v>-8</v>
      </c>
      <c r="S319" s="62">
        <v>-54</v>
      </c>
      <c r="T319" s="62">
        <v>-11</v>
      </c>
      <c r="U319" s="62">
        <v>61</v>
      </c>
      <c r="V319" s="62">
        <v>26</v>
      </c>
      <c r="W319" s="62">
        <v>-20</v>
      </c>
      <c r="X319" s="62">
        <v>-39</v>
      </c>
      <c r="Y319" s="62">
        <v>6</v>
      </c>
      <c r="Z319" s="62">
        <v>63</v>
      </c>
      <c r="AA319" s="62">
        <v>158</v>
      </c>
      <c r="AB319" s="62">
        <v>256</v>
      </c>
      <c r="AC319" s="62">
        <v>154</v>
      </c>
      <c r="AD319" s="62">
        <v>256</v>
      </c>
      <c r="AE319" s="62">
        <v>334</v>
      </c>
      <c r="AF319" s="62">
        <v>356</v>
      </c>
      <c r="AG319" s="62">
        <v>322</v>
      </c>
      <c r="AH319" s="62">
        <v>490</v>
      </c>
      <c r="AI319" s="57">
        <v>497</v>
      </c>
      <c r="AJ319" s="41">
        <f>AJ308*AJ361/AJ5</f>
        <v>494.30496496980157</v>
      </c>
      <c r="AK319" s="41">
        <f t="shared" ref="AK319" si="2999">IF(ISERROR(AJ319*(1+AK361)),0,AJ319*(1+AK361))</f>
        <v>514.93640406565351</v>
      </c>
      <c r="AL319" s="41">
        <f t="shared" ref="AL319" si="3000">IF(ISERROR(AK319*(1+AL361)),0,AK319*(1+AL361))</f>
        <v>536.42896394590196</v>
      </c>
      <c r="AM319" s="41">
        <f t="shared" ref="AM319" si="3001">IF(ISERROR(AL319*(1+AM361)),0,AL319*(1+AM361))</f>
        <v>558.81858631106877</v>
      </c>
      <c r="AN319" s="41">
        <f t="shared" ref="AN319" si="3002">IF(ISERROR(AM319*(1+AN361)),0,AM319*(1+AN361))</f>
        <v>582.14271300644043</v>
      </c>
      <c r="AO319" s="41">
        <f t="shared" ref="AO319" si="3003">IF(ISERROR(AN319*(1+AO361)),0,AN319*(1+AO361))</f>
        <v>606.44034863553054</v>
      </c>
      <c r="AP319" s="41">
        <f t="shared" ref="AP319" si="3004">IF(ISERROR(AO319*(1+AP361)),0,AO319*(1+AP361))</f>
        <v>631.75212578692037</v>
      </c>
      <c r="AQ319" s="41">
        <f t="shared" ref="AQ319" si="3005">IF(ISERROR(AP319*(1+AQ361)),0,AP319*(1+AQ361))</f>
        <v>658.12037298355563</v>
      </c>
      <c r="AR319" s="41">
        <f t="shared" ref="AR319" si="3006">IF(ISERROR(AQ319*(1+AR361)),0,AQ319*(1+AR361))</f>
        <v>685.58918546813004</v>
      </c>
      <c r="AS319" s="8"/>
      <c r="AT319" s="41">
        <f>C319+D319</f>
        <v>77</v>
      </c>
      <c r="AU319" s="41">
        <f>E319+F319</f>
        <v>27</v>
      </c>
      <c r="AV319" s="41">
        <f>G319+H319</f>
        <v>-44</v>
      </c>
      <c r="AW319" s="41">
        <f>I319+J319</f>
        <v>-14</v>
      </c>
      <c r="AX319" s="41">
        <f>K319+L319</f>
        <v>-38</v>
      </c>
      <c r="AY319" s="41">
        <f>M319+N319</f>
        <v>-24</v>
      </c>
      <c r="AZ319" s="41">
        <f>O319+P319</f>
        <v>16</v>
      </c>
      <c r="BA319" s="41">
        <f>Q319+R319</f>
        <v>3</v>
      </c>
      <c r="BB319" s="41">
        <f>S319+T319</f>
        <v>-65</v>
      </c>
      <c r="BC319" s="41">
        <f>U319+V319</f>
        <v>87</v>
      </c>
      <c r="BD319" s="41">
        <f>W319+X319</f>
        <v>-59</v>
      </c>
      <c r="BE319" s="41">
        <f>Y319+Z319</f>
        <v>69</v>
      </c>
      <c r="BF319" s="41">
        <f>AA319+AB319</f>
        <v>414</v>
      </c>
      <c r="BG319" s="41">
        <f>AC319+AD319</f>
        <v>410</v>
      </c>
      <c r="BH319" s="41">
        <f>AE319+AF319</f>
        <v>690</v>
      </c>
      <c r="BI319" s="42">
        <f>AG319+AH319</f>
        <v>812</v>
      </c>
      <c r="BJ319" s="41">
        <f>AI319+AJ319</f>
        <v>991.30496496980163</v>
      </c>
      <c r="BK319" s="41">
        <f>AK319+AL319</f>
        <v>1051.3653680115553</v>
      </c>
      <c r="BL319" s="41">
        <f>AM319+AN319</f>
        <v>1140.9612993175092</v>
      </c>
      <c r="BM319" s="41">
        <f>AO319+AP319</f>
        <v>1238.1924744224509</v>
      </c>
      <c r="BN319" s="41">
        <f>AQ319+AR319</f>
        <v>1343.7095584516856</v>
      </c>
      <c r="BO319" s="19">
        <f>+BK319-BJ319</f>
        <v>60.060403041753716</v>
      </c>
    </row>
    <row r="320" spans="1:67" ht="12" customHeight="1" outlineLevel="1">
      <c r="A320" s="91" t="s">
        <v>1232</v>
      </c>
      <c r="B320" s="1" t="s">
        <v>9</v>
      </c>
      <c r="C320" s="21">
        <v>-24</v>
      </c>
      <c r="D320" s="21">
        <f>-22-C320</f>
        <v>2</v>
      </c>
      <c r="E320" s="21">
        <v>37</v>
      </c>
      <c r="F320" s="21">
        <f>55-E320</f>
        <v>18</v>
      </c>
      <c r="G320" s="21">
        <v>18</v>
      </c>
      <c r="H320" s="21">
        <f>80-G320</f>
        <v>62</v>
      </c>
      <c r="I320" s="21">
        <v>6</v>
      </c>
      <c r="J320" s="21">
        <v>7</v>
      </c>
      <c r="K320" s="21">
        <v>-5</v>
      </c>
      <c r="L320" s="21">
        <v>23</v>
      </c>
      <c r="M320" s="62">
        <v>-7</v>
      </c>
      <c r="N320" s="62">
        <v>20</v>
      </c>
      <c r="O320" s="62">
        <v>-12</v>
      </c>
      <c r="P320" s="62">
        <v>1</v>
      </c>
      <c r="Q320" s="62">
        <v>-20</v>
      </c>
      <c r="R320" s="62">
        <v>48</v>
      </c>
      <c r="S320" s="62">
        <v>45</v>
      </c>
      <c r="T320" s="62">
        <v>3</v>
      </c>
      <c r="U320" s="62">
        <v>-89</v>
      </c>
      <c r="V320" s="62">
        <v>-102</v>
      </c>
      <c r="W320" s="62">
        <v>-137</v>
      </c>
      <c r="X320" s="62">
        <v>-61</v>
      </c>
      <c r="Y320" s="62">
        <v>-17</v>
      </c>
      <c r="Z320" s="62">
        <v>-18</v>
      </c>
      <c r="AA320" s="62">
        <v>43</v>
      </c>
      <c r="AB320" s="62">
        <v>-98</v>
      </c>
      <c r="AC320" s="62">
        <v>-42</v>
      </c>
      <c r="AD320" s="62">
        <v>-95</v>
      </c>
      <c r="AE320" s="62">
        <v>-48</v>
      </c>
      <c r="AF320" s="62">
        <v>-96</v>
      </c>
      <c r="AG320" s="62">
        <v>-85</v>
      </c>
      <c r="AH320" s="62">
        <v>-44</v>
      </c>
      <c r="AI320" s="57">
        <v>-116</v>
      </c>
      <c r="AJ320" s="58">
        <f>AVERAGE(AC320:AI320)</f>
        <v>-75.142857142857139</v>
      </c>
      <c r="AK320" s="58">
        <f>AJ320</f>
        <v>-75.142857142857139</v>
      </c>
      <c r="AL320" s="58">
        <f t="shared" ref="AL320:AR320" si="3007">AJ320</f>
        <v>-75.142857142857139</v>
      </c>
      <c r="AM320" s="58">
        <f t="shared" si="3007"/>
        <v>-75.142857142857139</v>
      </c>
      <c r="AN320" s="58">
        <f t="shared" si="3007"/>
        <v>-75.142857142857139</v>
      </c>
      <c r="AO320" s="58">
        <f t="shared" si="3007"/>
        <v>-75.142857142857139</v>
      </c>
      <c r="AP320" s="58">
        <f t="shared" si="3007"/>
        <v>-75.142857142857139</v>
      </c>
      <c r="AQ320" s="58">
        <f t="shared" si="3007"/>
        <v>-75.142857142857139</v>
      </c>
      <c r="AR320" s="58">
        <f t="shared" si="3007"/>
        <v>-75.142857142857139</v>
      </c>
      <c r="AS320" s="8"/>
      <c r="AT320" s="41">
        <f>C320+D320</f>
        <v>-22</v>
      </c>
      <c r="AU320" s="41">
        <f>E320+F320</f>
        <v>55</v>
      </c>
      <c r="AV320" s="41">
        <f>G320+H320</f>
        <v>80</v>
      </c>
      <c r="AW320" s="41">
        <f>I320+J320</f>
        <v>13</v>
      </c>
      <c r="AX320" s="41">
        <f>K320+L320</f>
        <v>18</v>
      </c>
      <c r="AY320" s="41">
        <f>M320+N320</f>
        <v>13</v>
      </c>
      <c r="AZ320" s="41">
        <f>O320+P320</f>
        <v>-11</v>
      </c>
      <c r="BA320" s="41">
        <f>Q320+R320</f>
        <v>28</v>
      </c>
      <c r="BB320" s="41">
        <f>S320+T320</f>
        <v>48</v>
      </c>
      <c r="BC320" s="41">
        <f>U320+V320</f>
        <v>-191</v>
      </c>
      <c r="BD320" s="41">
        <f>W320+X320</f>
        <v>-198</v>
      </c>
      <c r="BE320" s="41">
        <f>Y320+Z320</f>
        <v>-35</v>
      </c>
      <c r="BF320" s="41">
        <f>AA320+AB320</f>
        <v>-55</v>
      </c>
      <c r="BG320" s="41">
        <f>AC320+AD320</f>
        <v>-137</v>
      </c>
      <c r="BH320" s="41">
        <f>AE320+AF320</f>
        <v>-144</v>
      </c>
      <c r="BI320" s="42">
        <f>AG320+AH320</f>
        <v>-129</v>
      </c>
      <c r="BJ320" s="41">
        <f>AI320+AJ320</f>
        <v>-191.14285714285714</v>
      </c>
      <c r="BK320" s="41">
        <f>AK320+AL320</f>
        <v>-150.28571428571428</v>
      </c>
      <c r="BL320" s="41">
        <f>AM320+AN320</f>
        <v>-150.28571428571428</v>
      </c>
      <c r="BM320" s="41">
        <f>AO320+AP320</f>
        <v>-150.28571428571428</v>
      </c>
      <c r="BN320" s="41">
        <f>AQ320+AR320</f>
        <v>-150.28571428571428</v>
      </c>
      <c r="BO320" s="19">
        <f>+BK320-BJ320</f>
        <v>40.857142857142861</v>
      </c>
    </row>
    <row r="321" spans="1:67" ht="12" customHeight="1" outlineLevel="1">
      <c r="A321" s="91" t="s">
        <v>1233</v>
      </c>
      <c r="B321" s="1" t="s">
        <v>1844</v>
      </c>
      <c r="C321" s="21">
        <v>-4</v>
      </c>
      <c r="D321" s="21">
        <f>-4-C321</f>
        <v>0</v>
      </c>
      <c r="E321" s="21">
        <v>-10</v>
      </c>
      <c r="F321" s="21">
        <f>-8-E321</f>
        <v>2</v>
      </c>
      <c r="G321" s="21">
        <v>-5</v>
      </c>
      <c r="H321" s="21">
        <f>-30-G321</f>
        <v>-25</v>
      </c>
      <c r="I321" s="21">
        <v>-13</v>
      </c>
      <c r="J321" s="21">
        <v>-23</v>
      </c>
      <c r="K321" s="21">
        <v>-13</v>
      </c>
      <c r="L321" s="21">
        <v>-17</v>
      </c>
      <c r="M321" s="62">
        <v>-16</v>
      </c>
      <c r="N321" s="62">
        <v>-13</v>
      </c>
      <c r="O321" s="62">
        <v>-61</v>
      </c>
      <c r="P321" s="62">
        <v>-15</v>
      </c>
      <c r="Q321" s="62">
        <v>-55</v>
      </c>
      <c r="R321" s="62">
        <v>3</v>
      </c>
      <c r="S321" s="62">
        <v>-18</v>
      </c>
      <c r="T321" s="62">
        <v>-38</v>
      </c>
      <c r="U321" s="62">
        <v>4</v>
      </c>
      <c r="V321" s="62">
        <v>-179</v>
      </c>
      <c r="W321" s="62">
        <v>-62</v>
      </c>
      <c r="X321" s="62">
        <v>-220</v>
      </c>
      <c r="Y321" s="62">
        <v>-119</v>
      </c>
      <c r="Z321" s="62">
        <v>-110</v>
      </c>
      <c r="AA321" s="62">
        <v>-137</v>
      </c>
      <c r="AB321" s="62">
        <v>-225</v>
      </c>
      <c r="AC321" s="62">
        <v>-195</v>
      </c>
      <c r="AD321" s="62">
        <v>-99</v>
      </c>
      <c r="AE321" s="62">
        <v>33</v>
      </c>
      <c r="AF321" s="62">
        <v>131</v>
      </c>
      <c r="AG321" s="62">
        <v>-42</v>
      </c>
      <c r="AH321" s="62">
        <v>-73</v>
      </c>
      <c r="AI321" s="57">
        <v>-13</v>
      </c>
      <c r="AJ321" s="41">
        <v>-17.7</v>
      </c>
      <c r="AK321" s="41">
        <f>AJ321*1.25</f>
        <v>-22.125</v>
      </c>
      <c r="AL321" s="41">
        <f t="shared" ref="AL321" si="3008">AK321*AL$23/AK$23</f>
        <v>-28.606575298226716</v>
      </c>
      <c r="AM321" s="41">
        <f>AL321*AM$23/AL$23</f>
        <v>-33.279259437079865</v>
      </c>
      <c r="AN321" s="41">
        <f t="shared" ref="AN321" si="3009">AM321*AN$23/AM$23</f>
        <v>-32.466209968407085</v>
      </c>
      <c r="AO321" s="41">
        <f>AN321*AO$23/AN$23</f>
        <v>-38.802911415565312</v>
      </c>
      <c r="AP321" s="41">
        <f t="shared" ref="AP321" si="3010">AO321*AP$23/AO$23</f>
        <v>-38.888984010425197</v>
      </c>
      <c r="AQ321" s="41">
        <f>AP321*AQ$23/AP$23</f>
        <v>-39.162534281288323</v>
      </c>
      <c r="AR321" s="41">
        <f t="shared" ref="AR321" si="3011">AQ321*AR$23/AQ$23</f>
        <v>-39.352512586175393</v>
      </c>
      <c r="AS321" s="8"/>
      <c r="AT321" s="41">
        <f>C321+D321</f>
        <v>-4</v>
      </c>
      <c r="AU321" s="41">
        <f>E321+F321</f>
        <v>-8</v>
      </c>
      <c r="AV321" s="41">
        <f>G321+H321</f>
        <v>-30</v>
      </c>
      <c r="AW321" s="41">
        <f>I321+J321</f>
        <v>-36</v>
      </c>
      <c r="AX321" s="41">
        <f>K321+L321</f>
        <v>-30</v>
      </c>
      <c r="AY321" s="41">
        <f>M321+N321</f>
        <v>-29</v>
      </c>
      <c r="AZ321" s="41">
        <f>O321+P321</f>
        <v>-76</v>
      </c>
      <c r="BA321" s="41">
        <f>Q321+R321</f>
        <v>-52</v>
      </c>
      <c r="BB321" s="41">
        <f>S321+T321</f>
        <v>-56</v>
      </c>
      <c r="BC321" s="41">
        <f>U321+V321</f>
        <v>-175</v>
      </c>
      <c r="BD321" s="41">
        <f>W321+X321</f>
        <v>-282</v>
      </c>
      <c r="BE321" s="41">
        <f>Y321+Z321</f>
        <v>-229</v>
      </c>
      <c r="BF321" s="41">
        <f>AA321+AB321</f>
        <v>-362</v>
      </c>
      <c r="BG321" s="41">
        <f>AC321+AD321</f>
        <v>-294</v>
      </c>
      <c r="BH321" s="41">
        <f>AE321+AF321</f>
        <v>164</v>
      </c>
      <c r="BI321" s="42">
        <f>AG321+AH321</f>
        <v>-115</v>
      </c>
      <c r="BJ321" s="41">
        <f>AI321+AJ321</f>
        <v>-30.7</v>
      </c>
      <c r="BK321" s="41">
        <f>AK321+AL321</f>
        <v>-50.731575298226716</v>
      </c>
      <c r="BL321" s="41">
        <f>AM321+AN321</f>
        <v>-65.745469405486944</v>
      </c>
      <c r="BM321" s="41">
        <f>AO321+AP321</f>
        <v>-77.691895425990509</v>
      </c>
      <c r="BN321" s="41">
        <f>AQ321+AR321</f>
        <v>-78.515046867463724</v>
      </c>
    </row>
    <row r="322" spans="1:67" ht="12" customHeight="1" outlineLevel="1">
      <c r="A322" s="91" t="s">
        <v>1853</v>
      </c>
      <c r="B322" s="1" t="s">
        <v>1842</v>
      </c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62"/>
      <c r="N322" s="62"/>
      <c r="O322" s="62"/>
      <c r="P322" s="62"/>
      <c r="Q322" s="62"/>
      <c r="R322" s="62"/>
      <c r="S322" s="62"/>
      <c r="T322" s="62"/>
      <c r="U322" s="62"/>
      <c r="V322" s="62"/>
      <c r="W322" s="62">
        <v>590</v>
      </c>
      <c r="X322" s="62">
        <v>827</v>
      </c>
      <c r="Y322" s="62">
        <v>123</v>
      </c>
      <c r="Z322" s="62">
        <v>998</v>
      </c>
      <c r="AA322" s="62">
        <v>418</v>
      </c>
      <c r="AB322" s="62">
        <v>725</v>
      </c>
      <c r="AC322" s="62">
        <v>693</v>
      </c>
      <c r="AD322" s="62">
        <v>184</v>
      </c>
      <c r="AE322" s="62">
        <v>253</v>
      </c>
      <c r="AF322" s="62">
        <v>430</v>
      </c>
      <c r="AG322" s="62">
        <v>309</v>
      </c>
      <c r="AH322" s="62">
        <v>303</v>
      </c>
      <c r="AI322" s="57">
        <v>292</v>
      </c>
      <c r="AJ322" s="58">
        <v>350</v>
      </c>
      <c r="AK322" s="58">
        <f>AI322*(1+15%)</f>
        <v>335.79999999999995</v>
      </c>
      <c r="AL322" s="58">
        <f>AK322*(1+8%)</f>
        <v>362.66399999999999</v>
      </c>
      <c r="AM322" s="58">
        <f t="shared" ref="AM322:AO322" si="3012">AL322*(1+8%)</f>
        <v>391.67712</v>
      </c>
      <c r="AN322" s="58">
        <f t="shared" si="3012"/>
        <v>423.01128960000005</v>
      </c>
      <c r="AO322" s="58">
        <f t="shared" si="3012"/>
        <v>456.85219276800007</v>
      </c>
      <c r="AP322" s="58">
        <f t="shared" ref="AP322:AQ322" si="3013">AO322*(1+5%)</f>
        <v>479.69480240640007</v>
      </c>
      <c r="AQ322" s="58">
        <f t="shared" si="3013"/>
        <v>503.67954252672007</v>
      </c>
      <c r="AR322" s="58">
        <f t="shared" ref="AR322" si="3014">AQ322*1.03</f>
        <v>518.78992880252167</v>
      </c>
      <c r="AS322" s="8"/>
      <c r="AT322" s="41">
        <f t="shared" ref="AT322:AT325" si="3015">C322+D322</f>
        <v>0</v>
      </c>
      <c r="AU322" s="41">
        <f t="shared" ref="AU322:AU325" si="3016">E322+F322</f>
        <v>0</v>
      </c>
      <c r="AV322" s="41">
        <f t="shared" ref="AV322:AV325" si="3017">G322+H322</f>
        <v>0</v>
      </c>
      <c r="AW322" s="41">
        <f t="shared" ref="AW322:AW325" si="3018">I322+J322</f>
        <v>0</v>
      </c>
      <c r="AX322" s="41">
        <f t="shared" ref="AX322:AX325" si="3019">K322+L322</f>
        <v>0</v>
      </c>
      <c r="AY322" s="41">
        <f t="shared" ref="AY322:AY325" si="3020">M322+N322</f>
        <v>0</v>
      </c>
      <c r="AZ322" s="41">
        <f t="shared" ref="AZ322:AZ325" si="3021">O322+P322</f>
        <v>0</v>
      </c>
      <c r="BA322" s="41">
        <f t="shared" ref="BA322:BA325" si="3022">Q322+R322</f>
        <v>0</v>
      </c>
      <c r="BB322" s="41">
        <f t="shared" ref="BB322:BB325" si="3023">S322+T322</f>
        <v>0</v>
      </c>
      <c r="BC322" s="41">
        <f t="shared" ref="BC322:BC325" si="3024">U322+V322</f>
        <v>0</v>
      </c>
      <c r="BD322" s="41">
        <f t="shared" ref="BD322:BD325" si="3025">W322+X322</f>
        <v>1417</v>
      </c>
      <c r="BE322" s="41">
        <f t="shared" ref="BE322:BE325" si="3026">Y322+Z322</f>
        <v>1121</v>
      </c>
      <c r="BF322" s="41">
        <f t="shared" ref="BF322:BF325" si="3027">AA322+AB322</f>
        <v>1143</v>
      </c>
      <c r="BG322" s="41">
        <f t="shared" ref="BG322:BG325" si="3028">AC322+AD322</f>
        <v>877</v>
      </c>
      <c r="BH322" s="41">
        <f t="shared" ref="BH322:BH325" si="3029">AE322+AF322</f>
        <v>683</v>
      </c>
      <c r="BI322" s="42">
        <f t="shared" ref="BI322:BI325" si="3030">AG322+AH322</f>
        <v>612</v>
      </c>
      <c r="BJ322" s="41">
        <f t="shared" ref="BJ322:BJ324" si="3031">AI322+AJ322</f>
        <v>642</v>
      </c>
      <c r="BK322" s="41">
        <f t="shared" ref="BK322:BK324" si="3032">AK322+AL322</f>
        <v>698.46399999999994</v>
      </c>
      <c r="BL322" s="41">
        <f t="shared" ref="BL322:BL324" si="3033">AM322+AN322</f>
        <v>814.68840960000011</v>
      </c>
      <c r="BM322" s="41">
        <f t="shared" ref="BM322:BM324" si="3034">AO322+AP322</f>
        <v>936.54699517440008</v>
      </c>
      <c r="BN322" s="41">
        <f t="shared" ref="BN322:BN324" si="3035">AQ322+AR322</f>
        <v>1022.4694713292417</v>
      </c>
      <c r="BO322" s="19">
        <f>+BK322-BJ322</f>
        <v>56.463999999999942</v>
      </c>
    </row>
    <row r="323" spans="1:67" ht="12" customHeight="1" outlineLevel="1">
      <c r="A323" s="91" t="s">
        <v>1854</v>
      </c>
      <c r="B323" s="1" t="s">
        <v>1838</v>
      </c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62"/>
      <c r="N323" s="62"/>
      <c r="O323" s="62"/>
      <c r="P323" s="62"/>
      <c r="Q323" s="62"/>
      <c r="R323" s="62"/>
      <c r="S323" s="62"/>
      <c r="T323" s="62"/>
      <c r="U323" s="62"/>
      <c r="V323" s="62"/>
      <c r="W323" s="62">
        <v>0</v>
      </c>
      <c r="X323" s="62">
        <v>0</v>
      </c>
      <c r="Y323" s="62">
        <v>0</v>
      </c>
      <c r="Z323" s="62">
        <v>0</v>
      </c>
      <c r="AA323" s="62">
        <v>0</v>
      </c>
      <c r="AB323" s="62">
        <v>0</v>
      </c>
      <c r="AC323" s="62">
        <v>0</v>
      </c>
      <c r="AD323" s="62">
        <v>0</v>
      </c>
      <c r="AE323" s="62">
        <v>0</v>
      </c>
      <c r="AF323" s="62">
        <v>0</v>
      </c>
      <c r="AG323" s="62">
        <v>0</v>
      </c>
      <c r="AH323" s="62">
        <v>0</v>
      </c>
      <c r="AI323" s="57">
        <v>0</v>
      </c>
      <c r="AJ323" s="58">
        <f t="shared" ref="AJ323:AJ324" si="3036">AI323</f>
        <v>0</v>
      </c>
      <c r="AK323" s="58">
        <f t="shared" ref="AK323:AK324" si="3037">AJ323</f>
        <v>0</v>
      </c>
      <c r="AL323" s="58">
        <f t="shared" ref="AL323:AL324" si="3038">AK323</f>
        <v>0</v>
      </c>
      <c r="AM323" s="58">
        <f t="shared" ref="AM323:AM324" si="3039">AL323</f>
        <v>0</v>
      </c>
      <c r="AN323" s="58">
        <f t="shared" ref="AN323:AN324" si="3040">AM323</f>
        <v>0</v>
      </c>
      <c r="AO323" s="58">
        <f t="shared" ref="AO323:AO324" si="3041">AN323</f>
        <v>0</v>
      </c>
      <c r="AP323" s="58">
        <f t="shared" ref="AP323:AP324" si="3042">AO323</f>
        <v>0</v>
      </c>
      <c r="AQ323" s="58">
        <f t="shared" ref="AQ323:AQ324" si="3043">AP323</f>
        <v>0</v>
      </c>
      <c r="AR323" s="58">
        <f t="shared" ref="AR323:AR324" si="3044">AQ323</f>
        <v>0</v>
      </c>
      <c r="AS323" s="8"/>
      <c r="AT323" s="41">
        <f t="shared" si="3015"/>
        <v>0</v>
      </c>
      <c r="AU323" s="41">
        <f t="shared" si="3016"/>
        <v>0</v>
      </c>
      <c r="AV323" s="41">
        <f t="shared" si="3017"/>
        <v>0</v>
      </c>
      <c r="AW323" s="41">
        <f t="shared" si="3018"/>
        <v>0</v>
      </c>
      <c r="AX323" s="41">
        <f t="shared" si="3019"/>
        <v>0</v>
      </c>
      <c r="AY323" s="41">
        <f t="shared" si="3020"/>
        <v>0</v>
      </c>
      <c r="AZ323" s="41">
        <f t="shared" si="3021"/>
        <v>0</v>
      </c>
      <c r="BA323" s="41">
        <f t="shared" si="3022"/>
        <v>0</v>
      </c>
      <c r="BB323" s="41">
        <f t="shared" si="3023"/>
        <v>0</v>
      </c>
      <c r="BC323" s="41">
        <f t="shared" si="3024"/>
        <v>0</v>
      </c>
      <c r="BD323" s="41">
        <f t="shared" si="3025"/>
        <v>0</v>
      </c>
      <c r="BE323" s="41">
        <f t="shared" si="3026"/>
        <v>0</v>
      </c>
      <c r="BF323" s="41">
        <f t="shared" si="3027"/>
        <v>0</v>
      </c>
      <c r="BG323" s="41">
        <f t="shared" si="3028"/>
        <v>0</v>
      </c>
      <c r="BH323" s="41">
        <f t="shared" si="3029"/>
        <v>0</v>
      </c>
      <c r="BI323" s="42">
        <f t="shared" si="3030"/>
        <v>0</v>
      </c>
      <c r="BJ323" s="41">
        <f t="shared" si="3031"/>
        <v>0</v>
      </c>
      <c r="BK323" s="41">
        <f t="shared" si="3032"/>
        <v>0</v>
      </c>
      <c r="BL323" s="41">
        <f t="shared" si="3033"/>
        <v>0</v>
      </c>
      <c r="BM323" s="41">
        <f t="shared" si="3034"/>
        <v>0</v>
      </c>
      <c r="BN323" s="41">
        <f t="shared" si="3035"/>
        <v>0</v>
      </c>
    </row>
    <row r="324" spans="1:67" ht="12" customHeight="1" outlineLevel="1">
      <c r="A324" s="91" t="s">
        <v>1855</v>
      </c>
      <c r="B324" s="1" t="s">
        <v>1839</v>
      </c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62"/>
      <c r="N324" s="62"/>
      <c r="O324" s="62"/>
      <c r="P324" s="62"/>
      <c r="Q324" s="62"/>
      <c r="R324" s="62"/>
      <c r="S324" s="62"/>
      <c r="T324" s="62"/>
      <c r="U324" s="62"/>
      <c r="V324" s="62"/>
      <c r="W324" s="62">
        <v>0</v>
      </c>
      <c r="X324" s="62">
        <v>0</v>
      </c>
      <c r="Y324" s="62">
        <v>0</v>
      </c>
      <c r="Z324" s="62">
        <v>0</v>
      </c>
      <c r="AA324" s="62">
        <v>0</v>
      </c>
      <c r="AB324" s="62">
        <v>0</v>
      </c>
      <c r="AC324" s="62">
        <v>0</v>
      </c>
      <c r="AD324" s="62">
        <v>0</v>
      </c>
      <c r="AE324" s="62">
        <v>0</v>
      </c>
      <c r="AF324" s="62">
        <v>0</v>
      </c>
      <c r="AG324" s="62">
        <v>0</v>
      </c>
      <c r="AH324" s="62">
        <v>0</v>
      </c>
      <c r="AI324" s="57">
        <v>0</v>
      </c>
      <c r="AJ324" s="58">
        <f t="shared" si="3036"/>
        <v>0</v>
      </c>
      <c r="AK324" s="58">
        <f t="shared" si="3037"/>
        <v>0</v>
      </c>
      <c r="AL324" s="58">
        <f t="shared" si="3038"/>
        <v>0</v>
      </c>
      <c r="AM324" s="58">
        <f t="shared" si="3039"/>
        <v>0</v>
      </c>
      <c r="AN324" s="58">
        <f t="shared" si="3040"/>
        <v>0</v>
      </c>
      <c r="AO324" s="58">
        <f t="shared" si="3041"/>
        <v>0</v>
      </c>
      <c r="AP324" s="58">
        <f t="shared" si="3042"/>
        <v>0</v>
      </c>
      <c r="AQ324" s="58">
        <f t="shared" si="3043"/>
        <v>0</v>
      </c>
      <c r="AR324" s="58">
        <f t="shared" si="3044"/>
        <v>0</v>
      </c>
      <c r="AS324" s="8"/>
      <c r="AT324" s="41">
        <f t="shared" si="3015"/>
        <v>0</v>
      </c>
      <c r="AU324" s="41">
        <f t="shared" si="3016"/>
        <v>0</v>
      </c>
      <c r="AV324" s="41">
        <f t="shared" si="3017"/>
        <v>0</v>
      </c>
      <c r="AW324" s="41">
        <f t="shared" si="3018"/>
        <v>0</v>
      </c>
      <c r="AX324" s="41">
        <f t="shared" si="3019"/>
        <v>0</v>
      </c>
      <c r="AY324" s="41">
        <f t="shared" si="3020"/>
        <v>0</v>
      </c>
      <c r="AZ324" s="41">
        <f t="shared" si="3021"/>
        <v>0</v>
      </c>
      <c r="BA324" s="41">
        <f t="shared" si="3022"/>
        <v>0</v>
      </c>
      <c r="BB324" s="41">
        <f t="shared" si="3023"/>
        <v>0</v>
      </c>
      <c r="BC324" s="41">
        <f t="shared" si="3024"/>
        <v>0</v>
      </c>
      <c r="BD324" s="41">
        <f t="shared" si="3025"/>
        <v>0</v>
      </c>
      <c r="BE324" s="41">
        <f t="shared" si="3026"/>
        <v>0</v>
      </c>
      <c r="BF324" s="41">
        <f t="shared" si="3027"/>
        <v>0</v>
      </c>
      <c r="BG324" s="41">
        <f t="shared" si="3028"/>
        <v>0</v>
      </c>
      <c r="BH324" s="41">
        <f t="shared" si="3029"/>
        <v>0</v>
      </c>
      <c r="BI324" s="42">
        <f t="shared" si="3030"/>
        <v>0</v>
      </c>
      <c r="BJ324" s="41">
        <f t="shared" si="3031"/>
        <v>0</v>
      </c>
      <c r="BK324" s="41">
        <f t="shared" si="3032"/>
        <v>0</v>
      </c>
      <c r="BL324" s="41">
        <f t="shared" si="3033"/>
        <v>0</v>
      </c>
      <c r="BM324" s="41">
        <f t="shared" si="3034"/>
        <v>0</v>
      </c>
      <c r="BN324" s="41">
        <f t="shared" si="3035"/>
        <v>0</v>
      </c>
    </row>
    <row r="325" spans="1:67" ht="12" customHeight="1" outlineLevel="1">
      <c r="A325" s="91" t="s">
        <v>1234</v>
      </c>
      <c r="B325" s="1" t="s">
        <v>10</v>
      </c>
      <c r="C325" s="19">
        <f t="shared" ref="C325:H325" si="3045">C326-C310-C319-C318-C320-C321</f>
        <v>-254</v>
      </c>
      <c r="D325" s="19">
        <f t="shared" si="3045"/>
        <v>164</v>
      </c>
      <c r="E325" s="19">
        <f t="shared" si="3045"/>
        <v>65</v>
      </c>
      <c r="F325" s="19">
        <f t="shared" si="3045"/>
        <v>170</v>
      </c>
      <c r="G325" s="19">
        <f t="shared" si="3045"/>
        <v>34</v>
      </c>
      <c r="H325" s="19">
        <f t="shared" si="3045"/>
        <v>122</v>
      </c>
      <c r="I325" s="19">
        <f t="shared" ref="I325:N325" si="3046">I326-I310-I319-I318-I320-I321</f>
        <v>-4</v>
      </c>
      <c r="J325" s="19">
        <f t="shared" si="3046"/>
        <v>165</v>
      </c>
      <c r="K325" s="19">
        <f t="shared" si="3046"/>
        <v>72</v>
      </c>
      <c r="L325" s="19">
        <f t="shared" si="3046"/>
        <v>65</v>
      </c>
      <c r="M325" s="41">
        <f t="shared" si="3046"/>
        <v>114</v>
      </c>
      <c r="N325" s="41">
        <f t="shared" si="3046"/>
        <v>120</v>
      </c>
      <c r="O325" s="41">
        <f t="shared" ref="O325:P325" si="3047">O326-O310-O319-O318-O320-O321</f>
        <v>57</v>
      </c>
      <c r="P325" s="41">
        <f t="shared" si="3047"/>
        <v>299</v>
      </c>
      <c r="Q325" s="41">
        <f t="shared" ref="Q325:R325" si="3048">Q326-Q310-Q319-Q318-Q320-Q321</f>
        <v>217</v>
      </c>
      <c r="R325" s="41">
        <f t="shared" si="3048"/>
        <v>123</v>
      </c>
      <c r="S325" s="41">
        <f t="shared" ref="S325:T325" si="3049">S326-S310-S319-S318-S320-S321</f>
        <v>171</v>
      </c>
      <c r="T325" s="41">
        <f t="shared" si="3049"/>
        <v>517</v>
      </c>
      <c r="U325" s="41">
        <f t="shared" ref="U325" si="3050">U326-U310-U319-U318-U320-U321-U322-U323-U324</f>
        <v>521</v>
      </c>
      <c r="V325" s="41">
        <f t="shared" ref="V325" si="3051">V326-V310-V319-V318-V320-V321-V322-V323-V324</f>
        <v>1569</v>
      </c>
      <c r="W325" s="41">
        <f t="shared" ref="W325" si="3052">W326-W310-W319-W318-W320-W321-W322-W323-W324</f>
        <v>24</v>
      </c>
      <c r="X325" s="41">
        <f t="shared" ref="X325" si="3053">X326-X310-X319-X318-X320-X321-X322-X323-X324</f>
        <v>17</v>
      </c>
      <c r="Y325" s="41">
        <f t="shared" ref="Y325" si="3054">Y326-Y310-Y319-Y318-Y320-Y321-Y322-Y323-Y324</f>
        <v>-44</v>
      </c>
      <c r="Z325" s="41">
        <f t="shared" ref="Z325" si="3055">Z326-Z310-Z319-Z318-Z320-Z321-Z322-Z323-Z324</f>
        <v>-21</v>
      </c>
      <c r="AA325" s="41">
        <f t="shared" ref="AA325" si="3056">AA326-AA310-AA319-AA318-AA320-AA321-AA322-AA323-AA324</f>
        <v>23</v>
      </c>
      <c r="AB325" s="41">
        <f t="shared" ref="AB325" si="3057">AB326-AB310-AB319-AB318-AB320-AB321-AB322-AB323-AB324</f>
        <v>9</v>
      </c>
      <c r="AC325" s="41">
        <f t="shared" ref="AC325" si="3058">AC326-AC310-AC319-AC318-AC320-AC321-AC322-AC323-AC324</f>
        <v>13</v>
      </c>
      <c r="AD325" s="41">
        <f t="shared" ref="AD325" si="3059">AD326-AD310-AD319-AD318-AD320-AD321-AD322-AD323-AD324</f>
        <v>2</v>
      </c>
      <c r="AE325" s="41">
        <f t="shared" ref="AE325:AF325" si="3060">AE326-AE310-AE319-AE318-AE320-AE321-AE322-AE323-AE324</f>
        <v>20</v>
      </c>
      <c r="AF325" s="41">
        <f t="shared" si="3060"/>
        <v>-2</v>
      </c>
      <c r="AG325" s="41">
        <f>AG326-AG310-AG319-AG318-AG320-AG321-AG322-AG323-AG324</f>
        <v>-30</v>
      </c>
      <c r="AH325" s="41">
        <f>AH326-AH310-AH319-AH318-AH320-AH321-AH322-AH323-AH324</f>
        <v>35</v>
      </c>
      <c r="AI325" s="42">
        <f>AI326-AI310-AI319-AI318-AI320-AI321-AI322-AI323-AI324</f>
        <v>-14</v>
      </c>
      <c r="AJ325" s="41">
        <v>3</v>
      </c>
      <c r="AK325" s="41">
        <f t="shared" ref="AK325" si="3061">IF(ISERROR(AJ325*(1+AK363)),0,AJ325*(1+AK363))</f>
        <v>3.0749999999999997</v>
      </c>
      <c r="AL325" s="41">
        <f t="shared" ref="AL325" si="3062">IF(ISERROR(AK325*(1+AL363)),0,AK325*(1+AL363))</f>
        <v>3.1518749999999995</v>
      </c>
      <c r="AM325" s="41">
        <f t="shared" ref="AM325" si="3063">IF(ISERROR(AL325*(1+AM363)),0,AL325*(1+AM363))</f>
        <v>3.2306718749999992</v>
      </c>
      <c r="AN325" s="41">
        <f t="shared" ref="AN325" si="3064">IF(ISERROR(AM325*(1+AN363)),0,AM325*(1+AN363))</f>
        <v>3.3114386718749991</v>
      </c>
      <c r="AO325" s="41">
        <f t="shared" ref="AO325" si="3065">IF(ISERROR(AN325*(1+AO363)),0,AN325*(1+AO363))</f>
        <v>3.394224638671874</v>
      </c>
      <c r="AP325" s="41">
        <f t="shared" ref="AP325" si="3066">IF(ISERROR(AO325*(1+AP363)),0,AO325*(1+AP363))</f>
        <v>3.4790802546386703</v>
      </c>
      <c r="AQ325" s="41">
        <f t="shared" ref="AQ325" si="3067">IF(ISERROR(AP325*(1+AQ363)),0,AP325*(1+AQ363))</f>
        <v>3.5660572610046368</v>
      </c>
      <c r="AR325" s="41">
        <f t="shared" ref="AR325" si="3068">IF(ISERROR(AQ325*(1+AR363)),0,AQ325*(1+AR363))</f>
        <v>3.6552086925297522</v>
      </c>
      <c r="AS325" s="8"/>
      <c r="AT325" s="41">
        <f t="shared" si="3015"/>
        <v>-90</v>
      </c>
      <c r="AU325" s="41">
        <f t="shared" si="3016"/>
        <v>235</v>
      </c>
      <c r="AV325" s="41">
        <f t="shared" si="3017"/>
        <v>156</v>
      </c>
      <c r="AW325" s="41">
        <f t="shared" si="3018"/>
        <v>161</v>
      </c>
      <c r="AX325" s="41">
        <f t="shared" si="3019"/>
        <v>137</v>
      </c>
      <c r="AY325" s="41">
        <f t="shared" si="3020"/>
        <v>234</v>
      </c>
      <c r="AZ325" s="41">
        <f t="shared" si="3021"/>
        <v>356</v>
      </c>
      <c r="BA325" s="41">
        <f t="shared" si="3022"/>
        <v>340</v>
      </c>
      <c r="BB325" s="41">
        <f t="shared" si="3023"/>
        <v>688</v>
      </c>
      <c r="BC325" s="41">
        <f t="shared" si="3024"/>
        <v>2090</v>
      </c>
      <c r="BD325" s="41">
        <f t="shared" si="3025"/>
        <v>41</v>
      </c>
      <c r="BE325" s="41">
        <f t="shared" si="3026"/>
        <v>-65</v>
      </c>
      <c r="BF325" s="41">
        <f t="shared" si="3027"/>
        <v>32</v>
      </c>
      <c r="BG325" s="41">
        <f t="shared" si="3028"/>
        <v>15</v>
      </c>
      <c r="BH325" s="41">
        <f t="shared" si="3029"/>
        <v>18</v>
      </c>
      <c r="BI325" s="42">
        <f t="shared" si="3030"/>
        <v>5</v>
      </c>
      <c r="BJ325" s="41">
        <f>AI325+AJ325</f>
        <v>-11</v>
      </c>
      <c r="BK325" s="41">
        <f>AK325+AL325</f>
        <v>6.2268749999999997</v>
      </c>
      <c r="BL325" s="41">
        <f>AM325+AN325</f>
        <v>6.5421105468749978</v>
      </c>
      <c r="BM325" s="41">
        <f>AO325+AP325</f>
        <v>6.8733048933105447</v>
      </c>
      <c r="BN325" s="41">
        <f>AQ325+AR325</f>
        <v>7.221265953534389</v>
      </c>
    </row>
    <row r="326" spans="1:67" s="9" customFormat="1" ht="12" customHeight="1" outlineLevel="1">
      <c r="A326" s="91" t="s">
        <v>1235</v>
      </c>
      <c r="B326" s="9" t="s">
        <v>35</v>
      </c>
      <c r="C326" s="22">
        <v>207</v>
      </c>
      <c r="D326" s="22">
        <f>685-C326</f>
        <v>478</v>
      </c>
      <c r="E326" s="22">
        <v>364</v>
      </c>
      <c r="F326" s="22">
        <f>917-E326</f>
        <v>553</v>
      </c>
      <c r="G326" s="22">
        <v>268</v>
      </c>
      <c r="H326" s="22">
        <f>658-G326</f>
        <v>390</v>
      </c>
      <c r="I326" s="22">
        <v>252</v>
      </c>
      <c r="J326" s="22">
        <v>413</v>
      </c>
      <c r="K326" s="22">
        <v>372</v>
      </c>
      <c r="L326" s="22">
        <v>445</v>
      </c>
      <c r="M326" s="61">
        <v>439</v>
      </c>
      <c r="N326" s="61">
        <v>615</v>
      </c>
      <c r="O326" s="61">
        <v>516</v>
      </c>
      <c r="P326" s="61">
        <v>639</v>
      </c>
      <c r="Q326" s="61">
        <v>569</v>
      </c>
      <c r="R326" s="61">
        <v>637</v>
      </c>
      <c r="S326" s="61">
        <v>566</v>
      </c>
      <c r="T326" s="61">
        <v>894</v>
      </c>
      <c r="U326" s="61">
        <v>1023</v>
      </c>
      <c r="V326" s="61">
        <v>1811</v>
      </c>
      <c r="W326" s="61">
        <v>1133</v>
      </c>
      <c r="X326" s="61">
        <v>1378</v>
      </c>
      <c r="Y326" s="61">
        <v>614</v>
      </c>
      <c r="Z326" s="61">
        <v>1634</v>
      </c>
      <c r="AA326" s="61">
        <v>1370</v>
      </c>
      <c r="AB326" s="61">
        <v>1670</v>
      </c>
      <c r="AC326" s="61">
        <v>1287</v>
      </c>
      <c r="AD326" s="61">
        <v>940</v>
      </c>
      <c r="AE326" s="61">
        <v>1220</v>
      </c>
      <c r="AF326" s="61">
        <v>1392</v>
      </c>
      <c r="AG326" s="61">
        <v>1145</v>
      </c>
      <c r="AH326" s="61">
        <v>1493</v>
      </c>
      <c r="AI326" s="338">
        <v>1496</v>
      </c>
      <c r="AJ326" s="39">
        <f t="shared" ref="AJ326:AR326" si="3069">AJ310+AJ318+AJ319+AJ320+AJ321+AJ325+AJ322+AJ323+AJ324</f>
        <v>1492.4271078269444</v>
      </c>
      <c r="AK326" s="39">
        <f t="shared" si="3069"/>
        <v>1567.7435469227964</v>
      </c>
      <c r="AL326" s="39">
        <f t="shared" si="3069"/>
        <v>1612.8372065048179</v>
      </c>
      <c r="AM326" s="39">
        <f t="shared" si="3069"/>
        <v>1686.797061606132</v>
      </c>
      <c r="AN326" s="39">
        <f t="shared" si="3069"/>
        <v>1750.8098141670514</v>
      </c>
      <c r="AO326" s="39">
        <f t="shared" si="3069"/>
        <v>1831.0208294837801</v>
      </c>
      <c r="AP326" s="39">
        <f t="shared" si="3069"/>
        <v>1888.035611294677</v>
      </c>
      <c r="AQ326" s="39">
        <f t="shared" si="3069"/>
        <v>1967.7552926271351</v>
      </c>
      <c r="AR326" s="39">
        <f t="shared" si="3069"/>
        <v>2019.5154147141488</v>
      </c>
      <c r="AS326" s="74"/>
      <c r="AT326" s="39">
        <f t="shared" ref="AT326:BH326" si="3070">AT310+AT318+AT319+AT320+AT321+AT325+AT322+AT323+AT324</f>
        <v>685</v>
      </c>
      <c r="AU326" s="39">
        <f t="shared" si="3070"/>
        <v>917</v>
      </c>
      <c r="AV326" s="39">
        <f t="shared" si="3070"/>
        <v>658</v>
      </c>
      <c r="AW326" s="39">
        <f t="shared" si="3070"/>
        <v>665</v>
      </c>
      <c r="AX326" s="39">
        <f t="shared" si="3070"/>
        <v>817</v>
      </c>
      <c r="AY326" s="39">
        <f t="shared" si="3070"/>
        <v>1054</v>
      </c>
      <c r="AZ326" s="39">
        <f t="shared" si="3070"/>
        <v>1155</v>
      </c>
      <c r="BA326" s="39">
        <f t="shared" si="3070"/>
        <v>1206</v>
      </c>
      <c r="BB326" s="39">
        <f t="shared" si="3070"/>
        <v>1460</v>
      </c>
      <c r="BC326" s="39">
        <f t="shared" si="3070"/>
        <v>2834</v>
      </c>
      <c r="BD326" s="39">
        <f t="shared" si="3070"/>
        <v>2511</v>
      </c>
      <c r="BE326" s="39">
        <f t="shared" si="3070"/>
        <v>2248</v>
      </c>
      <c r="BF326" s="39">
        <f t="shared" si="3070"/>
        <v>3040</v>
      </c>
      <c r="BG326" s="39">
        <f t="shared" si="3070"/>
        <v>2227</v>
      </c>
      <c r="BH326" s="39">
        <f t="shared" si="3070"/>
        <v>2612</v>
      </c>
      <c r="BI326" s="40">
        <f>BI310+BI318+BI319+BI320+BI321+BI325+BI322+BI323+BI324</f>
        <v>2638</v>
      </c>
      <c r="BJ326" s="39">
        <f>BJ310+BJ318+BJ319+BJ320+BJ321+BJ325+BJ322+BJ323+BJ324</f>
        <v>2988.4271078269444</v>
      </c>
      <c r="BK326" s="39">
        <f t="shared" ref="BK326:BN326" si="3071">BK310+BK318+BK319+BK320+BK321+BK325+BK322+BK323+BK324</f>
        <v>3180.5807534276141</v>
      </c>
      <c r="BL326" s="39">
        <f t="shared" si="3071"/>
        <v>3437.6068757731828</v>
      </c>
      <c r="BM326" s="39">
        <f t="shared" si="3071"/>
        <v>3719.0564407784568</v>
      </c>
      <c r="BN326" s="39">
        <f t="shared" si="3071"/>
        <v>3987.2707073412839</v>
      </c>
      <c r="BO326" s="19">
        <f>+BK326-BJ326</f>
        <v>192.15364560066973</v>
      </c>
    </row>
    <row r="327" spans="1:67" ht="12" customHeight="1" outlineLevel="1">
      <c r="A327" s="91" t="s">
        <v>1236</v>
      </c>
      <c r="B327" s="1" t="s">
        <v>14</v>
      </c>
      <c r="C327" s="21">
        <v>-168</v>
      </c>
      <c r="D327" s="21">
        <f>-386-C327</f>
        <v>-218</v>
      </c>
      <c r="E327" s="21">
        <v>-179</v>
      </c>
      <c r="F327" s="21">
        <f>-380-E327</f>
        <v>-201</v>
      </c>
      <c r="G327" s="21">
        <v>-152</v>
      </c>
      <c r="H327" s="21">
        <f>-307-G327</f>
        <v>-155</v>
      </c>
      <c r="I327" s="21">
        <v>-125</v>
      </c>
      <c r="J327" s="21">
        <v>-122</v>
      </c>
      <c r="K327" s="21">
        <v>-132</v>
      </c>
      <c r="L327" s="21">
        <v>-142</v>
      </c>
      <c r="M327" s="62">
        <v>-140</v>
      </c>
      <c r="N327" s="62">
        <v>-168</v>
      </c>
      <c r="O327" s="62">
        <v>-163</v>
      </c>
      <c r="P327" s="62">
        <v>-173</v>
      </c>
      <c r="Q327" s="62">
        <v>-178</v>
      </c>
      <c r="R327" s="62">
        <v>-151</v>
      </c>
      <c r="S327" s="62">
        <v>-160</v>
      </c>
      <c r="T327" s="62">
        <v>-163</v>
      </c>
      <c r="U327" s="62">
        <v>-216</v>
      </c>
      <c r="V327" s="62">
        <v>-261</v>
      </c>
      <c r="W327" s="62">
        <v>-385</v>
      </c>
      <c r="X327" s="62">
        <v>-348</v>
      </c>
      <c r="Y327" s="62">
        <v>-361</v>
      </c>
      <c r="Z327" s="62">
        <v>-303</v>
      </c>
      <c r="AA327" s="62">
        <v>-254</v>
      </c>
      <c r="AB327" s="62">
        <v>-263</v>
      </c>
      <c r="AC327" s="62">
        <v>-286</v>
      </c>
      <c r="AD327" s="62">
        <v>-298</v>
      </c>
      <c r="AE327" s="62">
        <v>-320</v>
      </c>
      <c r="AF327" s="62">
        <v>-302</v>
      </c>
      <c r="AG327" s="62">
        <v>-311</v>
      </c>
      <c r="AH327" s="62">
        <v>-307</v>
      </c>
      <c r="AI327" s="57">
        <v>-293</v>
      </c>
      <c r="AJ327" s="41">
        <f t="shared" ref="AJ327" si="3072">-AJ364*AVERAGE(AI349:AJ349)/AJ$5/1000000</f>
        <v>-287.28796064615096</v>
      </c>
      <c r="AK327" s="41">
        <f t="shared" ref="AK327" si="3073">-AK364*AVERAGE(AJ349:AK349)/AK$5/1000000</f>
        <v>-291.38007826412786</v>
      </c>
      <c r="AL327" s="41">
        <f t="shared" ref="AL327" si="3074">-AL364*AVERAGE(AK349:AL349)/AL$5/1000000</f>
        <v>-295.60532823508731</v>
      </c>
      <c r="AM327" s="41">
        <f t="shared" ref="AM327" si="3075">-AM364*AVERAGE(AL349:AM349)/AM$5/1000000</f>
        <v>-302.36801070819621</v>
      </c>
      <c r="AN327" s="41">
        <f t="shared" ref="AN327" si="3076">-AN364*AVERAGE(AM349:AN349)/AN$5/1000000</f>
        <v>-308.43804852316322</v>
      </c>
      <c r="AO327" s="41">
        <f t="shared" ref="AO327" si="3077">-AO364*AVERAGE(AN349:AO349)/AO$5/1000000</f>
        <v>-315.49194218931291</v>
      </c>
      <c r="AP327" s="41">
        <f t="shared" ref="AP327" si="3078">-AP364*AVERAGE(AO349:AP349)/AP$5/1000000</f>
        <v>-320.06683395101044</v>
      </c>
      <c r="AQ327" s="41">
        <f t="shared" ref="AQ327" si="3079">-AQ364*AVERAGE(AP349:AQ349)/AQ$5/1000000</f>
        <v>-328.28608869555813</v>
      </c>
      <c r="AR327" s="41">
        <f t="shared" ref="AR327" si="3080">-AR364*AVERAGE(AQ349:AR349)/AR$5/1000000</f>
        <v>-333.04650606860167</v>
      </c>
      <c r="AS327" s="8"/>
      <c r="AT327" s="41">
        <f>C327+D327</f>
        <v>-386</v>
      </c>
      <c r="AU327" s="41">
        <f>E327+F327</f>
        <v>-380</v>
      </c>
      <c r="AV327" s="41">
        <f>G327+H327</f>
        <v>-307</v>
      </c>
      <c r="AW327" s="41">
        <f>I327+J327</f>
        <v>-247</v>
      </c>
      <c r="AX327" s="41">
        <f>K327+L327</f>
        <v>-274</v>
      </c>
      <c r="AY327" s="41">
        <f>M327+N327</f>
        <v>-308</v>
      </c>
      <c r="AZ327" s="41">
        <f>O327+P327</f>
        <v>-336</v>
      </c>
      <c r="BA327" s="41">
        <f>Q327+R327</f>
        <v>-329</v>
      </c>
      <c r="BB327" s="41">
        <f>S327+T327</f>
        <v>-323</v>
      </c>
      <c r="BC327" s="41">
        <f>U327+V327</f>
        <v>-477</v>
      </c>
      <c r="BD327" s="41">
        <f>W327+X327</f>
        <v>-733</v>
      </c>
      <c r="BE327" s="41">
        <f>Y327+Z327</f>
        <v>-664</v>
      </c>
      <c r="BF327" s="41">
        <f>AA327+AB327</f>
        <v>-517</v>
      </c>
      <c r="BG327" s="41">
        <f>AC327+AD327</f>
        <v>-584</v>
      </c>
      <c r="BH327" s="41">
        <f>AE327+AF327</f>
        <v>-622</v>
      </c>
      <c r="BI327" s="42">
        <f>AG327+AH327</f>
        <v>-618</v>
      </c>
      <c r="BJ327" s="41">
        <f>AI327+AJ327</f>
        <v>-580.28796064615096</v>
      </c>
      <c r="BK327" s="41">
        <f>AK327+AL327</f>
        <v>-586.98540649921517</v>
      </c>
      <c r="BL327" s="41">
        <f>AM327+AN327</f>
        <v>-610.80605923135943</v>
      </c>
      <c r="BM327" s="41">
        <f>AO327+AP327</f>
        <v>-635.55877614032329</v>
      </c>
      <c r="BN327" s="41">
        <f>AQ327+AR327</f>
        <v>-661.33259476415981</v>
      </c>
    </row>
    <row r="328" spans="1:67" ht="12" customHeight="1" outlineLevel="1">
      <c r="A328" s="91" t="s">
        <v>1237</v>
      </c>
      <c r="B328" s="1" t="s">
        <v>21</v>
      </c>
      <c r="C328" s="21">
        <v>-4</v>
      </c>
      <c r="D328" s="21">
        <f>-6-C328</f>
        <v>-2</v>
      </c>
      <c r="E328" s="21">
        <v>-4</v>
      </c>
      <c r="F328" s="21">
        <f>-5-E328</f>
        <v>-1</v>
      </c>
      <c r="G328" s="21">
        <v>-2</v>
      </c>
      <c r="H328" s="21">
        <f>-4-G328</f>
        <v>-2</v>
      </c>
      <c r="I328" s="21">
        <v>-3</v>
      </c>
      <c r="J328" s="21">
        <v>-3</v>
      </c>
      <c r="K328" s="21">
        <v>-5</v>
      </c>
      <c r="L328" s="21">
        <v>-1</v>
      </c>
      <c r="M328" s="62">
        <v>-2</v>
      </c>
      <c r="N328" s="62">
        <v>-2</v>
      </c>
      <c r="O328" s="62">
        <v>-3</v>
      </c>
      <c r="P328" s="62">
        <v>-4</v>
      </c>
      <c r="Q328" s="62">
        <v>-4</v>
      </c>
      <c r="R328" s="62">
        <v>-4</v>
      </c>
      <c r="S328" s="62">
        <v>-3</v>
      </c>
      <c r="T328" s="62">
        <v>-1</v>
      </c>
      <c r="U328" s="62">
        <v>-23</v>
      </c>
      <c r="V328" s="62">
        <v>-17</v>
      </c>
      <c r="W328" s="62">
        <v>-50</v>
      </c>
      <c r="X328" s="62">
        <v>-57</v>
      </c>
      <c r="Y328" s="62">
        <v>-50</v>
      </c>
      <c r="Z328" s="62">
        <v>-48</v>
      </c>
      <c r="AA328" s="62">
        <v>-43</v>
      </c>
      <c r="AB328" s="62">
        <v>-58</v>
      </c>
      <c r="AC328" s="62">
        <v>-53</v>
      </c>
      <c r="AD328" s="62">
        <v>-34</v>
      </c>
      <c r="AE328" s="62">
        <v>-47</v>
      </c>
      <c r="AF328" s="62">
        <v>-40</v>
      </c>
      <c r="AG328" s="62">
        <v>-57</v>
      </c>
      <c r="AH328" s="62">
        <v>-67</v>
      </c>
      <c r="AI328" s="57">
        <v>-65</v>
      </c>
      <c r="AJ328" s="41">
        <f t="shared" ref="AJ328" si="3081">AJ316*AI328/AI316</f>
        <v>-66.300000000000011</v>
      </c>
      <c r="AK328" s="41">
        <f t="shared" ref="AK328" si="3082">AK316*AJ328/AJ316</f>
        <v>-66.300000000000011</v>
      </c>
      <c r="AL328" s="41">
        <f t="shared" ref="AL328" si="3083">AL316*AK328/AK316</f>
        <v>-67.626000000000005</v>
      </c>
      <c r="AM328" s="41">
        <f t="shared" ref="AM328" si="3084">AM316*AL328/AL316</f>
        <v>-69.615000000000009</v>
      </c>
      <c r="AN328" s="41">
        <f t="shared" ref="AN328" si="3085">AN316*AM328/AM316</f>
        <v>-71.007300000000015</v>
      </c>
      <c r="AO328" s="41">
        <f t="shared" ref="AO328" si="3086">AO316*AN328/AN316</f>
        <v>-73.09575000000001</v>
      </c>
      <c r="AP328" s="41">
        <f t="shared" ref="AP328" si="3087">AP316*AO328/AO316</f>
        <v>-74.557665000000014</v>
      </c>
      <c r="AQ328" s="41">
        <f t="shared" ref="AQ328" si="3088">AQ316*AP328/AP316</f>
        <v>-76.750537500000007</v>
      </c>
      <c r="AR328" s="41">
        <f t="shared" ref="AR328" si="3089">AR316*AQ328/AQ316</f>
        <v>-78.285548250000019</v>
      </c>
      <c r="AS328" s="8"/>
      <c r="AT328" s="41">
        <f>C328+D328</f>
        <v>-6</v>
      </c>
      <c r="AU328" s="41">
        <f>E328+F328</f>
        <v>-5</v>
      </c>
      <c r="AV328" s="41">
        <f>G328+H328</f>
        <v>-4</v>
      </c>
      <c r="AW328" s="41">
        <f>I328+J328</f>
        <v>-6</v>
      </c>
      <c r="AX328" s="41">
        <f>K328+L328</f>
        <v>-6</v>
      </c>
      <c r="AY328" s="41">
        <f>M328+N328</f>
        <v>-4</v>
      </c>
      <c r="AZ328" s="41">
        <f>O328+P328</f>
        <v>-7</v>
      </c>
      <c r="BA328" s="41">
        <f>Q328+R328</f>
        <v>-8</v>
      </c>
      <c r="BB328" s="41">
        <f>S328+T328</f>
        <v>-4</v>
      </c>
      <c r="BC328" s="41">
        <f>U328+V328</f>
        <v>-40</v>
      </c>
      <c r="BD328" s="41">
        <f>W328+X328</f>
        <v>-107</v>
      </c>
      <c r="BE328" s="41">
        <f>Y328+Z328</f>
        <v>-98</v>
      </c>
      <c r="BF328" s="41">
        <f>AA328+AB328</f>
        <v>-101</v>
      </c>
      <c r="BG328" s="41">
        <f>AC328+AD328</f>
        <v>-87</v>
      </c>
      <c r="BH328" s="41">
        <f>AE328+AF328</f>
        <v>-87</v>
      </c>
      <c r="BI328" s="42">
        <f>AG328+AH328</f>
        <v>-124</v>
      </c>
      <c r="BJ328" s="41">
        <f>AI328+AJ328</f>
        <v>-131.30000000000001</v>
      </c>
      <c r="BK328" s="41">
        <f>AK328+AL328</f>
        <v>-133.92600000000002</v>
      </c>
      <c r="BL328" s="41">
        <f>AM328+AN328</f>
        <v>-140.62230000000002</v>
      </c>
      <c r="BM328" s="41">
        <f>AO328+AP328</f>
        <v>-147.65341500000002</v>
      </c>
      <c r="BN328" s="41">
        <f>AQ328+AR328</f>
        <v>-155.03608575000004</v>
      </c>
    </row>
    <row r="329" spans="1:67" ht="12" customHeight="1" outlineLevel="1">
      <c r="A329" s="91" t="s">
        <v>1238</v>
      </c>
      <c r="B329" s="1" t="s">
        <v>11</v>
      </c>
      <c r="C329" s="21">
        <f>-332-C327-C328</f>
        <v>-160</v>
      </c>
      <c r="D329" s="21">
        <f>-728-C327-C328-C329-D327-D328</f>
        <v>-176</v>
      </c>
      <c r="E329" s="21">
        <f>-333-E327-E328</f>
        <v>-150</v>
      </c>
      <c r="F329" s="21">
        <f>-694-E327-E328-E329-F327-F328</f>
        <v>-159</v>
      </c>
      <c r="G329" s="21">
        <f>-278-G327-G328</f>
        <v>-124</v>
      </c>
      <c r="H329" s="21">
        <f>-573-G327-G328-G329-H327-H328</f>
        <v>-138</v>
      </c>
      <c r="I329" s="21">
        <f>-260-I327-I328</f>
        <v>-132</v>
      </c>
      <c r="J329" s="21">
        <f>-259-J327-J328</f>
        <v>-134</v>
      </c>
      <c r="K329" s="21">
        <f>-283-K327-K328</f>
        <v>-146</v>
      </c>
      <c r="L329" s="21">
        <v>-122</v>
      </c>
      <c r="M329" s="62">
        <v>-148</v>
      </c>
      <c r="N329" s="62">
        <v>-169</v>
      </c>
      <c r="O329" s="62">
        <v>-180</v>
      </c>
      <c r="P329" s="62">
        <v>-186</v>
      </c>
      <c r="Q329" s="62">
        <v>-193</v>
      </c>
      <c r="R329" s="62">
        <v>-192</v>
      </c>
      <c r="S329" s="62">
        <v>-202</v>
      </c>
      <c r="T329" s="62">
        <v>-210</v>
      </c>
      <c r="U329" s="62">
        <v>-265</v>
      </c>
      <c r="V329" s="62">
        <v>-291</v>
      </c>
      <c r="W329" s="62">
        <v>-478</v>
      </c>
      <c r="X329" s="62">
        <v>-447</v>
      </c>
      <c r="Y329" s="62">
        <v>-405</v>
      </c>
      <c r="Z329" s="62">
        <v>-447</v>
      </c>
      <c r="AA329" s="62">
        <v>-303</v>
      </c>
      <c r="AB329" s="62">
        <v>-349</v>
      </c>
      <c r="AC329" s="62">
        <v>-372</v>
      </c>
      <c r="AD329" s="62">
        <v>-413</v>
      </c>
      <c r="AE329" s="62">
        <v>-421</v>
      </c>
      <c r="AF329" s="62">
        <v>-408</v>
      </c>
      <c r="AG329" s="62">
        <v>-403</v>
      </c>
      <c r="AH329" s="62">
        <v>-439</v>
      </c>
      <c r="AI329" s="57">
        <v>-416</v>
      </c>
      <c r="AJ329" s="41">
        <f t="shared" ref="AJ329" si="3090">-AJ366*AVERAGE(AI343:AJ343)/AJ$5</f>
        <v>-419.2427271138701</v>
      </c>
      <c r="AK329" s="41">
        <f t="shared" ref="AK329" si="3091">-AK366*AVERAGE(AJ343:AK343)/AK$5</f>
        <v>-432.8071195890638</v>
      </c>
      <c r="AL329" s="41">
        <f t="shared" ref="AL329" si="3092">-AL366*AVERAGE(AK343:AL343)/AL$5</f>
        <v>-439.93878700195501</v>
      </c>
      <c r="AM329" s="41">
        <f t="shared" ref="AM329" si="3093">-AM366*AVERAGE(AL343:AM343)/AM$5</f>
        <v>-447.70638337830252</v>
      </c>
      <c r="AN329" s="41">
        <f t="shared" ref="AN329" si="3094">-AN366*AVERAGE(AM343:AN343)/AN$5</f>
        <v>-451.46379496244327</v>
      </c>
      <c r="AO329" s="41">
        <f t="shared" ref="AO329" si="3095">-AO366*AVERAGE(AN343:AO343)/AO$5</f>
        <v>-455.00913649692075</v>
      </c>
      <c r="AP329" s="41">
        <f t="shared" ref="AP329" si="3096">-AP366*AVERAGE(AO343:AP343)/AP$5</f>
        <v>-453.91217868236043</v>
      </c>
      <c r="AQ329" s="41">
        <f t="shared" ref="AQ329" si="3097">-AQ366*AVERAGE(AP343:AQ343)/AQ$5</f>
        <v>-457.47508715568603</v>
      </c>
      <c r="AR329" s="41">
        <f t="shared" ref="AR329" si="3098">-AR366*AVERAGE(AQ343:AR343)/AR$5</f>
        <v>-455.96285491670841</v>
      </c>
      <c r="AS329" s="8"/>
      <c r="AT329" s="41">
        <f>C329+D329</f>
        <v>-336</v>
      </c>
      <c r="AU329" s="41">
        <f>E329+F329</f>
        <v>-309</v>
      </c>
      <c r="AV329" s="41">
        <f>G329+H329</f>
        <v>-262</v>
      </c>
      <c r="AW329" s="41">
        <f>I329+J329</f>
        <v>-266</v>
      </c>
      <c r="AX329" s="41">
        <f>K329+L329</f>
        <v>-268</v>
      </c>
      <c r="AY329" s="41">
        <f>M329+N329</f>
        <v>-317</v>
      </c>
      <c r="AZ329" s="41">
        <f>O329+P329</f>
        <v>-366</v>
      </c>
      <c r="BA329" s="41">
        <f>Q329+R329</f>
        <v>-385</v>
      </c>
      <c r="BB329" s="41">
        <f>S329+T329</f>
        <v>-412</v>
      </c>
      <c r="BC329" s="41">
        <f>U329+V329</f>
        <v>-556</v>
      </c>
      <c r="BD329" s="41">
        <f>W329+X329</f>
        <v>-925</v>
      </c>
      <c r="BE329" s="41">
        <f>Y329+Z329</f>
        <v>-852</v>
      </c>
      <c r="BF329" s="41">
        <f>AA329+AB329</f>
        <v>-652</v>
      </c>
      <c r="BG329" s="41">
        <f>AC329+AD329</f>
        <v>-785</v>
      </c>
      <c r="BH329" s="41">
        <f>AE329+AF329</f>
        <v>-829</v>
      </c>
      <c r="BI329" s="42">
        <f>AG329+AH329</f>
        <v>-842</v>
      </c>
      <c r="BJ329" s="41">
        <f>AI329+AJ329</f>
        <v>-835.24272711387016</v>
      </c>
      <c r="BK329" s="41">
        <f>AK329+AL329</f>
        <v>-872.74590659101887</v>
      </c>
      <c r="BL329" s="41">
        <f>AM329+AN329</f>
        <v>-899.17017834074579</v>
      </c>
      <c r="BM329" s="41">
        <f>AO329+AP329</f>
        <v>-908.92131517928124</v>
      </c>
      <c r="BN329" s="41">
        <f>AQ329+AR329</f>
        <v>-913.43794207239443</v>
      </c>
    </row>
    <row r="330" spans="1:67" s="9" customFormat="1" ht="12" customHeight="1" outlineLevel="1">
      <c r="A330" s="91" t="s">
        <v>1239</v>
      </c>
      <c r="B330" s="9" t="s">
        <v>52</v>
      </c>
      <c r="C330" s="17">
        <f t="shared" ref="C330:H330" si="3099">C326+C327+C328+C329</f>
        <v>-125</v>
      </c>
      <c r="D330" s="17">
        <f t="shared" si="3099"/>
        <v>82</v>
      </c>
      <c r="E330" s="17">
        <f t="shared" si="3099"/>
        <v>31</v>
      </c>
      <c r="F330" s="17">
        <f t="shared" si="3099"/>
        <v>192</v>
      </c>
      <c r="G330" s="17">
        <f t="shared" si="3099"/>
        <v>-10</v>
      </c>
      <c r="H330" s="17">
        <f t="shared" si="3099"/>
        <v>95</v>
      </c>
      <c r="I330" s="17">
        <f>I326+I327+I328+I329</f>
        <v>-8</v>
      </c>
      <c r="J330" s="17">
        <f>J326+J327+J328+J329</f>
        <v>154</v>
      </c>
      <c r="K330" s="17">
        <f>K326+K327+K328+K329</f>
        <v>89</v>
      </c>
      <c r="L330" s="17">
        <f t="shared" ref="L330" si="3100">L326+L327+L328+L329</f>
        <v>180</v>
      </c>
      <c r="M330" s="39">
        <f t="shared" ref="M330:N330" si="3101">M326+M327+M328+M329</f>
        <v>149</v>
      </c>
      <c r="N330" s="39">
        <f t="shared" si="3101"/>
        <v>276</v>
      </c>
      <c r="O330" s="39">
        <f t="shared" ref="O330:P330" si="3102">O326+O327+O328+O329</f>
        <v>170</v>
      </c>
      <c r="P330" s="39">
        <f t="shared" si="3102"/>
        <v>276</v>
      </c>
      <c r="Q330" s="39">
        <f t="shared" ref="Q330:R330" si="3103">Q326+Q327+Q328+Q329</f>
        <v>194</v>
      </c>
      <c r="R330" s="39">
        <f t="shared" si="3103"/>
        <v>290</v>
      </c>
      <c r="S330" s="39">
        <f t="shared" ref="S330:T330" si="3104">S326+S327+S328+S329</f>
        <v>201</v>
      </c>
      <c r="T330" s="39">
        <f t="shared" si="3104"/>
        <v>520</v>
      </c>
      <c r="U330" s="39">
        <f t="shared" ref="U330:V330" si="3105">U326+U327+U328+U329</f>
        <v>519</v>
      </c>
      <c r="V330" s="39">
        <f t="shared" si="3105"/>
        <v>1242</v>
      </c>
      <c r="W330" s="39">
        <f t="shared" ref="W330:X330" si="3106">W326+W327+W328+W329</f>
        <v>220</v>
      </c>
      <c r="X330" s="39">
        <f t="shared" si="3106"/>
        <v>526</v>
      </c>
      <c r="Y330" s="39">
        <f t="shared" ref="Y330:Z330" si="3107">Y326+Y327+Y328+Y329</f>
        <v>-202</v>
      </c>
      <c r="Z330" s="39">
        <f t="shared" si="3107"/>
        <v>836</v>
      </c>
      <c r="AA330" s="39">
        <f t="shared" ref="AA330:AB330" si="3108">AA326+AA327+AA328+AA329</f>
        <v>770</v>
      </c>
      <c r="AB330" s="39">
        <f t="shared" si="3108"/>
        <v>1000</v>
      </c>
      <c r="AC330" s="39">
        <f t="shared" ref="AC330:AD330" si="3109">AC326+AC327+AC328+AC329</f>
        <v>576</v>
      </c>
      <c r="AD330" s="39">
        <f t="shared" si="3109"/>
        <v>195</v>
      </c>
      <c r="AE330" s="39">
        <f t="shared" ref="AE330:AF330" si="3110">AE326+AE327+AE328+AE329</f>
        <v>432</v>
      </c>
      <c r="AF330" s="39">
        <f t="shared" si="3110"/>
        <v>642</v>
      </c>
      <c r="AG330" s="39">
        <f t="shared" ref="AG330:AH330" si="3111">AG326+AG327+AG328+AG329</f>
        <v>374</v>
      </c>
      <c r="AH330" s="39">
        <f t="shared" si="3111"/>
        <v>680</v>
      </c>
      <c r="AI330" s="40">
        <f t="shared" ref="AI330:AJ330" si="3112">AI326+AI327+AI328+AI329</f>
        <v>722</v>
      </c>
      <c r="AJ330" s="39">
        <f t="shared" si="3112"/>
        <v>719.5964200669232</v>
      </c>
      <c r="AK330" s="39">
        <f t="shared" ref="AK330:AL330" si="3113">AK326+AK327+AK328+AK329</f>
        <v>777.25634906960477</v>
      </c>
      <c r="AL330" s="39">
        <f t="shared" si="3113"/>
        <v>809.66709126777573</v>
      </c>
      <c r="AM330" s="39">
        <f t="shared" ref="AM330:AN330" si="3114">AM326+AM327+AM328+AM329</f>
        <v>867.10766751963342</v>
      </c>
      <c r="AN330" s="39">
        <f t="shared" si="3114"/>
        <v>919.90067068144504</v>
      </c>
      <c r="AO330" s="39">
        <f t="shared" ref="AO330:AP330" si="3115">AO326+AO327+AO328+AO329</f>
        <v>987.42400079754634</v>
      </c>
      <c r="AP330" s="39">
        <f t="shared" si="3115"/>
        <v>1039.498933661306</v>
      </c>
      <c r="AQ330" s="39">
        <f t="shared" ref="AQ330:AR330" si="3116">AQ326+AQ327+AQ328+AQ329</f>
        <v>1105.2435792758909</v>
      </c>
      <c r="AR330" s="39">
        <f t="shared" si="3116"/>
        <v>1152.2205054788387</v>
      </c>
      <c r="AS330" s="74"/>
      <c r="AT330" s="39">
        <f t="shared" ref="AT330:BB330" si="3117">AT326+AT327+AT328+AT329</f>
        <v>-43</v>
      </c>
      <c r="AU330" s="39">
        <f t="shared" si="3117"/>
        <v>223</v>
      </c>
      <c r="AV330" s="39">
        <f t="shared" si="3117"/>
        <v>85</v>
      </c>
      <c r="AW330" s="39">
        <f t="shared" si="3117"/>
        <v>146</v>
      </c>
      <c r="AX330" s="39">
        <f t="shared" si="3117"/>
        <v>269</v>
      </c>
      <c r="AY330" s="39">
        <f t="shared" si="3117"/>
        <v>425</v>
      </c>
      <c r="AZ330" s="39">
        <f t="shared" si="3117"/>
        <v>446</v>
      </c>
      <c r="BA330" s="39">
        <f t="shared" si="3117"/>
        <v>484</v>
      </c>
      <c r="BB330" s="39">
        <f t="shared" si="3117"/>
        <v>721</v>
      </c>
      <c r="BC330" s="39">
        <f t="shared" ref="BC330" si="3118">BC326+BC327+BC328+BC329</f>
        <v>1761</v>
      </c>
      <c r="BD330" s="39">
        <f t="shared" ref="BD330:BI330" si="3119">BD326+BD327+BD328+BD329</f>
        <v>746</v>
      </c>
      <c r="BE330" s="39">
        <f t="shared" si="3119"/>
        <v>634</v>
      </c>
      <c r="BF330" s="39">
        <f t="shared" si="3119"/>
        <v>1770</v>
      </c>
      <c r="BG330" s="39">
        <f t="shared" si="3119"/>
        <v>771</v>
      </c>
      <c r="BH330" s="39">
        <f t="shared" si="3119"/>
        <v>1074</v>
      </c>
      <c r="BI330" s="40">
        <f t="shared" si="3119"/>
        <v>1054</v>
      </c>
      <c r="BJ330" s="39">
        <f t="shared" ref="BJ330:BK330" si="3120">BJ326+BJ327+BJ328+BJ329</f>
        <v>1441.596420066923</v>
      </c>
      <c r="BK330" s="39">
        <f t="shared" si="3120"/>
        <v>1586.9234403373803</v>
      </c>
      <c r="BL330" s="39">
        <f t="shared" ref="BL330:BM330" si="3121">BL326+BL327+BL328+BL329</f>
        <v>1787.0083382010775</v>
      </c>
      <c r="BM330" s="39">
        <f t="shared" si="3121"/>
        <v>2026.9229344588523</v>
      </c>
      <c r="BN330" s="39">
        <f>BN326+BN327+BN328+BN329</f>
        <v>2257.4640847547298</v>
      </c>
    </row>
    <row r="331" spans="1:67" ht="12" customHeight="1" outlineLevel="1">
      <c r="A331" s="91" t="s">
        <v>1240</v>
      </c>
      <c r="B331" s="1" t="s">
        <v>16</v>
      </c>
      <c r="C331" s="21">
        <v>2</v>
      </c>
      <c r="D331" s="21">
        <f>-13-C331</f>
        <v>-15</v>
      </c>
      <c r="E331" s="21">
        <v>13</v>
      </c>
      <c r="F331" s="21">
        <f>-9-E331</f>
        <v>-22</v>
      </c>
      <c r="G331" s="21">
        <v>18</v>
      </c>
      <c r="H331" s="21">
        <f>0-G331</f>
        <v>-18</v>
      </c>
      <c r="I331" s="21">
        <v>18</v>
      </c>
      <c r="J331" s="21">
        <v>-14</v>
      </c>
      <c r="K331" s="21">
        <v>12</v>
      </c>
      <c r="L331" s="21">
        <v>-1</v>
      </c>
      <c r="M331" s="62">
        <v>1</v>
      </c>
      <c r="N331" s="62">
        <v>4</v>
      </c>
      <c r="O331" s="62">
        <v>0</v>
      </c>
      <c r="P331" s="62">
        <v>5</v>
      </c>
      <c r="Q331" s="62">
        <v>11</v>
      </c>
      <c r="R331" s="62">
        <v>-12</v>
      </c>
      <c r="S331" s="62">
        <v>-2</v>
      </c>
      <c r="T331" s="62">
        <v>-3</v>
      </c>
      <c r="U331" s="62">
        <v>-10</v>
      </c>
      <c r="V331" s="62">
        <v>23</v>
      </c>
      <c r="W331" s="62">
        <v>1</v>
      </c>
      <c r="X331" s="62">
        <v>16</v>
      </c>
      <c r="Y331" s="62">
        <v>13</v>
      </c>
      <c r="Z331" s="62">
        <v>4</v>
      </c>
      <c r="AA331" s="62">
        <v>-94</v>
      </c>
      <c r="AB331" s="62">
        <v>-155</v>
      </c>
      <c r="AC331" s="62">
        <v>19</v>
      </c>
      <c r="AD331" s="62">
        <v>11</v>
      </c>
      <c r="AE331" s="62">
        <v>-2</v>
      </c>
      <c r="AF331" s="62">
        <v>-21</v>
      </c>
      <c r="AG331" s="62">
        <v>-3</v>
      </c>
      <c r="AH331" s="62">
        <v>-8</v>
      </c>
      <c r="AI331" s="57">
        <v>-11</v>
      </c>
      <c r="AJ331" s="58">
        <f t="shared" ref="AJ331" si="3122">AI331</f>
        <v>-11</v>
      </c>
      <c r="AK331" s="58">
        <f t="shared" ref="AK331" si="3123">AJ331</f>
        <v>-11</v>
      </c>
      <c r="AL331" s="58">
        <f t="shared" ref="AL331" si="3124">AK331</f>
        <v>-11</v>
      </c>
      <c r="AM331" s="58">
        <f t="shared" ref="AM331" si="3125">AL331</f>
        <v>-11</v>
      </c>
      <c r="AN331" s="58">
        <f t="shared" ref="AN331" si="3126">AM331</f>
        <v>-11</v>
      </c>
      <c r="AO331" s="58">
        <f t="shared" ref="AO331" si="3127">AN331</f>
        <v>-11</v>
      </c>
      <c r="AP331" s="58">
        <f t="shared" ref="AP331" si="3128">AO331</f>
        <v>-11</v>
      </c>
      <c r="AQ331" s="58">
        <f t="shared" ref="AQ331" si="3129">AP331</f>
        <v>-11</v>
      </c>
      <c r="AR331" s="58">
        <f t="shared" ref="AR331" si="3130">AQ331</f>
        <v>-11</v>
      </c>
      <c r="AS331" s="8"/>
      <c r="AT331" s="41">
        <f>C331+D331</f>
        <v>-13</v>
      </c>
      <c r="AU331" s="41">
        <f>E331+F331</f>
        <v>-9</v>
      </c>
      <c r="AV331" s="41">
        <f>G331+H331</f>
        <v>0</v>
      </c>
      <c r="AW331" s="41">
        <f>I331+J331</f>
        <v>4</v>
      </c>
      <c r="AX331" s="41">
        <f>K331+L331</f>
        <v>11</v>
      </c>
      <c r="AY331" s="41">
        <f>M331+N331</f>
        <v>5</v>
      </c>
      <c r="AZ331" s="41">
        <f>O331+P331</f>
        <v>5</v>
      </c>
      <c r="BA331" s="41">
        <f>Q331+R331</f>
        <v>-1</v>
      </c>
      <c r="BB331" s="41">
        <f>S331+T331</f>
        <v>-5</v>
      </c>
      <c r="BC331" s="41">
        <f>U331+V331</f>
        <v>13</v>
      </c>
      <c r="BD331" s="41">
        <f>W331+X331</f>
        <v>17</v>
      </c>
      <c r="BE331" s="41">
        <f>Y331+Z331</f>
        <v>17</v>
      </c>
      <c r="BF331" s="41">
        <f>AA331+AB331</f>
        <v>-249</v>
      </c>
      <c r="BG331" s="41">
        <f>AC331+AD331</f>
        <v>30</v>
      </c>
      <c r="BH331" s="41">
        <f>AE331+AF331</f>
        <v>-23</v>
      </c>
      <c r="BI331" s="42">
        <f>AG331+AH331</f>
        <v>-11</v>
      </c>
      <c r="BJ331" s="41">
        <f>AI331+AJ331</f>
        <v>-22</v>
      </c>
      <c r="BK331" s="41">
        <f>AK331+AL331</f>
        <v>-22</v>
      </c>
      <c r="BL331" s="41">
        <f>AM331+AN331</f>
        <v>-22</v>
      </c>
      <c r="BM331" s="41">
        <f>AO331+AP331</f>
        <v>-22</v>
      </c>
      <c r="BN331" s="41">
        <f>AQ331+AR331</f>
        <v>-22</v>
      </c>
    </row>
    <row r="332" spans="1:67" s="9" customFormat="1" ht="12" customHeight="1" outlineLevel="1">
      <c r="A332" s="91" t="s">
        <v>561</v>
      </c>
      <c r="B332" s="16" t="s">
        <v>51</v>
      </c>
      <c r="C332" s="17">
        <f t="shared" ref="C332:H332" si="3131">C330+C331</f>
        <v>-123</v>
      </c>
      <c r="D332" s="17">
        <f t="shared" si="3131"/>
        <v>67</v>
      </c>
      <c r="E332" s="17">
        <f t="shared" si="3131"/>
        <v>44</v>
      </c>
      <c r="F332" s="17">
        <f t="shared" si="3131"/>
        <v>170</v>
      </c>
      <c r="G332" s="17">
        <f t="shared" si="3131"/>
        <v>8</v>
      </c>
      <c r="H332" s="17">
        <f t="shared" si="3131"/>
        <v>77</v>
      </c>
      <c r="I332" s="17">
        <f>I330+I331</f>
        <v>10</v>
      </c>
      <c r="J332" s="17">
        <f>J330+J331</f>
        <v>140</v>
      </c>
      <c r="K332" s="17">
        <f>K330+K331</f>
        <v>101</v>
      </c>
      <c r="L332" s="17">
        <f t="shared" ref="L332" si="3132">L330+L331</f>
        <v>179</v>
      </c>
      <c r="M332" s="63">
        <f t="shared" ref="M332:N332" si="3133">M330+M331</f>
        <v>150</v>
      </c>
      <c r="N332" s="63">
        <f t="shared" si="3133"/>
        <v>280</v>
      </c>
      <c r="O332" s="63">
        <f t="shared" ref="O332:P332" si="3134">O330+O331</f>
        <v>170</v>
      </c>
      <c r="P332" s="63">
        <f t="shared" si="3134"/>
        <v>281</v>
      </c>
      <c r="Q332" s="63">
        <f t="shared" ref="Q332:R332" si="3135">Q330+Q331</f>
        <v>205</v>
      </c>
      <c r="R332" s="63">
        <f t="shared" si="3135"/>
        <v>278</v>
      </c>
      <c r="S332" s="63">
        <f t="shared" ref="S332:T332" si="3136">S330+S331</f>
        <v>199</v>
      </c>
      <c r="T332" s="63">
        <f t="shared" si="3136"/>
        <v>517</v>
      </c>
      <c r="U332" s="63">
        <f t="shared" ref="U332:V332" si="3137">U330+U331</f>
        <v>509</v>
      </c>
      <c r="V332" s="63">
        <f t="shared" si="3137"/>
        <v>1265</v>
      </c>
      <c r="W332" s="63">
        <f t="shared" ref="W332:X332" si="3138">W330+W331</f>
        <v>221</v>
      </c>
      <c r="X332" s="63">
        <f t="shared" si="3138"/>
        <v>542</v>
      </c>
      <c r="Y332" s="63">
        <f t="shared" ref="Y332:Z332" si="3139">Y330+Y331</f>
        <v>-189</v>
      </c>
      <c r="Z332" s="63">
        <f t="shared" si="3139"/>
        <v>840</v>
      </c>
      <c r="AA332" s="63">
        <f t="shared" ref="AA332:AB332" si="3140">AA330+AA331</f>
        <v>676</v>
      </c>
      <c r="AB332" s="63">
        <f t="shared" si="3140"/>
        <v>845</v>
      </c>
      <c r="AC332" s="63">
        <f t="shared" ref="AC332:AD332" si="3141">AC330+AC331</f>
        <v>595</v>
      </c>
      <c r="AD332" s="63">
        <f t="shared" si="3141"/>
        <v>206</v>
      </c>
      <c r="AE332" s="63">
        <f t="shared" ref="AE332:AF332" si="3142">AE330+AE331</f>
        <v>430</v>
      </c>
      <c r="AF332" s="63">
        <f t="shared" si="3142"/>
        <v>621</v>
      </c>
      <c r="AG332" s="63">
        <f t="shared" ref="AG332:AH332" si="3143">AG330+AG331</f>
        <v>371</v>
      </c>
      <c r="AH332" s="63">
        <f t="shared" si="3143"/>
        <v>672</v>
      </c>
      <c r="AI332" s="64">
        <f t="shared" ref="AI332:AJ332" si="3144">AI330+AI331</f>
        <v>711</v>
      </c>
      <c r="AJ332" s="63">
        <f t="shared" si="3144"/>
        <v>708.5964200669232</v>
      </c>
      <c r="AK332" s="63">
        <f t="shared" ref="AK332:AL332" si="3145">AK330+AK331</f>
        <v>766.25634906960477</v>
      </c>
      <c r="AL332" s="63">
        <f t="shared" si="3145"/>
        <v>798.66709126777573</v>
      </c>
      <c r="AM332" s="63">
        <f t="shared" ref="AM332:AN332" si="3146">AM330+AM331</f>
        <v>856.10766751963342</v>
      </c>
      <c r="AN332" s="63">
        <f t="shared" si="3146"/>
        <v>908.90067068144504</v>
      </c>
      <c r="AO332" s="63">
        <f t="shared" ref="AO332:AP332" si="3147">AO330+AO331</f>
        <v>976.42400079754634</v>
      </c>
      <c r="AP332" s="63">
        <f t="shared" si="3147"/>
        <v>1028.498933661306</v>
      </c>
      <c r="AQ332" s="63">
        <f t="shared" ref="AQ332:AR332" si="3148">AQ330+AQ331</f>
        <v>1094.2435792758909</v>
      </c>
      <c r="AR332" s="63">
        <f t="shared" si="3148"/>
        <v>1141.2205054788387</v>
      </c>
      <c r="AS332" s="75"/>
      <c r="AT332" s="63">
        <f t="shared" ref="AT332:BB332" si="3149">AT330+AT331</f>
        <v>-56</v>
      </c>
      <c r="AU332" s="63">
        <f t="shared" si="3149"/>
        <v>214</v>
      </c>
      <c r="AV332" s="63">
        <f t="shared" si="3149"/>
        <v>85</v>
      </c>
      <c r="AW332" s="63">
        <f t="shared" si="3149"/>
        <v>150</v>
      </c>
      <c r="AX332" s="63">
        <f t="shared" si="3149"/>
        <v>280</v>
      </c>
      <c r="AY332" s="63">
        <f t="shared" si="3149"/>
        <v>430</v>
      </c>
      <c r="AZ332" s="63">
        <f t="shared" si="3149"/>
        <v>451</v>
      </c>
      <c r="BA332" s="63">
        <f t="shared" si="3149"/>
        <v>483</v>
      </c>
      <c r="BB332" s="63">
        <f t="shared" si="3149"/>
        <v>716</v>
      </c>
      <c r="BC332" s="63">
        <f t="shared" ref="BC332" si="3150">BC330+BC331</f>
        <v>1774</v>
      </c>
      <c r="BD332" s="63">
        <f t="shared" ref="BD332:BI332" si="3151">BD330+BD331</f>
        <v>763</v>
      </c>
      <c r="BE332" s="63">
        <f t="shared" si="3151"/>
        <v>651</v>
      </c>
      <c r="BF332" s="63">
        <f t="shared" si="3151"/>
        <v>1521</v>
      </c>
      <c r="BG332" s="63">
        <f t="shared" si="3151"/>
        <v>801</v>
      </c>
      <c r="BH332" s="63">
        <f t="shared" si="3151"/>
        <v>1051</v>
      </c>
      <c r="BI332" s="64">
        <f t="shared" si="3151"/>
        <v>1043</v>
      </c>
      <c r="BJ332" s="63">
        <f t="shared" ref="BJ332:BK332" si="3152">BJ330+BJ331</f>
        <v>1419.596420066923</v>
      </c>
      <c r="BK332" s="63">
        <f t="shared" si="3152"/>
        <v>1564.9234403373803</v>
      </c>
      <c r="BL332" s="63">
        <f t="shared" ref="BL332:BM332" si="3153">BL330+BL331</f>
        <v>1765.0083382010775</v>
      </c>
      <c r="BM332" s="63">
        <f t="shared" si="3153"/>
        <v>2004.9229344588523</v>
      </c>
      <c r="BN332" s="63">
        <f>BN330+BN331</f>
        <v>2235.4640847547298</v>
      </c>
    </row>
    <row r="333" spans="1:67" ht="12" customHeight="1" outlineLevel="1">
      <c r="B333" s="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39"/>
      <c r="N333" s="39"/>
      <c r="O333" s="41"/>
      <c r="P333" s="41">
        <f>(O332+P332)</f>
        <v>451</v>
      </c>
      <c r="Q333" s="41"/>
      <c r="R333" s="41">
        <f>(Q332+R332)</f>
        <v>483</v>
      </c>
      <c r="S333" s="41"/>
      <c r="T333" s="41">
        <f>(S332+T332)</f>
        <v>716</v>
      </c>
      <c r="U333" s="41"/>
      <c r="V333" s="41">
        <f>(U332+V332)</f>
        <v>1774</v>
      </c>
      <c r="W333" s="41"/>
      <c r="X333" s="41"/>
      <c r="Y333" s="41"/>
      <c r="Z333" s="41"/>
      <c r="AA333" s="41"/>
      <c r="AB333" s="41"/>
      <c r="AC333" s="41"/>
      <c r="AD333" s="41"/>
      <c r="AE333" s="41"/>
      <c r="AF333" s="50"/>
      <c r="AG333" s="41"/>
      <c r="AH333" s="50"/>
      <c r="AI333" s="51"/>
      <c r="AJ333" s="50"/>
      <c r="AK333" s="41"/>
      <c r="AL333" s="50"/>
      <c r="AM333" s="41"/>
      <c r="AN333" s="50"/>
      <c r="AO333" s="41"/>
      <c r="AP333" s="50"/>
      <c r="AQ333" s="41"/>
      <c r="AR333" s="50"/>
      <c r="AS333" s="74"/>
      <c r="AT333" s="39"/>
      <c r="AU333" s="39"/>
      <c r="AV333" s="39"/>
      <c r="AW333" s="39"/>
      <c r="AX333" s="39"/>
      <c r="AY333" s="409"/>
      <c r="AZ333" s="270"/>
      <c r="BA333" s="39"/>
      <c r="BB333" s="270"/>
      <c r="BC333" s="401"/>
      <c r="BD333" s="401"/>
      <c r="BE333" s="401"/>
      <c r="BF333" s="401"/>
      <c r="BG333" s="63"/>
      <c r="BH333" s="63"/>
      <c r="BI333" s="64"/>
      <c r="BJ333" s="401"/>
      <c r="BK333" s="401"/>
      <c r="BL333" s="401"/>
      <c r="BM333" s="401"/>
      <c r="BN333" s="401"/>
    </row>
    <row r="334" spans="1:67" s="9" customFormat="1" ht="12" customHeight="1" outlineLevel="1">
      <c r="A334" s="91"/>
      <c r="B334" s="9" t="s">
        <v>50</v>
      </c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39"/>
      <c r="N334" s="39"/>
      <c r="O334" s="39"/>
      <c r="P334" s="44"/>
      <c r="Q334" s="44"/>
      <c r="R334" s="44">
        <f>R333/P333-1</f>
        <v>7.0953436807095427E-2</v>
      </c>
      <c r="S334" s="44"/>
      <c r="T334" s="44">
        <f>T333/R333-1</f>
        <v>0.48240165631469978</v>
      </c>
      <c r="U334" s="44"/>
      <c r="V334" s="44">
        <f>V333/T333-1</f>
        <v>1.477653631284916</v>
      </c>
      <c r="W334" s="44"/>
      <c r="X334" s="44"/>
      <c r="Y334" s="44"/>
      <c r="Z334" s="44"/>
      <c r="AA334" s="44"/>
      <c r="AB334" s="44"/>
      <c r="AC334" s="44"/>
      <c r="AD334" s="41"/>
      <c r="AE334" s="44"/>
      <c r="AF334" s="41"/>
      <c r="AG334" s="44"/>
      <c r="AH334" s="41"/>
      <c r="AI334" s="42"/>
      <c r="AJ334" s="41"/>
      <c r="AK334" s="287"/>
      <c r="AL334" s="65"/>
      <c r="AM334" s="65"/>
      <c r="AN334" s="41"/>
      <c r="AO334" s="269"/>
      <c r="AP334" s="41"/>
      <c r="AQ334" s="269"/>
      <c r="AR334" s="41"/>
      <c r="AS334" s="74"/>
      <c r="AT334" s="39"/>
      <c r="AU334" s="39"/>
      <c r="AV334" s="39"/>
      <c r="AW334" s="39"/>
      <c r="AX334" s="39"/>
      <c r="AY334" s="39"/>
      <c r="AZ334" s="39"/>
      <c r="BA334" s="39"/>
      <c r="BB334" s="39"/>
      <c r="BC334" s="39"/>
      <c r="BD334" s="39"/>
      <c r="BE334" s="39"/>
      <c r="BF334" s="39"/>
      <c r="BG334" s="39"/>
      <c r="BH334" s="39"/>
      <c r="BI334" s="398"/>
      <c r="BJ334" s="39"/>
      <c r="BK334" s="39"/>
      <c r="BL334" s="39"/>
      <c r="BM334" s="39"/>
      <c r="BN334" s="39"/>
    </row>
    <row r="335" spans="1:67" ht="12" customHeight="1" outlineLevel="1">
      <c r="A335" s="91" t="str">
        <f>LEFT(A332,3)&amp;"_CapEarnings"</f>
        <v>CAP_CapEarnings</v>
      </c>
      <c r="B335" s="1" t="s">
        <v>53</v>
      </c>
      <c r="C335" s="21">
        <f>747-C326</f>
        <v>540</v>
      </c>
      <c r="D335" s="21">
        <f>1600-D326-C326-C335</f>
        <v>375</v>
      </c>
      <c r="E335" s="21">
        <f>390-E326</f>
        <v>26</v>
      </c>
      <c r="F335" s="21">
        <f>972-F326-E326-E335</f>
        <v>29</v>
      </c>
      <c r="G335" s="21">
        <f>256-G326</f>
        <v>-12</v>
      </c>
      <c r="H335" s="21">
        <f>642-H326-G326-G335</f>
        <v>-4</v>
      </c>
      <c r="I335" s="21">
        <f>222-I326</f>
        <v>-30</v>
      </c>
      <c r="J335" s="21">
        <f>610-J326-I326-I335</f>
        <v>-25</v>
      </c>
      <c r="K335" s="21">
        <f>372-K326</f>
        <v>0</v>
      </c>
      <c r="L335" s="21">
        <f>(445-7)-L326</f>
        <v>-7</v>
      </c>
      <c r="M335" s="62">
        <v>-1</v>
      </c>
      <c r="N335" s="62">
        <v>-4</v>
      </c>
      <c r="O335" s="62">
        <v>0</v>
      </c>
      <c r="P335" s="62">
        <v>-15</v>
      </c>
      <c r="Q335" s="62">
        <v>-10</v>
      </c>
      <c r="R335" s="62">
        <v>4</v>
      </c>
      <c r="S335" s="62">
        <v>-1</v>
      </c>
      <c r="T335" s="62">
        <v>-21</v>
      </c>
      <c r="U335" s="62">
        <v>-15</v>
      </c>
      <c r="V335" s="62">
        <v>-26</v>
      </c>
      <c r="W335" s="62">
        <v>-38</v>
      </c>
      <c r="X335" s="62">
        <v>-23</v>
      </c>
      <c r="Y335" s="62">
        <v>0</v>
      </c>
      <c r="Z335" s="62">
        <v>-31</v>
      </c>
      <c r="AA335" s="62">
        <v>-14</v>
      </c>
      <c r="AB335" s="62">
        <v>-15</v>
      </c>
      <c r="AC335" s="62">
        <v>-12</v>
      </c>
      <c r="AD335" s="62">
        <v>23</v>
      </c>
      <c r="AE335" s="62">
        <v>13</v>
      </c>
      <c r="AF335" s="62">
        <v>8</v>
      </c>
      <c r="AG335" s="62">
        <v>18</v>
      </c>
      <c r="AH335" s="62">
        <v>33</v>
      </c>
      <c r="AI335" s="57">
        <v>-3</v>
      </c>
      <c r="AJ335" s="41">
        <f t="shared" ref="AJ335" si="3154">AI335*AJ$480/AI$480</f>
        <v>-3</v>
      </c>
      <c r="AK335" s="41">
        <f t="shared" ref="AK335" si="3155">AJ335*AK$480/AJ$480</f>
        <v>-3</v>
      </c>
      <c r="AL335" s="41">
        <f t="shared" ref="AL335" si="3156">AK335*AL$480/AK$480</f>
        <v>-3</v>
      </c>
      <c r="AM335" s="41">
        <f t="shared" ref="AM335" si="3157">AL335*AM$480/AL$480</f>
        <v>-3</v>
      </c>
      <c r="AN335" s="41">
        <f t="shared" ref="AN335" si="3158">AM335*AN$480/AM$480</f>
        <v>-3</v>
      </c>
      <c r="AO335" s="41">
        <f t="shared" ref="AO335" si="3159">AN335*AO$480/AN$480</f>
        <v>-3</v>
      </c>
      <c r="AP335" s="41">
        <f t="shared" ref="AP335" si="3160">AO335*AP$480/AO$480</f>
        <v>-3</v>
      </c>
      <c r="AQ335" s="41">
        <f t="shared" ref="AQ335" si="3161">AP335*AQ$480/AP$480</f>
        <v>-3</v>
      </c>
      <c r="AR335" s="41">
        <f t="shared" ref="AR335" si="3162">AQ335*AR$480/AQ$480</f>
        <v>-3</v>
      </c>
      <c r="AS335" s="8"/>
      <c r="AT335" s="41">
        <f>C335+D335</f>
        <v>915</v>
      </c>
      <c r="AU335" s="41">
        <f>E335+F335</f>
        <v>55</v>
      </c>
      <c r="AV335" s="41">
        <f>G335+H335</f>
        <v>-16</v>
      </c>
      <c r="AW335" s="41">
        <f>I335+J335</f>
        <v>-55</v>
      </c>
      <c r="AX335" s="41">
        <f>K335+L335</f>
        <v>-7</v>
      </c>
      <c r="AY335" s="41">
        <f>M335+N335</f>
        <v>-5</v>
      </c>
      <c r="AZ335" s="41">
        <f>O335+P335</f>
        <v>-15</v>
      </c>
      <c r="BA335" s="41">
        <f>Q335+R335</f>
        <v>-6</v>
      </c>
      <c r="BB335" s="41">
        <f>S335+T335</f>
        <v>-22</v>
      </c>
      <c r="BC335" s="41">
        <f>U335+V335</f>
        <v>-41</v>
      </c>
      <c r="BD335" s="41">
        <f>W335+X335</f>
        <v>-61</v>
      </c>
      <c r="BE335" s="41">
        <f>Y335+Z335</f>
        <v>-31</v>
      </c>
      <c r="BF335" s="41">
        <f>AA335+AB335</f>
        <v>-29</v>
      </c>
      <c r="BG335" s="41">
        <f>AC335+AD335</f>
        <v>11</v>
      </c>
      <c r="BH335" s="41">
        <f>AE335+AF335</f>
        <v>21</v>
      </c>
      <c r="BI335" s="42">
        <f>AG335+AH335</f>
        <v>51</v>
      </c>
      <c r="BJ335" s="41">
        <f>AI335+AJ335</f>
        <v>-6</v>
      </c>
      <c r="BK335" s="41">
        <f>AK335+AL335</f>
        <v>-6</v>
      </c>
      <c r="BL335" s="41">
        <f>AM335+AN335</f>
        <v>-6</v>
      </c>
      <c r="BM335" s="41">
        <f>AO335+AP335</f>
        <v>-6</v>
      </c>
      <c r="BN335" s="41">
        <f>AQ335+AR335</f>
        <v>-6</v>
      </c>
    </row>
    <row r="336" spans="1:67" ht="12" customHeight="1" outlineLevel="1">
      <c r="A336" s="91" t="str">
        <f>LEFT(A332,3)&amp;"_CenCosts"</f>
        <v>CAP_CenCosts</v>
      </c>
      <c r="B336" s="1" t="s">
        <v>12</v>
      </c>
      <c r="C336" s="19">
        <f t="shared" ref="C336:AB336" si="3163">C$472*(C326)/(C$28-C$469)</f>
        <v>7.473389355742297</v>
      </c>
      <c r="D336" s="19">
        <f t="shared" si="3163"/>
        <v>17.798589562764455</v>
      </c>
      <c r="E336" s="19">
        <f t="shared" si="3163"/>
        <v>28.127776087617889</v>
      </c>
      <c r="F336" s="19">
        <f t="shared" si="3163"/>
        <v>42.012125711457557</v>
      </c>
      <c r="G336" s="19">
        <f t="shared" si="3163"/>
        <v>26.560049397962334</v>
      </c>
      <c r="H336" s="19">
        <f t="shared" si="3163"/>
        <v>32.895556184545711</v>
      </c>
      <c r="I336" s="19">
        <f t="shared" si="3163"/>
        <v>23.825454545454544</v>
      </c>
      <c r="J336" s="19">
        <f t="shared" si="3163"/>
        <v>38.282702858792952</v>
      </c>
      <c r="K336" s="19">
        <f t="shared" si="3163"/>
        <v>30.167727650152226</v>
      </c>
      <c r="L336" s="19">
        <f t="shared" si="3163"/>
        <v>36.07822158820732</v>
      </c>
      <c r="M336" s="41">
        <f t="shared" si="3163"/>
        <v>32.927630002396356</v>
      </c>
      <c r="N336" s="41">
        <f t="shared" si="3163"/>
        <v>39.478435305917756</v>
      </c>
      <c r="O336" s="41">
        <f t="shared" si="3163"/>
        <v>33.118012422360252</v>
      </c>
      <c r="P336" s="41">
        <f t="shared" si="3163"/>
        <v>60.961753330468412</v>
      </c>
      <c r="Q336" s="41">
        <f t="shared" si="3163"/>
        <v>36.844867270216355</v>
      </c>
      <c r="R336" s="41">
        <f t="shared" si="3163"/>
        <v>38.459584295612011</v>
      </c>
      <c r="S336" s="41">
        <f t="shared" si="3163"/>
        <v>32.697032217108394</v>
      </c>
      <c r="T336" s="41">
        <f t="shared" si="3163"/>
        <v>52.213288834951456</v>
      </c>
      <c r="U336" s="41">
        <f t="shared" si="3163"/>
        <v>78.692307692307693</v>
      </c>
      <c r="V336" s="41">
        <f t="shared" si="3163"/>
        <v>65.508142383628766</v>
      </c>
      <c r="W336" s="41">
        <f t="shared" si="3163"/>
        <v>97.177031174285247</v>
      </c>
      <c r="X336" s="41">
        <f t="shared" si="3163"/>
        <v>100.40411536515433</v>
      </c>
      <c r="Y336" s="41">
        <f t="shared" si="3163"/>
        <v>54.523378035520118</v>
      </c>
      <c r="Z336" s="41">
        <f t="shared" si="3163"/>
        <v>118.60426136363637</v>
      </c>
      <c r="AA336" s="41">
        <f t="shared" si="3163"/>
        <v>95.128973423658152</v>
      </c>
      <c r="AB336" s="41">
        <f t="shared" si="3163"/>
        <v>113.22326881275231</v>
      </c>
      <c r="AC336" s="41">
        <v>0</v>
      </c>
      <c r="AD336" s="41">
        <v>0</v>
      </c>
      <c r="AE336" s="41">
        <v>0</v>
      </c>
      <c r="AF336" s="41">
        <v>0</v>
      </c>
      <c r="AG336" s="41">
        <v>0</v>
      </c>
      <c r="AH336" s="41">
        <v>0</v>
      </c>
      <c r="AI336" s="42">
        <v>0</v>
      </c>
      <c r="AJ336" s="41">
        <f>AI336</f>
        <v>0</v>
      </c>
      <c r="AK336" s="41">
        <f t="shared" ref="AK336:AR336" si="3164">AJ336</f>
        <v>0</v>
      </c>
      <c r="AL336" s="41">
        <f t="shared" si="3164"/>
        <v>0</v>
      </c>
      <c r="AM336" s="41">
        <f t="shared" si="3164"/>
        <v>0</v>
      </c>
      <c r="AN336" s="41">
        <f t="shared" si="3164"/>
        <v>0</v>
      </c>
      <c r="AO336" s="41">
        <f t="shared" si="3164"/>
        <v>0</v>
      </c>
      <c r="AP336" s="41">
        <f t="shared" si="3164"/>
        <v>0</v>
      </c>
      <c r="AQ336" s="41">
        <f t="shared" si="3164"/>
        <v>0</v>
      </c>
      <c r="AR336" s="41">
        <f t="shared" si="3164"/>
        <v>0</v>
      </c>
      <c r="AS336" s="8"/>
      <c r="AT336" s="41">
        <f>C336+D336</f>
        <v>25.271978918506754</v>
      </c>
      <c r="AU336" s="41">
        <f>E336+F336</f>
        <v>70.139901799075446</v>
      </c>
      <c r="AV336" s="41">
        <f>G336+H336</f>
        <v>59.455605582508042</v>
      </c>
      <c r="AW336" s="41">
        <f>I336+J336</f>
        <v>62.108157404247493</v>
      </c>
      <c r="AX336" s="41">
        <f>K336+L336</f>
        <v>66.245949238359543</v>
      </c>
      <c r="AY336" s="41">
        <f>M336+N336</f>
        <v>72.406065308314112</v>
      </c>
      <c r="AZ336" s="41">
        <f>O336+P336</f>
        <v>94.079765752828663</v>
      </c>
      <c r="BA336" s="41">
        <f>Q336+R336</f>
        <v>75.304451565828373</v>
      </c>
      <c r="BB336" s="41">
        <f>S336+T336</f>
        <v>84.910321052059857</v>
      </c>
      <c r="BC336" s="41">
        <f>U336+V336</f>
        <v>144.20045007593646</v>
      </c>
      <c r="BD336" s="41">
        <f>W336+X336</f>
        <v>197.58114653943957</v>
      </c>
      <c r="BE336" s="41">
        <f>Y336+Z336</f>
        <v>173.12763939915649</v>
      </c>
      <c r="BF336" s="41">
        <f>AA336+AB336</f>
        <v>208.35224223641046</v>
      </c>
      <c r="BG336" s="41">
        <f>AC336+AD336</f>
        <v>0</v>
      </c>
      <c r="BH336" s="41">
        <f t="shared" ref="BH336:BI336" si="3165">AD336+AE336</f>
        <v>0</v>
      </c>
      <c r="BI336" s="42">
        <f t="shared" si="3165"/>
        <v>0</v>
      </c>
      <c r="BJ336" s="41">
        <f>AI336+AJ336</f>
        <v>0</v>
      </c>
      <c r="BK336" s="41">
        <f>AK336+AL336</f>
        <v>0</v>
      </c>
      <c r="BL336" s="41">
        <f>AM336+AN336</f>
        <v>0</v>
      </c>
      <c r="BM336" s="41">
        <f>AO336+AP336</f>
        <v>0</v>
      </c>
      <c r="BN336" s="41">
        <f>AQ336+AR336</f>
        <v>0</v>
      </c>
    </row>
    <row r="337" spans="1:66" ht="12" customHeight="1" outlineLevel="1">
      <c r="A337" s="91" t="str">
        <f>LEFT(A332,3)&amp;"_ProfitShare"</f>
        <v>CAP_ProfitShare</v>
      </c>
      <c r="B337" s="1" t="s">
        <v>13</v>
      </c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>
        <f>'[2]MQG - Divisional ROE Reco'!G255</f>
        <v>-255.95890410958896</v>
      </c>
      <c r="AD337" s="41">
        <f>'[2]MQG - Divisional ROE Reco'!G228</f>
        <v>-41.082762557077558</v>
      </c>
      <c r="AE337" s="41">
        <f>'[2]MQG - Divisional ROE Reco'!G173</f>
        <v>-136.42361111111109</v>
      </c>
      <c r="AF337" s="41">
        <f>'[2]MQG - Divisional ROE Reco'!G146</f>
        <v>-170.90972222222194</v>
      </c>
      <c r="AG337" s="41">
        <f>'[2]MQG - Divisional ROE Reco'!G91</f>
        <v>-72.048951048951039</v>
      </c>
      <c r="AH337" s="41">
        <f>'[2]MQG - Divisional ROE Reco'!G64</f>
        <v>-141.95104895104896</v>
      </c>
      <c r="AI337" s="42">
        <f>'[2]MQG - Divisional ROE Reco'!$G$9</f>
        <v>-75.084507042253335</v>
      </c>
      <c r="AJ337" s="41">
        <f>AF337/AF326*AJ326*1.2</f>
        <v>-219.88819175484235</v>
      </c>
      <c r="AK337" s="41">
        <f>AJ337/AJ326*AK326</f>
        <v>-230.98501217263455</v>
      </c>
      <c r="AL337" s="41">
        <f t="shared" ref="AL337:AR337" si="3166">AK337/AK326*AL326</f>
        <v>-237.6289301322438</v>
      </c>
      <c r="AM337" s="41">
        <f t="shared" si="3166"/>
        <v>-248.52587693479671</v>
      </c>
      <c r="AN337" s="41">
        <f t="shared" si="3166"/>
        <v>-257.9572577614058</v>
      </c>
      <c r="AO337" s="41">
        <f t="shared" si="3166"/>
        <v>-269.7752253018752</v>
      </c>
      <c r="AP337" s="41">
        <f t="shared" si="3166"/>
        <v>-278.17555333796224</v>
      </c>
      <c r="AQ337" s="41">
        <f t="shared" si="3166"/>
        <v>-289.92112971052643</v>
      </c>
      <c r="AR337" s="41">
        <f t="shared" si="3166"/>
        <v>-297.54725737266421</v>
      </c>
      <c r="AS337" s="8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>
        <f t="shared" ref="BG337:BG339" si="3167">AC337+AD337</f>
        <v>-297.04166666666652</v>
      </c>
      <c r="BH337" s="41">
        <f>AF337+AE337</f>
        <v>-307.33333333333303</v>
      </c>
      <c r="BI337" s="42">
        <f>AG337+AH337</f>
        <v>-214</v>
      </c>
      <c r="BJ337" s="41">
        <f t="shared" ref="BJ337:BJ339" si="3168">AI337+AJ337</f>
        <v>-294.97269879709569</v>
      </c>
      <c r="BK337" s="41">
        <f t="shared" ref="BK337:BK339" si="3169">AK337+AL337</f>
        <v>-468.61394230487838</v>
      </c>
      <c r="BL337" s="41">
        <f t="shared" ref="BL337:BL339" si="3170">AM337+AN337</f>
        <v>-506.48313469620251</v>
      </c>
      <c r="BM337" s="41">
        <f t="shared" ref="BM337:BM339" si="3171">AO337+AP337</f>
        <v>-547.95077863983738</v>
      </c>
      <c r="BN337" s="41">
        <f t="shared" ref="BN337:BN339" si="3172">AQ337+AR337</f>
        <v>-587.46838708319069</v>
      </c>
    </row>
    <row r="338" spans="1:66" ht="12" customHeight="1" outlineLevel="1">
      <c r="A338" s="91" t="str">
        <f>LEFT(A332,3)&amp;"_Tax"</f>
        <v>CAP_Tax</v>
      </c>
      <c r="B338" s="1" t="s">
        <v>15</v>
      </c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>
        <f>'[2]MQG - Divisional ROE Reco'!G262</f>
        <v>-91.541095890410972</v>
      </c>
      <c r="AD338" s="41">
        <f>'[2]MQG - Divisional ROE Reco'!G235</f>
        <v>-41.167237442922371</v>
      </c>
      <c r="AE338" s="41">
        <f>'[2]MQG - Divisional ROE Reco'!G180</f>
        <v>-82.2013888888889</v>
      </c>
      <c r="AF338" s="41">
        <f>'[2]MQG - Divisional ROE Reco'!G153</f>
        <v>-132.46527777777783</v>
      </c>
      <c r="AG338" s="41">
        <f>'[2]MQG - Divisional ROE Reco'!G98</f>
        <v>-85.201048951048932</v>
      </c>
      <c r="AH338" s="41">
        <f>'[2]MQG - Divisional ROE Reco'!G71</f>
        <v>-124.79895104895107</v>
      </c>
      <c r="AI338" s="42">
        <f>'[2]MQG - Divisional ROE Reco'!$G$16</f>
        <v>-184.41549295774649</v>
      </c>
      <c r="AJ338" s="41">
        <f t="shared" ref="AJ338:AR338" si="3173">-SUM(AJ332,AJ337)*AJ371</f>
        <v>-141.72538621050342</v>
      </c>
      <c r="AK338" s="41">
        <f t="shared" si="3173"/>
        <v>-155.2286877001213</v>
      </c>
      <c r="AL338" s="41">
        <f t="shared" si="3173"/>
        <v>-162.70106672930422</v>
      </c>
      <c r="AM338" s="41">
        <f t="shared" si="3173"/>
        <v>-176.19871926960258</v>
      </c>
      <c r="AN338" s="41">
        <f t="shared" si="3173"/>
        <v>-188.77358974681133</v>
      </c>
      <c r="AO338" s="41">
        <f t="shared" si="3173"/>
        <v>-204.92814489374456</v>
      </c>
      <c r="AP338" s="41">
        <f t="shared" si="3173"/>
        <v>-217.59378029376961</v>
      </c>
      <c r="AQ338" s="41">
        <f t="shared" si="3173"/>
        <v>-233.25351037395563</v>
      </c>
      <c r="AR338" s="41">
        <f t="shared" si="3173"/>
        <v>-244.66524195079054</v>
      </c>
      <c r="AS338" s="8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>
        <f t="shared" si="3167"/>
        <v>-132.70833333333334</v>
      </c>
      <c r="BH338" s="41">
        <f>AF338+AE338</f>
        <v>-214.66666666666674</v>
      </c>
      <c r="BI338" s="42">
        <f>AG338+AH338</f>
        <v>-210</v>
      </c>
      <c r="BJ338" s="41">
        <f t="shared" si="3168"/>
        <v>-326.14087916824991</v>
      </c>
      <c r="BK338" s="41">
        <f t="shared" si="3169"/>
        <v>-317.92975442942554</v>
      </c>
      <c r="BL338" s="41">
        <f t="shared" si="3170"/>
        <v>-364.97230901641387</v>
      </c>
      <c r="BM338" s="41">
        <f t="shared" si="3171"/>
        <v>-422.52192518751417</v>
      </c>
      <c r="BN338" s="41">
        <f t="shared" si="3172"/>
        <v>-477.91875232474615</v>
      </c>
    </row>
    <row r="339" spans="1:66" s="9" customFormat="1" ht="12" customHeight="1" outlineLevel="1">
      <c r="A339" s="91" t="str">
        <f>LEFT(A332,3)&amp;"_CE"</f>
        <v>CAP_CE</v>
      </c>
      <c r="B339" s="1" t="s">
        <v>54</v>
      </c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39">
        <f t="shared" ref="AC339:AH339" si="3174">SUM(AC332,AC336,AC337,AC338)</f>
        <v>247.50000000000006</v>
      </c>
      <c r="AD339" s="39">
        <f t="shared" si="3174"/>
        <v>123.75000000000007</v>
      </c>
      <c r="AE339" s="39">
        <f t="shared" si="3174"/>
        <v>211.375</v>
      </c>
      <c r="AF339" s="39">
        <f t="shared" si="3174"/>
        <v>317.62500000000023</v>
      </c>
      <c r="AG339" s="39">
        <f t="shared" si="3174"/>
        <v>213.75000000000003</v>
      </c>
      <c r="AH339" s="39">
        <f t="shared" si="3174"/>
        <v>405.25</v>
      </c>
      <c r="AI339" s="40">
        <f t="shared" ref="AI339" si="3175">SUM(AI332,AI336,AI337,AI338)</f>
        <v>451.50000000000017</v>
      </c>
      <c r="AJ339" s="17">
        <f t="shared" ref="AJ339:AR339" si="3176">SUM(AJ332,AJ337,AJ338)</f>
        <v>346.98284210157743</v>
      </c>
      <c r="AK339" s="17">
        <f t="shared" si="3176"/>
        <v>380.04264919684886</v>
      </c>
      <c r="AL339" s="17">
        <f t="shared" si="3176"/>
        <v>398.33709440622772</v>
      </c>
      <c r="AM339" s="17">
        <f t="shared" si="3176"/>
        <v>431.38307131523408</v>
      </c>
      <c r="AN339" s="17">
        <f t="shared" si="3176"/>
        <v>462.16982317322788</v>
      </c>
      <c r="AO339" s="17">
        <f t="shared" si="3176"/>
        <v>501.72063060192653</v>
      </c>
      <c r="AP339" s="17">
        <f t="shared" si="3176"/>
        <v>532.72960002957416</v>
      </c>
      <c r="AQ339" s="17">
        <f t="shared" si="3176"/>
        <v>571.06893919140884</v>
      </c>
      <c r="AR339" s="17">
        <f t="shared" si="3176"/>
        <v>599.0080061553839</v>
      </c>
      <c r="AS339" s="8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39">
        <f t="shared" si="3167"/>
        <v>371.25000000000011</v>
      </c>
      <c r="BH339" s="39">
        <f>AE339+AF339</f>
        <v>529.00000000000023</v>
      </c>
      <c r="BI339" s="40">
        <f>AG339+AH339</f>
        <v>619</v>
      </c>
      <c r="BJ339" s="39">
        <f t="shared" si="3168"/>
        <v>798.4828421015776</v>
      </c>
      <c r="BK339" s="39">
        <f t="shared" si="3169"/>
        <v>778.37974360307658</v>
      </c>
      <c r="BL339" s="39">
        <f t="shared" si="3170"/>
        <v>893.55289448846202</v>
      </c>
      <c r="BM339" s="39">
        <f t="shared" si="3171"/>
        <v>1034.4502306315007</v>
      </c>
      <c r="BN339" s="39">
        <f t="shared" si="3172"/>
        <v>1170.0769453467929</v>
      </c>
    </row>
    <row r="340" spans="1:66" ht="12" customHeight="1" outlineLevel="1"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2"/>
      <c r="AJ340" s="41"/>
      <c r="AK340" s="41"/>
      <c r="AL340" s="41"/>
      <c r="AM340" s="41"/>
      <c r="AN340" s="41"/>
      <c r="AO340" s="41"/>
      <c r="AP340" s="41"/>
      <c r="AQ340" s="41"/>
      <c r="AR340" s="41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43"/>
      <c r="BJ340" s="8"/>
      <c r="BK340" s="8"/>
      <c r="BL340" s="8"/>
      <c r="BM340" s="8"/>
      <c r="BN340" s="8"/>
    </row>
    <row r="341" spans="1:66" ht="12" customHeight="1" outlineLevel="1">
      <c r="B341" s="9" t="s">
        <v>41</v>
      </c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41"/>
      <c r="N341" s="41"/>
      <c r="O341" s="41"/>
      <c r="P341" s="41"/>
      <c r="Q341" s="41"/>
      <c r="R341" s="41"/>
      <c r="S341" s="41"/>
      <c r="T341" s="41"/>
      <c r="U341" s="44"/>
      <c r="V341" s="44"/>
      <c r="W341" s="44"/>
      <c r="X341" s="44"/>
      <c r="Y341" s="44"/>
      <c r="Z341" s="44"/>
      <c r="AA341" s="44"/>
      <c r="AB341" s="44"/>
      <c r="AC341" s="44"/>
      <c r="AD341" s="41"/>
      <c r="AE341" s="41"/>
      <c r="AF341" s="41"/>
      <c r="AG341" s="41"/>
      <c r="AH341" s="41"/>
      <c r="AI341" s="42"/>
      <c r="AJ341" s="47"/>
      <c r="AK341" s="47"/>
      <c r="AL341" s="47"/>
      <c r="AM341" s="47"/>
      <c r="AN341" s="47"/>
      <c r="AO341" s="47"/>
      <c r="AP341" s="47"/>
      <c r="AQ341" s="47"/>
      <c r="AR341" s="47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43"/>
      <c r="BJ341" s="8"/>
      <c r="BK341" s="8"/>
      <c r="BL341" s="8"/>
      <c r="BM341" s="8"/>
      <c r="BN341" s="8"/>
    </row>
    <row r="342" spans="1:66" ht="12" customHeight="1" outlineLevel="1">
      <c r="B342" s="1" t="s">
        <v>42</v>
      </c>
      <c r="C342" s="21">
        <v>0</v>
      </c>
      <c r="D342" s="21">
        <v>0</v>
      </c>
      <c r="E342" s="21">
        <v>0</v>
      </c>
      <c r="F342" s="21">
        <v>0</v>
      </c>
      <c r="G342" s="21">
        <v>0</v>
      </c>
      <c r="H342" s="21">
        <v>0</v>
      </c>
      <c r="I342" s="21">
        <v>0</v>
      </c>
      <c r="J342" s="21">
        <v>0</v>
      </c>
      <c r="K342" s="21">
        <v>0</v>
      </c>
      <c r="L342" s="21">
        <v>0</v>
      </c>
      <c r="M342" s="62">
        <v>0</v>
      </c>
      <c r="N342" s="62">
        <v>0</v>
      </c>
      <c r="O342" s="62">
        <v>0</v>
      </c>
      <c r="P342" s="62">
        <v>0</v>
      </c>
      <c r="Q342" s="62">
        <v>0</v>
      </c>
      <c r="R342" s="62">
        <v>0</v>
      </c>
      <c r="S342" s="62">
        <v>0</v>
      </c>
      <c r="T342" s="62">
        <v>0</v>
      </c>
      <c r="U342" s="62">
        <v>5200</v>
      </c>
      <c r="V342" s="62">
        <v>4100</v>
      </c>
      <c r="W342" s="62">
        <v>4200</v>
      </c>
      <c r="X342" s="62">
        <v>6700</v>
      </c>
      <c r="Y342" s="62">
        <v>5400</v>
      </c>
      <c r="Z342" s="62">
        <v>6000</v>
      </c>
      <c r="AA342" s="62">
        <v>8900</v>
      </c>
      <c r="AB342" s="62">
        <v>11900</v>
      </c>
      <c r="AC342" s="62">
        <v>15000</v>
      </c>
      <c r="AD342" s="62">
        <v>17100</v>
      </c>
      <c r="AE342" s="62">
        <v>18200</v>
      </c>
      <c r="AF342" s="62">
        <v>19800</v>
      </c>
      <c r="AG342" s="62">
        <v>21000</v>
      </c>
      <c r="AH342" s="62">
        <v>24100</v>
      </c>
      <c r="AI342" s="57">
        <v>23400</v>
      </c>
      <c r="AJ342" s="59">
        <f t="shared" ref="AJ342" si="3177">AI342*(1+AJ352)</f>
        <v>24102</v>
      </c>
      <c r="AK342" s="59">
        <f t="shared" ref="AK342" si="3178">AJ342*(1+AK352)</f>
        <v>25307.100000000002</v>
      </c>
      <c r="AL342" s="59">
        <f t="shared" ref="AL342" si="3179">AK342*(1+AL352)</f>
        <v>27078.597000000005</v>
      </c>
      <c r="AM342" s="59">
        <f t="shared" ref="AM342" si="3180">AL342*(1+AM352)</f>
        <v>28703.312820000006</v>
      </c>
      <c r="AN342" s="59">
        <f t="shared" ref="AN342" si="3181">AM342*(1+AN352)</f>
        <v>30138.47846100001</v>
      </c>
      <c r="AO342" s="59">
        <f t="shared" ref="AO342" si="3182">AN342*(1+AO352)</f>
        <v>31344.017599440012</v>
      </c>
      <c r="AP342" s="59">
        <f t="shared" ref="AP342" si="3183">AO342*(1+AP352)</f>
        <v>32284.338127423212</v>
      </c>
      <c r="AQ342" s="59">
        <f t="shared" ref="AQ342" si="3184">AP342*(1+AQ352)</f>
        <v>32930.024889971675</v>
      </c>
      <c r="AR342" s="59">
        <f t="shared" ref="AR342" si="3185">AQ342*(1+AR352)</f>
        <v>33588.625387771106</v>
      </c>
      <c r="AS342" s="8"/>
      <c r="AT342" s="41">
        <f t="shared" ref="AT342:AT349" si="3186">D342</f>
        <v>0</v>
      </c>
      <c r="AU342" s="41">
        <f t="shared" ref="AU342:AU349" si="3187">F342</f>
        <v>0</v>
      </c>
      <c r="AV342" s="41">
        <f t="shared" ref="AV342:AV349" si="3188">H342</f>
        <v>0</v>
      </c>
      <c r="AW342" s="41">
        <f t="shared" ref="AW342:AW349" si="3189">J342</f>
        <v>0</v>
      </c>
      <c r="AX342" s="41">
        <f t="shared" ref="AX342:AX349" si="3190">L342</f>
        <v>0</v>
      </c>
      <c r="AY342" s="41">
        <f t="shared" ref="AY342:AY349" si="3191">N342</f>
        <v>0</v>
      </c>
      <c r="AZ342" s="41">
        <f t="shared" ref="AZ342:AZ349" si="3192">P342</f>
        <v>0</v>
      </c>
      <c r="BA342" s="41">
        <f t="shared" ref="BA342:BA349" si="3193">R342</f>
        <v>0</v>
      </c>
      <c r="BB342" s="41">
        <f t="shared" ref="BB342:BB349" si="3194">T342</f>
        <v>0</v>
      </c>
      <c r="BC342" s="41">
        <f t="shared" ref="BC342:BC349" si="3195">V342</f>
        <v>4100</v>
      </c>
      <c r="BD342" s="41">
        <f t="shared" ref="BD342:BD349" si="3196">X342</f>
        <v>6700</v>
      </c>
      <c r="BE342" s="41">
        <f t="shared" ref="BE342:BE349" si="3197">Z342</f>
        <v>6000</v>
      </c>
      <c r="BF342" s="41">
        <f t="shared" ref="BF342:BF349" si="3198">AB342</f>
        <v>11900</v>
      </c>
      <c r="BG342" s="41">
        <f t="shared" ref="BG342:BG349" si="3199">AD342</f>
        <v>17100</v>
      </c>
      <c r="BH342" s="41">
        <f t="shared" ref="BH342:BH349" si="3200">AF342</f>
        <v>19800</v>
      </c>
      <c r="BI342" s="42">
        <f t="shared" ref="BI342:BI349" si="3201">AH342</f>
        <v>24100</v>
      </c>
      <c r="BJ342" s="41">
        <f t="shared" ref="BJ342:BJ349" si="3202">AJ342</f>
        <v>24102</v>
      </c>
      <c r="BK342" s="41">
        <f t="shared" ref="BK342:BK349" si="3203">AL342</f>
        <v>27078.597000000005</v>
      </c>
      <c r="BL342" s="41">
        <f t="shared" ref="BL342:BL349" si="3204">AN342</f>
        <v>30138.47846100001</v>
      </c>
      <c r="BM342" s="41">
        <f t="shared" ref="BM342:BM349" si="3205">AP342</f>
        <v>32284.338127423212</v>
      </c>
      <c r="BN342" s="41">
        <f t="shared" ref="BN342:BN349" si="3206">AR342</f>
        <v>33588.625387771106</v>
      </c>
    </row>
    <row r="343" spans="1:66" ht="12" customHeight="1" outlineLevel="1">
      <c r="A343" s="91" t="str">
        <f>LEFT(A344,3)&amp;"_PEAssetsTotal"</f>
        <v>CAP_PEAssetsTotal</v>
      </c>
      <c r="B343" s="1" t="s">
        <v>43</v>
      </c>
      <c r="C343" s="21">
        <v>4653</v>
      </c>
      <c r="D343" s="21">
        <v>4076</v>
      </c>
      <c r="E343" s="21">
        <v>3050</v>
      </c>
      <c r="F343" s="21">
        <v>3097</v>
      </c>
      <c r="G343" s="21">
        <v>3315</v>
      </c>
      <c r="H343" s="21">
        <v>3530</v>
      </c>
      <c r="I343" s="21">
        <v>3230</v>
      </c>
      <c r="J343" s="21">
        <v>2841</v>
      </c>
      <c r="K343" s="21">
        <v>2771</v>
      </c>
      <c r="L343" s="21">
        <v>2885</v>
      </c>
      <c r="M343" s="62">
        <v>3127</v>
      </c>
      <c r="N343" s="62">
        <v>3634</v>
      </c>
      <c r="O343" s="62">
        <v>4180</v>
      </c>
      <c r="P343" s="62">
        <v>4578</v>
      </c>
      <c r="Q343" s="62">
        <v>4560</v>
      </c>
      <c r="R343" s="62">
        <v>3521</v>
      </c>
      <c r="S343" s="62">
        <v>4990</v>
      </c>
      <c r="T343" s="62">
        <v>4703</v>
      </c>
      <c r="U343" s="62">
        <v>10936</v>
      </c>
      <c r="V343" s="62">
        <v>8950</v>
      </c>
      <c r="W343" s="62">
        <v>21349</v>
      </c>
      <c r="X343" s="62">
        <v>23778</v>
      </c>
      <c r="Y343" s="62">
        <v>19743</v>
      </c>
      <c r="Z343" s="62">
        <v>19342</v>
      </c>
      <c r="AA343" s="62">
        <v>23451</v>
      </c>
      <c r="AB343" s="62">
        <f>25443/25443*23255</f>
        <v>23255</v>
      </c>
      <c r="AC343" s="62">
        <v>26114</v>
      </c>
      <c r="AD343" s="62">
        <v>28481</v>
      </c>
      <c r="AE343" s="62">
        <v>31458</v>
      </c>
      <c r="AF343" s="62">
        <v>33636</v>
      </c>
      <c r="AG343" s="62">
        <v>38654</v>
      </c>
      <c r="AH343" s="62">
        <v>40054</v>
      </c>
      <c r="AI343" s="57">
        <v>41167</v>
      </c>
      <c r="AJ343" s="41">
        <f t="shared" ref="AJ343" si="3207">AI343*AJ$40/AI$40</f>
        <v>43682.347413388045</v>
      </c>
      <c r="AK343" s="41">
        <f t="shared" ref="AK343" si="3208">AJ343*AK$40/AJ$40</f>
        <v>46127.907549493633</v>
      </c>
      <c r="AL343" s="41">
        <f t="shared" ref="AL343" si="3209">AK343*AL$40/AK$40</f>
        <v>48502.727291440169</v>
      </c>
      <c r="AM343" s="41">
        <f t="shared" ref="AM343" si="3210">AL343*AM$40/AL$40</f>
        <v>50505.10957044016</v>
      </c>
      <c r="AN343" s="41">
        <f t="shared" ref="AN343" si="3211">AM343*AN$40/AM$40</f>
        <v>52421.455420524668</v>
      </c>
      <c r="AO343" s="41">
        <f t="shared" ref="AO343" si="3212">AN343*AO$40/AN$40</f>
        <v>54229.490901144105</v>
      </c>
      <c r="AP343" s="41">
        <f t="shared" ref="AP343" si="3213">AO343*AP$40/AO$40</f>
        <v>56057.528254431905</v>
      </c>
      <c r="AQ343" s="41">
        <f t="shared" ref="AQ343" si="3214">AP343*AQ$40/AP$40</f>
        <v>57906.705818369737</v>
      </c>
      <c r="AR343" s="41">
        <f t="shared" ref="AR343" si="3215">AQ343*AR$40/AQ$40</f>
        <v>59837.232811435155</v>
      </c>
      <c r="AS343" s="8"/>
      <c r="AT343" s="41">
        <f t="shared" si="3186"/>
        <v>4076</v>
      </c>
      <c r="AU343" s="41">
        <f t="shared" si="3187"/>
        <v>3097</v>
      </c>
      <c r="AV343" s="41">
        <f t="shared" si="3188"/>
        <v>3530</v>
      </c>
      <c r="AW343" s="41">
        <f t="shared" si="3189"/>
        <v>2841</v>
      </c>
      <c r="AX343" s="41">
        <f t="shared" si="3190"/>
        <v>2885</v>
      </c>
      <c r="AY343" s="41">
        <f t="shared" si="3191"/>
        <v>3634</v>
      </c>
      <c r="AZ343" s="41">
        <f t="shared" si="3192"/>
        <v>4578</v>
      </c>
      <c r="BA343" s="41">
        <f t="shared" si="3193"/>
        <v>3521</v>
      </c>
      <c r="BB343" s="41">
        <f t="shared" si="3194"/>
        <v>4703</v>
      </c>
      <c r="BC343" s="41">
        <f t="shared" si="3195"/>
        <v>8950</v>
      </c>
      <c r="BD343" s="41">
        <f t="shared" si="3196"/>
        <v>23778</v>
      </c>
      <c r="BE343" s="41">
        <f t="shared" si="3197"/>
        <v>19342</v>
      </c>
      <c r="BF343" s="41">
        <f t="shared" si="3198"/>
        <v>23255</v>
      </c>
      <c r="BG343" s="41">
        <f t="shared" si="3199"/>
        <v>28481</v>
      </c>
      <c r="BH343" s="41">
        <f t="shared" si="3200"/>
        <v>33636</v>
      </c>
      <c r="BI343" s="42">
        <f t="shared" si="3201"/>
        <v>40054</v>
      </c>
      <c r="BJ343" s="41">
        <f t="shared" si="3202"/>
        <v>43682.347413388045</v>
      </c>
      <c r="BK343" s="41">
        <f t="shared" si="3203"/>
        <v>48502.727291440169</v>
      </c>
      <c r="BL343" s="41">
        <f t="shared" si="3204"/>
        <v>52421.455420524668</v>
      </c>
      <c r="BM343" s="41">
        <f t="shared" si="3205"/>
        <v>56057.528254431905</v>
      </c>
      <c r="BN343" s="41">
        <f t="shared" si="3206"/>
        <v>59837.232811435155</v>
      </c>
    </row>
    <row r="344" spans="1:66" ht="12" customHeight="1" outlineLevel="1">
      <c r="A344" s="91" t="s">
        <v>1361</v>
      </c>
      <c r="B344" s="1" t="s">
        <v>49</v>
      </c>
      <c r="C344" s="62">
        <f t="shared" ref="C344:E344" si="3216">D344*AVERAGE(B$41:C$41)/AVERAGE(C$41:D$41)</f>
        <v>1226.1487530346503</v>
      </c>
      <c r="D344" s="62">
        <f t="shared" si="3216"/>
        <v>1257.5943500331052</v>
      </c>
      <c r="E344" s="62">
        <f t="shared" si="3216"/>
        <v>1279.2275435886118</v>
      </c>
      <c r="F344" s="62">
        <f>G344*AVERAGE(E$41:F$41)/AVERAGE(F$41:G$41)</f>
        <v>1289.097329507835</v>
      </c>
      <c r="G344" s="21">
        <v>1300</v>
      </c>
      <c r="H344" s="21">
        <v>1400</v>
      </c>
      <c r="I344" s="21">
        <v>1400</v>
      </c>
      <c r="J344" s="21">
        <v>1100</v>
      </c>
      <c r="K344" s="21">
        <v>1300</v>
      </c>
      <c r="L344" s="21">
        <v>1200</v>
      </c>
      <c r="M344" s="62">
        <v>1300</v>
      </c>
      <c r="N344" s="62">
        <v>1600</v>
      </c>
      <c r="O344" s="62">
        <v>1800</v>
      </c>
      <c r="P344" s="62">
        <v>1600</v>
      </c>
      <c r="Q344" s="62">
        <v>1600</v>
      </c>
      <c r="R344" s="62">
        <v>1700</v>
      </c>
      <c r="S344" s="62">
        <v>2300</v>
      </c>
      <c r="T344" s="62">
        <v>2600</v>
      </c>
      <c r="U344" s="62">
        <f>3300+4200*72/389</f>
        <v>4077.3778920308482</v>
      </c>
      <c r="V344" s="62">
        <f>2400+3000*349/639</f>
        <v>4038.4976525821594</v>
      </c>
      <c r="W344" s="62">
        <v>3700</v>
      </c>
      <c r="X344" s="62">
        <v>4200</v>
      </c>
      <c r="Y344" s="62">
        <v>3400</v>
      </c>
      <c r="Z344" s="62">
        <v>3900</v>
      </c>
      <c r="AA344" s="62">
        <v>5100</v>
      </c>
      <c r="AB344" s="62">
        <v>4900</v>
      </c>
      <c r="AC344" s="62">
        <v>4100</v>
      </c>
      <c r="AD344" s="62">
        <v>4200</v>
      </c>
      <c r="AE344" s="62">
        <v>4700</v>
      </c>
      <c r="AF344" s="62">
        <v>5400</v>
      </c>
      <c r="AG344" s="62">
        <v>6000</v>
      </c>
      <c r="AH344" s="62">
        <v>6600</v>
      </c>
      <c r="AI344" s="57">
        <v>6300</v>
      </c>
      <c r="AJ344" s="41">
        <f t="shared" ref="AJ344" si="3217">AJ343/AJ369</f>
        <v>6553.8594996931361</v>
      </c>
      <c r="AK344" s="41">
        <f t="shared" ref="AK344:AL344" si="3218">AK343/AK369</f>
        <v>6785.076383670249</v>
      </c>
      <c r="AL344" s="41">
        <f t="shared" si="3218"/>
        <v>6994.5048277251644</v>
      </c>
      <c r="AM344" s="41">
        <f t="shared" ref="AM344:AN344" si="3219">AM343/AM369</f>
        <v>7140.456218475967</v>
      </c>
      <c r="AN344" s="41">
        <f t="shared" si="3219"/>
        <v>7266.0694683634038</v>
      </c>
      <c r="AO344" s="41">
        <f t="shared" ref="AO344:AP344" si="3220">AO343/AO369</f>
        <v>7369.2930439837119</v>
      </c>
      <c r="AP344" s="41">
        <f t="shared" si="3220"/>
        <v>7468.3398450687773</v>
      </c>
      <c r="AQ344" s="41">
        <f t="shared" ref="AQ344:AR344" si="3221">AQ343/AQ369</f>
        <v>7563.4304130224928</v>
      </c>
      <c r="AR344" s="41">
        <f t="shared" si="3221"/>
        <v>7662.3376441412884</v>
      </c>
      <c r="AS344" s="8"/>
      <c r="AT344" s="41">
        <f t="shared" si="3186"/>
        <v>1257.5943500331052</v>
      </c>
      <c r="AU344" s="41">
        <f t="shared" si="3187"/>
        <v>1289.097329507835</v>
      </c>
      <c r="AV344" s="41">
        <f t="shared" si="3188"/>
        <v>1400</v>
      </c>
      <c r="AW344" s="41">
        <f t="shared" si="3189"/>
        <v>1100</v>
      </c>
      <c r="AX344" s="41">
        <f t="shared" si="3190"/>
        <v>1200</v>
      </c>
      <c r="AY344" s="41">
        <f t="shared" si="3191"/>
        <v>1600</v>
      </c>
      <c r="AZ344" s="41">
        <f t="shared" si="3192"/>
        <v>1600</v>
      </c>
      <c r="BA344" s="41">
        <f t="shared" si="3193"/>
        <v>1700</v>
      </c>
      <c r="BB344" s="41">
        <f t="shared" si="3194"/>
        <v>2600</v>
      </c>
      <c r="BC344" s="41">
        <f t="shared" si="3195"/>
        <v>4038.4976525821594</v>
      </c>
      <c r="BD344" s="41">
        <f t="shared" si="3196"/>
        <v>4200</v>
      </c>
      <c r="BE344" s="41">
        <f t="shared" si="3197"/>
        <v>3900</v>
      </c>
      <c r="BF344" s="41">
        <f t="shared" si="3198"/>
        <v>4900</v>
      </c>
      <c r="BG344" s="41">
        <f t="shared" si="3199"/>
        <v>4200</v>
      </c>
      <c r="BH344" s="41">
        <f t="shared" si="3200"/>
        <v>5400</v>
      </c>
      <c r="BI344" s="42">
        <f t="shared" si="3201"/>
        <v>6600</v>
      </c>
      <c r="BJ344" s="41">
        <f t="shared" si="3202"/>
        <v>6553.8594996931361</v>
      </c>
      <c r="BK344" s="41">
        <f t="shared" si="3203"/>
        <v>6994.5048277251644</v>
      </c>
      <c r="BL344" s="41">
        <f t="shared" si="3204"/>
        <v>7266.0694683634038</v>
      </c>
      <c r="BM344" s="41">
        <f t="shared" si="3205"/>
        <v>7468.3398450687773</v>
      </c>
      <c r="BN344" s="41">
        <f t="shared" si="3206"/>
        <v>7662.3376441412884</v>
      </c>
    </row>
    <row r="345" spans="1:66" ht="12" customHeight="1" outlineLevel="1">
      <c r="B345" s="1" t="s">
        <v>24</v>
      </c>
      <c r="C345" s="25">
        <f t="shared" ref="C345:H345" si="3222">C347-C346</f>
        <v>0</v>
      </c>
      <c r="D345" s="25">
        <f t="shared" si="3222"/>
        <v>0</v>
      </c>
      <c r="E345" s="25">
        <f t="shared" si="3222"/>
        <v>0</v>
      </c>
      <c r="F345" s="25">
        <f t="shared" si="3222"/>
        <v>0</v>
      </c>
      <c r="G345" s="25">
        <f t="shared" si="3222"/>
        <v>0</v>
      </c>
      <c r="H345" s="25">
        <f t="shared" si="3222"/>
        <v>0</v>
      </c>
      <c r="I345" s="25">
        <f t="shared" ref="I345:N345" si="3223">I347-I346</f>
        <v>0</v>
      </c>
      <c r="J345" s="25">
        <f t="shared" si="3223"/>
        <v>0</v>
      </c>
      <c r="K345" s="25">
        <f t="shared" si="3223"/>
        <v>0</v>
      </c>
      <c r="L345" s="25">
        <f t="shared" si="3223"/>
        <v>0</v>
      </c>
      <c r="M345" s="41">
        <f t="shared" si="3223"/>
        <v>0</v>
      </c>
      <c r="N345" s="41">
        <f t="shared" si="3223"/>
        <v>0</v>
      </c>
      <c r="O345" s="41">
        <f t="shared" ref="O345:P345" si="3224">O347-O346</f>
        <v>0</v>
      </c>
      <c r="P345" s="41">
        <f t="shared" si="3224"/>
        <v>0</v>
      </c>
      <c r="Q345" s="41">
        <f t="shared" ref="Q345:R345" si="3225">Q347-Q346</f>
        <v>0</v>
      </c>
      <c r="R345" s="41">
        <f t="shared" si="3225"/>
        <v>0</v>
      </c>
      <c r="S345" s="41">
        <f t="shared" ref="S345:T345" si="3226">S347-S346</f>
        <v>0</v>
      </c>
      <c r="T345" s="41">
        <f t="shared" si="3226"/>
        <v>0</v>
      </c>
      <c r="U345" s="41">
        <f t="shared" ref="U345:V345" si="3227">U347-U346</f>
        <v>0</v>
      </c>
      <c r="V345" s="41">
        <f t="shared" si="3227"/>
        <v>0</v>
      </c>
      <c r="W345" s="41">
        <f t="shared" ref="W345:X345" si="3228">W347-W346</f>
        <v>0</v>
      </c>
      <c r="X345" s="41">
        <f t="shared" si="3228"/>
        <v>0</v>
      </c>
      <c r="Y345" s="41">
        <f t="shared" ref="Y345:Z345" si="3229">Y347-Y346</f>
        <v>0</v>
      </c>
      <c r="Z345" s="41">
        <f t="shared" si="3229"/>
        <v>0</v>
      </c>
      <c r="AA345" s="41">
        <f t="shared" ref="AA345:AB345" si="3230">AA347-AA346</f>
        <v>0</v>
      </c>
      <c r="AB345" s="41">
        <f t="shared" si="3230"/>
        <v>0</v>
      </c>
      <c r="AC345" s="41">
        <f t="shared" ref="AC345:AD345" si="3231">AC347-AC346</f>
        <v>0</v>
      </c>
      <c r="AD345" s="41">
        <f t="shared" si="3231"/>
        <v>0</v>
      </c>
      <c r="AE345" s="41">
        <f t="shared" ref="AE345:AF345" si="3232">AE347-AE346</f>
        <v>0</v>
      </c>
      <c r="AF345" s="41">
        <f t="shared" si="3232"/>
        <v>0</v>
      </c>
      <c r="AG345" s="41">
        <f t="shared" ref="AG345:AI345" si="3233">AG347-AG346</f>
        <v>0</v>
      </c>
      <c r="AH345" s="41">
        <f t="shared" si="3233"/>
        <v>0</v>
      </c>
      <c r="AI345" s="42">
        <f t="shared" si="3233"/>
        <v>0</v>
      </c>
      <c r="AJ345" s="41">
        <f>IF(ISERROR(50%*AI345*(1+AJ354)+50%*AI345*(1+AJ354)/'Group Model'!AK356*'Group Model'!AJ356),AI345,50%*AI345*(1+AJ354)+50%*AI345*(1+AJ354)/'Group Model'!AK356*'Group Model'!AJ356)</f>
        <v>0</v>
      </c>
      <c r="AK345" s="41">
        <f>IF(ISERROR(50%*AJ345*(1+AK354)+50%*AJ345*(1+AK354)/'Group Model'!AT356*'Group Model'!AK356),AJ345,50%*AJ345*(1+AK354)+50%*AJ345*(1+AK354)/'Group Model'!AT356*'Group Model'!AK356)</f>
        <v>0</v>
      </c>
      <c r="AL345" s="41">
        <f>IF(ISERROR(50%*AK345*(1+AL354)+50%*AK345*(1+AL354)/'Group Model'!AU356*'Group Model'!AT356),AK345,50%*AK345*(1+AL354)+50%*AK345*(1+AL354)/'Group Model'!AU356*'Group Model'!AT356)</f>
        <v>0</v>
      </c>
      <c r="AM345" s="41">
        <f>IF(ISERROR(50%*AL345*(1+AM354)+50%*AL345*(1+AM354)/'Group Model'!AV356*'Group Model'!AU356),AL345,50%*AL345*(1+AM354)+50%*AL345*(1+AM354)/'Group Model'!AV356*'Group Model'!AU356)</f>
        <v>0</v>
      </c>
      <c r="AN345" s="41">
        <f>IF(ISERROR(50%*AM345*(1+AN354)+50%*AM345*(1+AN354)/'Group Model'!AW356*'Group Model'!AV356),AM345,50%*AM345*(1+AN354)+50%*AM345*(1+AN354)/'Group Model'!AW356*'Group Model'!AV356)</f>
        <v>0</v>
      </c>
      <c r="AO345" s="41">
        <f>IF(ISERROR(50%*AN345*(1+AO354)+50%*AN345*(1+AO354)/'Group Model'!AX356*'Group Model'!AW356),AN345,50%*AN345*(1+AO354)+50%*AN345*(1+AO354)/'Group Model'!AX356*'Group Model'!AW356)</f>
        <v>0</v>
      </c>
      <c r="AP345" s="41">
        <f>IF(ISERROR(50%*AO345*(1+AP354)+50%*AO345*(1+AP354)/'Group Model'!AY356*'Group Model'!AX356),AO345,50%*AO345*(1+AP354)+50%*AO345*(1+AP354)/'Group Model'!AY356*'Group Model'!AX356)</f>
        <v>0</v>
      </c>
      <c r="AQ345" s="41">
        <f>IF(ISERROR(50%*AP345*(1+AQ354)+50%*AP345*(1+AQ354)/'Group Model'!AZ356*'Group Model'!AY356),AP345,50%*AP345*(1+AQ354)+50%*AP345*(1+AQ354)/'Group Model'!AZ356*'Group Model'!AY356)</f>
        <v>0</v>
      </c>
      <c r="AR345" s="41">
        <f>IF(ISERROR(50%*AQ345*(1+AR354)+50%*AQ345*(1+AR354)/'Group Model'!BA356*'Group Model'!AZ356),AQ345,50%*AQ345*(1+AR354)+50%*AQ345*(1+AR354)/'Group Model'!BA356*'Group Model'!AZ356)</f>
        <v>0</v>
      </c>
      <c r="AS345" s="8"/>
      <c r="AT345" s="41">
        <f t="shared" si="3186"/>
        <v>0</v>
      </c>
      <c r="AU345" s="41">
        <f t="shared" si="3187"/>
        <v>0</v>
      </c>
      <c r="AV345" s="41">
        <f t="shared" si="3188"/>
        <v>0</v>
      </c>
      <c r="AW345" s="41">
        <f t="shared" si="3189"/>
        <v>0</v>
      </c>
      <c r="AX345" s="41">
        <f t="shared" si="3190"/>
        <v>0</v>
      </c>
      <c r="AY345" s="41">
        <f t="shared" si="3191"/>
        <v>0</v>
      </c>
      <c r="AZ345" s="41">
        <f t="shared" si="3192"/>
        <v>0</v>
      </c>
      <c r="BA345" s="41">
        <f t="shared" si="3193"/>
        <v>0</v>
      </c>
      <c r="BB345" s="41">
        <f t="shared" si="3194"/>
        <v>0</v>
      </c>
      <c r="BC345" s="41">
        <f t="shared" si="3195"/>
        <v>0</v>
      </c>
      <c r="BD345" s="41">
        <f t="shared" si="3196"/>
        <v>0</v>
      </c>
      <c r="BE345" s="41">
        <f t="shared" si="3197"/>
        <v>0</v>
      </c>
      <c r="BF345" s="41">
        <f t="shared" si="3198"/>
        <v>0</v>
      </c>
      <c r="BG345" s="41">
        <f t="shared" si="3199"/>
        <v>0</v>
      </c>
      <c r="BH345" s="41">
        <f t="shared" si="3200"/>
        <v>0</v>
      </c>
      <c r="BI345" s="42">
        <f t="shared" si="3201"/>
        <v>0</v>
      </c>
      <c r="BJ345" s="41">
        <f t="shared" si="3202"/>
        <v>0</v>
      </c>
      <c r="BK345" s="41">
        <f t="shared" si="3203"/>
        <v>0</v>
      </c>
      <c r="BL345" s="41">
        <f t="shared" si="3204"/>
        <v>0</v>
      </c>
      <c r="BM345" s="41">
        <f t="shared" si="3205"/>
        <v>0</v>
      </c>
      <c r="BN345" s="41">
        <f t="shared" si="3206"/>
        <v>0</v>
      </c>
    </row>
    <row r="346" spans="1:66" ht="12" customHeight="1" outlineLevel="1">
      <c r="B346" s="1" t="s">
        <v>23</v>
      </c>
      <c r="C346" s="21">
        <v>0</v>
      </c>
      <c r="D346" s="21">
        <v>0</v>
      </c>
      <c r="E346" s="21">
        <v>0</v>
      </c>
      <c r="F346" s="21">
        <v>0</v>
      </c>
      <c r="G346" s="21">
        <v>0</v>
      </c>
      <c r="H346" s="21">
        <v>0</v>
      </c>
      <c r="I346" s="21">
        <v>0</v>
      </c>
      <c r="J346" s="21">
        <v>0</v>
      </c>
      <c r="K346" s="21">
        <v>0</v>
      </c>
      <c r="L346" s="21">
        <v>0</v>
      </c>
      <c r="M346" s="62">
        <v>0</v>
      </c>
      <c r="N346" s="62">
        <v>0</v>
      </c>
      <c r="O346" s="62">
        <v>0</v>
      </c>
      <c r="P346" s="62">
        <v>0</v>
      </c>
      <c r="Q346" s="62">
        <v>0</v>
      </c>
      <c r="R346" s="62">
        <v>0</v>
      </c>
      <c r="S346" s="62">
        <v>0</v>
      </c>
      <c r="T346" s="62">
        <v>0</v>
      </c>
      <c r="U346" s="62">
        <v>0</v>
      </c>
      <c r="V346" s="62">
        <v>0</v>
      </c>
      <c r="W346" s="62">
        <v>0</v>
      </c>
      <c r="X346" s="62">
        <v>0</v>
      </c>
      <c r="Y346" s="62">
        <v>0</v>
      </c>
      <c r="Z346" s="62">
        <v>0</v>
      </c>
      <c r="AA346" s="62">
        <v>0</v>
      </c>
      <c r="AB346" s="62">
        <v>0</v>
      </c>
      <c r="AC346" s="62">
        <v>0</v>
      </c>
      <c r="AD346" s="62">
        <v>0</v>
      </c>
      <c r="AE346" s="62">
        <v>0</v>
      </c>
      <c r="AF346" s="62">
        <v>0</v>
      </c>
      <c r="AG346" s="62">
        <v>0</v>
      </c>
      <c r="AH346" s="62">
        <v>0</v>
      </c>
      <c r="AI346" s="57">
        <f t="shared" ref="AI346" si="3234">IF(ISERROR(AI348/AH348*AH346),AH346,AI348/AH348*AH346)</f>
        <v>0</v>
      </c>
      <c r="AJ346" s="58">
        <f t="shared" ref="AJ346" si="3235">IF(ISERROR(AJ348/AI348*AI346),AI346,AJ348/AI348*AI346)</f>
        <v>0</v>
      </c>
      <c r="AK346" s="58">
        <f t="shared" ref="AK346" si="3236">IF(ISERROR(AK348/AJ348*AJ346),AJ346,AK348/AJ348*AJ346)</f>
        <v>0</v>
      </c>
      <c r="AL346" s="58">
        <f t="shared" ref="AL346" si="3237">IF(ISERROR(AL348/AK348*AK346),AK346,AL348/AK348*AK346)</f>
        <v>0</v>
      </c>
      <c r="AM346" s="58">
        <f t="shared" ref="AM346" si="3238">IF(ISERROR(AM348/AL348*AL346),AL346,AM348/AL348*AL346)</f>
        <v>0</v>
      </c>
      <c r="AN346" s="58">
        <f t="shared" ref="AN346" si="3239">IF(ISERROR(AN348/AM348*AM346),AM346,AN348/AM348*AM346)</f>
        <v>0</v>
      </c>
      <c r="AO346" s="58">
        <f t="shared" ref="AO346" si="3240">IF(ISERROR(AO348/AN348*AN346),AN346,AO348/AN348*AN346)</f>
        <v>0</v>
      </c>
      <c r="AP346" s="58">
        <f t="shared" ref="AP346" si="3241">IF(ISERROR(AP348/AO348*AO346),AO346,AP348/AO348*AO346)</f>
        <v>0</v>
      </c>
      <c r="AQ346" s="58">
        <f t="shared" ref="AQ346" si="3242">IF(ISERROR(AQ348/AP348*AP346),AP346,AQ348/AP348*AP346)</f>
        <v>0</v>
      </c>
      <c r="AR346" s="58">
        <f t="shared" ref="AR346" si="3243">IF(ISERROR(AR348/AQ348*AQ346),AQ346,AR348/AQ348*AQ346)</f>
        <v>0</v>
      </c>
      <c r="AS346" s="8"/>
      <c r="AT346" s="41">
        <f t="shared" si="3186"/>
        <v>0</v>
      </c>
      <c r="AU346" s="41">
        <f t="shared" si="3187"/>
        <v>0</v>
      </c>
      <c r="AV346" s="41">
        <f t="shared" si="3188"/>
        <v>0</v>
      </c>
      <c r="AW346" s="41">
        <f t="shared" si="3189"/>
        <v>0</v>
      </c>
      <c r="AX346" s="41">
        <f t="shared" si="3190"/>
        <v>0</v>
      </c>
      <c r="AY346" s="41">
        <f t="shared" si="3191"/>
        <v>0</v>
      </c>
      <c r="AZ346" s="41">
        <f t="shared" si="3192"/>
        <v>0</v>
      </c>
      <c r="BA346" s="41">
        <f t="shared" si="3193"/>
        <v>0</v>
      </c>
      <c r="BB346" s="41">
        <f t="shared" si="3194"/>
        <v>0</v>
      </c>
      <c r="BC346" s="41">
        <f t="shared" si="3195"/>
        <v>0</v>
      </c>
      <c r="BD346" s="41">
        <f t="shared" si="3196"/>
        <v>0</v>
      </c>
      <c r="BE346" s="41">
        <f t="shared" si="3197"/>
        <v>0</v>
      </c>
      <c r="BF346" s="41">
        <f t="shared" si="3198"/>
        <v>0</v>
      </c>
      <c r="BG346" s="41">
        <f t="shared" si="3199"/>
        <v>0</v>
      </c>
      <c r="BH346" s="41">
        <f t="shared" si="3200"/>
        <v>0</v>
      </c>
      <c r="BI346" s="42">
        <f t="shared" si="3201"/>
        <v>0</v>
      </c>
      <c r="BJ346" s="41">
        <f t="shared" si="3202"/>
        <v>0</v>
      </c>
      <c r="BK346" s="41">
        <f t="shared" si="3203"/>
        <v>0</v>
      </c>
      <c r="BL346" s="41">
        <f t="shared" si="3204"/>
        <v>0</v>
      </c>
      <c r="BM346" s="41">
        <f t="shared" si="3205"/>
        <v>0</v>
      </c>
      <c r="BN346" s="41">
        <f t="shared" si="3206"/>
        <v>0</v>
      </c>
    </row>
    <row r="347" spans="1:66" ht="12" customHeight="1" outlineLevel="1">
      <c r="B347" s="1" t="s">
        <v>22</v>
      </c>
      <c r="C347" s="21">
        <v>0</v>
      </c>
      <c r="D347" s="21">
        <v>0</v>
      </c>
      <c r="E347" s="21">
        <v>0</v>
      </c>
      <c r="F347" s="21">
        <v>0</v>
      </c>
      <c r="G347" s="21">
        <v>0</v>
      </c>
      <c r="H347" s="21">
        <v>0</v>
      </c>
      <c r="I347" s="21">
        <v>0</v>
      </c>
      <c r="J347" s="21">
        <v>0</v>
      </c>
      <c r="K347" s="21">
        <v>0</v>
      </c>
      <c r="L347" s="21">
        <v>0</v>
      </c>
      <c r="M347" s="62">
        <v>0</v>
      </c>
      <c r="N347" s="62">
        <v>0</v>
      </c>
      <c r="O347" s="62">
        <v>0</v>
      </c>
      <c r="P347" s="62">
        <v>0</v>
      </c>
      <c r="Q347" s="62">
        <v>0</v>
      </c>
      <c r="R347" s="62">
        <v>0</v>
      </c>
      <c r="S347" s="62">
        <v>0</v>
      </c>
      <c r="T347" s="62">
        <v>0</v>
      </c>
      <c r="U347" s="62">
        <v>0</v>
      </c>
      <c r="V347" s="62">
        <v>0</v>
      </c>
      <c r="W347" s="62">
        <v>0</v>
      </c>
      <c r="X347" s="62">
        <v>0</v>
      </c>
      <c r="Y347" s="62">
        <v>0</v>
      </c>
      <c r="Z347" s="62">
        <v>0</v>
      </c>
      <c r="AA347" s="62">
        <v>0</v>
      </c>
      <c r="AB347" s="62">
        <v>0</v>
      </c>
      <c r="AC347" s="62">
        <v>0</v>
      </c>
      <c r="AD347" s="62">
        <v>0</v>
      </c>
      <c r="AE347" s="62">
        <v>0</v>
      </c>
      <c r="AF347" s="62">
        <v>0</v>
      </c>
      <c r="AG347" s="62">
        <v>0</v>
      </c>
      <c r="AH347" s="62">
        <v>0</v>
      </c>
      <c r="AI347" s="57">
        <v>0</v>
      </c>
      <c r="AJ347" s="41">
        <f t="shared" ref="AJ347" si="3244">AJ345+AJ346</f>
        <v>0</v>
      </c>
      <c r="AK347" s="41">
        <f t="shared" ref="AK347:AL347" si="3245">AK345+AK346</f>
        <v>0</v>
      </c>
      <c r="AL347" s="41">
        <f t="shared" si="3245"/>
        <v>0</v>
      </c>
      <c r="AM347" s="41">
        <f t="shared" ref="AM347:AN347" si="3246">AM345+AM346</f>
        <v>0</v>
      </c>
      <c r="AN347" s="41">
        <f t="shared" si="3246"/>
        <v>0</v>
      </c>
      <c r="AO347" s="41">
        <f t="shared" ref="AO347:AP347" si="3247">AO345+AO346</f>
        <v>0</v>
      </c>
      <c r="AP347" s="41">
        <f t="shared" si="3247"/>
        <v>0</v>
      </c>
      <c r="AQ347" s="41">
        <f t="shared" ref="AQ347:AR347" si="3248">AQ345+AQ346</f>
        <v>0</v>
      </c>
      <c r="AR347" s="41">
        <f t="shared" si="3248"/>
        <v>0</v>
      </c>
      <c r="AS347" s="8"/>
      <c r="AT347" s="41">
        <f t="shared" si="3186"/>
        <v>0</v>
      </c>
      <c r="AU347" s="41">
        <f t="shared" si="3187"/>
        <v>0</v>
      </c>
      <c r="AV347" s="41">
        <f t="shared" si="3188"/>
        <v>0</v>
      </c>
      <c r="AW347" s="41">
        <f t="shared" si="3189"/>
        <v>0</v>
      </c>
      <c r="AX347" s="41">
        <f t="shared" si="3190"/>
        <v>0</v>
      </c>
      <c r="AY347" s="41">
        <f t="shared" si="3191"/>
        <v>0</v>
      </c>
      <c r="AZ347" s="41">
        <f t="shared" si="3192"/>
        <v>0</v>
      </c>
      <c r="BA347" s="41">
        <f t="shared" si="3193"/>
        <v>0</v>
      </c>
      <c r="BB347" s="41">
        <f t="shared" si="3194"/>
        <v>0</v>
      </c>
      <c r="BC347" s="41">
        <f t="shared" si="3195"/>
        <v>0</v>
      </c>
      <c r="BD347" s="41">
        <f t="shared" si="3196"/>
        <v>0</v>
      </c>
      <c r="BE347" s="41">
        <f t="shared" si="3197"/>
        <v>0</v>
      </c>
      <c r="BF347" s="41">
        <f t="shared" si="3198"/>
        <v>0</v>
      </c>
      <c r="BG347" s="41">
        <f t="shared" si="3199"/>
        <v>0</v>
      </c>
      <c r="BH347" s="41">
        <f t="shared" si="3200"/>
        <v>0</v>
      </c>
      <c r="BI347" s="42">
        <f t="shared" si="3201"/>
        <v>0</v>
      </c>
      <c r="BJ347" s="41">
        <f t="shared" si="3202"/>
        <v>0</v>
      </c>
      <c r="BK347" s="41">
        <f t="shared" si="3203"/>
        <v>0</v>
      </c>
      <c r="BL347" s="41">
        <f t="shared" si="3204"/>
        <v>0</v>
      </c>
      <c r="BM347" s="41">
        <f t="shared" si="3205"/>
        <v>0</v>
      </c>
      <c r="BN347" s="41">
        <f t="shared" si="3206"/>
        <v>0</v>
      </c>
    </row>
    <row r="348" spans="1:66" ht="12" customHeight="1" outlineLevel="1">
      <c r="B348" s="1" t="s">
        <v>44</v>
      </c>
      <c r="C348" s="21">
        <v>0</v>
      </c>
      <c r="D348" s="21">
        <v>0</v>
      </c>
      <c r="E348" s="21">
        <v>0</v>
      </c>
      <c r="F348" s="21">
        <v>0</v>
      </c>
      <c r="G348" s="21">
        <v>0</v>
      </c>
      <c r="H348" s="21">
        <v>0</v>
      </c>
      <c r="I348" s="21">
        <v>0</v>
      </c>
      <c r="J348" s="21">
        <v>0</v>
      </c>
      <c r="K348" s="21">
        <v>0</v>
      </c>
      <c r="L348" s="21">
        <v>0</v>
      </c>
      <c r="M348" s="62">
        <v>0</v>
      </c>
      <c r="N348" s="62">
        <v>0</v>
      </c>
      <c r="O348" s="62">
        <v>0</v>
      </c>
      <c r="P348" s="62">
        <v>0</v>
      </c>
      <c r="Q348" s="62">
        <v>0</v>
      </c>
      <c r="R348" s="62">
        <v>0</v>
      </c>
      <c r="S348" s="62">
        <v>0</v>
      </c>
      <c r="T348" s="62">
        <v>0</v>
      </c>
      <c r="U348" s="62">
        <v>0</v>
      </c>
      <c r="V348" s="62">
        <v>0</v>
      </c>
      <c r="W348" s="62">
        <v>0</v>
      </c>
      <c r="X348" s="62">
        <v>0</v>
      </c>
      <c r="Y348" s="62">
        <v>0</v>
      </c>
      <c r="Z348" s="62">
        <v>0</v>
      </c>
      <c r="AA348" s="62">
        <v>0</v>
      </c>
      <c r="AB348" s="62">
        <v>0</v>
      </c>
      <c r="AC348" s="62">
        <v>0</v>
      </c>
      <c r="AD348" s="62">
        <v>0</v>
      </c>
      <c r="AE348" s="62">
        <v>0</v>
      </c>
      <c r="AF348" s="62">
        <v>0</v>
      </c>
      <c r="AG348" s="62">
        <v>0</v>
      </c>
      <c r="AH348" s="62">
        <v>0</v>
      </c>
      <c r="AI348" s="57">
        <v>0</v>
      </c>
      <c r="AJ348" s="41">
        <f t="shared" ref="AJ348" si="3249">AI348*(1+AJ355)</f>
        <v>0</v>
      </c>
      <c r="AK348" s="41">
        <f t="shared" ref="AK348" si="3250">AJ348*(1+AK355)</f>
        <v>0</v>
      </c>
      <c r="AL348" s="41">
        <f t="shared" ref="AL348" si="3251">AK348*(1+AL355)</f>
        <v>0</v>
      </c>
      <c r="AM348" s="41">
        <f t="shared" ref="AM348" si="3252">AL348*(1+AM355)</f>
        <v>0</v>
      </c>
      <c r="AN348" s="41">
        <f t="shared" ref="AN348" si="3253">AM348*(1+AN355)</f>
        <v>0</v>
      </c>
      <c r="AO348" s="41">
        <f t="shared" ref="AO348" si="3254">AN348*(1+AO355)</f>
        <v>0</v>
      </c>
      <c r="AP348" s="41">
        <f t="shared" ref="AP348" si="3255">AO348*(1+AP355)</f>
        <v>0</v>
      </c>
      <c r="AQ348" s="41">
        <f t="shared" ref="AQ348" si="3256">AP348*(1+AQ355)</f>
        <v>0</v>
      </c>
      <c r="AR348" s="41">
        <f t="shared" ref="AR348" si="3257">AQ348*(1+AR355)</f>
        <v>0</v>
      </c>
      <c r="AS348" s="8"/>
      <c r="AT348" s="41">
        <f t="shared" si="3186"/>
        <v>0</v>
      </c>
      <c r="AU348" s="41">
        <f t="shared" si="3187"/>
        <v>0</v>
      </c>
      <c r="AV348" s="41">
        <f t="shared" si="3188"/>
        <v>0</v>
      </c>
      <c r="AW348" s="41">
        <f t="shared" si="3189"/>
        <v>0</v>
      </c>
      <c r="AX348" s="41">
        <f t="shared" si="3190"/>
        <v>0</v>
      </c>
      <c r="AY348" s="41">
        <f t="shared" si="3191"/>
        <v>0</v>
      </c>
      <c r="AZ348" s="41">
        <f t="shared" si="3192"/>
        <v>0</v>
      </c>
      <c r="BA348" s="41">
        <f t="shared" si="3193"/>
        <v>0</v>
      </c>
      <c r="BB348" s="41">
        <f t="shared" si="3194"/>
        <v>0</v>
      </c>
      <c r="BC348" s="41">
        <f t="shared" si="3195"/>
        <v>0</v>
      </c>
      <c r="BD348" s="41">
        <f t="shared" si="3196"/>
        <v>0</v>
      </c>
      <c r="BE348" s="41">
        <f t="shared" si="3197"/>
        <v>0</v>
      </c>
      <c r="BF348" s="41">
        <f t="shared" si="3198"/>
        <v>0</v>
      </c>
      <c r="BG348" s="41">
        <f t="shared" si="3199"/>
        <v>0</v>
      </c>
      <c r="BH348" s="41">
        <f t="shared" si="3200"/>
        <v>0</v>
      </c>
      <c r="BI348" s="42">
        <f t="shared" si="3201"/>
        <v>0</v>
      </c>
      <c r="BJ348" s="41">
        <f t="shared" si="3202"/>
        <v>0</v>
      </c>
      <c r="BK348" s="41">
        <f t="shared" si="3203"/>
        <v>0</v>
      </c>
      <c r="BL348" s="41">
        <f t="shared" si="3204"/>
        <v>0</v>
      </c>
      <c r="BM348" s="41">
        <f t="shared" si="3205"/>
        <v>0</v>
      </c>
      <c r="BN348" s="41">
        <f t="shared" si="3206"/>
        <v>0</v>
      </c>
    </row>
    <row r="349" spans="1:66" ht="12" customHeight="1" outlineLevel="1">
      <c r="A349" s="91" t="s">
        <v>1565</v>
      </c>
      <c r="B349" s="1" t="s">
        <v>25</v>
      </c>
      <c r="C349" s="21">
        <v>1687</v>
      </c>
      <c r="D349" s="21">
        <v>1632</v>
      </c>
      <c r="E349" s="21">
        <v>1471</v>
      </c>
      <c r="F349" s="21">
        <v>1397</v>
      </c>
      <c r="G349" s="21">
        <v>1341</v>
      </c>
      <c r="H349" s="21">
        <v>1215</v>
      </c>
      <c r="I349" s="21">
        <v>1114</v>
      </c>
      <c r="J349" s="21">
        <v>1105</v>
      </c>
      <c r="K349" s="21">
        <v>1117</v>
      </c>
      <c r="L349" s="21">
        <v>1141</v>
      </c>
      <c r="M349" s="62">
        <v>1139</v>
      </c>
      <c r="N349" s="62">
        <v>1202</v>
      </c>
      <c r="O349" s="62">
        <v>1157</v>
      </c>
      <c r="P349" s="62">
        <v>1213</v>
      </c>
      <c r="Q349" s="62">
        <v>1149</v>
      </c>
      <c r="R349" s="62">
        <v>1136</v>
      </c>
      <c r="S349" s="62">
        <v>1097</v>
      </c>
      <c r="T349" s="62">
        <v>1114</v>
      </c>
      <c r="U349" s="62">
        <v>1282</v>
      </c>
      <c r="V349" s="62">
        <v>1369</v>
      </c>
      <c r="W349" s="62">
        <v>2130</v>
      </c>
      <c r="X349" s="62">
        <v>2047</v>
      </c>
      <c r="Y349" s="62">
        <v>1992</v>
      </c>
      <c r="Z349" s="62">
        <v>1821</v>
      </c>
      <c r="AA349" s="62">
        <v>1555</v>
      </c>
      <c r="AB349" s="62">
        <v>1568</v>
      </c>
      <c r="AC349" s="62">
        <v>1625</v>
      </c>
      <c r="AD349" s="62">
        <v>1630</v>
      </c>
      <c r="AE349" s="62">
        <v>1638</v>
      </c>
      <c r="AF349" s="62">
        <v>1599</v>
      </c>
      <c r="AG349" s="62">
        <v>1568</v>
      </c>
      <c r="AH349" s="62">
        <v>1512</v>
      </c>
      <c r="AI349" s="57">
        <v>1452</v>
      </c>
      <c r="AJ349" s="58">
        <f t="shared" ref="AJ349" si="3258">AI349-25</f>
        <v>1427</v>
      </c>
      <c r="AK349" s="58">
        <f>AJ349*1.005</f>
        <v>1434.1349999999998</v>
      </c>
      <c r="AL349" s="58">
        <f>AK349*1.005</f>
        <v>1441.3056749999996</v>
      </c>
      <c r="AM349" s="58">
        <f t="shared" ref="AM349:AR349" si="3259">AL349*1.005</f>
        <v>1448.5122033749994</v>
      </c>
      <c r="AN349" s="58">
        <f t="shared" si="3259"/>
        <v>1455.7547643918742</v>
      </c>
      <c r="AO349" s="58">
        <f t="shared" si="3259"/>
        <v>1463.0335382138335</v>
      </c>
      <c r="AP349" s="58">
        <f t="shared" si="3259"/>
        <v>1470.3487059049025</v>
      </c>
      <c r="AQ349" s="58">
        <f t="shared" si="3259"/>
        <v>1477.7004494344269</v>
      </c>
      <c r="AR349" s="58">
        <f t="shared" si="3259"/>
        <v>1485.0889516815989</v>
      </c>
      <c r="AS349" s="8"/>
      <c r="AT349" s="41">
        <f t="shared" si="3186"/>
        <v>1632</v>
      </c>
      <c r="AU349" s="41">
        <f t="shared" si="3187"/>
        <v>1397</v>
      </c>
      <c r="AV349" s="41">
        <f t="shared" si="3188"/>
        <v>1215</v>
      </c>
      <c r="AW349" s="41">
        <f t="shared" si="3189"/>
        <v>1105</v>
      </c>
      <c r="AX349" s="41">
        <f t="shared" si="3190"/>
        <v>1141</v>
      </c>
      <c r="AY349" s="41">
        <f t="shared" si="3191"/>
        <v>1202</v>
      </c>
      <c r="AZ349" s="41">
        <f t="shared" si="3192"/>
        <v>1213</v>
      </c>
      <c r="BA349" s="41">
        <f t="shared" si="3193"/>
        <v>1136</v>
      </c>
      <c r="BB349" s="41">
        <f t="shared" si="3194"/>
        <v>1114</v>
      </c>
      <c r="BC349" s="41">
        <f t="shared" si="3195"/>
        <v>1369</v>
      </c>
      <c r="BD349" s="41">
        <f t="shared" si="3196"/>
        <v>2047</v>
      </c>
      <c r="BE349" s="41">
        <f t="shared" si="3197"/>
        <v>1821</v>
      </c>
      <c r="BF349" s="41">
        <f t="shared" si="3198"/>
        <v>1568</v>
      </c>
      <c r="BG349" s="41">
        <f t="shared" si="3199"/>
        <v>1630</v>
      </c>
      <c r="BH349" s="41">
        <f t="shared" si="3200"/>
        <v>1599</v>
      </c>
      <c r="BI349" s="42">
        <f t="shared" si="3201"/>
        <v>1512</v>
      </c>
      <c r="BJ349" s="41">
        <f t="shared" si="3202"/>
        <v>1427</v>
      </c>
      <c r="BK349" s="41">
        <f t="shared" si="3203"/>
        <v>1441.3056749999996</v>
      </c>
      <c r="BL349" s="41">
        <f t="shared" si="3204"/>
        <v>1455.7547643918742</v>
      </c>
      <c r="BM349" s="41">
        <f t="shared" si="3205"/>
        <v>1470.3487059049025</v>
      </c>
      <c r="BN349" s="41">
        <f t="shared" si="3206"/>
        <v>1485.0889516815989</v>
      </c>
    </row>
    <row r="350" spans="1:66" ht="12" customHeight="1" outlineLevel="1"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2"/>
      <c r="AJ350" s="41"/>
      <c r="AK350" s="41"/>
      <c r="AL350" s="41"/>
      <c r="AM350" s="41"/>
      <c r="AN350" s="41"/>
      <c r="AO350" s="41"/>
      <c r="AP350" s="41"/>
      <c r="AQ350" s="41"/>
      <c r="AR350" s="41"/>
      <c r="AS350" s="8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2"/>
      <c r="BJ350" s="41"/>
      <c r="BK350" s="41"/>
      <c r="BL350" s="41"/>
      <c r="BM350" s="41"/>
      <c r="BN350" s="41"/>
    </row>
    <row r="351" spans="1:66" ht="12" customHeight="1" outlineLevel="1">
      <c r="B351" s="9" t="s">
        <v>158</v>
      </c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2"/>
      <c r="AJ351" s="41"/>
      <c r="AK351" s="41"/>
      <c r="AL351" s="41"/>
      <c r="AM351" s="41"/>
      <c r="AN351" s="41"/>
      <c r="AO351" s="41"/>
      <c r="AP351" s="41"/>
      <c r="AQ351" s="41"/>
      <c r="AR351" s="41"/>
      <c r="AS351" s="8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2"/>
      <c r="BJ351" s="41"/>
      <c r="BK351" s="41"/>
      <c r="BL351" s="41"/>
      <c r="BM351" s="41"/>
      <c r="BN351" s="41"/>
    </row>
    <row r="352" spans="1:66" ht="12" customHeight="1" outlineLevel="1">
      <c r="B352" s="1" t="s">
        <v>58</v>
      </c>
      <c r="C352" s="50" t="str">
        <f>IF(ISERROR(C342/B342),"n.a.",C342/B342-1)</f>
        <v>n.a.</v>
      </c>
      <c r="D352" s="50" t="str">
        <f>IF(ISERROR(D342/C342),"n.a.",D342/C342-1)</f>
        <v>n.a.</v>
      </c>
      <c r="E352" s="50" t="str">
        <f t="shared" ref="E352:AI352" si="3260">IF(ISERROR(E342/D342),"n.a.",E342/D342-1)</f>
        <v>n.a.</v>
      </c>
      <c r="F352" s="50" t="str">
        <f t="shared" si="3260"/>
        <v>n.a.</v>
      </c>
      <c r="G352" s="50" t="str">
        <f t="shared" si="3260"/>
        <v>n.a.</v>
      </c>
      <c r="H352" s="50" t="str">
        <f t="shared" si="3260"/>
        <v>n.a.</v>
      </c>
      <c r="I352" s="50" t="str">
        <f t="shared" si="3260"/>
        <v>n.a.</v>
      </c>
      <c r="J352" s="50" t="str">
        <f t="shared" si="3260"/>
        <v>n.a.</v>
      </c>
      <c r="K352" s="50" t="str">
        <f t="shared" si="3260"/>
        <v>n.a.</v>
      </c>
      <c r="L352" s="50" t="str">
        <f t="shared" si="3260"/>
        <v>n.a.</v>
      </c>
      <c r="M352" s="69" t="str">
        <f t="shared" si="3260"/>
        <v>n.a.</v>
      </c>
      <c r="N352" s="69" t="str">
        <f t="shared" si="3260"/>
        <v>n.a.</v>
      </c>
      <c r="O352" s="69" t="str">
        <f t="shared" si="3260"/>
        <v>n.a.</v>
      </c>
      <c r="P352" s="69" t="str">
        <f t="shared" si="3260"/>
        <v>n.a.</v>
      </c>
      <c r="Q352" s="69" t="str">
        <f t="shared" si="3260"/>
        <v>n.a.</v>
      </c>
      <c r="R352" s="69" t="str">
        <f t="shared" si="3260"/>
        <v>n.a.</v>
      </c>
      <c r="S352" s="69" t="str">
        <f t="shared" si="3260"/>
        <v>n.a.</v>
      </c>
      <c r="T352" s="69" t="str">
        <f t="shared" si="3260"/>
        <v>n.a.</v>
      </c>
      <c r="U352" s="69" t="str">
        <f t="shared" si="3260"/>
        <v>n.a.</v>
      </c>
      <c r="V352" s="69">
        <f t="shared" si="3260"/>
        <v>-0.21153846153846156</v>
      </c>
      <c r="W352" s="69">
        <f t="shared" si="3260"/>
        <v>2.4390243902439046E-2</v>
      </c>
      <c r="X352" s="69">
        <f t="shared" si="3260"/>
        <v>0.59523809523809534</v>
      </c>
      <c r="Y352" s="69">
        <f t="shared" si="3260"/>
        <v>-0.19402985074626866</v>
      </c>
      <c r="Z352" s="69">
        <f t="shared" si="3260"/>
        <v>0.11111111111111116</v>
      </c>
      <c r="AA352" s="69">
        <f t="shared" si="3260"/>
        <v>0.48333333333333339</v>
      </c>
      <c r="AB352" s="69">
        <f t="shared" si="3260"/>
        <v>0.33707865168539319</v>
      </c>
      <c r="AC352" s="69">
        <f t="shared" si="3260"/>
        <v>0.26050420168067223</v>
      </c>
      <c r="AD352" s="69">
        <f t="shared" si="3260"/>
        <v>0.1399999999999999</v>
      </c>
      <c r="AE352" s="69">
        <f t="shared" si="3260"/>
        <v>6.4327485380117011E-2</v>
      </c>
      <c r="AF352" s="69">
        <f t="shared" si="3260"/>
        <v>8.7912087912087822E-2</v>
      </c>
      <c r="AG352" s="69">
        <f t="shared" si="3260"/>
        <v>6.0606060606060552E-2</v>
      </c>
      <c r="AH352" s="69">
        <f t="shared" si="3260"/>
        <v>0.14761904761904754</v>
      </c>
      <c r="AI352" s="89">
        <f t="shared" si="3260"/>
        <v>-2.9045643153526979E-2</v>
      </c>
      <c r="AJ352" s="56">
        <v>0.03</v>
      </c>
      <c r="AK352" s="56">
        <v>0.05</v>
      </c>
      <c r="AL352" s="56">
        <v>7.0000000000000007E-2</v>
      </c>
      <c r="AM352" s="56">
        <f t="shared" ref="AM352:AN352" si="3261">AL352-1%</f>
        <v>6.0000000000000005E-2</v>
      </c>
      <c r="AN352" s="56">
        <f t="shared" si="3261"/>
        <v>0.05</v>
      </c>
      <c r="AO352" s="56">
        <f>AN352-1%</f>
        <v>0.04</v>
      </c>
      <c r="AP352" s="56">
        <f>AO352-1%</f>
        <v>0.03</v>
      </c>
      <c r="AQ352" s="56">
        <f>AP352-1%</f>
        <v>1.9999999999999997E-2</v>
      </c>
      <c r="AR352" s="56">
        <f t="shared" ref="AR352" si="3262">AQ352</f>
        <v>1.9999999999999997E-2</v>
      </c>
      <c r="AS352" s="8"/>
      <c r="AT352" s="50" t="str">
        <f>IF(ISERROR(AT342/T342),"n.a.",AT342/T342-1)</f>
        <v>n.a.</v>
      </c>
      <c r="AU352" s="50" t="str">
        <f>IF(ISERROR(AU342/AT342),"n.a.",AU342/AT342-1)</f>
        <v>n.a.</v>
      </c>
      <c r="AV352" s="50" t="str">
        <f>IF(ISERROR(AV342/AU342),"n.a.",AV342/AU342-1)</f>
        <v>n.a.</v>
      </c>
      <c r="AW352" s="50" t="str">
        <f>IF(ISERROR(AW342/AV342),"n.a.",AW342/AV342-1)</f>
        <v>n.a.</v>
      </c>
      <c r="AX352" s="50" t="str">
        <f t="shared" ref="AX352:BB352" si="3263">IF(ISERROR(AX342/AW342),"n.a.",AX342/AW342-1)</f>
        <v>n.a.</v>
      </c>
      <c r="AY352" s="50" t="str">
        <f t="shared" si="3263"/>
        <v>n.a.</v>
      </c>
      <c r="AZ352" s="50" t="str">
        <f t="shared" si="3263"/>
        <v>n.a.</v>
      </c>
      <c r="BA352" s="50" t="str">
        <f t="shared" si="3263"/>
        <v>n.a.</v>
      </c>
      <c r="BB352" s="50" t="str">
        <f t="shared" si="3263"/>
        <v>n.a.</v>
      </c>
      <c r="BC352" s="50" t="str">
        <f t="shared" ref="BC352" si="3264">IF(ISERROR(BC342/BB342),"n.a.",BC342/BB342-1)</f>
        <v>n.a.</v>
      </c>
      <c r="BD352" s="50">
        <f t="shared" ref="BD352" si="3265">IF(ISERROR(BD342/BC342),"n.a.",BD342/BC342-1)</f>
        <v>0.63414634146341453</v>
      </c>
      <c r="BE352" s="50">
        <f t="shared" ref="BE352" si="3266">IF(ISERROR(BE342/BD342),"n.a.",BE342/BD342-1)</f>
        <v>-0.10447761194029848</v>
      </c>
      <c r="BF352" s="50">
        <f t="shared" ref="BF352" si="3267">IF(ISERROR(BF342/BE342),"n.a.",BF342/BE342-1)</f>
        <v>0.98333333333333339</v>
      </c>
      <c r="BG352" s="50">
        <f t="shared" ref="BG352" si="3268">IF(ISERROR(BG342/BF342),"n.a.",BG342/BF342-1)</f>
        <v>0.43697478991596639</v>
      </c>
      <c r="BH352" s="50">
        <f t="shared" ref="BH352:BN352" si="3269">IF(ISERROR(BH342/BG342),"n.a.",BH342/BG342-1)</f>
        <v>0.15789473684210531</v>
      </c>
      <c r="BI352" s="51">
        <f t="shared" si="3269"/>
        <v>0.21717171717171713</v>
      </c>
      <c r="BJ352" s="50">
        <f t="shared" si="3269"/>
        <v>8.298755186730844E-5</v>
      </c>
      <c r="BK352" s="50">
        <f t="shared" si="3269"/>
        <v>0.12350000000000017</v>
      </c>
      <c r="BL352" s="50">
        <f t="shared" si="3269"/>
        <v>0.11300000000000021</v>
      </c>
      <c r="BM352" s="50">
        <f t="shared" si="3269"/>
        <v>7.1200000000000152E-2</v>
      </c>
      <c r="BN352" s="50">
        <f t="shared" si="3269"/>
        <v>4.0399999999999769E-2</v>
      </c>
    </row>
    <row r="353" spans="2:66" ht="12" customHeight="1" outlineLevel="1">
      <c r="B353" s="1" t="s">
        <v>59</v>
      </c>
      <c r="C353" s="37" t="str">
        <f>IF(ISERROR(C309-B309),"n.a.",C309-B309)</f>
        <v>n.a.</v>
      </c>
      <c r="D353" s="37" t="str">
        <f>IF(ISERROR(D309-C309),"n.a.",D309-C309)</f>
        <v>n.a.</v>
      </c>
      <c r="E353" s="37" t="str">
        <f t="shared" ref="E353:AI353" si="3270">IF(ISERROR(E309-D309),"n.a.",E309-D309)</f>
        <v>n.a.</v>
      </c>
      <c r="F353" s="37" t="str">
        <f t="shared" si="3270"/>
        <v>n.a.</v>
      </c>
      <c r="G353" s="37" t="str">
        <f t="shared" si="3270"/>
        <v>n.a.</v>
      </c>
      <c r="H353" s="37" t="str">
        <f t="shared" si="3270"/>
        <v>n.a.</v>
      </c>
      <c r="I353" s="37" t="str">
        <f t="shared" si="3270"/>
        <v>n.a.</v>
      </c>
      <c r="J353" s="37" t="str">
        <f t="shared" si="3270"/>
        <v>n.a.</v>
      </c>
      <c r="K353" s="37" t="str">
        <f t="shared" si="3270"/>
        <v>n.a.</v>
      </c>
      <c r="L353" s="37" t="str">
        <f t="shared" si="3270"/>
        <v>n.a.</v>
      </c>
      <c r="M353" s="78" t="str">
        <f t="shared" si="3270"/>
        <v>n.a.</v>
      </c>
      <c r="N353" s="78" t="str">
        <f t="shared" si="3270"/>
        <v>n.a.</v>
      </c>
      <c r="O353" s="78" t="str">
        <f t="shared" si="3270"/>
        <v>n.a.</v>
      </c>
      <c r="P353" s="78" t="str">
        <f t="shared" si="3270"/>
        <v>n.a.</v>
      </c>
      <c r="Q353" s="78" t="str">
        <f t="shared" si="3270"/>
        <v>n.a.</v>
      </c>
      <c r="R353" s="78" t="str">
        <f t="shared" si="3270"/>
        <v>n.a.</v>
      </c>
      <c r="S353" s="78" t="str">
        <f t="shared" si="3270"/>
        <v>n.a.</v>
      </c>
      <c r="T353" s="78" t="str">
        <f t="shared" si="3270"/>
        <v>n.a.</v>
      </c>
      <c r="U353" s="78" t="str">
        <f t="shared" si="3270"/>
        <v>n.a.</v>
      </c>
      <c r="V353" s="78">
        <f t="shared" si="3270"/>
        <v>0</v>
      </c>
      <c r="W353" s="78">
        <f t="shared" si="3270"/>
        <v>0</v>
      </c>
      <c r="X353" s="78">
        <f t="shared" si="3270"/>
        <v>0</v>
      </c>
      <c r="Y353" s="78">
        <f t="shared" si="3270"/>
        <v>0</v>
      </c>
      <c r="Z353" s="78">
        <f t="shared" si="3270"/>
        <v>0</v>
      </c>
      <c r="AA353" s="78">
        <f t="shared" si="3270"/>
        <v>0</v>
      </c>
      <c r="AB353" s="78">
        <f t="shared" si="3270"/>
        <v>0</v>
      </c>
      <c r="AC353" s="78">
        <f t="shared" si="3270"/>
        <v>0</v>
      </c>
      <c r="AD353" s="78">
        <f t="shared" si="3270"/>
        <v>0</v>
      </c>
      <c r="AE353" s="78">
        <f t="shared" si="3270"/>
        <v>0</v>
      </c>
      <c r="AF353" s="78">
        <f t="shared" si="3270"/>
        <v>0</v>
      </c>
      <c r="AG353" s="78">
        <f t="shared" si="3270"/>
        <v>0</v>
      </c>
      <c r="AH353" s="78">
        <f t="shared" si="3270"/>
        <v>0</v>
      </c>
      <c r="AI353" s="88">
        <f t="shared" si="3270"/>
        <v>0</v>
      </c>
      <c r="AJ353" s="66">
        <v>0</v>
      </c>
      <c r="AK353" s="66">
        <v>0</v>
      </c>
      <c r="AL353" s="66">
        <v>0</v>
      </c>
      <c r="AM353" s="66">
        <v>0</v>
      </c>
      <c r="AN353" s="66">
        <v>0</v>
      </c>
      <c r="AO353" s="66">
        <v>0</v>
      </c>
      <c r="AP353" s="66">
        <v>0</v>
      </c>
      <c r="AQ353" s="66">
        <v>0</v>
      </c>
      <c r="AR353" s="66">
        <v>0</v>
      </c>
      <c r="AS353" s="8"/>
      <c r="AT353" s="37" t="str">
        <f>IF(ISERROR(AT309-T309),"n.a.",AT309-T309)</f>
        <v>n.a.</v>
      </c>
      <c r="AU353" s="37" t="str">
        <f>IF(ISERROR(AU309-AT309),"n.a.",AU309-AT309)</f>
        <v>n.a.</v>
      </c>
      <c r="AV353" s="37" t="str">
        <f>IF(ISERROR(AV309-AU309),"n.a.",AV309-AU309)</f>
        <v>n.a.</v>
      </c>
      <c r="AW353" s="37" t="str">
        <f>IF(ISERROR(AW309-AV309),"n.a.",AW309-AV309)</f>
        <v>n.a.</v>
      </c>
      <c r="AX353" s="37" t="str">
        <f t="shared" ref="AX353:BB353" si="3271">IF(ISERROR(AX309-AW309),"n.a.",AX309-AW309)</f>
        <v>n.a.</v>
      </c>
      <c r="AY353" s="37" t="str">
        <f t="shared" si="3271"/>
        <v>n.a.</v>
      </c>
      <c r="AZ353" s="37" t="str">
        <f t="shared" si="3271"/>
        <v>n.a.</v>
      </c>
      <c r="BA353" s="37" t="str">
        <f t="shared" si="3271"/>
        <v>n.a.</v>
      </c>
      <c r="BB353" s="37" t="str">
        <f t="shared" si="3271"/>
        <v>n.a.</v>
      </c>
      <c r="BC353" s="37" t="str">
        <f t="shared" ref="BC353" si="3272">IF(ISERROR(BC309-BB309),"n.a.",BC309-BB309)</f>
        <v>n.a.</v>
      </c>
      <c r="BD353" s="37">
        <f t="shared" ref="BD353" si="3273">IF(ISERROR(BD309-BC309),"n.a.",BD309-BC309)</f>
        <v>0</v>
      </c>
      <c r="BE353" s="37">
        <f t="shared" ref="BE353" si="3274">IF(ISERROR(BE309-BD309),"n.a.",BE309-BD309)</f>
        <v>0</v>
      </c>
      <c r="BF353" s="37">
        <f t="shared" ref="BF353" si="3275">IF(ISERROR(BF309-BE309),"n.a.",BF309-BE309)</f>
        <v>0</v>
      </c>
      <c r="BG353" s="37">
        <f t="shared" ref="BG353" si="3276">IF(ISERROR(BG309-BF309),"n.a.",BG309-BF309)</f>
        <v>0</v>
      </c>
      <c r="BH353" s="37">
        <f t="shared" ref="BH353:BN353" si="3277">IF(ISERROR(BH309-BG309),"n.a.",BH309-BG309)</f>
        <v>0</v>
      </c>
      <c r="BI353" s="38">
        <f t="shared" si="3277"/>
        <v>0</v>
      </c>
      <c r="BJ353" s="37">
        <f t="shared" si="3277"/>
        <v>0</v>
      </c>
      <c r="BK353" s="37">
        <f t="shared" si="3277"/>
        <v>0</v>
      </c>
      <c r="BL353" s="37">
        <f t="shared" si="3277"/>
        <v>0</v>
      </c>
      <c r="BM353" s="37">
        <f t="shared" si="3277"/>
        <v>0</v>
      </c>
      <c r="BN353" s="37">
        <f t="shared" si="3277"/>
        <v>0</v>
      </c>
    </row>
    <row r="354" spans="2:66" ht="12" customHeight="1" outlineLevel="1">
      <c r="B354" s="1" t="s">
        <v>60</v>
      </c>
      <c r="C354" s="50" t="str">
        <f>IF(ISERROR(C345/B345),"n.a.",C345/B345-1)</f>
        <v>n.a.</v>
      </c>
      <c r="D354" s="50" t="str">
        <f>IF(ISERROR(D345/C345),"n.a.",D345/C345-1)</f>
        <v>n.a.</v>
      </c>
      <c r="E354" s="50" t="str">
        <f t="shared" ref="E354:AI354" si="3278">IF(ISERROR(E345/D345),"n.a.",E345/D345-1)</f>
        <v>n.a.</v>
      </c>
      <c r="F354" s="50" t="str">
        <f t="shared" si="3278"/>
        <v>n.a.</v>
      </c>
      <c r="G354" s="50" t="str">
        <f t="shared" si="3278"/>
        <v>n.a.</v>
      </c>
      <c r="H354" s="50" t="str">
        <f t="shared" si="3278"/>
        <v>n.a.</v>
      </c>
      <c r="I354" s="50" t="str">
        <f t="shared" si="3278"/>
        <v>n.a.</v>
      </c>
      <c r="J354" s="50" t="str">
        <f t="shared" si="3278"/>
        <v>n.a.</v>
      </c>
      <c r="K354" s="50" t="str">
        <f t="shared" si="3278"/>
        <v>n.a.</v>
      </c>
      <c r="L354" s="50" t="str">
        <f t="shared" si="3278"/>
        <v>n.a.</v>
      </c>
      <c r="M354" s="69" t="str">
        <f t="shared" si="3278"/>
        <v>n.a.</v>
      </c>
      <c r="N354" s="69" t="str">
        <f t="shared" si="3278"/>
        <v>n.a.</v>
      </c>
      <c r="O354" s="69" t="str">
        <f t="shared" si="3278"/>
        <v>n.a.</v>
      </c>
      <c r="P354" s="69" t="str">
        <f t="shared" si="3278"/>
        <v>n.a.</v>
      </c>
      <c r="Q354" s="69" t="str">
        <f t="shared" si="3278"/>
        <v>n.a.</v>
      </c>
      <c r="R354" s="69" t="str">
        <f t="shared" si="3278"/>
        <v>n.a.</v>
      </c>
      <c r="S354" s="69" t="str">
        <f t="shared" si="3278"/>
        <v>n.a.</v>
      </c>
      <c r="T354" s="69" t="str">
        <f t="shared" si="3278"/>
        <v>n.a.</v>
      </c>
      <c r="U354" s="69" t="str">
        <f t="shared" si="3278"/>
        <v>n.a.</v>
      </c>
      <c r="V354" s="69" t="str">
        <f t="shared" si="3278"/>
        <v>n.a.</v>
      </c>
      <c r="W354" s="69" t="str">
        <f t="shared" si="3278"/>
        <v>n.a.</v>
      </c>
      <c r="X354" s="69" t="str">
        <f t="shared" si="3278"/>
        <v>n.a.</v>
      </c>
      <c r="Y354" s="69" t="str">
        <f t="shared" si="3278"/>
        <v>n.a.</v>
      </c>
      <c r="Z354" s="69" t="str">
        <f t="shared" si="3278"/>
        <v>n.a.</v>
      </c>
      <c r="AA354" s="69" t="str">
        <f t="shared" si="3278"/>
        <v>n.a.</v>
      </c>
      <c r="AB354" s="69" t="str">
        <f t="shared" si="3278"/>
        <v>n.a.</v>
      </c>
      <c r="AC354" s="69" t="str">
        <f t="shared" si="3278"/>
        <v>n.a.</v>
      </c>
      <c r="AD354" s="69" t="str">
        <f t="shared" si="3278"/>
        <v>n.a.</v>
      </c>
      <c r="AE354" s="69" t="str">
        <f t="shared" si="3278"/>
        <v>n.a.</v>
      </c>
      <c r="AF354" s="69" t="str">
        <f t="shared" si="3278"/>
        <v>n.a.</v>
      </c>
      <c r="AG354" s="69" t="str">
        <f t="shared" si="3278"/>
        <v>n.a.</v>
      </c>
      <c r="AH354" s="69" t="str">
        <f t="shared" si="3278"/>
        <v>n.a.</v>
      </c>
      <c r="AI354" s="89" t="str">
        <f t="shared" si="3278"/>
        <v>n.a.</v>
      </c>
      <c r="AJ354" s="56">
        <v>0.03</v>
      </c>
      <c r="AK354" s="56">
        <v>0.03</v>
      </c>
      <c r="AL354" s="56">
        <v>0.03</v>
      </c>
      <c r="AM354" s="56">
        <v>0.03</v>
      </c>
      <c r="AN354" s="56">
        <v>0.03</v>
      </c>
      <c r="AO354" s="56">
        <v>0.03</v>
      </c>
      <c r="AP354" s="56">
        <v>0.03</v>
      </c>
      <c r="AQ354" s="56">
        <v>0.03</v>
      </c>
      <c r="AR354" s="56">
        <v>0.03</v>
      </c>
      <c r="AS354" s="8"/>
      <c r="AT354" s="50" t="str">
        <f>IF(ISERROR(AT345/T345),"n.a.",AT345/T345-1)</f>
        <v>n.a.</v>
      </c>
      <c r="AU354" s="50" t="str">
        <f>IF(ISERROR(AU345/AT345),"n.a.",AU345/AT345-1)</f>
        <v>n.a.</v>
      </c>
      <c r="AV354" s="50" t="str">
        <f>IF(ISERROR(AV345/AU345),"n.a.",AV345/AU345-1)</f>
        <v>n.a.</v>
      </c>
      <c r="AW354" s="50" t="str">
        <f>IF(ISERROR(AW345/AV345),"n.a.",AW345/AV345-1)</f>
        <v>n.a.</v>
      </c>
      <c r="AX354" s="50" t="str">
        <f t="shared" ref="AX354:BB354" si="3279">IF(ISERROR(AX345/AW345),"n.a.",AX345/AW345-1)</f>
        <v>n.a.</v>
      </c>
      <c r="AY354" s="50" t="str">
        <f t="shared" si="3279"/>
        <v>n.a.</v>
      </c>
      <c r="AZ354" s="50" t="str">
        <f t="shared" si="3279"/>
        <v>n.a.</v>
      </c>
      <c r="BA354" s="50" t="str">
        <f t="shared" si="3279"/>
        <v>n.a.</v>
      </c>
      <c r="BB354" s="50" t="str">
        <f t="shared" si="3279"/>
        <v>n.a.</v>
      </c>
      <c r="BC354" s="50" t="str">
        <f t="shared" ref="BC354" si="3280">IF(ISERROR(BC345/BB345),"n.a.",BC345/BB345-1)</f>
        <v>n.a.</v>
      </c>
      <c r="BD354" s="50" t="str">
        <f t="shared" ref="BD354" si="3281">IF(ISERROR(BD345/BC345),"n.a.",BD345/BC345-1)</f>
        <v>n.a.</v>
      </c>
      <c r="BE354" s="50" t="str">
        <f t="shared" ref="BE354" si="3282">IF(ISERROR(BE345/BD345),"n.a.",BE345/BD345-1)</f>
        <v>n.a.</v>
      </c>
      <c r="BF354" s="50" t="str">
        <f t="shared" ref="BF354" si="3283">IF(ISERROR(BF345/BE345),"n.a.",BF345/BE345-1)</f>
        <v>n.a.</v>
      </c>
      <c r="BG354" s="50" t="str">
        <f t="shared" ref="BG354" si="3284">IF(ISERROR(BG345/BF345),"n.a.",BG345/BF345-1)</f>
        <v>n.a.</v>
      </c>
      <c r="BH354" s="50" t="str">
        <f t="shared" ref="BH354:BN354" si="3285">IF(ISERROR(BH345/BG345),"n.a.",BH345/BG345-1)</f>
        <v>n.a.</v>
      </c>
      <c r="BI354" s="51" t="str">
        <f t="shared" si="3285"/>
        <v>n.a.</v>
      </c>
      <c r="BJ354" s="50" t="str">
        <f t="shared" si="3285"/>
        <v>n.a.</v>
      </c>
      <c r="BK354" s="50" t="str">
        <f t="shared" si="3285"/>
        <v>n.a.</v>
      </c>
      <c r="BL354" s="50" t="str">
        <f t="shared" si="3285"/>
        <v>n.a.</v>
      </c>
      <c r="BM354" s="50" t="str">
        <f t="shared" si="3285"/>
        <v>n.a.</v>
      </c>
      <c r="BN354" s="50" t="str">
        <f t="shared" si="3285"/>
        <v>n.a.</v>
      </c>
    </row>
    <row r="355" spans="2:66" ht="12" customHeight="1" outlineLevel="1">
      <c r="B355" s="1" t="s">
        <v>61</v>
      </c>
      <c r="C355" s="50" t="str">
        <f>IF(ISERROR(C348/B348),"n.a.",C348/B348-1)</f>
        <v>n.a.</v>
      </c>
      <c r="D355" s="50" t="str">
        <f>IF(ISERROR(D348/C348),"n.a.",D348/C348-1)</f>
        <v>n.a.</v>
      </c>
      <c r="E355" s="50" t="str">
        <f t="shared" ref="E355:AI355" si="3286">IF(ISERROR(E348/D348),"n.a.",E348/D348-1)</f>
        <v>n.a.</v>
      </c>
      <c r="F355" s="50" t="str">
        <f t="shared" si="3286"/>
        <v>n.a.</v>
      </c>
      <c r="G355" s="50" t="str">
        <f t="shared" si="3286"/>
        <v>n.a.</v>
      </c>
      <c r="H355" s="50" t="str">
        <f t="shared" si="3286"/>
        <v>n.a.</v>
      </c>
      <c r="I355" s="50" t="str">
        <f t="shared" si="3286"/>
        <v>n.a.</v>
      </c>
      <c r="J355" s="50" t="str">
        <f t="shared" si="3286"/>
        <v>n.a.</v>
      </c>
      <c r="K355" s="50" t="str">
        <f t="shared" si="3286"/>
        <v>n.a.</v>
      </c>
      <c r="L355" s="50" t="str">
        <f t="shared" si="3286"/>
        <v>n.a.</v>
      </c>
      <c r="M355" s="69" t="str">
        <f t="shared" si="3286"/>
        <v>n.a.</v>
      </c>
      <c r="N355" s="69" t="str">
        <f t="shared" si="3286"/>
        <v>n.a.</v>
      </c>
      <c r="O355" s="69" t="str">
        <f t="shared" si="3286"/>
        <v>n.a.</v>
      </c>
      <c r="P355" s="69" t="str">
        <f t="shared" si="3286"/>
        <v>n.a.</v>
      </c>
      <c r="Q355" s="69" t="str">
        <f t="shared" si="3286"/>
        <v>n.a.</v>
      </c>
      <c r="R355" s="69" t="str">
        <f t="shared" si="3286"/>
        <v>n.a.</v>
      </c>
      <c r="S355" s="69" t="str">
        <f t="shared" si="3286"/>
        <v>n.a.</v>
      </c>
      <c r="T355" s="69" t="str">
        <f t="shared" si="3286"/>
        <v>n.a.</v>
      </c>
      <c r="U355" s="69" t="str">
        <f t="shared" si="3286"/>
        <v>n.a.</v>
      </c>
      <c r="V355" s="69" t="str">
        <f t="shared" si="3286"/>
        <v>n.a.</v>
      </c>
      <c r="W355" s="69" t="str">
        <f t="shared" si="3286"/>
        <v>n.a.</v>
      </c>
      <c r="X355" s="69" t="str">
        <f t="shared" si="3286"/>
        <v>n.a.</v>
      </c>
      <c r="Y355" s="69" t="str">
        <f t="shared" si="3286"/>
        <v>n.a.</v>
      </c>
      <c r="Z355" s="69" t="str">
        <f t="shared" si="3286"/>
        <v>n.a.</v>
      </c>
      <c r="AA355" s="69" t="str">
        <f t="shared" si="3286"/>
        <v>n.a.</v>
      </c>
      <c r="AB355" s="69" t="str">
        <f t="shared" si="3286"/>
        <v>n.a.</v>
      </c>
      <c r="AC355" s="69" t="str">
        <f t="shared" si="3286"/>
        <v>n.a.</v>
      </c>
      <c r="AD355" s="69" t="str">
        <f t="shared" si="3286"/>
        <v>n.a.</v>
      </c>
      <c r="AE355" s="69" t="str">
        <f t="shared" si="3286"/>
        <v>n.a.</v>
      </c>
      <c r="AF355" s="69" t="str">
        <f t="shared" si="3286"/>
        <v>n.a.</v>
      </c>
      <c r="AG355" s="69" t="str">
        <f t="shared" si="3286"/>
        <v>n.a.</v>
      </c>
      <c r="AH355" s="69" t="str">
        <f t="shared" si="3286"/>
        <v>n.a.</v>
      </c>
      <c r="AI355" s="89" t="str">
        <f t="shared" si="3286"/>
        <v>n.a.</v>
      </c>
      <c r="AJ355" s="56">
        <v>0.03</v>
      </c>
      <c r="AK355" s="56">
        <v>0.03</v>
      </c>
      <c r="AL355" s="56">
        <v>0.03</v>
      </c>
      <c r="AM355" s="56">
        <v>0.03</v>
      </c>
      <c r="AN355" s="56">
        <v>0.03</v>
      </c>
      <c r="AO355" s="56">
        <v>0.03</v>
      </c>
      <c r="AP355" s="56">
        <v>0.03</v>
      </c>
      <c r="AQ355" s="56">
        <v>0.03</v>
      </c>
      <c r="AR355" s="56">
        <v>0.03</v>
      </c>
      <c r="AS355" s="8"/>
      <c r="AT355" s="50" t="str">
        <f>IF(ISERROR(AT348/T348),"n.a.",AT348/T348-1)</f>
        <v>n.a.</v>
      </c>
      <c r="AU355" s="50" t="str">
        <f>IF(ISERROR(AU348/AT348),"n.a.",AU348/AT348-1)</f>
        <v>n.a.</v>
      </c>
      <c r="AV355" s="50" t="str">
        <f>IF(ISERROR(AV348/AU348),"n.a.",AV348/AU348-1)</f>
        <v>n.a.</v>
      </c>
      <c r="AW355" s="50" t="str">
        <f>IF(ISERROR(AW348/AV348),"n.a.",AW348/AV348-1)</f>
        <v>n.a.</v>
      </c>
      <c r="AX355" s="50" t="str">
        <f t="shared" ref="AX355:BB355" si="3287">IF(ISERROR(AX348/AW348),"n.a.",AX348/AW348-1)</f>
        <v>n.a.</v>
      </c>
      <c r="AY355" s="50" t="str">
        <f t="shared" si="3287"/>
        <v>n.a.</v>
      </c>
      <c r="AZ355" s="50" t="str">
        <f t="shared" si="3287"/>
        <v>n.a.</v>
      </c>
      <c r="BA355" s="50" t="str">
        <f t="shared" si="3287"/>
        <v>n.a.</v>
      </c>
      <c r="BB355" s="50" t="str">
        <f t="shared" si="3287"/>
        <v>n.a.</v>
      </c>
      <c r="BC355" s="50" t="str">
        <f t="shared" ref="BC355" si="3288">IF(ISERROR(BC348/BB348),"n.a.",BC348/BB348-1)</f>
        <v>n.a.</v>
      </c>
      <c r="BD355" s="50" t="str">
        <f t="shared" ref="BD355" si="3289">IF(ISERROR(BD348/BC348),"n.a.",BD348/BC348-1)</f>
        <v>n.a.</v>
      </c>
      <c r="BE355" s="50" t="str">
        <f t="shared" ref="BE355" si="3290">IF(ISERROR(BE348/BD348),"n.a.",BE348/BD348-1)</f>
        <v>n.a.</v>
      </c>
      <c r="BF355" s="50" t="str">
        <f t="shared" ref="BF355" si="3291">IF(ISERROR(BF348/BE348),"n.a.",BF348/BE348-1)</f>
        <v>n.a.</v>
      </c>
      <c r="BG355" s="50" t="str">
        <f t="shared" ref="BG355" si="3292">IF(ISERROR(BG348/BF348),"n.a.",BG348/BF348-1)</f>
        <v>n.a.</v>
      </c>
      <c r="BH355" s="50" t="str">
        <f t="shared" ref="BH355:BN355" si="3293">IF(ISERROR(BH348/BG348),"n.a.",BH348/BG348-1)</f>
        <v>n.a.</v>
      </c>
      <c r="BI355" s="51" t="str">
        <f t="shared" si="3293"/>
        <v>n.a.</v>
      </c>
      <c r="BJ355" s="50" t="str">
        <f t="shared" si="3293"/>
        <v>n.a.</v>
      </c>
      <c r="BK355" s="50" t="str">
        <f t="shared" si="3293"/>
        <v>n.a.</v>
      </c>
      <c r="BL355" s="50" t="str">
        <f t="shared" si="3293"/>
        <v>n.a.</v>
      </c>
      <c r="BM355" s="50" t="str">
        <f t="shared" si="3293"/>
        <v>n.a.</v>
      </c>
      <c r="BN355" s="50" t="str">
        <f t="shared" si="3293"/>
        <v>n.a.</v>
      </c>
    </row>
    <row r="356" spans="2:66" ht="12" customHeight="1" outlineLevel="1">
      <c r="B356" s="1" t="s">
        <v>75</v>
      </c>
      <c r="C356" s="37" t="str">
        <f t="shared" ref="C356:I356" si="3294">IF(ISERROR(C311/AVERAGE(B345:C345)),"n.a.",C311*C$5/AVERAGE(B345:C345))</f>
        <v>n.a.</v>
      </c>
      <c r="D356" s="37" t="str">
        <f t="shared" si="3294"/>
        <v>n.a.</v>
      </c>
      <c r="E356" s="37" t="str">
        <f t="shared" si="3294"/>
        <v>n.a.</v>
      </c>
      <c r="F356" s="37" t="str">
        <f t="shared" si="3294"/>
        <v>n.a.</v>
      </c>
      <c r="G356" s="37" t="str">
        <f t="shared" si="3294"/>
        <v>n.a.</v>
      </c>
      <c r="H356" s="37" t="str">
        <f t="shared" si="3294"/>
        <v>n.a.</v>
      </c>
      <c r="I356" s="37" t="str">
        <f t="shared" si="3294"/>
        <v>n.a.</v>
      </c>
      <c r="J356" s="37" t="str">
        <f t="shared" ref="J356:AI356" si="3295">IF(ISERROR(J311/AVERAGE(I345:J345)),"n.a.",J311*J$5/AVERAGE(I345:J345))</f>
        <v>n.a.</v>
      </c>
      <c r="K356" s="37" t="str">
        <f t="shared" si="3295"/>
        <v>n.a.</v>
      </c>
      <c r="L356" s="37" t="str">
        <f t="shared" si="3295"/>
        <v>n.a.</v>
      </c>
      <c r="M356" s="78" t="str">
        <f t="shared" si="3295"/>
        <v>n.a.</v>
      </c>
      <c r="N356" s="78" t="str">
        <f t="shared" si="3295"/>
        <v>n.a.</v>
      </c>
      <c r="O356" s="78" t="str">
        <f t="shared" si="3295"/>
        <v>n.a.</v>
      </c>
      <c r="P356" s="78" t="str">
        <f t="shared" si="3295"/>
        <v>n.a.</v>
      </c>
      <c r="Q356" s="78" t="str">
        <f t="shared" si="3295"/>
        <v>n.a.</v>
      </c>
      <c r="R356" s="78" t="str">
        <f t="shared" si="3295"/>
        <v>n.a.</v>
      </c>
      <c r="S356" s="78" t="str">
        <f t="shared" si="3295"/>
        <v>n.a.</v>
      </c>
      <c r="T356" s="78" t="str">
        <f t="shared" si="3295"/>
        <v>n.a.</v>
      </c>
      <c r="U356" s="78" t="str">
        <f t="shared" si="3295"/>
        <v>n.a.</v>
      </c>
      <c r="V356" s="78" t="str">
        <f t="shared" si="3295"/>
        <v>n.a.</v>
      </c>
      <c r="W356" s="78" t="str">
        <f t="shared" si="3295"/>
        <v>n.a.</v>
      </c>
      <c r="X356" s="78" t="str">
        <f t="shared" si="3295"/>
        <v>n.a.</v>
      </c>
      <c r="Y356" s="78" t="str">
        <f t="shared" si="3295"/>
        <v>n.a.</v>
      </c>
      <c r="Z356" s="78" t="str">
        <f t="shared" si="3295"/>
        <v>n.a.</v>
      </c>
      <c r="AA356" s="78" t="str">
        <f t="shared" si="3295"/>
        <v>n.a.</v>
      </c>
      <c r="AB356" s="78" t="str">
        <f t="shared" si="3295"/>
        <v>n.a.</v>
      </c>
      <c r="AC356" s="78" t="str">
        <f t="shared" si="3295"/>
        <v>n.a.</v>
      </c>
      <c r="AD356" s="78" t="str">
        <f t="shared" si="3295"/>
        <v>n.a.</v>
      </c>
      <c r="AE356" s="78" t="str">
        <f t="shared" si="3295"/>
        <v>n.a.</v>
      </c>
      <c r="AF356" s="78" t="str">
        <f t="shared" si="3295"/>
        <v>n.a.</v>
      </c>
      <c r="AG356" s="78" t="str">
        <f t="shared" si="3295"/>
        <v>n.a.</v>
      </c>
      <c r="AH356" s="78" t="str">
        <f t="shared" si="3295"/>
        <v>n.a.</v>
      </c>
      <c r="AI356" s="88" t="str">
        <f t="shared" si="3295"/>
        <v>n.a.</v>
      </c>
      <c r="AJ356" s="77" t="str">
        <f t="shared" ref="AJ356:AJ357" si="3296">AI356</f>
        <v>n.a.</v>
      </c>
      <c r="AK356" s="77" t="str">
        <f t="shared" ref="AK356:AK357" si="3297">AJ356</f>
        <v>n.a.</v>
      </c>
      <c r="AL356" s="77" t="str">
        <f t="shared" ref="AL356:AL357" si="3298">AK356</f>
        <v>n.a.</v>
      </c>
      <c r="AM356" s="77" t="str">
        <f t="shared" ref="AM356:AM357" si="3299">AL356</f>
        <v>n.a.</v>
      </c>
      <c r="AN356" s="77" t="str">
        <f t="shared" ref="AN356:AN357" si="3300">AM356</f>
        <v>n.a.</v>
      </c>
      <c r="AO356" s="77" t="str">
        <f t="shared" ref="AO356:AO358" si="3301">AN356</f>
        <v>n.a.</v>
      </c>
      <c r="AP356" s="77" t="str">
        <f t="shared" ref="AP356:AP358" si="3302">AO356</f>
        <v>n.a.</v>
      </c>
      <c r="AQ356" s="77" t="str">
        <f t="shared" ref="AQ356:AQ358" si="3303">AP356</f>
        <v>n.a.</v>
      </c>
      <c r="AR356" s="77" t="str">
        <f t="shared" ref="AR356:AR358" si="3304">AQ356</f>
        <v>n.a.</v>
      </c>
      <c r="AS356" s="8"/>
      <c r="AT356" s="37" t="str">
        <f>IF(ISERROR(AT311/AVERAGE(T345:AT345)),"n.a.",AT311*AT$5/AVERAGE(T345:AT345))</f>
        <v>n.a.</v>
      </c>
      <c r="AU356" s="37" t="str">
        <f>IF(ISERROR(AU311/AVERAGE(AT345:AU345)),"n.a.",AU311*AU$5/AVERAGE(AT345:AU345))</f>
        <v>n.a.</v>
      </c>
      <c r="AV356" s="37" t="str">
        <f>IF(ISERROR(AV311/AVERAGE(AU345:AV345)),"n.a.",AV311*AV$5/AVERAGE(AU345:AV345))</f>
        <v>n.a.</v>
      </c>
      <c r="AW356" s="37" t="str">
        <f>IF(ISERROR(AW311/AVERAGE(AV345:AW345)),"n.a.",AW311*AW$5/AVERAGE(AV345:AW345))</f>
        <v>n.a.</v>
      </c>
      <c r="AX356" s="37" t="str">
        <f t="shared" ref="AX356:BB356" si="3305">IF(ISERROR(AX311/AVERAGE(AW345:AX345)),"n.a.",AX311*AX$5/AVERAGE(AW345:AX345))</f>
        <v>n.a.</v>
      </c>
      <c r="AY356" s="37" t="str">
        <f t="shared" si="3305"/>
        <v>n.a.</v>
      </c>
      <c r="AZ356" s="37" t="str">
        <f t="shared" si="3305"/>
        <v>n.a.</v>
      </c>
      <c r="BA356" s="37" t="str">
        <f t="shared" si="3305"/>
        <v>n.a.</v>
      </c>
      <c r="BB356" s="37" t="str">
        <f t="shared" si="3305"/>
        <v>n.a.</v>
      </c>
      <c r="BC356" s="37" t="str">
        <f t="shared" ref="BC356" si="3306">IF(ISERROR(BC311/AVERAGE(BB345:BC345)),"n.a.",BC311*BC$5/AVERAGE(BB345:BC345))</f>
        <v>n.a.</v>
      </c>
      <c r="BD356" s="37" t="str">
        <f t="shared" ref="BD356" si="3307">IF(ISERROR(BD311/AVERAGE(BC345:BD345)),"n.a.",BD311*BD$5/AVERAGE(BC345:BD345))</f>
        <v>n.a.</v>
      </c>
      <c r="BE356" s="37" t="str">
        <f t="shared" ref="BE356" si="3308">IF(ISERROR(BE311/AVERAGE(BD345:BE345)),"n.a.",BE311*BE$5/AVERAGE(BD345:BE345))</f>
        <v>n.a.</v>
      </c>
      <c r="BF356" s="37" t="str">
        <f t="shared" ref="BF356" si="3309">IF(ISERROR(BF311/AVERAGE(BE345:BF345)),"n.a.",BF311*BF$5/AVERAGE(BE345:BF345))</f>
        <v>n.a.</v>
      </c>
      <c r="BG356" s="37" t="str">
        <f t="shared" ref="BG356" si="3310">IF(ISERROR(BG311/AVERAGE(BF345:BG345)),"n.a.",BG311*BG$5/AVERAGE(BF345:BG345))</f>
        <v>n.a.</v>
      </c>
      <c r="BH356" s="37" t="str">
        <f t="shared" ref="BH356:BJ356" si="3311">IF(ISERROR(BH311/AVERAGE(BG345:BH345)),"n.a.",BH311*BH$5/AVERAGE(BG345:BH345))</f>
        <v>n.a.</v>
      </c>
      <c r="BI356" s="38" t="str">
        <f t="shared" si="3311"/>
        <v>n.a.</v>
      </c>
      <c r="BJ356" s="37" t="str">
        <f t="shared" si="3311"/>
        <v>n.a.</v>
      </c>
      <c r="BK356" s="37" t="str">
        <f>IF(ISERROR(BK311/AVERAGE(BK345:BK345)),"n.a.",BK311*BK$5/AVERAGE(BK345:BK345))</f>
        <v>n.a.</v>
      </c>
      <c r="BL356" s="37" t="str">
        <f>IF(ISERROR(BL311/AVERAGE(BL345:BL345)),"n.a.",BL311*BL$5/AVERAGE(BL345:BL345))</f>
        <v>n.a.</v>
      </c>
      <c r="BM356" s="37" t="str">
        <f>IF(ISERROR(BM311/AVERAGE(BM345:BM345)),"n.a.",BM311*BM$5/AVERAGE(BM345:BM345))</f>
        <v>n.a.</v>
      </c>
      <c r="BN356" s="37" t="str">
        <f>IF(ISERROR(BN311/AVERAGE(BN345:BN345)),"n.a.",BN311*BN$5/AVERAGE(BN345:BN345))</f>
        <v>n.a.</v>
      </c>
    </row>
    <row r="357" spans="2:66" ht="12" customHeight="1" outlineLevel="1">
      <c r="B357" s="1" t="s">
        <v>76</v>
      </c>
      <c r="C357" s="37" t="str">
        <f>IF(ISERROR(C312/AVERAGE(B348:C348)),"n.a.",C312*C$5/AVERAGE(B348:C348))</f>
        <v>n.a.</v>
      </c>
      <c r="D357" s="37" t="str">
        <f>IF(ISERROR(D312/AVERAGE(C348:D348)),"n.a.",D312*D$5/AVERAGE(C348:D348))</f>
        <v>n.a.</v>
      </c>
      <c r="E357" s="37" t="str">
        <f t="shared" ref="E357:I357" si="3312">IF(ISERROR(E312/AVERAGE(D348:E348)),"n.a.",E312*E$5/AVERAGE(D348:E348))</f>
        <v>n.a.</v>
      </c>
      <c r="F357" s="37" t="str">
        <f t="shared" si="3312"/>
        <v>n.a.</v>
      </c>
      <c r="G357" s="37" t="str">
        <f t="shared" si="3312"/>
        <v>n.a.</v>
      </c>
      <c r="H357" s="37" t="str">
        <f t="shared" si="3312"/>
        <v>n.a.</v>
      </c>
      <c r="I357" s="37" t="str">
        <f t="shared" si="3312"/>
        <v>n.a.</v>
      </c>
      <c r="J357" s="37" t="str">
        <f t="shared" ref="J357:AI357" si="3313">IF(ISERROR(J312/AVERAGE(I348:J348)),"n.a.",J312*J$5/AVERAGE(I348:J348))</f>
        <v>n.a.</v>
      </c>
      <c r="K357" s="37" t="str">
        <f t="shared" si="3313"/>
        <v>n.a.</v>
      </c>
      <c r="L357" s="37" t="str">
        <f t="shared" si="3313"/>
        <v>n.a.</v>
      </c>
      <c r="M357" s="78" t="str">
        <f t="shared" si="3313"/>
        <v>n.a.</v>
      </c>
      <c r="N357" s="78" t="str">
        <f t="shared" si="3313"/>
        <v>n.a.</v>
      </c>
      <c r="O357" s="78" t="str">
        <f t="shared" si="3313"/>
        <v>n.a.</v>
      </c>
      <c r="P357" s="78" t="str">
        <f t="shared" si="3313"/>
        <v>n.a.</v>
      </c>
      <c r="Q357" s="78" t="str">
        <f t="shared" si="3313"/>
        <v>n.a.</v>
      </c>
      <c r="R357" s="78" t="str">
        <f t="shared" si="3313"/>
        <v>n.a.</v>
      </c>
      <c r="S357" s="78" t="str">
        <f t="shared" si="3313"/>
        <v>n.a.</v>
      </c>
      <c r="T357" s="78" t="str">
        <f t="shared" si="3313"/>
        <v>n.a.</v>
      </c>
      <c r="U357" s="78" t="str">
        <f t="shared" si="3313"/>
        <v>n.a.</v>
      </c>
      <c r="V357" s="78" t="str">
        <f t="shared" si="3313"/>
        <v>n.a.</v>
      </c>
      <c r="W357" s="78" t="str">
        <f t="shared" si="3313"/>
        <v>n.a.</v>
      </c>
      <c r="X357" s="78" t="str">
        <f t="shared" si="3313"/>
        <v>n.a.</v>
      </c>
      <c r="Y357" s="78" t="str">
        <f t="shared" si="3313"/>
        <v>n.a.</v>
      </c>
      <c r="Z357" s="78" t="str">
        <f t="shared" si="3313"/>
        <v>n.a.</v>
      </c>
      <c r="AA357" s="78" t="str">
        <f t="shared" si="3313"/>
        <v>n.a.</v>
      </c>
      <c r="AB357" s="78" t="str">
        <f t="shared" si="3313"/>
        <v>n.a.</v>
      </c>
      <c r="AC357" s="78" t="str">
        <f t="shared" si="3313"/>
        <v>n.a.</v>
      </c>
      <c r="AD357" s="78" t="str">
        <f t="shared" si="3313"/>
        <v>n.a.</v>
      </c>
      <c r="AE357" s="78" t="str">
        <f t="shared" si="3313"/>
        <v>n.a.</v>
      </c>
      <c r="AF357" s="78" t="str">
        <f t="shared" si="3313"/>
        <v>n.a.</v>
      </c>
      <c r="AG357" s="78" t="str">
        <f t="shared" si="3313"/>
        <v>n.a.</v>
      </c>
      <c r="AH357" s="78" t="str">
        <f t="shared" si="3313"/>
        <v>n.a.</v>
      </c>
      <c r="AI357" s="88" t="str">
        <f t="shared" si="3313"/>
        <v>n.a.</v>
      </c>
      <c r="AJ357" s="77" t="str">
        <f t="shared" si="3296"/>
        <v>n.a.</v>
      </c>
      <c r="AK357" s="77" t="str">
        <f t="shared" si="3297"/>
        <v>n.a.</v>
      </c>
      <c r="AL357" s="77" t="str">
        <f t="shared" si="3298"/>
        <v>n.a.</v>
      </c>
      <c r="AM357" s="77" t="str">
        <f t="shared" si="3299"/>
        <v>n.a.</v>
      </c>
      <c r="AN357" s="77" t="str">
        <f t="shared" si="3300"/>
        <v>n.a.</v>
      </c>
      <c r="AO357" s="77" t="str">
        <f t="shared" si="3301"/>
        <v>n.a.</v>
      </c>
      <c r="AP357" s="77" t="str">
        <f t="shared" si="3302"/>
        <v>n.a.</v>
      </c>
      <c r="AQ357" s="77" t="str">
        <f t="shared" si="3303"/>
        <v>n.a.</v>
      </c>
      <c r="AR357" s="77" t="str">
        <f t="shared" si="3304"/>
        <v>n.a.</v>
      </c>
      <c r="AS357" s="8"/>
      <c r="AT357" s="37" t="str">
        <f>IF(ISERROR(AT312/AVERAGE(T348:AT348)),"n.a.",AT312*AT$5/AVERAGE(T348:AT348))</f>
        <v>n.a.</v>
      </c>
      <c r="AU357" s="37" t="str">
        <f>IF(ISERROR(AU312/AVERAGE(AT348:AU348)),"n.a.",AU312*AU$5/AVERAGE(AT348:AU348))</f>
        <v>n.a.</v>
      </c>
      <c r="AV357" s="37" t="str">
        <f>IF(ISERROR(AV312/AVERAGE(AU348:AV348)),"n.a.",AV312*AV$5/AVERAGE(AU348:AV348))</f>
        <v>n.a.</v>
      </c>
      <c r="AW357" s="37" t="str">
        <f>IF(ISERROR(AW312/AVERAGE(AV348:AW348)),"n.a.",AW312*AW$5/AVERAGE(AV348:AW348))</f>
        <v>n.a.</v>
      </c>
      <c r="AX357" s="37" t="str">
        <f t="shared" ref="AX357:BB357" si="3314">IF(ISERROR(AX312/AVERAGE(AW348:AX348)),"n.a.",AX312*AX$5/AVERAGE(AW348:AX348))</f>
        <v>n.a.</v>
      </c>
      <c r="AY357" s="37" t="str">
        <f t="shared" si="3314"/>
        <v>n.a.</v>
      </c>
      <c r="AZ357" s="37" t="str">
        <f t="shared" si="3314"/>
        <v>n.a.</v>
      </c>
      <c r="BA357" s="37" t="str">
        <f t="shared" si="3314"/>
        <v>n.a.</v>
      </c>
      <c r="BB357" s="37" t="str">
        <f t="shared" si="3314"/>
        <v>n.a.</v>
      </c>
      <c r="BC357" s="37" t="str">
        <f t="shared" ref="BC357" si="3315">IF(ISERROR(BC312/AVERAGE(BB348:BC348)),"n.a.",BC312*BC$5/AVERAGE(BB348:BC348))</f>
        <v>n.a.</v>
      </c>
      <c r="BD357" s="37" t="str">
        <f t="shared" ref="BD357" si="3316">IF(ISERROR(BD312/AVERAGE(BC348:BD348)),"n.a.",BD312*BD$5/AVERAGE(BC348:BD348))</f>
        <v>n.a.</v>
      </c>
      <c r="BE357" s="37" t="str">
        <f t="shared" ref="BE357" si="3317">IF(ISERROR(BE312/AVERAGE(BD348:BE348)),"n.a.",BE312*BE$5/AVERAGE(BD348:BE348))</f>
        <v>n.a.</v>
      </c>
      <c r="BF357" s="37" t="str">
        <f t="shared" ref="BF357" si="3318">IF(ISERROR(BF312/AVERAGE(BE348:BF348)),"n.a.",BF312*BF$5/AVERAGE(BE348:BF348))</f>
        <v>n.a.</v>
      </c>
      <c r="BG357" s="37" t="str">
        <f t="shared" ref="BG357" si="3319">IF(ISERROR(BG312/AVERAGE(BF348:BG348)),"n.a.",BG312*BG$5/AVERAGE(BF348:BG348))</f>
        <v>n.a.</v>
      </c>
      <c r="BH357" s="37" t="str">
        <f t="shared" ref="BH357:BJ357" si="3320">IF(ISERROR(BH312/AVERAGE(BG348:BH348)),"n.a.",BH312*BH$5/AVERAGE(BG348:BH348))</f>
        <v>n.a.</v>
      </c>
      <c r="BI357" s="38" t="str">
        <f t="shared" si="3320"/>
        <v>n.a.</v>
      </c>
      <c r="BJ357" s="37" t="str">
        <f t="shared" si="3320"/>
        <v>n.a.</v>
      </c>
      <c r="BK357" s="37" t="str">
        <f>IF(ISERROR(BK312/AVERAGE(BK348:BK348)),"n.a.",BK312*BK$5/AVERAGE(BK348:BK348))</f>
        <v>n.a.</v>
      </c>
      <c r="BL357" s="37" t="str">
        <f>IF(ISERROR(BL312/AVERAGE(BL348:BL348)),"n.a.",BL312*BL$5/AVERAGE(BL348:BL348))</f>
        <v>n.a.</v>
      </c>
      <c r="BM357" s="37" t="str">
        <f>IF(ISERROR(BM312/AVERAGE(BM348:BM348)),"n.a.",BM312*BM$5/AVERAGE(BM348:BM348))</f>
        <v>n.a.</v>
      </c>
      <c r="BN357" s="37" t="str">
        <f>IF(ISERROR(BN312/AVERAGE(BN348:BN348)),"n.a.",BN312*BN$5/AVERAGE(BN348:BN348))</f>
        <v>n.a.</v>
      </c>
    </row>
    <row r="358" spans="2:66" ht="12" customHeight="1" outlineLevel="1">
      <c r="B358" s="1" t="s">
        <v>1488</v>
      </c>
      <c r="C358" s="50" t="str">
        <f t="shared" ref="C358:P358" si="3321">IF(ISERROR(C315/A315),"n.a.",C315/A315-1)</f>
        <v>n.a.</v>
      </c>
      <c r="D358" s="50" t="str">
        <f t="shared" si="3321"/>
        <v>n.a.</v>
      </c>
      <c r="E358" s="50">
        <f t="shared" si="3321"/>
        <v>-0.31135531135531136</v>
      </c>
      <c r="F358" s="50">
        <f t="shared" si="3321"/>
        <v>6.0000000000000053E-2</v>
      </c>
      <c r="G358" s="50">
        <f t="shared" si="3321"/>
        <v>-0.16755319148936165</v>
      </c>
      <c r="H358" s="50">
        <f t="shared" si="3321"/>
        <v>-0.3249475890985325</v>
      </c>
      <c r="I358" s="50">
        <f t="shared" si="3321"/>
        <v>-0.12779552715654952</v>
      </c>
      <c r="J358" s="50">
        <f t="shared" si="3321"/>
        <v>-0.17080745341614911</v>
      </c>
      <c r="K358" s="50">
        <f t="shared" si="3321"/>
        <v>5.4945054945054972E-2</v>
      </c>
      <c r="L358" s="50">
        <f t="shared" si="3321"/>
        <v>0.41947565543071152</v>
      </c>
      <c r="M358" s="69">
        <f t="shared" si="3321"/>
        <v>0.15277777777777768</v>
      </c>
      <c r="N358" s="69">
        <f t="shared" si="3321"/>
        <v>0.22691292875989455</v>
      </c>
      <c r="O358" s="69">
        <f t="shared" si="3321"/>
        <v>0.50903614457831314</v>
      </c>
      <c r="P358" s="69">
        <f t="shared" si="3321"/>
        <v>-0.20645161290322578</v>
      </c>
      <c r="Q358" s="69">
        <f t="shared" ref="Q358:AI358" si="3322">IF(ISERROR(Q315/O315),"n.a.",Q315/O315-1)</f>
        <v>-0.16966067864271461</v>
      </c>
      <c r="R358" s="69">
        <f t="shared" si="3322"/>
        <v>0.27642276422764223</v>
      </c>
      <c r="S358" s="69">
        <f t="shared" si="3322"/>
        <v>1.4423076923076872E-2</v>
      </c>
      <c r="T358" s="69">
        <f t="shared" si="3322"/>
        <v>-0.10191082802547768</v>
      </c>
      <c r="U358" s="69">
        <f t="shared" si="3322"/>
        <v>0.24644549763033186</v>
      </c>
      <c r="V358" s="69">
        <f t="shared" si="3322"/>
        <v>0.17494089834515369</v>
      </c>
      <c r="W358" s="69">
        <f t="shared" si="3322"/>
        <v>-0.21102661596958172</v>
      </c>
      <c r="X358" s="69">
        <f t="shared" si="3322"/>
        <v>7.8470824949698148E-2</v>
      </c>
      <c r="Y358" s="69">
        <f t="shared" si="3322"/>
        <v>-4.2781679481746049E-2</v>
      </c>
      <c r="Z358" s="69">
        <f t="shared" si="3322"/>
        <v>-0.19534472736818409</v>
      </c>
      <c r="AA358" s="69">
        <f t="shared" si="3322"/>
        <v>0.55571262541211053</v>
      </c>
      <c r="AB358" s="69">
        <f t="shared" si="3322"/>
        <v>0.75054105461229015</v>
      </c>
      <c r="AC358" s="69">
        <f t="shared" si="3322"/>
        <v>-0.29126213592233008</v>
      </c>
      <c r="AD358" s="69">
        <f t="shared" si="3322"/>
        <v>-0.45248427568305094</v>
      </c>
      <c r="AE358" s="69">
        <f t="shared" si="3322"/>
        <v>-6.8493150684931559E-2</v>
      </c>
      <c r="AF358" s="69">
        <f t="shared" si="3322"/>
        <v>-0.1895965913580473</v>
      </c>
      <c r="AG358" s="69">
        <f t="shared" si="3322"/>
        <v>1.225490196078427E-2</v>
      </c>
      <c r="AH358" s="69">
        <f t="shared" si="3322"/>
        <v>0.50149253731343291</v>
      </c>
      <c r="AI358" s="89">
        <f t="shared" si="3322"/>
        <v>0.35108958837772386</v>
      </c>
      <c r="AJ358" s="56">
        <v>-0.125</v>
      </c>
      <c r="AK358" s="56">
        <v>-0.08</v>
      </c>
      <c r="AL358" s="56">
        <v>0.16</v>
      </c>
      <c r="AM358" s="56">
        <v>0.03</v>
      </c>
      <c r="AN358" s="56">
        <v>0.04</v>
      </c>
      <c r="AO358" s="56">
        <f t="shared" si="3301"/>
        <v>0.04</v>
      </c>
      <c r="AP358" s="56">
        <f t="shared" si="3302"/>
        <v>0.04</v>
      </c>
      <c r="AQ358" s="56">
        <f t="shared" si="3303"/>
        <v>0.04</v>
      </c>
      <c r="AR358" s="56">
        <f t="shared" si="3304"/>
        <v>0.04</v>
      </c>
      <c r="AS358" s="8"/>
      <c r="AT358" s="50">
        <f>IF(ISERROR(AT315/T315),"n.a.",AT315/T315-1)</f>
        <v>1.354609929078014</v>
      </c>
      <c r="AU358" s="50">
        <f t="shared" ref="AU358:BN358" si="3323">IF(ISERROR(AU315/AT315),"n.a.",AU315/AT315-1)</f>
        <v>-0.14357429718875503</v>
      </c>
      <c r="AV358" s="50">
        <f t="shared" si="3323"/>
        <v>-0.25556858147713946</v>
      </c>
      <c r="AW358" s="50">
        <f t="shared" si="3323"/>
        <v>-0.14960629921259838</v>
      </c>
      <c r="AX358" s="50">
        <f t="shared" si="3323"/>
        <v>0.23518518518518516</v>
      </c>
      <c r="AY358" s="50">
        <f t="shared" si="3323"/>
        <v>0.19490254872563728</v>
      </c>
      <c r="AZ358" s="50">
        <f t="shared" si="3323"/>
        <v>9.1593475533249702E-2</v>
      </c>
      <c r="BA358" s="50">
        <f t="shared" si="3323"/>
        <v>1.9540229885057547E-2</v>
      </c>
      <c r="BB358" s="50">
        <f t="shared" si="3323"/>
        <v>-4.7350620067643789E-2</v>
      </c>
      <c r="BC358" s="50">
        <f t="shared" si="3323"/>
        <v>0.21065088757396455</v>
      </c>
      <c r="BD358" s="50">
        <f t="shared" si="3323"/>
        <v>-7.0381231671554301E-2</v>
      </c>
      <c r="BE358" s="50">
        <f t="shared" si="3323"/>
        <v>-0.12876884422110546</v>
      </c>
      <c r="BF358" s="50">
        <f t="shared" si="3323"/>
        <v>0.65713016389987522</v>
      </c>
      <c r="BG358" s="50">
        <f t="shared" si="3323"/>
        <v>-0.37991669930131355</v>
      </c>
      <c r="BH358" s="50">
        <f t="shared" si="3323"/>
        <v>-0.12729343922183167</v>
      </c>
      <c r="BI358" s="51">
        <f t="shared" si="3323"/>
        <v>0.2328398384925976</v>
      </c>
      <c r="BJ358" s="50">
        <f t="shared" si="3323"/>
        <v>8.9656113537117887E-2</v>
      </c>
      <c r="BK358" s="50">
        <f t="shared" si="3323"/>
        <v>2.5828428303068307E-2</v>
      </c>
      <c r="BL358" s="50">
        <f t="shared" si="3323"/>
        <v>3.4986253607512285E-2</v>
      </c>
      <c r="BM358" s="50">
        <f t="shared" si="3323"/>
        <v>4.0000000000000036E-2</v>
      </c>
      <c r="BN358" s="50">
        <f t="shared" si="3323"/>
        <v>4.0000000000000036E-2</v>
      </c>
    </row>
    <row r="359" spans="2:66" ht="12" customHeight="1" outlineLevel="1">
      <c r="B359" s="1" t="s">
        <v>63</v>
      </c>
      <c r="C359" s="50" t="str">
        <f t="shared" ref="C359:AI359" si="3324">IF(ISERROR(C316/B316),"n.a.",C316/B316-1)</f>
        <v>n.a.</v>
      </c>
      <c r="D359" s="50">
        <f t="shared" si="3324"/>
        <v>0.35714285714285721</v>
      </c>
      <c r="E359" s="50">
        <f t="shared" si="3324"/>
        <v>0.10526315789473695</v>
      </c>
      <c r="F359" s="50">
        <f t="shared" si="3324"/>
        <v>4.7619047619047672E-2</v>
      </c>
      <c r="G359" s="50">
        <f t="shared" si="3324"/>
        <v>-4.5454545454545414E-2</v>
      </c>
      <c r="H359" s="50">
        <f t="shared" si="3324"/>
        <v>-0.1428571428571429</v>
      </c>
      <c r="I359" s="50">
        <f t="shared" si="3324"/>
        <v>-0.11111111111111116</v>
      </c>
      <c r="J359" s="50">
        <f t="shared" si="3324"/>
        <v>0.125</v>
      </c>
      <c r="K359" s="50">
        <f t="shared" si="3324"/>
        <v>0.33333333333333326</v>
      </c>
      <c r="L359" s="50">
        <f t="shared" si="3324"/>
        <v>-8.333333333333337E-2</v>
      </c>
      <c r="M359" s="69">
        <f t="shared" si="3324"/>
        <v>-0.18181818181818177</v>
      </c>
      <c r="N359" s="69">
        <f t="shared" si="3324"/>
        <v>0.38888888888888884</v>
      </c>
      <c r="O359" s="69">
        <f t="shared" si="3324"/>
        <v>-1</v>
      </c>
      <c r="P359" s="69" t="str">
        <f t="shared" si="3324"/>
        <v>n.a.</v>
      </c>
      <c r="Q359" s="69" t="str">
        <f t="shared" si="3324"/>
        <v>n.a.</v>
      </c>
      <c r="R359" s="69" t="str">
        <f t="shared" si="3324"/>
        <v>n.a.</v>
      </c>
      <c r="S359" s="69" t="str">
        <f t="shared" si="3324"/>
        <v>n.a.</v>
      </c>
      <c r="T359" s="69" t="str">
        <f t="shared" si="3324"/>
        <v>n.a.</v>
      </c>
      <c r="U359" s="69" t="str">
        <f t="shared" si="3324"/>
        <v>n.a.</v>
      </c>
      <c r="V359" s="69" t="str">
        <f t="shared" si="3324"/>
        <v>n.a.</v>
      </c>
      <c r="W359" s="69" t="str">
        <f t="shared" si="3324"/>
        <v>n.a.</v>
      </c>
      <c r="X359" s="69">
        <f t="shared" si="3324"/>
        <v>-1.5479876160990669E-2</v>
      </c>
      <c r="Y359" s="69">
        <f t="shared" si="3324"/>
        <v>-0.15800504092791012</v>
      </c>
      <c r="Z359" s="69">
        <f t="shared" si="3324"/>
        <v>8.5714285714285632E-2</v>
      </c>
      <c r="AA359" s="69">
        <f t="shared" si="3324"/>
        <v>-0.15034075047212403</v>
      </c>
      <c r="AB359" s="69">
        <f t="shared" si="3324"/>
        <v>4.0485829959513442E-3</v>
      </c>
      <c r="AC359" s="69">
        <f t="shared" si="3324"/>
        <v>-8.8709677419354871E-2</v>
      </c>
      <c r="AD359" s="69">
        <f t="shared" si="3324"/>
        <v>0.23285676168452873</v>
      </c>
      <c r="AE359" s="69">
        <f t="shared" si="3324"/>
        <v>-0.21041003489850574</v>
      </c>
      <c r="AF359" s="69">
        <f t="shared" si="3324"/>
        <v>8.181818181818179E-2</v>
      </c>
      <c r="AG359" s="69">
        <f t="shared" si="3324"/>
        <v>8.4033613445378075E-2</v>
      </c>
      <c r="AH359" s="69">
        <f t="shared" si="3324"/>
        <v>8.1395348837209225E-2</v>
      </c>
      <c r="AI359" s="89">
        <f t="shared" si="3324"/>
        <v>4.6594982078853153E-2</v>
      </c>
      <c r="AJ359" s="56">
        <v>0.02</v>
      </c>
      <c r="AK359" s="56">
        <v>0.02</v>
      </c>
      <c r="AL359" s="56">
        <v>0.02</v>
      </c>
      <c r="AM359" s="56">
        <f t="shared" ref="AM359:AR359" si="3325">AM283</f>
        <v>0.05</v>
      </c>
      <c r="AN359" s="56">
        <f t="shared" si="3325"/>
        <v>0.05</v>
      </c>
      <c r="AO359" s="56">
        <f t="shared" si="3325"/>
        <v>0.05</v>
      </c>
      <c r="AP359" s="56">
        <f t="shared" si="3325"/>
        <v>0.05</v>
      </c>
      <c r="AQ359" s="56">
        <f t="shared" si="3325"/>
        <v>0.05</v>
      </c>
      <c r="AR359" s="56">
        <f t="shared" si="3325"/>
        <v>0.05</v>
      </c>
      <c r="AS359" s="8"/>
      <c r="AT359" s="50" t="str">
        <f>IF(ISERROR(AT316/T316),"n.a.",AT316/T316-1)</f>
        <v>n.a.</v>
      </c>
      <c r="AU359" s="50">
        <f t="shared" ref="AU359:BN359" si="3326">IF(ISERROR(AU316/AT316),"n.a.",AU316/AT316-1)</f>
        <v>0.30303030303030298</v>
      </c>
      <c r="AV359" s="50">
        <f t="shared" si="3326"/>
        <v>-9.3023255813953543E-2</v>
      </c>
      <c r="AW359" s="50">
        <f t="shared" si="3326"/>
        <v>-0.12820512820512819</v>
      </c>
      <c r="AX359" s="50">
        <f t="shared" si="3326"/>
        <v>0.35294117647058831</v>
      </c>
      <c r="AY359" s="50">
        <f t="shared" si="3326"/>
        <v>-6.5217391304347783E-2</v>
      </c>
      <c r="AZ359" s="50">
        <f t="shared" si="3326"/>
        <v>-1</v>
      </c>
      <c r="BA359" s="50" t="str">
        <f t="shared" si="3326"/>
        <v>n.a.</v>
      </c>
      <c r="BB359" s="50" t="str">
        <f t="shared" si="3326"/>
        <v>n.a.</v>
      </c>
      <c r="BC359" s="50" t="str">
        <f t="shared" si="3326"/>
        <v>n.a.</v>
      </c>
      <c r="BD359" s="50" t="str">
        <f t="shared" si="3326"/>
        <v>n.a.</v>
      </c>
      <c r="BE359" s="50">
        <f t="shared" si="3326"/>
        <v>-0.12876884422110568</v>
      </c>
      <c r="BF359" s="50">
        <f t="shared" si="3326"/>
        <v>-0.1136326058665994</v>
      </c>
      <c r="BG359" s="50">
        <f t="shared" si="3326"/>
        <v>1.944571341556256E-2</v>
      </c>
      <c r="BH359" s="50">
        <f t="shared" si="3326"/>
        <v>-9.239647283174246E-2</v>
      </c>
      <c r="BI359" s="51">
        <f t="shared" si="3326"/>
        <v>0.17248908296943233</v>
      </c>
      <c r="BJ359" s="50">
        <f t="shared" si="3326"/>
        <v>9.8398510242085679E-2</v>
      </c>
      <c r="BK359" s="50">
        <f t="shared" si="3326"/>
        <v>2.0000000000000018E-2</v>
      </c>
      <c r="BL359" s="50">
        <f t="shared" si="3326"/>
        <v>5.0000000000000044E-2</v>
      </c>
      <c r="BM359" s="50">
        <f t="shared" si="3326"/>
        <v>4.9999999999999822E-2</v>
      </c>
      <c r="BN359" s="50">
        <f t="shared" si="3326"/>
        <v>5.0000000000000044E-2</v>
      </c>
    </row>
    <row r="360" spans="2:66" ht="12" customHeight="1" outlineLevel="1">
      <c r="B360" s="1" t="s">
        <v>64</v>
      </c>
      <c r="C360" s="50" t="str">
        <f t="shared" ref="C360:AI360" si="3327">IF(ISERROR(C317/B317),"n.a.",C317/B317-1)</f>
        <v>n.a.</v>
      </c>
      <c r="D360" s="50">
        <f t="shared" si="3327"/>
        <v>0.2068965517241379</v>
      </c>
      <c r="E360" s="50">
        <f t="shared" si="3327"/>
        <v>-0.10476190476190472</v>
      </c>
      <c r="F360" s="50">
        <f t="shared" si="3327"/>
        <v>-8.5106382978723416E-2</v>
      </c>
      <c r="G360" s="50">
        <f t="shared" si="3327"/>
        <v>-0.51162790697674421</v>
      </c>
      <c r="H360" s="50">
        <f t="shared" si="3327"/>
        <v>0.40476190476190466</v>
      </c>
      <c r="I360" s="50">
        <f t="shared" si="3327"/>
        <v>-1.1864406779661016</v>
      </c>
      <c r="J360" s="50">
        <f t="shared" si="3327"/>
        <v>-0.90909090909090906</v>
      </c>
      <c r="K360" s="50">
        <f t="shared" si="3327"/>
        <v>8</v>
      </c>
      <c r="L360" s="50">
        <f t="shared" si="3327"/>
        <v>-0.44444444444444442</v>
      </c>
      <c r="M360" s="69">
        <f t="shared" si="3327"/>
        <v>1.2000000000000002</v>
      </c>
      <c r="N360" s="69">
        <f t="shared" si="3327"/>
        <v>-0.18181818181818177</v>
      </c>
      <c r="O360" s="69">
        <f t="shared" si="3327"/>
        <v>-1</v>
      </c>
      <c r="P360" s="69" t="str">
        <f t="shared" si="3327"/>
        <v>n.a.</v>
      </c>
      <c r="Q360" s="69" t="str">
        <f t="shared" si="3327"/>
        <v>n.a.</v>
      </c>
      <c r="R360" s="69" t="str">
        <f t="shared" si="3327"/>
        <v>n.a.</v>
      </c>
      <c r="S360" s="69" t="str">
        <f t="shared" si="3327"/>
        <v>n.a.</v>
      </c>
      <c r="T360" s="69" t="str">
        <f t="shared" si="3327"/>
        <v>n.a.</v>
      </c>
      <c r="U360" s="69" t="str">
        <f t="shared" si="3327"/>
        <v>n.a.</v>
      </c>
      <c r="V360" s="69" t="str">
        <f t="shared" si="3327"/>
        <v>n.a.</v>
      </c>
      <c r="W360" s="69" t="str">
        <f t="shared" si="3327"/>
        <v>n.a.</v>
      </c>
      <c r="X360" s="69" t="str">
        <f t="shared" si="3327"/>
        <v>n.a.</v>
      </c>
      <c r="Y360" s="69" t="str">
        <f t="shared" si="3327"/>
        <v>n.a.</v>
      </c>
      <c r="Z360" s="69" t="str">
        <f t="shared" si="3327"/>
        <v>n.a.</v>
      </c>
      <c r="AA360" s="69" t="str">
        <f t="shared" si="3327"/>
        <v>n.a.</v>
      </c>
      <c r="AB360" s="69" t="str">
        <f t="shared" si="3327"/>
        <v>n.a.</v>
      </c>
      <c r="AC360" s="69" t="str">
        <f t="shared" si="3327"/>
        <v>n.a.</v>
      </c>
      <c r="AD360" s="69" t="str">
        <f t="shared" si="3327"/>
        <v>n.a.</v>
      </c>
      <c r="AE360" s="69" t="str">
        <f t="shared" si="3327"/>
        <v>n.a.</v>
      </c>
      <c r="AF360" s="69" t="str">
        <f t="shared" si="3327"/>
        <v>n.a.</v>
      </c>
      <c r="AG360" s="69" t="str">
        <f t="shared" si="3327"/>
        <v>n.a.</v>
      </c>
      <c r="AH360" s="69" t="str">
        <f t="shared" si="3327"/>
        <v>n.a.</v>
      </c>
      <c r="AI360" s="89" t="str">
        <f t="shared" si="3327"/>
        <v>n.a.</v>
      </c>
      <c r="AJ360" s="56">
        <v>0.12</v>
      </c>
      <c r="AK360" s="56">
        <v>-0.09</v>
      </c>
      <c r="AL360" s="56">
        <v>0.15</v>
      </c>
      <c r="AM360" s="56">
        <v>-0.09</v>
      </c>
      <c r="AN360" s="56">
        <v>0.15</v>
      </c>
      <c r="AO360" s="56">
        <v>-0.09</v>
      </c>
      <c r="AP360" s="56">
        <v>0.15</v>
      </c>
      <c r="AQ360" s="56">
        <v>-0.09</v>
      </c>
      <c r="AR360" s="56">
        <v>0.15</v>
      </c>
      <c r="AS360" s="8"/>
      <c r="AT360" s="50" t="str">
        <f>IF(ISERROR(AT317/T317),"n.a.",AT317/T317-1)</f>
        <v>n.a.</v>
      </c>
      <c r="AU360" s="50">
        <f t="shared" ref="AU360:BN360" si="3328">IF(ISERROR(AU317/AT317),"n.a.",AU317/AT317-1)</f>
        <v>-6.25E-2</v>
      </c>
      <c r="AV360" s="50">
        <f t="shared" si="3328"/>
        <v>-0.43888888888888888</v>
      </c>
      <c r="AW360" s="50">
        <f t="shared" si="3328"/>
        <v>-1.1188118811881189</v>
      </c>
      <c r="AX360" s="50">
        <f t="shared" si="3328"/>
        <v>0.16666666666666674</v>
      </c>
      <c r="AY360" s="50">
        <f t="shared" si="3328"/>
        <v>0.4285714285714286</v>
      </c>
      <c r="AZ360" s="50">
        <f t="shared" si="3328"/>
        <v>-1</v>
      </c>
      <c r="BA360" s="50" t="str">
        <f t="shared" si="3328"/>
        <v>n.a.</v>
      </c>
      <c r="BB360" s="50" t="str">
        <f t="shared" si="3328"/>
        <v>n.a.</v>
      </c>
      <c r="BC360" s="50" t="str">
        <f t="shared" si="3328"/>
        <v>n.a.</v>
      </c>
      <c r="BD360" s="50" t="str">
        <f t="shared" si="3328"/>
        <v>n.a.</v>
      </c>
      <c r="BE360" s="50" t="str">
        <f t="shared" si="3328"/>
        <v>n.a.</v>
      </c>
      <c r="BF360" s="50" t="str">
        <f t="shared" si="3328"/>
        <v>n.a.</v>
      </c>
      <c r="BG360" s="50" t="str">
        <f t="shared" si="3328"/>
        <v>n.a.</v>
      </c>
      <c r="BH360" s="50" t="str">
        <f t="shared" si="3328"/>
        <v>n.a.</v>
      </c>
      <c r="BI360" s="51" t="str">
        <f t="shared" si="3328"/>
        <v>n.a.</v>
      </c>
      <c r="BJ360" s="50" t="str">
        <f t="shared" si="3328"/>
        <v>n.a.</v>
      </c>
      <c r="BK360" s="50" t="str">
        <f t="shared" si="3328"/>
        <v>n.a.</v>
      </c>
      <c r="BL360" s="50" t="str">
        <f t="shared" si="3328"/>
        <v>n.a.</v>
      </c>
      <c r="BM360" s="50" t="str">
        <f t="shared" si="3328"/>
        <v>n.a.</v>
      </c>
      <c r="BN360" s="50" t="str">
        <f t="shared" si="3328"/>
        <v>n.a.</v>
      </c>
    </row>
    <row r="361" spans="2:66" ht="12" customHeight="1" outlineLevel="1">
      <c r="B361" s="1" t="s">
        <v>1918</v>
      </c>
      <c r="C361" s="50" t="str">
        <f t="shared" ref="C361:AB361" si="3329">IF(ISERROR(C319/B319),"n.a.",C319/B319-1)</f>
        <v>n.a.</v>
      </c>
      <c r="D361" s="50">
        <f t="shared" si="3329"/>
        <v>-0.9</v>
      </c>
      <c r="E361" s="50">
        <f t="shared" si="3329"/>
        <v>3</v>
      </c>
      <c r="F361" s="50">
        <f t="shared" si="3329"/>
        <v>-1.0357142857142858</v>
      </c>
      <c r="G361" s="50">
        <f t="shared" si="3329"/>
        <v>26</v>
      </c>
      <c r="H361" s="50">
        <f t="shared" si="3329"/>
        <v>-0.37037037037037035</v>
      </c>
      <c r="I361" s="50">
        <f t="shared" si="3329"/>
        <v>-0.58823529411764708</v>
      </c>
      <c r="J361" s="50">
        <f t="shared" si="3329"/>
        <v>0</v>
      </c>
      <c r="K361" s="50">
        <f t="shared" si="3329"/>
        <v>-0.5714285714285714</v>
      </c>
      <c r="L361" s="50">
        <f t="shared" si="3329"/>
        <v>10.666666666666666</v>
      </c>
      <c r="M361" s="69">
        <f t="shared" si="3329"/>
        <v>-0.62857142857142856</v>
      </c>
      <c r="N361" s="69">
        <f t="shared" si="3329"/>
        <v>-0.15384615384615385</v>
      </c>
      <c r="O361" s="69">
        <f t="shared" si="3329"/>
        <v>-3.8181818181818183</v>
      </c>
      <c r="P361" s="69">
        <f t="shared" si="3329"/>
        <v>-1.4838709677419355</v>
      </c>
      <c r="Q361" s="69">
        <f t="shared" si="3329"/>
        <v>-1.7333333333333334</v>
      </c>
      <c r="R361" s="69">
        <f t="shared" si="3329"/>
        <v>-1.7272727272727273</v>
      </c>
      <c r="S361" s="69">
        <f t="shared" si="3329"/>
        <v>5.75</v>
      </c>
      <c r="T361" s="69">
        <f t="shared" si="3329"/>
        <v>-0.79629629629629628</v>
      </c>
      <c r="U361" s="69">
        <f t="shared" si="3329"/>
        <v>-6.5454545454545459</v>
      </c>
      <c r="V361" s="69">
        <f t="shared" si="3329"/>
        <v>-0.57377049180327866</v>
      </c>
      <c r="W361" s="69">
        <f t="shared" si="3329"/>
        <v>-1.7692307692307692</v>
      </c>
      <c r="X361" s="69">
        <f t="shared" si="3329"/>
        <v>0.95</v>
      </c>
      <c r="Y361" s="69">
        <f t="shared" si="3329"/>
        <v>-1.1538461538461537</v>
      </c>
      <c r="Z361" s="69">
        <f t="shared" si="3329"/>
        <v>9.5</v>
      </c>
      <c r="AA361" s="69">
        <f t="shared" si="3329"/>
        <v>1.5079365079365079</v>
      </c>
      <c r="AB361" s="69">
        <f t="shared" si="3329"/>
        <v>0.620253164556962</v>
      </c>
      <c r="AC361" s="69">
        <f t="shared" ref="AC361:AG361" si="3330">AC319/AC308*AC5</f>
        <v>2.2837060962479939E-2</v>
      </c>
      <c r="AD361" s="69">
        <f t="shared" si="3330"/>
        <v>3.1987949744959089E-2</v>
      </c>
      <c r="AE361" s="69">
        <f t="shared" si="3330"/>
        <v>3.7847025495750711E-2</v>
      </c>
      <c r="AF361" s="69">
        <f t="shared" si="3330"/>
        <v>3.7473684210526319E-2</v>
      </c>
      <c r="AG361" s="69">
        <f t="shared" si="3330"/>
        <v>3.1482374370513232E-2</v>
      </c>
      <c r="AH361" s="69">
        <f>AH319/AH308*AH5</f>
        <v>4.3578372846665527E-2</v>
      </c>
      <c r="AI361" s="89">
        <f>AI319/AI308*AI5</f>
        <v>4.1738280126545874E-2</v>
      </c>
      <c r="AJ361" s="56">
        <f>AI361</f>
        <v>4.1738280126545874E-2</v>
      </c>
      <c r="AK361" s="56">
        <f t="shared" ref="AK361:AR361" si="3331">AJ361</f>
        <v>4.1738280126545874E-2</v>
      </c>
      <c r="AL361" s="56">
        <f t="shared" si="3331"/>
        <v>4.1738280126545874E-2</v>
      </c>
      <c r="AM361" s="56">
        <f t="shared" si="3331"/>
        <v>4.1738280126545874E-2</v>
      </c>
      <c r="AN361" s="56">
        <f t="shared" si="3331"/>
        <v>4.1738280126545874E-2</v>
      </c>
      <c r="AO361" s="56">
        <f t="shared" si="3331"/>
        <v>4.1738280126545874E-2</v>
      </c>
      <c r="AP361" s="56">
        <f t="shared" si="3331"/>
        <v>4.1738280126545874E-2</v>
      </c>
      <c r="AQ361" s="56">
        <f t="shared" si="3331"/>
        <v>4.1738280126545874E-2</v>
      </c>
      <c r="AR361" s="56">
        <f t="shared" si="3331"/>
        <v>4.1738280126545874E-2</v>
      </c>
      <c r="AS361" s="8"/>
      <c r="AT361" s="50">
        <f>IF(ISERROR(AT319/T319),"n.a.",AT319/T319-1)</f>
        <v>-8</v>
      </c>
      <c r="AU361" s="50">
        <f>IF(ISERROR(AU319/AT319),"n.a.",AU319/AT319-1)</f>
        <v>-0.64935064935064934</v>
      </c>
      <c r="AV361" s="50">
        <f>IF(ISERROR(AV319/AU319),"n.a.",AV319/AU319-1)</f>
        <v>-2.6296296296296298</v>
      </c>
      <c r="AW361" s="50">
        <f>IF(ISERROR(AW319/AV319),"n.a.",AW319/AV319-1)</f>
        <v>-0.68181818181818188</v>
      </c>
      <c r="AX361" s="50">
        <f t="shared" ref="AX361:BB361" si="3332">IF(ISERROR(AX319/AW319),"n.a.",AX319/AW319-1)</f>
        <v>1.7142857142857144</v>
      </c>
      <c r="AY361" s="50">
        <f t="shared" si="3332"/>
        <v>-0.36842105263157898</v>
      </c>
      <c r="AZ361" s="50">
        <f t="shared" si="3332"/>
        <v>-1.6666666666666665</v>
      </c>
      <c r="BA361" s="50">
        <f t="shared" si="3332"/>
        <v>-0.8125</v>
      </c>
      <c r="BB361" s="50">
        <f t="shared" si="3332"/>
        <v>-22.666666666666668</v>
      </c>
      <c r="BC361" s="50">
        <f t="shared" ref="BC361" si="3333">IF(ISERROR(BC319/BB319),"n.a.",BC319/BB319-1)</f>
        <v>-2.3384615384615381</v>
      </c>
      <c r="BD361" s="50">
        <f t="shared" ref="BD361" si="3334">IF(ISERROR(BD319/BC319),"n.a.",BD319/BC319-1)</f>
        <v>-1.6781609195402298</v>
      </c>
      <c r="BE361" s="50">
        <f t="shared" ref="BE361" si="3335">IF(ISERROR(BE319/BD319),"n.a.",BE319/BD319-1)</f>
        <v>-2.1694915254237288</v>
      </c>
      <c r="BF361" s="50">
        <f t="shared" ref="BF361" si="3336">IF(ISERROR(BF319/BE319),"n.a.",BF319/BE319-1)</f>
        <v>5</v>
      </c>
      <c r="BG361" s="50">
        <f t="shared" ref="BG361" si="3337">IF(ISERROR(BG319/BF319),"n.a.",BG319/BF319-1)</f>
        <v>-9.6618357487923134E-3</v>
      </c>
      <c r="BH361" s="50">
        <f t="shared" ref="BH361:BN361" si="3338">IF(ISERROR(BH319/BG319),"n.a.",BH319/BG319-1)</f>
        <v>0.68292682926829262</v>
      </c>
      <c r="BI361" s="51">
        <f t="shared" si="3338"/>
        <v>0.17681159420289849</v>
      </c>
      <c r="BJ361" s="50">
        <f t="shared" si="3338"/>
        <v>0.22081892237660306</v>
      </c>
      <c r="BK361" s="50">
        <f t="shared" si="3338"/>
        <v>6.058721096346309E-2</v>
      </c>
      <c r="BL361" s="50">
        <f t="shared" si="3338"/>
        <v>8.5218644281013667E-2</v>
      </c>
      <c r="BM361" s="50">
        <f t="shared" si="3338"/>
        <v>8.5218644281013445E-2</v>
      </c>
      <c r="BN361" s="50">
        <f t="shared" si="3338"/>
        <v>8.5218644281013445E-2</v>
      </c>
    </row>
    <row r="362" spans="2:66" ht="12" customHeight="1" outlineLevel="1">
      <c r="B362" s="1" t="s">
        <v>77</v>
      </c>
      <c r="C362" s="37" t="str">
        <f t="shared" ref="C362:I362" si="3339">IF(ISERROR(-C321/AVERAGE(B342:C342)),"n.a.",-C321/AVERAGE(B342:C342))</f>
        <v>n.a.</v>
      </c>
      <c r="D362" s="37" t="str">
        <f t="shared" si="3339"/>
        <v>n.a.</v>
      </c>
      <c r="E362" s="37" t="str">
        <f t="shared" si="3339"/>
        <v>n.a.</v>
      </c>
      <c r="F362" s="37" t="str">
        <f t="shared" si="3339"/>
        <v>n.a.</v>
      </c>
      <c r="G362" s="37" t="str">
        <f t="shared" si="3339"/>
        <v>n.a.</v>
      </c>
      <c r="H362" s="37" t="str">
        <f t="shared" si="3339"/>
        <v>n.a.</v>
      </c>
      <c r="I362" s="37" t="str">
        <f t="shared" si="3339"/>
        <v>n.a.</v>
      </c>
      <c r="J362" s="37" t="str">
        <f t="shared" ref="J362:AH362" si="3340">IF(ISERROR(-J321/AVERAGE(I342:J342)),"n.a.",-J321/AVERAGE(I342:J342))</f>
        <v>n.a.</v>
      </c>
      <c r="K362" s="37" t="str">
        <f t="shared" si="3340"/>
        <v>n.a.</v>
      </c>
      <c r="L362" s="37" t="str">
        <f t="shared" si="3340"/>
        <v>n.a.</v>
      </c>
      <c r="M362" s="78" t="str">
        <f t="shared" si="3340"/>
        <v>n.a.</v>
      </c>
      <c r="N362" s="78" t="str">
        <f t="shared" si="3340"/>
        <v>n.a.</v>
      </c>
      <c r="O362" s="78" t="str">
        <f t="shared" si="3340"/>
        <v>n.a.</v>
      </c>
      <c r="P362" s="78" t="str">
        <f t="shared" si="3340"/>
        <v>n.a.</v>
      </c>
      <c r="Q362" s="78" t="str">
        <f t="shared" si="3340"/>
        <v>n.a.</v>
      </c>
      <c r="R362" s="78" t="str">
        <f t="shared" si="3340"/>
        <v>n.a.</v>
      </c>
      <c r="S362" s="78" t="str">
        <f t="shared" si="3340"/>
        <v>n.a.</v>
      </c>
      <c r="T362" s="78" t="str">
        <f t="shared" si="3340"/>
        <v>n.a.</v>
      </c>
      <c r="U362" s="78">
        <f t="shared" si="3340"/>
        <v>-1.5384615384615385E-3</v>
      </c>
      <c r="V362" s="78">
        <f t="shared" si="3340"/>
        <v>3.8494623655913981E-2</v>
      </c>
      <c r="W362" s="78">
        <f t="shared" si="3340"/>
        <v>1.4939759036144579E-2</v>
      </c>
      <c r="X362" s="78">
        <f t="shared" si="3340"/>
        <v>4.0366972477064222E-2</v>
      </c>
      <c r="Y362" s="78">
        <f t="shared" si="3340"/>
        <v>1.9669421487603304E-2</v>
      </c>
      <c r="Z362" s="78">
        <f t="shared" si="3340"/>
        <v>1.9298245614035089E-2</v>
      </c>
      <c r="AA362" s="78">
        <f t="shared" si="3340"/>
        <v>1.8389261744966443E-2</v>
      </c>
      <c r="AB362" s="78">
        <f t="shared" si="3340"/>
        <v>2.1634615384615384E-2</v>
      </c>
      <c r="AC362" s="78">
        <f t="shared" si="3340"/>
        <v>1.449814126394052E-2</v>
      </c>
      <c r="AD362" s="78">
        <f t="shared" si="3340"/>
        <v>6.1682242990654208E-3</v>
      </c>
      <c r="AE362" s="78">
        <f t="shared" si="3340"/>
        <v>-1.8696883852691217E-3</v>
      </c>
      <c r="AF362" s="78">
        <f t="shared" si="3340"/>
        <v>-6.8947368421052634E-3</v>
      </c>
      <c r="AG362" s="78">
        <f t="shared" si="3340"/>
        <v>2.0588235294117649E-3</v>
      </c>
      <c r="AH362" s="78">
        <f t="shared" si="3340"/>
        <v>3.2372505543237251E-3</v>
      </c>
      <c r="AI362" s="88">
        <f t="shared" ref="AI362" si="3341">IF(ISERROR(-AI321/AVERAGE(AH342:AI342)),"n.a.",-AI321/AVERAGE(AH342:AI342))</f>
        <v>5.4736842105263157E-4</v>
      </c>
      <c r="AJ362" s="37">
        <f t="shared" ref="AJ362" si="3342">IF(ISERROR(-AJ321/AVERAGE(AI342:AJ342)),"n.a.",-AJ321/AVERAGE(AI342:AJ342))</f>
        <v>7.4523177971453833E-4</v>
      </c>
      <c r="AK362" s="37">
        <f t="shared" ref="AK362" si="3343">IF(ISERROR(-AK321/AVERAGE(AJ342:AK342)),"n.a.",-AK321/AVERAGE(AJ342:AK342))</f>
        <v>8.9558401185206766E-4</v>
      </c>
      <c r="AL362" s="37">
        <f t="shared" ref="AL362" si="3344">IF(ISERROR(-AL321/AVERAGE(AK342:AL342)),"n.a.",-AL321/AVERAGE(AK342:AL342))</f>
        <v>1.0921521306942509E-3</v>
      </c>
      <c r="AM362" s="37">
        <f t="shared" ref="AM362" si="3345">IF(ISERROR(-AM321/AVERAGE(AL342:AM342)),"n.a.",-AM321/AVERAGE(AL342:AM342))</f>
        <v>1.1931918266860034E-3</v>
      </c>
      <c r="AN362" s="37">
        <f t="shared" ref="AN362" si="3346">IF(ISERROR(-AN321/AVERAGE(AM342:AN342)),"n.a.",-AN321/AVERAGE(AM342:AN342))</f>
        <v>1.1035085527347096E-3</v>
      </c>
      <c r="AO362" s="37">
        <f t="shared" ref="AO362" si="3347">IF(ISERROR(-AO321/AVERAGE(AN342:AO342)),"n.a.",-AO321/AVERAGE(AN342:AO342))</f>
        <v>1.2622425536341377E-3</v>
      </c>
      <c r="AP362" s="37">
        <f t="shared" ref="AP362" si="3348">IF(ISERROR(-AP321/AVERAGE(AO342:AP342)),"n.a.",-AP321/AVERAGE(AO342:AP342))</f>
        <v>1.2223790341954939E-3</v>
      </c>
      <c r="AQ362" s="37">
        <f t="shared" ref="AQ362" si="3349">IF(ISERROR(-AQ321/AVERAGE(AP342:AQ342)),"n.a.",-AQ321/AVERAGE(AP342:AQ342))</f>
        <v>1.2010401534043151E-3</v>
      </c>
      <c r="AR362" s="37">
        <f t="shared" ref="AR362" si="3350">IF(ISERROR(-AR321/AVERAGE(AQ342:AR342)),"n.a.",-AR321/AVERAGE(AQ342:AR342))</f>
        <v>1.1832023777350392E-3</v>
      </c>
      <c r="AS362" s="8"/>
      <c r="AT362" s="44">
        <f>IF(ISERROR(-AT321/AVERAGE(T342:AT342)),"n.a.",-AT321/AVERAGE(T342:AT342))</f>
        <v>2.2783210373791951E-4</v>
      </c>
      <c r="AU362" s="44" t="str">
        <f>IF(ISERROR(-AU321/AVERAGE(AT342:AU342)),"n.a.",-AU321/AVERAGE(AT342:AU342))</f>
        <v>n.a.</v>
      </c>
      <c r="AV362" s="44" t="str">
        <f>IF(ISERROR(-AV321/AVERAGE(AU342:AV342)),"n.a.",-AV321/AVERAGE(AU342:AV342))</f>
        <v>n.a.</v>
      </c>
      <c r="AW362" s="44" t="str">
        <f>IF(ISERROR(-AW321/AVERAGE(AV342:AW342)),"n.a.",-AW321/AVERAGE(AV342:AW342))</f>
        <v>n.a.</v>
      </c>
      <c r="AX362" s="44" t="str">
        <f t="shared" ref="AX362:BB362" si="3351">IF(ISERROR(-AX321/AVERAGE(AW342:AX342)),"n.a.",-AX321/AVERAGE(AW342:AX342))</f>
        <v>n.a.</v>
      </c>
      <c r="AY362" s="44" t="str">
        <f t="shared" si="3351"/>
        <v>n.a.</v>
      </c>
      <c r="AZ362" s="44" t="str">
        <f t="shared" si="3351"/>
        <v>n.a.</v>
      </c>
      <c r="BA362" s="44" t="str">
        <f t="shared" si="3351"/>
        <v>n.a.</v>
      </c>
      <c r="BB362" s="44" t="str">
        <f t="shared" si="3351"/>
        <v>n.a.</v>
      </c>
      <c r="BC362" s="44">
        <f t="shared" ref="BC362" si="3352">IF(ISERROR(-BC321/AVERAGE(BB342:BC342)),"n.a.",-BC321/AVERAGE(BB342:BC342))</f>
        <v>8.5365853658536592E-2</v>
      </c>
      <c r="BD362" s="44">
        <f t="shared" ref="BD362" si="3353">IF(ISERROR(-BD321/AVERAGE(BC342:BD342)),"n.a.",-BD321/AVERAGE(BC342:BD342))</f>
        <v>5.2222222222222225E-2</v>
      </c>
      <c r="BE362" s="44">
        <f t="shared" ref="BE362" si="3354">IF(ISERROR(-BE321/AVERAGE(BD342:BE342)),"n.a.",-BE321/AVERAGE(BD342:BE342))</f>
        <v>3.6062992125984253E-2</v>
      </c>
      <c r="BF362" s="44">
        <f t="shared" ref="BF362" si="3355">IF(ISERROR(-BF321/AVERAGE(BE342:BF342)),"n.a.",-BF321/AVERAGE(BE342:BF342))</f>
        <v>4.0446927374301674E-2</v>
      </c>
      <c r="BG362" s="44">
        <f t="shared" ref="BG362" si="3356">IF(ISERROR(-BG321/AVERAGE(BF342:BG342)),"n.a.",-BG321/AVERAGE(BF342:BG342))</f>
        <v>2.0275862068965516E-2</v>
      </c>
      <c r="BH362" s="44">
        <f t="shared" ref="BH362:BJ362" si="3357">IF(ISERROR(-BH321/AVERAGE(BG342:BH342)),"n.a.",-BH321/AVERAGE(BG342:BH342))</f>
        <v>-8.8888888888888889E-3</v>
      </c>
      <c r="BI362" s="49">
        <f t="shared" si="3357"/>
        <v>5.2391799544419136E-3</v>
      </c>
      <c r="BJ362" s="44">
        <f t="shared" si="3357"/>
        <v>1.2738060661383345E-3</v>
      </c>
      <c r="BK362" s="44">
        <f>IF(ISERROR(-BK321/AVERAGE(BK342:BK342)),"n.a.",-BK321/AVERAGE(BK342:BK342))</f>
        <v>1.8734934937074733E-3</v>
      </c>
      <c r="BL362" s="44">
        <f>IF(ISERROR(-BL321/AVERAGE(BL342:BL342)),"n.a.",-BL321/AVERAGE(BL342:BL342))</f>
        <v>2.1814462030843172E-3</v>
      </c>
      <c r="BM362" s="44">
        <f>IF(ISERROR(-BM321/AVERAGE(BM342:BM342)),"n.a.",-BM321/AVERAGE(BM342:BM342))</f>
        <v>2.4064887165828825E-3</v>
      </c>
      <c r="BN362" s="44">
        <f>IF(ISERROR(-BN321/AVERAGE(BN342:BN342)),"n.a.",-BN321/AVERAGE(BN342:BN342))</f>
        <v>2.3375486778940756E-3</v>
      </c>
    </row>
    <row r="363" spans="2:66" ht="12" customHeight="1" outlineLevel="1">
      <c r="B363" s="1" t="s">
        <v>66</v>
      </c>
      <c r="C363" s="50" t="str">
        <f t="shared" ref="C363:AI363" si="3358">IF(ISERROR(C325/B325),"n.a.",C325/B325-1)</f>
        <v>n.a.</v>
      </c>
      <c r="D363" s="50">
        <f t="shared" si="3358"/>
        <v>-1.6456692913385826</v>
      </c>
      <c r="E363" s="50">
        <f t="shared" si="3358"/>
        <v>-0.60365853658536583</v>
      </c>
      <c r="F363" s="50">
        <f t="shared" si="3358"/>
        <v>1.6153846153846154</v>
      </c>
      <c r="G363" s="50">
        <f t="shared" si="3358"/>
        <v>-0.8</v>
      </c>
      <c r="H363" s="50">
        <f t="shared" si="3358"/>
        <v>2.5882352941176472</v>
      </c>
      <c r="I363" s="50">
        <f t="shared" si="3358"/>
        <v>-1.0327868852459017</v>
      </c>
      <c r="J363" s="50">
        <f t="shared" si="3358"/>
        <v>-42.25</v>
      </c>
      <c r="K363" s="50">
        <f t="shared" si="3358"/>
        <v>-0.56363636363636371</v>
      </c>
      <c r="L363" s="50">
        <f t="shared" si="3358"/>
        <v>-9.722222222222221E-2</v>
      </c>
      <c r="M363" s="69">
        <f t="shared" si="3358"/>
        <v>0.75384615384615383</v>
      </c>
      <c r="N363" s="69">
        <f t="shared" si="3358"/>
        <v>5.2631578947368363E-2</v>
      </c>
      <c r="O363" s="69">
        <f t="shared" si="3358"/>
        <v>-0.52500000000000002</v>
      </c>
      <c r="P363" s="69">
        <f t="shared" si="3358"/>
        <v>4.2456140350877192</v>
      </c>
      <c r="Q363" s="69">
        <f t="shared" si="3358"/>
        <v>-0.27424749163879603</v>
      </c>
      <c r="R363" s="69">
        <f t="shared" si="3358"/>
        <v>-0.43317972350230416</v>
      </c>
      <c r="S363" s="69">
        <f t="shared" si="3358"/>
        <v>0.39024390243902429</v>
      </c>
      <c r="T363" s="69">
        <f t="shared" si="3358"/>
        <v>2.0233918128654973</v>
      </c>
      <c r="U363" s="69">
        <f t="shared" si="3358"/>
        <v>7.7369439071566237E-3</v>
      </c>
      <c r="V363" s="69">
        <f t="shared" si="3358"/>
        <v>2.0115163147792705</v>
      </c>
      <c r="W363" s="69">
        <f t="shared" si="3358"/>
        <v>-0.98470363288718932</v>
      </c>
      <c r="X363" s="69">
        <f t="shared" si="3358"/>
        <v>-0.29166666666666663</v>
      </c>
      <c r="Y363" s="69">
        <f t="shared" si="3358"/>
        <v>-3.5882352941176472</v>
      </c>
      <c r="Z363" s="69">
        <f t="shared" si="3358"/>
        <v>-0.52272727272727271</v>
      </c>
      <c r="AA363" s="69">
        <f t="shared" si="3358"/>
        <v>-2.0952380952380953</v>
      </c>
      <c r="AB363" s="69">
        <f t="shared" si="3358"/>
        <v>-0.60869565217391308</v>
      </c>
      <c r="AC363" s="69">
        <f t="shared" si="3358"/>
        <v>0.44444444444444442</v>
      </c>
      <c r="AD363" s="69">
        <f t="shared" si="3358"/>
        <v>-0.84615384615384615</v>
      </c>
      <c r="AE363" s="69">
        <f t="shared" si="3358"/>
        <v>9</v>
      </c>
      <c r="AF363" s="69">
        <f t="shared" si="3358"/>
        <v>-1.1000000000000001</v>
      </c>
      <c r="AG363" s="69">
        <f t="shared" si="3358"/>
        <v>14</v>
      </c>
      <c r="AH363" s="69">
        <f t="shared" si="3358"/>
        <v>-2.166666666666667</v>
      </c>
      <c r="AI363" s="89">
        <f t="shared" si="3358"/>
        <v>-1.4</v>
      </c>
      <c r="AJ363" s="56">
        <v>0.05</v>
      </c>
      <c r="AK363" s="56">
        <v>2.5000000000000001E-2</v>
      </c>
      <c r="AL363" s="56">
        <v>2.5000000000000001E-2</v>
      </c>
      <c r="AM363" s="56">
        <v>2.5000000000000001E-2</v>
      </c>
      <c r="AN363" s="56">
        <v>2.5000000000000001E-2</v>
      </c>
      <c r="AO363" s="56">
        <v>2.5000000000000001E-2</v>
      </c>
      <c r="AP363" s="56">
        <v>2.5000000000000001E-2</v>
      </c>
      <c r="AQ363" s="56">
        <v>2.5000000000000001E-2</v>
      </c>
      <c r="AR363" s="56">
        <v>2.5000000000000001E-2</v>
      </c>
      <c r="AS363" s="8"/>
      <c r="AT363" s="50">
        <f>IF(ISERROR(AT325/T325),"n.a.",AT325/T325-1)</f>
        <v>-1.1740812379110253</v>
      </c>
      <c r="AU363" s="50">
        <f>IF(ISERROR(AU325/AT325),"n.a.",AU325/AT325-1)</f>
        <v>-3.6111111111111112</v>
      </c>
      <c r="AV363" s="50">
        <f>IF(ISERROR(AV325/AU325),"n.a.",AV325/AU325-1)</f>
        <v>-0.33617021276595749</v>
      </c>
      <c r="AW363" s="50">
        <f>IF(ISERROR(AW325/AV325),"n.a.",AW325/AV325-1)</f>
        <v>3.2051282051282159E-2</v>
      </c>
      <c r="AX363" s="50">
        <f t="shared" ref="AX363:BB363" si="3359">IF(ISERROR(AX325/AW325),"n.a.",AX325/AW325-1)</f>
        <v>-0.14906832298136641</v>
      </c>
      <c r="AY363" s="50">
        <f t="shared" si="3359"/>
        <v>0.70802919708029188</v>
      </c>
      <c r="AZ363" s="50">
        <f t="shared" si="3359"/>
        <v>0.52136752136752129</v>
      </c>
      <c r="BA363" s="50">
        <f t="shared" si="3359"/>
        <v>-4.49438202247191E-2</v>
      </c>
      <c r="BB363" s="50">
        <f t="shared" si="3359"/>
        <v>1.0235294117647058</v>
      </c>
      <c r="BC363" s="50">
        <f t="shared" ref="BC363" si="3360">IF(ISERROR(BC325/BB325),"n.a.",BC325/BB325-1)</f>
        <v>2.0377906976744184</v>
      </c>
      <c r="BD363" s="50">
        <f t="shared" ref="BD363" si="3361">IF(ISERROR(BD325/BC325),"n.a.",BD325/BC325-1)</f>
        <v>-0.98038277511961724</v>
      </c>
      <c r="BE363" s="50">
        <f t="shared" ref="BE363" si="3362">IF(ISERROR(BE325/BD325),"n.a.",BE325/BD325-1)</f>
        <v>-2.5853658536585367</v>
      </c>
      <c r="BF363" s="50">
        <f t="shared" ref="BF363" si="3363">IF(ISERROR(BF325/BE325),"n.a.",BF325/BE325-1)</f>
        <v>-1.4923076923076923</v>
      </c>
      <c r="BG363" s="50">
        <f t="shared" ref="BG363" si="3364">IF(ISERROR(BG325/BF325),"n.a.",BG325/BF325-1)</f>
        <v>-0.53125</v>
      </c>
      <c r="BH363" s="50">
        <f t="shared" ref="BH363:BN363" si="3365">IF(ISERROR(BH325/BG325),"n.a.",BH325/BG325-1)</f>
        <v>0.19999999999999996</v>
      </c>
      <c r="BI363" s="51">
        <f t="shared" si="3365"/>
        <v>-0.72222222222222221</v>
      </c>
      <c r="BJ363" s="50">
        <f t="shared" si="3365"/>
        <v>-3.2</v>
      </c>
      <c r="BK363" s="50">
        <f t="shared" si="3365"/>
        <v>-1.5660795454545453</v>
      </c>
      <c r="BL363" s="50">
        <f t="shared" si="3365"/>
        <v>5.0624999999999698E-2</v>
      </c>
      <c r="BM363" s="50">
        <f t="shared" si="3365"/>
        <v>5.062499999999992E-2</v>
      </c>
      <c r="BN363" s="50">
        <f t="shared" si="3365"/>
        <v>5.0624999999999698E-2</v>
      </c>
    </row>
    <row r="364" spans="2:66" ht="12" customHeight="1" outlineLevel="1">
      <c r="B364" s="1" t="s">
        <v>67</v>
      </c>
      <c r="C364" s="54">
        <f t="shared" ref="C364:I364" si="3366">IF(ISERROR(-C327/AVERAGE(B349:C349)*1000000),"n.a.",-C327*C$5/AVERAGE(B349:C349)*1000000)</f>
        <v>198625.94381334604</v>
      </c>
      <c r="D364" s="54">
        <f t="shared" si="3366"/>
        <v>263451.52286700945</v>
      </c>
      <c r="E364" s="54">
        <f t="shared" si="3366"/>
        <v>230113.99157170305</v>
      </c>
      <c r="F364" s="54">
        <f t="shared" si="3366"/>
        <v>281104.87838521315</v>
      </c>
      <c r="G364" s="54">
        <f t="shared" si="3366"/>
        <v>222059.89773557341</v>
      </c>
      <c r="H364" s="54">
        <f t="shared" si="3366"/>
        <v>242566.51017214399</v>
      </c>
      <c r="I364" s="54">
        <f t="shared" si="3366"/>
        <v>214097.84447463322</v>
      </c>
      <c r="J364" s="54">
        <f t="shared" ref="J364:AI364" si="3367">IF(ISERROR(-J327/AVERAGE(I349:J349)*1000000),"n.a.",-J327*J$5/AVERAGE(I349:J349)*1000000)</f>
        <v>220523.05513323989</v>
      </c>
      <c r="K364" s="54">
        <f t="shared" si="3367"/>
        <v>236974.51712384354</v>
      </c>
      <c r="L364" s="54">
        <f t="shared" si="3367"/>
        <v>252241.11583721859</v>
      </c>
      <c r="M364" s="79">
        <f t="shared" si="3367"/>
        <v>244942.95848911899</v>
      </c>
      <c r="N364" s="79">
        <f t="shared" si="3367"/>
        <v>287845.43094666972</v>
      </c>
      <c r="O364" s="79">
        <f t="shared" si="3367"/>
        <v>276388.30012717255</v>
      </c>
      <c r="P364" s="79">
        <f t="shared" si="3367"/>
        <v>291983.12236286921</v>
      </c>
      <c r="Q364" s="79">
        <f t="shared" si="3367"/>
        <v>300615.85300962877</v>
      </c>
      <c r="R364" s="79">
        <f t="shared" si="3367"/>
        <v>265058.79241108999</v>
      </c>
      <c r="S364" s="79">
        <f t="shared" si="3367"/>
        <v>285826.85450972617</v>
      </c>
      <c r="T364" s="79">
        <f t="shared" si="3367"/>
        <v>295699.32555007178</v>
      </c>
      <c r="U364" s="79">
        <f t="shared" si="3367"/>
        <v>359615.75303100795</v>
      </c>
      <c r="V364" s="79">
        <f t="shared" si="3367"/>
        <v>394895.5608706646</v>
      </c>
      <c r="W364" s="79">
        <f t="shared" si="3367"/>
        <v>440125.75021434698</v>
      </c>
      <c r="X364" s="79">
        <f t="shared" si="3367"/>
        <v>333253.53124251857</v>
      </c>
      <c r="Y364" s="79">
        <f t="shared" si="3367"/>
        <v>356537.421344081</v>
      </c>
      <c r="Z364" s="79">
        <f t="shared" si="3367"/>
        <v>318733.19442162872</v>
      </c>
      <c r="AA364" s="79">
        <f t="shared" si="3367"/>
        <v>300125.60536606843</v>
      </c>
      <c r="AB364" s="79">
        <f t="shared" si="3367"/>
        <v>337781.01501444442</v>
      </c>
      <c r="AC364" s="79">
        <f t="shared" si="3367"/>
        <v>357304.82835574402</v>
      </c>
      <c r="AD364" s="79">
        <f t="shared" si="3367"/>
        <v>367211.89716581424</v>
      </c>
      <c r="AE364" s="79">
        <f t="shared" si="3367"/>
        <v>391676.86658506736</v>
      </c>
      <c r="AF364" s="79">
        <f t="shared" si="3367"/>
        <v>373185.04788384307</v>
      </c>
      <c r="AG364" s="79">
        <f t="shared" si="3367"/>
        <v>391727.53170071827</v>
      </c>
      <c r="AH364" s="79">
        <f t="shared" si="3367"/>
        <v>399796.6319394891</v>
      </c>
      <c r="AI364" s="90">
        <f t="shared" si="3367"/>
        <v>394331.24635885638</v>
      </c>
      <c r="AJ364" s="55">
        <f>AI364*1.015</f>
        <v>400246.2150542392</v>
      </c>
      <c r="AK364" s="55">
        <f t="shared" ref="AK364:AR364" si="3368">AJ364*1.015</f>
        <v>406249.90828005277</v>
      </c>
      <c r="AL364" s="55">
        <f t="shared" si="3368"/>
        <v>412343.65690425353</v>
      </c>
      <c r="AM364" s="55">
        <f t="shared" si="3368"/>
        <v>418528.81175781728</v>
      </c>
      <c r="AN364" s="55">
        <f t="shared" si="3368"/>
        <v>424806.74393418449</v>
      </c>
      <c r="AO364" s="55">
        <f t="shared" si="3368"/>
        <v>431178.84509319719</v>
      </c>
      <c r="AP364" s="55">
        <f t="shared" si="3368"/>
        <v>437646.52776959509</v>
      </c>
      <c r="AQ364" s="55">
        <f t="shared" si="3368"/>
        <v>444211.22568613896</v>
      </c>
      <c r="AR364" s="55">
        <f t="shared" si="3368"/>
        <v>450874.39407143102</v>
      </c>
      <c r="AS364" s="8"/>
      <c r="AT364" s="54">
        <f>IF(ISERROR(-AT327/AVERAGE(T349:AT349)*1000000),"n.a.",-AT327*AT$5/AVERAGE(T349:AT349)*1000000)</f>
        <v>246967.78334952527</v>
      </c>
      <c r="AU364" s="54">
        <f>IF(ISERROR(-AU327/AVERAGE(AT349:AU349)*1000000),"n.a.",-AU327*AU$5/AVERAGE(AT349:AU349)*1000000)</f>
        <v>250907.89039286893</v>
      </c>
      <c r="AV364" s="54">
        <f>IF(ISERROR(-AV327/AVERAGE(AU349:AV349)*1000000),"n.a.",-AV327*AV$5/AVERAGE(AU349:AV349)*1000000)</f>
        <v>235068.91271056663</v>
      </c>
      <c r="AW364" s="54">
        <f>IF(ISERROR(-AW327/AVERAGE(AV349:AW349)*1000000),"n.a.",-AW327*AW$5/AVERAGE(AV349:AW349)*1000000)</f>
        <v>212931.03448275864</v>
      </c>
      <c r="AX364" s="54">
        <f t="shared" ref="AX364:BB364" si="3369">IF(ISERROR(-AX327/AVERAGE(AW349:AX349)*1000000),"n.a.",-AX327*AX$5/AVERAGE(AW349:AX349)*1000000)</f>
        <v>243989.31433659841</v>
      </c>
      <c r="AY364" s="54">
        <f t="shared" si="3369"/>
        <v>262910.79812206572</v>
      </c>
      <c r="AZ364" s="54">
        <f t="shared" si="3369"/>
        <v>278260.86956521741</v>
      </c>
      <c r="BA364" s="54">
        <f t="shared" si="3369"/>
        <v>280119.19965942955</v>
      </c>
      <c r="BB364" s="54">
        <f t="shared" si="3369"/>
        <v>287111.11111111107</v>
      </c>
      <c r="BC364" s="54">
        <f t="shared" ref="BC364" si="3370">IF(ISERROR(-BC327/AVERAGE(BB349:BC349)*1000000),"n.a.",-BC327*BC$5/AVERAGE(BB349:BC349)*1000000)</f>
        <v>384212.64599275065</v>
      </c>
      <c r="BD364" s="54">
        <f t="shared" ref="BD364" si="3371">IF(ISERROR(-BD327/AVERAGE(BC349:BD349)*1000000),"n.a.",-BD327*BD$5/AVERAGE(BC349:BD349)*1000000)</f>
        <v>429156.90866510535</v>
      </c>
      <c r="BE364" s="54">
        <f t="shared" ref="BE364" si="3372">IF(ISERROR(-BE327/AVERAGE(BD349:BE349)*1000000),"n.a.",-BE327*BE$5/AVERAGE(BD349:BE349)*1000000)</f>
        <v>343329.88624612201</v>
      </c>
      <c r="BF364" s="54">
        <f t="shared" ref="BF364" si="3373">IF(ISERROR(-BF327/AVERAGE(BE349:BF349)*1000000),"n.a.",-BF327*BF$5/AVERAGE(BE349:BF349)*1000000)</f>
        <v>305104.75066391268</v>
      </c>
      <c r="BG364" s="54">
        <f t="shared" ref="BG364" si="3374">IF(ISERROR(-BG327/AVERAGE(BF349:BG349)*1000000),"n.a.",-BG327*BG$5/AVERAGE(BF349:BG349)*1000000)</f>
        <v>365228.26766729204</v>
      </c>
      <c r="BH364" s="54">
        <f t="shared" ref="BH364:BJ364" si="3375">IF(ISERROR(-BH327/AVERAGE(BG349:BH349)*1000000),"n.a.",-BH327*BH$5/AVERAGE(BG349:BH349)*1000000)</f>
        <v>385258.59399194794</v>
      </c>
      <c r="BI364" s="53">
        <f t="shared" si="3375"/>
        <v>397299.90356798458</v>
      </c>
      <c r="BJ364" s="54">
        <f t="shared" si="3375"/>
        <v>394888.03038186528</v>
      </c>
      <c r="BK364" s="54">
        <f>IF(ISERROR(-BK327/AVERAGE(BK349:BK349)*1000000),"n.a.",-BK327*BK$5/AVERAGE(BK349:BK349)*1000000)</f>
        <v>407259.48470244894</v>
      </c>
      <c r="BL364" s="54">
        <f>IF(ISERROR(-BL327/AVERAGE(BL349:BL349)*1000000),"n.a.",-BL327*BL$5/AVERAGE(BL349:BL349)*1000000)</f>
        <v>419580.32642023813</v>
      </c>
      <c r="BM364" s="54">
        <f>IF(ISERROR(-BM327/AVERAGE(BM349:BM349)*1000000),"n.a.",-BM327*BM$5/AVERAGE(BM349:BM349)*1000000)</f>
        <v>432250.37270949874</v>
      </c>
      <c r="BN364" s="54">
        <f>IF(ISERROR(-BN327/AVERAGE(BN349:BN349)*1000000),"n.a.",-BN327*BN$5/AVERAGE(BN349:BN349)*1000000)</f>
        <v>445315.14022464334</v>
      </c>
    </row>
    <row r="365" spans="2:66" ht="12" customHeight="1" outlineLevel="1">
      <c r="B365" s="1" t="s">
        <v>78</v>
      </c>
      <c r="C365" s="50">
        <f>IF(ISERROR(-C327/C326),"n.a.",-C327/C326)</f>
        <v>0.81159420289855078</v>
      </c>
      <c r="D365" s="50">
        <f>IF(ISERROR(-D327/D326),"n.a.",-D327/D326)</f>
        <v>0.45606694560669458</v>
      </c>
      <c r="E365" s="50">
        <f t="shared" ref="E365:J365" si="3376">IF(ISERROR(-E327/E326),"n.a.",-E327/E326)</f>
        <v>0.49175824175824173</v>
      </c>
      <c r="F365" s="50">
        <f t="shared" si="3376"/>
        <v>0.36347197106690776</v>
      </c>
      <c r="G365" s="50">
        <f t="shared" si="3376"/>
        <v>0.56716417910447758</v>
      </c>
      <c r="H365" s="50">
        <f t="shared" si="3376"/>
        <v>0.39743589743589741</v>
      </c>
      <c r="I365" s="50">
        <f t="shared" si="3376"/>
        <v>0.49603174603174605</v>
      </c>
      <c r="J365" s="50">
        <f t="shared" si="3376"/>
        <v>0.29539951573849876</v>
      </c>
      <c r="K365" s="50">
        <f t="shared" ref="K365:L365" si="3377">IF(ISERROR(-K327/K326),"n.a.",-K327/K326)</f>
        <v>0.35483870967741937</v>
      </c>
      <c r="L365" s="50">
        <f t="shared" si="3377"/>
        <v>0.31910112359550563</v>
      </c>
      <c r="M365" s="69">
        <f t="shared" ref="M365:N365" si="3378">IF(ISERROR(-M327/M326),"n.a.",-M327/M326)</f>
        <v>0.31890660592255127</v>
      </c>
      <c r="N365" s="69">
        <f t="shared" si="3378"/>
        <v>0.27317073170731709</v>
      </c>
      <c r="O365" s="69">
        <f t="shared" ref="O365" si="3379">IF(ISERROR(-O327/O326),"n.a.",-O327/O326)</f>
        <v>0.31589147286821706</v>
      </c>
      <c r="P365" s="69">
        <f t="shared" ref="P365:Q365" si="3380">IF(ISERROR(-P327/P326),"n.a.",-P327/P326)</f>
        <v>0.27073552425665104</v>
      </c>
      <c r="Q365" s="69">
        <f t="shared" si="3380"/>
        <v>0.31282952548330406</v>
      </c>
      <c r="R365" s="69">
        <f t="shared" ref="R365:S365" si="3381">IF(ISERROR(-R327/R326),"n.a.",-R327/R326)</f>
        <v>0.23704866562009419</v>
      </c>
      <c r="S365" s="69">
        <f t="shared" si="3381"/>
        <v>0.28268551236749118</v>
      </c>
      <c r="T365" s="69">
        <f t="shared" ref="T365:U365" si="3382">IF(ISERROR(-T327/T326),"n.a.",-T327/T326)</f>
        <v>0.18232662192393737</v>
      </c>
      <c r="U365" s="69">
        <f t="shared" si="3382"/>
        <v>0.21114369501466276</v>
      </c>
      <c r="V365" s="69">
        <f t="shared" ref="V365:W365" si="3383">IF(ISERROR(-V327/V326),"n.a.",-V327/V326)</f>
        <v>0.14411927112092768</v>
      </c>
      <c r="W365" s="69">
        <f t="shared" si="3383"/>
        <v>0.33980582524271846</v>
      </c>
      <c r="X365" s="69">
        <f t="shared" ref="X365" si="3384">IF(ISERROR(-X327/X326),"n.a.",-X327/X326)</f>
        <v>0.2525399129172714</v>
      </c>
      <c r="Y365" s="69">
        <f t="shared" ref="Y365:Z365" si="3385">IF(ISERROR(-Y327/Y326),"n.a.",-Y327/Y326)</f>
        <v>0.58794788273615639</v>
      </c>
      <c r="Z365" s="69">
        <f t="shared" si="3385"/>
        <v>0.1854345165238678</v>
      </c>
      <c r="AA365" s="69">
        <f t="shared" ref="AA365:AB365" si="3386">IF(ISERROR(-AA327/AA326),"n.a.",-AA327/AA326)</f>
        <v>0.1854014598540146</v>
      </c>
      <c r="AB365" s="69">
        <f t="shared" si="3386"/>
        <v>0.15748502994011976</v>
      </c>
      <c r="AC365" s="69">
        <f t="shared" ref="AC365:AD365" si="3387">IF(ISERROR(-AC327/AC326),"n.a.",-AC327/AC326)</f>
        <v>0.22222222222222221</v>
      </c>
      <c r="AD365" s="69">
        <f t="shared" si="3387"/>
        <v>0.31702127659574469</v>
      </c>
      <c r="AE365" s="69">
        <f t="shared" ref="AE365:AF365" si="3388">IF(ISERROR(-AE327/AE326),"n.a.",-AE327/AE326)</f>
        <v>0.26229508196721313</v>
      </c>
      <c r="AF365" s="69">
        <f t="shared" si="3388"/>
        <v>0.21695402298850575</v>
      </c>
      <c r="AG365" s="69">
        <f t="shared" ref="AG365:AH365" si="3389">IF(ISERROR(-AG327/AG326),"n.a.",-AG327/AG326)</f>
        <v>0.27161572052401745</v>
      </c>
      <c r="AH365" s="69">
        <f t="shared" si="3389"/>
        <v>0.2056262558606832</v>
      </c>
      <c r="AI365" s="89">
        <f t="shared" ref="AI365" si="3390">IF(ISERROR(-AI327/AI326),"n.a.",-AI327/AI326)</f>
        <v>0.19585561497326204</v>
      </c>
      <c r="AJ365" s="50">
        <f t="shared" ref="AJ365" si="3391">IF(ISERROR(-AJ327/AJ326),"n.a.",-AJ327/AJ326)</f>
        <v>0.19249714719029593</v>
      </c>
      <c r="AK365" s="50">
        <f t="shared" ref="AK365:AL365" si="3392">IF(ISERROR(-AK327/AK326),"n.a.",-AK327/AK326)</f>
        <v>0.18585952966354444</v>
      </c>
      <c r="AL365" s="50">
        <f t="shared" si="3392"/>
        <v>0.18328280563150828</v>
      </c>
      <c r="AM365" s="50">
        <f t="shared" ref="AM365:AN365" si="3393">IF(ISERROR(-AM327/AM326),"n.a.",-AM327/AM326)</f>
        <v>0.17925571344088534</v>
      </c>
      <c r="AN365" s="50">
        <f t="shared" si="3393"/>
        <v>0.17616879116587703</v>
      </c>
      <c r="AO365" s="50">
        <f t="shared" ref="AO365:AP365" si="3394">IF(ISERROR(-AO327/AO326),"n.a.",-AO327/AO326)</f>
        <v>0.17230385209667964</v>
      </c>
      <c r="AP365" s="50">
        <f t="shared" si="3394"/>
        <v>0.16952372722013012</v>
      </c>
      <c r="AQ365" s="50">
        <f t="shared" ref="AQ365:AR365" si="3395">IF(ISERROR(-AQ327/AQ326),"n.a.",-AQ327/AQ326)</f>
        <v>0.16683278145691879</v>
      </c>
      <c r="AR365" s="50">
        <f t="shared" si="3395"/>
        <v>0.16491406980210774</v>
      </c>
      <c r="AS365" s="8"/>
      <c r="AT365" s="50">
        <f t="shared" ref="AT365:BB365" si="3396">IF(ISERROR(-AT327/AT326),"n.a.",-AT327/AT326)</f>
        <v>0.56350364963503652</v>
      </c>
      <c r="AU365" s="50">
        <f t="shared" si="3396"/>
        <v>0.4143947655398037</v>
      </c>
      <c r="AV365" s="50">
        <f t="shared" si="3396"/>
        <v>0.46656534954407297</v>
      </c>
      <c r="AW365" s="50">
        <f t="shared" si="3396"/>
        <v>0.37142857142857144</v>
      </c>
      <c r="AX365" s="50">
        <f t="shared" si="3396"/>
        <v>0.3353733170134639</v>
      </c>
      <c r="AY365" s="50">
        <f t="shared" si="3396"/>
        <v>0.29222011385199242</v>
      </c>
      <c r="AZ365" s="50">
        <f t="shared" si="3396"/>
        <v>0.29090909090909089</v>
      </c>
      <c r="BA365" s="50">
        <f t="shared" si="3396"/>
        <v>0.2728026533996683</v>
      </c>
      <c r="BB365" s="50">
        <f t="shared" si="3396"/>
        <v>0.22123287671232877</v>
      </c>
      <c r="BC365" s="50">
        <f t="shared" ref="BC365:BH365" si="3397">IF(ISERROR(-BC327/BC326),"n.a.",-BC327/BC326)</f>
        <v>0.16831333803810869</v>
      </c>
      <c r="BD365" s="50">
        <f t="shared" si="3397"/>
        <v>0.29191557148546393</v>
      </c>
      <c r="BE365" s="50">
        <f t="shared" si="3397"/>
        <v>0.29537366548042704</v>
      </c>
      <c r="BF365" s="50">
        <f t="shared" si="3397"/>
        <v>0.1700657894736842</v>
      </c>
      <c r="BG365" s="50">
        <f t="shared" si="3397"/>
        <v>0.26223619218679839</v>
      </c>
      <c r="BH365" s="50">
        <f t="shared" si="3397"/>
        <v>0.23813169984686064</v>
      </c>
      <c r="BI365" s="51">
        <f t="shared" ref="BI365" si="3398">IF(ISERROR(-BI327/BI326),"n.a.",-BI327/BI326)</f>
        <v>0.23426838514025777</v>
      </c>
      <c r="BJ365" s="50">
        <f t="shared" ref="BJ365:BK365" si="3399">IF(ISERROR(-BJ327/BJ326),"n.a.",-BJ327/BJ326)</f>
        <v>0.19417838873376819</v>
      </c>
      <c r="BK365" s="50">
        <f t="shared" si="3399"/>
        <v>0.18455290149971482</v>
      </c>
      <c r="BL365" s="50">
        <f t="shared" ref="BL365" si="3400">IF(ISERROR(-BL327/BL326),"n.a.",-BL327/BL326)</f>
        <v>0.17768351103090507</v>
      </c>
      <c r="BM365" s="50">
        <f t="shared" ref="BM365" si="3401">IF(ISERROR(-BM327/BM326),"n.a.",-BM327/BM326)</f>
        <v>0.17089247938579036</v>
      </c>
      <c r="BN365" s="50">
        <f t="shared" ref="BN365" si="3402">IF(ISERROR(-BN327/BN326),"n.a.",-BN327/BN326)</f>
        <v>0.16586097190404636</v>
      </c>
    </row>
    <row r="366" spans="2:66" ht="12" customHeight="1" outlineLevel="1">
      <c r="B366" s="1" t="s">
        <v>79</v>
      </c>
      <c r="C366" s="37">
        <f t="shared" ref="C366:I366" si="3403">IF(ISERROR(-C329*C$5/AVERAGE(B343:C343)),"n.a.",-C329*C$5/AVERAGE(B343:C343))</f>
        <v>6.858493081025345E-2</v>
      </c>
      <c r="D366" s="37">
        <f t="shared" si="3403"/>
        <v>8.087227241769572E-2</v>
      </c>
      <c r="E366" s="37">
        <f t="shared" si="3403"/>
        <v>8.3968657835771093E-2</v>
      </c>
      <c r="F366" s="37">
        <f t="shared" si="3403"/>
        <v>0.1037493497229954</v>
      </c>
      <c r="G366" s="37">
        <f t="shared" si="3403"/>
        <v>7.7354959451029326E-2</v>
      </c>
      <c r="H366" s="37">
        <f t="shared" si="3403"/>
        <v>8.0642804967129292E-2</v>
      </c>
      <c r="I366" s="37">
        <f t="shared" si="3403"/>
        <v>7.7893103113784071E-2</v>
      </c>
      <c r="J366" s="37">
        <f t="shared" ref="J366:AI366" si="3404">IF(ISERROR(-J329*J$5/AVERAGE(I343:J343)),"n.a.",-J329*J$5/AVERAGE(I343:J343))</f>
        <v>8.8531136134496369E-2</v>
      </c>
      <c r="K366" s="37">
        <f t="shared" si="3404"/>
        <v>0.10377839835792933</v>
      </c>
      <c r="L366" s="37">
        <f t="shared" si="3404"/>
        <v>8.6517089699550798E-2</v>
      </c>
      <c r="M366" s="78">
        <f t="shared" si="3404"/>
        <v>9.8200684241716935E-2</v>
      </c>
      <c r="N366" s="78">
        <f t="shared" si="3404"/>
        <v>0.10025989392946943</v>
      </c>
      <c r="O366" s="78">
        <f t="shared" si="3404"/>
        <v>9.2142308676734064E-2</v>
      </c>
      <c r="P366" s="78">
        <f t="shared" si="3404"/>
        <v>8.49509020324275E-2</v>
      </c>
      <c r="Q366" s="78">
        <f t="shared" si="3404"/>
        <v>8.4251555086727256E-2</v>
      </c>
      <c r="R366" s="78">
        <f t="shared" si="3404"/>
        <v>9.5298835553754499E-2</v>
      </c>
      <c r="S366" s="78">
        <f t="shared" si="3404"/>
        <v>9.4676577338359283E-2</v>
      </c>
      <c r="T366" s="78">
        <f t="shared" si="3404"/>
        <v>8.689855486512868E-2</v>
      </c>
      <c r="U366" s="78">
        <f t="shared" si="3404"/>
        <v>6.7594080512603877E-2</v>
      </c>
      <c r="V366" s="78">
        <f t="shared" si="3404"/>
        <v>5.8694448466147152E-2</v>
      </c>
      <c r="W366" s="78">
        <f t="shared" si="3404"/>
        <v>6.310439288425361E-2</v>
      </c>
      <c r="X366" s="78">
        <f t="shared" si="3404"/>
        <v>3.9621512619939285E-2</v>
      </c>
      <c r="Y366" s="78">
        <f t="shared" si="3404"/>
        <v>3.7121706084230675E-2</v>
      </c>
      <c r="Z366" s="78">
        <f t="shared" si="3404"/>
        <v>4.5872127105336773E-2</v>
      </c>
      <c r="AA366" s="78">
        <f t="shared" si="3404"/>
        <v>2.8245005598816722E-2</v>
      </c>
      <c r="AB366" s="78">
        <f t="shared" si="3404"/>
        <v>2.9971206372525257E-2</v>
      </c>
      <c r="AC366" s="78">
        <f t="shared" si="3404"/>
        <v>3.0058020746409859E-2</v>
      </c>
      <c r="AD366" s="78">
        <f t="shared" si="3404"/>
        <v>3.0342310862505016E-2</v>
      </c>
      <c r="AE366" s="78">
        <f t="shared" si="3404"/>
        <v>2.8095230150653162E-2</v>
      </c>
      <c r="AF366" s="78">
        <f t="shared" si="3404"/>
        <v>2.5071435155313855E-2</v>
      </c>
      <c r="AG366" s="78">
        <f t="shared" si="3404"/>
        <v>2.2238146748032931E-2</v>
      </c>
      <c r="AH366" s="78">
        <f t="shared" si="3404"/>
        <v>2.2371603595875589E-2</v>
      </c>
      <c r="AI366" s="88">
        <f t="shared" si="3404"/>
        <v>2.0431336131204594E-2</v>
      </c>
      <c r="AJ366" s="66">
        <f>AI366*0.97</f>
        <v>1.9818396047268455E-2</v>
      </c>
      <c r="AK366" s="66">
        <f t="shared" ref="AK366:AR366" si="3405">AJ366*0.97</f>
        <v>1.92238441658504E-2</v>
      </c>
      <c r="AL366" s="66">
        <f t="shared" si="3405"/>
        <v>1.8647128840874886E-2</v>
      </c>
      <c r="AM366" s="66">
        <f t="shared" si="3405"/>
        <v>1.808771497564864E-2</v>
      </c>
      <c r="AN366" s="66">
        <f t="shared" si="3405"/>
        <v>1.7545083526379179E-2</v>
      </c>
      <c r="AO366" s="66">
        <f t="shared" si="3405"/>
        <v>1.7018731020587805E-2</v>
      </c>
      <c r="AP366" s="66">
        <f t="shared" si="3405"/>
        <v>1.650816908997017E-2</v>
      </c>
      <c r="AQ366" s="66">
        <f t="shared" si="3405"/>
        <v>1.6012924017271064E-2</v>
      </c>
      <c r="AR366" s="66">
        <f t="shared" si="3405"/>
        <v>1.5532536296752933E-2</v>
      </c>
      <c r="AS366" s="8"/>
      <c r="AT366" s="37">
        <f>IF(ISERROR(-AT329*AT$5/AVERAGE(T343:AT343)),"n.a.",-AT329*AT$5/AVERAGE(T343:AT343))</f>
        <v>1.0059677458587726E-2</v>
      </c>
      <c r="AU366" s="37">
        <f>IF(ISERROR(-AU329*AU$5/AVERAGE(AT343:AU343)),"n.a.",-AU329*AU$5/AVERAGE(AT343:AU343))</f>
        <v>8.6156419907988294E-2</v>
      </c>
      <c r="AV366" s="37">
        <f>IF(ISERROR(-AV329*AV$5/AVERAGE(AU343:AV343)),"n.a.",-AV329*AV$5/AVERAGE(AU343:AV343))</f>
        <v>7.9070469292289114E-2</v>
      </c>
      <c r="AW366" s="37">
        <f>IF(ISERROR(-AW329*AW$5/AVERAGE(AV343:AW343)),"n.a.",-AW329*AW$5/AVERAGE(AV343:AW343))</f>
        <v>8.3503374666457381E-2</v>
      </c>
      <c r="AX366" s="37">
        <f t="shared" ref="AX366:BB366" si="3406">IF(ISERROR(-AX329*AX$5/AVERAGE(AW343:AX343)),"n.a.",-AX329*AX$5/AVERAGE(AW343:AX343))</f>
        <v>9.3608103388054489E-2</v>
      </c>
      <c r="AY366" s="37">
        <f t="shared" si="3406"/>
        <v>9.7254180088970701E-2</v>
      </c>
      <c r="AZ366" s="37">
        <f t="shared" si="3406"/>
        <v>8.9137847053093036E-2</v>
      </c>
      <c r="BA366" s="37">
        <f t="shared" si="3406"/>
        <v>9.507346585998272E-2</v>
      </c>
      <c r="BB366" s="37">
        <f t="shared" si="3406"/>
        <v>0.10019455252918288</v>
      </c>
      <c r="BC366" s="37">
        <f t="shared" ref="BC366" si="3407">IF(ISERROR(-BC329*BC$5/AVERAGE(BB343:BC343)),"n.a.",-BC329*BC$5/AVERAGE(BB343:BC343))</f>
        <v>8.144730095949608E-2</v>
      </c>
      <c r="BD366" s="37">
        <f t="shared" ref="BD366" si="3408">IF(ISERROR(-BD329*BD$5/AVERAGE(BC343:BD343)),"n.a.",-BD329*BD$5/AVERAGE(BC343:BD343))</f>
        <v>5.65265216328526E-2</v>
      </c>
      <c r="BE366" s="37">
        <f t="shared" ref="BE366" si="3409">IF(ISERROR(-BE329*BE$5/AVERAGE(BD343:BE343)),"n.a.",-BE329*BE$5/AVERAGE(BD343:BE343))</f>
        <v>3.9517625231910949E-2</v>
      </c>
      <c r="BF366" s="37">
        <f t="shared" ref="BF366" si="3410">IF(ISERROR(-BF329*BF$5/AVERAGE(BE343:BF343)),"n.a.",-BF329*BF$5/AVERAGE(BE343:BF343))</f>
        <v>3.0612484447261543E-2</v>
      </c>
      <c r="BG366" s="37">
        <f t="shared" ref="BG366" si="3411">IF(ISERROR(-BG329*BG$5/AVERAGE(BF343:BG343)),"n.a.",-BG329*BG$5/AVERAGE(BF343:BG343))</f>
        <v>3.0346373898252666E-2</v>
      </c>
      <c r="BH366" s="37">
        <f t="shared" ref="BH366:BJ366" si="3412">IF(ISERROR(-BH329*BH$5/AVERAGE(BG343:BH343)),"n.a.",-BH329*BH$5/AVERAGE(BG343:BH343))</f>
        <v>2.6691565915932837E-2</v>
      </c>
      <c r="BI366" s="38">
        <f t="shared" si="3412"/>
        <v>2.2852490161487313E-2</v>
      </c>
      <c r="BJ366" s="37">
        <f t="shared" si="3412"/>
        <v>1.9949347037803291E-2</v>
      </c>
      <c r="BK366" s="37">
        <f>IF(ISERROR(-BK329*BK$5/AVERAGE(BK343:BK343)),"n.a.",-BK329*BK$5/AVERAGE(BK343:BK343))</f>
        <v>1.7993749121506458E-2</v>
      </c>
      <c r="BL366" s="37">
        <f>IF(ISERROR(-BL329*BL$5/AVERAGE(BL343:BL343)),"n.a.",-BL329*BL$5/AVERAGE(BL343:BL343))</f>
        <v>1.7152712970817136E-2</v>
      </c>
      <c r="BM366" s="37">
        <f>IF(ISERROR(-BM329*BM$5/AVERAGE(BM343:BM343)),"n.a.",-BM329*BM$5/AVERAGE(BM343:BM343))</f>
        <v>1.6214081203400579E-2</v>
      </c>
      <c r="BN366" s="37">
        <f>IF(ISERROR(-BN329*BN$5/AVERAGE(BN343:BN343)),"n.a.",-BN329*BN$5/AVERAGE(BN343:BN343))</f>
        <v>1.5265377410598314E-2</v>
      </c>
    </row>
    <row r="367" spans="2:66" ht="12" customHeight="1" outlineLevel="1">
      <c r="B367" s="1" t="s">
        <v>68</v>
      </c>
      <c r="C367" s="50" t="str">
        <f>IF(ISERROR(C329/B329),"n.a.",C329/B329-1)</f>
        <v>n.a.</v>
      </c>
      <c r="D367" s="50">
        <f>IF(ISERROR(D329/C329),"n.a.",D329/C329-1)</f>
        <v>0.10000000000000009</v>
      </c>
      <c r="E367" s="50">
        <f t="shared" ref="E367:AI367" si="3413">IF(ISERROR(E329/D329),"n.a.",E329/D329-1)</f>
        <v>-0.14772727272727271</v>
      </c>
      <c r="F367" s="50">
        <f t="shared" si="3413"/>
        <v>6.0000000000000053E-2</v>
      </c>
      <c r="G367" s="50">
        <f t="shared" si="3413"/>
        <v>-0.22012578616352196</v>
      </c>
      <c r="H367" s="50">
        <f t="shared" si="3413"/>
        <v>0.11290322580645151</v>
      </c>
      <c r="I367" s="50">
        <f t="shared" si="3413"/>
        <v>-4.3478260869565188E-2</v>
      </c>
      <c r="J367" s="50">
        <f t="shared" si="3413"/>
        <v>1.5151515151515138E-2</v>
      </c>
      <c r="K367" s="50">
        <f t="shared" si="3413"/>
        <v>8.9552238805970186E-2</v>
      </c>
      <c r="L367" s="50">
        <f t="shared" si="3413"/>
        <v>-0.16438356164383561</v>
      </c>
      <c r="M367" s="69">
        <f t="shared" si="3413"/>
        <v>0.21311475409836067</v>
      </c>
      <c r="N367" s="69">
        <f t="shared" si="3413"/>
        <v>0.14189189189189189</v>
      </c>
      <c r="O367" s="69">
        <f t="shared" si="3413"/>
        <v>6.5088757396449815E-2</v>
      </c>
      <c r="P367" s="69">
        <f t="shared" si="3413"/>
        <v>3.3333333333333437E-2</v>
      </c>
      <c r="Q367" s="69">
        <f t="shared" si="3413"/>
        <v>3.7634408602150504E-2</v>
      </c>
      <c r="R367" s="69">
        <f t="shared" si="3413"/>
        <v>-5.1813471502590858E-3</v>
      </c>
      <c r="S367" s="69">
        <f t="shared" si="3413"/>
        <v>5.2083333333333259E-2</v>
      </c>
      <c r="T367" s="69">
        <f t="shared" si="3413"/>
        <v>3.9603960396039639E-2</v>
      </c>
      <c r="U367" s="69">
        <f t="shared" si="3413"/>
        <v>0.26190476190476186</v>
      </c>
      <c r="V367" s="69">
        <f t="shared" si="3413"/>
        <v>9.811320754716979E-2</v>
      </c>
      <c r="W367" s="69">
        <f t="shared" si="3413"/>
        <v>0.64261168384879719</v>
      </c>
      <c r="X367" s="69">
        <f t="shared" si="3413"/>
        <v>-6.4853556485355623E-2</v>
      </c>
      <c r="Y367" s="69">
        <f t="shared" si="3413"/>
        <v>-9.3959731543624136E-2</v>
      </c>
      <c r="Z367" s="69">
        <f t="shared" si="3413"/>
        <v>0.10370370370370363</v>
      </c>
      <c r="AA367" s="69">
        <f t="shared" si="3413"/>
        <v>-0.32214765100671139</v>
      </c>
      <c r="AB367" s="69">
        <f t="shared" si="3413"/>
        <v>0.15181518151815188</v>
      </c>
      <c r="AC367" s="69">
        <f t="shared" si="3413"/>
        <v>6.5902578796561695E-2</v>
      </c>
      <c r="AD367" s="69">
        <f t="shared" si="3413"/>
        <v>0.11021505376344076</v>
      </c>
      <c r="AE367" s="69">
        <f t="shared" si="3413"/>
        <v>1.937046004842613E-2</v>
      </c>
      <c r="AF367" s="69">
        <f t="shared" si="3413"/>
        <v>-3.0878859857482177E-2</v>
      </c>
      <c r="AG367" s="69">
        <f t="shared" si="3413"/>
        <v>-1.225490196078427E-2</v>
      </c>
      <c r="AH367" s="69">
        <f t="shared" si="3413"/>
        <v>8.9330024813895736E-2</v>
      </c>
      <c r="AI367" s="89">
        <f t="shared" si="3413"/>
        <v>-5.2391799544419082E-2</v>
      </c>
      <c r="AJ367" s="50">
        <f t="shared" ref="AJ367" si="3414">IF(ISERROR(AJ329/AI329),"n.a.",AJ329/AI329-1)</f>
        <v>7.7950171006493374E-3</v>
      </c>
      <c r="AK367" s="50">
        <f t="shared" ref="AK367" si="3415">IF(ISERROR(AK329/AJ329),"n.a.",AK329/AJ329-1)</f>
        <v>3.2354508731905707E-2</v>
      </c>
      <c r="AL367" s="50">
        <f t="shared" ref="AL367" si="3416">IF(ISERROR(AL329/AK329),"n.a.",AL329/AK329-1)</f>
        <v>1.6477703554559131E-2</v>
      </c>
      <c r="AM367" s="50">
        <f t="shared" ref="AM367" si="3417">IF(ISERROR(AM329/AL329),"n.a.",AM329/AL329-1)</f>
        <v>1.7656084450478282E-2</v>
      </c>
      <c r="AN367" s="50">
        <f t="shared" ref="AN367" si="3418">IF(ISERROR(AN329/AM329),"n.a.",AN329/AM329-1)</f>
        <v>8.392579877436912E-3</v>
      </c>
      <c r="AO367" s="50">
        <f t="shared" ref="AO367" si="3419">IF(ISERROR(AO329/AN329),"n.a.",AO329/AN329-1)</f>
        <v>7.8529919210297283E-3</v>
      </c>
      <c r="AP367" s="50">
        <f t="shared" ref="AP367" si="3420">IF(ISERROR(AP329/AO329),"n.a.",AP329/AO329-1)</f>
        <v>-2.4108478853979154E-3</v>
      </c>
      <c r="AQ367" s="50">
        <f t="shared" ref="AQ367" si="3421">IF(ISERROR(AQ329/AP329),"n.a.",AQ329/AP329-1)</f>
        <v>7.8493343881369526E-3</v>
      </c>
      <c r="AR367" s="50">
        <f t="shared" ref="AR367" si="3422">IF(ISERROR(AR329/AQ329),"n.a.",AR329/AQ329-1)</f>
        <v>-3.3056056634248598E-3</v>
      </c>
      <c r="AS367" s="8"/>
      <c r="AT367" s="50">
        <f>IF(ISERROR(AT329/T329),"n.a.",AT329/T329-1)</f>
        <v>0.60000000000000009</v>
      </c>
      <c r="AU367" s="50">
        <f>IF(ISERROR(AU329/AT329),"n.a.",AU329/AT329-1)</f>
        <v>-8.0357142857142905E-2</v>
      </c>
      <c r="AV367" s="50">
        <f>IF(ISERROR(AV329/AU329),"n.a.",AV329/AU329-1)</f>
        <v>-0.15210355987055013</v>
      </c>
      <c r="AW367" s="50">
        <f>IF(ISERROR(AW329/AV329),"n.a.",AW329/AV329-1)</f>
        <v>1.5267175572519109E-2</v>
      </c>
      <c r="AX367" s="50">
        <f t="shared" ref="AX367:BB367" si="3423">IF(ISERROR(AX329/AW329),"n.a.",AX329/AW329-1)</f>
        <v>7.5187969924812581E-3</v>
      </c>
      <c r="AY367" s="50">
        <f t="shared" si="3423"/>
        <v>0.18283582089552231</v>
      </c>
      <c r="AZ367" s="50">
        <f t="shared" si="3423"/>
        <v>0.15457413249211349</v>
      </c>
      <c r="BA367" s="50">
        <f t="shared" si="3423"/>
        <v>5.1912568306010876E-2</v>
      </c>
      <c r="BB367" s="50">
        <f t="shared" si="3423"/>
        <v>7.0129870129870042E-2</v>
      </c>
      <c r="BC367" s="50">
        <f t="shared" ref="BC367" si="3424">IF(ISERROR(BC329/BB329),"n.a.",BC329/BB329-1)</f>
        <v>0.34951456310679618</v>
      </c>
      <c r="BD367" s="50">
        <f t="shared" ref="BD367" si="3425">IF(ISERROR(BD329/BC329),"n.a.",BD329/BC329-1)</f>
        <v>0.66366906474820153</v>
      </c>
      <c r="BE367" s="50">
        <f t="shared" ref="BE367" si="3426">IF(ISERROR(BE329/BD329),"n.a.",BE329/BD329-1)</f>
        <v>-7.891891891891889E-2</v>
      </c>
      <c r="BF367" s="50">
        <f t="shared" ref="BF367" si="3427">IF(ISERROR(BF329/BE329),"n.a.",BF329/BE329-1)</f>
        <v>-0.23474178403755863</v>
      </c>
      <c r="BG367" s="50">
        <f t="shared" ref="BG367" si="3428">IF(ISERROR(BG329/BF329),"n.a.",BG329/BF329-1)</f>
        <v>0.20398773006134974</v>
      </c>
      <c r="BH367" s="50">
        <f t="shared" ref="BH367:BN367" si="3429">IF(ISERROR(BH329/BG329),"n.a.",BH329/BG329-1)</f>
        <v>5.6050955414012726E-2</v>
      </c>
      <c r="BI367" s="51">
        <f t="shared" si="3429"/>
        <v>1.5681544028950611E-2</v>
      </c>
      <c r="BJ367" s="50">
        <f t="shared" si="3429"/>
        <v>-8.0252647103680186E-3</v>
      </c>
      <c r="BK367" s="50">
        <f t="shared" si="3429"/>
        <v>4.4900935093129979E-2</v>
      </c>
      <c r="BL367" s="50">
        <f t="shared" si="3429"/>
        <v>3.0277164922997146E-2</v>
      </c>
      <c r="BM367" s="50">
        <f t="shared" si="3429"/>
        <v>1.084459546526495E-2</v>
      </c>
      <c r="BN367" s="50">
        <f t="shared" si="3429"/>
        <v>4.9692166061947596E-3</v>
      </c>
    </row>
    <row r="368" spans="2:66" ht="12" customHeight="1" outlineLevel="1">
      <c r="B368" s="1" t="s">
        <v>80</v>
      </c>
      <c r="C368" s="50">
        <f>IF(ISERROR(-SUM(C327:C329)/C326),"n.a.",-SUM(C327:C329)/C326)</f>
        <v>1.6038647342995169</v>
      </c>
      <c r="D368" s="50">
        <f>IF(ISERROR(-SUM(D327:D329)/D326),"n.a.",-SUM(D327:D329)/D326)</f>
        <v>0.82845188284518834</v>
      </c>
      <c r="E368" s="50">
        <f t="shared" ref="E368:J368" si="3430">IF(ISERROR(-SUM(E327:E329)/E326),"n.a.",-SUM(E327:E329)/E326)</f>
        <v>0.9148351648351648</v>
      </c>
      <c r="F368" s="50">
        <f t="shared" si="3430"/>
        <v>0.65280289330922248</v>
      </c>
      <c r="G368" s="50">
        <f t="shared" si="3430"/>
        <v>1.0373134328358209</v>
      </c>
      <c r="H368" s="50">
        <f t="shared" si="3430"/>
        <v>0.75641025641025639</v>
      </c>
      <c r="I368" s="50">
        <f t="shared" si="3430"/>
        <v>1.0317460317460319</v>
      </c>
      <c r="J368" s="50">
        <f t="shared" si="3430"/>
        <v>0.6271186440677966</v>
      </c>
      <c r="K368" s="50">
        <f t="shared" ref="K368:L368" si="3431">IF(ISERROR(-SUM(K327:K329)/K326),"n.a.",-SUM(K327:K329)/K326)</f>
        <v>0.760752688172043</v>
      </c>
      <c r="L368" s="50">
        <f t="shared" si="3431"/>
        <v>0.5955056179775281</v>
      </c>
      <c r="M368" s="69">
        <f t="shared" ref="M368:N368" si="3432">IF(ISERROR(-SUM(M327:M329)/M326),"n.a.",-SUM(M327:M329)/M326)</f>
        <v>0.66059225512528474</v>
      </c>
      <c r="N368" s="69">
        <f t="shared" si="3432"/>
        <v>0.551219512195122</v>
      </c>
      <c r="O368" s="69">
        <f t="shared" ref="O368" si="3433">IF(ISERROR(-SUM(O327:O329)/O326),"n.a.",-SUM(O327:O329)/O326)</f>
        <v>0.6705426356589147</v>
      </c>
      <c r="P368" s="69">
        <f t="shared" ref="P368:Q368" si="3434">IF(ISERROR(-SUM(P327:P329)/P326),"n.a.",-SUM(P327:P329)/P326)</f>
        <v>0.568075117370892</v>
      </c>
      <c r="Q368" s="69">
        <f t="shared" si="3434"/>
        <v>0.65905096660808438</v>
      </c>
      <c r="R368" s="69">
        <f t="shared" ref="R368:S368" si="3435">IF(ISERROR(-SUM(R327:R329)/R326),"n.a.",-SUM(R327:R329)/R326)</f>
        <v>0.5447409733124019</v>
      </c>
      <c r="S368" s="69">
        <f t="shared" si="3435"/>
        <v>0.64487632508833925</v>
      </c>
      <c r="T368" s="69">
        <f t="shared" ref="T368:U368" si="3436">IF(ISERROR(-SUM(T327:T329)/T326),"n.a.",-SUM(T327:T329)/T326)</f>
        <v>0.41834451901565994</v>
      </c>
      <c r="U368" s="69">
        <f t="shared" si="3436"/>
        <v>0.49266862170087977</v>
      </c>
      <c r="V368" s="69">
        <f t="shared" ref="V368:W368" si="3437">IF(ISERROR(-SUM(V327:V329)/V326),"n.a.",-SUM(V327:V329)/V326)</f>
        <v>0.31419105466593045</v>
      </c>
      <c r="W368" s="69">
        <f t="shared" si="3437"/>
        <v>0.80582524271844658</v>
      </c>
      <c r="X368" s="69">
        <f t="shared" ref="X368" si="3438">IF(ISERROR(-SUM(X327:X329)/X326),"n.a.",-SUM(X327:X329)/X326)</f>
        <v>0.6182873730043541</v>
      </c>
      <c r="Y368" s="69">
        <f t="shared" ref="Y368:Z368" si="3439">IF(ISERROR(-SUM(Y327:Y329)/Y326),"n.a.",-SUM(Y327:Y329)/Y326)</f>
        <v>1.3289902280130292</v>
      </c>
      <c r="Z368" s="69">
        <f t="shared" si="3439"/>
        <v>0.48837209302325579</v>
      </c>
      <c r="AA368" s="69">
        <f t="shared" ref="AA368:AB368" si="3440">IF(ISERROR(-SUM(AA327:AA329)/AA326),"n.a.",-SUM(AA327:AA329)/AA326)</f>
        <v>0.43795620437956206</v>
      </c>
      <c r="AB368" s="69">
        <f t="shared" si="3440"/>
        <v>0.40119760479041916</v>
      </c>
      <c r="AC368" s="69">
        <f t="shared" ref="AC368:AD368" si="3441">IF(ISERROR(-SUM(AC327:AC329)/AC326),"n.a.",-SUM(AC327:AC329)/AC326)</f>
        <v>0.55244755244755239</v>
      </c>
      <c r="AD368" s="69">
        <f t="shared" si="3441"/>
        <v>0.79255319148936165</v>
      </c>
      <c r="AE368" s="69">
        <f t="shared" ref="AE368:AF368" si="3442">IF(ISERROR(-SUM(AE327:AE329)/AE326),"n.a.",-SUM(AE327:AE329)/AE326)</f>
        <v>0.64590163934426226</v>
      </c>
      <c r="AF368" s="69">
        <f t="shared" si="3442"/>
        <v>0.53879310344827591</v>
      </c>
      <c r="AG368" s="69">
        <f t="shared" ref="AG368:AH368" si="3443">IF(ISERROR(-SUM(AG327:AG329)/AG326),"n.a.",-SUM(AG327:AG329)/AG326)</f>
        <v>0.67336244541484713</v>
      </c>
      <c r="AH368" s="69">
        <f t="shared" si="3443"/>
        <v>0.54454119223040853</v>
      </c>
      <c r="AI368" s="89">
        <f t="shared" ref="AI368" si="3444">IF(ISERROR(-SUM(AI327:AI329)/AI326),"n.a.",-SUM(AI327:AI329)/AI326)</f>
        <v>0.51737967914438499</v>
      </c>
      <c r="AJ368" s="69">
        <f t="shared" ref="AJ368" si="3445">IF(ISERROR(-SUM(AJ327:AJ329)/AJ326),"n.a.",-SUM(AJ327:AJ329)/AJ326)</f>
        <v>0.51783479655854336</v>
      </c>
      <c r="AK368" s="69">
        <f t="shared" ref="AK368:AL368" si="3446">IF(ISERROR(-SUM(AK327:AK329)/AK326),"n.a.",-SUM(AK327:AK329)/AK326)</f>
        <v>0.50421971080970374</v>
      </c>
      <c r="AL368" s="69">
        <f t="shared" si="3446"/>
        <v>0.49798585498755549</v>
      </c>
      <c r="AM368" s="69">
        <f t="shared" ref="AM368:AN368" si="3447">IF(ISERROR(-SUM(AM327:AM329)/AM326),"n.a.",-SUM(AM327:AM329)/AM326)</f>
        <v>0.48594428621188612</v>
      </c>
      <c r="AN368" s="69">
        <f t="shared" si="3447"/>
        <v>0.47458560990584348</v>
      </c>
      <c r="AO368" s="69">
        <f t="shared" ref="AO368:AP368" si="3448">IF(ISERROR(-SUM(AO327:AO329)/AO326),"n.a.",-SUM(AO327:AO329)/AO326)</f>
        <v>0.46072486729933548</v>
      </c>
      <c r="AP368" s="69">
        <f t="shared" si="3448"/>
        <v>0.44942832251532921</v>
      </c>
      <c r="AQ368" s="69">
        <f t="shared" ref="AQ368:AR368" si="3449">IF(ISERROR(-SUM(AQ327:AQ329)/AQ326),"n.a.",-SUM(AQ327:AQ329)/AQ326)</f>
        <v>0.43832264945897387</v>
      </c>
      <c r="AR368" s="69">
        <f t="shared" si="3449"/>
        <v>0.42945693947974689</v>
      </c>
      <c r="AS368" s="8"/>
      <c r="AT368" s="50">
        <f t="shared" ref="AT368:BB368" si="3450">IF(ISERROR(-SUM(AT327:AT329)/AT326),"n.a.",-SUM(AT327:AT329)/AT326)</f>
        <v>1.0627737226277372</v>
      </c>
      <c r="AU368" s="50">
        <f t="shared" si="3450"/>
        <v>0.7568157033805889</v>
      </c>
      <c r="AV368" s="50">
        <f t="shared" si="3450"/>
        <v>0.87082066869300911</v>
      </c>
      <c r="AW368" s="50">
        <f t="shared" si="3450"/>
        <v>0.78045112781954884</v>
      </c>
      <c r="AX368" s="50">
        <f t="shared" si="3450"/>
        <v>0.6707466340269278</v>
      </c>
      <c r="AY368" s="50">
        <f t="shared" si="3450"/>
        <v>0.59677419354838712</v>
      </c>
      <c r="AZ368" s="50">
        <f t="shared" si="3450"/>
        <v>0.61385281385281387</v>
      </c>
      <c r="BA368" s="50">
        <f t="shared" si="3450"/>
        <v>0.59867330016583753</v>
      </c>
      <c r="BB368" s="50">
        <f t="shared" si="3450"/>
        <v>0.50616438356164384</v>
      </c>
      <c r="BC368" s="50">
        <f t="shared" ref="BC368:BH368" si="3451">IF(ISERROR(-SUM(BC327:BC329)/BC326),"n.a.",-SUM(BC327:BC329)/BC326)</f>
        <v>0.3786167960479887</v>
      </c>
      <c r="BD368" s="50">
        <f t="shared" si="3451"/>
        <v>0.70290720828355235</v>
      </c>
      <c r="BE368" s="50">
        <f t="shared" si="3451"/>
        <v>0.71797153024911031</v>
      </c>
      <c r="BF368" s="50">
        <f t="shared" si="3451"/>
        <v>0.41776315789473684</v>
      </c>
      <c r="BG368" s="50">
        <f t="shared" si="3451"/>
        <v>0.65379434216434662</v>
      </c>
      <c r="BH368" s="50">
        <f t="shared" si="3451"/>
        <v>0.5888208269525268</v>
      </c>
      <c r="BI368" s="51">
        <f t="shared" ref="BI368" si="3452">IF(ISERROR(-SUM(BI327:BI329)/BI326),"n.a.",-SUM(BI327:BI329)/BI326)</f>
        <v>0.60045489006823349</v>
      </c>
      <c r="BJ368" s="50">
        <f t="shared" ref="BJ368:BK368" si="3453">IF(ISERROR(-SUM(BJ327:BJ329)/BJ326),"n.a.",-SUM(BJ327:BJ329)/BJ326)</f>
        <v>0.5176069657877016</v>
      </c>
      <c r="BK368" s="50">
        <f t="shared" si="3453"/>
        <v>0.50105859169675182</v>
      </c>
      <c r="BL368" s="50">
        <f t="shared" ref="BL368" si="3454">IF(ISERROR(-SUM(BL327:BL329)/BL326),"n.a.",-SUM(BL327:BL329)/BL326)</f>
        <v>0.48015919132720913</v>
      </c>
      <c r="BM368" s="50">
        <f t="shared" ref="BM368" si="3455">IF(ISERROR(-SUM(BM327:BM329)/BM326),"n.a.",-SUM(BM327:BM329)/BM326)</f>
        <v>0.4549900043908488</v>
      </c>
      <c r="BN368" s="50">
        <f t="shared" ref="BN368" si="3456">IF(ISERROR(-SUM(BN327:BN329)/BN326),"n.a.",-SUM(BN327:BN329)/BN326)</f>
        <v>0.43383225006560716</v>
      </c>
    </row>
    <row r="369" spans="1:66" ht="12" customHeight="1" outlineLevel="1">
      <c r="B369" s="1" t="s">
        <v>81</v>
      </c>
      <c r="C369" s="70">
        <f>IF(ISERROR(C343/C344),"n.a.",C343/C344)</f>
        <v>3.7948087362843066</v>
      </c>
      <c r="D369" s="70">
        <f>IF(ISERROR(D343/D344),"n.a.",D343/D344)</f>
        <v>3.2411087087761663</v>
      </c>
      <c r="E369" s="70">
        <f t="shared" ref="E369:J369" si="3457">IF(ISERROR(E343/E344),"n.a.",E343/E344)</f>
        <v>2.3842513517523609</v>
      </c>
      <c r="F369" s="70">
        <f t="shared" si="3457"/>
        <v>2.4024562995428784</v>
      </c>
      <c r="G369" s="70">
        <f t="shared" si="3457"/>
        <v>2.5499999999999998</v>
      </c>
      <c r="H369" s="70">
        <f t="shared" si="3457"/>
        <v>2.5214285714285714</v>
      </c>
      <c r="I369" s="70">
        <f t="shared" si="3457"/>
        <v>2.3071428571428569</v>
      </c>
      <c r="J369" s="70">
        <f t="shared" si="3457"/>
        <v>2.5827272727272725</v>
      </c>
      <c r="K369" s="70">
        <f t="shared" ref="K369:L369" si="3458">IF(ISERROR(K343/K344),"n.a.",K343/K344)</f>
        <v>2.1315384615384616</v>
      </c>
      <c r="L369" s="70">
        <f t="shared" si="3458"/>
        <v>2.4041666666666668</v>
      </c>
      <c r="M369" s="70">
        <f t="shared" ref="M369:N369" si="3459">IF(ISERROR(M343/M344),"n.a.",M343/M344)</f>
        <v>2.4053846153846155</v>
      </c>
      <c r="N369" s="70">
        <f t="shared" si="3459"/>
        <v>2.2712500000000002</v>
      </c>
      <c r="O369" s="70">
        <f t="shared" ref="O369" si="3460">IF(ISERROR(O343/O344),"n.a.",O343/O344)</f>
        <v>2.3222222222222224</v>
      </c>
      <c r="P369" s="70">
        <f t="shared" ref="P369:Q369" si="3461">IF(ISERROR(P343/P344),"n.a.",P343/P344)</f>
        <v>2.8612500000000001</v>
      </c>
      <c r="Q369" s="70">
        <f t="shared" si="3461"/>
        <v>2.85</v>
      </c>
      <c r="R369" s="70">
        <f t="shared" ref="R369:S369" si="3462">IF(ISERROR(R343/R344),"n.a.",R343/R344)</f>
        <v>2.0711764705882354</v>
      </c>
      <c r="S369" s="70">
        <f t="shared" si="3462"/>
        <v>2.1695652173913045</v>
      </c>
      <c r="T369" s="70">
        <f t="shared" ref="T369:U369" si="3463">IF(ISERROR(T343/T344),"n.a.",T343/T344)</f>
        <v>1.8088461538461538</v>
      </c>
      <c r="U369" s="70">
        <f t="shared" si="3463"/>
        <v>2.682115881722464</v>
      </c>
      <c r="V369" s="70">
        <f t="shared" ref="V369:W369" si="3464">IF(ISERROR(V343/V344),"n.a.",V343/V344)</f>
        <v>2.216170657986515</v>
      </c>
      <c r="W369" s="70">
        <f t="shared" si="3464"/>
        <v>5.77</v>
      </c>
      <c r="X369" s="70">
        <f t="shared" ref="X369" si="3465">IF(ISERROR(X343/X344),"n.a.",X343/X344)</f>
        <v>5.661428571428571</v>
      </c>
      <c r="Y369" s="70">
        <f t="shared" ref="Y369:Z369" si="3466">IF(ISERROR(Y343/Y344),"n.a.",Y343/Y344)</f>
        <v>5.8067647058823528</v>
      </c>
      <c r="Z369" s="70">
        <f t="shared" si="3466"/>
        <v>4.9594871794871791</v>
      </c>
      <c r="AA369" s="70">
        <f t="shared" ref="AA369:AB369" si="3467">IF(ISERROR(AA343/AA344),"n.a.",AA343/AA344)</f>
        <v>4.5982352941176474</v>
      </c>
      <c r="AB369" s="70">
        <f t="shared" si="3467"/>
        <v>4.7459183673469392</v>
      </c>
      <c r="AC369" s="70">
        <f t="shared" ref="AC369:AD369" si="3468">IF(ISERROR(AC343/AC344),"n.a.",AC343/AC344)</f>
        <v>6.3692682926829267</v>
      </c>
      <c r="AD369" s="70">
        <f t="shared" si="3468"/>
        <v>6.781190476190476</v>
      </c>
      <c r="AE369" s="70">
        <f t="shared" ref="AE369:AF369" si="3469">IF(ISERROR(AE343/AE344),"n.a.",AE343/AE344)</f>
        <v>6.6931914893617019</v>
      </c>
      <c r="AF369" s="70">
        <f t="shared" si="3469"/>
        <v>6.2288888888888891</v>
      </c>
      <c r="AG369" s="70">
        <f t="shared" ref="AG369:AH369" si="3470">IF(ISERROR(AG343/AG344),"n.a.",AG343/AG344)</f>
        <v>6.442333333333333</v>
      </c>
      <c r="AH369" s="70">
        <f t="shared" si="3470"/>
        <v>6.0687878787878784</v>
      </c>
      <c r="AI369" s="71">
        <f t="shared" ref="AI369" si="3471">IF(ISERROR(AI343/AI344),"n.a.",AI343/AI344)</f>
        <v>6.5344444444444445</v>
      </c>
      <c r="AJ369" s="72">
        <f t="shared" ref="AJ369:AR369" si="3472">AI369*1.02</f>
        <v>6.6651333333333334</v>
      </c>
      <c r="AK369" s="72">
        <f t="shared" si="3472"/>
        <v>6.7984359999999997</v>
      </c>
      <c r="AL369" s="72">
        <f t="shared" si="3472"/>
        <v>6.9344047199999999</v>
      </c>
      <c r="AM369" s="72">
        <f t="shared" si="3472"/>
        <v>7.0730928143999998</v>
      </c>
      <c r="AN369" s="72">
        <f t="shared" si="3472"/>
        <v>7.2145546706879999</v>
      </c>
      <c r="AO369" s="72">
        <f t="shared" si="3472"/>
        <v>7.3588457641017602</v>
      </c>
      <c r="AP369" s="72">
        <f t="shared" si="3472"/>
        <v>7.5060226793837952</v>
      </c>
      <c r="AQ369" s="72">
        <f t="shared" si="3472"/>
        <v>7.6561431329714713</v>
      </c>
      <c r="AR369" s="72">
        <f t="shared" si="3472"/>
        <v>7.8092659956309012</v>
      </c>
      <c r="AS369" s="8"/>
      <c r="AT369" s="70">
        <f t="shared" ref="AT369:BB369" si="3473">IF(ISERROR(AT343/AT344),"n.a.",AT343/AT344)</f>
        <v>3.2411087087761663</v>
      </c>
      <c r="AU369" s="70">
        <f t="shared" si="3473"/>
        <v>2.4024562995428784</v>
      </c>
      <c r="AV369" s="70">
        <f t="shared" si="3473"/>
        <v>2.5214285714285714</v>
      </c>
      <c r="AW369" s="70">
        <f t="shared" si="3473"/>
        <v>2.5827272727272725</v>
      </c>
      <c r="AX369" s="70">
        <f t="shared" si="3473"/>
        <v>2.4041666666666668</v>
      </c>
      <c r="AY369" s="70">
        <f t="shared" si="3473"/>
        <v>2.2712500000000002</v>
      </c>
      <c r="AZ369" s="70">
        <f t="shared" si="3473"/>
        <v>2.8612500000000001</v>
      </c>
      <c r="BA369" s="70">
        <f t="shared" si="3473"/>
        <v>2.0711764705882354</v>
      </c>
      <c r="BB369" s="70">
        <f t="shared" si="3473"/>
        <v>1.8088461538461538</v>
      </c>
      <c r="BC369" s="70">
        <f t="shared" ref="BC369:BH369" si="3474">IF(ISERROR(BC343/BC344),"n.a.",BC343/BC344)</f>
        <v>2.216170657986515</v>
      </c>
      <c r="BD369" s="70">
        <f t="shared" si="3474"/>
        <v>5.661428571428571</v>
      </c>
      <c r="BE369" s="70">
        <f t="shared" si="3474"/>
        <v>4.9594871794871791</v>
      </c>
      <c r="BF369" s="70">
        <f t="shared" si="3474"/>
        <v>4.7459183673469392</v>
      </c>
      <c r="BG369" s="70">
        <f t="shared" si="3474"/>
        <v>6.781190476190476</v>
      </c>
      <c r="BH369" s="70">
        <f t="shared" si="3474"/>
        <v>6.2288888888888891</v>
      </c>
      <c r="BI369" s="71">
        <f t="shared" ref="BI369" si="3475">IF(ISERROR(BI343/BI344),"n.a.",BI343/BI344)</f>
        <v>6.0687878787878784</v>
      </c>
      <c r="BJ369" s="70">
        <f t="shared" ref="BJ369:BK369" si="3476">IF(ISERROR(BJ343/BJ344),"n.a.",BJ343/BJ344)</f>
        <v>6.6651333333333334</v>
      </c>
      <c r="BK369" s="70">
        <f t="shared" si="3476"/>
        <v>6.9344047200000007</v>
      </c>
      <c r="BL369" s="70">
        <f t="shared" ref="BL369" si="3477">IF(ISERROR(BL343/BL344),"n.a.",BL343/BL344)</f>
        <v>7.2145546706879999</v>
      </c>
      <c r="BM369" s="70">
        <f t="shared" ref="BM369" si="3478">IF(ISERROR(BM343/BM344),"n.a.",BM343/BM344)</f>
        <v>7.5060226793837961</v>
      </c>
      <c r="BN369" s="70">
        <f t="shared" ref="BN369" si="3479">IF(ISERROR(BN343/BN344),"n.a.",BN343/BN344)</f>
        <v>7.8092659956309012</v>
      </c>
    </row>
    <row r="370" spans="1:66" ht="12" customHeight="1" outlineLevel="1">
      <c r="B370" s="1" t="s">
        <v>27</v>
      </c>
      <c r="C370" s="28">
        <f>((-82)*43%+(105+165)*20%+559*30%)/C326</f>
        <v>0.90067632850241541</v>
      </c>
      <c r="D370" s="28">
        <f>((169-(-82))*43%+(217-105+342-165)*20%+(872-559)*30%)/D326</f>
        <v>0.54315899581589955</v>
      </c>
      <c r="E370" s="28">
        <f>(89*43%+(99+45)*20%+157*30%)/E326</f>
        <v>0.31365384615384612</v>
      </c>
      <c r="F370" s="28">
        <f>((294-89)*43%+(197-99+100-45)*20%+(381-157)*30%)/F326</f>
        <v>0.33625678119349001</v>
      </c>
      <c r="G370" s="28">
        <f>(64*43%+(43+11)*20%+138*30%)/G326</f>
        <v>0.29746268656716418</v>
      </c>
      <c r="H370" s="28">
        <f>((193-64)*43%+(93-43+26-11)*20%+(330-138)*30%)/H326</f>
        <v>0.32325641025641022</v>
      </c>
      <c r="I370" s="28">
        <f>(33*43%+(41+68)*20%+80*30%)/I326</f>
        <v>0.23805555555555558</v>
      </c>
      <c r="J370" s="28">
        <f>(140*43%+(45+29)*20%+174*30%)/J326</f>
        <v>0.30799031476997574</v>
      </c>
      <c r="K370" s="28">
        <f>(140*43%+(54+57)*20%+121*30%)/K326</f>
        <v>0.31908602150537635</v>
      </c>
      <c r="L370" s="28">
        <f>((346-140)*43%+((138-54)+(80-57))*20%+(246-121)*30%)/L326</f>
        <v>0.33141573033707872</v>
      </c>
      <c r="M370" s="163">
        <f>((134)*43%+((39)+(54))*20%+(211)*30%)/M326</f>
        <v>0.31781321184510247</v>
      </c>
      <c r="N370" s="163">
        <f>((436-134)*43%+((107-39)+(158-54))*20%+(348-211)*30%)/N326</f>
        <v>0.33391869918699185</v>
      </c>
      <c r="O370" s="163">
        <f>((157)*43%+((32+84))*20%+(243)*30%)/O326</f>
        <v>0.31707364341085276</v>
      </c>
      <c r="P370" s="163">
        <f>((290-157)*43%+((95+265)-(32+84))*20%+(490-243)*30%)/P326</f>
        <v>0.28183098591549294</v>
      </c>
      <c r="Q370" s="163">
        <f>((141)*43%+((3+182))*20%+(233)*30%)/(Q326+Q335)</f>
        <v>0.29969588550983894</v>
      </c>
      <c r="R370" s="163">
        <f>((401-141)*43%+((46+353)-(3+182))*20%+(400-233)*30%)/R326</f>
        <v>0.32135007849293562</v>
      </c>
      <c r="S370" s="163">
        <f>((240)*43%+((8+148))*20%+(185)*30%)/S326</f>
        <v>0.33551236749116609</v>
      </c>
      <c r="T370" s="163">
        <f>((498-240)*(43%+(21%-35%)/2)+(175+505-(8+148))*20%+(292-185)*30%)/(T326+T335)</f>
        <v>0.26320733104238259</v>
      </c>
      <c r="U370" s="163">
        <f>((386)*(43%+(21%-35%))+((-58+324))*20%+(200)*30%)/(U326+U335)</f>
        <v>0.22335317460317461</v>
      </c>
      <c r="V370" s="163">
        <f>((560-386)*(43%+(21%-35%))+((50+695)-(-58+324))*20%+(924-200)*30%)/(V326+V335)</f>
        <v>0.20361904761904764</v>
      </c>
      <c r="W370" s="163">
        <f>((181)*(43%+(21%-35%))+((-86+539))*20%+(143)*30%)/(W326+W335)</f>
        <v>0.16985388127853884</v>
      </c>
      <c r="X370" s="163">
        <f>((252-181)*(43%+(21%-35%))+((235+998)-(-86+539))*20%+(357-143)*30%)/(X326+X335)</f>
        <v>0.17770479704797049</v>
      </c>
      <c r="Y370" s="163">
        <f>((93)*(43%+(21%-35%))+((223+34))*20%+(264)*30%)/(Y326+Y335)</f>
        <v>0.25662866449511401</v>
      </c>
      <c r="Z370" s="163">
        <f>((333-93)*(43%+(21%-35%))+((473+619)-(223+34))*20%+(792-264)*30%)/(Z326+Z335)</f>
        <v>0.2464129756706176</v>
      </c>
      <c r="AA370" s="163">
        <f>((415)*(43%+(21%-35%))+((75+458))*20%+(323)*30%)/(AA326+AA335)</f>
        <v>0.2388274336283186</v>
      </c>
      <c r="AB370" s="163">
        <f>((2824-415)*(43%+(21%-35%))+((123+622)-(75+458))*20%+(634-323)*30%)/(AB326+AB335)</f>
        <v>0.50411480362537764</v>
      </c>
      <c r="AC370" s="163">
        <f>((711)*(43%+(21%-35%))+((141+275))*20%+(148)*30%)/(AC326+AC335)</f>
        <v>0.26179607843137259</v>
      </c>
      <c r="AD370" s="163">
        <f>((925-711)*(43%+(21%-35%))+((259+498)-(141+275))*20%+(556-148)*30%)/(AD326+AD335)</f>
        <v>0.26236760124610592</v>
      </c>
      <c r="AE370" s="163">
        <f>((464)*(43%+(21%-35%))+((135+376))*20%+(232)*30%)/(AE326+AE335)</f>
        <v>0.24846715328467153</v>
      </c>
      <c r="AF370" s="163">
        <f>((981-464)*(43%+(21%-35%))+((226+733)-(135+376))*20%+(651-232)*30%)/(AF326+AF335)</f>
        <v>0.26087857142857146</v>
      </c>
      <c r="AG370" s="163">
        <f>((460)*(43%+(21%-35%))+((184+306))*20%+(177)*30%)/(AG326+AG335)</f>
        <v>0.24462596732588135</v>
      </c>
      <c r="AH370" s="163">
        <f>((460)*(43%+(21%-35%))+((184+306))*20%+(177)*30%)/(AH326+AH335)</f>
        <v>0.18643512450851901</v>
      </c>
      <c r="AI370" s="366">
        <f>((460)*(43%+(21%-35%))+((184+306))*20%+(177)*30%)/(AI326+AI335)</f>
        <v>0.19055592766242466</v>
      </c>
      <c r="AJ370" s="68">
        <f t="shared" ref="AJ370:AJ371" si="3480">AI370</f>
        <v>0.19055592766242466</v>
      </c>
      <c r="AK370" s="68">
        <f t="shared" ref="AK370:AK371" si="3481">AJ370</f>
        <v>0.19055592766242466</v>
      </c>
      <c r="AL370" s="68">
        <f t="shared" ref="AL370:AL371" si="3482">AK370</f>
        <v>0.19055592766242466</v>
      </c>
      <c r="AM370" s="68">
        <f t="shared" ref="AM370:AM371" si="3483">AL370</f>
        <v>0.19055592766242466</v>
      </c>
      <c r="AN370" s="68">
        <f t="shared" ref="AN370:AN371" si="3484">AM370</f>
        <v>0.19055592766242466</v>
      </c>
      <c r="AO370" s="68">
        <f t="shared" ref="AO370:AO371" si="3485">AN370</f>
        <v>0.19055592766242466</v>
      </c>
      <c r="AP370" s="68">
        <f t="shared" ref="AP370:AP371" si="3486">AO370</f>
        <v>0.19055592766242466</v>
      </c>
      <c r="AQ370" s="68">
        <f t="shared" ref="AQ370:AQ371" si="3487">AP370</f>
        <v>0.19055592766242466</v>
      </c>
      <c r="AR370" s="68">
        <f t="shared" ref="AR370:AR371" si="3488">AQ370</f>
        <v>0.19055592766242466</v>
      </c>
      <c r="AS370" s="8"/>
      <c r="AT370" s="44">
        <f>(C370*C326+D370*D326)/AT326</f>
        <v>0.65119708029197076</v>
      </c>
      <c r="AU370" s="44">
        <f>(E370*E326+F370*F326)/AU326</f>
        <v>0.32728462377317336</v>
      </c>
      <c r="AV370" s="44">
        <f>(G370*G326+H370*H326)/AV326</f>
        <v>0.31275075987841938</v>
      </c>
      <c r="AW370" s="44">
        <f>(I370*I326+J370*J326)/AW326</f>
        <v>0.28148872180451123</v>
      </c>
      <c r="AX370" s="44">
        <f>(K370*K326+L370*L326)/AX326</f>
        <v>0.32580171358629134</v>
      </c>
      <c r="AY370" s="44">
        <f>(M370*M326+N370*N326)/AY326</f>
        <v>0.32721062618595825</v>
      </c>
      <c r="AZ370" s="44">
        <f>(O370*O326+P370*P326)/AZ326</f>
        <v>0.29757575757575755</v>
      </c>
      <c r="BA370" s="44">
        <f>(Q370*Q326+R370*R326)/BA326</f>
        <v>0.31113346505397876</v>
      </c>
      <c r="BB370" s="44">
        <f>(S370*S326+T370*T326)/BB326</f>
        <v>0.29123791366567808</v>
      </c>
      <c r="BC370" s="44">
        <f>(U370*U326+V370*V326)/BC326</f>
        <v>0.21074255217259805</v>
      </c>
      <c r="BD370" s="44">
        <f>(W370*W326+X370*X326)/BD326</f>
        <v>0.17416234879358336</v>
      </c>
      <c r="BE370" s="44">
        <f>(Y370*Y326+Z370*Z326)/BE326</f>
        <v>0.24920320384599165</v>
      </c>
      <c r="BF370" s="44">
        <f>(AA370*AA326+AB370*AB326)/BF326</f>
        <v>0.38456095596222933</v>
      </c>
      <c r="BG370" s="44">
        <f>(AC370*AC326+AD370*AD326)/BG326</f>
        <v>0.26203731392569202</v>
      </c>
      <c r="BH370" s="44">
        <f>(AE370*AE326+AF370*AF326)/BH326</f>
        <v>0.25508150782384026</v>
      </c>
      <c r="BI370" s="49">
        <f>(AF370*AF326+AG370*AG326)/BI326</f>
        <v>0.2438361273755518</v>
      </c>
      <c r="BJ370" s="44">
        <f>(AG370*AG326+AH370*AH326)/BJ326</f>
        <v>0.18686899607380078</v>
      </c>
      <c r="BK370" s="44">
        <f>(AI370*AI326+AJ370*AJ326)/BK326</f>
        <v>0.17904355962973362</v>
      </c>
      <c r="BL370" s="44">
        <f>(AJ370*AJ326+AK370*AK326)/BL326</f>
        <v>0.16963360820309289</v>
      </c>
      <c r="BM370" s="44">
        <f>(AK370*AK326+AL370*AL326)/BM326</f>
        <v>0.16296566767020909</v>
      </c>
      <c r="BN370" s="44">
        <f>(AM370*AM326+AN370*AN326)/BN326</f>
        <v>0.16428690581394725</v>
      </c>
    </row>
    <row r="371" spans="1:66" ht="12" customHeight="1" outlineLevel="1">
      <c r="B371" s="1" t="s">
        <v>28</v>
      </c>
      <c r="C371" s="29"/>
      <c r="D371" s="29"/>
      <c r="E371" s="29"/>
      <c r="F371" s="29"/>
      <c r="G371" s="29"/>
      <c r="H371" s="29"/>
      <c r="I371" s="29"/>
      <c r="J371" s="353">
        <f t="shared" ref="J371:AG371" si="3489">-J338/SUM(J332,J336,J337)</f>
        <v>0</v>
      </c>
      <c r="K371" s="353">
        <f t="shared" si="3489"/>
        <v>0</v>
      </c>
      <c r="L371" s="353">
        <f t="shared" si="3489"/>
        <v>0</v>
      </c>
      <c r="M371" s="353">
        <f t="shared" si="3489"/>
        <v>0</v>
      </c>
      <c r="N371" s="353">
        <f t="shared" si="3489"/>
        <v>0</v>
      </c>
      <c r="O371" s="353">
        <f t="shared" si="3489"/>
        <v>0</v>
      </c>
      <c r="P371" s="353">
        <f t="shared" si="3489"/>
        <v>0</v>
      </c>
      <c r="Q371" s="353">
        <f t="shared" si="3489"/>
        <v>0</v>
      </c>
      <c r="R371" s="353">
        <f t="shared" si="3489"/>
        <v>0</v>
      </c>
      <c r="S371" s="353">
        <f t="shared" si="3489"/>
        <v>0</v>
      </c>
      <c r="T371" s="353">
        <f t="shared" si="3489"/>
        <v>0</v>
      </c>
      <c r="U371" s="353">
        <f t="shared" si="3489"/>
        <v>0</v>
      </c>
      <c r="V371" s="353">
        <f t="shared" si="3489"/>
        <v>0</v>
      </c>
      <c r="W371" s="353">
        <f t="shared" si="3489"/>
        <v>0</v>
      </c>
      <c r="X371" s="353">
        <f t="shared" si="3489"/>
        <v>0</v>
      </c>
      <c r="Y371" s="353">
        <f t="shared" si="3489"/>
        <v>0</v>
      </c>
      <c r="Z371" s="353">
        <f t="shared" si="3489"/>
        <v>0</v>
      </c>
      <c r="AA371" s="353">
        <f t="shared" si="3489"/>
        <v>0</v>
      </c>
      <c r="AB371" s="353">
        <f t="shared" si="3489"/>
        <v>0</v>
      </c>
      <c r="AC371" s="157">
        <f t="shared" si="3489"/>
        <v>0.26999999999999996</v>
      </c>
      <c r="AD371" s="157">
        <f t="shared" si="3489"/>
        <v>0.24962361776870218</v>
      </c>
      <c r="AE371" s="157">
        <f t="shared" si="3489"/>
        <v>0.28000000000000003</v>
      </c>
      <c r="AF371" s="157">
        <f t="shared" si="3489"/>
        <v>0.29430824063073757</v>
      </c>
      <c r="AG371" s="157">
        <f t="shared" si="3489"/>
        <v>0.28499999999999992</v>
      </c>
      <c r="AH371" s="157">
        <f>-AH338/SUM(AH332,AH336,AH337)</f>
        <v>0.23544797287491592</v>
      </c>
      <c r="AI371" s="158">
        <f>-AI338/SUM(AI332,AI336,AI337)</f>
        <v>0.28999999999999992</v>
      </c>
      <c r="AJ371" s="68">
        <f t="shared" si="3480"/>
        <v>0.28999999999999992</v>
      </c>
      <c r="AK371" s="68">
        <f t="shared" si="3481"/>
        <v>0.28999999999999992</v>
      </c>
      <c r="AL371" s="68">
        <f t="shared" si="3482"/>
        <v>0.28999999999999992</v>
      </c>
      <c r="AM371" s="68">
        <f t="shared" si="3483"/>
        <v>0.28999999999999992</v>
      </c>
      <c r="AN371" s="68">
        <f t="shared" si="3484"/>
        <v>0.28999999999999992</v>
      </c>
      <c r="AO371" s="68">
        <f t="shared" si="3485"/>
        <v>0.28999999999999992</v>
      </c>
      <c r="AP371" s="68">
        <f t="shared" si="3486"/>
        <v>0.28999999999999992</v>
      </c>
      <c r="AQ371" s="68">
        <f t="shared" si="3487"/>
        <v>0.28999999999999992</v>
      </c>
      <c r="AR371" s="68">
        <f t="shared" si="3488"/>
        <v>0.28999999999999992</v>
      </c>
      <c r="AS371" s="8"/>
      <c r="AT371" s="44"/>
      <c r="AU371" s="44"/>
      <c r="AV371" s="44"/>
      <c r="AW371" s="44"/>
      <c r="AX371" s="44"/>
      <c r="AY371" s="44"/>
      <c r="AZ371" s="44"/>
      <c r="BA371" s="44"/>
      <c r="BB371" s="44"/>
      <c r="BC371" s="44"/>
      <c r="BD371" s="44"/>
      <c r="BE371" s="44"/>
      <c r="BF371" s="44"/>
      <c r="BG371" s="44"/>
      <c r="BH371" s="44"/>
      <c r="BI371" s="49"/>
      <c r="BJ371" s="44"/>
      <c r="BK371" s="44"/>
      <c r="BL371" s="44"/>
      <c r="BM371" s="44"/>
      <c r="BN371" s="44"/>
    </row>
    <row r="372" spans="1:66" ht="12" customHeight="1" outlineLevel="1">
      <c r="B372" s="1" t="s">
        <v>70</v>
      </c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320"/>
      <c r="N372" s="320"/>
      <c r="O372" s="320"/>
      <c r="P372" s="320"/>
      <c r="Q372" s="320"/>
      <c r="R372" s="320"/>
      <c r="S372" s="320"/>
      <c r="T372" s="320"/>
      <c r="U372" s="320"/>
      <c r="V372" s="320"/>
      <c r="W372" s="320"/>
      <c r="X372" s="320"/>
      <c r="Y372" s="320"/>
      <c r="Z372" s="320"/>
      <c r="AA372" s="320"/>
      <c r="AB372" s="320"/>
      <c r="AC372" s="320"/>
      <c r="AD372" s="320"/>
      <c r="AE372" s="320"/>
      <c r="AF372" s="320"/>
      <c r="AG372" s="320"/>
      <c r="AH372" s="320"/>
      <c r="AI372" s="353"/>
      <c r="AJ372" s="68"/>
      <c r="AK372" s="68"/>
      <c r="AL372" s="68"/>
      <c r="AM372" s="68"/>
      <c r="AN372" s="68"/>
      <c r="AO372" s="68"/>
      <c r="AP372" s="68"/>
      <c r="AQ372" s="68"/>
      <c r="AR372" s="68"/>
      <c r="AS372" s="8"/>
      <c r="AT372" s="44"/>
      <c r="AU372" s="44"/>
      <c r="AV372" s="44"/>
      <c r="AW372" s="44"/>
      <c r="AX372" s="44"/>
      <c r="AY372" s="44"/>
      <c r="AZ372" s="44"/>
      <c r="BA372" s="44"/>
      <c r="BB372" s="44"/>
      <c r="BC372" s="44"/>
      <c r="BD372" s="44"/>
      <c r="BE372" s="44"/>
      <c r="BF372" s="44"/>
      <c r="BG372" s="44"/>
      <c r="BH372" s="44"/>
      <c r="BI372" s="49"/>
      <c r="BJ372" s="44"/>
      <c r="BK372" s="44"/>
      <c r="BL372" s="44"/>
      <c r="BM372" s="44"/>
      <c r="BN372" s="44"/>
    </row>
    <row r="373" spans="1:66" ht="12" customHeight="1" outlineLevel="1">
      <c r="B373" s="1" t="s">
        <v>69</v>
      </c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50">
        <f t="shared" ref="AC373:AG373" si="3490">AC$339/AVERAGE(AB$343:AC$343)*AC$5</f>
        <v>1.9998279932087207E-2</v>
      </c>
      <c r="AD373" s="50">
        <f t="shared" si="3490"/>
        <v>9.0916730489951532E-3</v>
      </c>
      <c r="AE373" s="50">
        <f t="shared" si="3490"/>
        <v>1.4106007774570814E-2</v>
      </c>
      <c r="AF373" s="50">
        <f t="shared" si="3490"/>
        <v>1.9517927919623944E-2</v>
      </c>
      <c r="AG373" s="50">
        <f t="shared" si="3490"/>
        <v>1.1795046817349974E-2</v>
      </c>
      <c r="AH373" s="50">
        <f>AH$339/AVERAGE(AG$343:AH$343)*AH$5</f>
        <v>2.0651691018743923E-2</v>
      </c>
      <c r="AI373" s="51">
        <f t="shared" ref="AI373:AR373" si="3491">AI$339/AVERAGE(AH$343:AI$343)*AI$5</f>
        <v>2.2174875632785765E-2</v>
      </c>
      <c r="AJ373" s="50">
        <f t="shared" si="3491"/>
        <v>1.6402534717097475E-2</v>
      </c>
      <c r="AK373" s="50">
        <f t="shared" si="3491"/>
        <v>1.6880222930421913E-2</v>
      </c>
      <c r="AL373" s="50">
        <f t="shared" si="3491"/>
        <v>1.6883810523075481E-2</v>
      </c>
      <c r="AM373" s="50">
        <f t="shared" si="3491"/>
        <v>1.742823941975542E-2</v>
      </c>
      <c r="AN373" s="50">
        <f t="shared" si="3491"/>
        <v>1.7961148250261665E-2</v>
      </c>
      <c r="AO373" s="50">
        <f t="shared" si="3491"/>
        <v>1.8765883528036955E-2</v>
      </c>
      <c r="AP373" s="50">
        <f t="shared" si="3491"/>
        <v>1.9374651594608445E-2</v>
      </c>
      <c r="AQ373" s="50">
        <f t="shared" si="3491"/>
        <v>1.9989030634981017E-2</v>
      </c>
      <c r="AR373" s="50">
        <f t="shared" si="3491"/>
        <v>2.0405420084830605E-2</v>
      </c>
      <c r="AS373" s="8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7"/>
      <c r="BF373" s="37"/>
      <c r="BG373" s="37"/>
      <c r="BH373" s="37"/>
      <c r="BI373" s="38"/>
      <c r="BJ373" s="37"/>
      <c r="BK373" s="37"/>
      <c r="BL373" s="37"/>
      <c r="BM373" s="37"/>
      <c r="BN373" s="37"/>
    </row>
    <row r="374" spans="1:66" ht="12" customHeight="1" outlineLevel="1">
      <c r="B374" s="1" t="s">
        <v>26</v>
      </c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  <c r="AA374" s="44"/>
      <c r="AB374" s="44"/>
      <c r="AC374" s="50">
        <f t="shared" ref="AC374:AG374" si="3492">AC$339/AVERAGE(AB$344:AC$344)*AC$5</f>
        <v>0.1096994535519126</v>
      </c>
      <c r="AD374" s="50">
        <f t="shared" si="3492"/>
        <v>5.980239639878198E-2</v>
      </c>
      <c r="AE374" s="50">
        <f t="shared" si="3492"/>
        <v>9.5000000000000001E-2</v>
      </c>
      <c r="AF374" s="50">
        <f t="shared" si="3492"/>
        <v>0.12579207920792088</v>
      </c>
      <c r="AG374" s="50">
        <f t="shared" si="3492"/>
        <v>7.4795081967213128E-2</v>
      </c>
      <c r="AH374" s="50">
        <f>AH$339/AVERAGE(AG$344:AH$344)*AH$5</f>
        <v>0.12900422989708704</v>
      </c>
      <c r="AI374" s="51">
        <f t="shared" ref="AI374:AR374" si="3493">AI$339/AVERAGE(AH$344:AI$344)*AI$5</f>
        <v>0.13961748633879786</v>
      </c>
      <c r="AJ374" s="50">
        <f t="shared" si="3493"/>
        <v>0.10827443435992029</v>
      </c>
      <c r="AK374" s="50">
        <f t="shared" si="3493"/>
        <v>0.11365352817253463</v>
      </c>
      <c r="AL374" s="50">
        <f t="shared" si="3493"/>
        <v>0.1159487856576793</v>
      </c>
      <c r="AM374" s="50">
        <f t="shared" si="3493"/>
        <v>0.12207548925114901</v>
      </c>
      <c r="AN374" s="50">
        <f t="shared" si="3493"/>
        <v>0.12832235424962415</v>
      </c>
      <c r="AO374" s="50">
        <f t="shared" si="3493"/>
        <v>0.13675091649686694</v>
      </c>
      <c r="AP374" s="50">
        <f t="shared" si="3493"/>
        <v>0.14401034097047566</v>
      </c>
      <c r="AQ374" s="50">
        <f t="shared" si="3493"/>
        <v>0.1515479898282216</v>
      </c>
      <c r="AR374" s="50">
        <f t="shared" si="3493"/>
        <v>0.15779923358633088</v>
      </c>
      <c r="AS374" s="8"/>
      <c r="AT374" s="154"/>
      <c r="AU374" s="154"/>
      <c r="AV374" s="154"/>
      <c r="AW374" s="154"/>
      <c r="AX374" s="154"/>
      <c r="AY374" s="154"/>
      <c r="AZ374" s="154"/>
      <c r="BA374" s="154"/>
      <c r="BB374" s="154"/>
      <c r="BC374" s="154"/>
      <c r="BD374" s="154"/>
      <c r="BE374" s="154"/>
      <c r="BF374" s="154"/>
      <c r="BG374" s="154"/>
      <c r="BH374" s="154"/>
      <c r="BI374" s="76"/>
      <c r="BJ374" s="154"/>
      <c r="BK374" s="154"/>
      <c r="BL374" s="154"/>
      <c r="BM374" s="154"/>
      <c r="BN374" s="154"/>
    </row>
    <row r="375" spans="1:66" ht="12" customHeight="1"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AI375" s="15"/>
      <c r="AJ375" s="19"/>
      <c r="AK375" s="19"/>
      <c r="AL375" s="19"/>
      <c r="AM375" s="19"/>
      <c r="AN375" s="19"/>
      <c r="AO375" s="19"/>
      <c r="AP375" s="19"/>
      <c r="AQ375" s="19"/>
      <c r="AR375" s="19"/>
      <c r="AY375" s="33"/>
    </row>
    <row r="376" spans="1:66" s="9" customFormat="1" ht="12" customHeight="1">
      <c r="A376" s="91"/>
      <c r="B376" s="2" t="s">
        <v>1512</v>
      </c>
      <c r="C376" s="93">
        <f>C403</f>
        <v>564</v>
      </c>
      <c r="D376" s="93">
        <f t="shared" ref="D376:BB376" si="3494">D403</f>
        <v>787</v>
      </c>
      <c r="E376" s="93">
        <f t="shared" si="3494"/>
        <v>309</v>
      </c>
      <c r="F376" s="93">
        <f t="shared" si="3494"/>
        <v>664</v>
      </c>
      <c r="G376" s="93">
        <f t="shared" si="3494"/>
        <v>-5</v>
      </c>
      <c r="H376" s="93">
        <f t="shared" si="3494"/>
        <v>435</v>
      </c>
      <c r="I376" s="93">
        <f t="shared" si="3494"/>
        <v>165</v>
      </c>
      <c r="J376" s="93">
        <f t="shared" si="3494"/>
        <v>498</v>
      </c>
      <c r="K376" s="93">
        <f t="shared" ref="K376" si="3495">K403</f>
        <v>375</v>
      </c>
      <c r="L376" s="93">
        <f t="shared" si="3494"/>
        <v>738</v>
      </c>
      <c r="M376" s="93">
        <f t="shared" ref="M376:N376" si="3496">M403</f>
        <v>417</v>
      </c>
      <c r="N376" s="93">
        <f t="shared" si="3496"/>
        <v>912</v>
      </c>
      <c r="O376" s="93">
        <f t="shared" ref="O376" si="3497">O403</f>
        <v>692</v>
      </c>
      <c r="P376" s="93">
        <f t="shared" ref="P376:Q376" si="3498">P403</f>
        <v>603</v>
      </c>
      <c r="Q376" s="93">
        <f t="shared" si="3498"/>
        <v>695</v>
      </c>
      <c r="R376" s="93">
        <f t="shared" ref="R376:S376" si="3499">R403</f>
        <v>759</v>
      </c>
      <c r="S376" s="93">
        <f t="shared" si="3499"/>
        <v>577</v>
      </c>
      <c r="T376" s="93">
        <f t="shared" ref="T376" si="3500">T403</f>
        <v>1049</v>
      </c>
      <c r="U376" s="93">
        <f t="shared" ref="U376" si="3501">U403</f>
        <v>1373</v>
      </c>
      <c r="V376" s="93">
        <f t="shared" ref="V376:W376" si="3502">V403</f>
        <v>2144</v>
      </c>
      <c r="W376" s="93">
        <f t="shared" si="3502"/>
        <v>614</v>
      </c>
      <c r="X376" s="93">
        <f t="shared" ref="X376" si="3503">X403</f>
        <v>104</v>
      </c>
      <c r="Y376" s="93">
        <f t="shared" ref="Y376:Z376" si="3504">Y403</f>
        <v>528</v>
      </c>
      <c r="Z376" s="93">
        <f t="shared" si="3504"/>
        <v>1148</v>
      </c>
      <c r="AA376" s="93">
        <f t="shared" ref="AA376:AB376" si="3505">AA403</f>
        <v>1362</v>
      </c>
      <c r="AB376" s="93">
        <f t="shared" si="3505"/>
        <v>2072</v>
      </c>
      <c r="AC376" s="93">
        <f t="shared" ref="AC376" si="3506">AC403</f>
        <v>2591</v>
      </c>
      <c r="AD376" s="93">
        <f t="shared" ref="AD376" si="3507">AD403</f>
        <v>4217</v>
      </c>
      <c r="AE376" s="93">
        <f t="shared" ref="AE376:AF376" si="3508">AE403</f>
        <v>1813</v>
      </c>
      <c r="AF376" s="93">
        <f t="shared" si="3508"/>
        <v>2451</v>
      </c>
      <c r="AG376" s="93">
        <f t="shared" ref="AG376:AH376" si="3509">AG403</f>
        <v>1687</v>
      </c>
      <c r="AH376" s="93">
        <f t="shared" si="3509"/>
        <v>2185</v>
      </c>
      <c r="AI376" s="94">
        <f t="shared" ref="AI376:AJ376" si="3510">AI403</f>
        <v>1824</v>
      </c>
      <c r="AJ376" s="93">
        <f t="shared" si="3510"/>
        <v>2730.7758305054622</v>
      </c>
      <c r="AK376" s="93">
        <f t="shared" ref="AK376:AL376" si="3511">AK403</f>
        <v>2353.8701741919413</v>
      </c>
      <c r="AL376" s="93">
        <f t="shared" si="3511"/>
        <v>2675.0968611730432</v>
      </c>
      <c r="AM376" s="93">
        <f t="shared" ref="AM376:AN376" si="3512">AM403</f>
        <v>2557.2002864846813</v>
      </c>
      <c r="AN376" s="93">
        <f t="shared" si="3512"/>
        <v>2991.7067863379589</v>
      </c>
      <c r="AO376" s="93">
        <f t="shared" ref="AO376:AP376" si="3513">AO403</f>
        <v>2790.8217491949017</v>
      </c>
      <c r="AP376" s="93">
        <f t="shared" si="3513"/>
        <v>3252.6820522781863</v>
      </c>
      <c r="AQ376" s="93">
        <f t="shared" ref="AQ376:AR376" si="3514">AQ403</f>
        <v>3086.2957400555511</v>
      </c>
      <c r="AR376" s="93">
        <f t="shared" si="3514"/>
        <v>3483.0253472730574</v>
      </c>
      <c r="AS376" s="93"/>
      <c r="AT376" s="93">
        <f t="shared" ref="AT376:AV376" si="3515">AT403</f>
        <v>1351</v>
      </c>
      <c r="AU376" s="93">
        <f t="shared" si="3515"/>
        <v>973</v>
      </c>
      <c r="AV376" s="93">
        <f t="shared" si="3515"/>
        <v>430</v>
      </c>
      <c r="AW376" s="93">
        <f t="shared" si="3494"/>
        <v>663</v>
      </c>
      <c r="AX376" s="93">
        <f t="shared" si="3494"/>
        <v>1113</v>
      </c>
      <c r="AY376" s="93">
        <f t="shared" si="3494"/>
        <v>1329</v>
      </c>
      <c r="AZ376" s="93">
        <f t="shared" si="3494"/>
        <v>1295</v>
      </c>
      <c r="BA376" s="93">
        <f t="shared" si="3494"/>
        <v>1454</v>
      </c>
      <c r="BB376" s="93">
        <f t="shared" si="3494"/>
        <v>1626</v>
      </c>
      <c r="BC376" s="93">
        <f t="shared" ref="BC376" si="3516">BC403</f>
        <v>3517</v>
      </c>
      <c r="BD376" s="93">
        <f t="shared" ref="BD376:BI376" si="3517">BD403</f>
        <v>2501</v>
      </c>
      <c r="BE376" s="93">
        <f t="shared" si="3517"/>
        <v>3252</v>
      </c>
      <c r="BF376" s="93">
        <f t="shared" si="3517"/>
        <v>5432</v>
      </c>
      <c r="BG376" s="93">
        <f t="shared" si="3517"/>
        <v>6808</v>
      </c>
      <c r="BH376" s="93">
        <f t="shared" si="3517"/>
        <v>4264</v>
      </c>
      <c r="BI376" s="94">
        <f t="shared" si="3517"/>
        <v>3872</v>
      </c>
      <c r="BJ376" s="93">
        <f t="shared" ref="BJ376:BK376" si="3518">BJ403</f>
        <v>3415.7058305054625</v>
      </c>
      <c r="BK376" s="93">
        <f t="shared" si="3518"/>
        <v>3807.0172073649837</v>
      </c>
      <c r="BL376" s="93">
        <f t="shared" ref="BL376:BM376" si="3519">BL403</f>
        <v>4189.5840077714356</v>
      </c>
      <c r="BM376" s="93">
        <f t="shared" si="3519"/>
        <v>4540.3189107672579</v>
      </c>
      <c r="BN376" s="93">
        <f>BN403</f>
        <v>4957.3215494884698</v>
      </c>
    </row>
    <row r="377" spans="1:66" ht="12" hidden="1" customHeight="1" outlineLevel="1"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20"/>
      <c r="AJ377" s="19"/>
      <c r="AK377" s="19"/>
      <c r="AL377" s="19"/>
      <c r="AM377" s="19"/>
      <c r="AN377" s="19"/>
      <c r="AO377" s="19"/>
      <c r="AP377" s="19"/>
      <c r="AQ377" s="19"/>
      <c r="AR377" s="19"/>
    </row>
    <row r="378" spans="1:66" ht="12" hidden="1" customHeight="1" outlineLevel="1">
      <c r="B378" s="9" t="s">
        <v>40</v>
      </c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20"/>
      <c r="AJ378" s="19"/>
      <c r="AK378" s="19"/>
      <c r="AL378" s="19"/>
      <c r="AM378" s="19"/>
      <c r="AN378" s="19"/>
      <c r="AO378" s="19"/>
      <c r="AP378" s="19"/>
      <c r="AQ378" s="19"/>
      <c r="AR378" s="19"/>
    </row>
    <row r="379" spans="1:66" s="9" customFormat="1" ht="12" hidden="1" customHeight="1" outlineLevel="1">
      <c r="A379" s="91" t="s">
        <v>1241</v>
      </c>
      <c r="B379" s="16" t="s">
        <v>6</v>
      </c>
      <c r="C379" s="30">
        <f t="shared" ref="C379:Q379" si="3520">C308+C228</f>
        <v>0</v>
      </c>
      <c r="D379" s="30">
        <f t="shared" si="3520"/>
        <v>0</v>
      </c>
      <c r="E379" s="30">
        <f t="shared" si="3520"/>
        <v>0</v>
      </c>
      <c r="F379" s="30">
        <f t="shared" si="3520"/>
        <v>0</v>
      </c>
      <c r="G379" s="30">
        <f t="shared" si="3520"/>
        <v>0</v>
      </c>
      <c r="H379" s="30">
        <f t="shared" si="3520"/>
        <v>0</v>
      </c>
      <c r="I379" s="30">
        <f t="shared" si="3520"/>
        <v>0</v>
      </c>
      <c r="J379" s="30">
        <f t="shared" si="3520"/>
        <v>0</v>
      </c>
      <c r="K379" s="30">
        <f t="shared" si="3520"/>
        <v>0</v>
      </c>
      <c r="L379" s="30">
        <f t="shared" si="3520"/>
        <v>0</v>
      </c>
      <c r="M379" s="30">
        <f t="shared" si="3520"/>
        <v>0</v>
      </c>
      <c r="N379" s="30">
        <f t="shared" si="3520"/>
        <v>0</v>
      </c>
      <c r="O379" s="30">
        <f t="shared" si="3520"/>
        <v>0</v>
      </c>
      <c r="P379" s="30">
        <f t="shared" si="3520"/>
        <v>0</v>
      </c>
      <c r="Q379" s="30">
        <f t="shared" si="3520"/>
        <v>0</v>
      </c>
      <c r="R379" s="30">
        <f t="shared" ref="R379:S379" si="3521">R308+R228</f>
        <v>0</v>
      </c>
      <c r="S379" s="30">
        <f t="shared" si="3521"/>
        <v>0</v>
      </c>
      <c r="T379" s="30">
        <f t="shared" ref="T379" si="3522">T308+T228</f>
        <v>0</v>
      </c>
      <c r="U379" s="30">
        <f t="shared" ref="U379" si="3523">U308+U228</f>
        <v>18600</v>
      </c>
      <c r="V379" s="30">
        <f t="shared" ref="V379:W379" si="3524">V308+V228</f>
        <v>17850</v>
      </c>
      <c r="W379" s="30">
        <f t="shared" si="3524"/>
        <v>17750</v>
      </c>
      <c r="X379" s="30">
        <f t="shared" ref="X379" si="3525">X308+X228</f>
        <v>19850</v>
      </c>
      <c r="Y379" s="30">
        <f t="shared" ref="Y379:Z379" si="3526">Y308+Y228</f>
        <v>18800</v>
      </c>
      <c r="Z379" s="30">
        <f t="shared" si="3526"/>
        <v>17100</v>
      </c>
      <c r="AA379" s="30">
        <f t="shared" ref="AA379:AB379" si="3527">AA308+AA228</f>
        <v>20150</v>
      </c>
      <c r="AB379" s="30">
        <f t="shared" si="3527"/>
        <v>24850</v>
      </c>
      <c r="AC379" s="30">
        <f t="shared" ref="AC379" si="3528">AC308+AC228</f>
        <v>28950</v>
      </c>
      <c r="AD379" s="30">
        <f t="shared" ref="AD379" si="3529">AD308+AD228</f>
        <v>32350</v>
      </c>
      <c r="AE379" s="30">
        <f t="shared" ref="AE379" si="3530">AE308+AE228</f>
        <v>35050</v>
      </c>
      <c r="AF379" s="30">
        <f t="shared" ref="AF379:AG379" si="3531">AF308+AF228</f>
        <v>37500</v>
      </c>
      <c r="AG379" s="30">
        <f t="shared" si="3531"/>
        <v>39150</v>
      </c>
      <c r="AH379" s="30">
        <f t="shared" ref="AH379" si="3532">AH308+AH228</f>
        <v>41150</v>
      </c>
      <c r="AI379" s="27">
        <f t="shared" ref="AI379:AJ379" si="3533">AI308+AI228</f>
        <v>43300</v>
      </c>
      <c r="AJ379" s="30">
        <f t="shared" si="3533"/>
        <v>44052</v>
      </c>
      <c r="AK379" s="30">
        <f t="shared" ref="AK379:AL379" si="3534">AK308+AK228</f>
        <v>45208.560000000005</v>
      </c>
      <c r="AL379" s="30">
        <f t="shared" si="3534"/>
        <v>46901.8986</v>
      </c>
      <c r="AM379" s="30">
        <f t="shared" ref="AM379:AN379" si="3535">AM308+AM228</f>
        <v>48807.095511000007</v>
      </c>
      <c r="AN379" s="30">
        <f t="shared" si="3535"/>
        <v>50546.197647510009</v>
      </c>
      <c r="AO379" s="30">
        <f t="shared" ref="AO379:AP379" si="3536">AO308+AO228</f>
        <v>52077.803057300116</v>
      </c>
      <c r="AP379" s="30">
        <f t="shared" si="3536"/>
        <v>53364.098440782516</v>
      </c>
      <c r="AQ379" s="30">
        <f t="shared" ref="AQ379:AR379" si="3537">AQ308+AQ228</f>
        <v>54372.601291821862</v>
      </c>
      <c r="AR379" s="30">
        <f t="shared" si="3537"/>
        <v>55242.399119827045</v>
      </c>
      <c r="AT379" s="63">
        <f>SUMPRODUCT(C379:D379,C$5:D$5)/SUM(C$5:D$5)</f>
        <v>0</v>
      </c>
      <c r="AU379" s="63">
        <f>SUMPRODUCT(E379:F379,E$5:F$5)/SUM(E$5:F$5)</f>
        <v>0</v>
      </c>
      <c r="AV379" s="63">
        <f>SUMPRODUCT(G379:H379,G$5:H$5)/SUM(G$5:H$5)</f>
        <v>0</v>
      </c>
      <c r="AW379" s="63">
        <f>SUMPRODUCT(I379:J379,I$5:J$5)/SUM(I$5:J$5)</f>
        <v>0</v>
      </c>
      <c r="AX379" s="63">
        <f>SUMPRODUCT(K379:L379,K$5:L$5)/SUM(K$5:L$5)</f>
        <v>0</v>
      </c>
      <c r="AY379" s="63">
        <f>SUMPRODUCT(M379:N379,M$5:N$5)/SUM(M$5:N$5)</f>
        <v>0</v>
      </c>
      <c r="AZ379" s="63">
        <f>SUMPRODUCT(O379:P379,O$5:P$5)/SUM(O$5:P$5)</f>
        <v>0</v>
      </c>
      <c r="BA379" s="63">
        <f>SUMPRODUCT(Q379:R379,Q$5:R$5)/SUM(Q$5:R$5)</f>
        <v>0</v>
      </c>
      <c r="BB379" s="63">
        <f>SUMPRODUCT(S379:T379,S$5:T$5)/SUM(S$5:T$5)</f>
        <v>0</v>
      </c>
      <c r="BC379" s="63">
        <f>SUMPRODUCT(U379:V379,U$5:V$5)/SUM(U$5:V$5)</f>
        <v>18223.972602739726</v>
      </c>
      <c r="BD379" s="63">
        <f>SUMPRODUCT(W379:X379,W$5:X$5)/SUM(W$5:X$5)</f>
        <v>18800</v>
      </c>
      <c r="BE379" s="63">
        <f>SUMPRODUCT(Y379:Z379,Y$5:Z$5)/SUM(Y$5:Z$5)</f>
        <v>17947.671232876717</v>
      </c>
      <c r="BF379" s="63">
        <f>SUMPRODUCT(AA379:AB379,AA$5:AB$5)/SUM(AA$5:AB$5)</f>
        <v>22506.438356164384</v>
      </c>
      <c r="BG379" s="63">
        <f>SUMPRODUCT(AC379:AD379,AC$5:AD$5)/SUM(AC$5:AD$5)</f>
        <v>30654.657534246577</v>
      </c>
      <c r="BH379" s="63">
        <f>SUMPRODUCT(AE379:AF379,AE$5:AF$5)/SUM(AE$5:AF$5)</f>
        <v>36275</v>
      </c>
      <c r="BI379" s="64">
        <f>SUMPRODUCT(AG379:AH379,AG$5:AH$5)/SUM(AG$5:AH$5)</f>
        <v>40152.739726027394</v>
      </c>
      <c r="BJ379" s="63">
        <f>SUMPRODUCT(AI379:AJ379,AI$5:AJ$5)/SUM(AI$5:AJ$5)</f>
        <v>43677.030136986301</v>
      </c>
      <c r="BK379" s="63">
        <f>SUMPRODUCT(AK379:AL379,AK$5:AL$5)/SUM(AK$5:AL$5)</f>
        <v>46057.548941917812</v>
      </c>
      <c r="BL379" s="63">
        <f>SUMPRODUCT(AM379:AN379,AM$5:AN$5)/SUM(AM$5:AN$5)</f>
        <v>49676.646579255008</v>
      </c>
      <c r="BM379" s="63">
        <f>SUMPRODUCT(AO379:AP379,AO$5:AP$5)/SUM(AO$5:AP$5)</f>
        <v>52722.712797511842</v>
      </c>
      <c r="BN379" s="63">
        <f>SUMPRODUCT(AQ379:AR379,AQ$5:AR$5)/SUM(AQ$5:AR$5)</f>
        <v>54808.691709698433</v>
      </c>
    </row>
    <row r="380" spans="1:66" ht="12" hidden="1" customHeight="1" outlineLevel="1">
      <c r="A380" s="91" t="s">
        <v>1242</v>
      </c>
      <c r="B380" s="1" t="s">
        <v>5</v>
      </c>
      <c r="C380" s="37" t="str">
        <f t="shared" ref="C380:O380" si="3538">IF(ISERROR(C381/C379),"n.a.",C381/C379*C$5)</f>
        <v>n.a.</v>
      </c>
      <c r="D380" s="37" t="str">
        <f t="shared" si="3538"/>
        <v>n.a.</v>
      </c>
      <c r="E380" s="37" t="str">
        <f t="shared" si="3538"/>
        <v>n.a.</v>
      </c>
      <c r="F380" s="37" t="str">
        <f t="shared" si="3538"/>
        <v>n.a.</v>
      </c>
      <c r="G380" s="37" t="str">
        <f t="shared" si="3538"/>
        <v>n.a.</v>
      </c>
      <c r="H380" s="37" t="str">
        <f t="shared" si="3538"/>
        <v>n.a.</v>
      </c>
      <c r="I380" s="37" t="str">
        <f t="shared" si="3538"/>
        <v>n.a.</v>
      </c>
      <c r="J380" s="37" t="str">
        <f t="shared" si="3538"/>
        <v>n.a.</v>
      </c>
      <c r="K380" s="37" t="str">
        <f t="shared" ref="K380:L380" si="3539">IF(ISERROR(K381/K379),"n.a.",K381/K379*K$5)</f>
        <v>n.a.</v>
      </c>
      <c r="L380" s="37" t="str">
        <f t="shared" si="3539"/>
        <v>n.a.</v>
      </c>
      <c r="M380" s="37" t="str">
        <f t="shared" ref="M380" si="3540">IF(ISERROR(M381/M379),"n.a.",M381/M379*M$5)</f>
        <v>n.a.</v>
      </c>
      <c r="N380" s="37" t="str">
        <f t="shared" si="3538"/>
        <v>n.a.</v>
      </c>
      <c r="O380" s="37" t="str">
        <f t="shared" si="3538"/>
        <v>n.a.</v>
      </c>
      <c r="P380" s="37" t="str">
        <f t="shared" ref="P380" si="3541">IF(ISERROR(P381/P379),"n.a.",P381/P379*P$5)</f>
        <v>n.a.</v>
      </c>
      <c r="Q380" s="37" t="str">
        <f t="shared" ref="Q380:R380" si="3542">IF(ISERROR(Q381/Q379),"n.a.",Q381/Q379*Q$5)</f>
        <v>n.a.</v>
      </c>
      <c r="R380" s="37" t="str">
        <f t="shared" si="3542"/>
        <v>n.a.</v>
      </c>
      <c r="S380" s="37" t="str">
        <f t="shared" ref="S380" si="3543">IF(ISERROR(S381/S379),"n.a.",S381/S379*S$5)</f>
        <v>n.a.</v>
      </c>
      <c r="T380" s="37" t="str">
        <f t="shared" ref="T380" si="3544">IF(ISERROR(T381/T379),"n.a.",T381/T379*T$5)</f>
        <v>n.a.</v>
      </c>
      <c r="U380" s="37">
        <f t="shared" ref="U380" si="3545">IF(ISERROR(U381/U379),"n.a.",U381/U379*U$5)</f>
        <v>0</v>
      </c>
      <c r="V380" s="37">
        <f t="shared" ref="V380:W380" si="3546">IF(ISERROR(V381/V379),"n.a.",V381/V379*V$5)</f>
        <v>0</v>
      </c>
      <c r="W380" s="37">
        <f t="shared" si="3546"/>
        <v>0</v>
      </c>
      <c r="X380" s="37">
        <f t="shared" ref="X380" si="3547">IF(ISERROR(X381/X379),"n.a.",X381/X379*X$5)</f>
        <v>0</v>
      </c>
      <c r="Y380" s="37">
        <f t="shared" ref="Y380:Z380" si="3548">IF(ISERROR(Y381/Y379),"n.a.",Y381/Y379*Y$5)</f>
        <v>0</v>
      </c>
      <c r="Z380" s="37">
        <f t="shared" si="3548"/>
        <v>0</v>
      </c>
      <c r="AA380" s="37">
        <f t="shared" ref="AA380:AB380" si="3549">IF(ISERROR(AA381/AA379),"n.a.",AA381/AA379*AA$5)</f>
        <v>0</v>
      </c>
      <c r="AB380" s="37">
        <f t="shared" si="3549"/>
        <v>0</v>
      </c>
      <c r="AC380" s="37">
        <f t="shared" ref="AC380" si="3550">IF(ISERROR(AC381/AC379),"n.a.",AC381/AC379*AC$5)</f>
        <v>0</v>
      </c>
      <c r="AD380" s="37">
        <f t="shared" ref="AD380" si="3551">IF(ISERROR(AD381/AD379),"n.a.",AD381/AD379*AD$5)</f>
        <v>0</v>
      </c>
      <c r="AE380" s="37">
        <f t="shared" ref="AE380" si="3552">IF(ISERROR(AE381/AE379),"n.a.",AE381/AE379*AE$5)</f>
        <v>0</v>
      </c>
      <c r="AF380" s="37">
        <f t="shared" ref="AF380:AG380" si="3553">IF(ISERROR(AF381/AF379),"n.a.",AF381/AF379*AF$5)</f>
        <v>0</v>
      </c>
      <c r="AG380" s="37">
        <f t="shared" si="3553"/>
        <v>0</v>
      </c>
      <c r="AH380" s="37">
        <f t="shared" ref="AH380" si="3554">IF(ISERROR(AH381/AH379),"n.a.",AH381/AH379*AH$5)</f>
        <v>0</v>
      </c>
      <c r="AI380" s="38">
        <f t="shared" ref="AI380" si="3555">IF(ISERROR(AI381/AI379),"n.a.",AI381/AI379*AI$5)</f>
        <v>0</v>
      </c>
      <c r="AJ380" s="37">
        <f t="shared" ref="AJ380:AK380" si="3556">IF(ISERROR(AJ381/AJ379),"n.a.",AJ381/AJ379*AJ$5)</f>
        <v>0</v>
      </c>
      <c r="AK380" s="37">
        <f t="shared" si="3556"/>
        <v>0</v>
      </c>
      <c r="AL380" s="37">
        <f t="shared" ref="AL380:AM380" si="3557">IF(ISERROR(AL381/AL379),"n.a.",AL381/AL379*AL$5)</f>
        <v>0</v>
      </c>
      <c r="AM380" s="37">
        <f t="shared" si="3557"/>
        <v>0</v>
      </c>
      <c r="AN380" s="37">
        <f t="shared" ref="AN380:AO380" si="3558">IF(ISERROR(AN381/AN379),"n.a.",AN381/AN379*AN$5)</f>
        <v>0</v>
      </c>
      <c r="AO380" s="37">
        <f t="shared" si="3558"/>
        <v>0</v>
      </c>
      <c r="AP380" s="37">
        <f t="shared" ref="AP380:AQ380" si="3559">IF(ISERROR(AP381/AP379),"n.a.",AP381/AP379*AP$5)</f>
        <v>0</v>
      </c>
      <c r="AQ380" s="37">
        <f t="shared" si="3559"/>
        <v>0</v>
      </c>
      <c r="AR380" s="37">
        <f t="shared" ref="AR380" si="3560">IF(ISERROR(AR381/AR379),"n.a.",AR381/AR379*AR$5)</f>
        <v>0</v>
      </c>
      <c r="AT380" s="37" t="str">
        <f t="shared" ref="AT380:AW380" si="3561">IF(ISERROR(AT381/AT379),"n.a.",AT381/AT379*AT$5)</f>
        <v>n.a.</v>
      </c>
      <c r="AU380" s="37" t="str">
        <f t="shared" si="3561"/>
        <v>n.a.</v>
      </c>
      <c r="AV380" s="37" t="str">
        <f t="shared" si="3561"/>
        <v>n.a.</v>
      </c>
      <c r="AW380" s="37" t="str">
        <f t="shared" si="3561"/>
        <v>n.a.</v>
      </c>
      <c r="AX380" s="37" t="str">
        <f t="shared" ref="AX380:BC380" si="3562">IF(ISERROR(AX381/AX379),"n.a.",AX381/AX379*AX$5)</f>
        <v>n.a.</v>
      </c>
      <c r="AY380" s="37" t="str">
        <f t="shared" si="3562"/>
        <v>n.a.</v>
      </c>
      <c r="AZ380" s="37" t="str">
        <f t="shared" si="3562"/>
        <v>n.a.</v>
      </c>
      <c r="BA380" s="37" t="str">
        <f t="shared" si="3562"/>
        <v>n.a.</v>
      </c>
      <c r="BB380" s="37" t="str">
        <f t="shared" si="3562"/>
        <v>n.a.</v>
      </c>
      <c r="BC380" s="37">
        <f t="shared" si="3562"/>
        <v>0</v>
      </c>
      <c r="BD380" s="37">
        <f>IF(ISERROR(BD381/BD379),"n.a.",BD381/BD379*BD$5)</f>
        <v>0</v>
      </c>
      <c r="BE380" s="37">
        <f>IF(ISERROR(BE381/BE379),"n.a.",BE381/BE379*BE$5)</f>
        <v>0</v>
      </c>
      <c r="BF380" s="37">
        <f>IF(ISERROR(BF381/BF379),"n.a.",BF381/BF379*BF$5)</f>
        <v>0</v>
      </c>
      <c r="BG380" s="37">
        <f t="shared" ref="BG380:BH380" si="3563">IF(ISERROR(BG381/BG379),"n.a.",BG381/BG379*BG$5)</f>
        <v>0</v>
      </c>
      <c r="BH380" s="37">
        <f t="shared" si="3563"/>
        <v>0</v>
      </c>
      <c r="BI380" s="38">
        <f t="shared" ref="BI380:BJ380" si="3564">IF(ISERROR(BI381/BI379),"n.a.",BI381/BI379*BI$5)</f>
        <v>0</v>
      </c>
      <c r="BJ380" s="37">
        <f t="shared" si="3564"/>
        <v>0</v>
      </c>
      <c r="BK380" s="37">
        <f t="shared" ref="BK380:BL380" si="3565">IF(ISERROR(BK381/BK379),"n.a.",BK381/BK379*BK$5)</f>
        <v>0</v>
      </c>
      <c r="BL380" s="37">
        <f t="shared" si="3565"/>
        <v>0</v>
      </c>
      <c r="BM380" s="37">
        <f t="shared" ref="BM380" si="3566">IF(ISERROR(BM381/BM379),"n.a.",BM381/BM379*BM$5)</f>
        <v>0</v>
      </c>
      <c r="BN380" s="37">
        <f>IF(ISERROR(BN381/BN379),"n.a.",BN381/BN379*BO$5)</f>
        <v>0</v>
      </c>
    </row>
    <row r="381" spans="1:66" s="9" customFormat="1" ht="12" hidden="1" customHeight="1" outlineLevel="1">
      <c r="A381" s="91" t="s">
        <v>1243</v>
      </c>
      <c r="B381" s="9" t="s">
        <v>7</v>
      </c>
      <c r="C381" s="30">
        <f t="shared" ref="C381:Q381" si="3567">C310+C230</f>
        <v>-33</v>
      </c>
      <c r="D381" s="30">
        <f t="shared" si="3567"/>
        <v>-10</v>
      </c>
      <c r="E381" s="30">
        <f t="shared" si="3567"/>
        <v>-112</v>
      </c>
      <c r="F381" s="30">
        <f t="shared" si="3567"/>
        <v>-44</v>
      </c>
      <c r="G381" s="30">
        <f t="shared" si="3567"/>
        <v>-44</v>
      </c>
      <c r="H381" s="30">
        <f t="shared" si="3567"/>
        <v>-33</v>
      </c>
      <c r="I381" s="30">
        <f t="shared" si="3567"/>
        <v>-30</v>
      </c>
      <c r="J381" s="30">
        <f t="shared" si="3567"/>
        <v>-15</v>
      </c>
      <c r="K381" s="30">
        <f t="shared" si="3567"/>
        <v>0</v>
      </c>
      <c r="L381" s="30">
        <f t="shared" si="3567"/>
        <v>3</v>
      </c>
      <c r="M381" s="30">
        <f t="shared" si="3567"/>
        <v>0</v>
      </c>
      <c r="N381" s="30">
        <f t="shared" si="3567"/>
        <v>0</v>
      </c>
      <c r="O381" s="30">
        <f t="shared" si="3567"/>
        <v>0</v>
      </c>
      <c r="P381" s="30">
        <f t="shared" si="3567"/>
        <v>0</v>
      </c>
      <c r="Q381" s="30">
        <f t="shared" si="3567"/>
        <v>0</v>
      </c>
      <c r="R381" s="30">
        <f t="shared" ref="R381:S381" si="3568">R310+R230</f>
        <v>0</v>
      </c>
      <c r="S381" s="30">
        <f t="shared" si="3568"/>
        <v>0</v>
      </c>
      <c r="T381" s="30">
        <f t="shared" ref="T381" si="3569">T310+T230</f>
        <v>0</v>
      </c>
      <c r="U381" s="30">
        <f t="shared" ref="U381" si="3570">U310+U230</f>
        <v>0</v>
      </c>
      <c r="V381" s="30">
        <f t="shared" ref="V381:W381" si="3571">V310+V230</f>
        <v>0</v>
      </c>
      <c r="W381" s="30">
        <f t="shared" si="3571"/>
        <v>0</v>
      </c>
      <c r="X381" s="30">
        <f t="shared" ref="X381" si="3572">X310+X230</f>
        <v>0</v>
      </c>
      <c r="Y381" s="30">
        <f t="shared" ref="Y381:Z381" si="3573">Y310+Y230</f>
        <v>0</v>
      </c>
      <c r="Z381" s="30">
        <f t="shared" si="3573"/>
        <v>0</v>
      </c>
      <c r="AA381" s="30">
        <f t="shared" ref="AA381:AB381" si="3574">AA310+AA230</f>
        <v>0</v>
      </c>
      <c r="AB381" s="30">
        <f t="shared" si="3574"/>
        <v>0</v>
      </c>
      <c r="AC381" s="30">
        <f t="shared" ref="AC381" si="3575">AC310+AC230</f>
        <v>0</v>
      </c>
      <c r="AD381" s="30">
        <f t="shared" ref="AD381" si="3576">AD310+AD230</f>
        <v>0</v>
      </c>
      <c r="AE381" s="30">
        <f t="shared" ref="AE381" si="3577">AE310+AE230</f>
        <v>0</v>
      </c>
      <c r="AF381" s="30">
        <f t="shared" ref="AF381:AG381" si="3578">AF310+AF230</f>
        <v>0</v>
      </c>
      <c r="AG381" s="30">
        <f t="shared" si="3578"/>
        <v>0</v>
      </c>
      <c r="AH381" s="30">
        <f t="shared" ref="AH381" si="3579">AH310+AH230</f>
        <v>0</v>
      </c>
      <c r="AI381" s="27">
        <f t="shared" ref="AI381" si="3580">AI310+AI230</f>
        <v>0</v>
      </c>
      <c r="AJ381" s="30">
        <f t="shared" ref="AJ381:AK381" si="3581">AJ310+AJ230</f>
        <v>0</v>
      </c>
      <c r="AK381" s="30">
        <f t="shared" si="3581"/>
        <v>0</v>
      </c>
      <c r="AL381" s="30">
        <f t="shared" ref="AL381:AM381" si="3582">AL310+AL230</f>
        <v>0</v>
      </c>
      <c r="AM381" s="30">
        <f t="shared" si="3582"/>
        <v>0</v>
      </c>
      <c r="AN381" s="30">
        <f t="shared" ref="AN381:AO381" si="3583">AN310+AN230</f>
        <v>0</v>
      </c>
      <c r="AO381" s="30">
        <f t="shared" si="3583"/>
        <v>0</v>
      </c>
      <c r="AP381" s="30">
        <f t="shared" ref="AP381:AQ381" si="3584">AP310+AP230</f>
        <v>0</v>
      </c>
      <c r="AQ381" s="30">
        <f t="shared" si="3584"/>
        <v>0</v>
      </c>
      <c r="AR381" s="30">
        <f t="shared" ref="AR381" si="3585">AR310+AR230</f>
        <v>0</v>
      </c>
      <c r="AT381" s="39">
        <f t="shared" ref="AT381:AT388" si="3586">C381+D381</f>
        <v>-43</v>
      </c>
      <c r="AU381" s="39">
        <f t="shared" ref="AU381:AU388" si="3587">E381+F381</f>
        <v>-156</v>
      </c>
      <c r="AV381" s="39">
        <f t="shared" ref="AV381:AV388" si="3588">G381+H381</f>
        <v>-77</v>
      </c>
      <c r="AW381" s="39">
        <f t="shared" ref="AW381:AW388" si="3589">I381+J381</f>
        <v>-45</v>
      </c>
      <c r="AX381" s="39">
        <f t="shared" ref="AX381:AX388" si="3590">K381+L381</f>
        <v>3</v>
      </c>
      <c r="AY381" s="39">
        <f t="shared" ref="AY381:AY388" si="3591">M381+N381</f>
        <v>0</v>
      </c>
      <c r="AZ381" s="39">
        <f t="shared" ref="AZ381:AZ388" si="3592">O381+P381</f>
        <v>0</v>
      </c>
      <c r="BA381" s="39">
        <f t="shared" ref="BA381:BA388" si="3593">Q381+R381</f>
        <v>0</v>
      </c>
      <c r="BB381" s="39">
        <f t="shared" ref="BB381:BB388" si="3594">S381+T381</f>
        <v>0</v>
      </c>
      <c r="BC381" s="39">
        <f t="shared" ref="BC381:BC388" si="3595">U381+V381</f>
        <v>0</v>
      </c>
      <c r="BD381" s="39">
        <f t="shared" ref="BD381:BD388" si="3596">W381+X381</f>
        <v>0</v>
      </c>
      <c r="BE381" s="39">
        <f t="shared" ref="BE381:BE388" si="3597">Y381+Z381</f>
        <v>0</v>
      </c>
      <c r="BF381" s="39">
        <f t="shared" ref="BF381:BF388" si="3598">AA381+AB381</f>
        <v>0</v>
      </c>
      <c r="BG381" s="39">
        <f t="shared" ref="BG381:BG388" si="3599">AC381+AD381</f>
        <v>0</v>
      </c>
      <c r="BH381" s="39">
        <f t="shared" ref="BH381:BH388" si="3600">AE381+AF381</f>
        <v>0</v>
      </c>
      <c r="BI381" s="40">
        <f t="shared" ref="BI381:BI388" si="3601">AG381+AH381</f>
        <v>0</v>
      </c>
      <c r="BJ381" s="39">
        <f t="shared" ref="BJ381:BJ388" si="3602">AI381+AJ381</f>
        <v>0</v>
      </c>
      <c r="BK381" s="39">
        <f t="shared" ref="BK381:BK388" si="3603">AK381+AL381</f>
        <v>0</v>
      </c>
      <c r="BL381" s="39">
        <f t="shared" ref="BL381:BL388" si="3604">AM381+AN381</f>
        <v>0</v>
      </c>
      <c r="BM381" s="39">
        <f t="shared" ref="BM381:BM388" si="3605">AO381+AP381</f>
        <v>0</v>
      </c>
      <c r="BN381" s="39">
        <f t="shared" ref="BN381:BN388" si="3606">AQ381+AR381</f>
        <v>0</v>
      </c>
    </row>
    <row r="382" spans="1:66" ht="12" hidden="1" customHeight="1" outlineLevel="1">
      <c r="A382" s="91" t="s">
        <v>1244</v>
      </c>
      <c r="B382" s="1" t="s">
        <v>31</v>
      </c>
      <c r="C382" s="25">
        <f t="shared" ref="C382:Q382" si="3607">C311+C231</f>
        <v>25</v>
      </c>
      <c r="D382" s="25">
        <f t="shared" si="3607"/>
        <v>5</v>
      </c>
      <c r="E382" s="25">
        <f t="shared" si="3607"/>
        <v>1</v>
      </c>
      <c r="F382" s="25">
        <f t="shared" si="3607"/>
        <v>1</v>
      </c>
      <c r="G382" s="25">
        <f t="shared" si="3607"/>
        <v>1</v>
      </c>
      <c r="H382" s="25">
        <f t="shared" si="3607"/>
        <v>-1</v>
      </c>
      <c r="I382" s="25">
        <f t="shared" si="3607"/>
        <v>1</v>
      </c>
      <c r="J382" s="25">
        <f t="shared" si="3607"/>
        <v>1</v>
      </c>
      <c r="K382" s="25">
        <f t="shared" si="3607"/>
        <v>2</v>
      </c>
      <c r="L382" s="25">
        <f t="shared" si="3607"/>
        <v>1</v>
      </c>
      <c r="M382" s="25">
        <f t="shared" si="3607"/>
        <v>3</v>
      </c>
      <c r="N382" s="25">
        <f t="shared" si="3607"/>
        <v>1</v>
      </c>
      <c r="O382" s="25">
        <f t="shared" si="3607"/>
        <v>7</v>
      </c>
      <c r="P382" s="25">
        <f t="shared" si="3607"/>
        <v>6</v>
      </c>
      <c r="Q382" s="25">
        <f t="shared" si="3607"/>
        <v>4</v>
      </c>
      <c r="R382" s="25">
        <f t="shared" ref="R382:S382" si="3608">R311+R231</f>
        <v>2</v>
      </c>
      <c r="S382" s="25">
        <f t="shared" si="3608"/>
        <v>29</v>
      </c>
      <c r="T382" s="25">
        <f t="shared" ref="T382" si="3609">T311+T231</f>
        <v>35</v>
      </c>
      <c r="U382" s="25">
        <f t="shared" ref="U382" si="3610">U311+U231</f>
        <v>20</v>
      </c>
      <c r="V382" s="25">
        <f t="shared" ref="V382:W382" si="3611">V311+V231</f>
        <v>17</v>
      </c>
      <c r="W382" s="25">
        <f t="shared" si="3611"/>
        <v>17</v>
      </c>
      <c r="X382" s="25">
        <f t="shared" ref="X382" si="3612">X311+X231</f>
        <v>15</v>
      </c>
      <c r="Y382" s="25">
        <f t="shared" ref="Y382:Z382" si="3613">Y311+Y231</f>
        <v>14</v>
      </c>
      <c r="Z382" s="25">
        <f t="shared" si="3613"/>
        <v>12</v>
      </c>
      <c r="AA382" s="25">
        <f t="shared" ref="AA382:AB382" si="3614">AA311+AA231</f>
        <v>12</v>
      </c>
      <c r="AB382" s="25">
        <f t="shared" si="3614"/>
        <v>13</v>
      </c>
      <c r="AC382" s="25">
        <f t="shared" ref="AC382" si="3615">AC311+AC231</f>
        <v>0</v>
      </c>
      <c r="AD382" s="25">
        <f t="shared" ref="AD382" si="3616">AD311+AD231</f>
        <v>0</v>
      </c>
      <c r="AE382" s="25">
        <f t="shared" ref="AE382" si="3617">AE311+AE231</f>
        <v>0</v>
      </c>
      <c r="AF382" s="25">
        <f t="shared" ref="AF382:AG382" si="3618">AF311+AF231</f>
        <v>0</v>
      </c>
      <c r="AG382" s="25">
        <f t="shared" si="3618"/>
        <v>0</v>
      </c>
      <c r="AH382" s="25">
        <f t="shared" ref="AH382" si="3619">AH311+AH231</f>
        <v>0</v>
      </c>
      <c r="AI382" s="26">
        <f t="shared" ref="AI382" si="3620">AI311+AI231</f>
        <v>0</v>
      </c>
      <c r="AJ382" s="25">
        <f t="shared" ref="AJ382:AK382" si="3621">AJ311+AJ231</f>
        <v>0</v>
      </c>
      <c r="AK382" s="25">
        <f t="shared" si="3621"/>
        <v>0</v>
      </c>
      <c r="AL382" s="25">
        <f t="shared" ref="AL382:AM382" si="3622">AL311+AL231</f>
        <v>0</v>
      </c>
      <c r="AM382" s="25">
        <f t="shared" si="3622"/>
        <v>0</v>
      </c>
      <c r="AN382" s="25">
        <f t="shared" ref="AN382:AO382" si="3623">AN311+AN231</f>
        <v>0</v>
      </c>
      <c r="AO382" s="25">
        <f t="shared" si="3623"/>
        <v>0</v>
      </c>
      <c r="AP382" s="25">
        <f t="shared" ref="AP382:AQ382" si="3624">AP311+AP231</f>
        <v>0</v>
      </c>
      <c r="AQ382" s="25">
        <f t="shared" si="3624"/>
        <v>0</v>
      </c>
      <c r="AR382" s="25">
        <f t="shared" ref="AR382" si="3625">AR311+AR231</f>
        <v>0</v>
      </c>
      <c r="AT382" s="41">
        <f t="shared" si="3586"/>
        <v>30</v>
      </c>
      <c r="AU382" s="41">
        <f t="shared" si="3587"/>
        <v>2</v>
      </c>
      <c r="AV382" s="41">
        <f t="shared" si="3588"/>
        <v>0</v>
      </c>
      <c r="AW382" s="41">
        <f t="shared" si="3589"/>
        <v>2</v>
      </c>
      <c r="AX382" s="41">
        <f t="shared" si="3590"/>
        <v>3</v>
      </c>
      <c r="AY382" s="41">
        <f t="shared" si="3591"/>
        <v>4</v>
      </c>
      <c r="AZ382" s="41">
        <f t="shared" si="3592"/>
        <v>13</v>
      </c>
      <c r="BA382" s="41">
        <f t="shared" si="3593"/>
        <v>6</v>
      </c>
      <c r="BB382" s="41">
        <f t="shared" si="3594"/>
        <v>64</v>
      </c>
      <c r="BC382" s="41">
        <f t="shared" si="3595"/>
        <v>37</v>
      </c>
      <c r="BD382" s="41">
        <f t="shared" si="3596"/>
        <v>32</v>
      </c>
      <c r="BE382" s="41">
        <f t="shared" si="3597"/>
        <v>26</v>
      </c>
      <c r="BF382" s="41">
        <f t="shared" si="3598"/>
        <v>25</v>
      </c>
      <c r="BG382" s="41">
        <f t="shared" si="3599"/>
        <v>0</v>
      </c>
      <c r="BH382" s="41">
        <f t="shared" si="3600"/>
        <v>0</v>
      </c>
      <c r="BI382" s="42">
        <f t="shared" si="3601"/>
        <v>0</v>
      </c>
      <c r="BJ382" s="41">
        <f t="shared" si="3602"/>
        <v>0</v>
      </c>
      <c r="BK382" s="41">
        <f t="shared" si="3603"/>
        <v>0</v>
      </c>
      <c r="BL382" s="41">
        <f t="shared" si="3604"/>
        <v>0</v>
      </c>
      <c r="BM382" s="41">
        <f t="shared" si="3605"/>
        <v>0</v>
      </c>
      <c r="BN382" s="41">
        <f t="shared" si="3606"/>
        <v>0</v>
      </c>
    </row>
    <row r="383" spans="1:66" ht="12" hidden="1" customHeight="1" outlineLevel="1">
      <c r="A383" s="91" t="s">
        <v>1245</v>
      </c>
      <c r="B383" s="1" t="s">
        <v>30</v>
      </c>
      <c r="C383" s="25">
        <f t="shared" ref="C383:Q383" si="3626">C312+C232</f>
        <v>0</v>
      </c>
      <c r="D383" s="25">
        <f t="shared" si="3626"/>
        <v>0</v>
      </c>
      <c r="E383" s="25">
        <f t="shared" si="3626"/>
        <v>0</v>
      </c>
      <c r="F383" s="25">
        <f t="shared" si="3626"/>
        <v>0</v>
      </c>
      <c r="G383" s="25">
        <f t="shared" si="3626"/>
        <v>0</v>
      </c>
      <c r="H383" s="25">
        <f t="shared" si="3626"/>
        <v>0</v>
      </c>
      <c r="I383" s="25">
        <f t="shared" si="3626"/>
        <v>0</v>
      </c>
      <c r="J383" s="25">
        <f t="shared" si="3626"/>
        <v>0</v>
      </c>
      <c r="K383" s="25">
        <f t="shared" si="3626"/>
        <v>0</v>
      </c>
      <c r="L383" s="25">
        <f t="shared" si="3626"/>
        <v>0</v>
      </c>
      <c r="M383" s="25">
        <f t="shared" si="3626"/>
        <v>0</v>
      </c>
      <c r="N383" s="25">
        <f t="shared" si="3626"/>
        <v>0</v>
      </c>
      <c r="O383" s="25">
        <f t="shared" si="3626"/>
        <v>0</v>
      </c>
      <c r="P383" s="25">
        <f t="shared" si="3626"/>
        <v>0</v>
      </c>
      <c r="Q383" s="25">
        <f t="shared" si="3626"/>
        <v>0</v>
      </c>
      <c r="R383" s="25">
        <f t="shared" ref="R383:S383" si="3627">R312+R232</f>
        <v>0</v>
      </c>
      <c r="S383" s="25">
        <f t="shared" si="3627"/>
        <v>0</v>
      </c>
      <c r="T383" s="25">
        <f t="shared" ref="T383" si="3628">T312+T232</f>
        <v>0</v>
      </c>
      <c r="U383" s="25">
        <f t="shared" ref="U383" si="3629">U312+U232</f>
        <v>0</v>
      </c>
      <c r="V383" s="25">
        <f t="shared" ref="V383:W383" si="3630">V312+V232</f>
        <v>0</v>
      </c>
      <c r="W383" s="25">
        <f t="shared" si="3630"/>
        <v>0</v>
      </c>
      <c r="X383" s="25">
        <f t="shared" ref="X383" si="3631">X312+X232</f>
        <v>0</v>
      </c>
      <c r="Y383" s="25">
        <f t="shared" ref="Y383:Z383" si="3632">Y312+Y232</f>
        <v>0</v>
      </c>
      <c r="Z383" s="25">
        <f t="shared" si="3632"/>
        <v>0</v>
      </c>
      <c r="AA383" s="25">
        <f t="shared" ref="AA383:AB383" si="3633">AA312+AA232</f>
        <v>0</v>
      </c>
      <c r="AB383" s="25">
        <f t="shared" si="3633"/>
        <v>0</v>
      </c>
      <c r="AC383" s="25">
        <f t="shared" ref="AC383" si="3634">AC312+AC232</f>
        <v>0</v>
      </c>
      <c r="AD383" s="25">
        <f t="shared" ref="AD383" si="3635">AD312+AD232</f>
        <v>0</v>
      </c>
      <c r="AE383" s="25">
        <f t="shared" ref="AE383" si="3636">AE312+AE232</f>
        <v>0</v>
      </c>
      <c r="AF383" s="25">
        <f t="shared" ref="AF383:AG383" si="3637">AF312+AF232</f>
        <v>0</v>
      </c>
      <c r="AG383" s="25">
        <f t="shared" si="3637"/>
        <v>0</v>
      </c>
      <c r="AH383" s="25">
        <f t="shared" ref="AH383" si="3638">AH312+AH232</f>
        <v>0</v>
      </c>
      <c r="AI383" s="26">
        <f t="shared" ref="AI383" si="3639">AI312+AI232</f>
        <v>0</v>
      </c>
      <c r="AJ383" s="25">
        <f t="shared" ref="AJ383:AK383" si="3640">AJ312+AJ232</f>
        <v>0</v>
      </c>
      <c r="AK383" s="25">
        <f t="shared" si="3640"/>
        <v>0</v>
      </c>
      <c r="AL383" s="25">
        <f t="shared" ref="AL383:AM383" si="3641">AL312+AL232</f>
        <v>0</v>
      </c>
      <c r="AM383" s="25">
        <f t="shared" si="3641"/>
        <v>0</v>
      </c>
      <c r="AN383" s="25">
        <f t="shared" ref="AN383:AO383" si="3642">AN312+AN232</f>
        <v>0</v>
      </c>
      <c r="AO383" s="25">
        <f t="shared" si="3642"/>
        <v>0</v>
      </c>
      <c r="AP383" s="25">
        <f t="shared" ref="AP383:AQ383" si="3643">AP312+AP232</f>
        <v>0</v>
      </c>
      <c r="AQ383" s="25">
        <f t="shared" si="3643"/>
        <v>0</v>
      </c>
      <c r="AR383" s="25">
        <f t="shared" ref="AR383" si="3644">AR312+AR232</f>
        <v>0</v>
      </c>
      <c r="AT383" s="41">
        <f>C383+D383</f>
        <v>0</v>
      </c>
      <c r="AU383" s="41">
        <f t="shared" si="3587"/>
        <v>0</v>
      </c>
      <c r="AV383" s="41">
        <f t="shared" si="3588"/>
        <v>0</v>
      </c>
      <c r="AW383" s="41">
        <f t="shared" si="3589"/>
        <v>0</v>
      </c>
      <c r="AX383" s="41">
        <f t="shared" si="3590"/>
        <v>0</v>
      </c>
      <c r="AY383" s="41">
        <f t="shared" si="3591"/>
        <v>0</v>
      </c>
      <c r="AZ383" s="41">
        <f t="shared" si="3592"/>
        <v>0</v>
      </c>
      <c r="BA383" s="41">
        <f t="shared" si="3593"/>
        <v>0</v>
      </c>
      <c r="BB383" s="41">
        <f t="shared" si="3594"/>
        <v>0</v>
      </c>
      <c r="BC383" s="41">
        <f t="shared" si="3595"/>
        <v>0</v>
      </c>
      <c r="BD383" s="41">
        <f t="shared" si="3596"/>
        <v>0</v>
      </c>
      <c r="BE383" s="41">
        <f t="shared" si="3597"/>
        <v>0</v>
      </c>
      <c r="BF383" s="41">
        <f t="shared" si="3598"/>
        <v>0</v>
      </c>
      <c r="BG383" s="41">
        <f t="shared" si="3599"/>
        <v>0</v>
      </c>
      <c r="BH383" s="41">
        <f t="shared" si="3600"/>
        <v>0</v>
      </c>
      <c r="BI383" s="42">
        <f t="shared" si="3601"/>
        <v>0</v>
      </c>
      <c r="BJ383" s="41">
        <f t="shared" si="3602"/>
        <v>0</v>
      </c>
      <c r="BK383" s="41">
        <f t="shared" si="3603"/>
        <v>0</v>
      </c>
      <c r="BL383" s="41">
        <f t="shared" si="3604"/>
        <v>0</v>
      </c>
      <c r="BM383" s="41">
        <f t="shared" si="3605"/>
        <v>0</v>
      </c>
      <c r="BN383" s="41">
        <f t="shared" si="3606"/>
        <v>0</v>
      </c>
    </row>
    <row r="384" spans="1:66" ht="12" hidden="1" customHeight="1" outlineLevel="1">
      <c r="A384" s="91" t="s">
        <v>1246</v>
      </c>
      <c r="B384" s="1" t="s">
        <v>32</v>
      </c>
      <c r="C384" s="25">
        <f t="shared" ref="C384:Q384" si="3645">C313+C233</f>
        <v>35</v>
      </c>
      <c r="D384" s="25">
        <f t="shared" si="3645"/>
        <v>0</v>
      </c>
      <c r="E384" s="25">
        <f t="shared" si="3645"/>
        <v>1</v>
      </c>
      <c r="F384" s="25">
        <f t="shared" si="3645"/>
        <v>5</v>
      </c>
      <c r="G384" s="25">
        <f t="shared" si="3645"/>
        <v>0</v>
      </c>
      <c r="H384" s="25">
        <f t="shared" si="3645"/>
        <v>5</v>
      </c>
      <c r="I384" s="25">
        <f t="shared" si="3645"/>
        <v>0</v>
      </c>
      <c r="J384" s="25">
        <f t="shared" si="3645"/>
        <v>0</v>
      </c>
      <c r="K384" s="25">
        <f t="shared" si="3645"/>
        <v>1</v>
      </c>
      <c r="L384" s="25">
        <f t="shared" si="3645"/>
        <v>1</v>
      </c>
      <c r="M384" s="25">
        <f t="shared" si="3645"/>
        <v>0</v>
      </c>
      <c r="N384" s="25">
        <f t="shared" si="3645"/>
        <v>0</v>
      </c>
      <c r="O384" s="25">
        <f t="shared" si="3645"/>
        <v>20</v>
      </c>
      <c r="P384" s="25">
        <f t="shared" si="3645"/>
        <v>1</v>
      </c>
      <c r="Q384" s="25">
        <f t="shared" si="3645"/>
        <v>0</v>
      </c>
      <c r="R384" s="25">
        <f t="shared" ref="R384:S384" si="3646">R313+R233</f>
        <v>0</v>
      </c>
      <c r="S384" s="25">
        <f t="shared" si="3646"/>
        <v>0</v>
      </c>
      <c r="T384" s="25">
        <f t="shared" ref="T384" si="3647">T313+T233</f>
        <v>0</v>
      </c>
      <c r="U384" s="25">
        <f t="shared" ref="U384" si="3648">U313+U233</f>
        <v>0</v>
      </c>
      <c r="V384" s="25">
        <f t="shared" ref="V384:W384" si="3649">V313+V233</f>
        <v>94</v>
      </c>
      <c r="W384" s="25">
        <f t="shared" si="3649"/>
        <v>0</v>
      </c>
      <c r="X384" s="25">
        <f t="shared" ref="X384" si="3650">X313+X233</f>
        <v>0</v>
      </c>
      <c r="Y384" s="25">
        <f t="shared" ref="Y384:Z384" si="3651">Y313+Y233</f>
        <v>0</v>
      </c>
      <c r="Z384" s="25">
        <f t="shared" si="3651"/>
        <v>0</v>
      </c>
      <c r="AA384" s="25">
        <f t="shared" ref="AA384:AB384" si="3652">AA313+AA233</f>
        <v>0</v>
      </c>
      <c r="AB384" s="25">
        <f t="shared" si="3652"/>
        <v>0</v>
      </c>
      <c r="AC384" s="25">
        <f t="shared" ref="AC384" si="3653">AC313+AC233</f>
        <v>0</v>
      </c>
      <c r="AD384" s="25">
        <f t="shared" ref="AD384" si="3654">AD313+AD233</f>
        <v>0</v>
      </c>
      <c r="AE384" s="25">
        <f t="shared" ref="AE384" si="3655">AE313+AE233</f>
        <v>0</v>
      </c>
      <c r="AF384" s="25">
        <f t="shared" ref="AF384:AG384" si="3656">AF313+AF233</f>
        <v>1</v>
      </c>
      <c r="AG384" s="25">
        <f t="shared" si="3656"/>
        <v>0</v>
      </c>
      <c r="AH384" s="25">
        <f t="shared" ref="AH384" si="3657">AH313+AH233</f>
        <v>0</v>
      </c>
      <c r="AI384" s="26">
        <f t="shared" ref="AI384" si="3658">AI313+AI233</f>
        <v>0</v>
      </c>
      <c r="AJ384" s="25">
        <f t="shared" ref="AJ384:AK384" si="3659">AJ313+AJ233</f>
        <v>0</v>
      </c>
      <c r="AK384" s="25">
        <f t="shared" si="3659"/>
        <v>0</v>
      </c>
      <c r="AL384" s="25">
        <f t="shared" ref="AL384:AM384" si="3660">AL313+AL233</f>
        <v>0</v>
      </c>
      <c r="AM384" s="25">
        <f t="shared" si="3660"/>
        <v>0</v>
      </c>
      <c r="AN384" s="25">
        <f t="shared" ref="AN384:AO384" si="3661">AN313+AN233</f>
        <v>0</v>
      </c>
      <c r="AO384" s="25">
        <f t="shared" si="3661"/>
        <v>0</v>
      </c>
      <c r="AP384" s="25">
        <f t="shared" ref="AP384:AQ384" si="3662">AP313+AP233</f>
        <v>0</v>
      </c>
      <c r="AQ384" s="25">
        <f t="shared" si="3662"/>
        <v>0</v>
      </c>
      <c r="AR384" s="25">
        <f t="shared" ref="AR384" si="3663">AR313+AR233</f>
        <v>0</v>
      </c>
      <c r="AT384" s="41">
        <f t="shared" si="3586"/>
        <v>35</v>
      </c>
      <c r="AU384" s="41">
        <f t="shared" si="3587"/>
        <v>6</v>
      </c>
      <c r="AV384" s="41">
        <f t="shared" si="3588"/>
        <v>5</v>
      </c>
      <c r="AW384" s="41">
        <f t="shared" si="3589"/>
        <v>0</v>
      </c>
      <c r="AX384" s="41">
        <f t="shared" si="3590"/>
        <v>2</v>
      </c>
      <c r="AY384" s="41">
        <f t="shared" si="3591"/>
        <v>0</v>
      </c>
      <c r="AZ384" s="41">
        <f t="shared" si="3592"/>
        <v>21</v>
      </c>
      <c r="BA384" s="41">
        <f t="shared" si="3593"/>
        <v>0</v>
      </c>
      <c r="BB384" s="41">
        <f t="shared" si="3594"/>
        <v>0</v>
      </c>
      <c r="BC384" s="41">
        <f t="shared" si="3595"/>
        <v>94</v>
      </c>
      <c r="BD384" s="41">
        <f t="shared" si="3596"/>
        <v>0</v>
      </c>
      <c r="BE384" s="41">
        <f t="shared" si="3597"/>
        <v>0</v>
      </c>
      <c r="BF384" s="41">
        <f t="shared" si="3598"/>
        <v>0</v>
      </c>
      <c r="BG384" s="41">
        <f t="shared" si="3599"/>
        <v>0</v>
      </c>
      <c r="BH384" s="41">
        <f t="shared" si="3600"/>
        <v>1</v>
      </c>
      <c r="BI384" s="42">
        <f t="shared" si="3601"/>
        <v>0</v>
      </c>
      <c r="BJ384" s="41">
        <f t="shared" si="3602"/>
        <v>0</v>
      </c>
      <c r="BK384" s="41">
        <f t="shared" si="3603"/>
        <v>0</v>
      </c>
      <c r="BL384" s="41">
        <f t="shared" si="3604"/>
        <v>0</v>
      </c>
      <c r="BM384" s="41">
        <f t="shared" si="3605"/>
        <v>0</v>
      </c>
      <c r="BN384" s="41">
        <f t="shared" si="3606"/>
        <v>0</v>
      </c>
    </row>
    <row r="385" spans="1:66" ht="12" hidden="1" customHeight="1" outlineLevel="1">
      <c r="A385" s="91" t="s">
        <v>1247</v>
      </c>
      <c r="B385" s="1" t="s">
        <v>33</v>
      </c>
      <c r="C385" s="25">
        <f t="shared" ref="C385:Q385" si="3664">C314+C234</f>
        <v>0</v>
      </c>
      <c r="D385" s="25">
        <f t="shared" si="3664"/>
        <v>0</v>
      </c>
      <c r="E385" s="25">
        <f t="shared" si="3664"/>
        <v>0</v>
      </c>
      <c r="F385" s="25">
        <f t="shared" si="3664"/>
        <v>0</v>
      </c>
      <c r="G385" s="25">
        <f t="shared" si="3664"/>
        <v>0</v>
      </c>
      <c r="H385" s="25">
        <f t="shared" si="3664"/>
        <v>0</v>
      </c>
      <c r="I385" s="25">
        <f t="shared" si="3664"/>
        <v>0</v>
      </c>
      <c r="J385" s="25">
        <f t="shared" si="3664"/>
        <v>0</v>
      </c>
      <c r="K385" s="25">
        <f t="shared" si="3664"/>
        <v>0</v>
      </c>
      <c r="L385" s="25">
        <f t="shared" si="3664"/>
        <v>0</v>
      </c>
      <c r="M385" s="25">
        <f t="shared" si="3664"/>
        <v>0</v>
      </c>
      <c r="N385" s="25">
        <f t="shared" si="3664"/>
        <v>0</v>
      </c>
      <c r="O385" s="25">
        <f t="shared" si="3664"/>
        <v>0</v>
      </c>
      <c r="P385" s="25">
        <f t="shared" si="3664"/>
        <v>0</v>
      </c>
      <c r="Q385" s="25">
        <f t="shared" si="3664"/>
        <v>0</v>
      </c>
      <c r="R385" s="25">
        <f t="shared" ref="R385:S385" si="3665">R314+R234</f>
        <v>0</v>
      </c>
      <c r="S385" s="25">
        <f t="shared" si="3665"/>
        <v>0</v>
      </c>
      <c r="T385" s="25">
        <f t="shared" ref="T385" si="3666">T314+T234</f>
        <v>0</v>
      </c>
      <c r="U385" s="25">
        <f t="shared" ref="U385" si="3667">U314+U234</f>
        <v>0</v>
      </c>
      <c r="V385" s="25">
        <f t="shared" ref="V385:W385" si="3668">V314+V234</f>
        <v>0</v>
      </c>
      <c r="W385" s="25">
        <f t="shared" si="3668"/>
        <v>0</v>
      </c>
      <c r="X385" s="25">
        <f t="shared" ref="X385" si="3669">X314+X234</f>
        <v>0</v>
      </c>
      <c r="Y385" s="25">
        <f t="shared" ref="Y385:Z385" si="3670">Y314+Y234</f>
        <v>0</v>
      </c>
      <c r="Z385" s="25">
        <f t="shared" si="3670"/>
        <v>7</v>
      </c>
      <c r="AA385" s="25">
        <f t="shared" ref="AA385:AB385" si="3671">AA314+AA234</f>
        <v>0</v>
      </c>
      <c r="AB385" s="25">
        <f t="shared" si="3671"/>
        <v>1</v>
      </c>
      <c r="AC385" s="25">
        <f t="shared" ref="AC385" si="3672">AC314+AC234</f>
        <v>0</v>
      </c>
      <c r="AD385" s="25">
        <f t="shared" ref="AD385" si="3673">AD314+AD234</f>
        <v>0</v>
      </c>
      <c r="AE385" s="25">
        <f t="shared" ref="AE385" si="3674">AE314+AE234</f>
        <v>0</v>
      </c>
      <c r="AF385" s="25">
        <f t="shared" ref="AF385:AG385" si="3675">AF314+AF234</f>
        <v>0</v>
      </c>
      <c r="AG385" s="25">
        <f t="shared" si="3675"/>
        <v>0</v>
      </c>
      <c r="AH385" s="25">
        <f t="shared" ref="AH385" si="3676">AH314+AH234</f>
        <v>0</v>
      </c>
      <c r="AI385" s="26">
        <f t="shared" ref="AI385" si="3677">AI314+AI234</f>
        <v>0</v>
      </c>
      <c r="AJ385" s="25">
        <f t="shared" ref="AJ385:AK385" si="3678">AJ314+AJ234</f>
        <v>0</v>
      </c>
      <c r="AK385" s="25">
        <f t="shared" si="3678"/>
        <v>0</v>
      </c>
      <c r="AL385" s="25">
        <f t="shared" ref="AL385:AM385" si="3679">AL314+AL234</f>
        <v>0</v>
      </c>
      <c r="AM385" s="25">
        <f t="shared" si="3679"/>
        <v>0</v>
      </c>
      <c r="AN385" s="25">
        <f t="shared" ref="AN385:AO385" si="3680">AN314+AN234</f>
        <v>0</v>
      </c>
      <c r="AO385" s="25">
        <f t="shared" si="3680"/>
        <v>0</v>
      </c>
      <c r="AP385" s="25">
        <f t="shared" ref="AP385:AQ385" si="3681">AP314+AP234</f>
        <v>0</v>
      </c>
      <c r="AQ385" s="25">
        <f t="shared" si="3681"/>
        <v>0</v>
      </c>
      <c r="AR385" s="25">
        <f t="shared" ref="AR385" si="3682">AR314+AR234</f>
        <v>0</v>
      </c>
      <c r="AT385" s="41">
        <f t="shared" si="3586"/>
        <v>0</v>
      </c>
      <c r="AU385" s="41">
        <f t="shared" si="3587"/>
        <v>0</v>
      </c>
      <c r="AV385" s="41">
        <f t="shared" si="3588"/>
        <v>0</v>
      </c>
      <c r="AW385" s="41">
        <f t="shared" si="3589"/>
        <v>0</v>
      </c>
      <c r="AX385" s="41">
        <f t="shared" si="3590"/>
        <v>0</v>
      </c>
      <c r="AY385" s="41">
        <f t="shared" si="3591"/>
        <v>0</v>
      </c>
      <c r="AZ385" s="41">
        <f t="shared" si="3592"/>
        <v>0</v>
      </c>
      <c r="BA385" s="41">
        <f t="shared" si="3593"/>
        <v>0</v>
      </c>
      <c r="BB385" s="41">
        <f t="shared" si="3594"/>
        <v>0</v>
      </c>
      <c r="BC385" s="41">
        <f t="shared" si="3595"/>
        <v>0</v>
      </c>
      <c r="BD385" s="41">
        <f t="shared" si="3596"/>
        <v>0</v>
      </c>
      <c r="BE385" s="41">
        <f t="shared" si="3597"/>
        <v>7</v>
      </c>
      <c r="BF385" s="41">
        <f t="shared" si="3598"/>
        <v>1</v>
      </c>
      <c r="BG385" s="41">
        <f t="shared" si="3599"/>
        <v>0</v>
      </c>
      <c r="BH385" s="41">
        <f t="shared" si="3600"/>
        <v>0</v>
      </c>
      <c r="BI385" s="42">
        <f t="shared" si="3601"/>
        <v>0</v>
      </c>
      <c r="BJ385" s="41">
        <f t="shared" si="3602"/>
        <v>0</v>
      </c>
      <c r="BK385" s="41">
        <f t="shared" si="3603"/>
        <v>0</v>
      </c>
      <c r="BL385" s="41">
        <f t="shared" si="3604"/>
        <v>0</v>
      </c>
      <c r="BM385" s="41">
        <f t="shared" si="3605"/>
        <v>0</v>
      </c>
      <c r="BN385" s="41">
        <f t="shared" si="3606"/>
        <v>0</v>
      </c>
    </row>
    <row r="386" spans="1:66" ht="12" hidden="1" customHeight="1" outlineLevel="1">
      <c r="A386" s="91" t="s">
        <v>1248</v>
      </c>
      <c r="B386" s="1" t="s">
        <v>20</v>
      </c>
      <c r="C386" s="25">
        <f t="shared" ref="C386:Q386" si="3683">C315+C235</f>
        <v>546</v>
      </c>
      <c r="D386" s="25">
        <f t="shared" si="3683"/>
        <v>450</v>
      </c>
      <c r="E386" s="25">
        <f t="shared" si="3683"/>
        <v>376</v>
      </c>
      <c r="F386" s="25">
        <f t="shared" si="3683"/>
        <v>477</v>
      </c>
      <c r="G386" s="25">
        <f t="shared" si="3683"/>
        <v>313</v>
      </c>
      <c r="H386" s="25">
        <f t="shared" si="3683"/>
        <v>322</v>
      </c>
      <c r="I386" s="25">
        <f t="shared" si="3683"/>
        <v>273</v>
      </c>
      <c r="J386" s="25">
        <f t="shared" si="3683"/>
        <v>267</v>
      </c>
      <c r="K386" s="25">
        <f t="shared" si="3683"/>
        <v>288</v>
      </c>
      <c r="L386" s="25">
        <f t="shared" si="3683"/>
        <v>379</v>
      </c>
      <c r="M386" s="25">
        <f t="shared" si="3683"/>
        <v>332</v>
      </c>
      <c r="N386" s="25">
        <f t="shared" si="3683"/>
        <v>465</v>
      </c>
      <c r="O386" s="25">
        <f t="shared" si="3683"/>
        <v>501</v>
      </c>
      <c r="P386" s="25">
        <f t="shared" si="3683"/>
        <v>369</v>
      </c>
      <c r="Q386" s="25">
        <f t="shared" si="3683"/>
        <v>416</v>
      </c>
      <c r="R386" s="25">
        <f t="shared" ref="R386:S386" si="3684">R315+R235</f>
        <v>471</v>
      </c>
      <c r="S386" s="25">
        <f t="shared" si="3684"/>
        <v>422</v>
      </c>
      <c r="T386" s="25">
        <f t="shared" ref="T386" si="3685">T315+T235</f>
        <v>423</v>
      </c>
      <c r="U386" s="25">
        <f t="shared" ref="U386" si="3686">U315+U235</f>
        <v>526</v>
      </c>
      <c r="V386" s="25">
        <f t="shared" ref="V386:W386" si="3687">V315+V235</f>
        <v>497</v>
      </c>
      <c r="W386" s="25">
        <f t="shared" si="3687"/>
        <v>415</v>
      </c>
      <c r="X386" s="25">
        <f t="shared" ref="X386" si="3688">X315+X235</f>
        <v>536</v>
      </c>
      <c r="Y386" s="25">
        <f t="shared" ref="Y386:Z386" si="3689">Y315+Y235</f>
        <v>397.2456030150754</v>
      </c>
      <c r="Z386" s="25">
        <f t="shared" si="3689"/>
        <v>431.2952261306533</v>
      </c>
      <c r="AA386" s="25">
        <f t="shared" ref="AA386:AB386" si="3690">AA315+AA235</f>
        <v>618</v>
      </c>
      <c r="AB386" s="25">
        <f t="shared" si="3690"/>
        <v>755</v>
      </c>
      <c r="AC386" s="25">
        <f t="shared" ref="AC386" si="3691">AC315+AC235</f>
        <v>438</v>
      </c>
      <c r="AD386" s="25">
        <f t="shared" ref="AD386" si="3692">AD315+AD235</f>
        <v>413.3743718592965</v>
      </c>
      <c r="AE386" s="25">
        <f t="shared" ref="AE386" si="3693">AE315+AE235</f>
        <v>408</v>
      </c>
      <c r="AF386" s="25">
        <f t="shared" ref="AF386:AG386" si="3694">AF315+AF235</f>
        <v>335</v>
      </c>
      <c r="AG386" s="25">
        <f t="shared" si="3694"/>
        <v>413</v>
      </c>
      <c r="AH386" s="25">
        <f t="shared" ref="AH386" si="3695">AH315+AH235</f>
        <v>503</v>
      </c>
      <c r="AI386" s="26">
        <f t="shared" ref="AI386" si="3696">AI315+AI235</f>
        <v>558</v>
      </c>
      <c r="AJ386" s="25">
        <f t="shared" ref="AJ386:AK386" si="3697">AJ315+AJ235</f>
        <v>440.125</v>
      </c>
      <c r="AK386" s="25">
        <f t="shared" si="3697"/>
        <v>513.36</v>
      </c>
      <c r="AL386" s="25">
        <f t="shared" ref="AL386:AM386" si="3698">AL315+AL235</f>
        <v>510.54499999999996</v>
      </c>
      <c r="AM386" s="25">
        <f t="shared" si="3698"/>
        <v>528.76080000000002</v>
      </c>
      <c r="AN386" s="25">
        <f t="shared" ref="AN386:AO386" si="3699">AN315+AN235</f>
        <v>530.96679999999992</v>
      </c>
      <c r="AO386" s="25">
        <f t="shared" si="3699"/>
        <v>549.91123200000004</v>
      </c>
      <c r="AP386" s="25">
        <f t="shared" ref="AP386:AQ386" si="3700">AP315+AP235</f>
        <v>552.20547199999999</v>
      </c>
      <c r="AQ386" s="25">
        <f t="shared" si="3700"/>
        <v>571.90768128000002</v>
      </c>
      <c r="AR386" s="25">
        <f t="shared" ref="AR386" si="3701">AR315+AR235</f>
        <v>574.29369087999999</v>
      </c>
      <c r="AT386" s="41">
        <f t="shared" si="3586"/>
        <v>996</v>
      </c>
      <c r="AU386" s="41">
        <f t="shared" si="3587"/>
        <v>853</v>
      </c>
      <c r="AV386" s="41">
        <f t="shared" si="3588"/>
        <v>635</v>
      </c>
      <c r="AW386" s="41">
        <f t="shared" si="3589"/>
        <v>540</v>
      </c>
      <c r="AX386" s="41">
        <f t="shared" si="3590"/>
        <v>667</v>
      </c>
      <c r="AY386" s="41">
        <f t="shared" si="3591"/>
        <v>797</v>
      </c>
      <c r="AZ386" s="41">
        <f t="shared" si="3592"/>
        <v>870</v>
      </c>
      <c r="BA386" s="41">
        <f t="shared" si="3593"/>
        <v>887</v>
      </c>
      <c r="BB386" s="41">
        <f t="shared" si="3594"/>
        <v>845</v>
      </c>
      <c r="BC386" s="41">
        <f t="shared" si="3595"/>
        <v>1023</v>
      </c>
      <c r="BD386" s="41">
        <f t="shared" si="3596"/>
        <v>951</v>
      </c>
      <c r="BE386" s="41">
        <f t="shared" si="3597"/>
        <v>828.54082914572871</v>
      </c>
      <c r="BF386" s="41">
        <f t="shared" si="3598"/>
        <v>1373</v>
      </c>
      <c r="BG386" s="41">
        <f t="shared" si="3599"/>
        <v>851.3743718592965</v>
      </c>
      <c r="BH386" s="41">
        <f t="shared" si="3600"/>
        <v>743</v>
      </c>
      <c r="BI386" s="42">
        <f t="shared" si="3601"/>
        <v>916</v>
      </c>
      <c r="BJ386" s="41">
        <f t="shared" si="3602"/>
        <v>998.125</v>
      </c>
      <c r="BK386" s="41">
        <f t="shared" si="3603"/>
        <v>1023.905</v>
      </c>
      <c r="BL386" s="41">
        <f t="shared" si="3604"/>
        <v>1059.7275999999999</v>
      </c>
      <c r="BM386" s="41">
        <f t="shared" si="3605"/>
        <v>1102.116704</v>
      </c>
      <c r="BN386" s="41">
        <f t="shared" si="3606"/>
        <v>1146.2013721600001</v>
      </c>
    </row>
    <row r="387" spans="1:66" ht="12" hidden="1" customHeight="1" outlineLevel="1">
      <c r="A387" s="91" t="s">
        <v>1249</v>
      </c>
      <c r="B387" s="1" t="s">
        <v>19</v>
      </c>
      <c r="C387" s="25">
        <f t="shared" ref="C387:Q387" si="3702">C316+C236</f>
        <v>423</v>
      </c>
      <c r="D387" s="25">
        <f t="shared" si="3702"/>
        <v>393</v>
      </c>
      <c r="E387" s="25">
        <f t="shared" si="3702"/>
        <v>435</v>
      </c>
      <c r="F387" s="25">
        <f t="shared" si="3702"/>
        <v>410</v>
      </c>
      <c r="G387" s="25">
        <f t="shared" si="3702"/>
        <v>355</v>
      </c>
      <c r="H387" s="25">
        <f t="shared" si="3702"/>
        <v>309</v>
      </c>
      <c r="I387" s="25">
        <f t="shared" si="3702"/>
        <v>276</v>
      </c>
      <c r="J387" s="25">
        <f t="shared" si="3702"/>
        <v>294</v>
      </c>
      <c r="K387" s="25">
        <f t="shared" si="3702"/>
        <v>347</v>
      </c>
      <c r="L387" s="25">
        <f t="shared" si="3702"/>
        <v>348</v>
      </c>
      <c r="M387" s="25">
        <f t="shared" si="3702"/>
        <v>331</v>
      </c>
      <c r="N387" s="25">
        <f t="shared" si="3702"/>
        <v>370</v>
      </c>
      <c r="O387" s="25">
        <f t="shared" si="3702"/>
        <v>380</v>
      </c>
      <c r="P387" s="25">
        <f t="shared" si="3702"/>
        <v>358</v>
      </c>
      <c r="Q387" s="25">
        <f t="shared" si="3702"/>
        <v>355</v>
      </c>
      <c r="R387" s="25">
        <f t="shared" ref="R387:S387" si="3703">R316+R236</f>
        <v>349</v>
      </c>
      <c r="S387" s="25">
        <f t="shared" si="3703"/>
        <v>341</v>
      </c>
      <c r="T387" s="25">
        <f t="shared" ref="T387" si="3704">T316+T236</f>
        <v>345</v>
      </c>
      <c r="U387" s="25">
        <f t="shared" ref="U387" si="3705">U316+U236</f>
        <v>432</v>
      </c>
      <c r="V387" s="25">
        <f t="shared" ref="V387:W387" si="3706">V316+V236</f>
        <v>425</v>
      </c>
      <c r="W387" s="25">
        <f t="shared" si="3706"/>
        <v>435</v>
      </c>
      <c r="X387" s="25">
        <f t="shared" ref="X387" si="3707">X316+X236</f>
        <v>457</v>
      </c>
      <c r="Y387" s="25">
        <f t="shared" ref="Y387:Z387" si="3708">Y316+Y236</f>
        <v>379.7543969849246</v>
      </c>
      <c r="Z387" s="25">
        <f t="shared" si="3708"/>
        <v>387.7047738693467</v>
      </c>
      <c r="AA387" s="25">
        <f t="shared" ref="AA387:AB387" si="3709">AA316+AA236</f>
        <v>359</v>
      </c>
      <c r="AB387" s="25">
        <f t="shared" si="3709"/>
        <v>375</v>
      </c>
      <c r="AC387" s="25">
        <f t="shared" ref="AC387" si="3710">AC316+AC236</f>
        <v>351</v>
      </c>
      <c r="AD387" s="25">
        <f t="shared" ref="AD387" si="3711">AD316+AD236</f>
        <v>405.6256281407035</v>
      </c>
      <c r="AE387" s="25">
        <f t="shared" ref="AE387" si="3712">AE316+AE236</f>
        <v>355</v>
      </c>
      <c r="AF387" s="25">
        <f t="shared" ref="AF387:AG387" si="3713">AF316+AF236</f>
        <v>400</v>
      </c>
      <c r="AG387" s="25">
        <f t="shared" si="3713"/>
        <v>412</v>
      </c>
      <c r="AH387" s="25">
        <f t="shared" ref="AH387" si="3714">AH316+AH236</f>
        <v>432</v>
      </c>
      <c r="AI387" s="26">
        <f t="shared" ref="AI387" si="3715">AI316+AI236</f>
        <v>469</v>
      </c>
      <c r="AJ387" s="25">
        <f t="shared" ref="AJ387:AK387" si="3716">AJ316+AJ236</f>
        <v>483.69000000000005</v>
      </c>
      <c r="AK387" s="25">
        <f t="shared" si="3716"/>
        <v>492.98250000000007</v>
      </c>
      <c r="AL387" s="25">
        <f t="shared" ref="AL387:AM387" si="3717">AL316+AL236</f>
        <v>508.69642500000003</v>
      </c>
      <c r="AM387" s="25">
        <f t="shared" si="3717"/>
        <v>527.87660625000012</v>
      </c>
      <c r="AN387" s="25">
        <f t="shared" ref="AN387:AO387" si="3718">AN316+AN236</f>
        <v>544.88847656250005</v>
      </c>
      <c r="AO387" s="25">
        <f t="shared" si="3718"/>
        <v>565.5655283906251</v>
      </c>
      <c r="AP387" s="25">
        <f t="shared" ref="AP387:AQ387" si="3719">AP316+AP236</f>
        <v>583.9927468101564</v>
      </c>
      <c r="AQ387" s="25">
        <f t="shared" si="3719"/>
        <v>606.29664355066416</v>
      </c>
      <c r="AR387" s="25">
        <f t="shared" ref="AR387" si="3720">AR316+AR236</f>
        <v>626.26786482819739</v>
      </c>
      <c r="AT387" s="41">
        <f t="shared" si="3586"/>
        <v>816</v>
      </c>
      <c r="AU387" s="41">
        <f t="shared" si="3587"/>
        <v>845</v>
      </c>
      <c r="AV387" s="41">
        <f t="shared" si="3588"/>
        <v>664</v>
      </c>
      <c r="AW387" s="41">
        <f t="shared" si="3589"/>
        <v>570</v>
      </c>
      <c r="AX387" s="41">
        <f t="shared" si="3590"/>
        <v>695</v>
      </c>
      <c r="AY387" s="41">
        <f t="shared" si="3591"/>
        <v>701</v>
      </c>
      <c r="AZ387" s="41">
        <f t="shared" si="3592"/>
        <v>738</v>
      </c>
      <c r="BA387" s="41">
        <f t="shared" si="3593"/>
        <v>704</v>
      </c>
      <c r="BB387" s="41">
        <f t="shared" si="3594"/>
        <v>686</v>
      </c>
      <c r="BC387" s="41">
        <f t="shared" si="3595"/>
        <v>857</v>
      </c>
      <c r="BD387" s="41">
        <f t="shared" si="3596"/>
        <v>892</v>
      </c>
      <c r="BE387" s="41">
        <f t="shared" si="3597"/>
        <v>767.45917085427129</v>
      </c>
      <c r="BF387" s="41">
        <f t="shared" si="3598"/>
        <v>734</v>
      </c>
      <c r="BG387" s="41">
        <f t="shared" si="3599"/>
        <v>756.6256281407035</v>
      </c>
      <c r="BH387" s="41">
        <f t="shared" si="3600"/>
        <v>755</v>
      </c>
      <c r="BI387" s="42">
        <f t="shared" si="3601"/>
        <v>844</v>
      </c>
      <c r="BJ387" s="41">
        <f t="shared" si="3602"/>
        <v>952.69</v>
      </c>
      <c r="BK387" s="41">
        <f t="shared" si="3603"/>
        <v>1001.6789250000002</v>
      </c>
      <c r="BL387" s="41">
        <f t="shared" si="3604"/>
        <v>1072.7650828125002</v>
      </c>
      <c r="BM387" s="41">
        <f t="shared" si="3605"/>
        <v>1149.5582752007815</v>
      </c>
      <c r="BN387" s="41">
        <f t="shared" si="3606"/>
        <v>1232.5645083788615</v>
      </c>
    </row>
    <row r="388" spans="1:66" ht="12" hidden="1" customHeight="1" outlineLevel="1">
      <c r="A388" s="91" t="s">
        <v>1250</v>
      </c>
      <c r="B388" s="1" t="s">
        <v>29</v>
      </c>
      <c r="C388" s="25">
        <f t="shared" ref="C388:Q388" si="3721">C317+C237</f>
        <v>14</v>
      </c>
      <c r="D388" s="25">
        <f t="shared" si="3721"/>
        <v>78</v>
      </c>
      <c r="E388" s="25">
        <f t="shared" si="3721"/>
        <v>40</v>
      </c>
      <c r="F388" s="25">
        <f t="shared" si="3721"/>
        <v>68</v>
      </c>
      <c r="G388" s="25">
        <f t="shared" si="3721"/>
        <v>75</v>
      </c>
      <c r="H388" s="25">
        <f t="shared" si="3721"/>
        <v>7</v>
      </c>
      <c r="I388" s="25">
        <f t="shared" si="3721"/>
        <v>72</v>
      </c>
      <c r="J388" s="25">
        <f t="shared" si="3721"/>
        <v>75</v>
      </c>
      <c r="K388" s="25">
        <f t="shared" si="3721"/>
        <v>79</v>
      </c>
      <c r="L388" s="25">
        <f t="shared" si="3721"/>
        <v>76</v>
      </c>
      <c r="M388" s="25">
        <f t="shared" si="3721"/>
        <v>111</v>
      </c>
      <c r="N388" s="25">
        <f t="shared" si="3721"/>
        <v>317</v>
      </c>
      <c r="O388" s="25">
        <f t="shared" si="3721"/>
        <v>79</v>
      </c>
      <c r="P388" s="25">
        <f t="shared" si="3721"/>
        <v>71</v>
      </c>
      <c r="Q388" s="25">
        <f t="shared" si="3721"/>
        <v>88</v>
      </c>
      <c r="R388" s="25">
        <f t="shared" ref="R388:S388" si="3722">R317+R237</f>
        <v>59</v>
      </c>
      <c r="S388" s="25">
        <f t="shared" si="3722"/>
        <v>66</v>
      </c>
      <c r="T388" s="25">
        <f t="shared" ref="T388" si="3723">T317+T237</f>
        <v>77</v>
      </c>
      <c r="U388" s="25">
        <f t="shared" ref="U388" si="3724">U317+U237</f>
        <v>159</v>
      </c>
      <c r="V388" s="25">
        <f t="shared" ref="V388:W388" si="3725">V317+V237</f>
        <v>75</v>
      </c>
      <c r="W388" s="25">
        <f t="shared" si="3725"/>
        <v>154</v>
      </c>
      <c r="X388" s="25">
        <f t="shared" ref="X388" si="3726">X317+X237</f>
        <v>193</v>
      </c>
      <c r="Y388" s="25">
        <f t="shared" ref="Y388:Z388" si="3727">Y317+Y237</f>
        <v>131</v>
      </c>
      <c r="Z388" s="25">
        <f t="shared" si="3727"/>
        <v>112</v>
      </c>
      <c r="AA388" s="25">
        <f t="shared" ref="AA388:AB388" si="3728">AA317+AA237</f>
        <v>104</v>
      </c>
      <c r="AB388" s="25">
        <f t="shared" si="3728"/>
        <v>138</v>
      </c>
      <c r="AC388" s="25">
        <f t="shared" ref="AC388" si="3729">AC317+AC237</f>
        <v>154</v>
      </c>
      <c r="AD388" s="25">
        <f t="shared" ref="AD388" si="3730">AD317+AD237</f>
        <v>180</v>
      </c>
      <c r="AE388" s="25">
        <f t="shared" ref="AE388" si="3731">AE317+AE237</f>
        <v>148</v>
      </c>
      <c r="AF388" s="25">
        <f t="shared" ref="AF388:AG388" si="3732">AF317+AF237</f>
        <v>140</v>
      </c>
      <c r="AG388" s="25">
        <f t="shared" si="3732"/>
        <v>135</v>
      </c>
      <c r="AH388" s="25">
        <f t="shared" ref="AH388" si="3733">AH317+AH237</f>
        <v>87</v>
      </c>
      <c r="AI388" s="26">
        <f t="shared" ref="AI388" si="3734">AI317+AI237</f>
        <v>141</v>
      </c>
      <c r="AJ388" s="25">
        <f t="shared" ref="AJ388:AK388" si="3735">AJ317+AJ237</f>
        <v>176.25</v>
      </c>
      <c r="AK388" s="25">
        <f t="shared" si="3735"/>
        <v>179.77500000000001</v>
      </c>
      <c r="AL388" s="25">
        <f t="shared" ref="AL388:AM388" si="3736">AL317+AL237</f>
        <v>183.37050000000002</v>
      </c>
      <c r="AM388" s="25">
        <f t="shared" si="3736"/>
        <v>187.03791000000001</v>
      </c>
      <c r="AN388" s="25">
        <f t="shared" ref="AN388:AO388" si="3737">AN317+AN237</f>
        <v>190.77866820000003</v>
      </c>
      <c r="AO388" s="25">
        <f t="shared" si="3737"/>
        <v>194.59424156400004</v>
      </c>
      <c r="AP388" s="25">
        <f t="shared" ref="AP388:AQ388" si="3738">AP317+AP237</f>
        <v>198.48612639528005</v>
      </c>
      <c r="AQ388" s="25">
        <f t="shared" si="3738"/>
        <v>202.45584892318567</v>
      </c>
      <c r="AR388" s="25">
        <f t="shared" ref="AR388" si="3739">AR317+AR237</f>
        <v>206.5049659016494</v>
      </c>
      <c r="AT388" s="41">
        <f t="shared" si="3586"/>
        <v>92</v>
      </c>
      <c r="AU388" s="41">
        <f t="shared" si="3587"/>
        <v>108</v>
      </c>
      <c r="AV388" s="41">
        <f t="shared" si="3588"/>
        <v>82</v>
      </c>
      <c r="AW388" s="41">
        <f t="shared" si="3589"/>
        <v>147</v>
      </c>
      <c r="AX388" s="41">
        <f t="shared" si="3590"/>
        <v>155</v>
      </c>
      <c r="AY388" s="41">
        <f t="shared" si="3591"/>
        <v>428</v>
      </c>
      <c r="AZ388" s="41">
        <f t="shared" si="3592"/>
        <v>150</v>
      </c>
      <c r="BA388" s="41">
        <f t="shared" si="3593"/>
        <v>147</v>
      </c>
      <c r="BB388" s="41">
        <f t="shared" si="3594"/>
        <v>143</v>
      </c>
      <c r="BC388" s="41">
        <f t="shared" si="3595"/>
        <v>234</v>
      </c>
      <c r="BD388" s="41">
        <f t="shared" si="3596"/>
        <v>347</v>
      </c>
      <c r="BE388" s="41">
        <f t="shared" si="3597"/>
        <v>243</v>
      </c>
      <c r="BF388" s="41">
        <f t="shared" si="3598"/>
        <v>242</v>
      </c>
      <c r="BG388" s="41">
        <f t="shared" si="3599"/>
        <v>334</v>
      </c>
      <c r="BH388" s="41">
        <f t="shared" si="3600"/>
        <v>288</v>
      </c>
      <c r="BI388" s="42">
        <f t="shared" si="3601"/>
        <v>222</v>
      </c>
      <c r="BJ388" s="41">
        <f t="shared" si="3602"/>
        <v>317.25</v>
      </c>
      <c r="BK388" s="41">
        <f t="shared" si="3603"/>
        <v>363.14550000000003</v>
      </c>
      <c r="BL388" s="41">
        <f t="shared" si="3604"/>
        <v>377.81657820000004</v>
      </c>
      <c r="BM388" s="41">
        <f t="shared" si="3605"/>
        <v>393.08036795928012</v>
      </c>
      <c r="BN388" s="41">
        <f t="shared" si="3606"/>
        <v>408.9608148248351</v>
      </c>
    </row>
    <row r="389" spans="1:66" ht="12" hidden="1" customHeight="1" outlineLevel="1">
      <c r="A389" s="91" t="s">
        <v>1251</v>
      </c>
      <c r="B389" s="9" t="s">
        <v>118</v>
      </c>
      <c r="C389" s="30">
        <f t="shared" ref="C389:H389" si="3740">C382+C383+C384+C385+C386+C387+C388</f>
        <v>1043</v>
      </c>
      <c r="D389" s="30">
        <f t="shared" si="3740"/>
        <v>926</v>
      </c>
      <c r="E389" s="30">
        <f t="shared" si="3740"/>
        <v>853</v>
      </c>
      <c r="F389" s="30">
        <f t="shared" si="3740"/>
        <v>961</v>
      </c>
      <c r="G389" s="30">
        <f t="shared" si="3740"/>
        <v>744</v>
      </c>
      <c r="H389" s="30">
        <f t="shared" si="3740"/>
        <v>642</v>
      </c>
      <c r="I389" s="30">
        <f t="shared" ref="I389:M389" si="3741">I382+I383+I384+I385+I386+I387+I388</f>
        <v>622</v>
      </c>
      <c r="J389" s="30">
        <f t="shared" si="3741"/>
        <v>637</v>
      </c>
      <c r="K389" s="30">
        <f t="shared" si="3741"/>
        <v>717</v>
      </c>
      <c r="L389" s="30">
        <f t="shared" si="3741"/>
        <v>805</v>
      </c>
      <c r="M389" s="30">
        <f t="shared" si="3741"/>
        <v>777</v>
      </c>
      <c r="N389" s="30">
        <f t="shared" ref="N389:BB389" si="3742">N382+N383+N384+N385+N386+N387+N388</f>
        <v>1153</v>
      </c>
      <c r="O389" s="30">
        <f t="shared" si="3742"/>
        <v>987</v>
      </c>
      <c r="P389" s="30">
        <f t="shared" ref="P389" si="3743">P382+P383+P384+P385+P386+P387+P388</f>
        <v>805</v>
      </c>
      <c r="Q389" s="30">
        <f t="shared" ref="Q389:R389" si="3744">Q382+Q383+Q384+Q385+Q386+Q387+Q388</f>
        <v>863</v>
      </c>
      <c r="R389" s="30">
        <f t="shared" si="3744"/>
        <v>881</v>
      </c>
      <c r="S389" s="30">
        <f t="shared" ref="S389" si="3745">S382+S383+S384+S385+S386+S387+S388</f>
        <v>858</v>
      </c>
      <c r="T389" s="30">
        <f t="shared" ref="T389" si="3746">T382+T383+T384+T385+T386+T387+T388</f>
        <v>880</v>
      </c>
      <c r="U389" s="30">
        <f t="shared" ref="U389" si="3747">U382+U383+U384+U385+U386+U387+U388</f>
        <v>1137</v>
      </c>
      <c r="V389" s="30">
        <f t="shared" ref="V389:W389" si="3748">V382+V383+V384+V385+V386+V387+V388</f>
        <v>1108</v>
      </c>
      <c r="W389" s="30">
        <f t="shared" si="3748"/>
        <v>1021</v>
      </c>
      <c r="X389" s="30">
        <f t="shared" ref="X389" si="3749">X382+X383+X384+X385+X386+X387+X388</f>
        <v>1201</v>
      </c>
      <c r="Y389" s="30">
        <f t="shared" ref="Y389:Z389" si="3750">Y382+Y383+Y384+Y385+Y386+Y387+Y388</f>
        <v>922</v>
      </c>
      <c r="Z389" s="30">
        <f t="shared" si="3750"/>
        <v>950</v>
      </c>
      <c r="AA389" s="30">
        <f t="shared" ref="AA389:AB389" si="3751">AA382+AA383+AA384+AA385+AA386+AA387+AA388</f>
        <v>1093</v>
      </c>
      <c r="AB389" s="30">
        <f t="shared" si="3751"/>
        <v>1282</v>
      </c>
      <c r="AC389" s="30">
        <f t="shared" ref="AC389" si="3752">AC382+AC383+AC384+AC385+AC386+AC387+AC388</f>
        <v>943</v>
      </c>
      <c r="AD389" s="30">
        <f t="shared" ref="AD389" si="3753">AD382+AD383+AD384+AD385+AD386+AD387+AD388</f>
        <v>999</v>
      </c>
      <c r="AE389" s="30">
        <f t="shared" ref="AE389" si="3754">AE382+AE383+AE384+AE385+AE386+AE387+AE388</f>
        <v>911</v>
      </c>
      <c r="AF389" s="30">
        <f t="shared" ref="AF389:AG389" si="3755">AF382+AF383+AF384+AF385+AF386+AF387+AF388</f>
        <v>876</v>
      </c>
      <c r="AG389" s="30">
        <f t="shared" si="3755"/>
        <v>960</v>
      </c>
      <c r="AH389" s="30">
        <f t="shared" ref="AH389" si="3756">AH382+AH383+AH384+AH385+AH386+AH387+AH388</f>
        <v>1022</v>
      </c>
      <c r="AI389" s="27">
        <f t="shared" ref="AI389" si="3757">AI382+AI383+AI384+AI385+AI386+AI387+AI388</f>
        <v>1168</v>
      </c>
      <c r="AJ389" s="30">
        <f t="shared" ref="AJ389:AK389" si="3758">AJ382+AJ383+AJ384+AJ385+AJ386+AJ387+AJ388</f>
        <v>1100.0650000000001</v>
      </c>
      <c r="AK389" s="30">
        <f t="shared" si="3758"/>
        <v>1186.1175000000001</v>
      </c>
      <c r="AL389" s="30">
        <f t="shared" ref="AL389:AM389" si="3759">AL382+AL383+AL384+AL385+AL386+AL387+AL388</f>
        <v>1202.6119249999999</v>
      </c>
      <c r="AM389" s="30">
        <f t="shared" si="3759"/>
        <v>1243.6753162500002</v>
      </c>
      <c r="AN389" s="30">
        <f t="shared" ref="AN389:AO389" si="3760">AN382+AN383+AN384+AN385+AN386+AN387+AN388</f>
        <v>1266.6339447625001</v>
      </c>
      <c r="AO389" s="30">
        <f t="shared" si="3760"/>
        <v>1310.0710019546252</v>
      </c>
      <c r="AP389" s="30">
        <f t="shared" ref="AP389:AQ389" si="3761">AP382+AP383+AP384+AP385+AP386+AP387+AP388</f>
        <v>1334.6843452054366</v>
      </c>
      <c r="AQ389" s="30">
        <f t="shared" si="3761"/>
        <v>1380.6601737538497</v>
      </c>
      <c r="AR389" s="30">
        <f t="shared" ref="AR389" si="3762">AR382+AR383+AR384+AR385+AR386+AR387+AR388</f>
        <v>1407.0665216098469</v>
      </c>
      <c r="AT389" s="30">
        <f t="shared" si="3742"/>
        <v>1969</v>
      </c>
      <c r="AU389" s="30">
        <f t="shared" si="3742"/>
        <v>1814</v>
      </c>
      <c r="AV389" s="30">
        <f t="shared" si="3742"/>
        <v>1386</v>
      </c>
      <c r="AW389" s="30">
        <f t="shared" si="3742"/>
        <v>1259</v>
      </c>
      <c r="AX389" s="30">
        <f t="shared" si="3742"/>
        <v>1522</v>
      </c>
      <c r="AY389" s="30">
        <f t="shared" si="3742"/>
        <v>1930</v>
      </c>
      <c r="AZ389" s="30">
        <f t="shared" si="3742"/>
        <v>1792</v>
      </c>
      <c r="BA389" s="30">
        <f t="shared" si="3742"/>
        <v>1744</v>
      </c>
      <c r="BB389" s="30">
        <f t="shared" si="3742"/>
        <v>1738</v>
      </c>
      <c r="BC389" s="30">
        <f t="shared" ref="BC389" si="3763">BC382+BC383+BC384+BC385+BC386+BC387+BC388</f>
        <v>2245</v>
      </c>
      <c r="BD389" s="30">
        <f t="shared" ref="BD389:BI389" si="3764">BD382+BD383+BD384+BD385+BD386+BD387+BD388</f>
        <v>2222</v>
      </c>
      <c r="BE389" s="30">
        <f t="shared" si="3764"/>
        <v>1872</v>
      </c>
      <c r="BF389" s="30">
        <f t="shared" si="3764"/>
        <v>2375</v>
      </c>
      <c r="BG389" s="30">
        <f t="shared" si="3764"/>
        <v>1942</v>
      </c>
      <c r="BH389" s="30">
        <f t="shared" si="3764"/>
        <v>1787</v>
      </c>
      <c r="BI389" s="27">
        <f t="shared" si="3764"/>
        <v>1982</v>
      </c>
      <c r="BJ389" s="30">
        <f t="shared" ref="BJ389:BK389" si="3765">BJ382+BJ383+BJ384+BJ385+BJ386+BJ387+BJ388</f>
        <v>2268.0650000000001</v>
      </c>
      <c r="BK389" s="30">
        <f t="shared" si="3765"/>
        <v>2388.729425</v>
      </c>
      <c r="BL389" s="30">
        <f t="shared" ref="BL389:BM389" si="3766">BL382+BL383+BL384+BL385+BL386+BL387+BL388</f>
        <v>2510.3092610125</v>
      </c>
      <c r="BM389" s="30">
        <f t="shared" si="3766"/>
        <v>2644.7553471600613</v>
      </c>
      <c r="BN389" s="30">
        <f>BN382+BN383+BN384+BN385+BN386+BN387+BN388</f>
        <v>2787.7266953636972</v>
      </c>
    </row>
    <row r="390" spans="1:66" ht="12" hidden="1" customHeight="1" outlineLevel="1">
      <c r="A390" s="91" t="s">
        <v>1252</v>
      </c>
      <c r="B390" s="1" t="s">
        <v>8</v>
      </c>
      <c r="C390" s="25">
        <f>C319+C242+C243</f>
        <v>888</v>
      </c>
      <c r="D390" s="25">
        <f t="shared" ref="D390:Q390" si="3767">D319+D242+D243</f>
        <v>784</v>
      </c>
      <c r="E390" s="25">
        <f t="shared" si="3767"/>
        <v>555</v>
      </c>
      <c r="F390" s="25">
        <f t="shared" si="3767"/>
        <v>811</v>
      </c>
      <c r="G390" s="25">
        <f t="shared" si="3767"/>
        <v>449</v>
      </c>
      <c r="H390" s="25">
        <f t="shared" si="3767"/>
        <v>617</v>
      </c>
      <c r="I390" s="25">
        <f t="shared" si="3767"/>
        <v>593</v>
      </c>
      <c r="J390" s="25">
        <f t="shared" si="3767"/>
        <v>700</v>
      </c>
      <c r="K390" s="25">
        <f t="shared" si="3767"/>
        <v>738</v>
      </c>
      <c r="L390" s="25">
        <f t="shared" si="3767"/>
        <v>1038</v>
      </c>
      <c r="M390" s="25">
        <f t="shared" si="3767"/>
        <v>771</v>
      </c>
      <c r="N390" s="25">
        <f t="shared" si="3767"/>
        <v>1187</v>
      </c>
      <c r="O390" s="25">
        <f t="shared" si="3767"/>
        <v>1235</v>
      </c>
      <c r="P390" s="25">
        <f t="shared" si="3767"/>
        <v>1066</v>
      </c>
      <c r="Q390" s="25">
        <f t="shared" si="3767"/>
        <v>946</v>
      </c>
      <c r="R390" s="25">
        <f t="shared" ref="R390:S390" si="3768">R319+R242+R243</f>
        <v>1117</v>
      </c>
      <c r="S390" s="25">
        <f t="shared" si="3768"/>
        <v>850</v>
      </c>
      <c r="T390" s="25">
        <f t="shared" ref="T390" si="3769">T319+T242+T243</f>
        <v>1045</v>
      </c>
      <c r="U390" s="25">
        <f t="shared" ref="U390" si="3770">U319+U242+U243</f>
        <v>1418</v>
      </c>
      <c r="V390" s="25">
        <f t="shared" ref="V390:W390" si="3771">V319+V242+V243</f>
        <v>1609</v>
      </c>
      <c r="W390" s="25">
        <f t="shared" si="3771"/>
        <v>1670</v>
      </c>
      <c r="X390" s="25">
        <f t="shared" ref="X390" si="3772">X319+X242+X243</f>
        <v>1228</v>
      </c>
      <c r="Y390" s="25">
        <f t="shared" ref="Y390:Z390" si="3773">Y319+Y242+Y243</f>
        <v>1743</v>
      </c>
      <c r="Z390" s="25">
        <f t="shared" si="3773"/>
        <v>2182</v>
      </c>
      <c r="AA390" s="25">
        <f t="shared" ref="AA390:AB390" si="3774">AA319+AA242+AA243</f>
        <v>2036</v>
      </c>
      <c r="AB390" s="25">
        <f t="shared" si="3774"/>
        <v>3110</v>
      </c>
      <c r="AC390" s="25">
        <f t="shared" ref="AC390" si="3775">AC319+AC242+AC243</f>
        <v>2928</v>
      </c>
      <c r="AD390" s="25">
        <f t="shared" ref="AD390" si="3776">AD319+AD242+AD243</f>
        <v>5121</v>
      </c>
      <c r="AE390" s="25">
        <f t="shared" ref="AE390" si="3777">AE319+AE242+AE243</f>
        <v>2697</v>
      </c>
      <c r="AF390" s="25">
        <f t="shared" ref="AF390:AG390" si="3778">AF319+AF242+AF243</f>
        <v>3149</v>
      </c>
      <c r="AG390" s="25">
        <f t="shared" si="3778"/>
        <v>2591</v>
      </c>
      <c r="AH390" s="25">
        <f t="shared" ref="AH390" si="3779">AH319+AH242+AH243</f>
        <v>3111</v>
      </c>
      <c r="AI390" s="26">
        <f t="shared" ref="AI390" si="3780">AI319+AI242+AI243</f>
        <v>2818</v>
      </c>
      <c r="AJ390" s="25">
        <f t="shared" ref="AJ390" si="3781">AJ319+AJ242+AJ243</f>
        <v>3637.6299649698012</v>
      </c>
      <c r="AK390" s="25">
        <f>AK319+AK242+AK243</f>
        <v>3248.0625290656531</v>
      </c>
      <c r="AL390" s="25">
        <f t="shared" ref="AL390:AN390" si="3782">AL319+AL242+AL243</f>
        <v>3543.8682439459017</v>
      </c>
      <c r="AM390" s="25">
        <f>AM319+AM242+AM243</f>
        <v>3443.4559237235685</v>
      </c>
      <c r="AN390" s="25">
        <f t="shared" si="3782"/>
        <v>3816.4923432484397</v>
      </c>
      <c r="AO390" s="25">
        <f>AO319+AO242+AO243</f>
        <v>3607.1947081204953</v>
      </c>
      <c r="AP390" s="25">
        <f t="shared" ref="AP390" si="3783">AP319+AP242+AP243</f>
        <v>3996.2626894598966</v>
      </c>
      <c r="AQ390" s="25">
        <f>AQ319+AQ242+AQ243</f>
        <v>3812.6213710246229</v>
      </c>
      <c r="AR390" s="25">
        <f t="shared" ref="AR390" si="3784">AR319+AR242+AR243</f>
        <v>4136.9355353907868</v>
      </c>
      <c r="AT390" s="41">
        <f>C390+D390</f>
        <v>1672</v>
      </c>
      <c r="AU390" s="41">
        <f>E390+F390</f>
        <v>1366</v>
      </c>
      <c r="AV390" s="41">
        <f>G390+H390</f>
        <v>1066</v>
      </c>
      <c r="AW390" s="41">
        <f>I390+J390</f>
        <v>1293</v>
      </c>
      <c r="AX390" s="41">
        <f>K390+L390</f>
        <v>1776</v>
      </c>
      <c r="AY390" s="41">
        <f>M390+N390</f>
        <v>1958</v>
      </c>
      <c r="AZ390" s="41">
        <f>O390+P390</f>
        <v>2301</v>
      </c>
      <c r="BA390" s="41">
        <f>Q390+R390</f>
        <v>2063</v>
      </c>
      <c r="BB390" s="41">
        <f>S390+T390</f>
        <v>1895</v>
      </c>
      <c r="BC390" s="41">
        <f>U390+V390</f>
        <v>3027</v>
      </c>
      <c r="BD390" s="41">
        <f>W390+X390</f>
        <v>2898</v>
      </c>
      <c r="BE390" s="41">
        <f>Y390+Z390</f>
        <v>3925</v>
      </c>
      <c r="BF390" s="41">
        <f>AA390+AB390</f>
        <v>5146</v>
      </c>
      <c r="BG390" s="41">
        <f>AC390+AD390</f>
        <v>8049</v>
      </c>
      <c r="BH390" s="41">
        <f>AE390+AF390</f>
        <v>5846</v>
      </c>
      <c r="BI390" s="42">
        <f>AG390+AH390</f>
        <v>5702</v>
      </c>
      <c r="BJ390" s="41">
        <f>AI390+AJ390</f>
        <v>6455.6299649698012</v>
      </c>
      <c r="BK390" s="41">
        <f>AK390+AL390</f>
        <v>6791.9307730115543</v>
      </c>
      <c r="BL390" s="41">
        <f>AM390+AN390</f>
        <v>7259.9482669720082</v>
      </c>
      <c r="BM390" s="41">
        <f>AO390+AP390</f>
        <v>7603.4573975803924</v>
      </c>
      <c r="BN390" s="41">
        <f>AQ390+AR390</f>
        <v>7949.5569064154097</v>
      </c>
    </row>
    <row r="391" spans="1:66" ht="12" hidden="1" customHeight="1" outlineLevel="1">
      <c r="A391" s="91" t="s">
        <v>1253</v>
      </c>
      <c r="B391" s="1" t="s">
        <v>9</v>
      </c>
      <c r="C391" s="25">
        <f t="shared" ref="C391:Q391" si="3785">C320+C244</f>
        <v>-20</v>
      </c>
      <c r="D391" s="25">
        <f t="shared" si="3785"/>
        <v>11</v>
      </c>
      <c r="E391" s="25">
        <f t="shared" si="3785"/>
        <v>52</v>
      </c>
      <c r="F391" s="25">
        <f t="shared" si="3785"/>
        <v>19</v>
      </c>
      <c r="G391" s="25">
        <f t="shared" si="3785"/>
        <v>27</v>
      </c>
      <c r="H391" s="25">
        <f t="shared" si="3785"/>
        <v>72</v>
      </c>
      <c r="I391" s="25">
        <f t="shared" si="3785"/>
        <v>21</v>
      </c>
      <c r="J391" s="25">
        <f t="shared" si="3785"/>
        <v>20</v>
      </c>
      <c r="K391" s="25">
        <f t="shared" si="3785"/>
        <v>10</v>
      </c>
      <c r="L391" s="25">
        <f t="shared" si="3785"/>
        <v>31</v>
      </c>
      <c r="M391" s="25">
        <f t="shared" si="3785"/>
        <v>-5</v>
      </c>
      <c r="N391" s="25">
        <f t="shared" si="3785"/>
        <v>17</v>
      </c>
      <c r="O391" s="25">
        <f t="shared" si="3785"/>
        <v>-19</v>
      </c>
      <c r="P391" s="25">
        <f t="shared" si="3785"/>
        <v>9</v>
      </c>
      <c r="Q391" s="25">
        <f t="shared" si="3785"/>
        <v>-30</v>
      </c>
      <c r="R391" s="25">
        <f t="shared" ref="R391:S391" si="3786">R320+R244</f>
        <v>58</v>
      </c>
      <c r="S391" s="25">
        <f t="shared" si="3786"/>
        <v>53</v>
      </c>
      <c r="T391" s="25">
        <f t="shared" ref="T391" si="3787">T320+T244</f>
        <v>16</v>
      </c>
      <c r="U391" s="25">
        <f t="shared" ref="U391" si="3788">U320+U244</f>
        <v>-79</v>
      </c>
      <c r="V391" s="25">
        <f t="shared" ref="V391:W391" si="3789">V320+V244</f>
        <v>-92</v>
      </c>
      <c r="W391" s="25">
        <f t="shared" si="3789"/>
        <v>-128</v>
      </c>
      <c r="X391" s="25">
        <f t="shared" ref="X391" si="3790">X320+X244</f>
        <v>-46</v>
      </c>
      <c r="Y391" s="25">
        <f t="shared" ref="Y391:Z391" si="3791">Y320+Y244</f>
        <v>-4</v>
      </c>
      <c r="Z391" s="25">
        <f t="shared" si="3791"/>
        <v>12</v>
      </c>
      <c r="AA391" s="25">
        <f t="shared" ref="AA391:AB391" si="3792">AA320+AA244</f>
        <v>58</v>
      </c>
      <c r="AB391" s="25">
        <f t="shared" si="3792"/>
        <v>-73</v>
      </c>
      <c r="AC391" s="25">
        <f t="shared" ref="AC391" si="3793">AC320+AC244</f>
        <v>-26</v>
      </c>
      <c r="AD391" s="25">
        <f t="shared" ref="AD391" si="3794">AD320+AD244</f>
        <v>-79</v>
      </c>
      <c r="AE391" s="25">
        <f t="shared" ref="AE391" si="3795">AE320+AE244</f>
        <v>-32</v>
      </c>
      <c r="AF391" s="25">
        <f t="shared" ref="AF391:AG391" si="3796">AF320+AF244</f>
        <v>-70</v>
      </c>
      <c r="AG391" s="25">
        <f t="shared" si="3796"/>
        <v>-78</v>
      </c>
      <c r="AH391" s="25">
        <f t="shared" ref="AH391" si="3797">AH320+AH244</f>
        <v>-11</v>
      </c>
      <c r="AI391" s="26">
        <f t="shared" ref="AI391" si="3798">AI320+AI244</f>
        <v>-94</v>
      </c>
      <c r="AJ391" s="25">
        <f t="shared" ref="AJ391:AK391" si="3799">AJ320+AJ244</f>
        <v>-53.142857142857139</v>
      </c>
      <c r="AK391" s="25">
        <f t="shared" si="3799"/>
        <v>-53.142857142857139</v>
      </c>
      <c r="AL391" s="25">
        <f t="shared" ref="AL391:AM391" si="3800">AL320+AL244</f>
        <v>-53.142857142857139</v>
      </c>
      <c r="AM391" s="25">
        <f t="shared" si="3800"/>
        <v>-53.142857142857139</v>
      </c>
      <c r="AN391" s="25">
        <f t="shared" ref="AN391:AO391" si="3801">AN320+AN244</f>
        <v>-53.142857142857139</v>
      </c>
      <c r="AO391" s="25">
        <f t="shared" si="3801"/>
        <v>-53.142857142857139</v>
      </c>
      <c r="AP391" s="25">
        <f t="shared" ref="AP391:AQ391" si="3802">AP320+AP244</f>
        <v>-53.142857142857139</v>
      </c>
      <c r="AQ391" s="25">
        <f t="shared" si="3802"/>
        <v>-53.142857142857139</v>
      </c>
      <c r="AR391" s="25">
        <f t="shared" ref="AR391" si="3803">AR320+AR244</f>
        <v>-53.142857142857139</v>
      </c>
      <c r="AT391" s="41">
        <f>C391+D391</f>
        <v>-9</v>
      </c>
      <c r="AU391" s="41">
        <f>E391+F391</f>
        <v>71</v>
      </c>
      <c r="AV391" s="41">
        <f>G391+H391</f>
        <v>99</v>
      </c>
      <c r="AW391" s="41">
        <f>I391+J391</f>
        <v>41</v>
      </c>
      <c r="AX391" s="41">
        <f>K391+L391</f>
        <v>41</v>
      </c>
      <c r="AY391" s="41">
        <f>M391+N391</f>
        <v>12</v>
      </c>
      <c r="AZ391" s="41">
        <f>O391+P391</f>
        <v>-10</v>
      </c>
      <c r="BA391" s="41">
        <f>Q391+R391</f>
        <v>28</v>
      </c>
      <c r="BB391" s="41">
        <f>S391+T391</f>
        <v>69</v>
      </c>
      <c r="BC391" s="41">
        <f>U391+V391</f>
        <v>-171</v>
      </c>
      <c r="BD391" s="41">
        <f>W391+X391</f>
        <v>-174</v>
      </c>
      <c r="BE391" s="41">
        <f>Y391+Z391</f>
        <v>8</v>
      </c>
      <c r="BF391" s="41">
        <f>AA391+AB391</f>
        <v>-15</v>
      </c>
      <c r="BG391" s="41">
        <f>AC391+AD391</f>
        <v>-105</v>
      </c>
      <c r="BH391" s="41">
        <f>AE391+AF391</f>
        <v>-102</v>
      </c>
      <c r="BI391" s="42">
        <f>AG391+AH391</f>
        <v>-89</v>
      </c>
      <c r="BJ391" s="41">
        <f>AI391+AJ391</f>
        <v>-147.14285714285714</v>
      </c>
      <c r="BK391" s="41">
        <f>AK391+AL391</f>
        <v>-106.28571428571428</v>
      </c>
      <c r="BL391" s="41">
        <f>AM391+AN391</f>
        <v>-106.28571428571428</v>
      </c>
      <c r="BM391" s="41">
        <f>AO391+AP391</f>
        <v>-106.28571428571428</v>
      </c>
      <c r="BN391" s="41">
        <f>AQ391+AR391</f>
        <v>-106.28571428571428</v>
      </c>
    </row>
    <row r="392" spans="1:66" ht="12" hidden="1" customHeight="1" outlineLevel="1">
      <c r="A392" s="91" t="s">
        <v>1254</v>
      </c>
      <c r="B392" s="1" t="s">
        <v>1844</v>
      </c>
      <c r="C392" s="25">
        <f t="shared" ref="C392:Q392" si="3804">C321+C245</f>
        <v>-54</v>
      </c>
      <c r="D392" s="25">
        <f t="shared" si="3804"/>
        <v>-3</v>
      </c>
      <c r="E392" s="25">
        <f t="shared" si="3804"/>
        <v>2</v>
      </c>
      <c r="F392" s="25">
        <f t="shared" si="3804"/>
        <v>3</v>
      </c>
      <c r="G392" s="25">
        <f t="shared" si="3804"/>
        <v>-20</v>
      </c>
      <c r="H392" s="25">
        <f t="shared" si="3804"/>
        <v>-39</v>
      </c>
      <c r="I392" s="25">
        <f t="shared" si="3804"/>
        <v>-47</v>
      </c>
      <c r="J392" s="25">
        <f t="shared" si="3804"/>
        <v>-46</v>
      </c>
      <c r="K392" s="25">
        <f t="shared" si="3804"/>
        <v>-42</v>
      </c>
      <c r="L392" s="25">
        <f t="shared" si="3804"/>
        <v>-77</v>
      </c>
      <c r="M392" s="25">
        <f t="shared" si="3804"/>
        <v>-64</v>
      </c>
      <c r="N392" s="25">
        <f t="shared" si="3804"/>
        <v>-200</v>
      </c>
      <c r="O392" s="25">
        <f t="shared" si="3804"/>
        <v>-227</v>
      </c>
      <c r="P392" s="25">
        <f t="shared" si="3804"/>
        <v>-151</v>
      </c>
      <c r="Q392" s="25">
        <f t="shared" si="3804"/>
        <v>-96</v>
      </c>
      <c r="R392" s="25">
        <f t="shared" ref="R392:S392" si="3805">R321+R245</f>
        <v>-85</v>
      </c>
      <c r="S392" s="25">
        <f t="shared" si="3805"/>
        <v>-74</v>
      </c>
      <c r="T392" s="25">
        <f t="shared" ref="T392:T395" si="3806">T321+T245</f>
        <v>-70</v>
      </c>
      <c r="U392" s="25">
        <f t="shared" ref="U392:W395" si="3807">U321+U245</f>
        <v>-14</v>
      </c>
      <c r="V392" s="25">
        <f t="shared" ref="V392:W392" si="3808">V321+V245</f>
        <v>-326</v>
      </c>
      <c r="W392" s="25">
        <f t="shared" si="3808"/>
        <v>-94</v>
      </c>
      <c r="X392" s="25">
        <f t="shared" ref="X392:Z395" si="3809">X321+X245</f>
        <v>-431</v>
      </c>
      <c r="Y392" s="25">
        <f t="shared" ref="Y392:Z392" si="3810">Y321+Y245</f>
        <v>-285</v>
      </c>
      <c r="Z392" s="25">
        <f t="shared" si="3810"/>
        <v>-181</v>
      </c>
      <c r="AA392" s="25">
        <f t="shared" ref="AA392:AB392" si="3811">AA321+AA245</f>
        <v>-195</v>
      </c>
      <c r="AB392" s="25">
        <f t="shared" si="3811"/>
        <v>-232</v>
      </c>
      <c r="AC392" s="25">
        <f t="shared" ref="AC392:AC395" si="3812">AC321+AC245</f>
        <v>-230</v>
      </c>
      <c r="AD392" s="25">
        <f t="shared" ref="AD392:AD395" si="3813">AD321+AD245</f>
        <v>-121</v>
      </c>
      <c r="AE392" s="25">
        <f t="shared" ref="AE392:AG395" si="3814">AE321+AE245</f>
        <v>12</v>
      </c>
      <c r="AF392" s="25">
        <f t="shared" ref="AF392:AG392" si="3815">AF321+AF245</f>
        <v>163</v>
      </c>
      <c r="AG392" s="25">
        <f t="shared" si="3815"/>
        <v>-58</v>
      </c>
      <c r="AH392" s="25">
        <f t="shared" ref="AH392:AP395" si="3816">AH321+AH245</f>
        <v>-154</v>
      </c>
      <c r="AI392" s="26">
        <f t="shared" ref="AI392:AK392" si="3817">AI321+AI245</f>
        <v>-81</v>
      </c>
      <c r="AJ392" s="25">
        <f>AJ321+AJ245</f>
        <v>-77.900000000000006</v>
      </c>
      <c r="AK392" s="25">
        <f t="shared" si="3817"/>
        <v>-67.495569785561955</v>
      </c>
      <c r="AL392" s="25">
        <f>AL321+AL245</f>
        <v>-87.268569462933073</v>
      </c>
      <c r="AM392" s="25">
        <f t="shared" ref="AM392:AO392" si="3818">AM321+AM245</f>
        <v>-101.52328035015799</v>
      </c>
      <c r="AN392" s="25">
        <f>AN321+AN245</f>
        <v>-99.042953247246444</v>
      </c>
      <c r="AO392" s="25">
        <f t="shared" si="3818"/>
        <v>-118.37399391332281</v>
      </c>
      <c r="AP392" s="25">
        <f>AP321+AP245</f>
        <v>-118.63657103571782</v>
      </c>
      <c r="AQ392" s="25">
        <f t="shared" ref="AQ392:AR395" si="3819">AQ321+AQ245</f>
        <v>-119.47107640958907</v>
      </c>
      <c r="AR392" s="25">
        <f>AR321+AR245</f>
        <v>-120.05063319762289</v>
      </c>
      <c r="AT392" s="41">
        <f>C392+D392</f>
        <v>-57</v>
      </c>
      <c r="AU392" s="41">
        <f>E392+F392</f>
        <v>5</v>
      </c>
      <c r="AV392" s="41">
        <f>G392+H392</f>
        <v>-59</v>
      </c>
      <c r="AW392" s="41">
        <f>I392+J392</f>
        <v>-93</v>
      </c>
      <c r="AX392" s="41">
        <f>K392+L392</f>
        <v>-119</v>
      </c>
      <c r="AY392" s="41">
        <f>M392+N392</f>
        <v>-264</v>
      </c>
      <c r="AZ392" s="41">
        <f>O392+P392</f>
        <v>-378</v>
      </c>
      <c r="BA392" s="41">
        <f>Q392+R392</f>
        <v>-181</v>
      </c>
      <c r="BB392" s="41">
        <f>S392+T392</f>
        <v>-144</v>
      </c>
      <c r="BC392" s="41">
        <f>U392+V392</f>
        <v>-340</v>
      </c>
      <c r="BD392" s="41">
        <f>W392+X392</f>
        <v>-525</v>
      </c>
      <c r="BE392" s="41">
        <f>Y392+Z392</f>
        <v>-466</v>
      </c>
      <c r="BF392" s="41">
        <f>AA392+AB392</f>
        <v>-427</v>
      </c>
      <c r="BG392" s="41">
        <f>AC392+AD392</f>
        <v>-351</v>
      </c>
      <c r="BH392" s="41">
        <f>AE392+AF392</f>
        <v>175</v>
      </c>
      <c r="BI392" s="42">
        <f>AG392+AH392</f>
        <v>-212</v>
      </c>
      <c r="BJ392" s="41">
        <f>AI392+AJ392</f>
        <v>-158.9</v>
      </c>
      <c r="BK392" s="41">
        <f>AK392+AL392</f>
        <v>-154.76413924849504</v>
      </c>
      <c r="BL392" s="41">
        <f>AM392+AN392</f>
        <v>-200.56623359740445</v>
      </c>
      <c r="BM392" s="41">
        <f>AO392+AP392</f>
        <v>-237.01056494904063</v>
      </c>
      <c r="BN392" s="41">
        <f>AQ392+AR392</f>
        <v>-239.52170960721196</v>
      </c>
    </row>
    <row r="393" spans="1:66" ht="12" hidden="1" customHeight="1" outlineLevel="1">
      <c r="A393" s="91" t="s">
        <v>1856</v>
      </c>
      <c r="B393" s="1" t="s">
        <v>1842</v>
      </c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>
        <f t="shared" ref="M393:S393" si="3820">M322+M246</f>
        <v>0</v>
      </c>
      <c r="N393" s="25">
        <f t="shared" si="3820"/>
        <v>0</v>
      </c>
      <c r="O393" s="25">
        <f t="shared" si="3820"/>
        <v>0</v>
      </c>
      <c r="P393" s="25">
        <f t="shared" si="3820"/>
        <v>0</v>
      </c>
      <c r="Q393" s="25">
        <f t="shared" si="3820"/>
        <v>0</v>
      </c>
      <c r="R393" s="25">
        <f t="shared" si="3820"/>
        <v>0</v>
      </c>
      <c r="S393" s="25">
        <f t="shared" si="3820"/>
        <v>0</v>
      </c>
      <c r="T393" s="25">
        <f t="shared" si="3806"/>
        <v>0</v>
      </c>
      <c r="U393" s="25">
        <f t="shared" si="3807"/>
        <v>0</v>
      </c>
      <c r="V393" s="25">
        <f t="shared" si="3807"/>
        <v>0</v>
      </c>
      <c r="W393" s="25">
        <f t="shared" si="3807"/>
        <v>590</v>
      </c>
      <c r="X393" s="25">
        <f t="shared" si="3809"/>
        <v>833</v>
      </c>
      <c r="Y393" s="25">
        <f t="shared" si="3809"/>
        <v>167</v>
      </c>
      <c r="Z393" s="25">
        <f t="shared" si="3809"/>
        <v>1026</v>
      </c>
      <c r="AA393" s="25">
        <f t="shared" ref="AA393:AB393" si="3821">AA322+AA246</f>
        <v>891</v>
      </c>
      <c r="AB393" s="25">
        <f t="shared" si="3821"/>
        <v>772</v>
      </c>
      <c r="AC393" s="25">
        <f t="shared" si="3812"/>
        <v>668</v>
      </c>
      <c r="AD393" s="25">
        <f t="shared" si="3813"/>
        <v>258</v>
      </c>
      <c r="AE393" s="25">
        <f t="shared" si="3814"/>
        <v>291</v>
      </c>
      <c r="AF393" s="25">
        <f t="shared" si="3814"/>
        <v>394</v>
      </c>
      <c r="AG393" s="25">
        <f t="shared" si="3814"/>
        <v>351</v>
      </c>
      <c r="AH393" s="25">
        <f t="shared" si="3816"/>
        <v>351</v>
      </c>
      <c r="AI393" s="26">
        <f t="shared" si="3816"/>
        <v>319</v>
      </c>
      <c r="AJ393" s="25">
        <f t="shared" si="3816"/>
        <v>383.75</v>
      </c>
      <c r="AK393" s="25">
        <f t="shared" si="3816"/>
        <v>370.22499999999997</v>
      </c>
      <c r="AL393" s="25">
        <f t="shared" si="3816"/>
        <v>397.77749999999997</v>
      </c>
      <c r="AM393" s="25">
        <f t="shared" si="3816"/>
        <v>427.49288999999999</v>
      </c>
      <c r="AN393" s="25">
        <f t="shared" si="3816"/>
        <v>459.54337500000003</v>
      </c>
      <c r="AO393" s="25">
        <f t="shared" si="3816"/>
        <v>494.11491987600004</v>
      </c>
      <c r="AP393" s="25">
        <f t="shared" si="3816"/>
        <v>517.70278405656006</v>
      </c>
      <c r="AQ393" s="25">
        <f t="shared" si="3819"/>
        <v>542.4476838098833</v>
      </c>
      <c r="AR393" s="25">
        <f t="shared" si="3819"/>
        <v>558.33343291134815</v>
      </c>
      <c r="AT393" s="41">
        <f t="shared" ref="AT393:AT396" si="3822">C393+D393</f>
        <v>0</v>
      </c>
      <c r="AU393" s="41">
        <f t="shared" ref="AU393:AU396" si="3823">E393+F393</f>
        <v>0</v>
      </c>
      <c r="AV393" s="41">
        <f t="shared" ref="AV393:AV396" si="3824">G393+H393</f>
        <v>0</v>
      </c>
      <c r="AW393" s="41">
        <f t="shared" ref="AW393:AW396" si="3825">I393+J393</f>
        <v>0</v>
      </c>
      <c r="AX393" s="41">
        <f t="shared" ref="AX393:AX396" si="3826">K393+L393</f>
        <v>0</v>
      </c>
      <c r="AY393" s="41">
        <f t="shared" ref="AY393:AY396" si="3827">M393+N393</f>
        <v>0</v>
      </c>
      <c r="AZ393" s="41">
        <f t="shared" ref="AZ393:AZ396" si="3828">O393+P393</f>
        <v>0</v>
      </c>
      <c r="BA393" s="41">
        <f t="shared" ref="BA393:BA396" si="3829">Q393+R393</f>
        <v>0</v>
      </c>
      <c r="BB393" s="41">
        <f t="shared" ref="BB393:BB396" si="3830">S393+T393</f>
        <v>0</v>
      </c>
      <c r="BC393" s="41">
        <f t="shared" ref="BC393:BC396" si="3831">U393+V393</f>
        <v>0</v>
      </c>
      <c r="BD393" s="41">
        <f t="shared" ref="BD393:BD396" si="3832">W393+X393</f>
        <v>1423</v>
      </c>
      <c r="BE393" s="41">
        <f t="shared" ref="BE393:BE396" si="3833">Y393+Z393</f>
        <v>1193</v>
      </c>
      <c r="BF393" s="41">
        <f t="shared" ref="BF393:BF396" si="3834">AA393+AB393</f>
        <v>1663</v>
      </c>
      <c r="BG393" s="41">
        <f t="shared" ref="BG393:BG396" si="3835">AC393+AD393</f>
        <v>926</v>
      </c>
      <c r="BH393" s="41">
        <f t="shared" ref="BH393:BH396" si="3836">AE393+AF393</f>
        <v>685</v>
      </c>
      <c r="BI393" s="42">
        <f t="shared" ref="BI393:BI396" si="3837">AG393+AH393</f>
        <v>702</v>
      </c>
      <c r="BJ393" s="41">
        <f t="shared" ref="BJ393:BJ395" si="3838">AI393+AJ393</f>
        <v>702.75</v>
      </c>
      <c r="BK393" s="41">
        <f t="shared" ref="BK393:BK395" si="3839">AK393+AL393</f>
        <v>768.00249999999994</v>
      </c>
      <c r="BL393" s="41">
        <f t="shared" ref="BL393:BL395" si="3840">AM393+AN393</f>
        <v>887.03626499999996</v>
      </c>
      <c r="BM393" s="41">
        <f t="shared" ref="BM393:BM395" si="3841">AO393+AP393</f>
        <v>1011.8177039325601</v>
      </c>
      <c r="BN393" s="41">
        <f t="shared" ref="BN393:BN395" si="3842">AQ393+AR393</f>
        <v>1100.7811167212315</v>
      </c>
    </row>
    <row r="394" spans="1:66" ht="12" hidden="1" customHeight="1" outlineLevel="1">
      <c r="A394" s="91" t="s">
        <v>1857</v>
      </c>
      <c r="B394" s="1" t="s">
        <v>1838</v>
      </c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>
        <f t="shared" ref="M394:S394" si="3843">M323+M247</f>
        <v>0</v>
      </c>
      <c r="N394" s="25">
        <f t="shared" si="3843"/>
        <v>0</v>
      </c>
      <c r="O394" s="25">
        <f t="shared" si="3843"/>
        <v>0</v>
      </c>
      <c r="P394" s="25">
        <f t="shared" si="3843"/>
        <v>0</v>
      </c>
      <c r="Q394" s="25">
        <f t="shared" si="3843"/>
        <v>0</v>
      </c>
      <c r="R394" s="25">
        <f t="shared" si="3843"/>
        <v>0</v>
      </c>
      <c r="S394" s="25">
        <f t="shared" si="3843"/>
        <v>0</v>
      </c>
      <c r="T394" s="25">
        <f t="shared" si="3806"/>
        <v>0</v>
      </c>
      <c r="U394" s="25">
        <f t="shared" si="3807"/>
        <v>0</v>
      </c>
      <c r="V394" s="25">
        <f t="shared" si="3807"/>
        <v>0</v>
      </c>
      <c r="W394" s="25">
        <f t="shared" si="3807"/>
        <v>0</v>
      </c>
      <c r="X394" s="25">
        <f t="shared" si="3809"/>
        <v>0</v>
      </c>
      <c r="Y394" s="25">
        <f t="shared" si="3809"/>
        <v>0</v>
      </c>
      <c r="Z394" s="25">
        <f t="shared" si="3809"/>
        <v>0</v>
      </c>
      <c r="AA394" s="25">
        <f t="shared" ref="AA394:AB394" si="3844">AA323+AA247</f>
        <v>0</v>
      </c>
      <c r="AB394" s="25">
        <f t="shared" si="3844"/>
        <v>0</v>
      </c>
      <c r="AC394" s="25">
        <f t="shared" si="3812"/>
        <v>0</v>
      </c>
      <c r="AD394" s="25">
        <f t="shared" si="3813"/>
        <v>0</v>
      </c>
      <c r="AE394" s="25">
        <f t="shared" si="3814"/>
        <v>0</v>
      </c>
      <c r="AF394" s="25">
        <f t="shared" si="3814"/>
        <v>0</v>
      </c>
      <c r="AG394" s="25">
        <f t="shared" si="3814"/>
        <v>0</v>
      </c>
      <c r="AH394" s="25">
        <f t="shared" si="3816"/>
        <v>0</v>
      </c>
      <c r="AI394" s="26">
        <f t="shared" si="3816"/>
        <v>0</v>
      </c>
      <c r="AJ394" s="25">
        <f t="shared" si="3816"/>
        <v>0</v>
      </c>
      <c r="AK394" s="25">
        <f t="shared" si="3816"/>
        <v>0</v>
      </c>
      <c r="AL394" s="25">
        <f t="shared" si="3816"/>
        <v>0</v>
      </c>
      <c r="AM394" s="25">
        <f t="shared" si="3816"/>
        <v>0</v>
      </c>
      <c r="AN394" s="25">
        <f t="shared" si="3816"/>
        <v>0</v>
      </c>
      <c r="AO394" s="25">
        <f t="shared" si="3816"/>
        <v>0</v>
      </c>
      <c r="AP394" s="25">
        <f t="shared" si="3816"/>
        <v>0</v>
      </c>
      <c r="AQ394" s="25">
        <f t="shared" si="3819"/>
        <v>0</v>
      </c>
      <c r="AR394" s="25">
        <f t="shared" si="3819"/>
        <v>0</v>
      </c>
      <c r="AT394" s="41">
        <f t="shared" si="3822"/>
        <v>0</v>
      </c>
      <c r="AU394" s="41">
        <f t="shared" si="3823"/>
        <v>0</v>
      </c>
      <c r="AV394" s="41">
        <f t="shared" si="3824"/>
        <v>0</v>
      </c>
      <c r="AW394" s="41">
        <f t="shared" si="3825"/>
        <v>0</v>
      </c>
      <c r="AX394" s="41">
        <f t="shared" si="3826"/>
        <v>0</v>
      </c>
      <c r="AY394" s="41">
        <f t="shared" si="3827"/>
        <v>0</v>
      </c>
      <c r="AZ394" s="41">
        <f t="shared" si="3828"/>
        <v>0</v>
      </c>
      <c r="BA394" s="41">
        <f t="shared" si="3829"/>
        <v>0</v>
      </c>
      <c r="BB394" s="41">
        <f t="shared" si="3830"/>
        <v>0</v>
      </c>
      <c r="BC394" s="41">
        <f t="shared" si="3831"/>
        <v>0</v>
      </c>
      <c r="BD394" s="41">
        <f t="shared" si="3832"/>
        <v>0</v>
      </c>
      <c r="BE394" s="41">
        <f t="shared" si="3833"/>
        <v>0</v>
      </c>
      <c r="BF394" s="41">
        <f t="shared" si="3834"/>
        <v>0</v>
      </c>
      <c r="BG394" s="41">
        <f t="shared" si="3835"/>
        <v>0</v>
      </c>
      <c r="BH394" s="41">
        <f t="shared" si="3836"/>
        <v>0</v>
      </c>
      <c r="BI394" s="42">
        <f t="shared" si="3837"/>
        <v>0</v>
      </c>
      <c r="BJ394" s="41">
        <f t="shared" si="3838"/>
        <v>0</v>
      </c>
      <c r="BK394" s="41">
        <f t="shared" si="3839"/>
        <v>0</v>
      </c>
      <c r="BL394" s="41">
        <f t="shared" si="3840"/>
        <v>0</v>
      </c>
      <c r="BM394" s="41">
        <f t="shared" si="3841"/>
        <v>0</v>
      </c>
      <c r="BN394" s="41">
        <f t="shared" si="3842"/>
        <v>0</v>
      </c>
    </row>
    <row r="395" spans="1:66" ht="12" hidden="1" customHeight="1" outlineLevel="1">
      <c r="A395" s="91" t="s">
        <v>1858</v>
      </c>
      <c r="B395" s="1" t="s">
        <v>1839</v>
      </c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>
        <f t="shared" ref="M395:S395" si="3845">M324+M248</f>
        <v>0</v>
      </c>
      <c r="N395" s="25">
        <f t="shared" si="3845"/>
        <v>0</v>
      </c>
      <c r="O395" s="25">
        <f t="shared" si="3845"/>
        <v>0</v>
      </c>
      <c r="P395" s="25">
        <f t="shared" si="3845"/>
        <v>0</v>
      </c>
      <c r="Q395" s="25">
        <f t="shared" si="3845"/>
        <v>0</v>
      </c>
      <c r="R395" s="25">
        <f t="shared" si="3845"/>
        <v>0</v>
      </c>
      <c r="S395" s="25">
        <f t="shared" si="3845"/>
        <v>0</v>
      </c>
      <c r="T395" s="25">
        <f t="shared" si="3806"/>
        <v>0</v>
      </c>
      <c r="U395" s="25">
        <f t="shared" si="3807"/>
        <v>0</v>
      </c>
      <c r="V395" s="25">
        <f t="shared" si="3807"/>
        <v>0</v>
      </c>
      <c r="W395" s="25">
        <f t="shared" si="3807"/>
        <v>157</v>
      </c>
      <c r="X395" s="25">
        <f t="shared" si="3809"/>
        <v>203</v>
      </c>
      <c r="Y395" s="25">
        <f t="shared" si="3809"/>
        <v>198</v>
      </c>
      <c r="Z395" s="25">
        <f t="shared" si="3809"/>
        <v>185</v>
      </c>
      <c r="AA395" s="25">
        <f t="shared" ref="AA395:AB395" si="3846">AA324+AA248</f>
        <v>152</v>
      </c>
      <c r="AB395" s="25">
        <f t="shared" si="3846"/>
        <v>183</v>
      </c>
      <c r="AC395" s="25">
        <f t="shared" si="3812"/>
        <v>174</v>
      </c>
      <c r="AD395" s="25">
        <f t="shared" si="3813"/>
        <v>203</v>
      </c>
      <c r="AE395" s="25">
        <f t="shared" si="3814"/>
        <v>213</v>
      </c>
      <c r="AF395" s="25">
        <f t="shared" si="3814"/>
        <v>218</v>
      </c>
      <c r="AG395" s="25">
        <f t="shared" si="3814"/>
        <v>211</v>
      </c>
      <c r="AH395" s="25">
        <f t="shared" si="3816"/>
        <v>207</v>
      </c>
      <c r="AI395" s="26">
        <f t="shared" si="3816"/>
        <v>216</v>
      </c>
      <c r="AJ395" s="25">
        <f t="shared" si="3816"/>
        <v>220.32</v>
      </c>
      <c r="AK395" s="25">
        <f t="shared" si="3816"/>
        <v>224.72639999999998</v>
      </c>
      <c r="AL395" s="25">
        <f t="shared" si="3816"/>
        <v>229.22092799999999</v>
      </c>
      <c r="AM395" s="25">
        <f t="shared" si="3816"/>
        <v>233.80534656</v>
      </c>
      <c r="AN395" s="25">
        <f t="shared" si="3816"/>
        <v>238.4814534912</v>
      </c>
      <c r="AO395" s="25">
        <f t="shared" si="3816"/>
        <v>243.25108256102399</v>
      </c>
      <c r="AP395" s="25">
        <f t="shared" si="3816"/>
        <v>248.11610421224447</v>
      </c>
      <c r="AQ395" s="25">
        <f t="shared" si="3819"/>
        <v>253.07842629648937</v>
      </c>
      <c r="AR395" s="25">
        <f t="shared" si="3819"/>
        <v>258.13999482241917</v>
      </c>
      <c r="AT395" s="41">
        <f t="shared" si="3822"/>
        <v>0</v>
      </c>
      <c r="AU395" s="41">
        <f t="shared" si="3823"/>
        <v>0</v>
      </c>
      <c r="AV395" s="41">
        <f t="shared" si="3824"/>
        <v>0</v>
      </c>
      <c r="AW395" s="41">
        <f t="shared" si="3825"/>
        <v>0</v>
      </c>
      <c r="AX395" s="41">
        <f t="shared" si="3826"/>
        <v>0</v>
      </c>
      <c r="AY395" s="41">
        <f t="shared" si="3827"/>
        <v>0</v>
      </c>
      <c r="AZ395" s="41">
        <f t="shared" si="3828"/>
        <v>0</v>
      </c>
      <c r="BA395" s="41">
        <f t="shared" si="3829"/>
        <v>0</v>
      </c>
      <c r="BB395" s="41">
        <f t="shared" si="3830"/>
        <v>0</v>
      </c>
      <c r="BC395" s="41">
        <f t="shared" si="3831"/>
        <v>0</v>
      </c>
      <c r="BD395" s="41">
        <f t="shared" si="3832"/>
        <v>360</v>
      </c>
      <c r="BE395" s="41">
        <f t="shared" si="3833"/>
        <v>383</v>
      </c>
      <c r="BF395" s="41">
        <f t="shared" si="3834"/>
        <v>335</v>
      </c>
      <c r="BG395" s="41">
        <f t="shared" si="3835"/>
        <v>377</v>
      </c>
      <c r="BH395" s="41">
        <f t="shared" si="3836"/>
        <v>431</v>
      </c>
      <c r="BI395" s="42">
        <f t="shared" si="3837"/>
        <v>418</v>
      </c>
      <c r="BJ395" s="41">
        <f t="shared" si="3838"/>
        <v>436.32</v>
      </c>
      <c r="BK395" s="41">
        <f t="shared" si="3839"/>
        <v>453.94732799999997</v>
      </c>
      <c r="BL395" s="41">
        <f t="shared" si="3840"/>
        <v>472.28680005119998</v>
      </c>
      <c r="BM395" s="41">
        <f t="shared" si="3841"/>
        <v>491.36718677326849</v>
      </c>
      <c r="BN395" s="41">
        <f t="shared" si="3842"/>
        <v>511.21842111890851</v>
      </c>
    </row>
    <row r="396" spans="1:66" ht="12" hidden="1" customHeight="1" outlineLevel="1">
      <c r="A396" s="91" t="s">
        <v>1255</v>
      </c>
      <c r="B396" s="1" t="s">
        <v>10</v>
      </c>
      <c r="C396" s="25">
        <f t="shared" ref="C396:Q396" si="3847">C325+C249</f>
        <v>-190</v>
      </c>
      <c r="D396" s="25">
        <f t="shared" si="3847"/>
        <v>264</v>
      </c>
      <c r="E396" s="25">
        <f t="shared" si="3847"/>
        <v>185</v>
      </c>
      <c r="F396" s="25">
        <f t="shared" si="3847"/>
        <v>378</v>
      </c>
      <c r="G396" s="25">
        <f t="shared" si="3847"/>
        <v>68</v>
      </c>
      <c r="H396" s="25">
        <f t="shared" si="3847"/>
        <v>432</v>
      </c>
      <c r="I396" s="25">
        <f t="shared" si="3847"/>
        <v>-21</v>
      </c>
      <c r="J396" s="25">
        <f t="shared" si="3847"/>
        <v>197</v>
      </c>
      <c r="K396" s="25">
        <f t="shared" si="3847"/>
        <v>38</v>
      </c>
      <c r="L396" s="25">
        <f t="shared" si="3847"/>
        <v>103</v>
      </c>
      <c r="M396" s="25">
        <f t="shared" si="3847"/>
        <v>116</v>
      </c>
      <c r="N396" s="25">
        <f t="shared" si="3847"/>
        <v>51</v>
      </c>
      <c r="O396" s="25">
        <f t="shared" si="3847"/>
        <v>69</v>
      </c>
      <c r="P396" s="25">
        <f t="shared" si="3847"/>
        <v>296</v>
      </c>
      <c r="Q396" s="25">
        <f t="shared" si="3847"/>
        <v>371</v>
      </c>
      <c r="R396" s="25">
        <f t="shared" ref="R396:S396" si="3848">R325+R249</f>
        <v>129</v>
      </c>
      <c r="S396" s="25">
        <f t="shared" si="3848"/>
        <v>200</v>
      </c>
      <c r="T396" s="25">
        <f t="shared" ref="T396" si="3849">T325+T249</f>
        <v>609</v>
      </c>
      <c r="U396" s="25">
        <f t="shared" ref="U396" si="3850">U325+U249</f>
        <v>712</v>
      </c>
      <c r="V396" s="25">
        <f t="shared" ref="V396:W396" si="3851">V325+V249</f>
        <v>1795</v>
      </c>
      <c r="W396" s="25">
        <f t="shared" si="3851"/>
        <v>75</v>
      </c>
      <c r="X396" s="25">
        <f t="shared" ref="X396" si="3852">X325+X249</f>
        <v>72</v>
      </c>
      <c r="Y396" s="25">
        <f t="shared" ref="Y396:Z396" si="3853">Y325+Y249</f>
        <v>3</v>
      </c>
      <c r="Z396" s="25">
        <f t="shared" si="3853"/>
        <v>8</v>
      </c>
      <c r="AA396" s="25">
        <f t="shared" ref="AA396:AB396" si="3854">AA325+AA249</f>
        <v>104</v>
      </c>
      <c r="AB396" s="25">
        <f t="shared" si="3854"/>
        <v>38</v>
      </c>
      <c r="AC396" s="25">
        <f t="shared" ref="AC396" si="3855">AC325+AC249</f>
        <v>69</v>
      </c>
      <c r="AD396" s="25">
        <f t="shared" ref="AD396" si="3856">AD325+AD249</f>
        <v>37</v>
      </c>
      <c r="AE396" s="25">
        <f t="shared" ref="AE396" si="3857">AE325+AE249</f>
        <v>57</v>
      </c>
      <c r="AF396" s="25">
        <f t="shared" ref="AF396:AG396" si="3858">AF325+AF249</f>
        <v>55</v>
      </c>
      <c r="AG396" s="25">
        <f t="shared" si="3858"/>
        <v>62</v>
      </c>
      <c r="AH396" s="25">
        <f t="shared" ref="AH396" si="3859">AH325+AH249</f>
        <v>91</v>
      </c>
      <c r="AI396" s="26">
        <f t="shared" ref="AI396" si="3860">AI325+AI249</f>
        <v>33</v>
      </c>
      <c r="AJ396" s="25">
        <f t="shared" ref="AJ396:AK396" si="3861">AJ325+AJ249</f>
        <v>51.410000000000004</v>
      </c>
      <c r="AK396" s="25">
        <f t="shared" si="3861"/>
        <v>52.937300000000008</v>
      </c>
      <c r="AL396" s="25">
        <f t="shared" ref="AL396:AM396" si="3862">AL325+AL249</f>
        <v>54.510044000000001</v>
      </c>
      <c r="AM396" s="25">
        <f t="shared" si="3862"/>
        <v>56.129585945000002</v>
      </c>
      <c r="AN396" s="25">
        <f t="shared" ref="AN396:AO396" si="3863">AN325+AN249</f>
        <v>57.797320163975002</v>
      </c>
      <c r="AO396" s="25">
        <f t="shared" si="3863"/>
        <v>59.514682575534877</v>
      </c>
      <c r="AP396" s="25">
        <f t="shared" ref="AP396:AQ396" si="3864">AP325+AP249</f>
        <v>61.283151929607563</v>
      </c>
      <c r="AQ396" s="25">
        <f t="shared" si="3864"/>
        <v>63.104251086222604</v>
      </c>
      <c r="AR396" s="25">
        <f t="shared" ref="AR396" si="3865">AR325+AR249</f>
        <v>64.979548332504251</v>
      </c>
      <c r="AT396" s="41">
        <f t="shared" si="3822"/>
        <v>74</v>
      </c>
      <c r="AU396" s="41">
        <f t="shared" si="3823"/>
        <v>563</v>
      </c>
      <c r="AV396" s="41">
        <f t="shared" si="3824"/>
        <v>500</v>
      </c>
      <c r="AW396" s="41">
        <f t="shared" si="3825"/>
        <v>176</v>
      </c>
      <c r="AX396" s="41">
        <f t="shared" si="3826"/>
        <v>141</v>
      </c>
      <c r="AY396" s="41">
        <f t="shared" si="3827"/>
        <v>167</v>
      </c>
      <c r="AZ396" s="41">
        <f t="shared" si="3828"/>
        <v>365</v>
      </c>
      <c r="BA396" s="41">
        <f t="shared" si="3829"/>
        <v>500</v>
      </c>
      <c r="BB396" s="41">
        <f t="shared" si="3830"/>
        <v>809</v>
      </c>
      <c r="BC396" s="41">
        <f t="shared" si="3831"/>
        <v>2507</v>
      </c>
      <c r="BD396" s="41">
        <f t="shared" si="3832"/>
        <v>147</v>
      </c>
      <c r="BE396" s="41">
        <f t="shared" si="3833"/>
        <v>11</v>
      </c>
      <c r="BF396" s="41">
        <f t="shared" si="3834"/>
        <v>142</v>
      </c>
      <c r="BG396" s="41">
        <f t="shared" si="3835"/>
        <v>106</v>
      </c>
      <c r="BH396" s="41">
        <f t="shared" si="3836"/>
        <v>112</v>
      </c>
      <c r="BI396" s="42">
        <f t="shared" si="3837"/>
        <v>153</v>
      </c>
      <c r="BJ396" s="41">
        <f>AI396+AJ396</f>
        <v>84.41</v>
      </c>
      <c r="BK396" s="41">
        <f>AK396+AL396</f>
        <v>107.44734400000002</v>
      </c>
      <c r="BL396" s="41">
        <f>AM396+AN396</f>
        <v>113.926906108975</v>
      </c>
      <c r="BM396" s="41">
        <f>AO396+AP396</f>
        <v>120.79783450514245</v>
      </c>
      <c r="BN396" s="41">
        <f>AQ396+AR396</f>
        <v>128.08379941872687</v>
      </c>
    </row>
    <row r="397" spans="1:66" s="9" customFormat="1" ht="12" hidden="1" customHeight="1" outlineLevel="1">
      <c r="A397" s="91" t="s">
        <v>1256</v>
      </c>
      <c r="B397" s="9" t="s">
        <v>35</v>
      </c>
      <c r="C397" s="30">
        <f t="shared" ref="C397:H397" si="3866">C381+C389+C390+C391+C392+C396</f>
        <v>1634</v>
      </c>
      <c r="D397" s="30">
        <f t="shared" si="3866"/>
        <v>1972</v>
      </c>
      <c r="E397" s="30">
        <f t="shared" si="3866"/>
        <v>1535</v>
      </c>
      <c r="F397" s="30">
        <f t="shared" si="3866"/>
        <v>2128</v>
      </c>
      <c r="G397" s="30">
        <f t="shared" si="3866"/>
        <v>1224</v>
      </c>
      <c r="H397" s="30">
        <f t="shared" si="3866"/>
        <v>1691</v>
      </c>
      <c r="I397" s="30">
        <f t="shared" ref="I397:M397" si="3867">I381+I389+I390+I391+I392+I396</f>
        <v>1138</v>
      </c>
      <c r="J397" s="30">
        <f t="shared" si="3867"/>
        <v>1493</v>
      </c>
      <c r="K397" s="30">
        <f t="shared" si="3867"/>
        <v>1461</v>
      </c>
      <c r="L397" s="30">
        <f t="shared" si="3867"/>
        <v>1903</v>
      </c>
      <c r="M397" s="30">
        <f t="shared" si="3867"/>
        <v>1595</v>
      </c>
      <c r="N397" s="30">
        <f t="shared" ref="N397:O397" si="3868">N381+N389+N390+N391+N392+N396</f>
        <v>2208</v>
      </c>
      <c r="O397" s="30">
        <f t="shared" si="3868"/>
        <v>2045</v>
      </c>
      <c r="P397" s="30">
        <f t="shared" ref="P397" si="3869">P381+P389+P390+P391+P392+P396</f>
        <v>2025</v>
      </c>
      <c r="Q397" s="30">
        <f t="shared" ref="Q397:R397" si="3870">Q381+Q389+Q390+Q391+Q392+Q396</f>
        <v>2054</v>
      </c>
      <c r="R397" s="30">
        <f t="shared" si="3870"/>
        <v>2100</v>
      </c>
      <c r="S397" s="30">
        <f t="shared" ref="S397" si="3871">S381+S389+S390+S391+S392+S396</f>
        <v>1887</v>
      </c>
      <c r="T397" s="30">
        <f t="shared" ref="T397" si="3872">T381+T389+T390+T391+T392+T396</f>
        <v>2480</v>
      </c>
      <c r="U397" s="30">
        <f t="shared" ref="U397" si="3873">U381+U389+U390+U391+U392+U396</f>
        <v>3174</v>
      </c>
      <c r="V397" s="30">
        <f t="shared" ref="V397:W397" si="3874">V381+V389+V390+V391+V392+V396</f>
        <v>4094</v>
      </c>
      <c r="W397" s="30">
        <f t="shared" si="3874"/>
        <v>2544</v>
      </c>
      <c r="X397" s="30">
        <f t="shared" ref="X397" si="3875">X381+X389+X390+X391+X392+X396</f>
        <v>2024</v>
      </c>
      <c r="Y397" s="30">
        <f t="shared" ref="Y397:Z397" si="3876">Y381+Y389+Y390+Y391+Y392+Y396</f>
        <v>2379</v>
      </c>
      <c r="Z397" s="30">
        <f t="shared" si="3876"/>
        <v>2971</v>
      </c>
      <c r="AA397" s="30">
        <f t="shared" ref="AA397:AB397" si="3877">AA381+AA389+AA390+AA391+AA392+AA396</f>
        <v>3096</v>
      </c>
      <c r="AB397" s="30">
        <f t="shared" si="3877"/>
        <v>4125</v>
      </c>
      <c r="AC397" s="30">
        <f>AC381+AC389+AC390+AC391+AC392+AC396+AC393+AC394+AC395</f>
        <v>4526</v>
      </c>
      <c r="AD397" s="30">
        <f t="shared" ref="AD397:AH397" si="3878">AD381+AD389+AD390+AD391+AD392+AD396+AD393+AD394+AD395</f>
        <v>6418</v>
      </c>
      <c r="AE397" s="30">
        <f t="shared" si="3878"/>
        <v>4149</v>
      </c>
      <c r="AF397" s="30">
        <f t="shared" si="3878"/>
        <v>4785</v>
      </c>
      <c r="AG397" s="30">
        <f t="shared" si="3878"/>
        <v>4039</v>
      </c>
      <c r="AH397" s="30">
        <f t="shared" si="3878"/>
        <v>4617</v>
      </c>
      <c r="AI397" s="30">
        <f>AI381+AI389+AI390+AI391+AI392+AI396+AI393+AI394+AI395</f>
        <v>4379</v>
      </c>
      <c r="AJ397" s="30">
        <f t="shared" ref="AJ397:AR397" si="3879">AJ381+AJ389+AJ390+AJ391+AJ392+AJ396+AJ393+AJ394+AJ395</f>
        <v>5262.1321078269448</v>
      </c>
      <c r="AK397" s="30">
        <f t="shared" si="3879"/>
        <v>4961.4303021372334</v>
      </c>
      <c r="AL397" s="30">
        <f t="shared" si="3879"/>
        <v>5287.5772143401118</v>
      </c>
      <c r="AM397" s="30">
        <f t="shared" si="3879"/>
        <v>5249.8929249855546</v>
      </c>
      <c r="AN397" s="30">
        <f t="shared" si="3879"/>
        <v>5686.7626262760123</v>
      </c>
      <c r="AO397" s="30">
        <f t="shared" si="3879"/>
        <v>5542.6295440314998</v>
      </c>
      <c r="AP397" s="30">
        <f t="shared" si="3879"/>
        <v>5986.2696466851712</v>
      </c>
      <c r="AQ397" s="30">
        <f t="shared" si="3879"/>
        <v>5879.2979724186216</v>
      </c>
      <c r="AR397" s="30">
        <f t="shared" si="3879"/>
        <v>6252.2615427264245</v>
      </c>
      <c r="AT397" s="30">
        <f t="shared" ref="AT397:BF397" si="3880">AT381+AT389+AT390+AT391+AT392+AT396+AT393+AT394+AT395</f>
        <v>3606</v>
      </c>
      <c r="AU397" s="30">
        <f t="shared" si="3880"/>
        <v>3663</v>
      </c>
      <c r="AV397" s="30">
        <f t="shared" si="3880"/>
        <v>2915</v>
      </c>
      <c r="AW397" s="30">
        <f t="shared" si="3880"/>
        <v>2631</v>
      </c>
      <c r="AX397" s="30">
        <f t="shared" si="3880"/>
        <v>3364</v>
      </c>
      <c r="AY397" s="30">
        <f t="shared" si="3880"/>
        <v>3803</v>
      </c>
      <c r="AZ397" s="30">
        <f t="shared" si="3880"/>
        <v>4070</v>
      </c>
      <c r="BA397" s="30">
        <f t="shared" si="3880"/>
        <v>4154</v>
      </c>
      <c r="BB397" s="30">
        <f t="shared" si="3880"/>
        <v>4367</v>
      </c>
      <c r="BC397" s="30">
        <f t="shared" si="3880"/>
        <v>7268</v>
      </c>
      <c r="BD397" s="30">
        <f t="shared" si="3880"/>
        <v>6351</v>
      </c>
      <c r="BE397" s="30">
        <f t="shared" si="3880"/>
        <v>6926</v>
      </c>
      <c r="BF397" s="30">
        <f t="shared" si="3880"/>
        <v>9219</v>
      </c>
      <c r="BG397" s="30">
        <f>BG381+BG389+BG390+BG391+BG392+BG396+BG393+BG394+BG395</f>
        <v>10944</v>
      </c>
      <c r="BH397" s="30">
        <f>BH381+BH389+BH390+BH391+BH392+BH396+BH393+BH394+BH395</f>
        <v>8934</v>
      </c>
      <c r="BI397" s="27">
        <f>BI381+BI389+BI390+BI391+BI392+BI396+BI393+BI394+BI395</f>
        <v>8656</v>
      </c>
      <c r="BJ397" s="30">
        <f t="shared" ref="BJ397:BK397" si="3881">BJ381+BJ389+BJ390+BJ391+BJ392+BJ396</f>
        <v>8502.0621078269451</v>
      </c>
      <c r="BK397" s="30">
        <f t="shared" si="3881"/>
        <v>9027.0576884773454</v>
      </c>
      <c r="BL397" s="30">
        <f t="shared" ref="BL397:BM397" si="3882">BL381+BL389+BL390+BL391+BL392+BL396</f>
        <v>9577.3324862103636</v>
      </c>
      <c r="BM397" s="30">
        <f t="shared" si="3882"/>
        <v>10025.714300010841</v>
      </c>
      <c r="BN397" s="30">
        <f>BN381+BN389+BN390+BN391+BN392+BN396</f>
        <v>10519.559977304909</v>
      </c>
    </row>
    <row r="398" spans="1:66" ht="12" hidden="1" customHeight="1" outlineLevel="1">
      <c r="A398" s="91" t="s">
        <v>1257</v>
      </c>
      <c r="B398" s="1" t="s">
        <v>14</v>
      </c>
      <c r="C398" s="25">
        <f t="shared" ref="C398:Q398" si="3883">C327+C251</f>
        <v>-392</v>
      </c>
      <c r="D398" s="25">
        <f t="shared" si="3883"/>
        <v>-481</v>
      </c>
      <c r="E398" s="25">
        <f t="shared" si="3883"/>
        <v>-476</v>
      </c>
      <c r="F398" s="25">
        <f t="shared" si="3883"/>
        <v>-587</v>
      </c>
      <c r="G398" s="25">
        <f t="shared" si="3883"/>
        <v>-423</v>
      </c>
      <c r="H398" s="25">
        <f t="shared" si="3883"/>
        <v>-449</v>
      </c>
      <c r="I398" s="25">
        <f t="shared" si="3883"/>
        <v>-357</v>
      </c>
      <c r="J398" s="25">
        <f t="shared" si="3883"/>
        <v>-352</v>
      </c>
      <c r="K398" s="25">
        <f t="shared" si="3883"/>
        <v>-371</v>
      </c>
      <c r="L398" s="25">
        <f t="shared" si="3883"/>
        <v>-407</v>
      </c>
      <c r="M398" s="25">
        <f t="shared" si="3883"/>
        <v>-400</v>
      </c>
      <c r="N398" s="25">
        <f t="shared" si="3883"/>
        <v>-442</v>
      </c>
      <c r="O398" s="25">
        <f t="shared" si="3883"/>
        <v>-456</v>
      </c>
      <c r="P398" s="25">
        <f t="shared" si="3883"/>
        <v>-494</v>
      </c>
      <c r="Q398" s="25">
        <f t="shared" si="3883"/>
        <v>-468</v>
      </c>
      <c r="R398" s="25">
        <f t="shared" ref="R398:S398" si="3884">R327+R251</f>
        <v>-426</v>
      </c>
      <c r="S398" s="25">
        <f t="shared" si="3884"/>
        <v>-438</v>
      </c>
      <c r="T398" s="25">
        <f t="shared" ref="T398" si="3885">T327+T251</f>
        <v>-483</v>
      </c>
      <c r="U398" s="25">
        <f t="shared" ref="U398" si="3886">U327+U251</f>
        <v>-577</v>
      </c>
      <c r="V398" s="25">
        <f t="shared" ref="V398:W398" si="3887">V327+V251</f>
        <v>-681</v>
      </c>
      <c r="W398" s="25">
        <f t="shared" si="3887"/>
        <v>-661</v>
      </c>
      <c r="X398" s="25">
        <f t="shared" ref="X398" si="3888">X327+X251</f>
        <v>-656</v>
      </c>
      <c r="Y398" s="25">
        <f t="shared" ref="Y398:Z398" si="3889">Y327+Y251</f>
        <v>-659</v>
      </c>
      <c r="Z398" s="25">
        <f t="shared" si="3889"/>
        <v>-587</v>
      </c>
      <c r="AA398" s="25">
        <f t="shared" ref="AA398:AB398" si="3890">AA327+AA251</f>
        <v>-540</v>
      </c>
      <c r="AB398" s="25">
        <f t="shared" si="3890"/>
        <v>-568</v>
      </c>
      <c r="AC398" s="25">
        <f t="shared" ref="AC398" si="3891">AC327+AC251</f>
        <v>-622</v>
      </c>
      <c r="AD398" s="25">
        <f t="shared" ref="AD398" si="3892">AD327+AD251</f>
        <v>-686</v>
      </c>
      <c r="AE398" s="25">
        <f t="shared" ref="AE398" si="3893">AE327+AE251</f>
        <v>-721</v>
      </c>
      <c r="AF398" s="25">
        <f t="shared" ref="AF398:AG398" si="3894">AF327+AF251</f>
        <v>-712</v>
      </c>
      <c r="AG398" s="25">
        <f t="shared" si="3894"/>
        <v>-714</v>
      </c>
      <c r="AH398" s="25">
        <f t="shared" ref="AH398" si="3895">AH327+AH251</f>
        <v>-708</v>
      </c>
      <c r="AI398" s="26">
        <f t="shared" ref="AI398" si="3896">AI327+AI251</f>
        <v>-731</v>
      </c>
      <c r="AJ398" s="25">
        <f t="shared" ref="AJ398:AK398" si="3897">AJ327+AJ251</f>
        <v>-738.27915173012866</v>
      </c>
      <c r="AK398" s="25">
        <f t="shared" si="3897"/>
        <v>-756.25399241672312</v>
      </c>
      <c r="AL398" s="25">
        <f t="shared" ref="AL398:AM398" si="3898">AL327+AL251</f>
        <v>-769.56663830625143</v>
      </c>
      <c r="AM398" s="25">
        <f t="shared" si="3898"/>
        <v>-789.58428684034084</v>
      </c>
      <c r="AN398" s="25">
        <f t="shared" ref="AN398:AO398" si="3899">AN327+AN251</f>
        <v>-807.90781400003118</v>
      </c>
      <c r="AO398" s="25">
        <f t="shared" si="3899"/>
        <v>-828.92619810375595</v>
      </c>
      <c r="AP398" s="25">
        <f t="shared" ref="AP398:AQ398" si="3900">AP327+AP251</f>
        <v>-843.53774759049566</v>
      </c>
      <c r="AQ398" s="25">
        <f t="shared" si="3900"/>
        <v>-867.87084640163425</v>
      </c>
      <c r="AR398" s="25">
        <f t="shared" ref="AR398" si="3901">AR327+AR251</f>
        <v>-883.17911379512566</v>
      </c>
      <c r="AT398" s="41">
        <f>C398+D398</f>
        <v>-873</v>
      </c>
      <c r="AU398" s="41">
        <f>E398+F398</f>
        <v>-1063</v>
      </c>
      <c r="AV398" s="41">
        <f>G398+H398</f>
        <v>-872</v>
      </c>
      <c r="AW398" s="41">
        <f>I398+J398</f>
        <v>-709</v>
      </c>
      <c r="AX398" s="41">
        <f>K398+L398</f>
        <v>-778</v>
      </c>
      <c r="AY398" s="41">
        <f>M398+N398</f>
        <v>-842</v>
      </c>
      <c r="AZ398" s="41">
        <f>O398+P398</f>
        <v>-950</v>
      </c>
      <c r="BA398" s="41">
        <f>Q398+R398</f>
        <v>-894</v>
      </c>
      <c r="BB398" s="41">
        <f>S398+T398</f>
        <v>-921</v>
      </c>
      <c r="BC398" s="41">
        <f>U398+V398</f>
        <v>-1258</v>
      </c>
      <c r="BD398" s="41">
        <f>W398+X398</f>
        <v>-1317</v>
      </c>
      <c r="BE398" s="41">
        <f>Y398+Z398</f>
        <v>-1246</v>
      </c>
      <c r="BF398" s="41">
        <f>AA398+AB398</f>
        <v>-1108</v>
      </c>
      <c r="BG398" s="41">
        <f>AC398+AD398</f>
        <v>-1308</v>
      </c>
      <c r="BH398" s="41">
        <f>AE398+AF398</f>
        <v>-1433</v>
      </c>
      <c r="BI398" s="42">
        <f>AG398+AH398</f>
        <v>-1422</v>
      </c>
      <c r="BJ398" s="41">
        <f>AI398+AJ398</f>
        <v>-1469.2791517301287</v>
      </c>
      <c r="BK398" s="41">
        <f>AK398+AL398</f>
        <v>-1525.8206307229746</v>
      </c>
      <c r="BL398" s="41">
        <f>AM398+AN398</f>
        <v>-1597.4921008403721</v>
      </c>
      <c r="BM398" s="41">
        <f>AO398+AP398</f>
        <v>-1672.4639456942516</v>
      </c>
      <c r="BN398" s="41">
        <f>AQ398+AR398</f>
        <v>-1751.0499601967599</v>
      </c>
    </row>
    <row r="399" spans="1:66" ht="12" hidden="1" customHeight="1" outlineLevel="1">
      <c r="A399" s="91" t="s">
        <v>1258</v>
      </c>
      <c r="B399" s="1" t="s">
        <v>21</v>
      </c>
      <c r="C399" s="25">
        <f t="shared" ref="C399:Q399" si="3902">C328+C252</f>
        <v>-199</v>
      </c>
      <c r="D399" s="25">
        <f t="shared" si="3902"/>
        <v>-163</v>
      </c>
      <c r="E399" s="25">
        <f t="shared" si="3902"/>
        <v>-201</v>
      </c>
      <c r="F399" s="25">
        <f t="shared" si="3902"/>
        <v>-219</v>
      </c>
      <c r="G399" s="25">
        <f t="shared" si="3902"/>
        <v>-221</v>
      </c>
      <c r="H399" s="25">
        <f t="shared" si="3902"/>
        <v>-175</v>
      </c>
      <c r="I399" s="25">
        <f t="shared" si="3902"/>
        <v>-143</v>
      </c>
      <c r="J399" s="25">
        <f t="shared" si="3902"/>
        <v>-130</v>
      </c>
      <c r="K399" s="25">
        <f t="shared" si="3902"/>
        <v>-195</v>
      </c>
      <c r="L399" s="25">
        <f t="shared" si="3902"/>
        <v>-222</v>
      </c>
      <c r="M399" s="25">
        <f t="shared" si="3902"/>
        <v>-197</v>
      </c>
      <c r="N399" s="25">
        <f t="shared" si="3902"/>
        <v>-223</v>
      </c>
      <c r="O399" s="25">
        <f t="shared" si="3902"/>
        <v>-230</v>
      </c>
      <c r="P399" s="25">
        <f t="shared" si="3902"/>
        <v>-220</v>
      </c>
      <c r="Q399" s="25">
        <f t="shared" si="3902"/>
        <v>-209</v>
      </c>
      <c r="R399" s="25">
        <f t="shared" ref="R399:S399" si="3903">R328+R252</f>
        <v>-222</v>
      </c>
      <c r="S399" s="25">
        <f t="shared" si="3903"/>
        <v>-193</v>
      </c>
      <c r="T399" s="25">
        <f t="shared" ref="T399" si="3904">T328+T252</f>
        <v>-209</v>
      </c>
      <c r="U399" s="25">
        <f t="shared" ref="U399" si="3905">U328+U252</f>
        <v>-343</v>
      </c>
      <c r="V399" s="25">
        <f t="shared" ref="V399:W399" si="3906">V328+V252</f>
        <v>-333</v>
      </c>
      <c r="W399" s="25">
        <f t="shared" si="3906"/>
        <v>-268</v>
      </c>
      <c r="X399" s="25">
        <f t="shared" ref="X399" si="3907">X328+X252</f>
        <v>-257</v>
      </c>
      <c r="Y399" s="25">
        <f t="shared" ref="Y399:Z399" si="3908">Y328+Y252</f>
        <v>-266</v>
      </c>
      <c r="Z399" s="25">
        <f t="shared" si="3908"/>
        <v>-220</v>
      </c>
      <c r="AA399" s="25">
        <f t="shared" ref="AA399:AB399" si="3909">AA328+AA252</f>
        <v>-238</v>
      </c>
      <c r="AB399" s="25">
        <f t="shared" si="3909"/>
        <v>-252</v>
      </c>
      <c r="AC399" s="25">
        <f t="shared" ref="AC399" si="3910">AC328+AC252</f>
        <v>-246</v>
      </c>
      <c r="AD399" s="25">
        <f t="shared" ref="AD399" si="3911">AD328+AD252</f>
        <v>-256</v>
      </c>
      <c r="AE399" s="25">
        <f t="shared" ref="AE399" si="3912">AE328+AE252</f>
        <v>-269</v>
      </c>
      <c r="AF399" s="25">
        <f t="shared" ref="AF399:AG399" si="3913">AF328+AF252</f>
        <v>-269</v>
      </c>
      <c r="AG399" s="25">
        <f t="shared" si="3913"/>
        <v>-301</v>
      </c>
      <c r="AH399" s="25">
        <f t="shared" ref="AH399" si="3914">AH328+AH252</f>
        <v>-304</v>
      </c>
      <c r="AI399" s="26">
        <f t="shared" ref="AI399" si="3915">AI328+AI252</f>
        <v>-313</v>
      </c>
      <c r="AJ399" s="25">
        <f t="shared" ref="AJ399:AK399" si="3916">AJ328+AJ252</f>
        <v>-322.28883471521272</v>
      </c>
      <c r="AK399" s="25">
        <f t="shared" si="3916"/>
        <v>-327.94513895116091</v>
      </c>
      <c r="AL399" s="25">
        <f t="shared" ref="AL399:AM399" si="3917">AL328+AL252</f>
        <v>-289.93050598156094</v>
      </c>
      <c r="AM399" s="25">
        <f t="shared" si="3917"/>
        <v>-318.88809721494113</v>
      </c>
      <c r="AN399" s="25">
        <f t="shared" ref="AN399:AO399" si="3918">AN328+AN252</f>
        <v>-286.52208971673178</v>
      </c>
      <c r="AO399" s="25">
        <f t="shared" si="3918"/>
        <v>-307.44150229687887</v>
      </c>
      <c r="AP399" s="25">
        <f t="shared" ref="AP399:AQ399" si="3919">AP328+AP252</f>
        <v>-277.11504884807925</v>
      </c>
      <c r="AQ399" s="25">
        <f t="shared" si="3919"/>
        <v>-299.26000565124218</v>
      </c>
      <c r="AR399" s="25">
        <f t="shared" ref="AR399" si="3920">AR328+AR252</f>
        <v>-266.25587494582675</v>
      </c>
      <c r="AT399" s="41">
        <f>C399+D399</f>
        <v>-362</v>
      </c>
      <c r="AU399" s="41">
        <f>E399+F399</f>
        <v>-420</v>
      </c>
      <c r="AV399" s="41">
        <f>G399+H399</f>
        <v>-396</v>
      </c>
      <c r="AW399" s="41">
        <f>I399+J399</f>
        <v>-273</v>
      </c>
      <c r="AX399" s="41">
        <f>K399+L399</f>
        <v>-417</v>
      </c>
      <c r="AY399" s="41">
        <f>M399+N399</f>
        <v>-420</v>
      </c>
      <c r="AZ399" s="41">
        <f>O399+P399</f>
        <v>-450</v>
      </c>
      <c r="BA399" s="41">
        <f>Q399+R399</f>
        <v>-431</v>
      </c>
      <c r="BB399" s="41">
        <f>S399+T399</f>
        <v>-402</v>
      </c>
      <c r="BC399" s="41">
        <f>U399+V399</f>
        <v>-676</v>
      </c>
      <c r="BD399" s="41">
        <f>W399+X399</f>
        <v>-525</v>
      </c>
      <c r="BE399" s="41">
        <f>Y399+Z399</f>
        <v>-486</v>
      </c>
      <c r="BF399" s="41">
        <f>AA399+AB399</f>
        <v>-490</v>
      </c>
      <c r="BG399" s="41">
        <f>AC399+AD399</f>
        <v>-502</v>
      </c>
      <c r="BH399" s="41">
        <f>AE399+AF399</f>
        <v>-538</v>
      </c>
      <c r="BI399" s="42">
        <f>AG399+AH399</f>
        <v>-605</v>
      </c>
      <c r="BJ399" s="41">
        <f>AI399+AJ399</f>
        <v>-635.28883471521272</v>
      </c>
      <c r="BK399" s="41">
        <f>AK399+AL399</f>
        <v>-617.8756449327218</v>
      </c>
      <c r="BL399" s="41">
        <f>AM399+AN399</f>
        <v>-605.41018693167291</v>
      </c>
      <c r="BM399" s="41">
        <f>AO399+AP399</f>
        <v>-584.55655114495812</v>
      </c>
      <c r="BN399" s="41">
        <f>AQ399+AR399</f>
        <v>-565.51588059706887</v>
      </c>
    </row>
    <row r="400" spans="1:66" ht="12" hidden="1" customHeight="1" outlineLevel="1">
      <c r="A400" s="91" t="s">
        <v>1259</v>
      </c>
      <c r="B400" s="1" t="s">
        <v>11</v>
      </c>
      <c r="C400" s="25">
        <f t="shared" ref="C400:Q400" si="3921">C329+C253</f>
        <v>-481</v>
      </c>
      <c r="D400" s="25">
        <f t="shared" si="3921"/>
        <v>-526</v>
      </c>
      <c r="E400" s="25">
        <f t="shared" si="3921"/>
        <v>-562</v>
      </c>
      <c r="F400" s="25">
        <f t="shared" si="3921"/>
        <v>-636</v>
      </c>
      <c r="G400" s="25">
        <f t="shared" si="3921"/>
        <v>-603</v>
      </c>
      <c r="H400" s="25">
        <f t="shared" si="3921"/>
        <v>-614</v>
      </c>
      <c r="I400" s="25">
        <f t="shared" si="3921"/>
        <v>-491</v>
      </c>
      <c r="J400" s="25">
        <f t="shared" si="3921"/>
        <v>-499</v>
      </c>
      <c r="K400" s="25">
        <f t="shared" si="3921"/>
        <v>-532</v>
      </c>
      <c r="L400" s="25">
        <f t="shared" si="3921"/>
        <v>-535</v>
      </c>
      <c r="M400" s="25">
        <f t="shared" si="3921"/>
        <v>-582</v>
      </c>
      <c r="N400" s="25">
        <f t="shared" si="3921"/>
        <v>-635</v>
      </c>
      <c r="O400" s="25">
        <f t="shared" si="3921"/>
        <v>-667</v>
      </c>
      <c r="P400" s="25">
        <f t="shared" si="3921"/>
        <v>-713</v>
      </c>
      <c r="Q400" s="25">
        <f t="shared" si="3921"/>
        <v>-692</v>
      </c>
      <c r="R400" s="25">
        <f t="shared" ref="R400:S400" si="3922">R329+R253</f>
        <v>-681</v>
      </c>
      <c r="S400" s="25">
        <f t="shared" si="3922"/>
        <v>-677</v>
      </c>
      <c r="T400" s="25">
        <f t="shared" ref="T400" si="3923">T329+T253</f>
        <v>-736</v>
      </c>
      <c r="U400" s="25">
        <f t="shared" ref="U400" si="3924">U329+U253</f>
        <v>-870</v>
      </c>
      <c r="V400" s="25">
        <f t="shared" ref="V400:W400" si="3925">V329+V253</f>
        <v>-958</v>
      </c>
      <c r="W400" s="25">
        <f t="shared" si="3925"/>
        <v>-1002</v>
      </c>
      <c r="X400" s="25">
        <f t="shared" ref="X400" si="3926">X329+X253</f>
        <v>-1023</v>
      </c>
      <c r="Y400" s="25">
        <f t="shared" ref="Y400:Z400" si="3927">Y329+Y253</f>
        <v>-939</v>
      </c>
      <c r="Z400" s="25">
        <f t="shared" si="3927"/>
        <v>-1020</v>
      </c>
      <c r="AA400" s="25">
        <f t="shared" ref="AA400:AB400" si="3928">AA329+AA253</f>
        <v>-862</v>
      </c>
      <c r="AB400" s="25">
        <f t="shared" si="3928"/>
        <v>-1078</v>
      </c>
      <c r="AC400" s="25">
        <f t="shared" ref="AC400" si="3929">AC329+AC253</f>
        <v>-1086</v>
      </c>
      <c r="AD400" s="25">
        <f t="shared" ref="AD400" si="3930">AD329+AD253</f>
        <v>-1270</v>
      </c>
      <c r="AE400" s="25">
        <f t="shared" ref="AE400" si="3931">AE329+AE253</f>
        <v>-1343</v>
      </c>
      <c r="AF400" s="25">
        <f t="shared" ref="AF400:AG400" si="3932">AF329+AF253</f>
        <v>-1332</v>
      </c>
      <c r="AG400" s="25">
        <f t="shared" si="3932"/>
        <v>-1334</v>
      </c>
      <c r="AH400" s="25">
        <f t="shared" ref="AH400" si="3933">AH329+AH253</f>
        <v>-1413</v>
      </c>
      <c r="AI400" s="26">
        <f t="shared" ref="AI400" si="3934">AI329+AI253</f>
        <v>-1501</v>
      </c>
      <c r="AJ400" s="25">
        <f t="shared" ref="AJ400:AK400" si="3935">AJ329+AJ253</f>
        <v>-1460.788290876141</v>
      </c>
      <c r="AK400" s="25">
        <f t="shared" si="3935"/>
        <v>-1513.3609965774083</v>
      </c>
      <c r="AL400" s="25">
        <f t="shared" ref="AL400:AM400" si="3936">AL329+AL253</f>
        <v>-1542.9832088792564</v>
      </c>
      <c r="AM400" s="25">
        <f t="shared" si="3936"/>
        <v>-1574.2202544455918</v>
      </c>
      <c r="AN400" s="25">
        <f t="shared" ref="AN400:AO400" si="3937">AN329+AN253</f>
        <v>-1590.6259362212907</v>
      </c>
      <c r="AO400" s="25">
        <f t="shared" si="3937"/>
        <v>-1605.4400944359629</v>
      </c>
      <c r="AP400" s="25">
        <f t="shared" ref="AP400:AQ400" si="3938">AP329+AP253</f>
        <v>-1602.9347979684098</v>
      </c>
      <c r="AQ400" s="25">
        <f t="shared" si="3938"/>
        <v>-1615.8713803101941</v>
      </c>
      <c r="AR400" s="25">
        <f t="shared" ref="AR400" si="3939">AR329+AR253</f>
        <v>-1609.8012067124146</v>
      </c>
      <c r="AT400" s="41">
        <f>C400+D400</f>
        <v>-1007</v>
      </c>
      <c r="AU400" s="41">
        <f>E400+F400</f>
        <v>-1198</v>
      </c>
      <c r="AV400" s="41">
        <f>G400+H400</f>
        <v>-1217</v>
      </c>
      <c r="AW400" s="41">
        <f>I400+J400</f>
        <v>-990</v>
      </c>
      <c r="AX400" s="41">
        <f>K400+L400</f>
        <v>-1067</v>
      </c>
      <c r="AY400" s="41">
        <f>M400+N400</f>
        <v>-1217</v>
      </c>
      <c r="AZ400" s="41">
        <f>O400+P400</f>
        <v>-1380</v>
      </c>
      <c r="BA400" s="41">
        <f>Q400+R400</f>
        <v>-1373</v>
      </c>
      <c r="BB400" s="41">
        <f>S400+T400</f>
        <v>-1413</v>
      </c>
      <c r="BC400" s="41">
        <f>U400+V400</f>
        <v>-1828</v>
      </c>
      <c r="BD400" s="41">
        <f>W400+X400</f>
        <v>-2025</v>
      </c>
      <c r="BE400" s="41">
        <f>Y400+Z400</f>
        <v>-1959</v>
      </c>
      <c r="BF400" s="41">
        <f>AA400+AB400</f>
        <v>-1940</v>
      </c>
      <c r="BG400" s="41">
        <f>AC400+AD400</f>
        <v>-2356</v>
      </c>
      <c r="BH400" s="41">
        <f>AE400+AF400</f>
        <v>-2675</v>
      </c>
      <c r="BI400" s="42">
        <f>AG400+AH400</f>
        <v>-2747</v>
      </c>
      <c r="BJ400" s="41">
        <f>AI400+AJ400</f>
        <v>-2961.7882908761412</v>
      </c>
      <c r="BK400" s="41">
        <f>AK400+AL400</f>
        <v>-3056.3442054566649</v>
      </c>
      <c r="BL400" s="41">
        <f>AM400+AN400</f>
        <v>-3164.8461906668826</v>
      </c>
      <c r="BM400" s="41">
        <f>AO400+AP400</f>
        <v>-3208.374892404373</v>
      </c>
      <c r="BN400" s="41">
        <f>AQ400+AR400</f>
        <v>-3225.6725870226087</v>
      </c>
    </row>
    <row r="401" spans="1:66" s="9" customFormat="1" ht="12" hidden="1" customHeight="1" outlineLevel="1">
      <c r="A401" s="91" t="s">
        <v>1260</v>
      </c>
      <c r="B401" s="9" t="s">
        <v>52</v>
      </c>
      <c r="C401" s="17">
        <f t="shared" ref="C401:H401" si="3940">C397+C398+C399+C400</f>
        <v>562</v>
      </c>
      <c r="D401" s="17">
        <f t="shared" si="3940"/>
        <v>802</v>
      </c>
      <c r="E401" s="17">
        <f t="shared" si="3940"/>
        <v>296</v>
      </c>
      <c r="F401" s="17">
        <f t="shared" si="3940"/>
        <v>686</v>
      </c>
      <c r="G401" s="17">
        <f t="shared" si="3940"/>
        <v>-23</v>
      </c>
      <c r="H401" s="17">
        <f t="shared" si="3940"/>
        <v>453</v>
      </c>
      <c r="I401" s="17">
        <f t="shared" ref="I401:M401" si="3941">I397+I398+I399+I400</f>
        <v>147</v>
      </c>
      <c r="J401" s="17">
        <f t="shared" si="3941"/>
        <v>512</v>
      </c>
      <c r="K401" s="17">
        <f t="shared" si="3941"/>
        <v>363</v>
      </c>
      <c r="L401" s="17">
        <f t="shared" si="3941"/>
        <v>739</v>
      </c>
      <c r="M401" s="17">
        <f t="shared" si="3941"/>
        <v>416</v>
      </c>
      <c r="N401" s="17">
        <f t="shared" ref="N401:O401" si="3942">N397+N398+N399+N400</f>
        <v>908</v>
      </c>
      <c r="O401" s="17">
        <f t="shared" si="3942"/>
        <v>692</v>
      </c>
      <c r="P401" s="17">
        <f t="shared" ref="P401" si="3943">P397+P398+P399+P400</f>
        <v>598</v>
      </c>
      <c r="Q401" s="17">
        <f t="shared" ref="Q401:R401" si="3944">Q397+Q398+Q399+Q400</f>
        <v>685</v>
      </c>
      <c r="R401" s="17">
        <f t="shared" si="3944"/>
        <v>771</v>
      </c>
      <c r="S401" s="17">
        <f t="shared" ref="S401" si="3945">S397+S398+S399+S400</f>
        <v>579</v>
      </c>
      <c r="T401" s="17">
        <f t="shared" ref="T401" si="3946">T397+T398+T399+T400</f>
        <v>1052</v>
      </c>
      <c r="U401" s="17">
        <f t="shared" ref="U401" si="3947">U397+U398+U399+U400</f>
        <v>1384</v>
      </c>
      <c r="V401" s="17">
        <f t="shared" ref="V401:W401" si="3948">V397+V398+V399+V400</f>
        <v>2122</v>
      </c>
      <c r="W401" s="17">
        <f t="shared" si="3948"/>
        <v>613</v>
      </c>
      <c r="X401" s="17">
        <f t="shared" ref="X401" si="3949">X397+X398+X399+X400</f>
        <v>88</v>
      </c>
      <c r="Y401" s="17">
        <f t="shared" ref="Y401:Z401" si="3950">Y397+Y398+Y399+Y400</f>
        <v>515</v>
      </c>
      <c r="Z401" s="17">
        <f t="shared" si="3950"/>
        <v>1144</v>
      </c>
      <c r="AA401" s="17">
        <f t="shared" ref="AA401:AB401" si="3951">AA397+AA398+AA399+AA400</f>
        <v>1456</v>
      </c>
      <c r="AB401" s="17">
        <f t="shared" si="3951"/>
        <v>2227</v>
      </c>
      <c r="AC401" s="17">
        <f t="shared" ref="AC401" si="3952">AC397+AC398+AC399+AC400</f>
        <v>2572</v>
      </c>
      <c r="AD401" s="17">
        <f t="shared" ref="AD401" si="3953">AD397+AD398+AD399+AD400</f>
        <v>4206</v>
      </c>
      <c r="AE401" s="17">
        <f t="shared" ref="AE401" si="3954">AE397+AE398+AE399+AE400</f>
        <v>1816</v>
      </c>
      <c r="AF401" s="17">
        <f t="shared" ref="AF401:AG401" si="3955">AF397+AF398+AF399+AF400</f>
        <v>2472</v>
      </c>
      <c r="AG401" s="17">
        <f t="shared" si="3955"/>
        <v>1690</v>
      </c>
      <c r="AH401" s="17">
        <f t="shared" ref="AH401" si="3956">AH397+AH398+AH399+AH400</f>
        <v>2192</v>
      </c>
      <c r="AI401" s="18">
        <f t="shared" ref="AI401" si="3957">AI397+AI398+AI399+AI400</f>
        <v>1834</v>
      </c>
      <c r="AJ401" s="17">
        <f t="shared" ref="AJ401:AK401" si="3958">AJ397+AJ398+AJ399+AJ400</f>
        <v>2740.7758305054622</v>
      </c>
      <c r="AK401" s="17">
        <f t="shared" si="3958"/>
        <v>2363.8701741919413</v>
      </c>
      <c r="AL401" s="17">
        <f t="shared" ref="AL401:AM401" si="3959">AL397+AL398+AL399+AL400</f>
        <v>2685.0968611730432</v>
      </c>
      <c r="AM401" s="17">
        <f t="shared" si="3959"/>
        <v>2567.2002864846813</v>
      </c>
      <c r="AN401" s="17">
        <f t="shared" ref="AN401:AO401" si="3960">AN397+AN398+AN399+AN400</f>
        <v>3001.7067863379589</v>
      </c>
      <c r="AO401" s="17">
        <f t="shared" si="3960"/>
        <v>2800.8217491949017</v>
      </c>
      <c r="AP401" s="17">
        <f t="shared" ref="AP401:AQ401" si="3961">AP397+AP398+AP399+AP400</f>
        <v>3262.6820522781863</v>
      </c>
      <c r="AQ401" s="17">
        <f t="shared" si="3961"/>
        <v>3096.2957400555511</v>
      </c>
      <c r="AR401" s="17">
        <f t="shared" ref="AR401" si="3962">AR397+AR398+AR399+AR400</f>
        <v>3493.0253472730574</v>
      </c>
      <c r="AT401" s="39">
        <f t="shared" ref="AT401:BB401" si="3963">AT397+AT398+AT399+AT400</f>
        <v>1364</v>
      </c>
      <c r="AU401" s="39">
        <f t="shared" si="3963"/>
        <v>982</v>
      </c>
      <c r="AV401" s="39">
        <f t="shared" si="3963"/>
        <v>430</v>
      </c>
      <c r="AW401" s="39">
        <f t="shared" si="3963"/>
        <v>659</v>
      </c>
      <c r="AX401" s="39">
        <f t="shared" si="3963"/>
        <v>1102</v>
      </c>
      <c r="AY401" s="39">
        <f t="shared" si="3963"/>
        <v>1324</v>
      </c>
      <c r="AZ401" s="39">
        <f t="shared" si="3963"/>
        <v>1290</v>
      </c>
      <c r="BA401" s="39">
        <f t="shared" si="3963"/>
        <v>1456</v>
      </c>
      <c r="BB401" s="39">
        <f t="shared" si="3963"/>
        <v>1631</v>
      </c>
      <c r="BC401" s="39">
        <f t="shared" ref="BC401" si="3964">BC397+BC398+BC399+BC400</f>
        <v>3506</v>
      </c>
      <c r="BD401" s="39">
        <f t="shared" ref="BD401:BI401" si="3965">BD397+BD398+BD399+BD400</f>
        <v>2484</v>
      </c>
      <c r="BE401" s="39">
        <f t="shared" si="3965"/>
        <v>3235</v>
      </c>
      <c r="BF401" s="39">
        <f t="shared" si="3965"/>
        <v>5681</v>
      </c>
      <c r="BG401" s="39">
        <f t="shared" si="3965"/>
        <v>6778</v>
      </c>
      <c r="BH401" s="39">
        <f t="shared" si="3965"/>
        <v>4288</v>
      </c>
      <c r="BI401" s="40">
        <f t="shared" si="3965"/>
        <v>3882</v>
      </c>
      <c r="BJ401" s="39">
        <f t="shared" ref="BJ401:BK401" si="3966">BJ397+BJ398+BJ399+BJ400</f>
        <v>3435.7058305054625</v>
      </c>
      <c r="BK401" s="39">
        <f t="shared" si="3966"/>
        <v>3827.0172073649837</v>
      </c>
      <c r="BL401" s="39">
        <f t="shared" ref="BL401:BM401" si="3967">BL397+BL398+BL399+BL400</f>
        <v>4209.5840077714356</v>
      </c>
      <c r="BM401" s="39">
        <f t="shared" si="3967"/>
        <v>4560.3189107672579</v>
      </c>
      <c r="BN401" s="39">
        <f>BN397+BN398+BN399+BN400</f>
        <v>4977.3215494884698</v>
      </c>
    </row>
    <row r="402" spans="1:66" ht="12" hidden="1" customHeight="1" outlineLevel="1">
      <c r="A402" s="91" t="s">
        <v>1261</v>
      </c>
      <c r="B402" s="1" t="s">
        <v>16</v>
      </c>
      <c r="C402" s="25">
        <f t="shared" ref="C402:Q402" si="3968">C331+C255</f>
        <v>2</v>
      </c>
      <c r="D402" s="25">
        <f t="shared" si="3968"/>
        <v>-15</v>
      </c>
      <c r="E402" s="25">
        <f t="shared" si="3968"/>
        <v>13</v>
      </c>
      <c r="F402" s="25">
        <f t="shared" si="3968"/>
        <v>-22</v>
      </c>
      <c r="G402" s="25">
        <f t="shared" si="3968"/>
        <v>18</v>
      </c>
      <c r="H402" s="25">
        <f t="shared" si="3968"/>
        <v>-18</v>
      </c>
      <c r="I402" s="25">
        <f t="shared" si="3968"/>
        <v>18</v>
      </c>
      <c r="J402" s="25">
        <f t="shared" si="3968"/>
        <v>-14</v>
      </c>
      <c r="K402" s="25">
        <f t="shared" si="3968"/>
        <v>12</v>
      </c>
      <c r="L402" s="25">
        <f t="shared" si="3968"/>
        <v>-1</v>
      </c>
      <c r="M402" s="25">
        <f t="shared" si="3968"/>
        <v>1</v>
      </c>
      <c r="N402" s="25">
        <f t="shared" si="3968"/>
        <v>4</v>
      </c>
      <c r="O402" s="25">
        <f t="shared" si="3968"/>
        <v>0</v>
      </c>
      <c r="P402" s="25">
        <f t="shared" si="3968"/>
        <v>5</v>
      </c>
      <c r="Q402" s="25">
        <f t="shared" si="3968"/>
        <v>10</v>
      </c>
      <c r="R402" s="25">
        <f t="shared" ref="R402:S402" si="3969">R331+R255</f>
        <v>-12</v>
      </c>
      <c r="S402" s="25">
        <f t="shared" si="3969"/>
        <v>-2</v>
      </c>
      <c r="T402" s="25">
        <f t="shared" ref="T402" si="3970">T331+T255</f>
        <v>-3</v>
      </c>
      <c r="U402" s="25">
        <f t="shared" ref="U402" si="3971">U331+U255</f>
        <v>-11</v>
      </c>
      <c r="V402" s="25">
        <f t="shared" ref="V402:W402" si="3972">V331+V255</f>
        <v>22</v>
      </c>
      <c r="W402" s="25">
        <f t="shared" si="3972"/>
        <v>1</v>
      </c>
      <c r="X402" s="25">
        <f t="shared" ref="X402" si="3973">X331+X255</f>
        <v>16</v>
      </c>
      <c r="Y402" s="25">
        <f t="shared" ref="Y402:Z402" si="3974">Y331+Y255</f>
        <v>13</v>
      </c>
      <c r="Z402" s="25">
        <f t="shared" si="3974"/>
        <v>4</v>
      </c>
      <c r="AA402" s="25">
        <f t="shared" ref="AA402:AB402" si="3975">AA331+AA255</f>
        <v>-94</v>
      </c>
      <c r="AB402" s="25">
        <f t="shared" si="3975"/>
        <v>-155</v>
      </c>
      <c r="AC402" s="25">
        <f t="shared" ref="AC402" si="3976">AC331+AC255</f>
        <v>19</v>
      </c>
      <c r="AD402" s="25">
        <f t="shared" ref="AD402" si="3977">AD331+AD255</f>
        <v>11</v>
      </c>
      <c r="AE402" s="25">
        <f t="shared" ref="AE402" si="3978">AE331+AE255</f>
        <v>-3</v>
      </c>
      <c r="AF402" s="25">
        <f t="shared" ref="AF402:AG402" si="3979">AF331+AF255</f>
        <v>-21</v>
      </c>
      <c r="AG402" s="25">
        <f t="shared" si="3979"/>
        <v>-3</v>
      </c>
      <c r="AH402" s="25">
        <f t="shared" ref="AH402" si="3980">AH331+AH255</f>
        <v>-7</v>
      </c>
      <c r="AI402" s="26">
        <f t="shared" ref="AI402" si="3981">AI331+AI255</f>
        <v>-10</v>
      </c>
      <c r="AJ402" s="25">
        <f t="shared" ref="AJ402:AK402" si="3982">AJ331+AJ255</f>
        <v>-10</v>
      </c>
      <c r="AK402" s="25">
        <f t="shared" si="3982"/>
        <v>-10</v>
      </c>
      <c r="AL402" s="25">
        <f t="shared" ref="AL402:AM402" si="3983">AL331+AL255</f>
        <v>-10</v>
      </c>
      <c r="AM402" s="25">
        <f t="shared" si="3983"/>
        <v>-10</v>
      </c>
      <c r="AN402" s="25">
        <f t="shared" ref="AN402:AO402" si="3984">AN331+AN255</f>
        <v>-10</v>
      </c>
      <c r="AO402" s="25">
        <f t="shared" si="3984"/>
        <v>-10</v>
      </c>
      <c r="AP402" s="25">
        <f t="shared" ref="AP402:AQ402" si="3985">AP331+AP255</f>
        <v>-10</v>
      </c>
      <c r="AQ402" s="25">
        <f t="shared" si="3985"/>
        <v>-10</v>
      </c>
      <c r="AR402" s="25">
        <f t="shared" ref="AR402" si="3986">AR331+AR255</f>
        <v>-10</v>
      </c>
      <c r="AT402" s="41">
        <f>C402+D402</f>
        <v>-13</v>
      </c>
      <c r="AU402" s="41">
        <f>E402+F402</f>
        <v>-9</v>
      </c>
      <c r="AV402" s="41">
        <f>G402+H402</f>
        <v>0</v>
      </c>
      <c r="AW402" s="41">
        <f>I402+J402</f>
        <v>4</v>
      </c>
      <c r="AX402" s="41">
        <f>K402+L402</f>
        <v>11</v>
      </c>
      <c r="AY402" s="41">
        <f>M402+N402</f>
        <v>5</v>
      </c>
      <c r="AZ402" s="41">
        <f>O402+P402</f>
        <v>5</v>
      </c>
      <c r="BA402" s="41">
        <f>Q402+R402</f>
        <v>-2</v>
      </c>
      <c r="BB402" s="41">
        <f>S402+T402</f>
        <v>-5</v>
      </c>
      <c r="BC402" s="41">
        <f>U402+V402</f>
        <v>11</v>
      </c>
      <c r="BD402" s="41">
        <f>W402+X402</f>
        <v>17</v>
      </c>
      <c r="BE402" s="41">
        <f>Y402+Z402</f>
        <v>17</v>
      </c>
      <c r="BF402" s="41">
        <f>AA402+AB402</f>
        <v>-249</v>
      </c>
      <c r="BG402" s="41">
        <f>AC402+AD402</f>
        <v>30</v>
      </c>
      <c r="BH402" s="41">
        <f>AE402+AF402</f>
        <v>-24</v>
      </c>
      <c r="BI402" s="42">
        <f>AG402+AH402</f>
        <v>-10</v>
      </c>
      <c r="BJ402" s="41">
        <f>AI402+AJ402</f>
        <v>-20</v>
      </c>
      <c r="BK402" s="41">
        <f>AK402+AL402</f>
        <v>-20</v>
      </c>
      <c r="BL402" s="41">
        <f>AM402+AN402</f>
        <v>-20</v>
      </c>
      <c r="BM402" s="41">
        <f>AO402+AP402</f>
        <v>-20</v>
      </c>
      <c r="BN402" s="41">
        <f>AQ402+AR402</f>
        <v>-20</v>
      </c>
    </row>
    <row r="403" spans="1:66" s="9" customFormat="1" ht="12" hidden="1" customHeight="1" outlineLevel="1">
      <c r="A403" s="91" t="s">
        <v>562</v>
      </c>
      <c r="B403" s="16" t="s">
        <v>51</v>
      </c>
      <c r="C403" s="17">
        <f t="shared" ref="C403:H403" si="3987">C401+C402</f>
        <v>564</v>
      </c>
      <c r="D403" s="17">
        <f t="shared" si="3987"/>
        <v>787</v>
      </c>
      <c r="E403" s="17">
        <f t="shared" si="3987"/>
        <v>309</v>
      </c>
      <c r="F403" s="17">
        <f t="shared" si="3987"/>
        <v>664</v>
      </c>
      <c r="G403" s="17">
        <f t="shared" si="3987"/>
        <v>-5</v>
      </c>
      <c r="H403" s="17">
        <f t="shared" si="3987"/>
        <v>435</v>
      </c>
      <c r="I403" s="17">
        <f t="shared" ref="I403:M403" si="3988">I401+I402</f>
        <v>165</v>
      </c>
      <c r="J403" s="17">
        <f t="shared" si="3988"/>
        <v>498</v>
      </c>
      <c r="K403" s="17">
        <f t="shared" si="3988"/>
        <v>375</v>
      </c>
      <c r="L403" s="17">
        <f t="shared" si="3988"/>
        <v>738</v>
      </c>
      <c r="M403" s="17">
        <f t="shared" si="3988"/>
        <v>417</v>
      </c>
      <c r="N403" s="17">
        <f t="shared" ref="N403:O403" si="3989">N401+N402</f>
        <v>912</v>
      </c>
      <c r="O403" s="17">
        <f t="shared" si="3989"/>
        <v>692</v>
      </c>
      <c r="P403" s="17">
        <f t="shared" ref="P403" si="3990">P401+P402</f>
        <v>603</v>
      </c>
      <c r="Q403" s="17">
        <f t="shared" ref="Q403:R403" si="3991">Q401+Q402</f>
        <v>695</v>
      </c>
      <c r="R403" s="17">
        <f t="shared" si="3991"/>
        <v>759</v>
      </c>
      <c r="S403" s="17">
        <f t="shared" ref="S403" si="3992">S401+S402</f>
        <v>577</v>
      </c>
      <c r="T403" s="17">
        <f t="shared" ref="T403" si="3993">T401+T402</f>
        <v>1049</v>
      </c>
      <c r="U403" s="17">
        <f t="shared" ref="U403" si="3994">U401+U402</f>
        <v>1373</v>
      </c>
      <c r="V403" s="17">
        <f t="shared" ref="V403:W403" si="3995">V401+V402</f>
        <v>2144</v>
      </c>
      <c r="W403" s="17">
        <f t="shared" si="3995"/>
        <v>614</v>
      </c>
      <c r="X403" s="17">
        <f t="shared" ref="X403" si="3996">X401+X402</f>
        <v>104</v>
      </c>
      <c r="Y403" s="17">
        <f t="shared" ref="Y403:Z403" si="3997">Y401+Y402</f>
        <v>528</v>
      </c>
      <c r="Z403" s="17">
        <f t="shared" si="3997"/>
        <v>1148</v>
      </c>
      <c r="AA403" s="17">
        <f t="shared" ref="AA403:AB403" si="3998">AA401+AA402</f>
        <v>1362</v>
      </c>
      <c r="AB403" s="17">
        <f t="shared" si="3998"/>
        <v>2072</v>
      </c>
      <c r="AC403" s="17">
        <f t="shared" ref="AC403" si="3999">AC401+AC402</f>
        <v>2591</v>
      </c>
      <c r="AD403" s="17">
        <f t="shared" ref="AD403" si="4000">AD401+AD402</f>
        <v>4217</v>
      </c>
      <c r="AE403" s="17">
        <f t="shared" ref="AE403" si="4001">AE401+AE402</f>
        <v>1813</v>
      </c>
      <c r="AF403" s="17">
        <f t="shared" ref="AF403:AG403" si="4002">AF401+AF402</f>
        <v>2451</v>
      </c>
      <c r="AG403" s="17">
        <f t="shared" si="4002"/>
        <v>1687</v>
      </c>
      <c r="AH403" s="17">
        <f t="shared" ref="AH403" si="4003">AH401+AH402</f>
        <v>2185</v>
      </c>
      <c r="AI403" s="18">
        <f t="shared" ref="AI403" si="4004">AI401+AI402</f>
        <v>1824</v>
      </c>
      <c r="AJ403" s="17">
        <f t="shared" ref="AJ403:AK403" si="4005">AJ401+AJ402</f>
        <v>2730.7758305054622</v>
      </c>
      <c r="AK403" s="17">
        <f t="shared" si="4005"/>
        <v>2353.8701741919413</v>
      </c>
      <c r="AL403" s="17">
        <f t="shared" ref="AL403:AM403" si="4006">AL401+AL402</f>
        <v>2675.0968611730432</v>
      </c>
      <c r="AM403" s="17">
        <f t="shared" si="4006"/>
        <v>2557.2002864846813</v>
      </c>
      <c r="AN403" s="17">
        <f t="shared" ref="AN403:AO403" si="4007">AN401+AN402</f>
        <v>2991.7067863379589</v>
      </c>
      <c r="AO403" s="17">
        <f t="shared" si="4007"/>
        <v>2790.8217491949017</v>
      </c>
      <c r="AP403" s="17">
        <f t="shared" ref="AP403:AQ403" si="4008">AP401+AP402</f>
        <v>3252.6820522781863</v>
      </c>
      <c r="AQ403" s="17">
        <f t="shared" si="4008"/>
        <v>3086.2957400555511</v>
      </c>
      <c r="AR403" s="17">
        <f t="shared" ref="AR403" si="4009">AR401+AR402</f>
        <v>3483.0253472730574</v>
      </c>
      <c r="AT403" s="63">
        <f t="shared" ref="AT403:BB403" si="4010">AT401+AT402</f>
        <v>1351</v>
      </c>
      <c r="AU403" s="63">
        <f t="shared" si="4010"/>
        <v>973</v>
      </c>
      <c r="AV403" s="63">
        <f t="shared" si="4010"/>
        <v>430</v>
      </c>
      <c r="AW403" s="63">
        <f t="shared" si="4010"/>
        <v>663</v>
      </c>
      <c r="AX403" s="63">
        <f t="shared" si="4010"/>
        <v>1113</v>
      </c>
      <c r="AY403" s="63">
        <f t="shared" si="4010"/>
        <v>1329</v>
      </c>
      <c r="AZ403" s="63">
        <f t="shared" si="4010"/>
        <v>1295</v>
      </c>
      <c r="BA403" s="63">
        <f t="shared" si="4010"/>
        <v>1454</v>
      </c>
      <c r="BB403" s="63">
        <f t="shared" si="4010"/>
        <v>1626</v>
      </c>
      <c r="BC403" s="63">
        <f t="shared" ref="BC403" si="4011">BC401+BC402</f>
        <v>3517</v>
      </c>
      <c r="BD403" s="63">
        <f t="shared" ref="BD403:BI403" si="4012">BD401+BD402</f>
        <v>2501</v>
      </c>
      <c r="BE403" s="63">
        <f t="shared" si="4012"/>
        <v>3252</v>
      </c>
      <c r="BF403" s="63">
        <f t="shared" si="4012"/>
        <v>5432</v>
      </c>
      <c r="BG403" s="63">
        <f t="shared" si="4012"/>
        <v>6808</v>
      </c>
      <c r="BH403" s="63">
        <f t="shared" si="4012"/>
        <v>4264</v>
      </c>
      <c r="BI403" s="64">
        <f t="shared" si="4012"/>
        <v>3872</v>
      </c>
      <c r="BJ403" s="63">
        <f t="shared" ref="BJ403:BK403" si="4013">BJ401+BJ402</f>
        <v>3415.7058305054625</v>
      </c>
      <c r="BK403" s="63">
        <f t="shared" si="4013"/>
        <v>3807.0172073649837</v>
      </c>
      <c r="BL403" s="63">
        <f t="shared" ref="BL403:BM403" si="4014">BL401+BL402</f>
        <v>4189.5840077714356</v>
      </c>
      <c r="BM403" s="63">
        <f t="shared" si="4014"/>
        <v>4540.3189107672579</v>
      </c>
      <c r="BN403" s="63">
        <f>BN401+BN402</f>
        <v>4957.3215494884698</v>
      </c>
    </row>
    <row r="404" spans="1:66" ht="12" hidden="1" customHeight="1" outlineLevel="1">
      <c r="B404" s="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20"/>
      <c r="AJ404" s="36"/>
      <c r="AK404" s="36"/>
      <c r="AL404" s="36"/>
      <c r="AM404" s="36"/>
      <c r="AN404" s="36"/>
      <c r="AO404" s="36"/>
      <c r="AP404" s="36"/>
      <c r="AQ404" s="36"/>
      <c r="AR404" s="36"/>
      <c r="AT404" s="39"/>
      <c r="AU404" s="39"/>
      <c r="AV404" s="39"/>
      <c r="AW404" s="39"/>
      <c r="AX404" s="39"/>
      <c r="AY404" s="39"/>
      <c r="AZ404" s="39"/>
      <c r="BA404" s="39"/>
      <c r="BB404" s="39"/>
      <c r="BC404" s="39"/>
      <c r="BD404" s="39"/>
      <c r="BE404" s="39"/>
      <c r="BF404" s="39"/>
      <c r="BG404" s="39"/>
      <c r="BH404" s="39"/>
      <c r="BI404" s="40"/>
      <c r="BJ404" s="39"/>
      <c r="BK404" s="39"/>
      <c r="BL404" s="39"/>
      <c r="BM404" s="39"/>
      <c r="BN404" s="39"/>
    </row>
    <row r="405" spans="1:66" s="9" customFormat="1" ht="12" hidden="1" customHeight="1" outlineLevel="1">
      <c r="A405" s="91"/>
      <c r="C405" s="17"/>
      <c r="D405" s="17"/>
      <c r="E405" s="17"/>
      <c r="F405" s="17"/>
      <c r="G405" s="17"/>
      <c r="H405" s="17"/>
      <c r="I405" s="272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47"/>
      <c r="X405" s="47"/>
      <c r="Y405" s="47"/>
      <c r="Z405" s="47"/>
      <c r="AA405" s="47"/>
      <c r="AB405" s="47"/>
      <c r="AC405" s="47"/>
      <c r="AD405" s="47"/>
      <c r="AE405" s="47"/>
      <c r="AF405" s="47"/>
      <c r="AG405" s="47"/>
      <c r="AH405" s="272"/>
      <c r="AI405" s="461"/>
      <c r="AJ405" s="36"/>
      <c r="AK405" s="36"/>
      <c r="AL405" s="36"/>
      <c r="AM405" s="36"/>
      <c r="AN405" s="36"/>
      <c r="AO405" s="36"/>
      <c r="AP405" s="36"/>
      <c r="AQ405" s="36"/>
      <c r="AR405" s="36"/>
      <c r="AT405" s="39"/>
      <c r="AU405" s="39"/>
      <c r="AV405" s="39"/>
      <c r="AW405" s="39"/>
      <c r="AX405" s="39"/>
      <c r="AY405" s="39"/>
      <c r="AZ405" s="39"/>
      <c r="BA405" s="39"/>
      <c r="BB405" s="39"/>
      <c r="BC405" s="39"/>
      <c r="BD405" s="39"/>
      <c r="BE405" s="39"/>
      <c r="BF405" s="39"/>
      <c r="BG405" s="39"/>
      <c r="BH405" s="39"/>
      <c r="BI405" s="40"/>
      <c r="BJ405" s="39"/>
      <c r="BK405" s="47"/>
      <c r="BL405" s="47"/>
      <c r="BM405" s="47"/>
      <c r="BN405" s="47"/>
    </row>
    <row r="406" spans="1:66" ht="12" hidden="1" customHeight="1" outlineLevel="1">
      <c r="A406" s="91" t="str">
        <f>LEFT(A403,3)&amp;"_CapEarnings"</f>
        <v>MSC_CapEarnings</v>
      </c>
      <c r="B406" s="1" t="s">
        <v>53</v>
      </c>
      <c r="C406" s="25">
        <f t="shared" ref="C406:Q406" si="4015">C335+C259</f>
        <v>73</v>
      </c>
      <c r="D406" s="25">
        <f t="shared" si="4015"/>
        <v>67</v>
      </c>
      <c r="E406" s="25">
        <f t="shared" si="4015"/>
        <v>-280</v>
      </c>
      <c r="F406" s="25">
        <f t="shared" si="4015"/>
        <v>-304</v>
      </c>
      <c r="G406" s="25">
        <f t="shared" si="4015"/>
        <v>-217</v>
      </c>
      <c r="H406" s="25">
        <f t="shared" si="4015"/>
        <v>38</v>
      </c>
      <c r="I406" s="25">
        <f t="shared" si="4015"/>
        <v>12</v>
      </c>
      <c r="J406" s="25">
        <f t="shared" si="4015"/>
        <v>-1</v>
      </c>
      <c r="K406" s="25">
        <f t="shared" si="4015"/>
        <v>-5</v>
      </c>
      <c r="L406" s="25">
        <f t="shared" si="4015"/>
        <v>-20</v>
      </c>
      <c r="M406" s="25">
        <f t="shared" si="4015"/>
        <v>5</v>
      </c>
      <c r="N406" s="25">
        <f t="shared" si="4015"/>
        <v>10</v>
      </c>
      <c r="O406" s="25">
        <f t="shared" si="4015"/>
        <v>4</v>
      </c>
      <c r="P406" s="25">
        <f t="shared" si="4015"/>
        <v>-16</v>
      </c>
      <c r="Q406" s="25">
        <f t="shared" si="4015"/>
        <v>-18</v>
      </c>
      <c r="R406" s="25">
        <f t="shared" ref="R406:S406" si="4016">R335+R259</f>
        <v>13</v>
      </c>
      <c r="S406" s="25">
        <f t="shared" si="4016"/>
        <v>-8</v>
      </c>
      <c r="T406" s="25">
        <f t="shared" ref="T406" si="4017">T335+T259</f>
        <v>-26</v>
      </c>
      <c r="U406" s="25">
        <f t="shared" ref="U406" si="4018">U335+U259</f>
        <v>-20</v>
      </c>
      <c r="V406" s="25">
        <f t="shared" ref="V406:W406" si="4019">V335+V259</f>
        <v>-17</v>
      </c>
      <c r="W406" s="25">
        <f t="shared" si="4019"/>
        <v>-40</v>
      </c>
      <c r="X406" s="25">
        <f t="shared" ref="X406" si="4020">X335+X259</f>
        <v>-36</v>
      </c>
      <c r="Y406" s="25">
        <f t="shared" ref="Y406:Z406" si="4021">Y335+Y259</f>
        <v>-1</v>
      </c>
      <c r="Z406" s="25">
        <f t="shared" si="4021"/>
        <v>-25</v>
      </c>
      <c r="AA406" s="25">
        <f t="shared" ref="AA406:AB406" si="4022">AA335+AA259</f>
        <v>-48</v>
      </c>
      <c r="AB406" s="25">
        <f t="shared" si="4022"/>
        <v>14</v>
      </c>
      <c r="AC406" s="25">
        <f t="shared" ref="AC406" si="4023">AC335+AC259</f>
        <v>-11</v>
      </c>
      <c r="AD406" s="25">
        <f t="shared" ref="AD406" si="4024">AD335+AD259</f>
        <v>-7</v>
      </c>
      <c r="AE406" s="25">
        <f t="shared" ref="AE406" si="4025">AE335+AE259</f>
        <v>14</v>
      </c>
      <c r="AF406" s="25">
        <f t="shared" ref="AF406:AG406" si="4026">AF335+AF259</f>
        <v>-12</v>
      </c>
      <c r="AG406" s="25">
        <f t="shared" si="4026"/>
        <v>23</v>
      </c>
      <c r="AH406" s="25">
        <f t="shared" ref="AH406" si="4027">AH335+AH259</f>
        <v>39</v>
      </c>
      <c r="AI406" s="26">
        <f t="shared" ref="AI406" si="4028">AI335+AI259</f>
        <v>-1</v>
      </c>
      <c r="AJ406" s="25">
        <f t="shared" ref="AJ406:AK406" si="4029">AJ335+AJ259</f>
        <v>-1</v>
      </c>
      <c r="AK406" s="25">
        <f t="shared" si="4029"/>
        <v>-1</v>
      </c>
      <c r="AL406" s="25">
        <f t="shared" ref="AL406:AM406" si="4030">AL335+AL259</f>
        <v>-1</v>
      </c>
      <c r="AM406" s="25">
        <f t="shared" si="4030"/>
        <v>-1</v>
      </c>
      <c r="AN406" s="25">
        <f t="shared" ref="AN406:AO406" si="4031">AN335+AN259</f>
        <v>-1</v>
      </c>
      <c r="AO406" s="25">
        <f t="shared" si="4031"/>
        <v>-1</v>
      </c>
      <c r="AP406" s="25">
        <f t="shared" ref="AP406:AQ406" si="4032">AP335+AP259</f>
        <v>-1</v>
      </c>
      <c r="AQ406" s="25">
        <f t="shared" si="4032"/>
        <v>-1</v>
      </c>
      <c r="AR406" s="25">
        <f t="shared" ref="AR406" si="4033">AR335+AR259</f>
        <v>-1</v>
      </c>
      <c r="AT406" s="41">
        <f>C406+D406</f>
        <v>140</v>
      </c>
      <c r="AU406" s="41">
        <f>E406+F406</f>
        <v>-584</v>
      </c>
      <c r="AV406" s="41">
        <f>G406+H406</f>
        <v>-179</v>
      </c>
      <c r="AW406" s="41">
        <f>I406+J406</f>
        <v>11</v>
      </c>
      <c r="AX406" s="41">
        <f>K406+L406</f>
        <v>-25</v>
      </c>
      <c r="AY406" s="41">
        <f>M406+N406</f>
        <v>15</v>
      </c>
      <c r="AZ406" s="41">
        <f>O406+P406</f>
        <v>-12</v>
      </c>
      <c r="BA406" s="41">
        <f>Q406+R406</f>
        <v>-5</v>
      </c>
      <c r="BB406" s="41">
        <f>S406+T406</f>
        <v>-34</v>
      </c>
      <c r="BC406" s="41">
        <f>U406+V406</f>
        <v>-37</v>
      </c>
      <c r="BD406" s="41">
        <f>W406+X406</f>
        <v>-76</v>
      </c>
      <c r="BE406" s="41">
        <f>Y406+Z406</f>
        <v>-26</v>
      </c>
      <c r="BF406" s="41">
        <f>AA406+AB406</f>
        <v>-34</v>
      </c>
      <c r="BG406" s="25">
        <f t="shared" ref="BG406:BI406" si="4034">BG335+BG259</f>
        <v>-18</v>
      </c>
      <c r="BH406" s="25">
        <f t="shared" si="4034"/>
        <v>2</v>
      </c>
      <c r="BI406" s="26">
        <f t="shared" si="4034"/>
        <v>62</v>
      </c>
      <c r="BJ406" s="25">
        <f t="shared" ref="BJ406:BN406" si="4035">BJ335+BJ259</f>
        <v>-2</v>
      </c>
      <c r="BK406" s="25">
        <f t="shared" si="4035"/>
        <v>-2</v>
      </c>
      <c r="BL406" s="25">
        <f t="shared" si="4035"/>
        <v>-2</v>
      </c>
      <c r="BM406" s="25">
        <f t="shared" si="4035"/>
        <v>-2</v>
      </c>
      <c r="BN406" s="25">
        <f t="shared" si="4035"/>
        <v>-2</v>
      </c>
    </row>
    <row r="407" spans="1:66" ht="12" hidden="1" customHeight="1" outlineLevel="1">
      <c r="A407" s="91" t="str">
        <f>LEFT(A403,3)&amp;"_CenCosts"</f>
        <v>MSC_CenCosts</v>
      </c>
      <c r="B407" s="1" t="s">
        <v>12</v>
      </c>
      <c r="C407" s="25">
        <f t="shared" ref="C407:Q407" si="4036">C336+C260</f>
        <v>58.992841581076874</v>
      </c>
      <c r="D407" s="25">
        <f t="shared" si="4036"/>
        <v>73.428490832157962</v>
      </c>
      <c r="E407" s="25">
        <f t="shared" si="4036"/>
        <v>118.6157590508062</v>
      </c>
      <c r="F407" s="25">
        <f t="shared" si="4036"/>
        <v>161.66691413016579</v>
      </c>
      <c r="G407" s="25">
        <f t="shared" si="4036"/>
        <v>121.30410620561902</v>
      </c>
      <c r="H407" s="25">
        <f t="shared" si="4036"/>
        <v>142.63175771299177</v>
      </c>
      <c r="I407" s="25">
        <f t="shared" si="4036"/>
        <v>107.59272727272727</v>
      </c>
      <c r="J407" s="25">
        <f t="shared" si="4036"/>
        <v>138.39243430551545</v>
      </c>
      <c r="K407" s="25">
        <f t="shared" si="4036"/>
        <v>118.48131746471077</v>
      </c>
      <c r="L407" s="25">
        <f t="shared" si="4036"/>
        <v>154.2850689491203</v>
      </c>
      <c r="M407" s="25">
        <f t="shared" si="4036"/>
        <v>119.63455547567698</v>
      </c>
      <c r="N407" s="25">
        <f t="shared" si="4036"/>
        <v>141.73721163490472</v>
      </c>
      <c r="O407" s="25">
        <f t="shared" si="4036"/>
        <v>131.25258799171843</v>
      </c>
      <c r="P407" s="25">
        <f t="shared" si="4036"/>
        <v>193.18865492049849</v>
      </c>
      <c r="Q407" s="25">
        <f t="shared" si="4036"/>
        <v>133.00414301058771</v>
      </c>
      <c r="R407" s="25">
        <f t="shared" ref="R407:S407" si="4037">R336+R260</f>
        <v>126.78983833718246</v>
      </c>
      <c r="S407" s="25">
        <f t="shared" si="4037"/>
        <v>109.00936359308045</v>
      </c>
      <c r="T407" s="25">
        <f t="shared" ref="T407" si="4038">T336+T260</f>
        <v>144.84223300970874</v>
      </c>
      <c r="U407" s="25">
        <f t="shared" ref="U407" si="4039">U336+U260</f>
        <v>244.15384615384613</v>
      </c>
      <c r="V407" s="25">
        <f t="shared" ref="V407:W407" si="4040">V336+V260</f>
        <v>148.08963827640872</v>
      </c>
      <c r="W407" s="25">
        <f t="shared" si="4040"/>
        <v>282.26796963333868</v>
      </c>
      <c r="X407" s="25">
        <f t="shared" ref="X407" si="4041">X336+X260</f>
        <v>222.95834036093777</v>
      </c>
      <c r="Y407" s="25">
        <f t="shared" ref="Y407:Z407" si="4042">Y336+Y260</f>
        <v>243.66799565059804</v>
      </c>
      <c r="Z407" s="25">
        <f t="shared" si="4042"/>
        <v>303.55142045454545</v>
      </c>
      <c r="AA407" s="25">
        <f t="shared" ref="AA407:AC407" si="4043">AA336+AA260</f>
        <v>287.40059927045337</v>
      </c>
      <c r="AB407" s="25">
        <f t="shared" si="4043"/>
        <v>344.41569195735428</v>
      </c>
      <c r="AC407" s="25">
        <f t="shared" si="4043"/>
        <v>0</v>
      </c>
      <c r="AD407" s="25">
        <f t="shared" ref="AD407:AR407" si="4044">AD336+AD260</f>
        <v>0</v>
      </c>
      <c r="AE407" s="25">
        <f t="shared" si="4044"/>
        <v>0</v>
      </c>
      <c r="AF407" s="25">
        <f t="shared" si="4044"/>
        <v>0</v>
      </c>
      <c r="AG407" s="25">
        <f t="shared" si="4044"/>
        <v>0</v>
      </c>
      <c r="AH407" s="25">
        <f t="shared" si="4044"/>
        <v>0</v>
      </c>
      <c r="AI407" s="26">
        <f t="shared" si="4044"/>
        <v>0</v>
      </c>
      <c r="AJ407" s="25">
        <f t="shared" si="4044"/>
        <v>0</v>
      </c>
      <c r="AK407" s="25">
        <f t="shared" si="4044"/>
        <v>0</v>
      </c>
      <c r="AL407" s="25">
        <f t="shared" si="4044"/>
        <v>0</v>
      </c>
      <c r="AM407" s="25">
        <f t="shared" si="4044"/>
        <v>0</v>
      </c>
      <c r="AN407" s="25">
        <f t="shared" si="4044"/>
        <v>0</v>
      </c>
      <c r="AO407" s="25">
        <f t="shared" si="4044"/>
        <v>0</v>
      </c>
      <c r="AP407" s="25">
        <f t="shared" si="4044"/>
        <v>0</v>
      </c>
      <c r="AQ407" s="25">
        <f t="shared" si="4044"/>
        <v>0</v>
      </c>
      <c r="AR407" s="25">
        <f t="shared" si="4044"/>
        <v>0</v>
      </c>
      <c r="AT407" s="41"/>
      <c r="AU407" s="41"/>
      <c r="AV407" s="41">
        <f>G407+H407</f>
        <v>263.93586391861078</v>
      </c>
      <c r="AW407" s="41">
        <f>I407+J407</f>
        <v>245.98516157824272</v>
      </c>
      <c r="AX407" s="41">
        <f>K407+L407</f>
        <v>272.76638641383107</v>
      </c>
      <c r="AY407" s="41">
        <f>M407+N407</f>
        <v>261.37176711058169</v>
      </c>
      <c r="AZ407" s="41">
        <f>O407+P407</f>
        <v>324.44124291221692</v>
      </c>
      <c r="BA407" s="41">
        <f>Q407+R407</f>
        <v>259.79398134777017</v>
      </c>
      <c r="BB407" s="41">
        <f>S407+T407</f>
        <v>253.85159660278919</v>
      </c>
      <c r="BC407" s="41">
        <f>U407+V407</f>
        <v>392.24348443025485</v>
      </c>
      <c r="BD407" s="41">
        <f>W407+X407</f>
        <v>505.22630999427645</v>
      </c>
      <c r="BE407" s="41">
        <f>Y407+Z407</f>
        <v>547.21941610514352</v>
      </c>
      <c r="BF407" s="41">
        <f>AA407+AB407</f>
        <v>631.8162912278076</v>
      </c>
      <c r="BG407" s="25">
        <f t="shared" ref="BG407:BI407" si="4045">BG336+BG260</f>
        <v>0</v>
      </c>
      <c r="BH407" s="25">
        <f t="shared" si="4045"/>
        <v>0</v>
      </c>
      <c r="BI407" s="26">
        <f t="shared" si="4045"/>
        <v>0</v>
      </c>
      <c r="BJ407" s="25">
        <f t="shared" ref="BJ407:BN407" si="4046">BJ336+BJ260</f>
        <v>0</v>
      </c>
      <c r="BK407" s="25">
        <f t="shared" si="4046"/>
        <v>0</v>
      </c>
      <c r="BL407" s="25">
        <f t="shared" si="4046"/>
        <v>0</v>
      </c>
      <c r="BM407" s="25">
        <f t="shared" si="4046"/>
        <v>0</v>
      </c>
      <c r="BN407" s="25">
        <f t="shared" si="4046"/>
        <v>0</v>
      </c>
    </row>
    <row r="408" spans="1:66" ht="12" hidden="1" customHeight="1" outlineLevel="1">
      <c r="A408" s="91" t="str">
        <f>LEFT(A403,3)&amp;"_ProfitShare"</f>
        <v>MSC_ProfitShare</v>
      </c>
      <c r="B408" s="1" t="s">
        <v>13</v>
      </c>
      <c r="C408" s="19"/>
      <c r="D408" s="19"/>
      <c r="E408" s="19"/>
      <c r="F408" s="19"/>
      <c r="G408" s="19">
        <f t="shared" ref="G408:AB408" si="4047">-G482-G483-G107-G693-G185</f>
        <v>-69.431603812970295</v>
      </c>
      <c r="H408" s="19">
        <f t="shared" si="4047"/>
        <v>-677.19401621469615</v>
      </c>
      <c r="I408" s="19">
        <f t="shared" si="4047"/>
        <v>-487.70629309427017</v>
      </c>
      <c r="J408" s="19">
        <f t="shared" si="4047"/>
        <v>-537.63543642135369</v>
      </c>
      <c r="K408" s="19">
        <f t="shared" si="4047"/>
        <v>6089.3452914212912</v>
      </c>
      <c r="L408" s="19">
        <f t="shared" si="4047"/>
        <v>59644.100434242158</v>
      </c>
      <c r="M408" s="19">
        <f t="shared" si="4047"/>
        <v>-301.45907636509531</v>
      </c>
      <c r="N408" s="19">
        <f t="shared" si="4047"/>
        <v>-450.64389869261453</v>
      </c>
      <c r="O408" s="19">
        <f t="shared" si="4047"/>
        <v>-357.00764429860016</v>
      </c>
      <c r="P408" s="19">
        <f t="shared" si="4047"/>
        <v>-388.65808402511334</v>
      </c>
      <c r="Q408" s="19">
        <f t="shared" si="4047"/>
        <v>-1689.4660811896847</v>
      </c>
      <c r="R408" s="19">
        <f t="shared" si="4047"/>
        <v>-1423.2685652022431</v>
      </c>
      <c r="S408" s="19">
        <f t="shared" si="4047"/>
        <v>-1224.5953282348032</v>
      </c>
      <c r="T408" s="19">
        <f t="shared" si="4047"/>
        <v>-1743.9348080552998</v>
      </c>
      <c r="U408" s="19">
        <f t="shared" si="4047"/>
        <v>-670.61311101616434</v>
      </c>
      <c r="V408" s="19">
        <f t="shared" si="4047"/>
        <v>-1197.6181374962964</v>
      </c>
      <c r="W408" s="19">
        <f t="shared" si="4047"/>
        <v>-683.42682813490626</v>
      </c>
      <c r="X408" s="19">
        <f t="shared" si="4047"/>
        <v>-815.78441487469081</v>
      </c>
      <c r="Y408" s="19">
        <f t="shared" si="4047"/>
        <v>-568.08967795985711</v>
      </c>
      <c r="Z408" s="19">
        <f t="shared" si="4047"/>
        <v>-1141.784872995838</v>
      </c>
      <c r="AA408" s="19">
        <f t="shared" si="4047"/>
        <v>-1260.777606675171</v>
      </c>
      <c r="AB408" s="19">
        <f t="shared" si="4047"/>
        <v>-644.51377936571726</v>
      </c>
      <c r="AC408" s="25">
        <f t="shared" ref="AC408:AR408" si="4048">AC337+AC261</f>
        <v>-948.59538535150364</v>
      </c>
      <c r="AD408" s="25">
        <f t="shared" si="4048"/>
        <v>-1021.7038707738882</v>
      </c>
      <c r="AE408" s="25">
        <f t="shared" si="4048"/>
        <v>-611.21662363583096</v>
      </c>
      <c r="AF408" s="25">
        <f t="shared" si="4048"/>
        <v>-620.81839531098717</v>
      </c>
      <c r="AG408" s="25">
        <f t="shared" si="4048"/>
        <v>-420.14354564354562</v>
      </c>
      <c r="AH408" s="25">
        <f t="shared" si="4048"/>
        <v>-696.21542871542897</v>
      </c>
      <c r="AI408" s="26">
        <f t="shared" si="4048"/>
        <v>-332.45070422535218</v>
      </c>
      <c r="AJ408" s="25">
        <f t="shared" si="4048"/>
        <v>-888.71444134500939</v>
      </c>
      <c r="AK408" s="25">
        <f t="shared" si="4048"/>
        <v>-863.20321598767862</v>
      </c>
      <c r="AL408" s="25">
        <f t="shared" si="4048"/>
        <v>-956.4340466783691</v>
      </c>
      <c r="AM408" s="25">
        <f t="shared" si="4048"/>
        <v>-945.49260978678717</v>
      </c>
      <c r="AN408" s="25">
        <f t="shared" si="4048"/>
        <v>-1027.8574449299231</v>
      </c>
      <c r="AO408" s="25">
        <f t="shared" si="4048"/>
        <v>-995.79212144841426</v>
      </c>
      <c r="AP408" s="25">
        <f t="shared" si="4048"/>
        <v>-1079.8190946935545</v>
      </c>
      <c r="AQ408" s="25">
        <f t="shared" si="4048"/>
        <v>-1055.0465224805403</v>
      </c>
      <c r="AR408" s="25">
        <f t="shared" si="4048"/>
        <v>-1125.5023147015511</v>
      </c>
      <c r="AT408" s="41"/>
      <c r="AU408" s="41"/>
      <c r="AV408" s="41">
        <f>G408+H408</f>
        <v>-746.6256200276664</v>
      </c>
      <c r="AW408" s="41">
        <f>I408+J408</f>
        <v>-1025.3417295156239</v>
      </c>
      <c r="AX408" s="41">
        <f>K408+L408</f>
        <v>65733.445725663449</v>
      </c>
      <c r="AY408" s="41">
        <f>M408+N408</f>
        <v>-752.10297505770984</v>
      </c>
      <c r="AZ408" s="41">
        <f>O408+P408</f>
        <v>-745.66572832371344</v>
      </c>
      <c r="BA408" s="41">
        <f>Q408+R408</f>
        <v>-3112.7346463919275</v>
      </c>
      <c r="BB408" s="41">
        <f>S408+T408</f>
        <v>-2968.5301362901027</v>
      </c>
      <c r="BC408" s="41">
        <f>U408+V408</f>
        <v>-1868.2312485124608</v>
      </c>
      <c r="BD408" s="41">
        <f>W408+X408</f>
        <v>-1499.2112430095972</v>
      </c>
      <c r="BE408" s="41">
        <f>Y408+Z408</f>
        <v>-1709.8745509556952</v>
      </c>
      <c r="BF408" s="41">
        <f>AA408+AB408</f>
        <v>-1905.2913860408883</v>
      </c>
      <c r="BG408" s="25">
        <f t="shared" ref="BG408:BI408" si="4049">BG337+BG261</f>
        <v>-1970.2992561253918</v>
      </c>
      <c r="BH408" s="25">
        <f t="shared" si="4049"/>
        <v>-1232.0350189468181</v>
      </c>
      <c r="BI408" s="26">
        <f t="shared" si="4049"/>
        <v>-1116.3589743589746</v>
      </c>
      <c r="BJ408" s="25">
        <f t="shared" ref="BJ408:BN408" si="4050">BJ337+BJ261</f>
        <v>-1221.1651455703616</v>
      </c>
      <c r="BK408" s="25">
        <f t="shared" si="4050"/>
        <v>-1819.6372626660477</v>
      </c>
      <c r="BL408" s="25">
        <f t="shared" si="4050"/>
        <v>-1973.3500547167102</v>
      </c>
      <c r="BM408" s="25">
        <f t="shared" si="4050"/>
        <v>-2075.6112161419687</v>
      </c>
      <c r="BN408" s="25">
        <f t="shared" si="4050"/>
        <v>-2180.5488371820916</v>
      </c>
    </row>
    <row r="409" spans="1:66" ht="12" hidden="1" customHeight="1" outlineLevel="1">
      <c r="A409" s="91" t="str">
        <f>LEFT(A403,3)&amp;"_Tax"</f>
        <v>MSC_Tax</v>
      </c>
      <c r="B409" s="1" t="s">
        <v>15</v>
      </c>
      <c r="C409" s="19"/>
      <c r="D409" s="19"/>
      <c r="E409" s="19"/>
      <c r="F409" s="19"/>
      <c r="G409" s="19">
        <f t="shared" ref="G409:AB409" si="4051">G33-G108-G694-G186-(G484+G474)</f>
        <v>39.959984916996021</v>
      </c>
      <c r="H409" s="19">
        <f t="shared" si="4051"/>
        <v>12.235399088771288</v>
      </c>
      <c r="I409" s="19">
        <f t="shared" si="4051"/>
        <v>62.242332944830579</v>
      </c>
      <c r="J409" s="19">
        <f t="shared" si="4051"/>
        <v>-45.885765007449294</v>
      </c>
      <c r="K409" s="19">
        <f t="shared" si="4051"/>
        <v>-6448.4731842284664</v>
      </c>
      <c r="L409" s="19">
        <f t="shared" si="4051"/>
        <v>-60178.238927848819</v>
      </c>
      <c r="M409" s="19">
        <f t="shared" si="4051"/>
        <v>-85.753561302362414</v>
      </c>
      <c r="N409" s="19">
        <f t="shared" si="4051"/>
        <v>-182.51523075050926</v>
      </c>
      <c r="O409" s="19">
        <f t="shared" si="4051"/>
        <v>-148.4949436931185</v>
      </c>
      <c r="P409" s="19">
        <f t="shared" si="4051"/>
        <v>-108.78057089538501</v>
      </c>
      <c r="Q409" s="19">
        <f t="shared" si="4051"/>
        <v>-135.55176045104014</v>
      </c>
      <c r="R409" s="19">
        <f t="shared" si="4051"/>
        <v>-120.50757450480251</v>
      </c>
      <c r="S409" s="19">
        <f t="shared" si="4051"/>
        <v>-95.41814494731824</v>
      </c>
      <c r="T409" s="19">
        <f t="shared" si="4051"/>
        <v>-162.40331536536797</v>
      </c>
      <c r="U409" s="19">
        <f t="shared" si="4051"/>
        <v>-190.74695058297527</v>
      </c>
      <c r="V409" s="19">
        <f t="shared" si="4051"/>
        <v>-227.88500364467802</v>
      </c>
      <c r="W409" s="19">
        <f t="shared" si="4051"/>
        <v>-173.47494431533386</v>
      </c>
      <c r="X409" s="19">
        <f t="shared" si="4051"/>
        <v>-97.31477055666943</v>
      </c>
      <c r="Y409" s="19">
        <f t="shared" si="4051"/>
        <v>-113.83859166334389</v>
      </c>
      <c r="Z409" s="19">
        <f t="shared" si="4051"/>
        <v>-334.5062734861047</v>
      </c>
      <c r="AA409" s="19">
        <f t="shared" si="4051"/>
        <v>-293.89559533500835</v>
      </c>
      <c r="AB409" s="19">
        <f t="shared" si="4051"/>
        <v>-835.08821396149983</v>
      </c>
      <c r="AC409" s="25">
        <f t="shared" ref="AC409:AR409" si="4052">AC338+AC262</f>
        <v>-387.40461464849636</v>
      </c>
      <c r="AD409" s="25">
        <f t="shared" si="4052"/>
        <v>-724.29612922611079</v>
      </c>
      <c r="AE409" s="25">
        <f t="shared" si="4052"/>
        <v>-301.53337636416904</v>
      </c>
      <c r="AF409" s="25">
        <f t="shared" si="4052"/>
        <v>-450.43160468901283</v>
      </c>
      <c r="AG409" s="25">
        <f t="shared" si="4052"/>
        <v>-336.85645435645438</v>
      </c>
      <c r="AH409" s="25">
        <f t="shared" si="4052"/>
        <v>-296.78457128457126</v>
      </c>
      <c r="AI409" s="26">
        <f t="shared" si="4052"/>
        <v>-432.54929577464793</v>
      </c>
      <c r="AJ409" s="25">
        <f t="shared" si="4052"/>
        <v>-384.50063921418501</v>
      </c>
      <c r="AK409" s="25">
        <f t="shared" si="4052"/>
        <v>-326.61515236547757</v>
      </c>
      <c r="AL409" s="25">
        <f t="shared" si="4052"/>
        <v>-370.36498346068333</v>
      </c>
      <c r="AM409" s="25">
        <f t="shared" si="4052"/>
        <v>-356.32680638015961</v>
      </c>
      <c r="AN409" s="25">
        <f t="shared" si="4052"/>
        <v>-424.29309653903607</v>
      </c>
      <c r="AO409" s="25">
        <f t="shared" si="4052"/>
        <v>-400.17055789695257</v>
      </c>
      <c r="AP409" s="25">
        <f t="shared" si="4052"/>
        <v>-472.78024290258827</v>
      </c>
      <c r="AQ409" s="25">
        <f t="shared" si="4052"/>
        <v>-453.34939158046075</v>
      </c>
      <c r="AR409" s="25">
        <f t="shared" si="4052"/>
        <v>-516.23165570398317</v>
      </c>
      <c r="AT409" s="41"/>
      <c r="AU409" s="41"/>
      <c r="AV409" s="41">
        <f>G409+H409</f>
        <v>52.195384005767309</v>
      </c>
      <c r="AW409" s="41">
        <f>I409+J409</f>
        <v>16.356567937381286</v>
      </c>
      <c r="AX409" s="41">
        <f>K409+L409</f>
        <v>-66626.712112077279</v>
      </c>
      <c r="AY409" s="41">
        <f>M409+N409</f>
        <v>-268.26879205287167</v>
      </c>
      <c r="AZ409" s="41">
        <f>O409+P409</f>
        <v>-257.27551458850348</v>
      </c>
      <c r="BA409" s="41">
        <f>Q409+R409</f>
        <v>-256.05933495584264</v>
      </c>
      <c r="BB409" s="41">
        <f>S409+T409</f>
        <v>-257.82146031268621</v>
      </c>
      <c r="BC409" s="41">
        <f>U409+V409</f>
        <v>-418.6319542276533</v>
      </c>
      <c r="BD409" s="41">
        <f>W409+X409</f>
        <v>-270.78971487200329</v>
      </c>
      <c r="BE409" s="41">
        <f>Y409+Z409</f>
        <v>-448.34486514944859</v>
      </c>
      <c r="BF409" s="41">
        <f>AA409+AB409</f>
        <v>-1128.9838092965083</v>
      </c>
      <c r="BG409" s="25">
        <f t="shared" ref="BG409:BI409" si="4053">BG338+BG262</f>
        <v>-1111.700743874607</v>
      </c>
      <c r="BH409" s="25">
        <f t="shared" si="4053"/>
        <v>-751.96498105318187</v>
      </c>
      <c r="BI409" s="26">
        <f t="shared" si="4053"/>
        <v>-633.64102564102564</v>
      </c>
      <c r="BJ409" s="25">
        <f t="shared" ref="BJ409:BN409" si="4054">BJ338+BJ262</f>
        <v>-817.049934988833</v>
      </c>
      <c r="BK409" s="25">
        <f t="shared" si="4054"/>
        <v>-696.9801358261609</v>
      </c>
      <c r="BL409" s="25">
        <f t="shared" si="4054"/>
        <v>-780.61990291919574</v>
      </c>
      <c r="BM409" s="25">
        <f t="shared" si="4054"/>
        <v>-872.95080079954084</v>
      </c>
      <c r="BN409" s="25">
        <f t="shared" si="4054"/>
        <v>-969.58104728444391</v>
      </c>
    </row>
    <row r="410" spans="1:66" ht="12" hidden="1" customHeight="1" outlineLevel="1">
      <c r="A410" s="91" t="str">
        <f>LEFT(A403,3)&amp;"_CE"</f>
        <v>MSC_CE</v>
      </c>
      <c r="B410" s="9" t="s">
        <v>54</v>
      </c>
      <c r="C410" s="17"/>
      <c r="D410" s="17"/>
      <c r="E410" s="17"/>
      <c r="F410" s="17"/>
      <c r="G410" s="17">
        <f t="shared" ref="G410:AB410" si="4055">G36-G109-G695-G187-G485</f>
        <v>-130.16751269035532</v>
      </c>
      <c r="H410" s="17">
        <f t="shared" si="4055"/>
        <v>-49.326859412933118</v>
      </c>
      <c r="I410" s="17">
        <f t="shared" si="4055"/>
        <v>-140.87123287671233</v>
      </c>
      <c r="J410" s="17">
        <f t="shared" si="4055"/>
        <v>51.871232876712384</v>
      </c>
      <c r="K410" s="17">
        <f t="shared" si="4055"/>
        <v>129.35342465753416</v>
      </c>
      <c r="L410" s="17">
        <f t="shared" si="4055"/>
        <v>338.14657534246578</v>
      </c>
      <c r="M410" s="17">
        <f t="shared" si="4055"/>
        <v>154.42191780821921</v>
      </c>
      <c r="N410" s="17">
        <f t="shared" si="4055"/>
        <v>430.57808219178082</v>
      </c>
      <c r="O410" s="17">
        <f t="shared" si="4055"/>
        <v>321.75</v>
      </c>
      <c r="P410" s="17">
        <f t="shared" si="4055"/>
        <v>282.75</v>
      </c>
      <c r="Q410" s="17">
        <f t="shared" si="4055"/>
        <v>360.98630136986299</v>
      </c>
      <c r="R410" s="17">
        <f t="shared" si="4055"/>
        <v>329.01369863013696</v>
      </c>
      <c r="S410" s="17">
        <f t="shared" si="4055"/>
        <v>272.99589041095885</v>
      </c>
      <c r="T410" s="17">
        <f t="shared" si="4055"/>
        <v>514.50410958904104</v>
      </c>
      <c r="U410" s="17">
        <f t="shared" si="4055"/>
        <v>735.79378455470658</v>
      </c>
      <c r="V410" s="17">
        <f t="shared" si="4055"/>
        <v>849.58649713543423</v>
      </c>
      <c r="W410" s="17">
        <f t="shared" si="4055"/>
        <v>746.36619718309851</v>
      </c>
      <c r="X410" s="17">
        <f t="shared" si="4055"/>
        <v>413.85915492957758</v>
      </c>
      <c r="Y410" s="17">
        <f t="shared" si="4055"/>
        <v>453.73972602739718</v>
      </c>
      <c r="Z410" s="17">
        <f t="shared" si="4055"/>
        <v>1161.2602739726028</v>
      </c>
      <c r="AA410" s="17">
        <f t="shared" si="4055"/>
        <v>1089.7273972602741</v>
      </c>
      <c r="AB410" s="17">
        <f t="shared" si="4055"/>
        <v>1905.8136986301372</v>
      </c>
      <c r="AC410" s="30">
        <f t="shared" ref="AC410" si="4056">AC339+AC263</f>
        <v>1255</v>
      </c>
      <c r="AD410" s="30">
        <f t="shared" ref="AD410:AR410" si="4057">AD339+AD263</f>
        <v>2471.0000000000009</v>
      </c>
      <c r="AE410" s="30">
        <f t="shared" si="4057"/>
        <v>900.25</v>
      </c>
      <c r="AF410" s="30">
        <f t="shared" si="4057"/>
        <v>1379.75</v>
      </c>
      <c r="AG410" s="30">
        <f t="shared" si="4057"/>
        <v>930</v>
      </c>
      <c r="AH410" s="30">
        <f t="shared" si="4057"/>
        <v>1191.9999999999998</v>
      </c>
      <c r="AI410" s="27">
        <f t="shared" si="4057"/>
        <v>1059</v>
      </c>
      <c r="AJ410" s="30">
        <f t="shared" si="4057"/>
        <v>1457.5607499462672</v>
      </c>
      <c r="AK410" s="30">
        <f t="shared" si="4057"/>
        <v>1164.0518058387856</v>
      </c>
      <c r="AL410" s="30">
        <f t="shared" si="4057"/>
        <v>1348.2978310339906</v>
      </c>
      <c r="AM410" s="30">
        <f t="shared" si="4057"/>
        <v>1255.3808703177331</v>
      </c>
      <c r="AN410" s="30">
        <f t="shared" si="4057"/>
        <v>1539.5562448689993</v>
      </c>
      <c r="AO410" s="30">
        <f t="shared" si="4057"/>
        <v>1394.8590698495357</v>
      </c>
      <c r="AP410" s="30">
        <f t="shared" si="4057"/>
        <v>1700.0827146820434</v>
      </c>
      <c r="AQ410" s="30">
        <f t="shared" si="4057"/>
        <v>1577.8998259945506</v>
      </c>
      <c r="AR410" s="30">
        <f t="shared" si="4057"/>
        <v>1841.2913768675235</v>
      </c>
      <c r="AT410" s="41"/>
      <c r="AU410" s="41"/>
      <c r="AV410" s="41">
        <f t="shared" ref="AV410:BB410" si="4058">AV403+AV406+AV407+AV408+AV409</f>
        <v>-179.49437210328836</v>
      </c>
      <c r="AW410" s="41">
        <f t="shared" si="4058"/>
        <v>-88.999999999999929</v>
      </c>
      <c r="AX410" s="41">
        <f t="shared" si="4058"/>
        <v>467.5</v>
      </c>
      <c r="AY410" s="41">
        <f t="shared" si="4058"/>
        <v>585.00000000000023</v>
      </c>
      <c r="AZ410" s="41">
        <f t="shared" si="4058"/>
        <v>604.5</v>
      </c>
      <c r="BA410" s="41">
        <f t="shared" si="4058"/>
        <v>-1660</v>
      </c>
      <c r="BB410" s="41">
        <f t="shared" si="4058"/>
        <v>-1380.4999999999998</v>
      </c>
      <c r="BC410" s="41">
        <f t="shared" ref="BC410" si="4059">BC403+BC406+BC407+BC408+BC409</f>
        <v>1585.3802816901407</v>
      </c>
      <c r="BD410" s="41">
        <f t="shared" ref="BD410:BF410" si="4060">BD403+BD406+BD407+BD408+BD409</f>
        <v>1160.2253521126761</v>
      </c>
      <c r="BE410" s="41">
        <f t="shared" si="4060"/>
        <v>1614.9999999999995</v>
      </c>
      <c r="BF410" s="41">
        <f t="shared" si="4060"/>
        <v>2995.5410958904113</v>
      </c>
      <c r="BG410" s="30">
        <f t="shared" ref="BG410:BI410" si="4061">BG339+BG263</f>
        <v>3726.0000000000009</v>
      </c>
      <c r="BH410" s="30">
        <f t="shared" si="4061"/>
        <v>2280</v>
      </c>
      <c r="BI410" s="27">
        <f t="shared" si="4061"/>
        <v>2122</v>
      </c>
      <c r="BJ410" s="30">
        <f t="shared" ref="BJ410:BN410" si="4062">BJ339+BJ263</f>
        <v>2516.5607499462672</v>
      </c>
      <c r="BK410" s="30">
        <f t="shared" si="4062"/>
        <v>2512.3496368727765</v>
      </c>
      <c r="BL410" s="30">
        <f t="shared" si="4062"/>
        <v>2794.9371151867326</v>
      </c>
      <c r="BM410" s="30">
        <f t="shared" si="4062"/>
        <v>3094.9417845315793</v>
      </c>
      <c r="BN410" s="30">
        <f t="shared" si="4062"/>
        <v>3419.1912028620741</v>
      </c>
    </row>
    <row r="411" spans="1:66" ht="12" hidden="1" customHeight="1" outlineLevel="1"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49"/>
      <c r="AJ411" s="44"/>
      <c r="AK411" s="44"/>
      <c r="AL411" s="44"/>
      <c r="AM411" s="44"/>
      <c r="AN411" s="44"/>
      <c r="AO411" s="44"/>
      <c r="AP411" s="44"/>
      <c r="AQ411" s="44"/>
      <c r="AR411" s="44"/>
      <c r="AT411" s="8"/>
      <c r="AU411" s="8"/>
      <c r="AV411" s="8"/>
      <c r="AW411" s="8"/>
      <c r="AX411" s="8"/>
      <c r="AY411" s="39"/>
      <c r="AZ411" s="39"/>
      <c r="BA411" s="39"/>
      <c r="BB411" s="401"/>
      <c r="BC411" s="39"/>
      <c r="BD411" s="39"/>
      <c r="BE411" s="39"/>
      <c r="BF411" s="39"/>
      <c r="BG411" s="39"/>
      <c r="BH411" s="39"/>
      <c r="BI411" s="40"/>
      <c r="BJ411" s="39"/>
      <c r="BK411" s="39"/>
      <c r="BL411" s="401"/>
      <c r="BM411" s="401"/>
      <c r="BN411" s="401"/>
    </row>
    <row r="412" spans="1:66" ht="12" hidden="1" customHeight="1" outlineLevel="1">
      <c r="B412" s="9" t="s">
        <v>41</v>
      </c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163"/>
      <c r="V412" s="163"/>
      <c r="W412" s="163"/>
      <c r="X412" s="163"/>
      <c r="Y412" s="163"/>
      <c r="Z412" s="163"/>
      <c r="AA412" s="163"/>
      <c r="AB412" s="163"/>
      <c r="AC412" s="163"/>
      <c r="AD412" s="163"/>
      <c r="AE412" s="44"/>
      <c r="AF412" s="44"/>
      <c r="AG412" s="44"/>
      <c r="AH412" s="44"/>
      <c r="AI412" s="49"/>
      <c r="AJ412" s="163"/>
      <c r="AK412" s="163"/>
      <c r="AL412" s="163"/>
      <c r="AM412" s="163"/>
      <c r="AN412" s="163"/>
      <c r="AO412" s="163"/>
      <c r="AP412" s="163"/>
      <c r="AQ412" s="163"/>
      <c r="AR412" s="163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366"/>
      <c r="BJ412" s="163"/>
      <c r="BK412" s="163"/>
      <c r="BL412" s="163"/>
      <c r="BM412" s="163"/>
      <c r="BN412" s="163"/>
    </row>
    <row r="413" spans="1:66" ht="12" hidden="1" customHeight="1" outlineLevel="1">
      <c r="B413" s="1" t="s">
        <v>42</v>
      </c>
      <c r="C413" s="25">
        <f t="shared" ref="C413:Q413" si="4063">C342+C266</f>
        <v>0</v>
      </c>
      <c r="D413" s="25">
        <f t="shared" si="4063"/>
        <v>0</v>
      </c>
      <c r="E413" s="25">
        <f t="shared" si="4063"/>
        <v>0</v>
      </c>
      <c r="F413" s="25">
        <f t="shared" si="4063"/>
        <v>0</v>
      </c>
      <c r="G413" s="25">
        <f t="shared" si="4063"/>
        <v>0</v>
      </c>
      <c r="H413" s="25">
        <f t="shared" si="4063"/>
        <v>0</v>
      </c>
      <c r="I413" s="25">
        <f t="shared" si="4063"/>
        <v>0</v>
      </c>
      <c r="J413" s="25">
        <f t="shared" si="4063"/>
        <v>0</v>
      </c>
      <c r="K413" s="25">
        <f t="shared" si="4063"/>
        <v>0</v>
      </c>
      <c r="L413" s="25">
        <f t="shared" si="4063"/>
        <v>0</v>
      </c>
      <c r="M413" s="25">
        <f t="shared" si="4063"/>
        <v>0</v>
      </c>
      <c r="N413" s="25">
        <f t="shared" si="4063"/>
        <v>0</v>
      </c>
      <c r="O413" s="25">
        <f t="shared" si="4063"/>
        <v>0</v>
      </c>
      <c r="P413" s="25">
        <f t="shared" si="4063"/>
        <v>0</v>
      </c>
      <c r="Q413" s="25">
        <f t="shared" si="4063"/>
        <v>0</v>
      </c>
      <c r="R413" s="25">
        <f t="shared" ref="R413:S413" si="4064">R342+R266</f>
        <v>0</v>
      </c>
      <c r="S413" s="25">
        <f t="shared" si="4064"/>
        <v>0</v>
      </c>
      <c r="T413" s="25">
        <f t="shared" ref="T413" si="4065">T342+T266</f>
        <v>0</v>
      </c>
      <c r="U413" s="25">
        <f t="shared" ref="U413" si="4066">U342+U266</f>
        <v>18600</v>
      </c>
      <c r="V413" s="25">
        <f t="shared" ref="V413:W413" si="4067">V342+V266</f>
        <v>17100</v>
      </c>
      <c r="W413" s="25">
        <f t="shared" si="4067"/>
        <v>18400</v>
      </c>
      <c r="X413" s="25">
        <f t="shared" ref="X413" si="4068">X342+X266</f>
        <v>21300</v>
      </c>
      <c r="Y413" s="25">
        <f t="shared" ref="Y413:Z413" si="4069">Y342+Y266</f>
        <v>16300</v>
      </c>
      <c r="Z413" s="25">
        <f t="shared" si="4069"/>
        <v>17900</v>
      </c>
      <c r="AA413" s="25">
        <f t="shared" ref="AA413:AB413" si="4070">AA342+AA266</f>
        <v>22400</v>
      </c>
      <c r="AB413" s="25">
        <f t="shared" si="4070"/>
        <v>27300</v>
      </c>
      <c r="AC413" s="25">
        <f t="shared" ref="AC413" si="4071">AC342+AC266</f>
        <v>30600</v>
      </c>
      <c r="AD413" s="25">
        <f t="shared" ref="AD413" si="4072">AD342+AD266</f>
        <v>34100</v>
      </c>
      <c r="AE413" s="25">
        <f t="shared" ref="AE413" si="4073">AE342+AE266</f>
        <v>36000</v>
      </c>
      <c r="AF413" s="25">
        <f t="shared" ref="AF413:AG413" si="4074">AF342+AF266</f>
        <v>39000</v>
      </c>
      <c r="AG413" s="25">
        <f t="shared" si="4074"/>
        <v>39300</v>
      </c>
      <c r="AH413" s="25">
        <f t="shared" ref="AH413" si="4075">AH342+AH266</f>
        <v>43000</v>
      </c>
      <c r="AI413" s="26">
        <f t="shared" ref="AI413" si="4076">AI342+AI266</f>
        <v>43600</v>
      </c>
      <c r="AJ413" s="25">
        <f t="shared" ref="AJ413:AK413" si="4077">AJ342+AJ266</f>
        <v>44504</v>
      </c>
      <c r="AK413" s="25">
        <f t="shared" si="4077"/>
        <v>45913.120000000003</v>
      </c>
      <c r="AL413" s="25">
        <f t="shared" ref="AL413:AM413" si="4078">AL342+AL266</f>
        <v>47890.677200000006</v>
      </c>
      <c r="AM413" s="25">
        <f t="shared" si="4078"/>
        <v>49723.513822000008</v>
      </c>
      <c r="AN413" s="25">
        <f t="shared" ref="AN413:AO413" si="4079">AN342+AN266</f>
        <v>51368.88147302001</v>
      </c>
      <c r="AO413" s="25">
        <f t="shared" si="4079"/>
        <v>52786.724641580215</v>
      </c>
      <c r="AP413" s="25">
        <f t="shared" ref="AP413:AQ413" si="4080">AP342+AP266</f>
        <v>53941.472239984818</v>
      </c>
      <c r="AQ413" s="25">
        <f t="shared" si="4080"/>
        <v>54803.730343658899</v>
      </c>
      <c r="AR413" s="25">
        <f t="shared" ref="AR413" si="4081">AR342+AR266</f>
        <v>55681.067895995198</v>
      </c>
      <c r="AT413" s="41">
        <f t="shared" ref="AT413:AT420" si="4082">D413</f>
        <v>0</v>
      </c>
      <c r="AU413" s="41">
        <f t="shared" ref="AU413:AU420" si="4083">F413</f>
        <v>0</v>
      </c>
      <c r="AV413" s="41">
        <f t="shared" ref="AV413:AV420" si="4084">H413</f>
        <v>0</v>
      </c>
      <c r="AW413" s="41">
        <f t="shared" ref="AW413:AW420" si="4085">J413</f>
        <v>0</v>
      </c>
      <c r="AX413" s="41">
        <f t="shared" ref="AX413:AX420" si="4086">L413</f>
        <v>0</v>
      </c>
      <c r="AY413" s="41">
        <f t="shared" ref="AY413:AY420" si="4087">N413</f>
        <v>0</v>
      </c>
      <c r="AZ413" s="41">
        <f t="shared" ref="AZ413:AZ420" si="4088">P413</f>
        <v>0</v>
      </c>
      <c r="BA413" s="41">
        <f t="shared" ref="BA413:BA420" si="4089">R413</f>
        <v>0</v>
      </c>
      <c r="BB413" s="41">
        <f t="shared" ref="BB413:BB420" si="4090">T413</f>
        <v>0</v>
      </c>
      <c r="BC413" s="41">
        <f t="shared" ref="BC413:BC420" si="4091">V413</f>
        <v>17100</v>
      </c>
      <c r="BD413" s="41">
        <f t="shared" ref="BD413:BD420" si="4092">X413</f>
        <v>21300</v>
      </c>
      <c r="BE413" s="41">
        <f t="shared" ref="BE413:BE420" si="4093">Z413</f>
        <v>17900</v>
      </c>
      <c r="BF413" s="41">
        <f t="shared" ref="BF413:BF420" si="4094">AB413</f>
        <v>27300</v>
      </c>
      <c r="BG413" s="41">
        <f t="shared" ref="BG413:BG420" si="4095">AD413</f>
        <v>34100</v>
      </c>
      <c r="BH413" s="41">
        <f t="shared" ref="BH413:BH420" si="4096">AF413</f>
        <v>39000</v>
      </c>
      <c r="BI413" s="42">
        <f t="shared" ref="BI413:BI420" si="4097">AH413</f>
        <v>43000</v>
      </c>
      <c r="BJ413" s="41">
        <f t="shared" ref="BJ413:BJ420" si="4098">AJ413</f>
        <v>44504</v>
      </c>
      <c r="BK413" s="41">
        <f t="shared" ref="BK413:BK420" si="4099">AL413</f>
        <v>47890.677200000006</v>
      </c>
      <c r="BL413" s="41">
        <f t="shared" ref="BL413:BL420" si="4100">AN413</f>
        <v>51368.88147302001</v>
      </c>
      <c r="BM413" s="41">
        <f t="shared" ref="BM413:BM420" si="4101">AP413</f>
        <v>53941.472239984818</v>
      </c>
      <c r="BN413" s="41">
        <f t="shared" ref="BN413:BN420" si="4102">AR413</f>
        <v>55681.067895995198</v>
      </c>
    </row>
    <row r="414" spans="1:66" ht="12" hidden="1" customHeight="1" outlineLevel="1">
      <c r="A414" s="91" t="str">
        <f>LEFT(A415,3)&amp;"_PEAssetsTotal"</f>
        <v>MSC_PEAssetsTotal</v>
      </c>
      <c r="B414" s="1" t="s">
        <v>43</v>
      </c>
      <c r="C414" s="25">
        <f t="shared" ref="C414:Q414" si="4103">C343+C267</f>
        <v>67293</v>
      </c>
      <c r="D414" s="25">
        <f t="shared" si="4103"/>
        <v>67390</v>
      </c>
      <c r="E414" s="25">
        <f t="shared" si="4103"/>
        <v>73362</v>
      </c>
      <c r="F414" s="25">
        <f t="shared" si="4103"/>
        <v>71834</v>
      </c>
      <c r="G414" s="25">
        <f t="shared" si="4103"/>
        <v>86287</v>
      </c>
      <c r="H414" s="25">
        <f t="shared" si="4103"/>
        <v>68064</v>
      </c>
      <c r="I414" s="25">
        <f t="shared" si="4103"/>
        <v>71377</v>
      </c>
      <c r="J414" s="25">
        <f t="shared" si="4103"/>
        <v>66894</v>
      </c>
      <c r="K414" s="25">
        <f t="shared" si="4103"/>
        <v>70829</v>
      </c>
      <c r="L414" s="25">
        <f t="shared" si="4103"/>
        <v>73711</v>
      </c>
      <c r="M414" s="25">
        <f t="shared" si="4103"/>
        <v>82602</v>
      </c>
      <c r="N414" s="25">
        <f t="shared" si="4103"/>
        <v>104319</v>
      </c>
      <c r="O414" s="25">
        <f t="shared" si="4103"/>
        <v>114264</v>
      </c>
      <c r="P414" s="25">
        <f t="shared" si="4103"/>
        <v>97251</v>
      </c>
      <c r="Q414" s="25">
        <f t="shared" si="4103"/>
        <v>99902</v>
      </c>
      <c r="R414" s="25">
        <f t="shared" ref="R414:S414" si="4104">R343+R267</f>
        <v>89628</v>
      </c>
      <c r="S414" s="25">
        <f t="shared" si="4104"/>
        <v>94192</v>
      </c>
      <c r="T414" s="25">
        <f t="shared" ref="T414" si="4105">T343+T267</f>
        <v>94347</v>
      </c>
      <c r="U414" s="25">
        <f t="shared" ref="U414" si="4106">U343+U267</f>
        <v>118587</v>
      </c>
      <c r="V414" s="25">
        <f t="shared" ref="V414:W414" si="4107">V343+V267</f>
        <v>106980</v>
      </c>
      <c r="W414" s="25">
        <f t="shared" si="4107"/>
        <v>121847</v>
      </c>
      <c r="X414" s="25">
        <f t="shared" ref="X414" si="4108">X343+X267</f>
        <v>150390</v>
      </c>
      <c r="Y414" s="25">
        <f t="shared" ref="Y414:Z414" si="4109">Y343+Y267</f>
        <v>122668</v>
      </c>
      <c r="Z414" s="25">
        <f t="shared" si="4109"/>
        <v>114314</v>
      </c>
      <c r="AA414" s="25">
        <f t="shared" ref="AA414:AB414" si="4110">AA343+AA267</f>
        <v>187170</v>
      </c>
      <c r="AB414" s="25">
        <f t="shared" si="4110"/>
        <v>195953</v>
      </c>
      <c r="AC414" s="25">
        <f t="shared" ref="AC414" si="4111">AC343+AC267</f>
        <v>260260</v>
      </c>
      <c r="AD414" s="25">
        <f t="shared" ref="AD414" si="4112">AD343+AD267</f>
        <v>169934</v>
      </c>
      <c r="AE414" s="25">
        <f t="shared" ref="AE414" si="4113">AE343+AE267</f>
        <v>168249</v>
      </c>
      <c r="AF414" s="25">
        <f t="shared" ref="AF414:AG414" si="4114">AF343+AF267</f>
        <v>169276</v>
      </c>
      <c r="AG414" s="25">
        <f t="shared" si="4114"/>
        <v>179631</v>
      </c>
      <c r="AH414" s="25">
        <f t="shared" ref="AH414" si="4115">AH343+AH267</f>
        <v>192613</v>
      </c>
      <c r="AI414" s="26">
        <f t="shared" ref="AI414" si="4116">AI343+AI267</f>
        <v>211494</v>
      </c>
      <c r="AJ414" s="25">
        <f t="shared" ref="AJ414:AK414" si="4117">AJ343+AJ267</f>
        <v>224416.50797597811</v>
      </c>
      <c r="AK414" s="25">
        <f t="shared" si="4117"/>
        <v>236980.48629418234</v>
      </c>
      <c r="AL414" s="25">
        <f t="shared" ref="AL414:AM414" si="4118">AL343+AL267</f>
        <v>249181.03835051972</v>
      </c>
      <c r="AM414" s="25">
        <f t="shared" si="4118"/>
        <v>259468.20617219299</v>
      </c>
      <c r="AN414" s="25">
        <f t="shared" ref="AN414:AO414" si="4119">AN343+AN267</f>
        <v>269313.36489684554</v>
      </c>
      <c r="AO414" s="25">
        <f t="shared" si="4119"/>
        <v>278602.0829462086</v>
      </c>
      <c r="AP414" s="25">
        <f t="shared" ref="AP414:AQ414" si="4120">AP343+AP267</f>
        <v>287993.55990581831</v>
      </c>
      <c r="AQ414" s="25">
        <f t="shared" si="4120"/>
        <v>297493.64394661476</v>
      </c>
      <c r="AR414" s="25">
        <f t="shared" ref="AR414" si="4121">AR343+AR267</f>
        <v>307411.6577895321</v>
      </c>
      <c r="AT414" s="41">
        <f t="shared" si="4082"/>
        <v>67390</v>
      </c>
      <c r="AU414" s="41">
        <f t="shared" si="4083"/>
        <v>71834</v>
      </c>
      <c r="AV414" s="41">
        <f t="shared" si="4084"/>
        <v>68064</v>
      </c>
      <c r="AW414" s="41">
        <f t="shared" si="4085"/>
        <v>66894</v>
      </c>
      <c r="AX414" s="41">
        <f t="shared" si="4086"/>
        <v>73711</v>
      </c>
      <c r="AY414" s="41">
        <f t="shared" si="4087"/>
        <v>104319</v>
      </c>
      <c r="AZ414" s="41">
        <f t="shared" si="4088"/>
        <v>97251</v>
      </c>
      <c r="BA414" s="41">
        <f t="shared" si="4089"/>
        <v>89628</v>
      </c>
      <c r="BB414" s="41">
        <f t="shared" si="4090"/>
        <v>94347</v>
      </c>
      <c r="BC414" s="41">
        <f t="shared" si="4091"/>
        <v>106980</v>
      </c>
      <c r="BD414" s="41">
        <f t="shared" si="4092"/>
        <v>150390</v>
      </c>
      <c r="BE414" s="41">
        <f t="shared" si="4093"/>
        <v>114314</v>
      </c>
      <c r="BF414" s="41">
        <f t="shared" si="4094"/>
        <v>195953</v>
      </c>
      <c r="BG414" s="41">
        <f t="shared" si="4095"/>
        <v>169934</v>
      </c>
      <c r="BH414" s="41">
        <f t="shared" si="4096"/>
        <v>169276</v>
      </c>
      <c r="BI414" s="42">
        <f t="shared" si="4097"/>
        <v>192613</v>
      </c>
      <c r="BJ414" s="41">
        <f t="shared" si="4098"/>
        <v>224416.50797597811</v>
      </c>
      <c r="BK414" s="41">
        <f t="shared" si="4099"/>
        <v>249181.03835051972</v>
      </c>
      <c r="BL414" s="41">
        <f t="shared" si="4100"/>
        <v>269313.36489684554</v>
      </c>
      <c r="BM414" s="41">
        <f t="shared" si="4101"/>
        <v>287993.55990581831</v>
      </c>
      <c r="BN414" s="41">
        <f t="shared" si="4102"/>
        <v>307411.6577895321</v>
      </c>
    </row>
    <row r="415" spans="1:66" ht="12" hidden="1" customHeight="1" outlineLevel="1">
      <c r="A415" s="91" t="s">
        <v>525</v>
      </c>
      <c r="B415" s="1" t="s">
        <v>49</v>
      </c>
      <c r="C415" s="25">
        <f t="shared" ref="C415:Q415" si="4122">C344+C268</f>
        <v>4244.3610681968657</v>
      </c>
      <c r="D415" s="25">
        <f t="shared" si="4122"/>
        <v>4353.211211653057</v>
      </c>
      <c r="E415" s="25">
        <f t="shared" si="4122"/>
        <v>4428.0953431913495</v>
      </c>
      <c r="F415" s="25">
        <f t="shared" si="4122"/>
        <v>4462.2599867578901</v>
      </c>
      <c r="G415" s="25">
        <f t="shared" si="4122"/>
        <v>4500</v>
      </c>
      <c r="H415" s="25">
        <f t="shared" si="4122"/>
        <v>4700</v>
      </c>
      <c r="I415" s="25">
        <f t="shared" si="4122"/>
        <v>4500</v>
      </c>
      <c r="J415" s="25">
        <f t="shared" si="4122"/>
        <v>4200</v>
      </c>
      <c r="K415" s="25">
        <f t="shared" si="4122"/>
        <v>4400</v>
      </c>
      <c r="L415" s="25">
        <f t="shared" si="4122"/>
        <v>4300</v>
      </c>
      <c r="M415" s="25">
        <f t="shared" si="4122"/>
        <v>4500</v>
      </c>
      <c r="N415" s="25">
        <f t="shared" si="4122"/>
        <v>4700</v>
      </c>
      <c r="O415" s="25">
        <f t="shared" si="4122"/>
        <v>5200</v>
      </c>
      <c r="P415" s="25">
        <f t="shared" si="4122"/>
        <v>4600</v>
      </c>
      <c r="Q415" s="25">
        <f t="shared" si="4122"/>
        <v>4400</v>
      </c>
      <c r="R415" s="25">
        <f t="shared" ref="R415:S415" si="4123">R344+R268</f>
        <v>4600</v>
      </c>
      <c r="S415" s="25">
        <f t="shared" si="4123"/>
        <v>5300</v>
      </c>
      <c r="T415" s="25">
        <f t="shared" ref="T415" si="4124">T344+T268</f>
        <v>5900</v>
      </c>
      <c r="U415" s="25">
        <f t="shared" ref="U415" si="4125">U344+U268</f>
        <v>9548.0719794344477</v>
      </c>
      <c r="V415" s="25">
        <f t="shared" ref="V415:W415" si="4126">V344+V268</f>
        <v>7885.9154929577462</v>
      </c>
      <c r="W415" s="25">
        <f t="shared" si="4126"/>
        <v>8700</v>
      </c>
      <c r="X415" s="25">
        <f t="shared" ref="X415" si="4127">X344+X268</f>
        <v>10100</v>
      </c>
      <c r="Y415" s="25">
        <f t="shared" ref="Y415:Z415" si="4128">Y344+Y268</f>
        <v>8000</v>
      </c>
      <c r="Z415" s="25">
        <f t="shared" si="4128"/>
        <v>8900</v>
      </c>
      <c r="AA415" s="25">
        <f t="shared" ref="AA415:AB415" si="4129">AA344+AA268</f>
        <v>11800</v>
      </c>
      <c r="AB415" s="25">
        <f t="shared" si="4129"/>
        <v>12800</v>
      </c>
      <c r="AC415" s="25">
        <f t="shared" ref="AC415" si="4130">AC344+AC268</f>
        <v>12300</v>
      </c>
      <c r="AD415" s="25">
        <f t="shared" ref="AD415" si="4131">AD344+AD268</f>
        <v>13600</v>
      </c>
      <c r="AE415" s="25">
        <f t="shared" ref="AE415" si="4132">AE344+AE268</f>
        <v>14100</v>
      </c>
      <c r="AF415" s="25">
        <f t="shared" ref="AF415:AG415" si="4133">AF344+AF268</f>
        <v>15200</v>
      </c>
      <c r="AG415" s="25">
        <f t="shared" si="4133"/>
        <v>15800</v>
      </c>
      <c r="AH415" s="25">
        <f t="shared" ref="AH415" si="4134">AH344+AH268</f>
        <v>17600</v>
      </c>
      <c r="AI415" s="26">
        <f t="shared" ref="AI415" si="4135">AI344+AI268</f>
        <v>17700</v>
      </c>
      <c r="AJ415" s="25">
        <f t="shared" ref="AJ415:AK415" si="4136">AJ344+AJ268</f>
        <v>18214.127923086042</v>
      </c>
      <c r="AK415" s="25">
        <f t="shared" si="4136"/>
        <v>18797.827209457108</v>
      </c>
      <c r="AL415" s="25">
        <f t="shared" ref="AL415:AM415" si="4137">AL344+AL268</f>
        <v>19317.634212865625</v>
      </c>
      <c r="AM415" s="25">
        <f t="shared" si="4137"/>
        <v>19659.359986756885</v>
      </c>
      <c r="AN415" s="25">
        <f t="shared" ref="AN415:AO415" si="4138">AN344+AN268</f>
        <v>19943.060774293921</v>
      </c>
      <c r="AO415" s="25">
        <f t="shared" si="4138"/>
        <v>20163.659334376698</v>
      </c>
      <c r="AP415" s="25">
        <f t="shared" ref="AP415:AQ415" si="4139">AP344+AP268</f>
        <v>20371.418115798253</v>
      </c>
      <c r="AQ415" s="25">
        <f t="shared" si="4139"/>
        <v>20567.053756724086</v>
      </c>
      <c r="AR415" s="25">
        <f t="shared" ref="AR415" si="4140">AR344+AR268</f>
        <v>20771.747987482977</v>
      </c>
      <c r="AT415" s="41">
        <f t="shared" si="4082"/>
        <v>4353.211211653057</v>
      </c>
      <c r="AU415" s="41">
        <f t="shared" si="4083"/>
        <v>4462.2599867578901</v>
      </c>
      <c r="AV415" s="41">
        <f t="shared" si="4084"/>
        <v>4700</v>
      </c>
      <c r="AW415" s="41">
        <f t="shared" si="4085"/>
        <v>4200</v>
      </c>
      <c r="AX415" s="41">
        <f t="shared" si="4086"/>
        <v>4300</v>
      </c>
      <c r="AY415" s="41">
        <f t="shared" si="4087"/>
        <v>4700</v>
      </c>
      <c r="AZ415" s="41">
        <f t="shared" si="4088"/>
        <v>4600</v>
      </c>
      <c r="BA415" s="41">
        <f t="shared" si="4089"/>
        <v>4600</v>
      </c>
      <c r="BB415" s="41">
        <f t="shared" si="4090"/>
        <v>5900</v>
      </c>
      <c r="BC415" s="41">
        <f t="shared" si="4091"/>
        <v>7885.9154929577462</v>
      </c>
      <c r="BD415" s="41">
        <f t="shared" si="4092"/>
        <v>10100</v>
      </c>
      <c r="BE415" s="41">
        <f t="shared" si="4093"/>
        <v>8900</v>
      </c>
      <c r="BF415" s="41">
        <f t="shared" si="4094"/>
        <v>12800</v>
      </c>
      <c r="BG415" s="41">
        <f t="shared" si="4095"/>
        <v>13600</v>
      </c>
      <c r="BH415" s="41">
        <f t="shared" si="4096"/>
        <v>15200</v>
      </c>
      <c r="BI415" s="42">
        <f t="shared" si="4097"/>
        <v>17600</v>
      </c>
      <c r="BJ415" s="41">
        <f t="shared" si="4098"/>
        <v>18214.127923086042</v>
      </c>
      <c r="BK415" s="41">
        <f t="shared" si="4099"/>
        <v>19317.634212865625</v>
      </c>
      <c r="BL415" s="41">
        <f t="shared" si="4100"/>
        <v>19943.060774293921</v>
      </c>
      <c r="BM415" s="41">
        <f t="shared" si="4101"/>
        <v>20371.418115798253</v>
      </c>
      <c r="BN415" s="41">
        <f t="shared" si="4102"/>
        <v>20771.747987482977</v>
      </c>
    </row>
    <row r="416" spans="1:66" ht="12" hidden="1" customHeight="1" outlineLevel="1">
      <c r="B416" s="1" t="s">
        <v>24</v>
      </c>
      <c r="C416" s="25">
        <f t="shared" ref="C416:Q416" si="4141">C345+C269</f>
        <v>0</v>
      </c>
      <c r="D416" s="25">
        <f t="shared" si="4141"/>
        <v>0</v>
      </c>
      <c r="E416" s="25">
        <f t="shared" si="4141"/>
        <v>0</v>
      </c>
      <c r="F416" s="25">
        <f t="shared" si="4141"/>
        <v>0</v>
      </c>
      <c r="G416" s="25">
        <f t="shared" si="4141"/>
        <v>0</v>
      </c>
      <c r="H416" s="25">
        <f t="shared" si="4141"/>
        <v>0</v>
      </c>
      <c r="I416" s="25">
        <f t="shared" si="4141"/>
        <v>0</v>
      </c>
      <c r="J416" s="25">
        <f t="shared" si="4141"/>
        <v>0</v>
      </c>
      <c r="K416" s="25">
        <f t="shared" si="4141"/>
        <v>0</v>
      </c>
      <c r="L416" s="25">
        <f t="shared" si="4141"/>
        <v>0</v>
      </c>
      <c r="M416" s="25">
        <f t="shared" si="4141"/>
        <v>0</v>
      </c>
      <c r="N416" s="25">
        <f t="shared" si="4141"/>
        <v>0</v>
      </c>
      <c r="O416" s="25">
        <f t="shared" si="4141"/>
        <v>0</v>
      </c>
      <c r="P416" s="25">
        <f t="shared" si="4141"/>
        <v>0</v>
      </c>
      <c r="Q416" s="25">
        <f t="shared" si="4141"/>
        <v>0</v>
      </c>
      <c r="R416" s="25">
        <f t="shared" ref="R416:S416" si="4142">R345+R269</f>
        <v>0</v>
      </c>
      <c r="S416" s="25">
        <f t="shared" si="4142"/>
        <v>0</v>
      </c>
      <c r="T416" s="25">
        <f t="shared" ref="T416" si="4143">T345+T269</f>
        <v>0</v>
      </c>
      <c r="U416" s="25">
        <f t="shared" ref="U416" si="4144">U345+U269</f>
        <v>0</v>
      </c>
      <c r="V416" s="25">
        <f t="shared" ref="V416:W416" si="4145">V345+V269</f>
        <v>0</v>
      </c>
      <c r="W416" s="25">
        <f t="shared" si="4145"/>
        <v>0</v>
      </c>
      <c r="X416" s="25">
        <f t="shared" ref="X416" si="4146">X345+X269</f>
        <v>0</v>
      </c>
      <c r="Y416" s="25">
        <f t="shared" ref="Y416:Z416" si="4147">Y345+Y269</f>
        <v>0</v>
      </c>
      <c r="Z416" s="25">
        <f t="shared" si="4147"/>
        <v>0</v>
      </c>
      <c r="AA416" s="25">
        <f t="shared" ref="AA416:AB416" si="4148">AA345+AA269</f>
        <v>0</v>
      </c>
      <c r="AB416" s="25">
        <f t="shared" si="4148"/>
        <v>0</v>
      </c>
      <c r="AC416" s="25">
        <f t="shared" ref="AC416" si="4149">AC345+AC269</f>
        <v>0</v>
      </c>
      <c r="AD416" s="25">
        <f t="shared" ref="AD416" si="4150">AD345+AD269</f>
        <v>0</v>
      </c>
      <c r="AE416" s="25">
        <f t="shared" ref="AE416" si="4151">AE345+AE269</f>
        <v>0</v>
      </c>
      <c r="AF416" s="25">
        <f t="shared" ref="AF416:AG416" si="4152">AF345+AF269</f>
        <v>0</v>
      </c>
      <c r="AG416" s="25">
        <f t="shared" si="4152"/>
        <v>0</v>
      </c>
      <c r="AH416" s="25">
        <f t="shared" ref="AH416" si="4153">AH345+AH269</f>
        <v>0</v>
      </c>
      <c r="AI416" s="26">
        <f t="shared" ref="AI416" si="4154">AI345+AI269</f>
        <v>0</v>
      </c>
      <c r="AJ416" s="25">
        <f t="shared" ref="AJ416:AK416" si="4155">AJ345+AJ269</f>
        <v>0</v>
      </c>
      <c r="AK416" s="25">
        <f t="shared" si="4155"/>
        <v>0</v>
      </c>
      <c r="AL416" s="25">
        <f t="shared" ref="AL416:AM416" si="4156">AL345+AL269</f>
        <v>0</v>
      </c>
      <c r="AM416" s="25">
        <f t="shared" si="4156"/>
        <v>0</v>
      </c>
      <c r="AN416" s="25">
        <f t="shared" ref="AN416:AO416" si="4157">AN345+AN269</f>
        <v>0</v>
      </c>
      <c r="AO416" s="25">
        <f t="shared" si="4157"/>
        <v>0</v>
      </c>
      <c r="AP416" s="25">
        <f t="shared" ref="AP416:AQ416" si="4158">AP345+AP269</f>
        <v>0</v>
      </c>
      <c r="AQ416" s="25">
        <f t="shared" si="4158"/>
        <v>0</v>
      </c>
      <c r="AR416" s="25">
        <f t="shared" ref="AR416" si="4159">AR345+AR269</f>
        <v>0</v>
      </c>
      <c r="AT416" s="41">
        <f t="shared" si="4082"/>
        <v>0</v>
      </c>
      <c r="AU416" s="41">
        <f t="shared" si="4083"/>
        <v>0</v>
      </c>
      <c r="AV416" s="41">
        <f t="shared" si="4084"/>
        <v>0</v>
      </c>
      <c r="AW416" s="41">
        <f t="shared" si="4085"/>
        <v>0</v>
      </c>
      <c r="AX416" s="41">
        <f t="shared" si="4086"/>
        <v>0</v>
      </c>
      <c r="AY416" s="41">
        <f t="shared" si="4087"/>
        <v>0</v>
      </c>
      <c r="AZ416" s="41">
        <f t="shared" si="4088"/>
        <v>0</v>
      </c>
      <c r="BA416" s="41">
        <f t="shared" si="4089"/>
        <v>0</v>
      </c>
      <c r="BB416" s="41">
        <f t="shared" si="4090"/>
        <v>0</v>
      </c>
      <c r="BC416" s="41">
        <f t="shared" si="4091"/>
        <v>0</v>
      </c>
      <c r="BD416" s="41">
        <f t="shared" si="4092"/>
        <v>0</v>
      </c>
      <c r="BE416" s="41">
        <f t="shared" si="4093"/>
        <v>0</v>
      </c>
      <c r="BF416" s="41">
        <f t="shared" si="4094"/>
        <v>0</v>
      </c>
      <c r="BG416" s="41">
        <f t="shared" si="4095"/>
        <v>0</v>
      </c>
      <c r="BH416" s="41">
        <f t="shared" si="4096"/>
        <v>0</v>
      </c>
      <c r="BI416" s="42">
        <f t="shared" si="4097"/>
        <v>0</v>
      </c>
      <c r="BJ416" s="41">
        <f t="shared" si="4098"/>
        <v>0</v>
      </c>
      <c r="BK416" s="41">
        <f t="shared" si="4099"/>
        <v>0</v>
      </c>
      <c r="BL416" s="41">
        <f t="shared" si="4100"/>
        <v>0</v>
      </c>
      <c r="BM416" s="41">
        <f t="shared" si="4101"/>
        <v>0</v>
      </c>
      <c r="BN416" s="41">
        <f t="shared" si="4102"/>
        <v>0</v>
      </c>
    </row>
    <row r="417" spans="2:66" ht="12" hidden="1" customHeight="1" outlineLevel="1">
      <c r="B417" s="1" t="s">
        <v>23</v>
      </c>
      <c r="C417" s="25">
        <f t="shared" ref="C417:Q417" si="4160">C346+C270</f>
        <v>0</v>
      </c>
      <c r="D417" s="25">
        <f t="shared" si="4160"/>
        <v>0</v>
      </c>
      <c r="E417" s="25">
        <f t="shared" si="4160"/>
        <v>0</v>
      </c>
      <c r="F417" s="25">
        <f t="shared" si="4160"/>
        <v>0</v>
      </c>
      <c r="G417" s="25">
        <f t="shared" si="4160"/>
        <v>0</v>
      </c>
      <c r="H417" s="25">
        <f t="shared" si="4160"/>
        <v>0</v>
      </c>
      <c r="I417" s="25">
        <f t="shared" si="4160"/>
        <v>0</v>
      </c>
      <c r="J417" s="25">
        <f t="shared" si="4160"/>
        <v>0</v>
      </c>
      <c r="K417" s="25">
        <f t="shared" si="4160"/>
        <v>0</v>
      </c>
      <c r="L417" s="25">
        <f t="shared" si="4160"/>
        <v>0</v>
      </c>
      <c r="M417" s="25">
        <f t="shared" si="4160"/>
        <v>0</v>
      </c>
      <c r="N417" s="25">
        <f t="shared" si="4160"/>
        <v>0</v>
      </c>
      <c r="O417" s="25">
        <f t="shared" si="4160"/>
        <v>0</v>
      </c>
      <c r="P417" s="25">
        <f t="shared" si="4160"/>
        <v>0</v>
      </c>
      <c r="Q417" s="25">
        <f t="shared" si="4160"/>
        <v>0</v>
      </c>
      <c r="R417" s="25">
        <f t="shared" ref="R417:S417" si="4161">R346+R270</f>
        <v>0</v>
      </c>
      <c r="S417" s="25">
        <f t="shared" si="4161"/>
        <v>0</v>
      </c>
      <c r="T417" s="25">
        <f t="shared" ref="T417" si="4162">T346+T270</f>
        <v>0</v>
      </c>
      <c r="U417" s="25">
        <f t="shared" ref="U417" si="4163">U346+U270</f>
        <v>0</v>
      </c>
      <c r="V417" s="25">
        <f t="shared" ref="V417:W417" si="4164">V346+V270</f>
        <v>0</v>
      </c>
      <c r="W417" s="25">
        <f t="shared" si="4164"/>
        <v>0</v>
      </c>
      <c r="X417" s="25">
        <f t="shared" ref="X417" si="4165">X346+X270</f>
        <v>0</v>
      </c>
      <c r="Y417" s="25">
        <f t="shared" ref="Y417:Z417" si="4166">Y346+Y270</f>
        <v>0</v>
      </c>
      <c r="Z417" s="25">
        <f t="shared" si="4166"/>
        <v>0</v>
      </c>
      <c r="AA417" s="25">
        <f t="shared" ref="AA417:AB417" si="4167">AA346+AA270</f>
        <v>0</v>
      </c>
      <c r="AB417" s="25">
        <f t="shared" si="4167"/>
        <v>0</v>
      </c>
      <c r="AC417" s="25">
        <f t="shared" ref="AC417" si="4168">AC346+AC270</f>
        <v>0</v>
      </c>
      <c r="AD417" s="25">
        <f t="shared" ref="AD417" si="4169">AD346+AD270</f>
        <v>0</v>
      </c>
      <c r="AE417" s="25">
        <f t="shared" ref="AE417" si="4170">AE346+AE270</f>
        <v>0</v>
      </c>
      <c r="AF417" s="25">
        <f t="shared" ref="AF417:AG417" si="4171">AF346+AF270</f>
        <v>0</v>
      </c>
      <c r="AG417" s="25">
        <f t="shared" si="4171"/>
        <v>0</v>
      </c>
      <c r="AH417" s="25">
        <f t="shared" ref="AH417" si="4172">AH346+AH270</f>
        <v>0</v>
      </c>
      <c r="AI417" s="26">
        <f t="shared" ref="AI417" si="4173">AI346+AI270</f>
        <v>0</v>
      </c>
      <c r="AJ417" s="25">
        <f t="shared" ref="AJ417:AK417" si="4174">AJ346+AJ270</f>
        <v>0</v>
      </c>
      <c r="AK417" s="25">
        <f t="shared" si="4174"/>
        <v>0</v>
      </c>
      <c r="AL417" s="25">
        <f t="shared" ref="AL417:AM417" si="4175">AL346+AL270</f>
        <v>0</v>
      </c>
      <c r="AM417" s="25">
        <f t="shared" si="4175"/>
        <v>0</v>
      </c>
      <c r="AN417" s="25">
        <f t="shared" ref="AN417:AO417" si="4176">AN346+AN270</f>
        <v>0</v>
      </c>
      <c r="AO417" s="25">
        <f t="shared" si="4176"/>
        <v>0</v>
      </c>
      <c r="AP417" s="25">
        <f t="shared" ref="AP417:AQ417" si="4177">AP346+AP270</f>
        <v>0</v>
      </c>
      <c r="AQ417" s="25">
        <f t="shared" si="4177"/>
        <v>0</v>
      </c>
      <c r="AR417" s="25">
        <f t="shared" ref="AR417" si="4178">AR346+AR270</f>
        <v>0</v>
      </c>
      <c r="AT417" s="41">
        <f t="shared" si="4082"/>
        <v>0</v>
      </c>
      <c r="AU417" s="41">
        <f t="shared" si="4083"/>
        <v>0</v>
      </c>
      <c r="AV417" s="41">
        <f t="shared" si="4084"/>
        <v>0</v>
      </c>
      <c r="AW417" s="41">
        <f t="shared" si="4085"/>
        <v>0</v>
      </c>
      <c r="AX417" s="41">
        <f t="shared" si="4086"/>
        <v>0</v>
      </c>
      <c r="AY417" s="41">
        <f t="shared" si="4087"/>
        <v>0</v>
      </c>
      <c r="AZ417" s="41">
        <f t="shared" si="4088"/>
        <v>0</v>
      </c>
      <c r="BA417" s="41">
        <f t="shared" si="4089"/>
        <v>0</v>
      </c>
      <c r="BB417" s="41">
        <f t="shared" si="4090"/>
        <v>0</v>
      </c>
      <c r="BC417" s="41">
        <f t="shared" si="4091"/>
        <v>0</v>
      </c>
      <c r="BD417" s="41">
        <f t="shared" si="4092"/>
        <v>0</v>
      </c>
      <c r="BE417" s="41">
        <f t="shared" si="4093"/>
        <v>0</v>
      </c>
      <c r="BF417" s="41">
        <f t="shared" si="4094"/>
        <v>0</v>
      </c>
      <c r="BG417" s="41">
        <f t="shared" si="4095"/>
        <v>0</v>
      </c>
      <c r="BH417" s="41">
        <f t="shared" si="4096"/>
        <v>0</v>
      </c>
      <c r="BI417" s="42">
        <f t="shared" si="4097"/>
        <v>0</v>
      </c>
      <c r="BJ417" s="41">
        <f t="shared" si="4098"/>
        <v>0</v>
      </c>
      <c r="BK417" s="41">
        <f t="shared" si="4099"/>
        <v>0</v>
      </c>
      <c r="BL417" s="41">
        <f t="shared" si="4100"/>
        <v>0</v>
      </c>
      <c r="BM417" s="41">
        <f t="shared" si="4101"/>
        <v>0</v>
      </c>
      <c r="BN417" s="41">
        <f t="shared" si="4102"/>
        <v>0</v>
      </c>
    </row>
    <row r="418" spans="2:66" ht="12" hidden="1" customHeight="1" outlineLevel="1">
      <c r="B418" s="1" t="s">
        <v>22</v>
      </c>
      <c r="C418" s="25">
        <f t="shared" ref="C418:Q418" si="4179">C347+C271</f>
        <v>0</v>
      </c>
      <c r="D418" s="25">
        <f t="shared" si="4179"/>
        <v>0</v>
      </c>
      <c r="E418" s="25">
        <f t="shared" si="4179"/>
        <v>0</v>
      </c>
      <c r="F418" s="25">
        <f t="shared" si="4179"/>
        <v>0</v>
      </c>
      <c r="G418" s="25">
        <f t="shared" si="4179"/>
        <v>0</v>
      </c>
      <c r="H418" s="25">
        <f t="shared" si="4179"/>
        <v>0</v>
      </c>
      <c r="I418" s="25">
        <f t="shared" si="4179"/>
        <v>0</v>
      </c>
      <c r="J418" s="25">
        <f t="shared" si="4179"/>
        <v>0</v>
      </c>
      <c r="K418" s="25">
        <f t="shared" si="4179"/>
        <v>0</v>
      </c>
      <c r="L418" s="25">
        <f t="shared" si="4179"/>
        <v>0</v>
      </c>
      <c r="M418" s="25">
        <f t="shared" si="4179"/>
        <v>0</v>
      </c>
      <c r="N418" s="25">
        <f t="shared" si="4179"/>
        <v>0</v>
      </c>
      <c r="O418" s="25">
        <f t="shared" si="4179"/>
        <v>0</v>
      </c>
      <c r="P418" s="25">
        <f t="shared" si="4179"/>
        <v>0</v>
      </c>
      <c r="Q418" s="25">
        <f t="shared" si="4179"/>
        <v>0</v>
      </c>
      <c r="R418" s="25">
        <f t="shared" ref="R418:S418" si="4180">R347+R271</f>
        <v>0</v>
      </c>
      <c r="S418" s="25">
        <f t="shared" si="4180"/>
        <v>0</v>
      </c>
      <c r="T418" s="25">
        <f t="shared" ref="T418" si="4181">T347+T271</f>
        <v>0</v>
      </c>
      <c r="U418" s="25">
        <f t="shared" ref="U418" si="4182">U347+U271</f>
        <v>0</v>
      </c>
      <c r="V418" s="25">
        <f t="shared" ref="V418:W418" si="4183">V347+V271</f>
        <v>0</v>
      </c>
      <c r="W418" s="25">
        <f t="shared" si="4183"/>
        <v>0</v>
      </c>
      <c r="X418" s="25">
        <f t="shared" ref="X418" si="4184">X347+X271</f>
        <v>0</v>
      </c>
      <c r="Y418" s="25">
        <f t="shared" ref="Y418:Z418" si="4185">Y347+Y271</f>
        <v>0</v>
      </c>
      <c r="Z418" s="25">
        <f t="shared" si="4185"/>
        <v>0</v>
      </c>
      <c r="AA418" s="25">
        <f t="shared" ref="AA418:AB418" si="4186">AA347+AA271</f>
        <v>0</v>
      </c>
      <c r="AB418" s="25">
        <f t="shared" si="4186"/>
        <v>0</v>
      </c>
      <c r="AC418" s="25">
        <f t="shared" ref="AC418" si="4187">AC347+AC271</f>
        <v>0</v>
      </c>
      <c r="AD418" s="25">
        <f t="shared" ref="AD418" si="4188">AD347+AD271</f>
        <v>0</v>
      </c>
      <c r="AE418" s="25">
        <f t="shared" ref="AE418" si="4189">AE347+AE271</f>
        <v>0</v>
      </c>
      <c r="AF418" s="25">
        <f t="shared" ref="AF418:AG418" si="4190">AF347+AF271</f>
        <v>0</v>
      </c>
      <c r="AG418" s="25">
        <f t="shared" si="4190"/>
        <v>0</v>
      </c>
      <c r="AH418" s="25">
        <f t="shared" ref="AH418" si="4191">AH347+AH271</f>
        <v>0</v>
      </c>
      <c r="AI418" s="26">
        <f t="shared" ref="AI418" si="4192">AI347+AI271</f>
        <v>0</v>
      </c>
      <c r="AJ418" s="25">
        <f t="shared" ref="AJ418:AK418" si="4193">AJ347+AJ271</f>
        <v>0</v>
      </c>
      <c r="AK418" s="25">
        <f t="shared" si="4193"/>
        <v>0</v>
      </c>
      <c r="AL418" s="25">
        <f t="shared" ref="AL418:AM418" si="4194">AL347+AL271</f>
        <v>0</v>
      </c>
      <c r="AM418" s="25">
        <f t="shared" si="4194"/>
        <v>0</v>
      </c>
      <c r="AN418" s="25">
        <f t="shared" ref="AN418:AO418" si="4195">AN347+AN271</f>
        <v>0</v>
      </c>
      <c r="AO418" s="25">
        <f t="shared" si="4195"/>
        <v>0</v>
      </c>
      <c r="AP418" s="25">
        <f t="shared" ref="AP418:AQ418" si="4196">AP347+AP271</f>
        <v>0</v>
      </c>
      <c r="AQ418" s="25">
        <f t="shared" si="4196"/>
        <v>0</v>
      </c>
      <c r="AR418" s="25">
        <f t="shared" ref="AR418" si="4197">AR347+AR271</f>
        <v>0</v>
      </c>
      <c r="AT418" s="41">
        <f t="shared" si="4082"/>
        <v>0</v>
      </c>
      <c r="AU418" s="41">
        <f t="shared" si="4083"/>
        <v>0</v>
      </c>
      <c r="AV418" s="41">
        <f t="shared" si="4084"/>
        <v>0</v>
      </c>
      <c r="AW418" s="41">
        <f t="shared" si="4085"/>
        <v>0</v>
      </c>
      <c r="AX418" s="41">
        <f t="shared" si="4086"/>
        <v>0</v>
      </c>
      <c r="AY418" s="41">
        <f t="shared" si="4087"/>
        <v>0</v>
      </c>
      <c r="AZ418" s="41">
        <f t="shared" si="4088"/>
        <v>0</v>
      </c>
      <c r="BA418" s="41">
        <f t="shared" si="4089"/>
        <v>0</v>
      </c>
      <c r="BB418" s="41">
        <f t="shared" si="4090"/>
        <v>0</v>
      </c>
      <c r="BC418" s="41">
        <f t="shared" si="4091"/>
        <v>0</v>
      </c>
      <c r="BD418" s="41">
        <f t="shared" si="4092"/>
        <v>0</v>
      </c>
      <c r="BE418" s="41">
        <f t="shared" si="4093"/>
        <v>0</v>
      </c>
      <c r="BF418" s="41">
        <f t="shared" si="4094"/>
        <v>0</v>
      </c>
      <c r="BG418" s="41">
        <f t="shared" si="4095"/>
        <v>0</v>
      </c>
      <c r="BH418" s="41">
        <f t="shared" si="4096"/>
        <v>0</v>
      </c>
      <c r="BI418" s="42">
        <f t="shared" si="4097"/>
        <v>0</v>
      </c>
      <c r="BJ418" s="41">
        <f t="shared" si="4098"/>
        <v>0</v>
      </c>
      <c r="BK418" s="41">
        <f t="shared" si="4099"/>
        <v>0</v>
      </c>
      <c r="BL418" s="41">
        <f t="shared" si="4100"/>
        <v>0</v>
      </c>
      <c r="BM418" s="41">
        <f t="shared" si="4101"/>
        <v>0</v>
      </c>
      <c r="BN418" s="41">
        <f t="shared" si="4102"/>
        <v>0</v>
      </c>
    </row>
    <row r="419" spans="2:66" ht="12" hidden="1" customHeight="1" outlineLevel="1">
      <c r="B419" s="1" t="s">
        <v>44</v>
      </c>
      <c r="C419" s="25">
        <f t="shared" ref="C419:Q419" si="4198">C348+C272</f>
        <v>0</v>
      </c>
      <c r="D419" s="25">
        <f t="shared" si="4198"/>
        <v>0</v>
      </c>
      <c r="E419" s="25">
        <f t="shared" si="4198"/>
        <v>0</v>
      </c>
      <c r="F419" s="25">
        <f t="shared" si="4198"/>
        <v>0</v>
      </c>
      <c r="G419" s="25">
        <f t="shared" si="4198"/>
        <v>0</v>
      </c>
      <c r="H419" s="25">
        <f t="shared" si="4198"/>
        <v>0</v>
      </c>
      <c r="I419" s="25">
        <f t="shared" si="4198"/>
        <v>0</v>
      </c>
      <c r="J419" s="25">
        <f t="shared" si="4198"/>
        <v>0</v>
      </c>
      <c r="K419" s="25">
        <f t="shared" si="4198"/>
        <v>0</v>
      </c>
      <c r="L419" s="25">
        <f t="shared" si="4198"/>
        <v>0</v>
      </c>
      <c r="M419" s="25">
        <f t="shared" si="4198"/>
        <v>0</v>
      </c>
      <c r="N419" s="25">
        <f t="shared" si="4198"/>
        <v>0</v>
      </c>
      <c r="O419" s="25">
        <f t="shared" si="4198"/>
        <v>0</v>
      </c>
      <c r="P419" s="25">
        <f t="shared" si="4198"/>
        <v>0</v>
      </c>
      <c r="Q419" s="25">
        <f t="shared" si="4198"/>
        <v>0</v>
      </c>
      <c r="R419" s="25">
        <f t="shared" ref="R419:S419" si="4199">R348+R272</f>
        <v>0</v>
      </c>
      <c r="S419" s="25">
        <f t="shared" si="4199"/>
        <v>0</v>
      </c>
      <c r="T419" s="25">
        <f t="shared" ref="T419" si="4200">T348+T272</f>
        <v>0</v>
      </c>
      <c r="U419" s="25">
        <f t="shared" ref="U419" si="4201">U348+U272</f>
        <v>0</v>
      </c>
      <c r="V419" s="25">
        <f t="shared" ref="V419:W419" si="4202">V348+V272</f>
        <v>0</v>
      </c>
      <c r="W419" s="25">
        <f t="shared" si="4202"/>
        <v>0</v>
      </c>
      <c r="X419" s="25">
        <f t="shared" ref="X419" si="4203">X348+X272</f>
        <v>0</v>
      </c>
      <c r="Y419" s="25">
        <f t="shared" ref="Y419:Z419" si="4204">Y348+Y272</f>
        <v>0</v>
      </c>
      <c r="Z419" s="25">
        <f t="shared" si="4204"/>
        <v>0</v>
      </c>
      <c r="AA419" s="25">
        <f t="shared" ref="AA419:AB419" si="4205">AA348+AA272</f>
        <v>0</v>
      </c>
      <c r="AB419" s="25">
        <f t="shared" si="4205"/>
        <v>0</v>
      </c>
      <c r="AC419" s="25">
        <f t="shared" ref="AC419" si="4206">AC348+AC272</f>
        <v>0</v>
      </c>
      <c r="AD419" s="25">
        <f t="shared" ref="AD419" si="4207">AD348+AD272</f>
        <v>0</v>
      </c>
      <c r="AE419" s="25">
        <f t="shared" ref="AE419" si="4208">AE348+AE272</f>
        <v>0</v>
      </c>
      <c r="AF419" s="25">
        <f t="shared" ref="AF419:AG419" si="4209">AF348+AF272</f>
        <v>0</v>
      </c>
      <c r="AG419" s="25">
        <f t="shared" si="4209"/>
        <v>0</v>
      </c>
      <c r="AH419" s="25">
        <f t="shared" ref="AH419" si="4210">AH348+AH272</f>
        <v>0</v>
      </c>
      <c r="AI419" s="26">
        <f t="shared" ref="AI419" si="4211">AI348+AI272</f>
        <v>0</v>
      </c>
      <c r="AJ419" s="25">
        <f t="shared" ref="AJ419:AK419" si="4212">AJ348+AJ272</f>
        <v>0</v>
      </c>
      <c r="AK419" s="25">
        <f t="shared" si="4212"/>
        <v>0</v>
      </c>
      <c r="AL419" s="25">
        <f t="shared" ref="AL419:AM419" si="4213">AL348+AL272</f>
        <v>0</v>
      </c>
      <c r="AM419" s="25">
        <f t="shared" si="4213"/>
        <v>0</v>
      </c>
      <c r="AN419" s="25">
        <f t="shared" ref="AN419:AO419" si="4214">AN348+AN272</f>
        <v>0</v>
      </c>
      <c r="AO419" s="25">
        <f t="shared" si="4214"/>
        <v>0</v>
      </c>
      <c r="AP419" s="25">
        <f t="shared" ref="AP419:AQ419" si="4215">AP348+AP272</f>
        <v>0</v>
      </c>
      <c r="AQ419" s="25">
        <f t="shared" si="4215"/>
        <v>0</v>
      </c>
      <c r="AR419" s="25">
        <f t="shared" ref="AR419" si="4216">AR348+AR272</f>
        <v>0</v>
      </c>
      <c r="AT419" s="41">
        <f t="shared" si="4082"/>
        <v>0</v>
      </c>
      <c r="AU419" s="41">
        <f t="shared" si="4083"/>
        <v>0</v>
      </c>
      <c r="AV419" s="41">
        <f t="shared" si="4084"/>
        <v>0</v>
      </c>
      <c r="AW419" s="41">
        <f t="shared" si="4085"/>
        <v>0</v>
      </c>
      <c r="AX419" s="41">
        <f t="shared" si="4086"/>
        <v>0</v>
      </c>
      <c r="AY419" s="41">
        <f t="shared" si="4087"/>
        <v>0</v>
      </c>
      <c r="AZ419" s="41">
        <f t="shared" si="4088"/>
        <v>0</v>
      </c>
      <c r="BA419" s="41">
        <f t="shared" si="4089"/>
        <v>0</v>
      </c>
      <c r="BB419" s="41">
        <f t="shared" si="4090"/>
        <v>0</v>
      </c>
      <c r="BC419" s="41">
        <f t="shared" si="4091"/>
        <v>0</v>
      </c>
      <c r="BD419" s="41">
        <f t="shared" si="4092"/>
        <v>0</v>
      </c>
      <c r="BE419" s="41">
        <f t="shared" si="4093"/>
        <v>0</v>
      </c>
      <c r="BF419" s="41">
        <f t="shared" si="4094"/>
        <v>0</v>
      </c>
      <c r="BG419" s="41">
        <f t="shared" si="4095"/>
        <v>0</v>
      </c>
      <c r="BH419" s="41">
        <f t="shared" si="4096"/>
        <v>0</v>
      </c>
      <c r="BI419" s="42">
        <f t="shared" si="4097"/>
        <v>0</v>
      </c>
      <c r="BJ419" s="41">
        <f t="shared" si="4098"/>
        <v>0</v>
      </c>
      <c r="BK419" s="41">
        <f t="shared" si="4099"/>
        <v>0</v>
      </c>
      <c r="BL419" s="41">
        <f t="shared" si="4100"/>
        <v>0</v>
      </c>
      <c r="BM419" s="41">
        <f t="shared" si="4101"/>
        <v>0</v>
      </c>
      <c r="BN419" s="41">
        <f t="shared" si="4102"/>
        <v>0</v>
      </c>
    </row>
    <row r="420" spans="2:66" ht="12" hidden="1" customHeight="1" outlineLevel="1">
      <c r="B420" s="1" t="s">
        <v>25</v>
      </c>
      <c r="C420" s="25">
        <f t="shared" ref="C420:Q420" si="4217">C349+C273</f>
        <v>3995</v>
      </c>
      <c r="D420" s="25">
        <f t="shared" si="4217"/>
        <v>4189</v>
      </c>
      <c r="E420" s="25">
        <f t="shared" si="4217"/>
        <v>4158</v>
      </c>
      <c r="F420" s="25">
        <f t="shared" si="4217"/>
        <v>4145</v>
      </c>
      <c r="G420" s="25">
        <f t="shared" si="4217"/>
        <v>3612</v>
      </c>
      <c r="H420" s="25">
        <f t="shared" si="4217"/>
        <v>3351</v>
      </c>
      <c r="I420" s="25">
        <f t="shared" si="4217"/>
        <v>3100</v>
      </c>
      <c r="J420" s="25">
        <f t="shared" si="4217"/>
        <v>3071</v>
      </c>
      <c r="K420" s="25">
        <f t="shared" si="4217"/>
        <v>3087</v>
      </c>
      <c r="L420" s="25">
        <f t="shared" si="4217"/>
        <v>3135</v>
      </c>
      <c r="M420" s="25">
        <f t="shared" si="4217"/>
        <v>3111</v>
      </c>
      <c r="N420" s="25">
        <f t="shared" si="4217"/>
        <v>3184</v>
      </c>
      <c r="O420" s="25">
        <f t="shared" si="4217"/>
        <v>3123</v>
      </c>
      <c r="P420" s="25">
        <f t="shared" si="4217"/>
        <v>3225</v>
      </c>
      <c r="Q420" s="25">
        <f t="shared" si="4217"/>
        <v>3071</v>
      </c>
      <c r="R420" s="25">
        <f t="shared" ref="R420:S420" si="4218">R349+R273</f>
        <v>3024</v>
      </c>
      <c r="S420" s="25">
        <f t="shared" si="4218"/>
        <v>3083</v>
      </c>
      <c r="T420" s="25">
        <f t="shared" ref="T420" si="4219">T349+T273</f>
        <v>3375</v>
      </c>
      <c r="U420" s="25">
        <f t="shared" ref="U420" si="4220">U349+U273</f>
        <v>4068</v>
      </c>
      <c r="V420" s="25">
        <f t="shared" ref="V420:W420" si="4221">V349+V273</f>
        <v>4235</v>
      </c>
      <c r="W420" s="25">
        <f t="shared" si="4221"/>
        <v>4275</v>
      </c>
      <c r="X420" s="25">
        <f t="shared" ref="X420" si="4222">X349+X273</f>
        <v>4183</v>
      </c>
      <c r="Y420" s="25">
        <f t="shared" ref="Y420:Z420" si="4223">Y349+Y273</f>
        <v>4159</v>
      </c>
      <c r="Z420" s="25">
        <f t="shared" si="4223"/>
        <v>3954</v>
      </c>
      <c r="AA420" s="25">
        <f t="shared" ref="AA420:AB420" si="4224">AA349+AA273</f>
        <v>3675</v>
      </c>
      <c r="AB420" s="25">
        <f t="shared" si="4224"/>
        <v>3747</v>
      </c>
      <c r="AC420" s="25">
        <f t="shared" ref="AC420" si="4225">AC349+AC273</f>
        <v>3897</v>
      </c>
      <c r="AD420" s="25">
        <f t="shared" ref="AD420" si="4226">AD349+AD273</f>
        <v>4008</v>
      </c>
      <c r="AE420" s="25">
        <f t="shared" ref="AE420" si="4227">AE349+AE273</f>
        <v>4107</v>
      </c>
      <c r="AF420" s="25">
        <f t="shared" ref="AF420:AG420" si="4228">AF349+AF273</f>
        <v>4122</v>
      </c>
      <c r="AG420" s="25">
        <f t="shared" si="4228"/>
        <v>4112</v>
      </c>
      <c r="AH420" s="25">
        <f t="shared" ref="AH420" si="4229">AH349+AH273</f>
        <v>4050</v>
      </c>
      <c r="AI420" s="26">
        <f t="shared" ref="AI420" si="4230">AI349+AI273</f>
        <v>4067</v>
      </c>
      <c r="AJ420" s="25">
        <f t="shared" ref="AJ420:AK420" si="4231">AJ349+AJ273</f>
        <v>4068.15</v>
      </c>
      <c r="AK420" s="25">
        <f t="shared" si="4231"/>
        <v>4101.6965</v>
      </c>
      <c r="AL420" s="25">
        <f t="shared" ref="AL420:AM420" si="4232">AL349+AL273</f>
        <v>4135.5427899999995</v>
      </c>
      <c r="AM420" s="25">
        <f t="shared" si="4232"/>
        <v>4169.6916895249997</v>
      </c>
      <c r="AN420" s="25">
        <f t="shared" ref="AN420:AO420" si="4233">AN349+AN273</f>
        <v>4204.146045403375</v>
      </c>
      <c r="AO420" s="25">
        <f t="shared" si="4233"/>
        <v>4238.9087320354483</v>
      </c>
      <c r="AP420" s="25">
        <f t="shared" ref="AP420:AQ420" si="4234">AP349+AP273</f>
        <v>4273.9826516647336</v>
      </c>
      <c r="AQ420" s="25">
        <f t="shared" si="4234"/>
        <v>4309.3707346518568</v>
      </c>
      <c r="AR420" s="25">
        <f t="shared" ref="AR420" si="4235">AR349+AR273</f>
        <v>4345.0759397512029</v>
      </c>
      <c r="AT420" s="41">
        <f t="shared" si="4082"/>
        <v>4189</v>
      </c>
      <c r="AU420" s="41">
        <f t="shared" si="4083"/>
        <v>4145</v>
      </c>
      <c r="AV420" s="41">
        <f t="shared" si="4084"/>
        <v>3351</v>
      </c>
      <c r="AW420" s="41">
        <f t="shared" si="4085"/>
        <v>3071</v>
      </c>
      <c r="AX420" s="41">
        <f t="shared" si="4086"/>
        <v>3135</v>
      </c>
      <c r="AY420" s="41">
        <f t="shared" si="4087"/>
        <v>3184</v>
      </c>
      <c r="AZ420" s="41">
        <f t="shared" si="4088"/>
        <v>3225</v>
      </c>
      <c r="BA420" s="41">
        <f t="shared" si="4089"/>
        <v>3024</v>
      </c>
      <c r="BB420" s="41">
        <f t="shared" si="4090"/>
        <v>3375</v>
      </c>
      <c r="BC420" s="41">
        <f t="shared" si="4091"/>
        <v>4235</v>
      </c>
      <c r="BD420" s="41">
        <f t="shared" si="4092"/>
        <v>4183</v>
      </c>
      <c r="BE420" s="41">
        <f t="shared" si="4093"/>
        <v>3954</v>
      </c>
      <c r="BF420" s="41">
        <f t="shared" si="4094"/>
        <v>3747</v>
      </c>
      <c r="BG420" s="41">
        <f t="shared" si="4095"/>
        <v>4008</v>
      </c>
      <c r="BH420" s="41">
        <f t="shared" si="4096"/>
        <v>4122</v>
      </c>
      <c r="BI420" s="42">
        <f t="shared" si="4097"/>
        <v>4050</v>
      </c>
      <c r="BJ420" s="41">
        <f t="shared" si="4098"/>
        <v>4068.15</v>
      </c>
      <c r="BK420" s="41">
        <f t="shared" si="4099"/>
        <v>4135.5427899999995</v>
      </c>
      <c r="BL420" s="41">
        <f t="shared" si="4100"/>
        <v>4204.146045403375</v>
      </c>
      <c r="BM420" s="41">
        <f t="shared" si="4101"/>
        <v>4273.9826516647336</v>
      </c>
      <c r="BN420" s="41">
        <f t="shared" si="4102"/>
        <v>4345.0759397512029</v>
      </c>
    </row>
    <row r="421" spans="2:66" ht="12" hidden="1" customHeight="1" outlineLevel="1"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20"/>
      <c r="AJ421" s="19"/>
      <c r="AK421" s="19"/>
      <c r="AL421" s="19"/>
      <c r="AM421" s="19"/>
      <c r="AN421" s="19"/>
      <c r="AO421" s="19"/>
      <c r="AP421" s="19"/>
      <c r="AQ421" s="19"/>
      <c r="AR421" s="19"/>
      <c r="AT421" s="41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2"/>
      <c r="BJ421" s="41"/>
      <c r="BK421" s="41"/>
      <c r="BL421" s="41"/>
      <c r="BM421" s="41"/>
      <c r="BN421" s="41"/>
    </row>
    <row r="422" spans="2:66" ht="12" hidden="1" customHeight="1" outlineLevel="1">
      <c r="B422" s="9" t="s">
        <v>158</v>
      </c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20"/>
      <c r="AJ422" s="19"/>
      <c r="AK422" s="19"/>
      <c r="AL422" s="19"/>
      <c r="AM422" s="19"/>
      <c r="AN422" s="19"/>
      <c r="AO422" s="19"/>
      <c r="AP422" s="19"/>
      <c r="AQ422" s="19"/>
      <c r="AR422" s="19"/>
      <c r="AT422" s="41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2"/>
      <c r="BJ422" s="41"/>
      <c r="BK422" s="41"/>
      <c r="BL422" s="41"/>
      <c r="BM422" s="41"/>
      <c r="BN422" s="41"/>
    </row>
    <row r="423" spans="2:66" ht="12" hidden="1" customHeight="1" outlineLevel="1">
      <c r="B423" s="1" t="s">
        <v>58</v>
      </c>
      <c r="C423" s="50" t="str">
        <f t="shared" ref="C423:M423" si="4236">IF(ISERROR(C413/B413),"n.a.",C413/B413-1)</f>
        <v>n.a.</v>
      </c>
      <c r="D423" s="50" t="str">
        <f t="shared" si="4236"/>
        <v>n.a.</v>
      </c>
      <c r="E423" s="50" t="str">
        <f t="shared" si="4236"/>
        <v>n.a.</v>
      </c>
      <c r="F423" s="50" t="str">
        <f t="shared" si="4236"/>
        <v>n.a.</v>
      </c>
      <c r="G423" s="50" t="str">
        <f t="shared" si="4236"/>
        <v>n.a.</v>
      </c>
      <c r="H423" s="50" t="str">
        <f t="shared" si="4236"/>
        <v>n.a.</v>
      </c>
      <c r="I423" s="50" t="str">
        <f t="shared" si="4236"/>
        <v>n.a.</v>
      </c>
      <c r="J423" s="50" t="str">
        <f t="shared" si="4236"/>
        <v>n.a.</v>
      </c>
      <c r="K423" s="50" t="str">
        <f t="shared" si="4236"/>
        <v>n.a.</v>
      </c>
      <c r="L423" s="50" t="str">
        <f t="shared" si="4236"/>
        <v>n.a.</v>
      </c>
      <c r="M423" s="69" t="str">
        <f t="shared" si="4236"/>
        <v>n.a.</v>
      </c>
      <c r="N423" s="69" t="str">
        <f t="shared" ref="N423" si="4237">IF(ISERROR(N413/M413),"n.a.",N413/M413-1)</f>
        <v>n.a.</v>
      </c>
      <c r="O423" s="69" t="str">
        <f t="shared" ref="O423:AH423" si="4238">IF(ISERROR(O413/N413),"n.a.",O413/N413-1)</f>
        <v>n.a.</v>
      </c>
      <c r="P423" s="69" t="str">
        <f t="shared" si="4238"/>
        <v>n.a.</v>
      </c>
      <c r="Q423" s="69" t="str">
        <f t="shared" si="4238"/>
        <v>n.a.</v>
      </c>
      <c r="R423" s="69" t="str">
        <f t="shared" si="4238"/>
        <v>n.a.</v>
      </c>
      <c r="S423" s="69" t="str">
        <f t="shared" si="4238"/>
        <v>n.a.</v>
      </c>
      <c r="T423" s="69" t="str">
        <f t="shared" si="4238"/>
        <v>n.a.</v>
      </c>
      <c r="U423" s="69" t="str">
        <f t="shared" si="4238"/>
        <v>n.a.</v>
      </c>
      <c r="V423" s="69">
        <f t="shared" si="4238"/>
        <v>-8.064516129032262E-2</v>
      </c>
      <c r="W423" s="69">
        <f t="shared" si="4238"/>
        <v>7.6023391812865437E-2</v>
      </c>
      <c r="X423" s="69">
        <f t="shared" si="4238"/>
        <v>0.15760869565217384</v>
      </c>
      <c r="Y423" s="69">
        <f t="shared" si="4238"/>
        <v>-0.23474178403755863</v>
      </c>
      <c r="Z423" s="69">
        <f t="shared" si="4238"/>
        <v>9.8159509202454087E-2</v>
      </c>
      <c r="AA423" s="69">
        <f t="shared" si="4238"/>
        <v>0.25139664804469275</v>
      </c>
      <c r="AB423" s="69">
        <f t="shared" si="4238"/>
        <v>0.21875</v>
      </c>
      <c r="AC423" s="69">
        <f t="shared" si="4238"/>
        <v>0.12087912087912089</v>
      </c>
      <c r="AD423" s="69">
        <f t="shared" si="4238"/>
        <v>0.1143790849673203</v>
      </c>
      <c r="AE423" s="69">
        <f t="shared" si="4238"/>
        <v>5.5718475073313734E-2</v>
      </c>
      <c r="AF423" s="69">
        <f t="shared" si="4238"/>
        <v>8.3333333333333259E-2</v>
      </c>
      <c r="AG423" s="69">
        <f t="shared" si="4238"/>
        <v>7.692307692307665E-3</v>
      </c>
      <c r="AH423" s="69">
        <f t="shared" si="4238"/>
        <v>9.4147582697200916E-2</v>
      </c>
      <c r="AI423" s="89">
        <f t="shared" ref="AI423" si="4239">IF(ISERROR(AI413/AH413),"n.a.",AI413/AH413-1)</f>
        <v>1.3953488372093092E-2</v>
      </c>
      <c r="AJ423" s="67">
        <f t="shared" ref="AJ423" si="4240">IF(ISERROR(AJ413/AI413),"n.a.",AJ413/AI413-1)</f>
        <v>2.0733944954128392E-2</v>
      </c>
      <c r="AK423" s="67">
        <f t="shared" ref="AK423" si="4241">IF(ISERROR(AK413/AJ413),"n.a.",AK413/AJ413-1)</f>
        <v>3.1662771885673235E-2</v>
      </c>
      <c r="AL423" s="67">
        <f t="shared" ref="AL423" si="4242">IF(ISERROR(AL413/AK413),"n.a.",AL413/AK413-1)</f>
        <v>4.3071723289552111E-2</v>
      </c>
      <c r="AM423" s="67">
        <f t="shared" ref="AM423" si="4243">IF(ISERROR(AM413/AL413),"n.a.",AM413/AL413-1)</f>
        <v>3.8271261321817462E-2</v>
      </c>
      <c r="AN423" s="67">
        <f t="shared" ref="AN423" si="4244">IF(ISERROR(AN413/AM413),"n.a.",AN413/AM413-1)</f>
        <v>3.3090333416702533E-2</v>
      </c>
      <c r="AO423" s="67">
        <f t="shared" ref="AO423" si="4245">IF(ISERROR(AO413/AN413),"n.a.",AO413/AN413-1)</f>
        <v>2.7601207733224387E-2</v>
      </c>
      <c r="AP423" s="67">
        <f t="shared" ref="AP423" si="4246">IF(ISERROR(AP413/AO413),"n.a.",AP413/AO413-1)</f>
        <v>2.187571981867209E-2</v>
      </c>
      <c r="AQ423" s="67">
        <f t="shared" ref="AQ423" si="4247">IF(ISERROR(AQ413/AP413),"n.a.",AQ413/AP413-1)</f>
        <v>1.5985068035182737E-2</v>
      </c>
      <c r="AR423" s="67">
        <f t="shared" ref="AR423" si="4248">IF(ISERROR(AR413/AQ413),"n.a.",AR413/AQ413-1)</f>
        <v>1.6008719604208688E-2</v>
      </c>
      <c r="AS423" s="8"/>
      <c r="AT423" s="50" t="str">
        <f>IF(ISERROR(AT413/T413),"n.a.",AT413/T413-1)</f>
        <v>n.a.</v>
      </c>
      <c r="AU423" s="50" t="str">
        <f>IF(ISERROR(AU413/AT413),"n.a.",AU413/AT413-1)</f>
        <v>n.a.</v>
      </c>
      <c r="AV423" s="50" t="str">
        <f>IF(ISERROR(AV413/AU413),"n.a.",AV413/AU413-1)</f>
        <v>n.a.</v>
      </c>
      <c r="AW423" s="50" t="str">
        <f>IF(ISERROR(AW413/AV413),"n.a.",AW413/AV413-1)</f>
        <v>n.a.</v>
      </c>
      <c r="AX423" s="50" t="str">
        <f t="shared" ref="AX423:BB423" si="4249">IF(ISERROR(AX413/AW413),"n.a.",AX413/AW413-1)</f>
        <v>n.a.</v>
      </c>
      <c r="AY423" s="50" t="str">
        <f t="shared" si="4249"/>
        <v>n.a.</v>
      </c>
      <c r="AZ423" s="50" t="str">
        <f t="shared" si="4249"/>
        <v>n.a.</v>
      </c>
      <c r="BA423" s="50" t="str">
        <f t="shared" si="4249"/>
        <v>n.a.</v>
      </c>
      <c r="BB423" s="50" t="str">
        <f t="shared" si="4249"/>
        <v>n.a.</v>
      </c>
      <c r="BC423" s="50" t="str">
        <f t="shared" ref="BC423" si="4250">IF(ISERROR(BC413/BB413),"n.a.",BC413/BB413-1)</f>
        <v>n.a.</v>
      </c>
      <c r="BD423" s="50">
        <f t="shared" ref="BD423" si="4251">IF(ISERROR(BD413/BC413),"n.a.",BD413/BC413-1)</f>
        <v>0.2456140350877194</v>
      </c>
      <c r="BE423" s="50">
        <f t="shared" ref="BE423" si="4252">IF(ISERROR(BE413/BD413),"n.a.",BE413/BD413-1)</f>
        <v>-0.15962441314553988</v>
      </c>
      <c r="BF423" s="50">
        <f t="shared" ref="BF423" si="4253">IF(ISERROR(BF413/BE413),"n.a.",BF413/BE413-1)</f>
        <v>0.52513966480446927</v>
      </c>
      <c r="BG423" s="50">
        <f t="shared" ref="BG423" si="4254">IF(ISERROR(BG413/BF413),"n.a.",BG413/BF413-1)</f>
        <v>0.24908424908424909</v>
      </c>
      <c r="BH423" s="50">
        <f t="shared" ref="BH423:BN423" si="4255">IF(ISERROR(BH413/BG413),"n.a.",BH413/BG413-1)</f>
        <v>0.14369501466275669</v>
      </c>
      <c r="BI423" s="51">
        <f t="shared" si="4255"/>
        <v>0.10256410256410264</v>
      </c>
      <c r="BJ423" s="50">
        <f t="shared" si="4255"/>
        <v>3.497674418604646E-2</v>
      </c>
      <c r="BK423" s="50">
        <f t="shared" si="4255"/>
        <v>7.6098265324465286E-2</v>
      </c>
      <c r="BL423" s="50">
        <f t="shared" si="4255"/>
        <v>7.2628003535936791E-2</v>
      </c>
      <c r="BM423" s="50">
        <f t="shared" si="4255"/>
        <v>5.0080723838925367E-2</v>
      </c>
      <c r="BN423" s="50">
        <f t="shared" si="4255"/>
        <v>3.2249688111420927E-2</v>
      </c>
    </row>
    <row r="424" spans="2:66" ht="12" hidden="1" customHeight="1" outlineLevel="1">
      <c r="B424" s="1" t="s">
        <v>59</v>
      </c>
      <c r="C424" s="37" t="str">
        <f t="shared" ref="C424:M424" si="4256">IF(ISERROR(C380-B380),"n.a.",C380-B380)</f>
        <v>n.a.</v>
      </c>
      <c r="D424" s="37" t="str">
        <f t="shared" si="4256"/>
        <v>n.a.</v>
      </c>
      <c r="E424" s="37" t="str">
        <f t="shared" si="4256"/>
        <v>n.a.</v>
      </c>
      <c r="F424" s="37" t="str">
        <f t="shared" si="4256"/>
        <v>n.a.</v>
      </c>
      <c r="G424" s="37" t="str">
        <f t="shared" si="4256"/>
        <v>n.a.</v>
      </c>
      <c r="H424" s="37" t="str">
        <f t="shared" si="4256"/>
        <v>n.a.</v>
      </c>
      <c r="I424" s="37" t="str">
        <f t="shared" si="4256"/>
        <v>n.a.</v>
      </c>
      <c r="J424" s="37" t="str">
        <f t="shared" si="4256"/>
        <v>n.a.</v>
      </c>
      <c r="K424" s="37" t="str">
        <f t="shared" si="4256"/>
        <v>n.a.</v>
      </c>
      <c r="L424" s="37" t="str">
        <f t="shared" si="4256"/>
        <v>n.a.</v>
      </c>
      <c r="M424" s="78" t="str">
        <f t="shared" si="4256"/>
        <v>n.a.</v>
      </c>
      <c r="N424" s="78" t="str">
        <f t="shared" ref="N424" si="4257">IF(ISERROR(N380-M380),"n.a.",N380-M380)</f>
        <v>n.a.</v>
      </c>
      <c r="O424" s="78" t="str">
        <f t="shared" ref="O424:AH424" si="4258">IF(ISERROR(O380-N380),"n.a.",O380-N380)</f>
        <v>n.a.</v>
      </c>
      <c r="P424" s="78" t="str">
        <f t="shared" si="4258"/>
        <v>n.a.</v>
      </c>
      <c r="Q424" s="78" t="str">
        <f t="shared" si="4258"/>
        <v>n.a.</v>
      </c>
      <c r="R424" s="78" t="str">
        <f t="shared" si="4258"/>
        <v>n.a.</v>
      </c>
      <c r="S424" s="78" t="str">
        <f t="shared" si="4258"/>
        <v>n.a.</v>
      </c>
      <c r="T424" s="78" t="str">
        <f t="shared" si="4258"/>
        <v>n.a.</v>
      </c>
      <c r="U424" s="78" t="str">
        <f t="shared" si="4258"/>
        <v>n.a.</v>
      </c>
      <c r="V424" s="78">
        <f t="shared" si="4258"/>
        <v>0</v>
      </c>
      <c r="W424" s="78">
        <f t="shared" si="4258"/>
        <v>0</v>
      </c>
      <c r="X424" s="78">
        <f t="shared" si="4258"/>
        <v>0</v>
      </c>
      <c r="Y424" s="78">
        <f t="shared" si="4258"/>
        <v>0</v>
      </c>
      <c r="Z424" s="78">
        <f t="shared" si="4258"/>
        <v>0</v>
      </c>
      <c r="AA424" s="78">
        <f t="shared" si="4258"/>
        <v>0</v>
      </c>
      <c r="AB424" s="78">
        <f t="shared" si="4258"/>
        <v>0</v>
      </c>
      <c r="AC424" s="78">
        <f t="shared" si="4258"/>
        <v>0</v>
      </c>
      <c r="AD424" s="78">
        <f t="shared" si="4258"/>
        <v>0</v>
      </c>
      <c r="AE424" s="78">
        <f t="shared" si="4258"/>
        <v>0</v>
      </c>
      <c r="AF424" s="78">
        <f t="shared" si="4258"/>
        <v>0</v>
      </c>
      <c r="AG424" s="78">
        <f t="shared" si="4258"/>
        <v>0</v>
      </c>
      <c r="AH424" s="78">
        <f t="shared" si="4258"/>
        <v>0</v>
      </c>
      <c r="AI424" s="88">
        <f t="shared" ref="AI424" si="4259">IF(ISERROR(AI380-AH380),"n.a.",AI380-AH380)</f>
        <v>0</v>
      </c>
      <c r="AJ424" s="77">
        <f t="shared" ref="AJ424" si="4260">IF(ISERROR(AJ380-AI380),"n.a.",AJ380-AI380)</f>
        <v>0</v>
      </c>
      <c r="AK424" s="77">
        <f t="shared" ref="AK424" si="4261">IF(ISERROR(AK380-AJ380),"n.a.",AK380-AJ380)</f>
        <v>0</v>
      </c>
      <c r="AL424" s="77">
        <f t="shared" ref="AL424" si="4262">IF(ISERROR(AL380-AK380),"n.a.",AL380-AK380)</f>
        <v>0</v>
      </c>
      <c r="AM424" s="77">
        <f t="shared" ref="AM424" si="4263">IF(ISERROR(AM380-AL380),"n.a.",AM380-AL380)</f>
        <v>0</v>
      </c>
      <c r="AN424" s="77">
        <f t="shared" ref="AN424" si="4264">IF(ISERROR(AN380-AM380),"n.a.",AN380-AM380)</f>
        <v>0</v>
      </c>
      <c r="AO424" s="77">
        <f t="shared" ref="AO424" si="4265">IF(ISERROR(AO380-AN380),"n.a.",AO380-AN380)</f>
        <v>0</v>
      </c>
      <c r="AP424" s="77">
        <f t="shared" ref="AP424" si="4266">IF(ISERROR(AP380-AO380),"n.a.",AP380-AO380)</f>
        <v>0</v>
      </c>
      <c r="AQ424" s="77">
        <f t="shared" ref="AQ424" si="4267">IF(ISERROR(AQ380-AP380),"n.a.",AQ380-AP380)</f>
        <v>0</v>
      </c>
      <c r="AR424" s="77">
        <f t="shared" ref="AR424" si="4268">IF(ISERROR(AR380-AQ380),"n.a.",AR380-AQ380)</f>
        <v>0</v>
      </c>
      <c r="AS424" s="8"/>
      <c r="AT424" s="37" t="str">
        <f>IF(ISERROR(AT380-T380),"n.a.",AT380-T380)</f>
        <v>n.a.</v>
      </c>
      <c r="AU424" s="37" t="str">
        <f>IF(ISERROR(AU380-AT380),"n.a.",AU380-AT380)</f>
        <v>n.a.</v>
      </c>
      <c r="AV424" s="37" t="str">
        <f>IF(ISERROR(AV380-AU380),"n.a.",AV380-AU380)</f>
        <v>n.a.</v>
      </c>
      <c r="AW424" s="37" t="str">
        <f>IF(ISERROR(AW380-AV380),"n.a.",AW380-AV380)</f>
        <v>n.a.</v>
      </c>
      <c r="AX424" s="37" t="str">
        <f t="shared" ref="AX424:BB424" si="4269">IF(ISERROR(AX380-AW380),"n.a.",AX380-AW380)</f>
        <v>n.a.</v>
      </c>
      <c r="AY424" s="37" t="str">
        <f t="shared" si="4269"/>
        <v>n.a.</v>
      </c>
      <c r="AZ424" s="37" t="str">
        <f t="shared" si="4269"/>
        <v>n.a.</v>
      </c>
      <c r="BA424" s="37" t="str">
        <f t="shared" si="4269"/>
        <v>n.a.</v>
      </c>
      <c r="BB424" s="37" t="str">
        <f t="shared" si="4269"/>
        <v>n.a.</v>
      </c>
      <c r="BC424" s="37" t="str">
        <f t="shared" ref="BC424" si="4270">IF(ISERROR(BC380-BB380),"n.a.",BC380-BB380)</f>
        <v>n.a.</v>
      </c>
      <c r="BD424" s="37">
        <f t="shared" ref="BD424" si="4271">IF(ISERROR(BD380-BC380),"n.a.",BD380-BC380)</f>
        <v>0</v>
      </c>
      <c r="BE424" s="37">
        <f t="shared" ref="BE424" si="4272">IF(ISERROR(BE380-BD380),"n.a.",BE380-BD380)</f>
        <v>0</v>
      </c>
      <c r="BF424" s="37">
        <f t="shared" ref="BF424" si="4273">IF(ISERROR(BF380-BE380),"n.a.",BF380-BE380)</f>
        <v>0</v>
      </c>
      <c r="BG424" s="37">
        <f t="shared" ref="BG424" si="4274">IF(ISERROR(BG380-BF380),"n.a.",BG380-BF380)</f>
        <v>0</v>
      </c>
      <c r="BH424" s="37">
        <f t="shared" ref="BH424:BN424" si="4275">IF(ISERROR(BH380-BG380),"n.a.",BH380-BG380)</f>
        <v>0</v>
      </c>
      <c r="BI424" s="38">
        <f t="shared" si="4275"/>
        <v>0</v>
      </c>
      <c r="BJ424" s="37">
        <f t="shared" si="4275"/>
        <v>0</v>
      </c>
      <c r="BK424" s="37">
        <f t="shared" si="4275"/>
        <v>0</v>
      </c>
      <c r="BL424" s="37">
        <f t="shared" si="4275"/>
        <v>0</v>
      </c>
      <c r="BM424" s="37">
        <f t="shared" si="4275"/>
        <v>0</v>
      </c>
      <c r="BN424" s="37">
        <f t="shared" si="4275"/>
        <v>0</v>
      </c>
    </row>
    <row r="425" spans="2:66" ht="12" hidden="1" customHeight="1" outlineLevel="1">
      <c r="B425" s="1" t="s">
        <v>60</v>
      </c>
      <c r="C425" s="50" t="str">
        <f t="shared" ref="C425:M425" si="4276">IF(ISERROR(C416/B416),"n.a.",C416/B416-1)</f>
        <v>n.a.</v>
      </c>
      <c r="D425" s="50" t="str">
        <f t="shared" si="4276"/>
        <v>n.a.</v>
      </c>
      <c r="E425" s="50" t="str">
        <f t="shared" si="4276"/>
        <v>n.a.</v>
      </c>
      <c r="F425" s="50" t="str">
        <f t="shared" si="4276"/>
        <v>n.a.</v>
      </c>
      <c r="G425" s="50" t="str">
        <f t="shared" si="4276"/>
        <v>n.a.</v>
      </c>
      <c r="H425" s="50" t="str">
        <f t="shared" si="4276"/>
        <v>n.a.</v>
      </c>
      <c r="I425" s="50" t="str">
        <f t="shared" si="4276"/>
        <v>n.a.</v>
      </c>
      <c r="J425" s="50" t="str">
        <f t="shared" si="4276"/>
        <v>n.a.</v>
      </c>
      <c r="K425" s="50" t="str">
        <f t="shared" si="4276"/>
        <v>n.a.</v>
      </c>
      <c r="L425" s="50" t="str">
        <f t="shared" si="4276"/>
        <v>n.a.</v>
      </c>
      <c r="M425" s="69" t="str">
        <f t="shared" si="4276"/>
        <v>n.a.</v>
      </c>
      <c r="N425" s="69" t="str">
        <f t="shared" ref="N425" si="4277">IF(ISERROR(N416/M416),"n.a.",N416/M416-1)</f>
        <v>n.a.</v>
      </c>
      <c r="O425" s="69" t="str">
        <f t="shared" ref="O425:AH425" si="4278">IF(ISERROR(O416/N416),"n.a.",O416/N416-1)</f>
        <v>n.a.</v>
      </c>
      <c r="P425" s="69" t="str">
        <f t="shared" si="4278"/>
        <v>n.a.</v>
      </c>
      <c r="Q425" s="69" t="str">
        <f t="shared" si="4278"/>
        <v>n.a.</v>
      </c>
      <c r="R425" s="69" t="str">
        <f t="shared" si="4278"/>
        <v>n.a.</v>
      </c>
      <c r="S425" s="69" t="str">
        <f t="shared" si="4278"/>
        <v>n.a.</v>
      </c>
      <c r="T425" s="69" t="str">
        <f t="shared" si="4278"/>
        <v>n.a.</v>
      </c>
      <c r="U425" s="69" t="str">
        <f t="shared" si="4278"/>
        <v>n.a.</v>
      </c>
      <c r="V425" s="69" t="str">
        <f t="shared" si="4278"/>
        <v>n.a.</v>
      </c>
      <c r="W425" s="69" t="str">
        <f t="shared" si="4278"/>
        <v>n.a.</v>
      </c>
      <c r="X425" s="69" t="str">
        <f t="shared" si="4278"/>
        <v>n.a.</v>
      </c>
      <c r="Y425" s="69" t="str">
        <f t="shared" si="4278"/>
        <v>n.a.</v>
      </c>
      <c r="Z425" s="69" t="str">
        <f t="shared" si="4278"/>
        <v>n.a.</v>
      </c>
      <c r="AA425" s="69" t="str">
        <f t="shared" si="4278"/>
        <v>n.a.</v>
      </c>
      <c r="AB425" s="69" t="str">
        <f t="shared" si="4278"/>
        <v>n.a.</v>
      </c>
      <c r="AC425" s="69" t="str">
        <f t="shared" si="4278"/>
        <v>n.a.</v>
      </c>
      <c r="AD425" s="69" t="str">
        <f t="shared" si="4278"/>
        <v>n.a.</v>
      </c>
      <c r="AE425" s="69" t="str">
        <f t="shared" si="4278"/>
        <v>n.a.</v>
      </c>
      <c r="AF425" s="69" t="str">
        <f t="shared" si="4278"/>
        <v>n.a.</v>
      </c>
      <c r="AG425" s="69" t="str">
        <f t="shared" si="4278"/>
        <v>n.a.</v>
      </c>
      <c r="AH425" s="69" t="str">
        <f t="shared" si="4278"/>
        <v>n.a.</v>
      </c>
      <c r="AI425" s="89" t="str">
        <f t="shared" ref="AI425" si="4279">IF(ISERROR(AI416/AH416),"n.a.",AI416/AH416-1)</f>
        <v>n.a.</v>
      </c>
      <c r="AJ425" s="67" t="str">
        <f t="shared" ref="AJ425" si="4280">IF(ISERROR(AJ416/AI416),"n.a.",AJ416/AI416-1)</f>
        <v>n.a.</v>
      </c>
      <c r="AK425" s="67" t="str">
        <f t="shared" ref="AK425" si="4281">IF(ISERROR(AK416/AJ416),"n.a.",AK416/AJ416-1)</f>
        <v>n.a.</v>
      </c>
      <c r="AL425" s="67" t="str">
        <f t="shared" ref="AL425" si="4282">IF(ISERROR(AL416/AK416),"n.a.",AL416/AK416-1)</f>
        <v>n.a.</v>
      </c>
      <c r="AM425" s="67" t="str">
        <f t="shared" ref="AM425" si="4283">IF(ISERROR(AM416/AL416),"n.a.",AM416/AL416-1)</f>
        <v>n.a.</v>
      </c>
      <c r="AN425" s="67" t="str">
        <f t="shared" ref="AN425" si="4284">IF(ISERROR(AN416/AM416),"n.a.",AN416/AM416-1)</f>
        <v>n.a.</v>
      </c>
      <c r="AO425" s="67" t="str">
        <f t="shared" ref="AO425" si="4285">IF(ISERROR(AO416/AN416),"n.a.",AO416/AN416-1)</f>
        <v>n.a.</v>
      </c>
      <c r="AP425" s="67" t="str">
        <f t="shared" ref="AP425" si="4286">IF(ISERROR(AP416/AO416),"n.a.",AP416/AO416-1)</f>
        <v>n.a.</v>
      </c>
      <c r="AQ425" s="67" t="str">
        <f t="shared" ref="AQ425" si="4287">IF(ISERROR(AQ416/AP416),"n.a.",AQ416/AP416-1)</f>
        <v>n.a.</v>
      </c>
      <c r="AR425" s="67" t="str">
        <f t="shared" ref="AR425" si="4288">IF(ISERROR(AR416/AQ416),"n.a.",AR416/AQ416-1)</f>
        <v>n.a.</v>
      </c>
      <c r="AS425" s="8"/>
      <c r="AT425" s="50" t="str">
        <f>IF(ISERROR(AT416/T416),"n.a.",AT416/T416-1)</f>
        <v>n.a.</v>
      </c>
      <c r="AU425" s="50" t="str">
        <f>IF(ISERROR(AU416/AT416),"n.a.",AU416/AT416-1)</f>
        <v>n.a.</v>
      </c>
      <c r="AV425" s="50" t="str">
        <f>IF(ISERROR(AV416/AU416),"n.a.",AV416/AU416-1)</f>
        <v>n.a.</v>
      </c>
      <c r="AW425" s="50" t="str">
        <f>IF(ISERROR(AW416/AV416),"n.a.",AW416/AV416-1)</f>
        <v>n.a.</v>
      </c>
      <c r="AX425" s="50" t="str">
        <f t="shared" ref="AX425:BB425" si="4289">IF(ISERROR(AX416/AW416),"n.a.",AX416/AW416-1)</f>
        <v>n.a.</v>
      </c>
      <c r="AY425" s="50" t="str">
        <f t="shared" si="4289"/>
        <v>n.a.</v>
      </c>
      <c r="AZ425" s="50" t="str">
        <f t="shared" si="4289"/>
        <v>n.a.</v>
      </c>
      <c r="BA425" s="50" t="str">
        <f t="shared" si="4289"/>
        <v>n.a.</v>
      </c>
      <c r="BB425" s="50" t="str">
        <f t="shared" si="4289"/>
        <v>n.a.</v>
      </c>
      <c r="BC425" s="50" t="str">
        <f t="shared" ref="BC425" si="4290">IF(ISERROR(BC416/BB416),"n.a.",BC416/BB416-1)</f>
        <v>n.a.</v>
      </c>
      <c r="BD425" s="50" t="str">
        <f t="shared" ref="BD425" si="4291">IF(ISERROR(BD416/BC416),"n.a.",BD416/BC416-1)</f>
        <v>n.a.</v>
      </c>
      <c r="BE425" s="50" t="str">
        <f t="shared" ref="BE425" si="4292">IF(ISERROR(BE416/BD416),"n.a.",BE416/BD416-1)</f>
        <v>n.a.</v>
      </c>
      <c r="BF425" s="50" t="str">
        <f t="shared" ref="BF425" si="4293">IF(ISERROR(BF416/BE416),"n.a.",BF416/BE416-1)</f>
        <v>n.a.</v>
      </c>
      <c r="BG425" s="50" t="str">
        <f t="shared" ref="BG425" si="4294">IF(ISERROR(BG416/BF416),"n.a.",BG416/BF416-1)</f>
        <v>n.a.</v>
      </c>
      <c r="BH425" s="50" t="str">
        <f t="shared" ref="BH425:BN425" si="4295">IF(ISERROR(BH416/BG416),"n.a.",BH416/BG416-1)</f>
        <v>n.a.</v>
      </c>
      <c r="BI425" s="51" t="str">
        <f t="shared" si="4295"/>
        <v>n.a.</v>
      </c>
      <c r="BJ425" s="50" t="str">
        <f t="shared" si="4295"/>
        <v>n.a.</v>
      </c>
      <c r="BK425" s="50" t="str">
        <f t="shared" si="4295"/>
        <v>n.a.</v>
      </c>
      <c r="BL425" s="50" t="str">
        <f t="shared" si="4295"/>
        <v>n.a.</v>
      </c>
      <c r="BM425" s="50" t="str">
        <f t="shared" si="4295"/>
        <v>n.a.</v>
      </c>
      <c r="BN425" s="50" t="str">
        <f t="shared" si="4295"/>
        <v>n.a.</v>
      </c>
    </row>
    <row r="426" spans="2:66" ht="12" hidden="1" customHeight="1" outlineLevel="1">
      <c r="B426" s="1" t="s">
        <v>61</v>
      </c>
      <c r="C426" s="50" t="str">
        <f t="shared" ref="C426:M426" si="4296">IF(ISERROR(C419/B419),"n.a.",C419/B419-1)</f>
        <v>n.a.</v>
      </c>
      <c r="D426" s="50" t="str">
        <f t="shared" si="4296"/>
        <v>n.a.</v>
      </c>
      <c r="E426" s="50" t="str">
        <f t="shared" si="4296"/>
        <v>n.a.</v>
      </c>
      <c r="F426" s="50" t="str">
        <f t="shared" si="4296"/>
        <v>n.a.</v>
      </c>
      <c r="G426" s="50" t="str">
        <f t="shared" si="4296"/>
        <v>n.a.</v>
      </c>
      <c r="H426" s="50" t="str">
        <f t="shared" si="4296"/>
        <v>n.a.</v>
      </c>
      <c r="I426" s="50" t="str">
        <f t="shared" si="4296"/>
        <v>n.a.</v>
      </c>
      <c r="J426" s="50" t="str">
        <f t="shared" si="4296"/>
        <v>n.a.</v>
      </c>
      <c r="K426" s="50" t="str">
        <f t="shared" si="4296"/>
        <v>n.a.</v>
      </c>
      <c r="L426" s="50" t="str">
        <f t="shared" si="4296"/>
        <v>n.a.</v>
      </c>
      <c r="M426" s="69" t="str">
        <f t="shared" si="4296"/>
        <v>n.a.</v>
      </c>
      <c r="N426" s="69" t="str">
        <f t="shared" ref="N426" si="4297">IF(ISERROR(N419/M419),"n.a.",N419/M419-1)</f>
        <v>n.a.</v>
      </c>
      <c r="O426" s="69" t="str">
        <f t="shared" ref="O426:AH426" si="4298">IF(ISERROR(O419/N419),"n.a.",O419/N419-1)</f>
        <v>n.a.</v>
      </c>
      <c r="P426" s="69" t="str">
        <f t="shared" si="4298"/>
        <v>n.a.</v>
      </c>
      <c r="Q426" s="69" t="str">
        <f t="shared" si="4298"/>
        <v>n.a.</v>
      </c>
      <c r="R426" s="69" t="str">
        <f t="shared" si="4298"/>
        <v>n.a.</v>
      </c>
      <c r="S426" s="69" t="str">
        <f t="shared" si="4298"/>
        <v>n.a.</v>
      </c>
      <c r="T426" s="69" t="str">
        <f t="shared" si="4298"/>
        <v>n.a.</v>
      </c>
      <c r="U426" s="69" t="str">
        <f t="shared" si="4298"/>
        <v>n.a.</v>
      </c>
      <c r="V426" s="69" t="str">
        <f t="shared" si="4298"/>
        <v>n.a.</v>
      </c>
      <c r="W426" s="69" t="str">
        <f t="shared" si="4298"/>
        <v>n.a.</v>
      </c>
      <c r="X426" s="69" t="str">
        <f t="shared" si="4298"/>
        <v>n.a.</v>
      </c>
      <c r="Y426" s="69" t="str">
        <f t="shared" si="4298"/>
        <v>n.a.</v>
      </c>
      <c r="Z426" s="69" t="str">
        <f t="shared" si="4298"/>
        <v>n.a.</v>
      </c>
      <c r="AA426" s="69" t="str">
        <f t="shared" si="4298"/>
        <v>n.a.</v>
      </c>
      <c r="AB426" s="69" t="str">
        <f t="shared" si="4298"/>
        <v>n.a.</v>
      </c>
      <c r="AC426" s="69" t="str">
        <f t="shared" si="4298"/>
        <v>n.a.</v>
      </c>
      <c r="AD426" s="69" t="str">
        <f t="shared" si="4298"/>
        <v>n.a.</v>
      </c>
      <c r="AE426" s="69" t="str">
        <f t="shared" si="4298"/>
        <v>n.a.</v>
      </c>
      <c r="AF426" s="69" t="str">
        <f t="shared" si="4298"/>
        <v>n.a.</v>
      </c>
      <c r="AG426" s="69" t="str">
        <f t="shared" si="4298"/>
        <v>n.a.</v>
      </c>
      <c r="AH426" s="69" t="str">
        <f t="shared" si="4298"/>
        <v>n.a.</v>
      </c>
      <c r="AI426" s="89" t="str">
        <f t="shared" ref="AI426" si="4299">IF(ISERROR(AI419/AH419),"n.a.",AI419/AH419-1)</f>
        <v>n.a.</v>
      </c>
      <c r="AJ426" s="67" t="str">
        <f t="shared" ref="AJ426" si="4300">IF(ISERROR(AJ419/AI419),"n.a.",AJ419/AI419-1)</f>
        <v>n.a.</v>
      </c>
      <c r="AK426" s="67" t="str">
        <f t="shared" ref="AK426" si="4301">IF(ISERROR(AK419/AJ419),"n.a.",AK419/AJ419-1)</f>
        <v>n.a.</v>
      </c>
      <c r="AL426" s="67" t="str">
        <f t="shared" ref="AL426" si="4302">IF(ISERROR(AL419/AK419),"n.a.",AL419/AK419-1)</f>
        <v>n.a.</v>
      </c>
      <c r="AM426" s="67" t="str">
        <f t="shared" ref="AM426" si="4303">IF(ISERROR(AM419/AL419),"n.a.",AM419/AL419-1)</f>
        <v>n.a.</v>
      </c>
      <c r="AN426" s="67" t="str">
        <f t="shared" ref="AN426" si="4304">IF(ISERROR(AN419/AM419),"n.a.",AN419/AM419-1)</f>
        <v>n.a.</v>
      </c>
      <c r="AO426" s="67" t="str">
        <f t="shared" ref="AO426" si="4305">IF(ISERROR(AO419/AN419),"n.a.",AO419/AN419-1)</f>
        <v>n.a.</v>
      </c>
      <c r="AP426" s="67" t="str">
        <f t="shared" ref="AP426" si="4306">IF(ISERROR(AP419/AO419),"n.a.",AP419/AO419-1)</f>
        <v>n.a.</v>
      </c>
      <c r="AQ426" s="67" t="str">
        <f t="shared" ref="AQ426" si="4307">IF(ISERROR(AQ419/AP419),"n.a.",AQ419/AP419-1)</f>
        <v>n.a.</v>
      </c>
      <c r="AR426" s="67" t="str">
        <f t="shared" ref="AR426" si="4308">IF(ISERROR(AR419/AQ419),"n.a.",AR419/AQ419-1)</f>
        <v>n.a.</v>
      </c>
      <c r="AS426" s="8"/>
      <c r="AT426" s="50" t="str">
        <f>IF(ISERROR(AT419/T419),"n.a.",AT419/T419-1)</f>
        <v>n.a.</v>
      </c>
      <c r="AU426" s="50" t="str">
        <f>IF(ISERROR(AU419/AT419),"n.a.",AU419/AT419-1)</f>
        <v>n.a.</v>
      </c>
      <c r="AV426" s="50" t="str">
        <f>IF(ISERROR(AV419/AU419),"n.a.",AV419/AU419-1)</f>
        <v>n.a.</v>
      </c>
      <c r="AW426" s="50" t="str">
        <f>IF(ISERROR(AW419/AV419),"n.a.",AW419/AV419-1)</f>
        <v>n.a.</v>
      </c>
      <c r="AX426" s="50" t="str">
        <f t="shared" ref="AX426:BB426" si="4309">IF(ISERROR(AX419/AW419),"n.a.",AX419/AW419-1)</f>
        <v>n.a.</v>
      </c>
      <c r="AY426" s="50" t="str">
        <f t="shared" si="4309"/>
        <v>n.a.</v>
      </c>
      <c r="AZ426" s="50" t="str">
        <f t="shared" si="4309"/>
        <v>n.a.</v>
      </c>
      <c r="BA426" s="50" t="str">
        <f t="shared" si="4309"/>
        <v>n.a.</v>
      </c>
      <c r="BB426" s="50" t="str">
        <f t="shared" si="4309"/>
        <v>n.a.</v>
      </c>
      <c r="BC426" s="50" t="str">
        <f t="shared" ref="BC426" si="4310">IF(ISERROR(BC419/BB419),"n.a.",BC419/BB419-1)</f>
        <v>n.a.</v>
      </c>
      <c r="BD426" s="50" t="str">
        <f t="shared" ref="BD426" si="4311">IF(ISERROR(BD419/BC419),"n.a.",BD419/BC419-1)</f>
        <v>n.a.</v>
      </c>
      <c r="BE426" s="50" t="str">
        <f t="shared" ref="BE426" si="4312">IF(ISERROR(BE419/BD419),"n.a.",BE419/BD419-1)</f>
        <v>n.a.</v>
      </c>
      <c r="BF426" s="50" t="str">
        <f t="shared" ref="BF426" si="4313">IF(ISERROR(BF419/BE419),"n.a.",BF419/BE419-1)</f>
        <v>n.a.</v>
      </c>
      <c r="BG426" s="50" t="str">
        <f t="shared" ref="BG426" si="4314">IF(ISERROR(BG419/BF419),"n.a.",BG419/BF419-1)</f>
        <v>n.a.</v>
      </c>
      <c r="BH426" s="50" t="str">
        <f t="shared" ref="BH426:BN426" si="4315">IF(ISERROR(BH419/BG419),"n.a.",BH419/BG419-1)</f>
        <v>n.a.</v>
      </c>
      <c r="BI426" s="51" t="str">
        <f t="shared" si="4315"/>
        <v>n.a.</v>
      </c>
      <c r="BJ426" s="50" t="str">
        <f t="shared" si="4315"/>
        <v>n.a.</v>
      </c>
      <c r="BK426" s="50" t="str">
        <f t="shared" si="4315"/>
        <v>n.a.</v>
      </c>
      <c r="BL426" s="50" t="str">
        <f t="shared" si="4315"/>
        <v>n.a.</v>
      </c>
      <c r="BM426" s="50" t="str">
        <f t="shared" si="4315"/>
        <v>n.a.</v>
      </c>
      <c r="BN426" s="50" t="str">
        <f t="shared" si="4315"/>
        <v>n.a.</v>
      </c>
    </row>
    <row r="427" spans="2:66" ht="12" hidden="1" customHeight="1" outlineLevel="1">
      <c r="B427" s="1" t="s">
        <v>75</v>
      </c>
      <c r="C427" s="37" t="str">
        <f t="shared" ref="C427:M427" si="4316">IF(ISERROR(C382/AVERAGE(B416:C416)),"n.a.",C382*C$5/AVERAGE(B416:C416))</f>
        <v>n.a.</v>
      </c>
      <c r="D427" s="37" t="str">
        <f t="shared" si="4316"/>
        <v>n.a.</v>
      </c>
      <c r="E427" s="37" t="str">
        <f t="shared" si="4316"/>
        <v>n.a.</v>
      </c>
      <c r="F427" s="37" t="str">
        <f t="shared" si="4316"/>
        <v>n.a.</v>
      </c>
      <c r="G427" s="37" t="str">
        <f t="shared" si="4316"/>
        <v>n.a.</v>
      </c>
      <c r="H427" s="37" t="str">
        <f t="shared" si="4316"/>
        <v>n.a.</v>
      </c>
      <c r="I427" s="37" t="str">
        <f t="shared" si="4316"/>
        <v>n.a.</v>
      </c>
      <c r="J427" s="37" t="str">
        <f t="shared" si="4316"/>
        <v>n.a.</v>
      </c>
      <c r="K427" s="37" t="str">
        <f t="shared" si="4316"/>
        <v>n.a.</v>
      </c>
      <c r="L427" s="37" t="str">
        <f t="shared" si="4316"/>
        <v>n.a.</v>
      </c>
      <c r="M427" s="78" t="str">
        <f t="shared" si="4316"/>
        <v>n.a.</v>
      </c>
      <c r="N427" s="78" t="str">
        <f t="shared" ref="N427" si="4317">IF(ISERROR(N382/AVERAGE(M416:N416)),"n.a.",N382*N$5/AVERAGE(M416:N416))</f>
        <v>n.a.</v>
      </c>
      <c r="O427" s="78" t="str">
        <f t="shared" ref="O427:AH427" si="4318">IF(ISERROR(O382/AVERAGE(N416:O416)),"n.a.",O382*O$5/AVERAGE(N416:O416))</f>
        <v>n.a.</v>
      </c>
      <c r="P427" s="78" t="str">
        <f t="shared" si="4318"/>
        <v>n.a.</v>
      </c>
      <c r="Q427" s="78" t="str">
        <f t="shared" si="4318"/>
        <v>n.a.</v>
      </c>
      <c r="R427" s="78" t="str">
        <f t="shared" si="4318"/>
        <v>n.a.</v>
      </c>
      <c r="S427" s="78" t="str">
        <f t="shared" si="4318"/>
        <v>n.a.</v>
      </c>
      <c r="T427" s="78" t="str">
        <f t="shared" si="4318"/>
        <v>n.a.</v>
      </c>
      <c r="U427" s="78" t="str">
        <f t="shared" si="4318"/>
        <v>n.a.</v>
      </c>
      <c r="V427" s="78" t="str">
        <f t="shared" si="4318"/>
        <v>n.a.</v>
      </c>
      <c r="W427" s="78" t="str">
        <f t="shared" si="4318"/>
        <v>n.a.</v>
      </c>
      <c r="X427" s="78" t="str">
        <f t="shared" si="4318"/>
        <v>n.a.</v>
      </c>
      <c r="Y427" s="78" t="str">
        <f t="shared" si="4318"/>
        <v>n.a.</v>
      </c>
      <c r="Z427" s="78" t="str">
        <f t="shared" si="4318"/>
        <v>n.a.</v>
      </c>
      <c r="AA427" s="78" t="str">
        <f t="shared" si="4318"/>
        <v>n.a.</v>
      </c>
      <c r="AB427" s="78" t="str">
        <f t="shared" si="4318"/>
        <v>n.a.</v>
      </c>
      <c r="AC427" s="78" t="str">
        <f t="shared" si="4318"/>
        <v>n.a.</v>
      </c>
      <c r="AD427" s="78" t="str">
        <f t="shared" si="4318"/>
        <v>n.a.</v>
      </c>
      <c r="AE427" s="78" t="str">
        <f t="shared" si="4318"/>
        <v>n.a.</v>
      </c>
      <c r="AF427" s="78" t="str">
        <f t="shared" si="4318"/>
        <v>n.a.</v>
      </c>
      <c r="AG427" s="78" t="str">
        <f t="shared" si="4318"/>
        <v>n.a.</v>
      </c>
      <c r="AH427" s="78" t="str">
        <f t="shared" si="4318"/>
        <v>n.a.</v>
      </c>
      <c r="AI427" s="88" t="str">
        <f t="shared" ref="AI427" si="4319">IF(ISERROR(AI382/AVERAGE(AH416:AI416)),"n.a.",AI382*AI$5/AVERAGE(AH416:AI416))</f>
        <v>n.a.</v>
      </c>
      <c r="AJ427" s="77" t="str">
        <f t="shared" ref="AJ427" si="4320">IF(ISERROR(AJ382/AVERAGE(AI416:AJ416)),"n.a.",AJ382*AJ$5/AVERAGE(AI416:AJ416))</f>
        <v>n.a.</v>
      </c>
      <c r="AK427" s="77" t="str">
        <f t="shared" ref="AK427" si="4321">IF(ISERROR(AK382/AVERAGE(AJ416:AK416)),"n.a.",AK382*AK$5/AVERAGE(AJ416:AK416))</f>
        <v>n.a.</v>
      </c>
      <c r="AL427" s="77" t="str">
        <f t="shared" ref="AL427" si="4322">IF(ISERROR(AL382/AVERAGE(AK416:AL416)),"n.a.",AL382*AL$5/AVERAGE(AK416:AL416))</f>
        <v>n.a.</v>
      </c>
      <c r="AM427" s="77" t="str">
        <f t="shared" ref="AM427" si="4323">IF(ISERROR(AM382/AVERAGE(AL416:AM416)),"n.a.",AM382*AM$5/AVERAGE(AL416:AM416))</f>
        <v>n.a.</v>
      </c>
      <c r="AN427" s="77" t="str">
        <f t="shared" ref="AN427" si="4324">IF(ISERROR(AN382/AVERAGE(AM416:AN416)),"n.a.",AN382*AN$5/AVERAGE(AM416:AN416))</f>
        <v>n.a.</v>
      </c>
      <c r="AO427" s="77" t="str">
        <f t="shared" ref="AO427" si="4325">IF(ISERROR(AO382/AVERAGE(AN416:AO416)),"n.a.",AO382*AO$5/AVERAGE(AN416:AO416))</f>
        <v>n.a.</v>
      </c>
      <c r="AP427" s="77" t="str">
        <f t="shared" ref="AP427" si="4326">IF(ISERROR(AP382/AVERAGE(AO416:AP416)),"n.a.",AP382*AP$5/AVERAGE(AO416:AP416))</f>
        <v>n.a.</v>
      </c>
      <c r="AQ427" s="77" t="str">
        <f t="shared" ref="AQ427" si="4327">IF(ISERROR(AQ382/AVERAGE(AP416:AQ416)),"n.a.",AQ382*AQ$5/AVERAGE(AP416:AQ416))</f>
        <v>n.a.</v>
      </c>
      <c r="AR427" s="77" t="str">
        <f t="shared" ref="AR427" si="4328">IF(ISERROR(AR382/AVERAGE(AQ416:AR416)),"n.a.",AR382*AR$5/AVERAGE(AQ416:AR416))</f>
        <v>n.a.</v>
      </c>
      <c r="AS427" s="8"/>
      <c r="AT427" s="37" t="str">
        <f>IF(ISERROR(AT382/AVERAGE(T416:AT416)),"n.a.",AT382*AT$5/AVERAGE(T416:AT416))</f>
        <v>n.a.</v>
      </c>
      <c r="AU427" s="37" t="str">
        <f>IF(ISERROR(AU382/AVERAGE(AT416:AU416)),"n.a.",AU382*AU$5/AVERAGE(AT416:AU416))</f>
        <v>n.a.</v>
      </c>
      <c r="AV427" s="37" t="str">
        <f>IF(ISERROR(AV382/AVERAGE(AU416:AV416)),"n.a.",AV382*AV$5/AVERAGE(AU416:AV416))</f>
        <v>n.a.</v>
      </c>
      <c r="AW427" s="37" t="str">
        <f>IF(ISERROR(AW382/AVERAGE(AV416:AW416)),"n.a.",AW382*AW$5/AVERAGE(AV416:AW416))</f>
        <v>n.a.</v>
      </c>
      <c r="AX427" s="37" t="str">
        <f t="shared" ref="AX427:BB427" si="4329">IF(ISERROR(AX382/AVERAGE(AW416:AX416)),"n.a.",AX382*AX$5/AVERAGE(AW416:AX416))</f>
        <v>n.a.</v>
      </c>
      <c r="AY427" s="37" t="str">
        <f t="shared" si="4329"/>
        <v>n.a.</v>
      </c>
      <c r="AZ427" s="37" t="str">
        <f t="shared" si="4329"/>
        <v>n.a.</v>
      </c>
      <c r="BA427" s="37" t="str">
        <f t="shared" si="4329"/>
        <v>n.a.</v>
      </c>
      <c r="BB427" s="37" t="str">
        <f t="shared" si="4329"/>
        <v>n.a.</v>
      </c>
      <c r="BC427" s="37" t="str">
        <f t="shared" ref="BC427" si="4330">IF(ISERROR(BC382/AVERAGE(BB416:BC416)),"n.a.",BC382*BC$5/AVERAGE(BB416:BC416))</f>
        <v>n.a.</v>
      </c>
      <c r="BD427" s="37" t="str">
        <f t="shared" ref="BD427" si="4331">IF(ISERROR(BD382/AVERAGE(BC416:BD416)),"n.a.",BD382*BD$5/AVERAGE(BC416:BD416))</f>
        <v>n.a.</v>
      </c>
      <c r="BE427" s="37" t="str">
        <f t="shared" ref="BE427" si="4332">IF(ISERROR(BE382/AVERAGE(BD416:BE416)),"n.a.",BE382*BE$5/AVERAGE(BD416:BE416))</f>
        <v>n.a.</v>
      </c>
      <c r="BF427" s="37" t="str">
        <f t="shared" ref="BF427" si="4333">IF(ISERROR(BF382/AVERAGE(BE416:BF416)),"n.a.",BF382*BF$5/AVERAGE(BE416:BF416))</f>
        <v>n.a.</v>
      </c>
      <c r="BG427" s="37" t="str">
        <f t="shared" ref="BG427" si="4334">IF(ISERROR(BG382/AVERAGE(BF416:BG416)),"n.a.",BG382*BG$5/AVERAGE(BF416:BG416))</f>
        <v>n.a.</v>
      </c>
      <c r="BH427" s="37" t="str">
        <f t="shared" ref="BH427:BJ427" si="4335">IF(ISERROR(BH382/AVERAGE(BG416:BH416)),"n.a.",BH382*BH$5/AVERAGE(BG416:BH416))</f>
        <v>n.a.</v>
      </c>
      <c r="BI427" s="38" t="str">
        <f t="shared" si="4335"/>
        <v>n.a.</v>
      </c>
      <c r="BJ427" s="37" t="str">
        <f t="shared" si="4335"/>
        <v>n.a.</v>
      </c>
      <c r="BK427" s="37" t="str">
        <f>IF(ISERROR(BK382/AVERAGE(BK416:BK416)),"n.a.",BK382*BK$5/AVERAGE(BK416:BK416))</f>
        <v>n.a.</v>
      </c>
      <c r="BL427" s="37" t="str">
        <f>IF(ISERROR(BL382/AVERAGE(BL416:BL416)),"n.a.",BL382*BL$5/AVERAGE(BL416:BL416))</f>
        <v>n.a.</v>
      </c>
      <c r="BM427" s="37" t="str">
        <f>IF(ISERROR(BM382/AVERAGE(BM416:BM416)),"n.a.",BM382*BM$5/AVERAGE(BM416:BM416))</f>
        <v>n.a.</v>
      </c>
      <c r="BN427" s="37" t="str">
        <f>IF(ISERROR(BN382/AVERAGE(BN416:BN416)),"n.a.",BN382*BN$5/AVERAGE(BN416:BN416))</f>
        <v>n.a.</v>
      </c>
    </row>
    <row r="428" spans="2:66" ht="12" hidden="1" customHeight="1" outlineLevel="1">
      <c r="B428" s="1" t="s">
        <v>76</v>
      </c>
      <c r="C428" s="37" t="str">
        <f t="shared" ref="C428:M428" si="4336">IF(ISERROR(C383/AVERAGE(B419:C419)),"n.a.",C383*C$5/AVERAGE(B419:C419))</f>
        <v>n.a.</v>
      </c>
      <c r="D428" s="37" t="str">
        <f t="shared" si="4336"/>
        <v>n.a.</v>
      </c>
      <c r="E428" s="37" t="str">
        <f t="shared" si="4336"/>
        <v>n.a.</v>
      </c>
      <c r="F428" s="37" t="str">
        <f t="shared" si="4336"/>
        <v>n.a.</v>
      </c>
      <c r="G428" s="37" t="str">
        <f t="shared" si="4336"/>
        <v>n.a.</v>
      </c>
      <c r="H428" s="37" t="str">
        <f t="shared" si="4336"/>
        <v>n.a.</v>
      </c>
      <c r="I428" s="37" t="str">
        <f t="shared" si="4336"/>
        <v>n.a.</v>
      </c>
      <c r="J428" s="37" t="str">
        <f t="shared" si="4336"/>
        <v>n.a.</v>
      </c>
      <c r="K428" s="37" t="str">
        <f t="shared" si="4336"/>
        <v>n.a.</v>
      </c>
      <c r="L428" s="37" t="str">
        <f t="shared" si="4336"/>
        <v>n.a.</v>
      </c>
      <c r="M428" s="78" t="str">
        <f t="shared" si="4336"/>
        <v>n.a.</v>
      </c>
      <c r="N428" s="78" t="str">
        <f t="shared" ref="N428" si="4337">IF(ISERROR(N383/AVERAGE(M419:N419)),"n.a.",N383*N$5/AVERAGE(M419:N419))</f>
        <v>n.a.</v>
      </c>
      <c r="O428" s="78" t="str">
        <f t="shared" ref="O428:AH428" si="4338">IF(ISERROR(O383/AVERAGE(N419:O419)),"n.a.",O383*O$5/AVERAGE(N419:O419))</f>
        <v>n.a.</v>
      </c>
      <c r="P428" s="78" t="str">
        <f t="shared" si="4338"/>
        <v>n.a.</v>
      </c>
      <c r="Q428" s="78" t="str">
        <f t="shared" si="4338"/>
        <v>n.a.</v>
      </c>
      <c r="R428" s="78" t="str">
        <f t="shared" si="4338"/>
        <v>n.a.</v>
      </c>
      <c r="S428" s="78" t="str">
        <f t="shared" si="4338"/>
        <v>n.a.</v>
      </c>
      <c r="T428" s="78" t="str">
        <f t="shared" si="4338"/>
        <v>n.a.</v>
      </c>
      <c r="U428" s="78" t="str">
        <f t="shared" si="4338"/>
        <v>n.a.</v>
      </c>
      <c r="V428" s="78" t="str">
        <f t="shared" si="4338"/>
        <v>n.a.</v>
      </c>
      <c r="W428" s="78" t="str">
        <f t="shared" si="4338"/>
        <v>n.a.</v>
      </c>
      <c r="X428" s="78" t="str">
        <f t="shared" si="4338"/>
        <v>n.a.</v>
      </c>
      <c r="Y428" s="78" t="str">
        <f t="shared" si="4338"/>
        <v>n.a.</v>
      </c>
      <c r="Z428" s="78" t="str">
        <f t="shared" si="4338"/>
        <v>n.a.</v>
      </c>
      <c r="AA428" s="78" t="str">
        <f t="shared" si="4338"/>
        <v>n.a.</v>
      </c>
      <c r="AB428" s="78" t="str">
        <f t="shared" si="4338"/>
        <v>n.a.</v>
      </c>
      <c r="AC428" s="78" t="str">
        <f t="shared" si="4338"/>
        <v>n.a.</v>
      </c>
      <c r="AD428" s="78" t="str">
        <f t="shared" si="4338"/>
        <v>n.a.</v>
      </c>
      <c r="AE428" s="78" t="str">
        <f t="shared" si="4338"/>
        <v>n.a.</v>
      </c>
      <c r="AF428" s="78" t="str">
        <f t="shared" si="4338"/>
        <v>n.a.</v>
      </c>
      <c r="AG428" s="78" t="str">
        <f t="shared" si="4338"/>
        <v>n.a.</v>
      </c>
      <c r="AH428" s="78" t="str">
        <f t="shared" si="4338"/>
        <v>n.a.</v>
      </c>
      <c r="AI428" s="88" t="str">
        <f t="shared" ref="AI428" si="4339">IF(ISERROR(AI383/AVERAGE(AH419:AI419)),"n.a.",AI383*AI$5/AVERAGE(AH419:AI419))</f>
        <v>n.a.</v>
      </c>
      <c r="AJ428" s="77" t="str">
        <f t="shared" ref="AJ428" si="4340">IF(ISERROR(AJ383/AVERAGE(AI419:AJ419)),"n.a.",AJ383*AJ$5/AVERAGE(AI419:AJ419))</f>
        <v>n.a.</v>
      </c>
      <c r="AK428" s="77" t="str">
        <f t="shared" ref="AK428" si="4341">IF(ISERROR(AK383/AVERAGE(AJ419:AK419)),"n.a.",AK383*AK$5/AVERAGE(AJ419:AK419))</f>
        <v>n.a.</v>
      </c>
      <c r="AL428" s="77" t="str">
        <f t="shared" ref="AL428" si="4342">IF(ISERROR(AL383/AVERAGE(AK419:AL419)),"n.a.",AL383*AL$5/AVERAGE(AK419:AL419))</f>
        <v>n.a.</v>
      </c>
      <c r="AM428" s="77" t="str">
        <f t="shared" ref="AM428" si="4343">IF(ISERROR(AM383/AVERAGE(AL419:AM419)),"n.a.",AM383*AM$5/AVERAGE(AL419:AM419))</f>
        <v>n.a.</v>
      </c>
      <c r="AN428" s="77" t="str">
        <f t="shared" ref="AN428" si="4344">IF(ISERROR(AN383/AVERAGE(AM419:AN419)),"n.a.",AN383*AN$5/AVERAGE(AM419:AN419))</f>
        <v>n.a.</v>
      </c>
      <c r="AO428" s="77" t="str">
        <f t="shared" ref="AO428" si="4345">IF(ISERROR(AO383/AVERAGE(AN419:AO419)),"n.a.",AO383*AO$5/AVERAGE(AN419:AO419))</f>
        <v>n.a.</v>
      </c>
      <c r="AP428" s="77" t="str">
        <f t="shared" ref="AP428" si="4346">IF(ISERROR(AP383/AVERAGE(AO419:AP419)),"n.a.",AP383*AP$5/AVERAGE(AO419:AP419))</f>
        <v>n.a.</v>
      </c>
      <c r="AQ428" s="77" t="str">
        <f t="shared" ref="AQ428" si="4347">IF(ISERROR(AQ383/AVERAGE(AP419:AQ419)),"n.a.",AQ383*AQ$5/AVERAGE(AP419:AQ419))</f>
        <v>n.a.</v>
      </c>
      <c r="AR428" s="77" t="str">
        <f t="shared" ref="AR428" si="4348">IF(ISERROR(AR383/AVERAGE(AQ419:AR419)),"n.a.",AR383*AR$5/AVERAGE(AQ419:AR419))</f>
        <v>n.a.</v>
      </c>
      <c r="AS428" s="8"/>
      <c r="AT428" s="37" t="str">
        <f>IF(ISERROR(AT383/AVERAGE(T419:AT419)),"n.a.",AT383*AT$5/AVERAGE(T419:AT419))</f>
        <v>n.a.</v>
      </c>
      <c r="AU428" s="37" t="str">
        <f>IF(ISERROR(AU383/AVERAGE(AT419:AU419)),"n.a.",AU383*AU$5/AVERAGE(AT419:AU419))</f>
        <v>n.a.</v>
      </c>
      <c r="AV428" s="37" t="str">
        <f>IF(ISERROR(AV383/AVERAGE(AU419:AV419)),"n.a.",AV383*AV$5/AVERAGE(AU419:AV419))</f>
        <v>n.a.</v>
      </c>
      <c r="AW428" s="37" t="str">
        <f>IF(ISERROR(AW383/AVERAGE(AV419:AW419)),"n.a.",AW383*AW$5/AVERAGE(AV419:AW419))</f>
        <v>n.a.</v>
      </c>
      <c r="AX428" s="37" t="str">
        <f t="shared" ref="AX428:BB428" si="4349">IF(ISERROR(AX383/AVERAGE(AW419:AX419)),"n.a.",AX383*AX$5/AVERAGE(AW419:AX419))</f>
        <v>n.a.</v>
      </c>
      <c r="AY428" s="37" t="str">
        <f t="shared" si="4349"/>
        <v>n.a.</v>
      </c>
      <c r="AZ428" s="37" t="str">
        <f t="shared" si="4349"/>
        <v>n.a.</v>
      </c>
      <c r="BA428" s="37" t="str">
        <f t="shared" si="4349"/>
        <v>n.a.</v>
      </c>
      <c r="BB428" s="37" t="str">
        <f t="shared" si="4349"/>
        <v>n.a.</v>
      </c>
      <c r="BC428" s="37" t="str">
        <f t="shared" ref="BC428" si="4350">IF(ISERROR(BC383/AVERAGE(BB419:BC419)),"n.a.",BC383*BC$5/AVERAGE(BB419:BC419))</f>
        <v>n.a.</v>
      </c>
      <c r="BD428" s="37" t="str">
        <f t="shared" ref="BD428" si="4351">IF(ISERROR(BD383/AVERAGE(BC419:BD419)),"n.a.",BD383*BD$5/AVERAGE(BC419:BD419))</f>
        <v>n.a.</v>
      </c>
      <c r="BE428" s="37" t="str">
        <f t="shared" ref="BE428" si="4352">IF(ISERROR(BE383/AVERAGE(BD419:BE419)),"n.a.",BE383*BE$5/AVERAGE(BD419:BE419))</f>
        <v>n.a.</v>
      </c>
      <c r="BF428" s="37" t="str">
        <f t="shared" ref="BF428" si="4353">IF(ISERROR(BF383/AVERAGE(BE419:BF419)),"n.a.",BF383*BF$5/AVERAGE(BE419:BF419))</f>
        <v>n.a.</v>
      </c>
      <c r="BG428" s="37" t="str">
        <f t="shared" ref="BG428" si="4354">IF(ISERROR(BG383/AVERAGE(BF419:BG419)),"n.a.",BG383*BG$5/AVERAGE(BF419:BG419))</f>
        <v>n.a.</v>
      </c>
      <c r="BH428" s="37" t="str">
        <f t="shared" ref="BH428:BJ428" si="4355">IF(ISERROR(BH383/AVERAGE(BG419:BH419)),"n.a.",BH383*BH$5/AVERAGE(BG419:BH419))</f>
        <v>n.a.</v>
      </c>
      <c r="BI428" s="38" t="str">
        <f t="shared" si="4355"/>
        <v>n.a.</v>
      </c>
      <c r="BJ428" s="37" t="str">
        <f t="shared" si="4355"/>
        <v>n.a.</v>
      </c>
      <c r="BK428" s="37" t="str">
        <f>IF(ISERROR(BK383/AVERAGE(BK419:BK419)),"n.a.",BK383*BK$5/AVERAGE(BK419:BK419))</f>
        <v>n.a.</v>
      </c>
      <c r="BL428" s="37" t="str">
        <f>IF(ISERROR(BL383/AVERAGE(BL419:BL419)),"n.a.",BL383*BL$5/AVERAGE(BL419:BL419))</f>
        <v>n.a.</v>
      </c>
      <c r="BM428" s="37" t="str">
        <f>IF(ISERROR(BM383/AVERAGE(BM419:BM419)),"n.a.",BM383*BM$5/AVERAGE(BM419:BM419))</f>
        <v>n.a.</v>
      </c>
      <c r="BN428" s="37" t="str">
        <f>IF(ISERROR(BN383/AVERAGE(BN419:BN419)),"n.a.",BN383*BN$5/AVERAGE(BN419:BN419))</f>
        <v>n.a.</v>
      </c>
    </row>
    <row r="429" spans="2:66" ht="12" hidden="1" customHeight="1" outlineLevel="1">
      <c r="B429" s="1" t="s">
        <v>62</v>
      </c>
      <c r="C429" s="50" t="str">
        <f t="shared" ref="C429:AR429" si="4356">IF(ISERROR(C386/B386),"n.a.",C386/B386-1)</f>
        <v>n.a.</v>
      </c>
      <c r="D429" s="50">
        <f t="shared" si="4356"/>
        <v>-0.17582417582417587</v>
      </c>
      <c r="E429" s="50">
        <f t="shared" si="4356"/>
        <v>-0.16444444444444439</v>
      </c>
      <c r="F429" s="50">
        <f t="shared" si="4356"/>
        <v>0.2686170212765957</v>
      </c>
      <c r="G429" s="50">
        <f t="shared" si="4356"/>
        <v>-0.34381551362683438</v>
      </c>
      <c r="H429" s="50">
        <f t="shared" si="4356"/>
        <v>2.8753993610223683E-2</v>
      </c>
      <c r="I429" s="50">
        <f t="shared" si="4356"/>
        <v>-0.15217391304347827</v>
      </c>
      <c r="J429" s="50">
        <f t="shared" si="4356"/>
        <v>-2.1978021978022011E-2</v>
      </c>
      <c r="K429" s="50">
        <f t="shared" si="4356"/>
        <v>7.8651685393258397E-2</v>
      </c>
      <c r="L429" s="50">
        <f t="shared" si="4356"/>
        <v>0.31597222222222232</v>
      </c>
      <c r="M429" s="69">
        <f t="shared" si="4356"/>
        <v>-0.12401055408970973</v>
      </c>
      <c r="N429" s="69">
        <f t="shared" si="4356"/>
        <v>0.40060240963855431</v>
      </c>
      <c r="O429" s="69">
        <f t="shared" si="4356"/>
        <v>7.7419354838709653E-2</v>
      </c>
      <c r="P429" s="69">
        <f t="shared" si="4356"/>
        <v>-0.26347305389221554</v>
      </c>
      <c r="Q429" s="69">
        <f t="shared" si="4356"/>
        <v>0.12737127371273704</v>
      </c>
      <c r="R429" s="69">
        <f t="shared" si="4356"/>
        <v>0.13221153846153855</v>
      </c>
      <c r="S429" s="69">
        <f t="shared" si="4356"/>
        <v>-0.10403397027600847</v>
      </c>
      <c r="T429" s="69">
        <f t="shared" si="4356"/>
        <v>2.3696682464455776E-3</v>
      </c>
      <c r="U429" s="69">
        <f t="shared" si="4356"/>
        <v>0.24349881796690309</v>
      </c>
      <c r="V429" s="69">
        <f t="shared" si="4356"/>
        <v>-5.5133079847908717E-2</v>
      </c>
      <c r="W429" s="69">
        <f t="shared" si="4356"/>
        <v>-0.16498993963782693</v>
      </c>
      <c r="X429" s="69">
        <f t="shared" si="4356"/>
        <v>0.29156626506024086</v>
      </c>
      <c r="Y429" s="69">
        <f t="shared" si="4356"/>
        <v>-0.25887014362859062</v>
      </c>
      <c r="Z429" s="69">
        <f t="shared" si="4356"/>
        <v>8.5714285714285632E-2</v>
      </c>
      <c r="AA429" s="69">
        <f t="shared" si="4356"/>
        <v>0.43289320761641759</v>
      </c>
      <c r="AB429" s="69">
        <f t="shared" si="4356"/>
        <v>0.22168284789644011</v>
      </c>
      <c r="AC429" s="69">
        <f t="shared" si="4356"/>
        <v>-0.41986754966887418</v>
      </c>
      <c r="AD429" s="69">
        <f t="shared" si="4356"/>
        <v>-5.6222895298409847E-2</v>
      </c>
      <c r="AE429" s="69">
        <f t="shared" si="4356"/>
        <v>-1.3001221713681455E-2</v>
      </c>
      <c r="AF429" s="69">
        <f t="shared" si="4356"/>
        <v>-0.17892156862745101</v>
      </c>
      <c r="AG429" s="69">
        <f t="shared" si="4356"/>
        <v>0.23283582089552235</v>
      </c>
      <c r="AH429" s="69">
        <f t="shared" si="4356"/>
        <v>0.21791767554479424</v>
      </c>
      <c r="AI429" s="89">
        <f t="shared" si="4356"/>
        <v>0.10934393638170969</v>
      </c>
      <c r="AJ429" s="67">
        <f t="shared" si="4356"/>
        <v>-0.21124551971326166</v>
      </c>
      <c r="AK429" s="67">
        <f t="shared" si="4356"/>
        <v>0.16639591025276923</v>
      </c>
      <c r="AL429" s="67">
        <f t="shared" si="4356"/>
        <v>-5.4834813775909153E-3</v>
      </c>
      <c r="AM429" s="67">
        <f t="shared" si="4356"/>
        <v>3.5679127207200345E-2</v>
      </c>
      <c r="AN429" s="67">
        <f t="shared" si="4356"/>
        <v>4.1720188032090544E-3</v>
      </c>
      <c r="AO429" s="67">
        <f t="shared" si="4356"/>
        <v>3.5679127207200345E-2</v>
      </c>
      <c r="AP429" s="67">
        <f t="shared" si="4356"/>
        <v>4.1720188032092764E-3</v>
      </c>
      <c r="AQ429" s="67">
        <f t="shared" si="4356"/>
        <v>3.5679127207200123E-2</v>
      </c>
      <c r="AR429" s="67">
        <f t="shared" si="4356"/>
        <v>4.1720188032092764E-3</v>
      </c>
      <c r="AS429" s="8"/>
      <c r="AT429" s="50">
        <f>IF(ISERROR(AT386/T386),"n.a.",AT386/T386-1)</f>
        <v>1.354609929078014</v>
      </c>
      <c r="AU429" s="50">
        <f t="shared" ref="AU429:BN429" si="4357">IF(ISERROR(AU386/AT386),"n.a.",AU386/AT386-1)</f>
        <v>-0.14357429718875503</v>
      </c>
      <c r="AV429" s="50">
        <f t="shared" si="4357"/>
        <v>-0.25556858147713946</v>
      </c>
      <c r="AW429" s="50">
        <f t="shared" si="4357"/>
        <v>-0.14960629921259838</v>
      </c>
      <c r="AX429" s="50">
        <f t="shared" si="4357"/>
        <v>0.23518518518518516</v>
      </c>
      <c r="AY429" s="50">
        <f t="shared" si="4357"/>
        <v>0.19490254872563728</v>
      </c>
      <c r="AZ429" s="50">
        <f t="shared" si="4357"/>
        <v>9.1593475533249702E-2</v>
      </c>
      <c r="BA429" s="50">
        <f t="shared" si="4357"/>
        <v>1.9540229885057547E-2</v>
      </c>
      <c r="BB429" s="50">
        <f t="shared" si="4357"/>
        <v>-4.7350620067643789E-2</v>
      </c>
      <c r="BC429" s="50">
        <f t="shared" si="4357"/>
        <v>0.21065088757396455</v>
      </c>
      <c r="BD429" s="50">
        <f t="shared" si="4357"/>
        <v>-7.0381231671554301E-2</v>
      </c>
      <c r="BE429" s="50">
        <f t="shared" si="4357"/>
        <v>-0.12876884422110546</v>
      </c>
      <c r="BF429" s="50">
        <f t="shared" si="4357"/>
        <v>0.65713016389987522</v>
      </c>
      <c r="BG429" s="50">
        <f t="shared" si="4357"/>
        <v>-0.37991669930131355</v>
      </c>
      <c r="BH429" s="50">
        <f t="shared" si="4357"/>
        <v>-0.12729343922183167</v>
      </c>
      <c r="BI429" s="51">
        <f t="shared" si="4357"/>
        <v>0.2328398384925976</v>
      </c>
      <c r="BJ429" s="50">
        <f t="shared" si="4357"/>
        <v>8.9656113537117887E-2</v>
      </c>
      <c r="BK429" s="50">
        <f t="shared" si="4357"/>
        <v>2.5828428303068307E-2</v>
      </c>
      <c r="BL429" s="50">
        <f t="shared" si="4357"/>
        <v>3.4986253607512285E-2</v>
      </c>
      <c r="BM429" s="50">
        <f t="shared" si="4357"/>
        <v>4.0000000000000036E-2</v>
      </c>
      <c r="BN429" s="50">
        <f t="shared" si="4357"/>
        <v>4.0000000000000036E-2</v>
      </c>
    </row>
    <row r="430" spans="2:66" ht="12" hidden="1" customHeight="1" outlineLevel="1">
      <c r="B430" s="1" t="s">
        <v>63</v>
      </c>
      <c r="C430" s="50" t="str">
        <f t="shared" ref="C430:AR430" si="4358">IF(ISERROR(C387/B387),"n.a.",C387/B387-1)</f>
        <v>n.a.</v>
      </c>
      <c r="D430" s="50">
        <f t="shared" si="4358"/>
        <v>-7.0921985815602828E-2</v>
      </c>
      <c r="E430" s="50">
        <f t="shared" si="4358"/>
        <v>0.10687022900763354</v>
      </c>
      <c r="F430" s="50">
        <f t="shared" si="4358"/>
        <v>-5.7471264367816133E-2</v>
      </c>
      <c r="G430" s="50">
        <f t="shared" si="4358"/>
        <v>-0.13414634146341464</v>
      </c>
      <c r="H430" s="50">
        <f t="shared" si="4358"/>
        <v>-0.12957746478873244</v>
      </c>
      <c r="I430" s="50">
        <f t="shared" si="4358"/>
        <v>-0.10679611650485432</v>
      </c>
      <c r="J430" s="50">
        <f t="shared" si="4358"/>
        <v>6.5217391304347894E-2</v>
      </c>
      <c r="K430" s="50">
        <f t="shared" si="4358"/>
        <v>0.1802721088435375</v>
      </c>
      <c r="L430" s="50">
        <f t="shared" si="4358"/>
        <v>2.8818443804035088E-3</v>
      </c>
      <c r="M430" s="69">
        <f t="shared" si="4358"/>
        <v>-4.8850574712643646E-2</v>
      </c>
      <c r="N430" s="69">
        <f t="shared" si="4358"/>
        <v>0.1178247734138973</v>
      </c>
      <c r="O430" s="69">
        <f t="shared" si="4358"/>
        <v>2.7027027027026973E-2</v>
      </c>
      <c r="P430" s="69">
        <f t="shared" si="4358"/>
        <v>-5.7894736842105221E-2</v>
      </c>
      <c r="Q430" s="69">
        <f t="shared" si="4358"/>
        <v>-8.379888268156388E-3</v>
      </c>
      <c r="R430" s="69">
        <f t="shared" si="4358"/>
        <v>-1.6901408450704203E-2</v>
      </c>
      <c r="S430" s="69">
        <f t="shared" si="4358"/>
        <v>-2.2922636103151817E-2</v>
      </c>
      <c r="T430" s="69">
        <f t="shared" si="4358"/>
        <v>1.1730205278592365E-2</v>
      </c>
      <c r="U430" s="69">
        <f t="shared" si="4358"/>
        <v>0.25217391304347836</v>
      </c>
      <c r="V430" s="69">
        <f t="shared" si="4358"/>
        <v>-1.620370370370372E-2</v>
      </c>
      <c r="W430" s="69">
        <f t="shared" si="4358"/>
        <v>2.3529411764705799E-2</v>
      </c>
      <c r="X430" s="69">
        <f t="shared" si="4358"/>
        <v>5.0574712643678188E-2</v>
      </c>
      <c r="Y430" s="69">
        <f t="shared" si="4358"/>
        <v>-0.16902757771351296</v>
      </c>
      <c r="Z430" s="69">
        <f t="shared" si="4358"/>
        <v>2.0935575591867872E-2</v>
      </c>
      <c r="AA430" s="69">
        <f t="shared" si="4358"/>
        <v>-7.4037710660276645E-2</v>
      </c>
      <c r="AB430" s="69">
        <f t="shared" si="4358"/>
        <v>4.4568245125348183E-2</v>
      </c>
      <c r="AC430" s="69">
        <f t="shared" si="4358"/>
        <v>-6.3999999999999946E-2</v>
      </c>
      <c r="AD430" s="69">
        <f t="shared" si="4358"/>
        <v>0.15562857020143439</v>
      </c>
      <c r="AE430" s="69">
        <f t="shared" si="4358"/>
        <v>-0.12480875129305802</v>
      </c>
      <c r="AF430" s="69">
        <f t="shared" si="4358"/>
        <v>0.12676056338028174</v>
      </c>
      <c r="AG430" s="69">
        <f t="shared" si="4358"/>
        <v>3.0000000000000027E-2</v>
      </c>
      <c r="AH430" s="69">
        <f t="shared" si="4358"/>
        <v>4.8543689320388328E-2</v>
      </c>
      <c r="AI430" s="89">
        <f t="shared" si="4358"/>
        <v>8.564814814814814E-2</v>
      </c>
      <c r="AJ430" s="67">
        <f t="shared" si="4358"/>
        <v>3.1321961620469185E-2</v>
      </c>
      <c r="AK430" s="67">
        <f t="shared" si="4358"/>
        <v>1.9211685170253734E-2</v>
      </c>
      <c r="AL430" s="67">
        <f t="shared" si="4358"/>
        <v>3.1875218694375373E-2</v>
      </c>
      <c r="AM430" s="67">
        <f t="shared" si="4358"/>
        <v>3.7704572525745661E-2</v>
      </c>
      <c r="AN430" s="67">
        <f t="shared" si="4358"/>
        <v>3.2226982804468562E-2</v>
      </c>
      <c r="AO430" s="67">
        <f t="shared" si="4358"/>
        <v>3.7947309802859097E-2</v>
      </c>
      <c r="AP430" s="67">
        <f t="shared" si="4358"/>
        <v>3.258193347103E-2</v>
      </c>
      <c r="AQ430" s="67">
        <f t="shared" si="4358"/>
        <v>3.8192078347435876E-2</v>
      </c>
      <c r="AR430" s="67">
        <f t="shared" si="4358"/>
        <v>3.2939686356459941E-2</v>
      </c>
      <c r="AS430" s="8"/>
      <c r="AT430" s="50">
        <f>IF(ISERROR(AT387/T387),"n.a.",AT387/T387-1)</f>
        <v>1.3652173913043479</v>
      </c>
      <c r="AU430" s="50">
        <f t="shared" ref="AU430:BN430" si="4359">IF(ISERROR(AU387/AT387),"n.a.",AU387/AT387-1)</f>
        <v>3.5539215686274606E-2</v>
      </c>
      <c r="AV430" s="50">
        <f t="shared" si="4359"/>
        <v>-0.21420118343195271</v>
      </c>
      <c r="AW430" s="50">
        <f t="shared" si="4359"/>
        <v>-0.14156626506024095</v>
      </c>
      <c r="AX430" s="50">
        <f t="shared" si="4359"/>
        <v>0.2192982456140351</v>
      </c>
      <c r="AY430" s="50">
        <f t="shared" si="4359"/>
        <v>8.6330935251799357E-3</v>
      </c>
      <c r="AZ430" s="50">
        <f t="shared" si="4359"/>
        <v>5.2781740370898778E-2</v>
      </c>
      <c r="BA430" s="50">
        <f t="shared" si="4359"/>
        <v>-4.6070460704607075E-2</v>
      </c>
      <c r="BB430" s="50">
        <f t="shared" si="4359"/>
        <v>-2.5568181818181768E-2</v>
      </c>
      <c r="BC430" s="50">
        <f t="shared" si="4359"/>
        <v>0.24927113702623904</v>
      </c>
      <c r="BD430" s="50">
        <f t="shared" si="4359"/>
        <v>4.0840140023337135E-2</v>
      </c>
      <c r="BE430" s="50">
        <f t="shared" si="4359"/>
        <v>-0.13961976361628781</v>
      </c>
      <c r="BF430" s="50">
        <f t="shared" si="4359"/>
        <v>-4.3597330157677749E-2</v>
      </c>
      <c r="BG430" s="50">
        <f t="shared" si="4359"/>
        <v>3.0825106458724161E-2</v>
      </c>
      <c r="BH430" s="50">
        <f t="shared" si="4359"/>
        <v>-2.1485237616101216E-3</v>
      </c>
      <c r="BI430" s="51">
        <f t="shared" si="4359"/>
        <v>0.11788079470198665</v>
      </c>
      <c r="BJ430" s="50">
        <f t="shared" si="4359"/>
        <v>0.1287796208530807</v>
      </c>
      <c r="BK430" s="50">
        <f t="shared" si="4359"/>
        <v>5.1421684913245835E-2</v>
      </c>
      <c r="BL430" s="50">
        <f t="shared" si="4359"/>
        <v>7.0967009526031521E-2</v>
      </c>
      <c r="BM430" s="50">
        <f t="shared" si="4359"/>
        <v>7.1584351148855863E-2</v>
      </c>
      <c r="BN430" s="50">
        <f t="shared" si="4359"/>
        <v>7.2207068548640674E-2</v>
      </c>
    </row>
    <row r="431" spans="2:66" ht="12" hidden="1" customHeight="1" outlineLevel="1">
      <c r="B431" s="1" t="s">
        <v>64</v>
      </c>
      <c r="C431" s="50" t="str">
        <f t="shared" ref="C431:AR431" si="4360">IF(ISERROR(C388/B388),"n.a.",C388/B388-1)</f>
        <v>n.a.</v>
      </c>
      <c r="D431" s="50">
        <f t="shared" si="4360"/>
        <v>4.5714285714285712</v>
      </c>
      <c r="E431" s="50">
        <f t="shared" si="4360"/>
        <v>-0.48717948717948723</v>
      </c>
      <c r="F431" s="50">
        <f t="shared" si="4360"/>
        <v>0.7</v>
      </c>
      <c r="G431" s="50">
        <f t="shared" si="4360"/>
        <v>0.10294117647058831</v>
      </c>
      <c r="H431" s="50">
        <f t="shared" si="4360"/>
        <v>-0.90666666666666662</v>
      </c>
      <c r="I431" s="50">
        <f t="shared" si="4360"/>
        <v>9.2857142857142865</v>
      </c>
      <c r="J431" s="50">
        <f t="shared" si="4360"/>
        <v>4.1666666666666741E-2</v>
      </c>
      <c r="K431" s="50">
        <f t="shared" si="4360"/>
        <v>5.3333333333333233E-2</v>
      </c>
      <c r="L431" s="50">
        <f t="shared" si="4360"/>
        <v>-3.7974683544303778E-2</v>
      </c>
      <c r="M431" s="69">
        <f t="shared" si="4360"/>
        <v>0.46052631578947367</v>
      </c>
      <c r="N431" s="69">
        <f t="shared" si="4360"/>
        <v>1.855855855855856</v>
      </c>
      <c r="O431" s="69">
        <f t="shared" si="4360"/>
        <v>-0.75078864353312302</v>
      </c>
      <c r="P431" s="69">
        <f t="shared" si="4360"/>
        <v>-0.10126582278481011</v>
      </c>
      <c r="Q431" s="69">
        <f t="shared" si="4360"/>
        <v>0.23943661971830976</v>
      </c>
      <c r="R431" s="69">
        <f t="shared" si="4360"/>
        <v>-0.32954545454545459</v>
      </c>
      <c r="S431" s="69">
        <f t="shared" si="4360"/>
        <v>0.11864406779661008</v>
      </c>
      <c r="T431" s="69">
        <f t="shared" si="4360"/>
        <v>0.16666666666666674</v>
      </c>
      <c r="U431" s="69">
        <f t="shared" si="4360"/>
        <v>1.0649350649350651</v>
      </c>
      <c r="V431" s="69">
        <f t="shared" si="4360"/>
        <v>-0.52830188679245282</v>
      </c>
      <c r="W431" s="69">
        <f t="shared" si="4360"/>
        <v>1.0533333333333332</v>
      </c>
      <c r="X431" s="69">
        <f t="shared" si="4360"/>
        <v>0.25324675324675328</v>
      </c>
      <c r="Y431" s="69">
        <f t="shared" si="4360"/>
        <v>-0.32124352331606221</v>
      </c>
      <c r="Z431" s="69">
        <f t="shared" si="4360"/>
        <v>-0.14503816793893132</v>
      </c>
      <c r="AA431" s="69">
        <f t="shared" si="4360"/>
        <v>-7.1428571428571397E-2</v>
      </c>
      <c r="AB431" s="69">
        <f t="shared" si="4360"/>
        <v>0.32692307692307687</v>
      </c>
      <c r="AC431" s="69">
        <f t="shared" si="4360"/>
        <v>0.11594202898550732</v>
      </c>
      <c r="AD431" s="69">
        <f t="shared" si="4360"/>
        <v>0.16883116883116878</v>
      </c>
      <c r="AE431" s="69">
        <f t="shared" si="4360"/>
        <v>-0.17777777777777781</v>
      </c>
      <c r="AF431" s="69">
        <f t="shared" si="4360"/>
        <v>-5.4054054054054057E-2</v>
      </c>
      <c r="AG431" s="69">
        <f t="shared" si="4360"/>
        <v>-3.5714285714285698E-2</v>
      </c>
      <c r="AH431" s="69">
        <f t="shared" si="4360"/>
        <v>-0.35555555555555551</v>
      </c>
      <c r="AI431" s="89">
        <f t="shared" si="4360"/>
        <v>0.6206896551724137</v>
      </c>
      <c r="AJ431" s="67">
        <f t="shared" si="4360"/>
        <v>0.25</v>
      </c>
      <c r="AK431" s="67">
        <f t="shared" si="4360"/>
        <v>2.0000000000000018E-2</v>
      </c>
      <c r="AL431" s="67">
        <f t="shared" si="4360"/>
        <v>2.0000000000000018E-2</v>
      </c>
      <c r="AM431" s="67">
        <f t="shared" si="4360"/>
        <v>2.0000000000000018E-2</v>
      </c>
      <c r="AN431" s="67">
        <f t="shared" si="4360"/>
        <v>2.0000000000000018E-2</v>
      </c>
      <c r="AO431" s="67">
        <f t="shared" si="4360"/>
        <v>2.0000000000000018E-2</v>
      </c>
      <c r="AP431" s="67">
        <f t="shared" si="4360"/>
        <v>2.0000000000000018E-2</v>
      </c>
      <c r="AQ431" s="67">
        <f t="shared" si="4360"/>
        <v>2.0000000000000018E-2</v>
      </c>
      <c r="AR431" s="67">
        <f t="shared" si="4360"/>
        <v>2.0000000000000018E-2</v>
      </c>
      <c r="AS431" s="8"/>
      <c r="AT431" s="50">
        <f>IF(ISERROR(AT388/T388),"n.a.",AT388/T388-1)</f>
        <v>0.19480519480519476</v>
      </c>
      <c r="AU431" s="50">
        <f t="shared" ref="AU431:BN431" si="4361">IF(ISERROR(AU388/AT388),"n.a.",AU388/AT388-1)</f>
        <v>0.17391304347826098</v>
      </c>
      <c r="AV431" s="50">
        <f t="shared" si="4361"/>
        <v>-0.2407407407407407</v>
      </c>
      <c r="AW431" s="50">
        <f t="shared" si="4361"/>
        <v>0.79268292682926833</v>
      </c>
      <c r="AX431" s="50">
        <f t="shared" si="4361"/>
        <v>5.4421768707483054E-2</v>
      </c>
      <c r="AY431" s="50">
        <f t="shared" si="4361"/>
        <v>1.7612903225806451</v>
      </c>
      <c r="AZ431" s="50">
        <f t="shared" si="4361"/>
        <v>-0.64953271028037385</v>
      </c>
      <c r="BA431" s="50">
        <f t="shared" si="4361"/>
        <v>-2.0000000000000018E-2</v>
      </c>
      <c r="BB431" s="50">
        <f t="shared" si="4361"/>
        <v>-2.7210884353741527E-2</v>
      </c>
      <c r="BC431" s="50">
        <f t="shared" si="4361"/>
        <v>0.63636363636363646</v>
      </c>
      <c r="BD431" s="50">
        <f t="shared" si="4361"/>
        <v>0.48290598290598297</v>
      </c>
      <c r="BE431" s="50">
        <f t="shared" si="4361"/>
        <v>-0.29971181556195969</v>
      </c>
      <c r="BF431" s="50">
        <f t="shared" si="4361"/>
        <v>-4.1152263374485409E-3</v>
      </c>
      <c r="BG431" s="50">
        <f t="shared" si="4361"/>
        <v>0.38016528925619841</v>
      </c>
      <c r="BH431" s="50">
        <f t="shared" si="4361"/>
        <v>-0.13772455089820357</v>
      </c>
      <c r="BI431" s="51">
        <f t="shared" si="4361"/>
        <v>-0.22916666666666663</v>
      </c>
      <c r="BJ431" s="50">
        <f t="shared" si="4361"/>
        <v>0.42905405405405395</v>
      </c>
      <c r="BK431" s="50">
        <f t="shared" si="4361"/>
        <v>0.14466666666666672</v>
      </c>
      <c r="BL431" s="50">
        <f t="shared" si="4361"/>
        <v>4.0399999999999991E-2</v>
      </c>
      <c r="BM431" s="50">
        <f t="shared" si="4361"/>
        <v>4.0400000000000214E-2</v>
      </c>
      <c r="BN431" s="50">
        <f t="shared" si="4361"/>
        <v>4.0400000000000214E-2</v>
      </c>
    </row>
    <row r="432" spans="2:66" ht="12" hidden="1" customHeight="1" outlineLevel="1">
      <c r="B432" s="1" t="s">
        <v>65</v>
      </c>
      <c r="C432" s="50" t="str">
        <f t="shared" ref="C432:M432" si="4362">IF(ISERROR(C390/B390),"n.a.",C390/B390-1)</f>
        <v>n.a.</v>
      </c>
      <c r="D432" s="50">
        <f t="shared" si="4362"/>
        <v>-0.11711711711711714</v>
      </c>
      <c r="E432" s="50">
        <f t="shared" si="4362"/>
        <v>-0.29209183673469385</v>
      </c>
      <c r="F432" s="50">
        <f t="shared" si="4362"/>
        <v>0.46126126126126121</v>
      </c>
      <c r="G432" s="50">
        <f t="shared" si="4362"/>
        <v>-0.44636251541307026</v>
      </c>
      <c r="H432" s="50">
        <f t="shared" si="4362"/>
        <v>0.37416481069042318</v>
      </c>
      <c r="I432" s="50">
        <f t="shared" si="4362"/>
        <v>-3.8897893030794162E-2</v>
      </c>
      <c r="J432" s="50">
        <f t="shared" si="4362"/>
        <v>0.1804384485666104</v>
      </c>
      <c r="K432" s="50">
        <f t="shared" si="4362"/>
        <v>5.428571428571427E-2</v>
      </c>
      <c r="L432" s="50">
        <f t="shared" si="4362"/>
        <v>0.4065040650406504</v>
      </c>
      <c r="M432" s="69">
        <f t="shared" si="4362"/>
        <v>-0.25722543352601157</v>
      </c>
      <c r="N432" s="69">
        <f t="shared" ref="N432" si="4363">IF(ISERROR(N390/M390),"n.a.",N390/M390-1)</f>
        <v>0.53955901426718555</v>
      </c>
      <c r="O432" s="69">
        <f t="shared" ref="O432:AH432" si="4364">IF(ISERROR(O390/N390),"n.a.",O390/N390-1)</f>
        <v>4.043807919123843E-2</v>
      </c>
      <c r="P432" s="69">
        <f t="shared" si="4364"/>
        <v>-0.13684210526315788</v>
      </c>
      <c r="Q432" s="69">
        <f t="shared" si="4364"/>
        <v>-0.11257035647279545</v>
      </c>
      <c r="R432" s="69">
        <f t="shared" si="4364"/>
        <v>0.18076109936575047</v>
      </c>
      <c r="S432" s="69">
        <f t="shared" si="4364"/>
        <v>-0.23903312444046554</v>
      </c>
      <c r="T432" s="69">
        <f t="shared" si="4364"/>
        <v>0.22941176470588243</v>
      </c>
      <c r="U432" s="69">
        <f t="shared" si="4364"/>
        <v>0.35693779904306222</v>
      </c>
      <c r="V432" s="69">
        <f t="shared" si="4364"/>
        <v>0.13469675599435815</v>
      </c>
      <c r="W432" s="69">
        <f t="shared" si="4364"/>
        <v>3.7911746426351867E-2</v>
      </c>
      <c r="X432" s="69">
        <f t="shared" si="4364"/>
        <v>-0.26467065868263473</v>
      </c>
      <c r="Y432" s="69">
        <f t="shared" si="4364"/>
        <v>0.41938110749185675</v>
      </c>
      <c r="Z432" s="69">
        <f t="shared" si="4364"/>
        <v>0.25186460126219168</v>
      </c>
      <c r="AA432" s="69">
        <f t="shared" si="4364"/>
        <v>-6.6911090742438173E-2</v>
      </c>
      <c r="AB432" s="69">
        <f t="shared" si="4364"/>
        <v>0.52750491159135571</v>
      </c>
      <c r="AC432" s="69">
        <f t="shared" si="4364"/>
        <v>-5.8520900321543445E-2</v>
      </c>
      <c r="AD432" s="69">
        <f t="shared" si="4364"/>
        <v>0.74897540983606548</v>
      </c>
      <c r="AE432" s="69">
        <f t="shared" si="4364"/>
        <v>-0.47334504979496195</v>
      </c>
      <c r="AF432" s="69">
        <f t="shared" si="4364"/>
        <v>0.16759362254356702</v>
      </c>
      <c r="AG432" s="69">
        <f t="shared" si="4364"/>
        <v>-0.17719911082883455</v>
      </c>
      <c r="AH432" s="69">
        <f t="shared" si="4364"/>
        <v>0.20069471246622927</v>
      </c>
      <c r="AI432" s="89">
        <f t="shared" ref="AI432" si="4365">IF(ISERROR(AI390/AH390),"n.a.",AI390/AH390-1)</f>
        <v>-9.4181935069109657E-2</v>
      </c>
      <c r="AJ432" s="67">
        <f t="shared" ref="AJ432" si="4366">IF(ISERROR(AJ390/AI390),"n.a.",AJ390/AI390-1)</f>
        <v>0.29085520403470588</v>
      </c>
      <c r="AK432" s="67">
        <f t="shared" ref="AK432" si="4367">IF(ISERROR(AK390/AJ390),"n.a.",AK390/AJ390-1)</f>
        <v>-0.10709375050669356</v>
      </c>
      <c r="AL432" s="67">
        <f t="shared" ref="AL432" si="4368">IF(ISERROR(AL390/AK390),"n.a.",AL390/AK390-1)</f>
        <v>9.1071434811737184E-2</v>
      </c>
      <c r="AM432" s="67">
        <f t="shared" ref="AM432" si="4369">IF(ISERROR(AM390/AL390),"n.a.",AM390/AL390-1)</f>
        <v>-2.8334100849790489E-2</v>
      </c>
      <c r="AN432" s="67">
        <f t="shared" ref="AN432" si="4370">IF(ISERROR(AN390/AM390),"n.a.",AN390/AM390-1)</f>
        <v>0.10833198617553075</v>
      </c>
      <c r="AO432" s="67">
        <f t="shared" ref="AO432" si="4371">IF(ISERROR(AO390/AN390),"n.a.",AO390/AN390-1)</f>
        <v>-5.4840313121078843E-2</v>
      </c>
      <c r="AP432" s="67">
        <f t="shared" ref="AP432" si="4372">IF(ISERROR(AP390/AO390),"n.a.",AP390/AO390-1)</f>
        <v>0.10785888004978883</v>
      </c>
      <c r="AQ432" s="67">
        <f t="shared" ref="AQ432" si="4373">IF(ISERROR(AQ390/AP390),"n.a.",AQ390/AP390-1)</f>
        <v>-4.5953265014240907E-2</v>
      </c>
      <c r="AR432" s="67">
        <f t="shared" ref="AR432" si="4374">IF(ISERROR(AR390/AQ390),"n.a.",AR390/AQ390-1)</f>
        <v>8.5063302333377555E-2</v>
      </c>
      <c r="AS432" s="8"/>
      <c r="AT432" s="50">
        <f>IF(ISERROR(AT390/T390),"n.a.",AT390/T390-1)</f>
        <v>0.60000000000000009</v>
      </c>
      <c r="AU432" s="50">
        <f>IF(ISERROR(AU390/AT390),"n.a.",AU390/AT390-1)</f>
        <v>-0.18301435406698563</v>
      </c>
      <c r="AV432" s="50">
        <f>IF(ISERROR(AV390/AU390),"n.a.",AV390/AU390-1)</f>
        <v>-0.21961932650073202</v>
      </c>
      <c r="AW432" s="50">
        <f>IF(ISERROR(AW390/AV390),"n.a.",AW390/AV390-1)</f>
        <v>0.21294559099437138</v>
      </c>
      <c r="AX432" s="50">
        <f t="shared" ref="AX432:BB432" si="4375">IF(ISERROR(AX390/AW390),"n.a.",AX390/AW390-1)</f>
        <v>0.3735498839907192</v>
      </c>
      <c r="AY432" s="50">
        <f t="shared" si="4375"/>
        <v>0.10247747747747749</v>
      </c>
      <c r="AZ432" s="50">
        <f t="shared" si="4375"/>
        <v>0.17517875383043924</v>
      </c>
      <c r="BA432" s="50">
        <f t="shared" si="4375"/>
        <v>-0.10343328987396783</v>
      </c>
      <c r="BB432" s="50">
        <f t="shared" si="4375"/>
        <v>-8.1434803683955392E-2</v>
      </c>
      <c r="BC432" s="50">
        <f t="shared" ref="BC432" si="4376">IF(ISERROR(BC390/BB390),"n.a.",BC390/BB390-1)</f>
        <v>0.59736147757255931</v>
      </c>
      <c r="BD432" s="50">
        <f t="shared" ref="BD432" si="4377">IF(ISERROR(BD390/BC390),"n.a.",BD390/BC390-1)</f>
        <v>-4.2616451932606547E-2</v>
      </c>
      <c r="BE432" s="50">
        <f t="shared" ref="BE432" si="4378">IF(ISERROR(BE390/BD390),"n.a.",BE390/BD390-1)</f>
        <v>0.35438233264320229</v>
      </c>
      <c r="BF432" s="50">
        <f t="shared" ref="BF432" si="4379">IF(ISERROR(BF390/BE390),"n.a.",BF390/BE390-1)</f>
        <v>0.31108280254777076</v>
      </c>
      <c r="BG432" s="50">
        <f t="shared" ref="BG432" si="4380">IF(ISERROR(BG390/BF390),"n.a.",BG390/BF390-1)</f>
        <v>0.56412747765254556</v>
      </c>
      <c r="BH432" s="50">
        <f t="shared" ref="BH432:BN432" si="4381">IF(ISERROR(BH390/BG390),"n.a.",BH390/BG390-1)</f>
        <v>-0.27369859609889424</v>
      </c>
      <c r="BI432" s="51">
        <f t="shared" si="4381"/>
        <v>-2.46322271638727E-2</v>
      </c>
      <c r="BJ432" s="50">
        <f t="shared" si="4381"/>
        <v>0.13216940809712407</v>
      </c>
      <c r="BK432" s="50">
        <f t="shared" si="4381"/>
        <v>5.2094189082494413E-2</v>
      </c>
      <c r="BL432" s="50">
        <f t="shared" si="4381"/>
        <v>6.8907871649718455E-2</v>
      </c>
      <c r="BM432" s="50">
        <f t="shared" si="4381"/>
        <v>4.731564440632785E-2</v>
      </c>
      <c r="BN432" s="50">
        <f t="shared" si="4381"/>
        <v>4.551870165605898E-2</v>
      </c>
    </row>
    <row r="433" spans="1:66" ht="12" hidden="1" customHeight="1" outlineLevel="1">
      <c r="B433" s="1" t="s">
        <v>77</v>
      </c>
      <c r="C433" s="37" t="str">
        <f t="shared" ref="C433:M433" si="4382">IF(ISERROR(-C392/AVERAGE(B413:C413)),"n.a.",-C392/AVERAGE(B413:C413))</f>
        <v>n.a.</v>
      </c>
      <c r="D433" s="37" t="str">
        <f t="shared" si="4382"/>
        <v>n.a.</v>
      </c>
      <c r="E433" s="37" t="str">
        <f t="shared" si="4382"/>
        <v>n.a.</v>
      </c>
      <c r="F433" s="37" t="str">
        <f t="shared" si="4382"/>
        <v>n.a.</v>
      </c>
      <c r="G433" s="37" t="str">
        <f t="shared" si="4382"/>
        <v>n.a.</v>
      </c>
      <c r="H433" s="37" t="str">
        <f t="shared" si="4382"/>
        <v>n.a.</v>
      </c>
      <c r="I433" s="37" t="str">
        <f t="shared" si="4382"/>
        <v>n.a.</v>
      </c>
      <c r="J433" s="37" t="str">
        <f t="shared" si="4382"/>
        <v>n.a.</v>
      </c>
      <c r="K433" s="37" t="str">
        <f t="shared" si="4382"/>
        <v>n.a.</v>
      </c>
      <c r="L433" s="37" t="str">
        <f t="shared" si="4382"/>
        <v>n.a.</v>
      </c>
      <c r="M433" s="78" t="str">
        <f t="shared" si="4382"/>
        <v>n.a.</v>
      </c>
      <c r="N433" s="78" t="str">
        <f t="shared" ref="N433" si="4383">IF(ISERROR(-N392/AVERAGE(M413:N413)),"n.a.",-N392/AVERAGE(M413:N413))</f>
        <v>n.a.</v>
      </c>
      <c r="O433" s="78" t="str">
        <f t="shared" ref="O433:AH433" si="4384">IF(ISERROR(-O392/AVERAGE(N413:O413)),"n.a.",-O392/AVERAGE(N413:O413))</f>
        <v>n.a.</v>
      </c>
      <c r="P433" s="78" t="str">
        <f t="shared" si="4384"/>
        <v>n.a.</v>
      </c>
      <c r="Q433" s="78" t="str">
        <f t="shared" si="4384"/>
        <v>n.a.</v>
      </c>
      <c r="R433" s="78" t="str">
        <f t="shared" si="4384"/>
        <v>n.a.</v>
      </c>
      <c r="S433" s="78" t="str">
        <f t="shared" si="4384"/>
        <v>n.a.</v>
      </c>
      <c r="T433" s="78" t="str">
        <f t="shared" si="4384"/>
        <v>n.a.</v>
      </c>
      <c r="U433" s="78">
        <f t="shared" si="4384"/>
        <v>1.5053763440860215E-3</v>
      </c>
      <c r="V433" s="78">
        <f t="shared" si="4384"/>
        <v>1.8263305322128852E-2</v>
      </c>
      <c r="W433" s="78">
        <f t="shared" si="4384"/>
        <v>5.2957746478873241E-3</v>
      </c>
      <c r="X433" s="78">
        <f t="shared" si="4384"/>
        <v>2.1712846347607052E-2</v>
      </c>
      <c r="Y433" s="78">
        <f t="shared" si="4384"/>
        <v>1.5159574468085106E-2</v>
      </c>
      <c r="Z433" s="78">
        <f t="shared" si="4384"/>
        <v>1.0584795321637426E-2</v>
      </c>
      <c r="AA433" s="78">
        <f t="shared" si="4384"/>
        <v>9.6774193548387101E-3</v>
      </c>
      <c r="AB433" s="78">
        <f t="shared" si="4384"/>
        <v>9.3360160965794761E-3</v>
      </c>
      <c r="AC433" s="78">
        <f t="shared" si="4384"/>
        <v>7.9447322970639025E-3</v>
      </c>
      <c r="AD433" s="78">
        <f t="shared" si="4384"/>
        <v>3.7403400309119011E-3</v>
      </c>
      <c r="AE433" s="78">
        <f t="shared" si="4384"/>
        <v>-3.4236804564907275E-4</v>
      </c>
      <c r="AF433" s="78">
        <f t="shared" si="4384"/>
        <v>-4.3466666666666671E-3</v>
      </c>
      <c r="AG433" s="78">
        <f t="shared" si="4384"/>
        <v>1.4814814814814814E-3</v>
      </c>
      <c r="AH433" s="78">
        <f t="shared" si="4384"/>
        <v>3.7424058323207777E-3</v>
      </c>
      <c r="AI433" s="88">
        <f t="shared" ref="AI433" si="4385">IF(ISERROR(-AI392/AVERAGE(AH413:AI413)),"n.a.",-AI392/AVERAGE(AH413:AI413))</f>
        <v>1.8706697459584295E-3</v>
      </c>
      <c r="AJ433" s="78">
        <f t="shared" ref="AJ433" si="4386">IF(ISERROR(-AJ392/AVERAGE(AI413:AJ413)),"n.a.",-AJ392/AVERAGE(AI413:AJ413))</f>
        <v>1.7683646599473352E-3</v>
      </c>
      <c r="AK433" s="78">
        <f t="shared" ref="AK433" si="4387">IF(ISERROR(-AK392/AVERAGE(AJ413:AK413)),"n.a.",-AK392/AVERAGE(AJ413:AK413))</f>
        <v>1.4929820765262588E-3</v>
      </c>
      <c r="AL433" s="78">
        <f t="shared" ref="AL433" si="4388">IF(ISERROR(-AL392/AVERAGE(AK413:AL413)),"n.a.",-AL392/AVERAGE(AK413:AL413))</f>
        <v>1.860661765682404E-3</v>
      </c>
      <c r="AM433" s="78">
        <f t="shared" ref="AM433" si="4389">IF(ISERROR(-AM392/AVERAGE(AL413:AM413)),"n.a.",-AM392/AVERAGE(AL413:AM413))</f>
        <v>2.0800926440557592E-3</v>
      </c>
      <c r="AN433" s="78">
        <f t="shared" ref="AN433" si="4390">IF(ISERROR(-AN392/AVERAGE(AM413:AN413)),"n.a.",-AN392/AVERAGE(AM413:AN413))</f>
        <v>1.9594540807586439E-3</v>
      </c>
      <c r="AO433" s="78">
        <f t="shared" ref="AO433" si="4391">IF(ISERROR(-AO392/AVERAGE(AN413:AO413)),"n.a.",-AO392/AVERAGE(AN413:AO413))</f>
        <v>2.2730220355700946E-3</v>
      </c>
      <c r="AP433" s="78">
        <f t="shared" ref="AP433" si="4392">IF(ISERROR(-AP392/AVERAGE(AO413:AP413)),"n.a.",-AP392/AVERAGE(AO413:AP413))</f>
        <v>2.2231532903599482E-3</v>
      </c>
      <c r="AQ433" s="78">
        <f t="shared" ref="AQ433" si="4393">IF(ISERROR(-AQ392/AVERAGE(AP413:AQ413)),"n.a.",-AQ392/AVERAGE(AP413:AQ413))</f>
        <v>2.1972661519057877E-3</v>
      </c>
      <c r="AR433" s="78">
        <f t="shared" ref="AR433" si="4394">IF(ISERROR(-AR392/AVERAGE(AQ413:AR413)),"n.a.",-AR392/AVERAGE(AQ413:AR413))</f>
        <v>2.173161106512036E-3</v>
      </c>
      <c r="AS433" s="8"/>
      <c r="AT433" s="44">
        <f>IF(ISERROR(-AT392/AVERAGE(T413:AT413)),"n.a.",-AT392/AVERAGE(T413:AT413))</f>
        <v>1.68120003287481E-3</v>
      </c>
      <c r="AU433" s="44" t="str">
        <f>IF(ISERROR(-AU392/AVERAGE(AT413:AU413)),"n.a.",-AU392/AVERAGE(AT413:AU413))</f>
        <v>n.a.</v>
      </c>
      <c r="AV433" s="44" t="str">
        <f>IF(ISERROR(-AV392/AVERAGE(AU413:AV413)),"n.a.",-AV392/AVERAGE(AU413:AV413))</f>
        <v>n.a.</v>
      </c>
      <c r="AW433" s="44" t="str">
        <f>IF(ISERROR(-AW392/AVERAGE(AV413:AW413)),"n.a.",-AW392/AVERAGE(AV413:AW413))</f>
        <v>n.a.</v>
      </c>
      <c r="AX433" s="44" t="str">
        <f t="shared" ref="AX433:BB433" si="4395">IF(ISERROR(-AX392/AVERAGE(AW413:AX413)),"n.a.",-AX392/AVERAGE(AW413:AX413))</f>
        <v>n.a.</v>
      </c>
      <c r="AY433" s="44" t="str">
        <f t="shared" si="4395"/>
        <v>n.a.</v>
      </c>
      <c r="AZ433" s="44" t="str">
        <f t="shared" si="4395"/>
        <v>n.a.</v>
      </c>
      <c r="BA433" s="44" t="str">
        <f t="shared" si="4395"/>
        <v>n.a.</v>
      </c>
      <c r="BB433" s="44" t="str">
        <f t="shared" si="4395"/>
        <v>n.a.</v>
      </c>
      <c r="BC433" s="44">
        <f t="shared" ref="BC433" si="4396">IF(ISERROR(-BC392/AVERAGE(BB413:BC413)),"n.a.",-BC392/AVERAGE(BB413:BC413))</f>
        <v>3.9766081871345033E-2</v>
      </c>
      <c r="BD433" s="44">
        <f t="shared" ref="BD433" si="4397">IF(ISERROR(-BD392/AVERAGE(BC413:BD413)),"n.a.",-BD392/AVERAGE(BC413:BD413))</f>
        <v>2.734375E-2</v>
      </c>
      <c r="BE433" s="44">
        <f t="shared" ref="BE433" si="4398">IF(ISERROR(-BE392/AVERAGE(BD413:BE413)),"n.a.",-BE392/AVERAGE(BD413:BE413))</f>
        <v>2.3775510204081633E-2</v>
      </c>
      <c r="BF433" s="44">
        <f t="shared" ref="BF433" si="4399">IF(ISERROR(-BF392/AVERAGE(BE413:BF413)),"n.a.",-BF392/AVERAGE(BE413:BF413))</f>
        <v>1.8893805309734512E-2</v>
      </c>
      <c r="BG433" s="44">
        <f t="shared" ref="BG433" si="4400">IF(ISERROR(-BG392/AVERAGE(BF413:BG413)),"n.a.",-BG392/AVERAGE(BF413:BG413))</f>
        <v>1.1433224755700326E-2</v>
      </c>
      <c r="BH433" s="44">
        <f t="shared" ref="BH433:BJ433" si="4401">IF(ISERROR(-BH392/AVERAGE(BG413:BH413)),"n.a.",-BH392/AVERAGE(BG413:BH413))</f>
        <v>-4.7879616963064295E-3</v>
      </c>
      <c r="BI433" s="49">
        <f t="shared" si="4401"/>
        <v>5.1707317073170734E-3</v>
      </c>
      <c r="BJ433" s="44">
        <f t="shared" si="4401"/>
        <v>3.6318339733040776E-3</v>
      </c>
      <c r="BK433" s="44">
        <f>IF(ISERROR(-BK392/AVERAGE(BK413:BK413)),"n.a.",-BK392/AVERAGE(BK413:BK413))</f>
        <v>3.2316130883297475E-3</v>
      </c>
      <c r="BL433" s="44">
        <f>IF(ISERROR(-BL392/AVERAGE(BL413:BL413)),"n.a.",-BL392/AVERAGE(BL413:BL413))</f>
        <v>3.9044306172550387E-3</v>
      </c>
      <c r="BM433" s="44">
        <f>IF(ISERROR(-BM392/AVERAGE(BM413:BM413)),"n.a.",-BM392/AVERAGE(BM413:BM413))</f>
        <v>4.3938467955524849E-3</v>
      </c>
      <c r="BN433" s="44">
        <f>IF(ISERROR(-BN392/AVERAGE(BN413:BN413)),"n.a.",-BN392/AVERAGE(BN413:BN413))</f>
        <v>4.3016723395931725E-3</v>
      </c>
    </row>
    <row r="434" spans="1:66" ht="12" hidden="1" customHeight="1" outlineLevel="1">
      <c r="B434" s="1" t="s">
        <v>66</v>
      </c>
      <c r="C434" s="50" t="str">
        <f t="shared" ref="C434:M434" si="4402">IF(ISERROR(C396/B396),"n.a.",C396/B396-1)</f>
        <v>n.a.</v>
      </c>
      <c r="D434" s="50">
        <f t="shared" si="4402"/>
        <v>-2.3894736842105262</v>
      </c>
      <c r="E434" s="50">
        <f t="shared" si="4402"/>
        <v>-0.2992424242424242</v>
      </c>
      <c r="F434" s="50">
        <f t="shared" si="4402"/>
        <v>1.0432432432432432</v>
      </c>
      <c r="G434" s="50">
        <f t="shared" si="4402"/>
        <v>-0.82010582010582012</v>
      </c>
      <c r="H434" s="50">
        <f t="shared" si="4402"/>
        <v>5.3529411764705879</v>
      </c>
      <c r="I434" s="50">
        <f t="shared" si="4402"/>
        <v>-1.0486111111111112</v>
      </c>
      <c r="J434" s="50">
        <f t="shared" si="4402"/>
        <v>-10.380952380952381</v>
      </c>
      <c r="K434" s="50">
        <f t="shared" si="4402"/>
        <v>-0.80710659898477155</v>
      </c>
      <c r="L434" s="50">
        <f t="shared" si="4402"/>
        <v>1.7105263157894739</v>
      </c>
      <c r="M434" s="69">
        <f t="shared" si="4402"/>
        <v>0.12621359223300965</v>
      </c>
      <c r="N434" s="69">
        <f t="shared" ref="N434" si="4403">IF(ISERROR(N396/M396),"n.a.",N396/M396-1)</f>
        <v>-0.56034482758620685</v>
      </c>
      <c r="O434" s="69">
        <f t="shared" ref="O434:AH434" si="4404">IF(ISERROR(O396/N396),"n.a.",O396/N396-1)</f>
        <v>0.35294117647058831</v>
      </c>
      <c r="P434" s="69">
        <f t="shared" si="4404"/>
        <v>3.2898550724637685</v>
      </c>
      <c r="Q434" s="69">
        <f t="shared" si="4404"/>
        <v>0.25337837837837829</v>
      </c>
      <c r="R434" s="69">
        <f t="shared" si="4404"/>
        <v>-0.65229110512129385</v>
      </c>
      <c r="S434" s="69">
        <f t="shared" si="4404"/>
        <v>0.5503875968992249</v>
      </c>
      <c r="T434" s="69">
        <f t="shared" si="4404"/>
        <v>2.0449999999999999</v>
      </c>
      <c r="U434" s="69">
        <f t="shared" si="4404"/>
        <v>0.16912972085385869</v>
      </c>
      <c r="V434" s="69">
        <f t="shared" si="4404"/>
        <v>1.5210674157303372</v>
      </c>
      <c r="W434" s="69">
        <f t="shared" si="4404"/>
        <v>-0.95821727019498604</v>
      </c>
      <c r="X434" s="69">
        <f t="shared" si="4404"/>
        <v>-4.0000000000000036E-2</v>
      </c>
      <c r="Y434" s="69">
        <f t="shared" si="4404"/>
        <v>-0.95833333333333337</v>
      </c>
      <c r="Z434" s="69">
        <f t="shared" si="4404"/>
        <v>1.6666666666666665</v>
      </c>
      <c r="AA434" s="69">
        <f t="shared" si="4404"/>
        <v>12</v>
      </c>
      <c r="AB434" s="69">
        <f t="shared" si="4404"/>
        <v>-0.63461538461538458</v>
      </c>
      <c r="AC434" s="69">
        <f t="shared" si="4404"/>
        <v>0.81578947368421062</v>
      </c>
      <c r="AD434" s="69">
        <f t="shared" si="4404"/>
        <v>-0.46376811594202894</v>
      </c>
      <c r="AE434" s="69">
        <f t="shared" si="4404"/>
        <v>0.54054054054054057</v>
      </c>
      <c r="AF434" s="69">
        <f t="shared" si="4404"/>
        <v>-3.5087719298245612E-2</v>
      </c>
      <c r="AG434" s="69">
        <f t="shared" si="4404"/>
        <v>0.1272727272727272</v>
      </c>
      <c r="AH434" s="69">
        <f t="shared" si="4404"/>
        <v>0.467741935483871</v>
      </c>
      <c r="AI434" s="89">
        <f t="shared" ref="AI434" si="4405">IF(ISERROR(AI396/AH396),"n.a.",AI396/AH396-1)</f>
        <v>-0.63736263736263732</v>
      </c>
      <c r="AJ434" s="67">
        <f t="shared" ref="AJ434" si="4406">IF(ISERROR(AJ396/AI396),"n.a.",AJ396/AI396-1)</f>
        <v>0.55787878787878808</v>
      </c>
      <c r="AK434" s="67">
        <f t="shared" ref="AK434" si="4407">IF(ISERROR(AK396/AJ396),"n.a.",AK396/AJ396-1)</f>
        <v>2.9708227971211976E-2</v>
      </c>
      <c r="AL434" s="67">
        <f t="shared" ref="AL434" si="4408">IF(ISERROR(AL396/AK396),"n.a.",AL396/AK396-1)</f>
        <v>2.9709562066822404E-2</v>
      </c>
      <c r="AM434" s="67">
        <f t="shared" ref="AM434" si="4409">IF(ISERROR(AM396/AL396),"n.a.",AM396/AL396-1)</f>
        <v>2.9710890436999149E-2</v>
      </c>
      <c r="AN434" s="67">
        <f t="shared" ref="AN434" si="4410">IF(ISERROR(AN396/AM396),"n.a.",AN396/AM396-1)</f>
        <v>2.9712213102893292E-2</v>
      </c>
      <c r="AO434" s="67">
        <f t="shared" ref="AO434" si="4411">IF(ISERROR(AO396/AN396),"n.a.",AO396/AN396-1)</f>
        <v>2.9713530085609507E-2</v>
      </c>
      <c r="AP434" s="67">
        <f t="shared" ref="AP434" si="4412">IF(ISERROR(AP396/AO396),"n.a.",AP396/AO396-1)</f>
        <v>2.9714841406205617E-2</v>
      </c>
      <c r="AQ434" s="67">
        <f t="shared" ref="AQ434" si="4413">IF(ISERROR(AQ396/AP396),"n.a.",AQ396/AP396-1)</f>
        <v>2.9716147085692146E-2</v>
      </c>
      <c r="AR434" s="67">
        <f t="shared" ref="AR434" si="4414">IF(ISERROR(AR396/AQ396),"n.a.",AR396/AQ396-1)</f>
        <v>2.9717447145031883E-2</v>
      </c>
      <c r="AS434" s="8"/>
      <c r="AT434" s="50">
        <f>IF(ISERROR(AT396/T396),"n.a.",AT396/T396-1)</f>
        <v>-0.87848932676518887</v>
      </c>
      <c r="AU434" s="50">
        <f>IF(ISERROR(AU396/AT396),"n.a.",AU396/AT396-1)</f>
        <v>6.6081081081081079</v>
      </c>
      <c r="AV434" s="50">
        <f>IF(ISERROR(AV396/AU396),"n.a.",AV396/AU396-1)</f>
        <v>-0.11190053285968027</v>
      </c>
      <c r="AW434" s="50">
        <f>IF(ISERROR(AW396/AV396),"n.a.",AW396/AV396-1)</f>
        <v>-0.64800000000000002</v>
      </c>
      <c r="AX434" s="50">
        <f t="shared" ref="AX434:BB434" si="4415">IF(ISERROR(AX396/AW396),"n.a.",AX396/AW396-1)</f>
        <v>-0.19886363636363635</v>
      </c>
      <c r="AY434" s="50">
        <f t="shared" si="4415"/>
        <v>0.18439716312056742</v>
      </c>
      <c r="AZ434" s="50">
        <f t="shared" si="4415"/>
        <v>1.1856287425149699</v>
      </c>
      <c r="BA434" s="50">
        <f t="shared" si="4415"/>
        <v>0.36986301369863006</v>
      </c>
      <c r="BB434" s="50">
        <f t="shared" si="4415"/>
        <v>0.6180000000000001</v>
      </c>
      <c r="BC434" s="50">
        <f t="shared" ref="BC434" si="4416">IF(ISERROR(BC396/BB396),"n.a.",BC396/BB396-1)</f>
        <v>2.0988875154511741</v>
      </c>
      <c r="BD434" s="50">
        <f t="shared" ref="BD434" si="4417">IF(ISERROR(BD396/BC396),"n.a.",BD396/BC396-1)</f>
        <v>-0.94136418029517355</v>
      </c>
      <c r="BE434" s="50">
        <f t="shared" ref="BE434" si="4418">IF(ISERROR(BE396/BD396),"n.a.",BE396/BD396-1)</f>
        <v>-0.92517006802721091</v>
      </c>
      <c r="BF434" s="50">
        <f t="shared" ref="BF434" si="4419">IF(ISERROR(BF396/BE396),"n.a.",BF396/BE396-1)</f>
        <v>11.909090909090908</v>
      </c>
      <c r="BG434" s="50">
        <f t="shared" ref="BG434" si="4420">IF(ISERROR(BG396/BF396),"n.a.",BG396/BF396-1)</f>
        <v>-0.25352112676056338</v>
      </c>
      <c r="BH434" s="50">
        <f t="shared" ref="BH434:BN434" si="4421">IF(ISERROR(BH396/BG396),"n.a.",BH396/BG396-1)</f>
        <v>5.6603773584905648E-2</v>
      </c>
      <c r="BI434" s="51">
        <f t="shared" si="4421"/>
        <v>0.3660714285714286</v>
      </c>
      <c r="BJ434" s="50">
        <f t="shared" si="4421"/>
        <v>-0.44830065359477123</v>
      </c>
      <c r="BK434" s="50">
        <f t="shared" si="4421"/>
        <v>0.27292197606918633</v>
      </c>
      <c r="BL434" s="50">
        <f t="shared" si="4421"/>
        <v>6.0304534926195918E-2</v>
      </c>
      <c r="BM434" s="50">
        <f t="shared" si="4421"/>
        <v>6.0309970935181534E-2</v>
      </c>
      <c r="BN434" s="50">
        <f t="shared" si="4421"/>
        <v>6.0315360316117728E-2</v>
      </c>
    </row>
    <row r="435" spans="1:66" ht="12" hidden="1" customHeight="1" outlineLevel="1">
      <c r="B435" s="1" t="s">
        <v>67</v>
      </c>
      <c r="C435" s="54">
        <f t="shared" ref="C435:M435" si="4422">IF(ISERROR(-C398/AVERAGE(B420:C420)*1000000),"n.a.",-C398*C$5/AVERAGE(B420:C420)*1000000)</f>
        <v>195709.11727090555</v>
      </c>
      <c r="D435" s="54">
        <f t="shared" si="4422"/>
        <v>235738.72364194944</v>
      </c>
      <c r="E435" s="54">
        <f t="shared" si="4422"/>
        <v>227482.66613246078</v>
      </c>
      <c r="F435" s="54">
        <f t="shared" si="4422"/>
        <v>283566.24707341316</v>
      </c>
      <c r="G435" s="54">
        <f t="shared" si="4422"/>
        <v>218125.56400670364</v>
      </c>
      <c r="H435" s="54">
        <f t="shared" si="4422"/>
        <v>257934.79821915843</v>
      </c>
      <c r="I435" s="54">
        <f t="shared" si="4422"/>
        <v>220756.21774232486</v>
      </c>
      <c r="J435" s="54">
        <f t="shared" si="4422"/>
        <v>228790.81702611115</v>
      </c>
      <c r="K435" s="54">
        <f t="shared" si="4422"/>
        <v>240328.89821228592</v>
      </c>
      <c r="L435" s="54">
        <f t="shared" si="4422"/>
        <v>262371.0265947489</v>
      </c>
      <c r="M435" s="79">
        <f t="shared" si="4422"/>
        <v>255464.04343588641</v>
      </c>
      <c r="N435" s="79">
        <f t="shared" ref="N435" si="4423">IF(ISERROR(-N398/AVERAGE(M420:N420)*1000000),"n.a.",-N398*N$5/AVERAGE(M420:N420)*1000000)</f>
        <v>281629.41109724273</v>
      </c>
      <c r="O435" s="79">
        <f t="shared" ref="O435:AH435" si="4424">IF(ISERROR(-O398/AVERAGE(N420:O420)*1000000),"n.a.",-O398*O$5/AVERAGE(N420:O420)*1000000)</f>
        <v>289202.47344220709</v>
      </c>
      <c r="P435" s="79">
        <f t="shared" si="4424"/>
        <v>311279.1430371771</v>
      </c>
      <c r="Q435" s="79">
        <f t="shared" si="4424"/>
        <v>296519.2576082655</v>
      </c>
      <c r="R435" s="79">
        <f t="shared" si="4424"/>
        <v>280341.47968520405</v>
      </c>
      <c r="S435" s="79">
        <f t="shared" si="4424"/>
        <v>286100.06791454041</v>
      </c>
      <c r="T435" s="79">
        <f t="shared" si="4424"/>
        <v>299985.70645829861</v>
      </c>
      <c r="U435" s="79">
        <f t="shared" si="4424"/>
        <v>309242.77698119549</v>
      </c>
      <c r="V435" s="79">
        <f t="shared" si="4424"/>
        <v>328975.49277171097</v>
      </c>
      <c r="W435" s="79">
        <f t="shared" si="4424"/>
        <v>310693.30199764983</v>
      </c>
      <c r="X435" s="79">
        <f t="shared" si="4424"/>
        <v>310238.82714589738</v>
      </c>
      <c r="Y435" s="79">
        <f t="shared" si="4424"/>
        <v>315128.00458015467</v>
      </c>
      <c r="Z435" s="79">
        <f t="shared" si="4424"/>
        <v>290207.14278941811</v>
      </c>
      <c r="AA435" s="79">
        <f t="shared" si="4424"/>
        <v>282356.5815514141</v>
      </c>
      <c r="AB435" s="79">
        <f t="shared" si="4424"/>
        <v>306957.93024006445</v>
      </c>
      <c r="AC435" s="79">
        <f t="shared" si="4424"/>
        <v>324594.7391146454</v>
      </c>
      <c r="AD435" s="79">
        <f t="shared" si="4424"/>
        <v>348075.70670948277</v>
      </c>
      <c r="AE435" s="79">
        <f t="shared" si="4424"/>
        <v>355391.25077017868</v>
      </c>
      <c r="AF435" s="79">
        <f t="shared" si="4424"/>
        <v>346093.08542957832</v>
      </c>
      <c r="AG435" s="79">
        <f t="shared" si="4424"/>
        <v>345906.8158017337</v>
      </c>
      <c r="AH435" s="79">
        <f t="shared" si="4424"/>
        <v>347927.00560894632</v>
      </c>
      <c r="AI435" s="90">
        <f t="shared" ref="AI435" si="4425">IF(ISERROR(-AI398/AVERAGE(AH420:AI420)*1000000),"n.a.",-AI398*AI$5/AVERAGE(AH420:AI420)*1000000)</f>
        <v>359247.37328591209</v>
      </c>
      <c r="AJ435" s="79">
        <f t="shared" ref="AJ435" si="4426">IF(ISERROR(-AJ398/AVERAGE(AI420:AJ420)*1000000),"n.a.",-AJ398*AJ$5/AVERAGE(AI420:AJ420)*1000000)</f>
        <v>364004.29797014623</v>
      </c>
      <c r="AK435" s="79">
        <f t="shared" ref="AK435" si="4427">IF(ISERROR(-AK398/AVERAGE(AJ420:AK420)*1000000),"n.a.",-AK398*AK$5/AVERAGE(AJ420:AK420)*1000000)</f>
        <v>369254.29366531165</v>
      </c>
      <c r="AL435" s="79">
        <f t="shared" ref="AL435" si="4428">IF(ISERROR(-AL398/AVERAGE(AK420:AL420)*1000000),"n.a.",-AL398*AL$5/AVERAGE(AK420:AL420)*1000000)</f>
        <v>374727.89375166129</v>
      </c>
      <c r="AM435" s="79">
        <f t="shared" ref="AM435" si="4429">IF(ISERROR(-AM398/AVERAGE(AL420:AM420)*1000000),"n.a.",-AM398*AM$5/AVERAGE(AL420:AM420)*1000000)</f>
        <v>380282.71870561299</v>
      </c>
      <c r="AN435" s="79">
        <f t="shared" ref="AN435" si="4430">IF(ISERROR(-AN398/AVERAGE(AM420:AN420)*1000000),"n.a.",-AN398*AN$5/AVERAGE(AM420:AN420)*1000000)</f>
        <v>385919.97579802235</v>
      </c>
      <c r="AO435" s="79">
        <f t="shared" ref="AO435" si="4431">IF(ISERROR(-AO398/AVERAGE(AN420:AO420)*1000000),"n.a.",-AO398*AO$5/AVERAGE(AN420:AO420)*1000000)</f>
        <v>391640.89027817117</v>
      </c>
      <c r="AP435" s="79">
        <f t="shared" ref="AP435" si="4432">IF(ISERROR(-AP398/AVERAGE(AO420:AP420)*1000000),"n.a.",-AP398*AP$5/AVERAGE(AO420:AP420)*1000000)</f>
        <v>397446.70564201125</v>
      </c>
      <c r="AQ435" s="79">
        <f t="shared" ref="AQ435" si="4433">IF(ISERROR(-AQ398/AVERAGE(AP420:AQ420)*1000000),"n.a.",-AQ398*AQ$5/AVERAGE(AP420:AQ420)*1000000)</f>
        <v>403338.6839044175</v>
      </c>
      <c r="AR435" s="79">
        <f t="shared" ref="AR435" si="4434">IF(ISERROR(-AR398/AVERAGE(AQ420:AR420)*1000000),"n.a.",-AR398*AR$5/AVERAGE(AQ420:AR420)*1000000)</f>
        <v>409318.10587550944</v>
      </c>
      <c r="AS435" s="8"/>
      <c r="AT435" s="54">
        <f>IF(ISERROR(-AT398/AVERAGE(T420:AT420)*1000000),"n.a.",-AT398*AT$5/AVERAGE(T420:AT420)*1000000)</f>
        <v>213991.63824450425</v>
      </c>
      <c r="AU435" s="54">
        <f>IF(ISERROR(-AU398/AVERAGE(AT420:AU420)*1000000),"n.a.",-AU398*AU$5/AVERAGE(AT420:AU420)*1000000)</f>
        <v>255099.59203263739</v>
      </c>
      <c r="AV435" s="54">
        <f>IF(ISERROR(-AV398/AVERAGE(AU420:AV420)*1000000),"n.a.",-AV398*AV$5/AVERAGE(AU420:AV420)*1000000)</f>
        <v>232657.41728922093</v>
      </c>
      <c r="AW435" s="54">
        <f>IF(ISERROR(-AW398/AVERAGE(AV420:AW420)*1000000),"n.a.",-AW398*AW$5/AVERAGE(AV420:AW420)*1000000)</f>
        <v>220803.48800996575</v>
      </c>
      <c r="AX435" s="54">
        <f t="shared" ref="AX435:BB435" si="4435">IF(ISERROR(-AX398/AVERAGE(AW420:AX420)*1000000),"n.a.",-AX398*AX$5/AVERAGE(AW420:AX420)*1000000)</f>
        <v>250725.10473735092</v>
      </c>
      <c r="AY435" s="54">
        <f t="shared" si="4435"/>
        <v>266497.86358601047</v>
      </c>
      <c r="AZ435" s="54">
        <f t="shared" si="4435"/>
        <v>296458.10578873463</v>
      </c>
      <c r="BA435" s="54">
        <f t="shared" si="4435"/>
        <v>286125.78012482001</v>
      </c>
      <c r="BB435" s="54">
        <f t="shared" si="4435"/>
        <v>287857.47773089545</v>
      </c>
      <c r="BC435" s="54">
        <f t="shared" ref="BC435" si="4436">IF(ISERROR(-BC398/AVERAGE(BB420:BC420)*1000000),"n.a.",-BC398*BC$5/AVERAGE(BB420:BC420)*1000000)</f>
        <v>330617.60840998689</v>
      </c>
      <c r="BD435" s="54">
        <f t="shared" ref="BD435" si="4437">IF(ISERROR(-BD398/AVERAGE(BC420:BD420)*1000000),"n.a.",-BD398*BD$5/AVERAGE(BC420:BD420)*1000000)</f>
        <v>312900.92658588738</v>
      </c>
      <c r="BE435" s="54">
        <f t="shared" ref="BE435" si="4438">IF(ISERROR(-BE398/AVERAGE(BD420:BE420)*1000000),"n.a.",-BE398*BE$5/AVERAGE(BD420:BE420)*1000000)</f>
        <v>306255.37667445</v>
      </c>
      <c r="BF435" s="54">
        <f t="shared" ref="BF435" si="4439">IF(ISERROR(-BF398/AVERAGE(BE420:BF420)*1000000),"n.a.",-BF398*BF$5/AVERAGE(BE420:BF420)*1000000)</f>
        <v>287754.83703415137</v>
      </c>
      <c r="BG435" s="54">
        <f t="shared" ref="BG435" si="4440">IF(ISERROR(-BG398/AVERAGE(BF420:BG420)*1000000),"n.a.",-BG398*BG$5/AVERAGE(BF420:BG420)*1000000)</f>
        <v>337330.75435203098</v>
      </c>
      <c r="BH435" s="54">
        <f t="shared" ref="BH435:BJ435" si="4441">IF(ISERROR(-BH398/AVERAGE(BG420:BH420)*1000000),"n.a.",-BH398*BH$5/AVERAGE(BG420:BH420)*1000000)</f>
        <v>352521.52521525213</v>
      </c>
      <c r="BI435" s="53">
        <f t="shared" si="4441"/>
        <v>348017.62114537443</v>
      </c>
      <c r="BJ435" s="54">
        <f t="shared" si="4441"/>
        <v>361973.8861021609</v>
      </c>
      <c r="BK435" s="54">
        <f>IF(ISERROR(-BK398/AVERAGE(BK420:BK420)*1000000),"n.a.",-BK398*BK$5/AVERAGE(BK420:BK420)*1000000)</f>
        <v>368952.93029309332</v>
      </c>
      <c r="BL435" s="54">
        <f>IF(ISERROR(-BL398/AVERAGE(BL420:BL420)*1000000),"n.a.",-BL398*BL$5/AVERAGE(BL420:BL420)*1000000)</f>
        <v>379980.16329308983</v>
      </c>
      <c r="BM435" s="54">
        <f>IF(ISERROR(-BM398/AVERAGE(BM420:BM420)*1000000),"n.a.",-BM398*BM$5/AVERAGE(BM420:BM420)*1000000)</f>
        <v>391312.75955058454</v>
      </c>
      <c r="BN435" s="54">
        <f>IF(ISERROR(-BN398/AVERAGE(BN420:BN420)*1000000),"n.a.",-BN398*BN$5/AVERAGE(BN420:BN420)*1000000)</f>
        <v>402996.39971241198</v>
      </c>
    </row>
    <row r="436" spans="1:66" ht="12" hidden="1" customHeight="1" outlineLevel="1">
      <c r="B436" s="1" t="s">
        <v>78</v>
      </c>
      <c r="C436" s="50">
        <f t="shared" ref="C436:O436" si="4442">IF(ISERROR(-C398/C397),"n.a.",-C398/C397)</f>
        <v>0.23990208078335373</v>
      </c>
      <c r="D436" s="50">
        <f t="shared" si="4442"/>
        <v>0.24391480730223122</v>
      </c>
      <c r="E436" s="50">
        <f t="shared" si="4442"/>
        <v>0.31009771986970686</v>
      </c>
      <c r="F436" s="50">
        <f t="shared" si="4442"/>
        <v>0.27584586466165412</v>
      </c>
      <c r="G436" s="50">
        <f t="shared" si="4442"/>
        <v>0.34558823529411764</v>
      </c>
      <c r="H436" s="50">
        <f t="shared" si="4442"/>
        <v>0.26552335895919577</v>
      </c>
      <c r="I436" s="50">
        <f t="shared" si="4442"/>
        <v>0.31370826010544817</v>
      </c>
      <c r="J436" s="50">
        <f t="shared" si="4442"/>
        <v>0.23576691225720026</v>
      </c>
      <c r="K436" s="50">
        <f t="shared" ref="K436:L436" si="4443">IF(ISERROR(-K398/K397),"n.a.",-K398/K397)</f>
        <v>0.2539356605065024</v>
      </c>
      <c r="L436" s="50">
        <f t="shared" si="4443"/>
        <v>0.2138728323699422</v>
      </c>
      <c r="M436" s="69">
        <f t="shared" ref="M436" si="4444">IF(ISERROR(-M398/M397),"n.a.",-M398/M397)</f>
        <v>0.2507836990595611</v>
      </c>
      <c r="N436" s="69">
        <f t="shared" si="4442"/>
        <v>0.20018115942028986</v>
      </c>
      <c r="O436" s="69">
        <f t="shared" si="4442"/>
        <v>0.22298288508557457</v>
      </c>
      <c r="P436" s="69">
        <f t="shared" ref="P436:Q436" si="4445">IF(ISERROR(-P398/P397),"n.a.",-P398/P397)</f>
        <v>0.24395061728395062</v>
      </c>
      <c r="Q436" s="69">
        <f t="shared" si="4445"/>
        <v>0.22784810126582278</v>
      </c>
      <c r="R436" s="69">
        <f t="shared" ref="R436:S436" si="4446">IF(ISERROR(-R398/R397),"n.a.",-R398/R397)</f>
        <v>0.20285714285714285</v>
      </c>
      <c r="S436" s="69">
        <f t="shared" si="4446"/>
        <v>0.23211446740858505</v>
      </c>
      <c r="T436" s="69">
        <f t="shared" ref="T436" si="4447">IF(ISERROR(-T398/T397),"n.a.",-T398/T397)</f>
        <v>0.19475806451612904</v>
      </c>
      <c r="U436" s="69">
        <f t="shared" ref="U436" si="4448">IF(ISERROR(-U398/U397),"n.a.",-U398/U397)</f>
        <v>0.18178954001260239</v>
      </c>
      <c r="V436" s="69">
        <f t="shared" ref="V436:W436" si="4449">IF(ISERROR(-V398/V397),"n.a.",-V398/V397)</f>
        <v>0.16634098680996581</v>
      </c>
      <c r="W436" s="69">
        <f t="shared" si="4449"/>
        <v>0.25982704402515722</v>
      </c>
      <c r="X436" s="69">
        <f t="shared" ref="X436" si="4450">IF(ISERROR(-X398/X397),"n.a.",-X398/X397)</f>
        <v>0.32411067193675891</v>
      </c>
      <c r="Y436" s="69">
        <f t="shared" ref="Y436:Z436" si="4451">IF(ISERROR(-Y398/Y397),"n.a.",-Y398/Y397)</f>
        <v>0.2770071458596049</v>
      </c>
      <c r="Z436" s="69">
        <f t="shared" si="4451"/>
        <v>0.1975765735442612</v>
      </c>
      <c r="AA436" s="69">
        <f t="shared" ref="AA436:AB436" si="4452">IF(ISERROR(-AA398/AA397),"n.a.",-AA398/AA397)</f>
        <v>0.1744186046511628</v>
      </c>
      <c r="AB436" s="69">
        <f t="shared" si="4452"/>
        <v>0.13769696969696971</v>
      </c>
      <c r="AC436" s="69">
        <f t="shared" ref="AC436" si="4453">IF(ISERROR(-AC398/AC397),"n.a.",-AC398/AC397)</f>
        <v>0.13742819266460451</v>
      </c>
      <c r="AD436" s="69">
        <f t="shared" ref="AD436" si="4454">IF(ISERROR(-AD398/AD397),"n.a.",-AD398/AD397)</f>
        <v>0.106886880648177</v>
      </c>
      <c r="AE436" s="69">
        <f t="shared" ref="AE436" si="4455">IF(ISERROR(-AE398/AE397),"n.a.",-AE398/AE397)</f>
        <v>0.1737768136900458</v>
      </c>
      <c r="AF436" s="69">
        <f t="shared" ref="AF436:AG436" si="4456">IF(ISERROR(-AF398/AF397),"n.a.",-AF398/AF397)</f>
        <v>0.14879832810867294</v>
      </c>
      <c r="AG436" s="69">
        <f t="shared" si="4456"/>
        <v>0.17677642980935876</v>
      </c>
      <c r="AH436" s="69">
        <f t="shared" ref="AH436" si="4457">IF(ISERROR(-AH398/AH397),"n.a.",-AH398/AH397)</f>
        <v>0.15334632878492527</v>
      </c>
      <c r="AI436" s="89">
        <f t="shared" ref="AI436" si="4458">IF(ISERROR(-AI398/AI397),"n.a.",-AI398/AI397)</f>
        <v>0.16693308974651747</v>
      </c>
      <c r="AJ436" s="69">
        <f t="shared" ref="AJ436:AK436" si="4459">IF(ISERROR(-AJ398/AJ397),"n.a.",-AJ398/AJ397)</f>
        <v>0.14030038330508757</v>
      </c>
      <c r="AK436" s="69">
        <f t="shared" si="4459"/>
        <v>0.1524266081276909</v>
      </c>
      <c r="AL436" s="69">
        <f t="shared" ref="AL436:AM436" si="4460">IF(ISERROR(-AL398/AL397),"n.a.",-AL398/AL397)</f>
        <v>0.14554239250051182</v>
      </c>
      <c r="AM436" s="69">
        <f t="shared" si="4460"/>
        <v>0.15040007446294981</v>
      </c>
      <c r="AN436" s="69">
        <f t="shared" ref="AN436:AO436" si="4461">IF(ISERROR(-AN398/AN397),"n.a.",-AN398/AN397)</f>
        <v>0.14206814440733764</v>
      </c>
      <c r="AO436" s="69">
        <f t="shared" si="4461"/>
        <v>0.14955468185608276</v>
      </c>
      <c r="AP436" s="69">
        <f t="shared" ref="AP436:AQ436" si="4462">IF(ISERROR(-AP398/AP397),"n.a.",-AP398/AP397)</f>
        <v>0.14091208672125138</v>
      </c>
      <c r="AQ436" s="69">
        <f t="shared" si="4462"/>
        <v>0.14761470680224942</v>
      </c>
      <c r="AR436" s="69">
        <f t="shared" ref="AR436" si="4463">IF(ISERROR(-AR398/AR397),"n.a.",-AR398/AR397)</f>
        <v>0.14125754461160908</v>
      </c>
      <c r="AS436" s="8"/>
      <c r="AT436" s="50">
        <f t="shared" ref="AT436:BB436" si="4464">IF(ISERROR(-AT398/AT397),"n.a.",-AT398/AT397)</f>
        <v>0.24209650582362729</v>
      </c>
      <c r="AU436" s="50">
        <f t="shared" si="4464"/>
        <v>0.29019929019929019</v>
      </c>
      <c r="AV436" s="50">
        <f t="shared" si="4464"/>
        <v>0.29914236706689534</v>
      </c>
      <c r="AW436" s="50">
        <f t="shared" si="4464"/>
        <v>0.26947928544279742</v>
      </c>
      <c r="AX436" s="50">
        <f t="shared" si="4464"/>
        <v>0.23127229488703924</v>
      </c>
      <c r="AY436" s="50">
        <f t="shared" si="4464"/>
        <v>0.2214041546147778</v>
      </c>
      <c r="AZ436" s="50">
        <f t="shared" si="4464"/>
        <v>0.2334152334152334</v>
      </c>
      <c r="BA436" s="50">
        <f t="shared" si="4464"/>
        <v>0.21521425132402502</v>
      </c>
      <c r="BB436" s="50">
        <f t="shared" si="4464"/>
        <v>0.21089993130295398</v>
      </c>
      <c r="BC436" s="50">
        <f t="shared" ref="BC436:BH436" si="4465">IF(ISERROR(-BC398/BC397),"n.a.",-BC398/BC397)</f>
        <v>0.17308750687947166</v>
      </c>
      <c r="BD436" s="50">
        <f t="shared" si="4465"/>
        <v>0.20736891828058573</v>
      </c>
      <c r="BE436" s="50">
        <f t="shared" si="4465"/>
        <v>0.17990181923187987</v>
      </c>
      <c r="BF436" s="50">
        <f t="shared" si="4465"/>
        <v>0.12018657121162817</v>
      </c>
      <c r="BG436" s="50">
        <f t="shared" si="4465"/>
        <v>0.11951754385964912</v>
      </c>
      <c r="BH436" s="50">
        <f t="shared" si="4465"/>
        <v>0.16039847772554286</v>
      </c>
      <c r="BI436" s="51">
        <f t="shared" ref="BI436" si="4466">IF(ISERROR(-BI398/BI397),"n.a.",-BI398/BI397)</f>
        <v>0.16427911275415896</v>
      </c>
      <c r="BJ436" s="50">
        <f t="shared" ref="BJ436:BK436" si="4467">IF(ISERROR(-BJ398/BJ397),"n.a.",-BJ398/BJ397)</f>
        <v>0.17281444584808661</v>
      </c>
      <c r="BK436" s="50">
        <f t="shared" si="4467"/>
        <v>0.16902745981900832</v>
      </c>
      <c r="BL436" s="50">
        <f t="shared" ref="BL436" si="4468">IF(ISERROR(-BL398/BL397),"n.a.",-BL398/BL397)</f>
        <v>0.16679927350757359</v>
      </c>
      <c r="BM436" s="50">
        <f t="shared" ref="BM436" si="4469">IF(ISERROR(-BM398/BM397),"n.a.",-BM398/BM397)</f>
        <v>0.16681743521181761</v>
      </c>
      <c r="BN436" s="50">
        <f t="shared" ref="BN436" si="4470">IF(ISERROR(-BN398/BN397),"n.a.",-BN398/BN397)</f>
        <v>0.16645657840960146</v>
      </c>
    </row>
    <row r="437" spans="1:66" ht="12" hidden="1" customHeight="1" outlineLevel="1">
      <c r="B437" s="1" t="s">
        <v>1110</v>
      </c>
      <c r="C437" s="69" t="str">
        <f t="shared" ref="C437:BB437" si="4471">IF(OR(ISERROR(-(C398+C408)/C397),C408=""),"n.a.",-(C398+C408)/C397)</f>
        <v>n.a.</v>
      </c>
      <c r="D437" s="69" t="str">
        <f t="shared" si="4471"/>
        <v>n.a.</v>
      </c>
      <c r="E437" s="69" t="str">
        <f t="shared" si="4471"/>
        <v>n.a.</v>
      </c>
      <c r="F437" s="69" t="str">
        <f t="shared" si="4471"/>
        <v>n.a.</v>
      </c>
      <c r="G437" s="69">
        <f t="shared" si="4471"/>
        <v>0.40231340180798225</v>
      </c>
      <c r="H437" s="69">
        <f t="shared" si="4471"/>
        <v>0.66599291319615384</v>
      </c>
      <c r="I437" s="69">
        <f t="shared" si="4471"/>
        <v>0.74227266528494751</v>
      </c>
      <c r="J437" s="69">
        <f t="shared" si="4471"/>
        <v>0.59587102238536749</v>
      </c>
      <c r="K437" s="69">
        <f t="shared" si="4471"/>
        <v>-3.9139940393027319</v>
      </c>
      <c r="L437" s="69">
        <f t="shared" ref="L437:M437" si="4472">IF(OR(ISERROR(-(L398+L408)/L397),L408=""),"n.a.",-(L398+L408)/L397)</f>
        <v>-31.128271379002712</v>
      </c>
      <c r="M437" s="69">
        <f t="shared" si="4472"/>
        <v>0.43978625477435446</v>
      </c>
      <c r="N437" s="69">
        <f t="shared" ref="N437:O437" si="4473">IF(OR(ISERROR(-(N398+N408)/N397),N408=""),"n.a.",-(N398+N408)/N397)</f>
        <v>0.40427712803107546</v>
      </c>
      <c r="O437" s="69">
        <f t="shared" si="4473"/>
        <v>0.39755875026826409</v>
      </c>
      <c r="P437" s="69">
        <f t="shared" ref="P437:Q437" si="4474">IF(OR(ISERROR(-(P398+P408)/P397),P408=""),"n.a.",-(P398+P408)/P397)</f>
        <v>0.43588053532104365</v>
      </c>
      <c r="Q437" s="69">
        <f t="shared" si="4474"/>
        <v>1.0503729703941991</v>
      </c>
      <c r="R437" s="69">
        <f t="shared" ref="R437:S437" si="4475">IF(OR(ISERROR(-(R398+R408)/R397),R408=""),"n.a.",-(R398+R408)/R397)</f>
        <v>0.88060407866773482</v>
      </c>
      <c r="S437" s="69">
        <f t="shared" si="4475"/>
        <v>0.88107860531786075</v>
      </c>
      <c r="T437" s="69">
        <f t="shared" ref="T437" si="4476">IF(OR(ISERROR(-(T398+T408)/T397),T408=""),"n.a.",-(T398+T408)/T397)</f>
        <v>0.89795758389326608</v>
      </c>
      <c r="U437" s="69">
        <f t="shared" ref="U437" si="4477">IF(OR(ISERROR(-(U398+U408)/U397),U408=""),"n.a.",-(U398+U408)/U397)</f>
        <v>0.39307281380471465</v>
      </c>
      <c r="V437" s="69">
        <f t="shared" ref="V437:W437" si="4478">IF(OR(ISERROR(-(V398+V408)/V397),V408=""),"n.a.",-(V398+V408)/V397)</f>
        <v>0.45887106436157704</v>
      </c>
      <c r="W437" s="69">
        <f t="shared" si="4478"/>
        <v>0.52846966514736882</v>
      </c>
      <c r="X437" s="69">
        <f t="shared" ref="X437" si="4479">IF(OR(ISERROR(-(X398+X408)/X397),X408=""),"n.a.",-(X398+X408)/X397)</f>
        <v>0.72716621288275241</v>
      </c>
      <c r="Y437" s="69">
        <f t="shared" ref="Y437:Z437" si="4480">IF(OR(ISERROR(-(Y398+Y408)/Y397),Y408=""),"n.a.",-(Y398+Y408)/Y397)</f>
        <v>0.51580062125256709</v>
      </c>
      <c r="Z437" s="69">
        <f t="shared" si="4480"/>
        <v>0.58188652743044023</v>
      </c>
      <c r="AA437" s="69">
        <f t="shared" ref="AA437:AB437" si="4481">IF(OR(ISERROR(-(AA398+AA408)/AA397),AA408=""),"n.a.",-(AA398+AA408)/AA397)</f>
        <v>0.58164651378396992</v>
      </c>
      <c r="AB437" s="69">
        <f t="shared" si="4481"/>
        <v>0.29394273439168905</v>
      </c>
      <c r="AC437" s="69">
        <f t="shared" ref="AC437" si="4482">IF(OR(ISERROR(-(AC398+AC408)/AC397),AC408=""),"n.a.",-(AC398+AC408)/AC397)</f>
        <v>0.34701621417399547</v>
      </c>
      <c r="AD437" s="69">
        <f t="shared" ref="AD437" si="4483">IF(OR(ISERROR(-(AD398+AD408)/AD397),AD408=""),"n.a.",-(AD398+AD408)/AD397)</f>
        <v>0.26608037874320478</v>
      </c>
      <c r="AE437" s="69">
        <f t="shared" ref="AE437" si="4484">IF(OR(ISERROR(-(AE398+AE408)/AE397),AE408=""),"n.a.",-(AE398+AE408)/AE397)</f>
        <v>0.32109342579798289</v>
      </c>
      <c r="AF437" s="69">
        <f t="shared" ref="AF437:AG437" si="4485">IF(OR(ISERROR(-(AF398+AF408)/AF397),AF408=""),"n.a.",-(AF398+AF408)/AF397)</f>
        <v>0.27854093945893149</v>
      </c>
      <c r="AG437" s="69">
        <f t="shared" si="4485"/>
        <v>0.28079810488822621</v>
      </c>
      <c r="AH437" s="69">
        <f>IF(OR(ISERROR(-(AH398+AH408)/AH397),AH408=""),"n.a.",-(AH398+AH408)/AH397)</f>
        <v>0.30414022714217653</v>
      </c>
      <c r="AI437" s="89">
        <f t="shared" ref="AI437" si="4486">IF(OR(ISERROR(-(AI398+AI408)/AI397),AI408=""),"n.a.",-(AI398+AI408)/AI397)</f>
        <v>0.24285241019076323</v>
      </c>
      <c r="AJ437" s="69">
        <f t="shared" ref="AJ437:AK437" si="4487">IF(OR(ISERROR(-(AJ398+AJ408)/AJ397),AJ408=""),"n.a.",-(AJ398+AJ408)/AJ397)</f>
        <v>0.30918904347823811</v>
      </c>
      <c r="AK437" s="69">
        <f t="shared" si="4487"/>
        <v>0.32640934363358659</v>
      </c>
      <c r="AL437" s="69">
        <f t="shared" ref="AL437:AM437" si="4488">IF(OR(ISERROR(-(AL398+AL408)/AL397),AL408=""),"n.a.",-(AL398+AL408)/AL397)</f>
        <v>0.32642562274147796</v>
      </c>
      <c r="AM437" s="69">
        <f t="shared" si="4488"/>
        <v>0.33049757803048946</v>
      </c>
      <c r="AN437" s="69">
        <f t="shared" ref="AN437:AO437" si="4489">IF(OR(ISERROR(-(AN398+AN408)/AN397),AN408=""),"n.a.",-(AN398+AN408)/AN397)</f>
        <v>0.32281376585822236</v>
      </c>
      <c r="AO437" s="69">
        <f t="shared" si="4489"/>
        <v>0.32921527680252266</v>
      </c>
      <c r="AP437" s="69">
        <f t="shared" ref="AP437:AQ437" si="4490">IF(OR(ISERROR(-(AP398+AP408)/AP397),AP408=""),"n.a.",-(AP398+AP408)/AP397)</f>
        <v>0.32129472205601151</v>
      </c>
      <c r="AQ437" s="69">
        <f t="shared" si="4490"/>
        <v>0.32706581260264411</v>
      </c>
      <c r="AR437" s="69">
        <f t="shared" ref="AR437" si="4491">IF(OR(ISERROR(-(AR398+AR408)/AR397),AR408=""),"n.a.",-(AR398+AR408)/AR397)</f>
        <v>0.32127277702153689</v>
      </c>
      <c r="AT437" s="69" t="str">
        <f t="shared" si="4471"/>
        <v>n.a.</v>
      </c>
      <c r="AU437" s="69" t="str">
        <f t="shared" si="4471"/>
        <v>n.a.</v>
      </c>
      <c r="AV437" s="69">
        <f t="shared" si="4471"/>
        <v>0.55527465524105191</v>
      </c>
      <c r="AW437" s="69">
        <f t="shared" si="4471"/>
        <v>0.65919488008955673</v>
      </c>
      <c r="AX437" s="69">
        <f t="shared" si="4471"/>
        <v>-19.308991000494487</v>
      </c>
      <c r="AY437" s="69">
        <f t="shared" si="4471"/>
        <v>0.4191698593367631</v>
      </c>
      <c r="AZ437" s="69">
        <f t="shared" si="4471"/>
        <v>0.41662548607462246</v>
      </c>
      <c r="BA437" s="69">
        <f t="shared" si="4471"/>
        <v>0.96454854270388246</v>
      </c>
      <c r="BB437" s="69">
        <f t="shared" si="4471"/>
        <v>0.89066410265401941</v>
      </c>
      <c r="BC437" s="69">
        <f t="shared" ref="BC437:BH437" si="4492">IF(OR(ISERROR(-(BC398+BC408)/BC397),BC408=""),"n.a.",-(BC398+BC408)/BC397)</f>
        <v>0.43013638532092197</v>
      </c>
      <c r="BD437" s="69">
        <f t="shared" si="4492"/>
        <v>0.4434280023633439</v>
      </c>
      <c r="BE437" s="69">
        <f t="shared" si="4492"/>
        <v>0.42677946158759678</v>
      </c>
      <c r="BF437" s="69">
        <f t="shared" si="4492"/>
        <v>0.32685664237345569</v>
      </c>
      <c r="BG437" s="69">
        <f t="shared" si="4492"/>
        <v>0.2995521981108728</v>
      </c>
      <c r="BH437" s="69">
        <f t="shared" si="4492"/>
        <v>0.29830255416910884</v>
      </c>
      <c r="BI437" s="89">
        <f t="shared" ref="BI437" si="4493">IF(OR(ISERROR(-(BI398+BI408)/BI397),BI408=""),"n.a.",-(BI398+BI408)/BI397)</f>
        <v>0.29324849518934548</v>
      </c>
      <c r="BJ437" s="69">
        <f t="shared" ref="BJ437:BK437" si="4494">IF(OR(ISERROR(-(BJ398+BJ408)/BJ397),BJ408=""),"n.a.",-(BJ398+BJ408)/BJ397)</f>
        <v>0.3164460883935068</v>
      </c>
      <c r="BK437" s="69">
        <f t="shared" si="4494"/>
        <v>0.37060335813067385</v>
      </c>
      <c r="BL437" s="69">
        <f t="shared" ref="BL437" si="4495">IF(OR(ISERROR(-(BL398+BL408)/BL397),BL408=""),"n.a.",-(BL398+BL408)/BL397)</f>
        <v>0.37284308137975292</v>
      </c>
      <c r="BM437" s="69">
        <f t="shared" ref="BM437" si="4496">IF(OR(ISERROR(-(BM398+BM408)/BM397),BM408=""),"n.a.",-(BM398+BM408)/BM397)</f>
        <v>0.37384619685723214</v>
      </c>
      <c r="BN437" s="69">
        <f t="shared" ref="BN437" si="4497">IF(OR(ISERROR(-(BN398+BN408)/BN397),BN408=""),"n.a.",-(BN398+BN408)/BN397)</f>
        <v>0.3737417540145172</v>
      </c>
    </row>
    <row r="438" spans="1:66" ht="12" hidden="1" customHeight="1" outlineLevel="1">
      <c r="B438" s="1" t="s">
        <v>79</v>
      </c>
      <c r="C438" s="37">
        <f t="shared" ref="C438:M438" si="4498">IF(ISERROR(-C400*C$5/AVERAGE(B414:C414)),"n.a.",-C400*C$5/AVERAGE(B414:C414))</f>
        <v>1.4256632706216896E-2</v>
      </c>
      <c r="D438" s="37">
        <f t="shared" si="4498"/>
        <v>1.5664784863570161E-2</v>
      </c>
      <c r="E438" s="37">
        <f t="shared" si="4498"/>
        <v>1.5927716291756194E-2</v>
      </c>
      <c r="F438" s="37">
        <f t="shared" si="4498"/>
        <v>1.7569278843694119E-2</v>
      </c>
      <c r="G438" s="37">
        <f t="shared" si="4498"/>
        <v>1.5254140816210371E-2</v>
      </c>
      <c r="H438" s="37">
        <f t="shared" si="4498"/>
        <v>1.5911785475960637E-2</v>
      </c>
      <c r="I438" s="37">
        <f t="shared" si="4498"/>
        <v>1.4046326975433487E-2</v>
      </c>
      <c r="J438" s="37">
        <f t="shared" si="4498"/>
        <v>1.4475078045891883E-2</v>
      </c>
      <c r="K438" s="37">
        <f t="shared" si="4498"/>
        <v>1.5409087751136171E-2</v>
      </c>
      <c r="L438" s="37">
        <f t="shared" si="4498"/>
        <v>1.4846264846264846E-2</v>
      </c>
      <c r="M438" s="78">
        <f t="shared" si="4498"/>
        <v>1.485250327395863E-2</v>
      </c>
      <c r="N438" s="78">
        <f t="shared" ref="N438" si="4499">IF(ISERROR(-N400*N$5/AVERAGE(M414:N414)),"n.a.",-N400*N$5/AVERAGE(M414:N414))</f>
        <v>1.362595974758332E-2</v>
      </c>
      <c r="O438" s="78">
        <f t="shared" ref="O438:AH438" si="4500">IF(ISERROR(-O400*O$5/AVERAGE(N414:O414)),"n.a.",-O400*O$5/AVERAGE(N414:O414))</f>
        <v>1.2205889753548995E-2</v>
      </c>
      <c r="P438" s="78">
        <f t="shared" si="4500"/>
        <v>1.3483677280571118E-2</v>
      </c>
      <c r="Q438" s="78">
        <f t="shared" si="4500"/>
        <v>1.4001497103619753E-2</v>
      </c>
      <c r="R438" s="78">
        <f t="shared" si="4500"/>
        <v>1.4411879472819692E-2</v>
      </c>
      <c r="S438" s="78">
        <f t="shared" si="4500"/>
        <v>1.4691552023154036E-2</v>
      </c>
      <c r="T438" s="78">
        <f t="shared" si="4500"/>
        <v>1.5657704305676343E-2</v>
      </c>
      <c r="U438" s="78">
        <f t="shared" si="4500"/>
        <v>1.6298438968312665E-2</v>
      </c>
      <c r="V438" s="78">
        <f t="shared" si="4500"/>
        <v>1.7034971749092166E-2</v>
      </c>
      <c r="W438" s="78">
        <f t="shared" si="4500"/>
        <v>1.7515415575959131E-2</v>
      </c>
      <c r="X438" s="78">
        <f t="shared" si="4500"/>
        <v>1.5031020764995207E-2</v>
      </c>
      <c r="Y438" s="78">
        <f t="shared" si="4500"/>
        <v>1.3717736542851822E-2</v>
      </c>
      <c r="Z438" s="78">
        <f t="shared" si="4500"/>
        <v>1.7263795525435652E-2</v>
      </c>
      <c r="AA438" s="78">
        <f t="shared" si="4500"/>
        <v>1.140551151959201E-2</v>
      </c>
      <c r="AB438" s="78">
        <f t="shared" si="4500"/>
        <v>1.1285791126729935E-2</v>
      </c>
      <c r="AC438" s="78">
        <f t="shared" si="4500"/>
        <v>9.4958520417896541E-3</v>
      </c>
      <c r="AD438" s="78">
        <f t="shared" si="4500"/>
        <v>1.1841067155646159E-2</v>
      </c>
      <c r="AE438" s="78">
        <f t="shared" si="4500"/>
        <v>1.5884890724844242E-2</v>
      </c>
      <c r="AF438" s="78">
        <f t="shared" si="4500"/>
        <v>1.5785497370565144E-2</v>
      </c>
      <c r="AG438" s="78">
        <f t="shared" si="4500"/>
        <v>1.5251688171998045E-2</v>
      </c>
      <c r="AH438" s="78">
        <f t="shared" si="4500"/>
        <v>1.5225302415962304E-2</v>
      </c>
      <c r="AI438" s="88">
        <f t="shared" ref="AI438" si="4501">IF(ISERROR(-AI400*AI$5/AVERAGE(AH414:AI414)),"n.a.",-AI400*AI$5/AVERAGE(AH414:AI414))</f>
        <v>1.4816856991874183E-2</v>
      </c>
      <c r="AJ438" s="77">
        <f t="shared" ref="AJ438" si="4502">IF(ISERROR(-AJ400*AJ$5/AVERAGE(AI414:AJ414)),"n.a.",-AJ400*AJ$5/AVERAGE(AI414:AJ414))</f>
        <v>1.3441304292688689E-2</v>
      </c>
      <c r="AK438" s="77">
        <f t="shared" ref="AK438" si="4503">IF(ISERROR(-AK400*AK$5/AVERAGE(AJ414:AK414)),"n.a.",-AK400*AK$5/AVERAGE(AJ414:AK414))</f>
        <v>1.3083970196674911E-2</v>
      </c>
      <c r="AL438" s="77">
        <f t="shared" ref="AL438" si="4504">IF(ISERROR(-AL400*AL$5/AVERAGE(AK414:AL414)),"n.a.",-AL400*AL$5/AVERAGE(AK414:AL414))</f>
        <v>1.2730107960473094E-2</v>
      </c>
      <c r="AM438" s="77">
        <f t="shared" ref="AM438" si="4505">IF(ISERROR(-AM400*AM$5/AVERAGE(AL414:AM414)),"n.a.",-AM400*AM$5/AVERAGE(AL414:AM414))</f>
        <v>1.2379613428288878E-2</v>
      </c>
      <c r="AN438" s="77">
        <f t="shared" ref="AN438" si="4506">IF(ISERROR(-AN400*AN$5/AVERAGE(AM414:AN414)),"n.a.",-AN400*AN$5/AVERAGE(AM414:AN414))</f>
        <v>1.2032385569001732E-2</v>
      </c>
      <c r="AO438" s="77">
        <f t="shared" ref="AO438" si="4507">IF(ISERROR(-AO400*AO$5/AVERAGE(AN414:AO414)),"n.a.",-AO400*AO$5/AVERAGE(AN414:AO414))</f>
        <v>1.1688326382424745E-2</v>
      </c>
      <c r="AP438" s="77">
        <f t="shared" ref="AP438" si="4508">IF(ISERROR(-AP400*AP$5/AVERAGE(AO414:AP414)),"n.a.",-AP400*AP$5/AVERAGE(AO414:AP414))</f>
        <v>1.1347340808376606E-2</v>
      </c>
      <c r="AQ438" s="77">
        <f t="shared" ref="AQ438" si="4509">IF(ISERROR(-AQ400*AQ$5/AVERAGE(AP414:AQ414)),"n.a.",-AQ400*AQ$5/AVERAGE(AP414:AQ414))</f>
        <v>1.1009336638481458E-2</v>
      </c>
      <c r="AR438" s="77">
        <f t="shared" ref="AR438" si="4510">IF(ISERROR(-AR400*AR$5/AVERAGE(AQ414:AR414)),"n.a.",-AR400*AR$5/AVERAGE(AQ414:AR414))</f>
        <v>1.0674224430614712E-2</v>
      </c>
      <c r="AS438" s="8"/>
      <c r="AT438" s="37">
        <f>IF(ISERROR(-AT400*AT$5/AVERAGE(T414:AT414)),"n.a.",-AT400*AT$5/AVERAGE(T414:AT414))</f>
        <v>5.192818184681757E-3</v>
      </c>
      <c r="AU438" s="37">
        <f>IF(ISERROR(-AU400*AU$5/AVERAGE(AT414:AU414)),"n.a.",-AU400*AU$5/AVERAGE(AT414:AU414))</f>
        <v>1.7209676492558754E-2</v>
      </c>
      <c r="AV438" s="37">
        <f>IF(ISERROR(-AV400*AV$5/AVERAGE(AU414:AV414)),"n.a.",-AV400*AV$5/AVERAGE(AU414:AV414))</f>
        <v>1.7398390255757765E-2</v>
      </c>
      <c r="AW438" s="37">
        <f>IF(ISERROR(-AW400*AW$5/AVERAGE(AV414:AW414)),"n.a.",-AW400*AW$5/AVERAGE(AV414:AW414))</f>
        <v>1.4671231049659894E-2</v>
      </c>
      <c r="AX438" s="37">
        <f t="shared" ref="AX438:BB438" si="4511">IF(ISERROR(-AX400*AX$5/AVERAGE(AW414:AX414)),"n.a.",-AX400*AX$5/AVERAGE(AW414:AX414))</f>
        <v>1.5177269656128872E-2</v>
      </c>
      <c r="AY438" s="37">
        <f t="shared" si="4511"/>
        <v>1.3671853058473292E-2</v>
      </c>
      <c r="AZ438" s="37">
        <f t="shared" si="4511"/>
        <v>1.3692513766929603E-2</v>
      </c>
      <c r="BA438" s="37">
        <f t="shared" si="4511"/>
        <v>1.4693999860872543E-2</v>
      </c>
      <c r="BB438" s="37">
        <f t="shared" si="4511"/>
        <v>1.5360782715042804E-2</v>
      </c>
      <c r="BC438" s="37">
        <f t="shared" ref="BC438" si="4512">IF(ISERROR(-BC400*BC$5/AVERAGE(BB414:BC414)),"n.a.",-BC400*BC$5/AVERAGE(BB414:BC414))</f>
        <v>1.8159511640266829E-2</v>
      </c>
      <c r="BD438" s="37">
        <f t="shared" ref="BD438" si="4513">IF(ISERROR(-BD400*BD$5/AVERAGE(BC414:BD414)),"n.a.",-BD400*BD$5/AVERAGE(BC414:BD414))</f>
        <v>1.5736099778528967E-2</v>
      </c>
      <c r="BE438" s="37">
        <f t="shared" ref="BE438" si="4514">IF(ISERROR(-BE400*BE$5/AVERAGE(BD414:BE414)),"n.a.",-BE400*BE$5/AVERAGE(BD414:BE414))</f>
        <v>1.4801438588007736E-2</v>
      </c>
      <c r="BF438" s="37">
        <f t="shared" ref="BF438" si="4515">IF(ISERROR(-BF400*BF$5/AVERAGE(BE414:BF414)),"n.a.",-BF400*BF$5/AVERAGE(BE414:BF414))</f>
        <v>1.2505358288184047E-2</v>
      </c>
      <c r="BG438" s="37">
        <f t="shared" ref="BG438" si="4516">IF(ISERROR(-BG400*BG$5/AVERAGE(BF414:BG414)),"n.a.",-BG400*BG$5/AVERAGE(BF414:BG414))</f>
        <v>1.2878293024895664E-2</v>
      </c>
      <c r="BH438" s="37">
        <f t="shared" ref="BH438:BJ438" si="4517">IF(ISERROR(-BH400*BH$5/AVERAGE(BG414:BH414)),"n.a.",-BH400*BH$5/AVERAGE(BG414:BH414))</f>
        <v>1.5771940685710917E-2</v>
      </c>
      <c r="BI438" s="38">
        <f t="shared" si="4517"/>
        <v>1.5181450665811893E-2</v>
      </c>
      <c r="BJ438" s="37">
        <f t="shared" si="4517"/>
        <v>1.4204214494321814E-2</v>
      </c>
      <c r="BK438" s="37">
        <f>IF(ISERROR(-BK400*BK$5/AVERAGE(BK414:BK414)),"n.a.",-BK400*BK$5/AVERAGE(BK414:BK414))</f>
        <v>1.2265556904684479E-2</v>
      </c>
      <c r="BL438" s="37">
        <f>IF(ISERROR(-BL400*BL$5/AVERAGE(BL414:BL414)),"n.a.",-BL400*BL$5/AVERAGE(BL414:BL414))</f>
        <v>1.1751537811274632E-2</v>
      </c>
      <c r="BM438" s="37">
        <f>IF(ISERROR(-BM400*BM$5/AVERAGE(BM414:BM414)),"n.a.",-BM400*BM$5/AVERAGE(BM414:BM414))</f>
        <v>1.114043971487973E-2</v>
      </c>
      <c r="BN438" s="37">
        <f>IF(ISERROR(-BN400*BN$5/AVERAGE(BN414:BN414)),"n.a.",-BN400*BN$5/AVERAGE(BN414:BN414))</f>
        <v>1.0493006707088024E-2</v>
      </c>
    </row>
    <row r="439" spans="1:66" ht="12" hidden="1" customHeight="1" outlineLevel="1">
      <c r="B439" s="1" t="s">
        <v>68</v>
      </c>
      <c r="C439" s="50" t="str">
        <f t="shared" ref="C439:M439" si="4518">IF(ISERROR(C400/B400),"n.a.",C400/B400-1)</f>
        <v>n.a.</v>
      </c>
      <c r="D439" s="50">
        <f t="shared" si="4518"/>
        <v>9.3555093555093505E-2</v>
      </c>
      <c r="E439" s="50">
        <f t="shared" si="4518"/>
        <v>6.8441064638783189E-2</v>
      </c>
      <c r="F439" s="50">
        <f t="shared" si="4518"/>
        <v>0.13167259786476859</v>
      </c>
      <c r="G439" s="50">
        <f t="shared" si="4518"/>
        <v>-5.1886792452830233E-2</v>
      </c>
      <c r="H439" s="50">
        <f t="shared" si="4518"/>
        <v>1.8242122719734688E-2</v>
      </c>
      <c r="I439" s="50">
        <f t="shared" si="4518"/>
        <v>-0.20032573289902278</v>
      </c>
      <c r="J439" s="50">
        <f t="shared" si="4518"/>
        <v>1.6293279022403295E-2</v>
      </c>
      <c r="K439" s="50">
        <f t="shared" si="4518"/>
        <v>6.6132264529058071E-2</v>
      </c>
      <c r="L439" s="50">
        <f t="shared" si="4518"/>
        <v>5.6390977443609991E-3</v>
      </c>
      <c r="M439" s="69">
        <f t="shared" si="4518"/>
        <v>8.7850467289719569E-2</v>
      </c>
      <c r="N439" s="69">
        <f t="shared" ref="N439" si="4519">IF(ISERROR(N400/M400),"n.a.",N400/M400-1)</f>
        <v>9.106529209621983E-2</v>
      </c>
      <c r="O439" s="69">
        <f t="shared" ref="O439:AH439" si="4520">IF(ISERROR(O400/N400),"n.a.",O400/N400-1)</f>
        <v>5.0393700787401574E-2</v>
      </c>
      <c r="P439" s="69">
        <f t="shared" si="4520"/>
        <v>6.8965517241379226E-2</v>
      </c>
      <c r="Q439" s="69">
        <f t="shared" si="4520"/>
        <v>-2.9453015427770013E-2</v>
      </c>
      <c r="R439" s="69">
        <f t="shared" si="4520"/>
        <v>-1.5895953757225412E-2</v>
      </c>
      <c r="S439" s="69">
        <f t="shared" si="4520"/>
        <v>-5.8737151248164921E-3</v>
      </c>
      <c r="T439" s="69">
        <f t="shared" si="4520"/>
        <v>8.7149187592319155E-2</v>
      </c>
      <c r="U439" s="69">
        <f t="shared" si="4520"/>
        <v>0.18206521739130443</v>
      </c>
      <c r="V439" s="69">
        <f t="shared" si="4520"/>
        <v>0.10114942528735638</v>
      </c>
      <c r="W439" s="69">
        <f t="shared" si="4520"/>
        <v>4.5929018789144127E-2</v>
      </c>
      <c r="X439" s="69">
        <f t="shared" si="4520"/>
        <v>2.0958083832335328E-2</v>
      </c>
      <c r="Y439" s="69">
        <f t="shared" si="4520"/>
        <v>-8.2111436950146666E-2</v>
      </c>
      <c r="Z439" s="69">
        <f t="shared" si="4520"/>
        <v>8.6261980830670826E-2</v>
      </c>
      <c r="AA439" s="69">
        <f t="shared" si="4520"/>
        <v>-0.15490196078431373</v>
      </c>
      <c r="AB439" s="69">
        <f t="shared" si="4520"/>
        <v>0.25058004640371223</v>
      </c>
      <c r="AC439" s="69">
        <f t="shared" si="4520"/>
        <v>7.4211502782930427E-3</v>
      </c>
      <c r="AD439" s="69">
        <f t="shared" si="4520"/>
        <v>0.1694290976058932</v>
      </c>
      <c r="AE439" s="69">
        <f t="shared" si="4520"/>
        <v>5.7480314960629997E-2</v>
      </c>
      <c r="AF439" s="69">
        <f t="shared" si="4520"/>
        <v>-8.1906180193596079E-3</v>
      </c>
      <c r="AG439" s="69">
        <f t="shared" si="4520"/>
        <v>1.5015015015014122E-3</v>
      </c>
      <c r="AH439" s="69">
        <f t="shared" si="4520"/>
        <v>5.9220389805097362E-2</v>
      </c>
      <c r="AI439" s="89">
        <f t="shared" ref="AI439" si="4521">IF(ISERROR(AI400/AH400),"n.a.",AI400/AH400-1)</f>
        <v>6.2278839348903103E-2</v>
      </c>
      <c r="AJ439" s="69">
        <f t="shared" ref="AJ439" si="4522">IF(ISERROR(AJ400/AI400),"n.a.",AJ400/AI400-1)</f>
        <v>-2.6789946118493724E-2</v>
      </c>
      <c r="AK439" s="69">
        <f t="shared" ref="AK439" si="4523">IF(ISERROR(AK400/AJ400),"n.a.",AK400/AJ400-1)</f>
        <v>3.5989271018687985E-2</v>
      </c>
      <c r="AL439" s="69">
        <f t="shared" ref="AL439" si="4524">IF(ISERROR(AL400/AK400),"n.a.",AL400/AK400-1)</f>
        <v>1.9573791295560694E-2</v>
      </c>
      <c r="AM439" s="69">
        <f t="shared" ref="AM439" si="4525">IF(ISERROR(AM400/AL400),"n.a.",AM400/AL400-1)</f>
        <v>2.0244579063841028E-2</v>
      </c>
      <c r="AN439" s="69">
        <f t="shared" ref="AN439" si="4526">IF(ISERROR(AN400/AM400),"n.a.",AN400/AM400-1)</f>
        <v>1.0421465312347111E-2</v>
      </c>
      <c r="AO439" s="69">
        <f t="shared" ref="AO439" si="4527">IF(ISERROR(AO400/AN400),"n.a.",AO400/AN400-1)</f>
        <v>9.3134142209858606E-3</v>
      </c>
      <c r="AP439" s="69">
        <f t="shared" ref="AP439" si="4528">IF(ISERROR(AP400/AO400),"n.a.",AP400/AO400-1)</f>
        <v>-1.5605044848673311E-3</v>
      </c>
      <c r="AQ439" s="69">
        <f t="shared" ref="AQ439" si="4529">IF(ISERROR(AQ400/AP400),"n.a.",AQ400/AP400-1)</f>
        <v>8.0705605481772302E-3</v>
      </c>
      <c r="AR439" s="69">
        <f t="shared" ref="AR439" si="4530">IF(ISERROR(AR400/AQ400),"n.a.",AR400/AQ400-1)</f>
        <v>-3.7565945357694863E-3</v>
      </c>
      <c r="AS439" s="8"/>
      <c r="AT439" s="50">
        <f>IF(ISERROR(AT400/T400),"n.a.",AT400/T400-1)</f>
        <v>0.36820652173913038</v>
      </c>
      <c r="AU439" s="50">
        <f>IF(ISERROR(AU400/AT400),"n.a.",AU400/AT400-1)</f>
        <v>0.18967229394240315</v>
      </c>
      <c r="AV439" s="50">
        <f>IF(ISERROR(AV400/AU400),"n.a.",AV400/AU400-1)</f>
        <v>1.5859766277128484E-2</v>
      </c>
      <c r="AW439" s="50">
        <f>IF(ISERROR(AW400/AV400),"n.a.",AW400/AV400-1)</f>
        <v>-0.18652423993426459</v>
      </c>
      <c r="AX439" s="50">
        <f t="shared" ref="AX439:BB439" si="4531">IF(ISERROR(AX400/AW400),"n.a.",AX400/AW400-1)</f>
        <v>7.7777777777777724E-2</v>
      </c>
      <c r="AY439" s="50">
        <f t="shared" si="4531"/>
        <v>0.14058106841611995</v>
      </c>
      <c r="AZ439" s="50">
        <f t="shared" si="4531"/>
        <v>0.13393590797041899</v>
      </c>
      <c r="BA439" s="50">
        <f t="shared" si="4531"/>
        <v>-5.0724637681159868E-3</v>
      </c>
      <c r="BB439" s="50">
        <f t="shared" si="4531"/>
        <v>2.9133284777858703E-2</v>
      </c>
      <c r="BC439" s="50">
        <f t="shared" ref="BC439" si="4532">IF(ISERROR(BC400/BB400),"n.a.",BC400/BB400-1)</f>
        <v>0.29370134465675868</v>
      </c>
      <c r="BD439" s="50">
        <f t="shared" ref="BD439" si="4533">IF(ISERROR(BD400/BC400),"n.a.",BD400/BC400-1)</f>
        <v>0.10776805251641131</v>
      </c>
      <c r="BE439" s="50">
        <f t="shared" ref="BE439" si="4534">IF(ISERROR(BE400/BD400),"n.a.",BE400/BD400-1)</f>
        <v>-3.2592592592592617E-2</v>
      </c>
      <c r="BF439" s="50">
        <f t="shared" ref="BF439" si="4535">IF(ISERROR(BF400/BE400),"n.a.",BF400/BE400-1)</f>
        <v>-9.6988259315977654E-3</v>
      </c>
      <c r="BG439" s="50">
        <f t="shared" ref="BG439" si="4536">IF(ISERROR(BG400/BF400),"n.a.",BG400/BF400-1)</f>
        <v>0.21443298969072155</v>
      </c>
      <c r="BH439" s="50">
        <f t="shared" ref="BH439:BN439" si="4537">IF(ISERROR(BH400/BG400),"n.a.",BH400/BG400-1)</f>
        <v>0.13539898132427841</v>
      </c>
      <c r="BI439" s="51">
        <f t="shared" si="4537"/>
        <v>2.691588785046739E-2</v>
      </c>
      <c r="BJ439" s="50">
        <f t="shared" si="4537"/>
        <v>7.8190131371001614E-2</v>
      </c>
      <c r="BK439" s="50">
        <f t="shared" si="4537"/>
        <v>3.1925278005793034E-2</v>
      </c>
      <c r="BL439" s="50">
        <f t="shared" si="4537"/>
        <v>3.5500577787182186E-2</v>
      </c>
      <c r="BM439" s="50">
        <f t="shared" si="4537"/>
        <v>1.3753812702132606E-2</v>
      </c>
      <c r="BN439" s="50">
        <f t="shared" si="4537"/>
        <v>5.3914193940325372E-3</v>
      </c>
    </row>
    <row r="440" spans="1:66" ht="12" hidden="1" customHeight="1" outlineLevel="1">
      <c r="B440" s="1" t="s">
        <v>80</v>
      </c>
      <c r="C440" s="50">
        <f t="shared" ref="C440:H440" si="4538">IF(ISERROR(-SUM(C398:C400)/C397),"n.a.",-SUM(C398:C400)/C397)</f>
        <v>0.65605875152998772</v>
      </c>
      <c r="D440" s="50">
        <f t="shared" si="4538"/>
        <v>0.59330628803245433</v>
      </c>
      <c r="E440" s="50">
        <f t="shared" si="4538"/>
        <v>0.80716612377850161</v>
      </c>
      <c r="F440" s="50">
        <f t="shared" si="4538"/>
        <v>0.67763157894736847</v>
      </c>
      <c r="G440" s="50">
        <f t="shared" si="4538"/>
        <v>1.0187908496732025</v>
      </c>
      <c r="H440" s="50">
        <f t="shared" si="4538"/>
        <v>0.73211117681845062</v>
      </c>
      <c r="I440" s="50">
        <f t="shared" ref="I440:O440" si="4539">IF(ISERROR(-SUM(I398:I400)/I397),"n.a.",-SUM(I398:I400)/I397)</f>
        <v>0.87082601054481545</v>
      </c>
      <c r="J440" s="50">
        <f t="shared" si="4539"/>
        <v>0.65706630944407229</v>
      </c>
      <c r="K440" s="50">
        <f t="shared" ref="K440:L440" si="4540">IF(ISERROR(-SUM(K398:K400)/K397),"n.a.",-SUM(K398:K400)/K397)</f>
        <v>0.75154004106776184</v>
      </c>
      <c r="L440" s="50">
        <f t="shared" si="4540"/>
        <v>0.61166579085654227</v>
      </c>
      <c r="M440" s="69">
        <f t="shared" ref="M440" si="4541">IF(ISERROR(-SUM(M398:M400)/M397),"n.a.",-SUM(M398:M400)/M397)</f>
        <v>0.73918495297805642</v>
      </c>
      <c r="N440" s="69">
        <f t="shared" si="4539"/>
        <v>0.58876811594202894</v>
      </c>
      <c r="O440" s="69">
        <f t="shared" si="4539"/>
        <v>0.66161369193154029</v>
      </c>
      <c r="P440" s="69">
        <f t="shared" ref="P440:Q440" si="4542">IF(ISERROR(-SUM(P398:P400)/P397),"n.a.",-SUM(P398:P400)/P397)</f>
        <v>0.70469135802469141</v>
      </c>
      <c r="Q440" s="69">
        <f t="shared" si="4542"/>
        <v>0.66650438169425508</v>
      </c>
      <c r="R440" s="69">
        <f t="shared" ref="R440:S440" si="4543">IF(ISERROR(-SUM(R398:R400)/R397),"n.a.",-SUM(R398:R400)/R397)</f>
        <v>0.6328571428571429</v>
      </c>
      <c r="S440" s="69">
        <f t="shared" si="4543"/>
        <v>0.69316375198728142</v>
      </c>
      <c r="T440" s="69">
        <f t="shared" ref="T440" si="4544">IF(ISERROR(-SUM(T398:T400)/T397),"n.a.",-SUM(T398:T400)/T397)</f>
        <v>0.57580645161290323</v>
      </c>
      <c r="U440" s="69">
        <f t="shared" ref="U440" si="4545">IF(ISERROR(-SUM(U398:U400)/U397),"n.a.",-SUM(U398:U400)/U397)</f>
        <v>0.5639571518588532</v>
      </c>
      <c r="V440" s="69">
        <f t="shared" ref="V440:W440" si="4546">IF(ISERROR(-SUM(V398:V400)/V397),"n.a.",-SUM(V398:V400)/V397)</f>
        <v>0.48168050806057644</v>
      </c>
      <c r="W440" s="69">
        <f t="shared" si="4546"/>
        <v>0.75904088050314467</v>
      </c>
      <c r="X440" s="69">
        <f t="shared" ref="X440" si="4547">IF(ISERROR(-SUM(X398:X400)/X397),"n.a.",-SUM(X398:X400)/X397)</f>
        <v>0.95652173913043481</v>
      </c>
      <c r="Y440" s="69">
        <f t="shared" ref="Y440:Z440" si="4548">IF(ISERROR(-SUM(Y398:Y400)/Y397),"n.a.",-SUM(Y398:Y400)/Y397)</f>
        <v>0.78352248844052119</v>
      </c>
      <c r="Z440" s="69">
        <f t="shared" si="4548"/>
        <v>0.61494446314372264</v>
      </c>
      <c r="AA440" s="69">
        <f t="shared" ref="AA440:AB440" si="4549">IF(ISERROR(-SUM(AA398:AA400)/AA397),"n.a.",-SUM(AA398:AA400)/AA397)</f>
        <v>0.52971576227390182</v>
      </c>
      <c r="AB440" s="69">
        <f t="shared" si="4549"/>
        <v>0.4601212121212121</v>
      </c>
      <c r="AC440" s="69">
        <f t="shared" ref="AC440" si="4550">IF(ISERROR(-SUM(AC398:AC400)/AC397),"n.a.",-SUM(AC398:AC400)/AC397)</f>
        <v>0.43172779496243924</v>
      </c>
      <c r="AD440" s="69">
        <f t="shared" ref="AD440" si="4551">IF(ISERROR(-SUM(AD398:AD400)/AD397),"n.a.",-SUM(AD398:AD400)/AD397)</f>
        <v>0.34465565596759112</v>
      </c>
      <c r="AE440" s="69">
        <f t="shared" ref="AE440" si="4552">IF(ISERROR(-SUM(AE398:AE400)/AE397),"n.a.",-SUM(AE398:AE400)/AE397)</f>
        <v>0.56230416967944086</v>
      </c>
      <c r="AF440" s="69">
        <f t="shared" ref="AF440:AG440" si="4553">IF(ISERROR(-SUM(AF398:AF400)/AF397),"n.a.",-SUM(AF398:AF400)/AF397)</f>
        <v>0.48338557993730408</v>
      </c>
      <c r="AG440" s="69">
        <f t="shared" si="4553"/>
        <v>0.58157959891062139</v>
      </c>
      <c r="AH440" s="69">
        <f t="shared" ref="AH440" si="4554">IF(ISERROR(-SUM(AH398:AH400)/AH397),"n.a.",-SUM(AH398:AH400)/AH397)</f>
        <v>0.52523283517435559</v>
      </c>
      <c r="AI440" s="89">
        <f t="shared" ref="AI440" si="4555">IF(ISERROR(-SUM(AI398:AI400)/AI397),"n.a.",-SUM(AI398:AI400)/AI397)</f>
        <v>0.58118291847453751</v>
      </c>
      <c r="AJ440" s="69">
        <f t="shared" ref="AJ440:AK440" si="4556">IF(ISERROR(-SUM(AJ398:AJ400)/AJ397),"n.a.",-SUM(AJ398:AJ400)/AJ397)</f>
        <v>0.47915107900297554</v>
      </c>
      <c r="AK440" s="69">
        <f t="shared" si="4556"/>
        <v>0.5235506637725702</v>
      </c>
      <c r="AL440" s="69">
        <f t="shared" ref="AL440:AM440" si="4557">IF(ISERROR(-SUM(AL398:AL400)/AL397),"n.a.",-SUM(AL398:AL400)/AL397)</f>
        <v>0.49218767833953181</v>
      </c>
      <c r="AM440" s="69">
        <f t="shared" si="4557"/>
        <v>0.51099949595795902</v>
      </c>
      <c r="AN440" s="69">
        <f t="shared" ref="AN440:AO440" si="4558">IF(ISERROR(-SUM(AN398:AN400)/AN397),"n.a.",-SUM(AN398:AN400)/AN397)</f>
        <v>0.47215894462195401</v>
      </c>
      <c r="AO440" s="69">
        <f t="shared" si="4558"/>
        <v>0.49467635768460733</v>
      </c>
      <c r="AP440" s="69">
        <f t="shared" ref="AP440:AQ440" si="4559">IF(ISERROR(-SUM(AP398:AP400)/AP397),"n.a.",-SUM(AP398:AP400)/AP397)</f>
        <v>0.45497242108282587</v>
      </c>
      <c r="AQ440" s="69">
        <f t="shared" si="4559"/>
        <v>0.47335621453766885</v>
      </c>
      <c r="AR440" s="69">
        <f t="shared" ref="AR440" si="4560">IF(ISERROR(-SUM(AR398:AR400)/AR397),"n.a.",-SUM(AR398:AR400)/AR397)</f>
        <v>0.44131810171366354</v>
      </c>
      <c r="AS440" s="8"/>
      <c r="AT440" s="50">
        <f t="shared" ref="AT440:BB440" si="4561">IF(ISERROR(-SUM(AT398:AT400)/AT397),"n.a.",-SUM(AT398:AT400)/AT397)</f>
        <v>0.62174154187465336</v>
      </c>
      <c r="AU440" s="50">
        <f t="shared" si="4561"/>
        <v>0.73191373191373188</v>
      </c>
      <c r="AV440" s="50">
        <f t="shared" si="4561"/>
        <v>0.85248713550600341</v>
      </c>
      <c r="AW440" s="50">
        <f t="shared" si="4561"/>
        <v>0.74952489547700496</v>
      </c>
      <c r="AX440" s="50">
        <f t="shared" si="4561"/>
        <v>0.67241379310344829</v>
      </c>
      <c r="AY440" s="50">
        <f t="shared" si="4561"/>
        <v>0.65185379963186962</v>
      </c>
      <c r="AZ440" s="50">
        <f t="shared" si="4561"/>
        <v>0.68304668304668303</v>
      </c>
      <c r="BA440" s="50">
        <f t="shared" si="4561"/>
        <v>0.64949446316803083</v>
      </c>
      <c r="BB440" s="50">
        <f t="shared" si="4561"/>
        <v>0.62651705976643002</v>
      </c>
      <c r="BC440" s="50">
        <f t="shared" ref="BC440:BH440" si="4562">IF(ISERROR(-SUM(BC398:BC400)/BC397),"n.a.",-SUM(BC398:BC400)/BC397)</f>
        <v>0.51761144744083654</v>
      </c>
      <c r="BD440" s="50">
        <f t="shared" si="4562"/>
        <v>0.60888049126121868</v>
      </c>
      <c r="BE440" s="50">
        <f t="shared" si="4562"/>
        <v>0.53291943401674846</v>
      </c>
      <c r="BF440" s="50">
        <f t="shared" si="4562"/>
        <v>0.38377264345373685</v>
      </c>
      <c r="BG440" s="50">
        <f t="shared" si="4562"/>
        <v>0.38066520467836257</v>
      </c>
      <c r="BH440" s="50">
        <f t="shared" si="4562"/>
        <v>0.52003581822252076</v>
      </c>
      <c r="BI440" s="51">
        <f t="shared" ref="BI440" si="4563">IF(ISERROR(-SUM(BI398:BI400)/BI397),"n.a.",-SUM(BI398:BI400)/BI397)</f>
        <v>0.55152495378927913</v>
      </c>
      <c r="BJ440" s="50">
        <f t="shared" ref="BJ440:BK440" si="4564">IF(ISERROR(-SUM(BJ398:BJ400)/BJ397),"n.a.",-SUM(BJ398:BJ400)/BJ397)</f>
        <v>0.59589734973324027</v>
      </c>
      <c r="BK440" s="50">
        <f t="shared" si="4564"/>
        <v>0.57605043199734851</v>
      </c>
      <c r="BL440" s="50">
        <f t="shared" ref="BL440" si="4565">IF(ISERROR(-SUM(BL398:BL400)/BL397),"n.a.",-SUM(BL398:BL400)/BL397)</f>
        <v>0.56046383334477734</v>
      </c>
      <c r="BM440" s="50">
        <f t="shared" ref="BM440" si="4566">IF(ISERROR(-SUM(BM398:BM400)/BM397),"n.a.",-SUM(BM398:BM400)/BM397)</f>
        <v>0.5451377553455391</v>
      </c>
      <c r="BN440" s="50">
        <f t="shared" ref="BN440" si="4567">IF(ISERROR(-SUM(BN398:BN400)/BN397),"n.a.",-SUM(BN398:BN400)/BN397)</f>
        <v>0.52685078461203361</v>
      </c>
    </row>
    <row r="441" spans="1:66" ht="12" hidden="1" customHeight="1" outlineLevel="1">
      <c r="B441" s="1" t="s">
        <v>81</v>
      </c>
      <c r="C441" s="70">
        <f t="shared" ref="C441:O441" si="4568">IF(ISERROR(C414/C415),"n.a.",C414/C415)</f>
        <v>15.854683171096969</v>
      </c>
      <c r="D441" s="70">
        <f t="shared" si="4568"/>
        <v>15.480526150351848</v>
      </c>
      <c r="E441" s="70">
        <f t="shared" si="4568"/>
        <v>16.567393950268393</v>
      </c>
      <c r="F441" s="70">
        <f t="shared" si="4568"/>
        <v>16.098120731013676</v>
      </c>
      <c r="G441" s="70">
        <f t="shared" si="4568"/>
        <v>19.174888888888891</v>
      </c>
      <c r="H441" s="70">
        <f t="shared" si="4568"/>
        <v>14.481702127659574</v>
      </c>
      <c r="I441" s="70">
        <f t="shared" si="4568"/>
        <v>15.861555555555556</v>
      </c>
      <c r="J441" s="70">
        <f t="shared" si="4568"/>
        <v>15.927142857142858</v>
      </c>
      <c r="K441" s="70">
        <f t="shared" ref="K441:L441" si="4569">IF(ISERROR(K414/K415),"n.a.",K414/K415)</f>
        <v>16.0975</v>
      </c>
      <c r="L441" s="70">
        <f t="shared" si="4569"/>
        <v>17.142093023255814</v>
      </c>
      <c r="M441" s="70">
        <f t="shared" ref="M441" si="4570">IF(ISERROR(M414/M415),"n.a.",M414/M415)</f>
        <v>18.356000000000002</v>
      </c>
      <c r="N441" s="70">
        <f t="shared" si="4568"/>
        <v>22.195531914893618</v>
      </c>
      <c r="O441" s="70">
        <f t="shared" si="4568"/>
        <v>21.973846153846154</v>
      </c>
      <c r="P441" s="70">
        <f t="shared" ref="P441:Q441" si="4571">IF(ISERROR(P414/P415),"n.a.",P414/P415)</f>
        <v>21.141521739130436</v>
      </c>
      <c r="Q441" s="70">
        <f t="shared" si="4571"/>
        <v>22.704999999999998</v>
      </c>
      <c r="R441" s="70">
        <f t="shared" ref="R441:S441" si="4572">IF(ISERROR(R414/R415),"n.a.",R414/R415)</f>
        <v>19.484347826086957</v>
      </c>
      <c r="S441" s="70">
        <f t="shared" si="4572"/>
        <v>17.772075471698113</v>
      </c>
      <c r="T441" s="70">
        <f t="shared" ref="T441" si="4573">IF(ISERROR(T414/T415),"n.a.",T414/T415)</f>
        <v>15.991016949152542</v>
      </c>
      <c r="U441" s="70">
        <f t="shared" ref="U441" si="4574">IF(ISERROR(U414/U415),"n.a.",U414/U415)</f>
        <v>12.419994346023369</v>
      </c>
      <c r="V441" s="70">
        <f t="shared" ref="V441:W441" si="4575">IF(ISERROR(V414/V415),"n.a.",V414/V415)</f>
        <v>13.565958206822648</v>
      </c>
      <c r="W441" s="70">
        <f t="shared" si="4575"/>
        <v>14.005402298850575</v>
      </c>
      <c r="X441" s="70">
        <f t="shared" ref="X441" si="4576">IF(ISERROR(X414/X415),"n.a.",X414/X415)</f>
        <v>14.89009900990099</v>
      </c>
      <c r="Y441" s="70">
        <f t="shared" ref="Y441:Z441" si="4577">IF(ISERROR(Y414/Y415),"n.a.",Y414/Y415)</f>
        <v>15.333500000000001</v>
      </c>
      <c r="Z441" s="70">
        <f t="shared" si="4577"/>
        <v>12.844269662921349</v>
      </c>
      <c r="AA441" s="70">
        <f t="shared" ref="AA441:AB441" si="4578">IF(ISERROR(AA414/AA415),"n.a.",AA414/AA415)</f>
        <v>15.861864406779661</v>
      </c>
      <c r="AB441" s="70">
        <f t="shared" si="4578"/>
        <v>15.308828125</v>
      </c>
      <c r="AC441" s="70">
        <f t="shared" ref="AC441" si="4579">IF(ISERROR(AC414/AC415),"n.a.",AC414/AC415)</f>
        <v>21.159349593495936</v>
      </c>
      <c r="AD441" s="70">
        <f t="shared" ref="AD441" si="4580">IF(ISERROR(AD414/AD415),"n.a.",AD414/AD415)</f>
        <v>12.49514705882353</v>
      </c>
      <c r="AE441" s="70">
        <f t="shared" ref="AE441" si="4581">IF(ISERROR(AE414/AE415),"n.a.",AE414/AE415)</f>
        <v>11.932553191489362</v>
      </c>
      <c r="AF441" s="70">
        <f t="shared" ref="AF441:AG441" si="4582">IF(ISERROR(AF414/AF415),"n.a.",AF414/AF415)</f>
        <v>11.13657894736842</v>
      </c>
      <c r="AG441" s="70">
        <f t="shared" si="4582"/>
        <v>11.369050632911392</v>
      </c>
      <c r="AH441" s="70">
        <f t="shared" ref="AH441" si="4583">IF(ISERROR(AH414/AH415),"n.a.",AH414/AH415)</f>
        <v>10.943920454545454</v>
      </c>
      <c r="AI441" s="71">
        <f t="shared" ref="AI441" si="4584">IF(ISERROR(AI414/AI415),"n.a.",AI414/AI415)</f>
        <v>11.948813559322033</v>
      </c>
      <c r="AJ441" s="70">
        <f t="shared" ref="AJ441:AK441" si="4585">IF(ISERROR(AJ414/AJ415),"n.a.",AJ414/AJ415)</f>
        <v>12.321013057755826</v>
      </c>
      <c r="AK441" s="70">
        <f t="shared" si="4585"/>
        <v>12.606802033745605</v>
      </c>
      <c r="AL441" s="70">
        <f t="shared" ref="AL441:AM441" si="4586">IF(ISERROR(AL414/AL415),"n.a.",AL414/AL415)</f>
        <v>12.899148809048476</v>
      </c>
      <c r="AM441" s="70">
        <f t="shared" si="4586"/>
        <v>13.198202095438422</v>
      </c>
      <c r="AN441" s="70">
        <f t="shared" ref="AN441:AO441" si="4587">IF(ISERROR(AN414/AN415),"n.a.",AN414/AN415)</f>
        <v>13.504113934405863</v>
      </c>
      <c r="AO441" s="70">
        <f t="shared" si="4587"/>
        <v>13.81703977071386</v>
      </c>
      <c r="AP441" s="70">
        <f t="shared" ref="AP441:AQ441" si="4588">IF(ISERROR(AP414/AP415),"n.a.",AP414/AP415)</f>
        <v>14.137138527556715</v>
      </c>
      <c r="AQ441" s="70">
        <f t="shared" si="4588"/>
        <v>14.464572683355472</v>
      </c>
      <c r="AR441" s="70">
        <f t="shared" ref="AR441" si="4589">IF(ISERROR(AR414/AR415),"n.a.",AR414/AR415)</f>
        <v>14.799508350225405</v>
      </c>
      <c r="AS441" s="8"/>
      <c r="AT441" s="70">
        <f t="shared" ref="AT441:BB441" si="4590">IF(ISERROR(AT414/AT415),"n.a.",AT414/AT415)</f>
        <v>15.480526150351848</v>
      </c>
      <c r="AU441" s="70">
        <f t="shared" si="4590"/>
        <v>16.098120731013676</v>
      </c>
      <c r="AV441" s="70">
        <f t="shared" si="4590"/>
        <v>14.481702127659574</v>
      </c>
      <c r="AW441" s="70">
        <f t="shared" si="4590"/>
        <v>15.927142857142858</v>
      </c>
      <c r="AX441" s="70">
        <f t="shared" si="4590"/>
        <v>17.142093023255814</v>
      </c>
      <c r="AY441" s="70">
        <f t="shared" si="4590"/>
        <v>22.195531914893618</v>
      </c>
      <c r="AZ441" s="70">
        <f t="shared" si="4590"/>
        <v>21.141521739130436</v>
      </c>
      <c r="BA441" s="70">
        <f t="shared" si="4590"/>
        <v>19.484347826086957</v>
      </c>
      <c r="BB441" s="70">
        <f t="shared" si="4590"/>
        <v>15.991016949152542</v>
      </c>
      <c r="BC441" s="70">
        <f t="shared" ref="BC441:BH441" si="4591">IF(ISERROR(BC414/BC415),"n.a.",BC414/BC415)</f>
        <v>13.565958206822648</v>
      </c>
      <c r="BD441" s="70">
        <f t="shared" si="4591"/>
        <v>14.89009900990099</v>
      </c>
      <c r="BE441" s="70">
        <f t="shared" si="4591"/>
        <v>12.844269662921349</v>
      </c>
      <c r="BF441" s="70">
        <f t="shared" si="4591"/>
        <v>15.308828125</v>
      </c>
      <c r="BG441" s="70">
        <f t="shared" si="4591"/>
        <v>12.49514705882353</v>
      </c>
      <c r="BH441" s="70">
        <f t="shared" si="4591"/>
        <v>11.13657894736842</v>
      </c>
      <c r="BI441" s="71">
        <f t="shared" ref="BI441" si="4592">IF(ISERROR(BI414/BI415),"n.a.",BI414/BI415)</f>
        <v>10.943920454545454</v>
      </c>
      <c r="BJ441" s="70">
        <f t="shared" ref="BJ441:BK441" si="4593">IF(ISERROR(BJ414/BJ415),"n.a.",BJ414/BJ415)</f>
        <v>12.321013057755826</v>
      </c>
      <c r="BK441" s="70">
        <f t="shared" si="4593"/>
        <v>12.899148809048476</v>
      </c>
      <c r="BL441" s="70">
        <f t="shared" ref="BL441" si="4594">IF(ISERROR(BL414/BL415),"n.a.",BL414/BL415)</f>
        <v>13.504113934405863</v>
      </c>
      <c r="BM441" s="70">
        <f t="shared" ref="BM441" si="4595">IF(ISERROR(BM414/BM415),"n.a.",BM414/BM415)</f>
        <v>14.137138527556715</v>
      </c>
      <c r="BN441" s="70">
        <f t="shared" ref="BN441" si="4596">IF(ISERROR(BN414/BN415),"n.a.",BN414/BN415)</f>
        <v>14.799508350225405</v>
      </c>
    </row>
    <row r="442" spans="1:66" ht="12" hidden="1" customHeight="1" outlineLevel="1">
      <c r="B442" s="1" t="s">
        <v>27</v>
      </c>
      <c r="C442" s="286">
        <f t="shared" ref="C442:M442" si="4597">(C299*C250+C370*C326)/C397</f>
        <v>0.34998164014687883</v>
      </c>
      <c r="D442" s="286">
        <f t="shared" si="4597"/>
        <v>0.36232758620689653</v>
      </c>
      <c r="E442" s="286">
        <f t="shared" si="4597"/>
        <v>0.28812377850162868</v>
      </c>
      <c r="F442" s="286">
        <f t="shared" si="4597"/>
        <v>0.29504699248120297</v>
      </c>
      <c r="G442" s="286">
        <f t="shared" si="4597"/>
        <v>0.27986111111111117</v>
      </c>
      <c r="H442" s="286">
        <f t="shared" si="4597"/>
        <v>0.31079243051448846</v>
      </c>
      <c r="I442" s="286">
        <f t="shared" si="4597"/>
        <v>0.29966608084358526</v>
      </c>
      <c r="J442" s="286">
        <f t="shared" si="4597"/>
        <v>0.30702612190221029</v>
      </c>
      <c r="K442" s="286">
        <f t="shared" si="4597"/>
        <v>0.296331279945243</v>
      </c>
      <c r="L442" s="286">
        <f t="shared" si="4597"/>
        <v>0.31917498686284818</v>
      </c>
      <c r="M442" s="286">
        <f t="shared" si="4597"/>
        <v>0.28540438871473356</v>
      </c>
      <c r="N442" s="286">
        <f>(N299*N250+N370*N326)/N397</f>
        <v>0.30785778985507239</v>
      </c>
      <c r="O442" s="286">
        <f t="shared" ref="O442:Q442" si="4598">(O299*O250+O370*O326)/O397</f>
        <v>0.2913154034229829</v>
      </c>
      <c r="P442" s="286">
        <f t="shared" si="4598"/>
        <v>0.28477530864197531</v>
      </c>
      <c r="Q442" s="286">
        <f t="shared" si="4598"/>
        <v>0.27745062834530093</v>
      </c>
      <c r="R442" s="286">
        <f t="shared" ref="R442:S442" si="4599">(R299*R250+R370*R326)/R397</f>
        <v>0.29447619047619039</v>
      </c>
      <c r="S442" s="286">
        <f t="shared" si="4599"/>
        <v>0.2922999470058294</v>
      </c>
      <c r="T442" s="286">
        <f t="shared" ref="T442" si="4600">(T299*T250+T370*T326)/T397</f>
        <v>0.2671023562562328</v>
      </c>
      <c r="U442" s="286">
        <f t="shared" ref="U442" si="4601">(U299*U250+U370*U326)/U397</f>
        <v>0.21770806997947501</v>
      </c>
      <c r="V442" s="286">
        <f t="shared" ref="V442:W442" si="4602">(V299*V250+V370*V326)/V397</f>
        <v>0.21658336320355956</v>
      </c>
      <c r="W442" s="286">
        <f t="shared" si="4602"/>
        <v>0.31804479541979314</v>
      </c>
      <c r="X442" s="286">
        <f t="shared" ref="X442" si="4603">(X299*X250+X370*X326)/X397</f>
        <v>0.3624677696415573</v>
      </c>
      <c r="Y442" s="286">
        <f t="shared" ref="Y442:Z442" si="4604">(Y299*Y250+Y370*Y326)/Y397</f>
        <v>0.28986539493150004</v>
      </c>
      <c r="Z442" s="286">
        <f t="shared" si="4604"/>
        <v>0.3572895680083335</v>
      </c>
      <c r="AA442" s="286">
        <f t="shared" ref="AA442:AB442" si="4605">(AA299*AA250+AA370*AA326)/AA397</f>
        <v>0.32253791085432271</v>
      </c>
      <c r="AB442" s="286">
        <f t="shared" si="4605"/>
        <v>0.41403315989637685</v>
      </c>
      <c r="AC442" s="286">
        <f t="shared" ref="AC442" si="4606">(AC299*AC250+AC370*AC326)/AC397</f>
        <v>0.26018603770324361</v>
      </c>
      <c r="AD442" s="286">
        <f t="shared" ref="AD442" si="4607">(AD299*AD250+AD370*AD326)/AD397</f>
        <v>0.25447321633531661</v>
      </c>
      <c r="AE442" s="286">
        <f t="shared" ref="AE442" si="4608">(AE299*AE250+AE370*AE326)/AE397</f>
        <v>0.24760247883501571</v>
      </c>
      <c r="AF442" s="286">
        <f t="shared" ref="AF442:AG442" si="4609">(AF299*AF250+AF370*AF326)/AF397</f>
        <v>0.2550104559893116</v>
      </c>
      <c r="AG442" s="286">
        <f t="shared" si="4609"/>
        <v>0.29934680567237643</v>
      </c>
      <c r="AH442" s="286">
        <f t="shared" ref="AH442" si="4610">(AH299*AH250+AH370*AH326)/AH397</f>
        <v>0.2614541478526376</v>
      </c>
      <c r="AI442" s="339">
        <f t="shared" ref="AI442:AJ442" si="4611">(AI299*AI250+AI370*AI326)/AI397</f>
        <v>0.26083738538353252</v>
      </c>
      <c r="AJ442" s="31">
        <f t="shared" si="4611"/>
        <v>0.26703043398719689</v>
      </c>
      <c r="AK442" s="31">
        <f t="shared" ref="AK442:AL442" si="4612">(AK299*AK250+AK370*AK326)/AK397</f>
        <v>0.2635749345963701</v>
      </c>
      <c r="AL442" s="31">
        <f t="shared" si="4612"/>
        <v>0.26474517391294461</v>
      </c>
      <c r="AM442" s="31">
        <f t="shared" ref="AM442:AN442" si="4613">(AM299*AM250+AM370*AM326)/AM397</f>
        <v>0.26300755168146672</v>
      </c>
      <c r="AN442" s="31">
        <f t="shared" si="4613"/>
        <v>0.26444085422904029</v>
      </c>
      <c r="AO442" s="31">
        <f t="shared" ref="AO442:AP442" si="4614">(AO299*AO250+AO370*AO326)/AO397</f>
        <v>0.26204133510918648</v>
      </c>
      <c r="AP442" s="31">
        <f t="shared" si="4614"/>
        <v>0.2636381161186675</v>
      </c>
      <c r="AQ442" s="31">
        <f t="shared" ref="AQ442:AR442" si="4615">(AQ299*AQ250+AQ370*AQ326)/AQ397</f>
        <v>0.26157805314392751</v>
      </c>
      <c r="AR442" s="31">
        <f t="shared" si="4615"/>
        <v>0.26282561030501783</v>
      </c>
      <c r="AT442" s="44">
        <f>(C442*C397+D442*D397)/AT397</f>
        <v>0.35673322240709932</v>
      </c>
      <c r="AU442" s="44">
        <f>(E442*E397+F442*F397)/AU397</f>
        <v>0.29214578214578213</v>
      </c>
      <c r="AV442" s="44">
        <f>(G442*G397+H442*H397)/AV397</f>
        <v>0.29780445969125213</v>
      </c>
      <c r="AW442" s="44">
        <f>(I442*I397+J442*J397)/AW397</f>
        <v>0.30384264538198408</v>
      </c>
      <c r="AX442" s="44">
        <f>(K442*K397+L442*L397)/AX397</f>
        <v>0.30925386444708686</v>
      </c>
      <c r="AY442" s="44">
        <f>(M442*M397+N442*N397)/AY397</f>
        <v>0.29844070470681033</v>
      </c>
      <c r="AZ442" s="44">
        <f>(O442*O397+P442*P397)/AZ397</f>
        <v>0.28806142506142501</v>
      </c>
      <c r="BA442" s="44">
        <f>(Q442*Q397+R442*R397)/BA397</f>
        <v>0.28605767708744539</v>
      </c>
      <c r="BB442" s="44">
        <f>(S442*S397+T442*T397)/BB397</f>
        <v>0.27799034658013683</v>
      </c>
      <c r="BC442" s="44">
        <f>(U442*U397+V442*V397)/BC397</f>
        <v>0.21707453261835807</v>
      </c>
      <c r="BD442" s="44">
        <f>(W442*W397+X442*X397)/BD397</f>
        <v>0.24291304130097083</v>
      </c>
      <c r="BE442" s="44">
        <f>(Y442*Y397+Z442*Z397)/BE397</f>
        <v>0.25282949481588179</v>
      </c>
      <c r="BF442" s="44">
        <f>(AA442*AA397+AB442*AB397)/BF397</f>
        <v>0.29357459123305535</v>
      </c>
      <c r="BG442" s="44">
        <f>(AC442*AC397+AD442*AD397)/BG397</f>
        <v>0.25683581040615339</v>
      </c>
      <c r="BH442" s="44">
        <f>(AE442*AE397+AF442*AF397)/BH397</f>
        <v>0.25157014960771618</v>
      </c>
      <c r="BI442" s="49">
        <f>(AF442*AF397+AG442*AG397)/BI397</f>
        <v>0.28064773336640303</v>
      </c>
      <c r="BJ442" s="44">
        <f>(AG442*AG397+AH442*AH397)/BJ397</f>
        <v>0.28418935525324163</v>
      </c>
      <c r="BK442" s="44">
        <f>(AI442*AI397+AJ442*AJ397)/BK397</f>
        <v>0.2821912099107412</v>
      </c>
      <c r="BL442" s="44">
        <f>(AJ442*AJ397+AK442*AK397)/BL397</f>
        <v>0.28325821326003769</v>
      </c>
      <c r="BM442" s="44">
        <f>(AK442*AK397+AL442*AL397)/BM397</f>
        <v>0.27006247490774182</v>
      </c>
      <c r="BN442" s="44">
        <f>(AM442*AM397+AN442*AN397)/BN397</f>
        <v>0.27421050478382619</v>
      </c>
    </row>
    <row r="443" spans="1:66" ht="12" hidden="1" customHeight="1" outlineLevel="1">
      <c r="A443" s="91" t="s">
        <v>1359</v>
      </c>
      <c r="B443" s="1" t="s">
        <v>28</v>
      </c>
      <c r="C443" s="33">
        <f t="shared" ref="C443:H443" si="4616">-C409/(C401+C406+C407+C408)</f>
        <v>0</v>
      </c>
      <c r="D443" s="33">
        <f t="shared" si="4616"/>
        <v>0</v>
      </c>
      <c r="E443" s="33">
        <f t="shared" si="4616"/>
        <v>0</v>
      </c>
      <c r="F443" s="33">
        <f t="shared" si="4616"/>
        <v>0</v>
      </c>
      <c r="G443" s="33">
        <f t="shared" si="4616"/>
        <v>0.21240905994719692</v>
      </c>
      <c r="H443" s="33">
        <f t="shared" si="4616"/>
        <v>0.28087155050265766</v>
      </c>
      <c r="I443" s="33">
        <f t="shared" ref="I443:M443" si="4617">-I409/(I401+I406+I407+I408)</f>
        <v>0.28149486311963939</v>
      </c>
      <c r="J443" s="33">
        <f t="shared" si="4617"/>
        <v>0.41058516134274414</v>
      </c>
      <c r="K443" s="33">
        <f t="shared" si="4617"/>
        <v>0.98212663360638963</v>
      </c>
      <c r="L443" s="33">
        <f t="shared" si="4617"/>
        <v>0.99439588190199368</v>
      </c>
      <c r="M443" s="33">
        <f t="shared" si="4617"/>
        <v>0.35853826496450608</v>
      </c>
      <c r="N443" s="33">
        <f>-N409/(N401+N406+N407+N408)</f>
        <v>0.29965068877353124</v>
      </c>
      <c r="O443" s="33">
        <f t="shared" ref="O443" si="4618">-O409/(O401+O406+O407+O408)</f>
        <v>0.3157821167132554</v>
      </c>
      <c r="P443" s="33">
        <f t="shared" ref="P443:Q443" si="4619">-P409/(P401+P406+P407+P408)</f>
        <v>0.28142811742781032</v>
      </c>
      <c r="Q443" s="33">
        <f t="shared" si="4619"/>
        <v>-0.15239748282938467</v>
      </c>
      <c r="R443" s="33">
        <f t="shared" ref="R443:S443" si="4620">-R409/(R401+R406+R407+R408)</f>
        <v>-0.23514649133237686</v>
      </c>
      <c r="S443" s="33">
        <f t="shared" si="4620"/>
        <v>-0.17521227343802886</v>
      </c>
      <c r="T443" s="33">
        <f t="shared" ref="T443" si="4621">-T409/(T401+T406+T407+T408)</f>
        <v>-0.28338059580068431</v>
      </c>
      <c r="U443" s="33">
        <f t="shared" ref="U443" si="4622">-U409/(U401+U406+U407+U408)</f>
        <v>0.20345457368843101</v>
      </c>
      <c r="V443" s="33">
        <f t="shared" ref="V443:W443" si="4623">-V409/(V401+V406+V407+V408)</f>
        <v>0.21590824903964284</v>
      </c>
      <c r="W443" s="33">
        <f t="shared" si="4623"/>
        <v>1.00950763479953</v>
      </c>
      <c r="X443" s="33">
        <f t="shared" ref="X443" si="4624">-X409/(X401+X406+X407+X408)</f>
        <v>-0.17993727585002883</v>
      </c>
      <c r="Y443" s="33">
        <f t="shared" ref="Y443:Z443" si="4625">-Y409/(Y401+Y406+Y407+Y408)</f>
        <v>0.60048318315098004</v>
      </c>
      <c r="Z443" s="33">
        <f t="shared" si="4625"/>
        <v>1.1914035931766436</v>
      </c>
      <c r="AA443" s="33">
        <f t="shared" ref="AA443:AB443" si="4626">-AA409/(AA401+AA406+AA407+AA408)</f>
        <v>0.67620811678659098</v>
      </c>
      <c r="AB443" s="33">
        <f t="shared" si="4626"/>
        <v>0.43025781392859147</v>
      </c>
      <c r="AC443" s="33">
        <f t="shared" ref="AC443" si="4627">-AC409/(AC401+AC406+AC407+AC408)</f>
        <v>0.24026513638634706</v>
      </c>
      <c r="AD443" s="33">
        <f t="shared" ref="AD443" si="4628">-AD409/(AD401+AD406+AD407+AD408)</f>
        <v>0.22795990671556521</v>
      </c>
      <c r="AE443" s="33">
        <f t="shared" ref="AE443" si="4629">-AE409/(AE401+AE406+AE407+AE408)</f>
        <v>0.24740522574544183</v>
      </c>
      <c r="AF443" s="33">
        <f>-AF409/(AF401+AF406+AF407+AF408)</f>
        <v>0.24490871567040073</v>
      </c>
      <c r="AG443" s="33">
        <f>-AG409/(AG401+AG406+AG407+AG408)</f>
        <v>0.26055209240080063</v>
      </c>
      <c r="AH443" s="33">
        <f>-AH409/(AH401+AH406+AH407+AH408)</f>
        <v>0.19337213628370725</v>
      </c>
      <c r="AI443" s="32">
        <f t="shared" ref="AI443" si="4630">-AI409/(AI401+AI406+AI407+AI408)</f>
        <v>0.28826063694984938</v>
      </c>
      <c r="AJ443" s="33">
        <f t="shared" ref="AJ443:AK443" si="4631">-AJ409/(AJ401+AJ406+AJ407+AJ408)</f>
        <v>0.20771901000461954</v>
      </c>
      <c r="AK443" s="33">
        <f t="shared" si="4631"/>
        <v>0.21779179075637861</v>
      </c>
      <c r="AL443" s="33">
        <f t="shared" ref="AL443:AM443" si="4632">-AL409/(AL401+AL406+AL407+AL408)</f>
        <v>0.21437341844335048</v>
      </c>
      <c r="AM443" s="33">
        <f t="shared" si="4632"/>
        <v>0.21985877620210731</v>
      </c>
      <c r="AN443" s="33">
        <f t="shared" ref="AN443:AO443" si="4633">-AN409/(AN401+AN406+AN407+AN408)</f>
        <v>0.21506614196713839</v>
      </c>
      <c r="AO443" s="33">
        <f t="shared" si="4633"/>
        <v>0.22182039127418746</v>
      </c>
      <c r="AP443" s="33">
        <f t="shared" ref="AP443:AQ443" si="4634">-AP409/(AP401+AP406+AP407+AP408)</f>
        <v>0.21668649777434509</v>
      </c>
      <c r="AQ443" s="33">
        <f t="shared" si="4634"/>
        <v>0.2222029483826003</v>
      </c>
      <c r="AR443" s="33">
        <f t="shared" ref="AR443" si="4635">-AR409/(AR401+AR406+AR407+AR408)</f>
        <v>0.21813929068040236</v>
      </c>
      <c r="AT443" s="44">
        <f>-AT409/SUM(AT401,AT406,AT407,AT408)</f>
        <v>0</v>
      </c>
      <c r="AU443" s="44">
        <f>-AU409/SUM(AU401,AU406,AU407,AU408)</f>
        <v>0</v>
      </c>
      <c r="AV443" s="44">
        <f>-AV409/SUM(AV401,AV406,AV407,AV408)</f>
        <v>0.22528136281173819</v>
      </c>
      <c r="AW443" s="44">
        <f>-AW409/SUM(AW401,AW406,AW407,AW408)</f>
        <v>0.1495709699553413</v>
      </c>
      <c r="AX443" s="44">
        <f t="shared" ref="AX443:BB443" si="4636">-AX409/SUM(AX401,AX406,AX407,AX408)</f>
        <v>0.99319501875912986</v>
      </c>
      <c r="AY443" s="44">
        <f t="shared" si="4636"/>
        <v>0.31625446387534994</v>
      </c>
      <c r="AZ443" s="44">
        <f t="shared" si="4636"/>
        <v>0.30028345839466369</v>
      </c>
      <c r="BA443" s="44">
        <f t="shared" si="4636"/>
        <v>-0.18264634255956722</v>
      </c>
      <c r="BB443" s="44">
        <f t="shared" si="4636"/>
        <v>-0.23067586175969293</v>
      </c>
      <c r="BC443" s="44">
        <f t="shared" ref="BC443:BH443" si="4637">-BC409/SUM(BC401,BC406,BC407,BC408)</f>
        <v>0.21004986657037295</v>
      </c>
      <c r="BD443" s="44">
        <f t="shared" si="4637"/>
        <v>0.19150412268905281</v>
      </c>
      <c r="BE443" s="44">
        <f t="shared" si="4637"/>
        <v>0.21909545785026083</v>
      </c>
      <c r="BF443" s="44">
        <f t="shared" si="4637"/>
        <v>0.25814047793749945</v>
      </c>
      <c r="BG443" s="44">
        <f t="shared" si="4637"/>
        <v>0.23210233860566862</v>
      </c>
      <c r="BH443" s="44">
        <f t="shared" si="4637"/>
        <v>0.24590372542271577</v>
      </c>
      <c r="BI443" s="49">
        <f t="shared" ref="BI443" si="4638">-BI409/SUM(BI401,BI406,BI407,BI408)</f>
        <v>0.22408821342425508</v>
      </c>
      <c r="BJ443" s="44">
        <f t="shared" ref="BJ443:BK443" si="4639">-BJ409/SUM(BJ401,BJ406,BJ407,BJ408)</f>
        <v>0.369281315616937</v>
      </c>
      <c r="BK443" s="44">
        <f t="shared" si="4639"/>
        <v>0.34755515415847904</v>
      </c>
      <c r="BL443" s="44">
        <f t="shared" ref="BL443" si="4640">-BL409/SUM(BL401,BL406,BL407,BL408)</f>
        <v>0.34939040374527658</v>
      </c>
      <c r="BM443" s="44">
        <f t="shared" ref="BM443" si="4641">-BM409/SUM(BM401,BM406,BM407,BM408)</f>
        <v>0.35161239588911564</v>
      </c>
      <c r="BN443" s="44">
        <f t="shared" ref="BN443" si="4642">-BN409/SUM(BN401,BN406,BN407,BN408)</f>
        <v>0.34692661876045722</v>
      </c>
    </row>
    <row r="444" spans="1:66" ht="12" hidden="1" customHeight="1" outlineLevel="1">
      <c r="B444" s="1" t="s">
        <v>70</v>
      </c>
      <c r="C444" s="33">
        <f t="shared" ref="C444:M444" si="4643">IF(ISERROR(-C408/(C401-((11%/(1-30%))*AVERAGE(B415:C415)/C$5))),"n.a.",-C408/(C401-((11%/(1-30%))*AVERAGE(B415:C415)/C$5)))</f>
        <v>0</v>
      </c>
      <c r="D444" s="33">
        <f t="shared" si="4643"/>
        <v>0</v>
      </c>
      <c r="E444" s="33">
        <f t="shared" si="4643"/>
        <v>0</v>
      </c>
      <c r="F444" s="33">
        <f t="shared" si="4643"/>
        <v>0</v>
      </c>
      <c r="G444" s="33">
        <f t="shared" si="4643"/>
        <v>-0.18510711744433628</v>
      </c>
      <c r="H444" s="33">
        <f t="shared" si="4643"/>
        <v>7.3952544672431779</v>
      </c>
      <c r="I444" s="33">
        <f t="shared" si="4643"/>
        <v>-2.2639914585994778</v>
      </c>
      <c r="J444" s="33">
        <f t="shared" si="4643"/>
        <v>3.1412987721113197</v>
      </c>
      <c r="K444" s="33">
        <f t="shared" si="4643"/>
        <v>-251.44690455889165</v>
      </c>
      <c r="L444" s="33">
        <f t="shared" si="4643"/>
        <v>-149.80283267502762</v>
      </c>
      <c r="M444" s="44">
        <f t="shared" si="4643"/>
        <v>4.347640212874345</v>
      </c>
      <c r="N444" s="44">
        <f t="shared" ref="N444" si="4644">IF(ISERROR(-N408/(N401-((11%/(1-30%))*AVERAGE(M415:N415)/N$5))),"n.a.",-N408/(N401-((11%/(1-30%))*AVERAGE(M415:N415)/N$5)))</f>
        <v>0.82300121596519726</v>
      </c>
      <c r="O444" s="44">
        <f t="shared" ref="O444:AH444" si="4645">IF(ISERROR(-O408/(O401-((11%/(1-30%))*AVERAGE(N415:O415)/O$5))),"n.a.",-O408/(O401-((11%/(1-30%))*AVERAGE(N415:O415)/O$5)))</f>
        <v>1.1779653594580257</v>
      </c>
      <c r="P444" s="44">
        <f t="shared" si="4645"/>
        <v>1.8246858404934903</v>
      </c>
      <c r="Q444" s="44">
        <f t="shared" si="4645"/>
        <v>5.1124695318030913</v>
      </c>
      <c r="R444" s="44">
        <f t="shared" si="4645"/>
        <v>3.4017157862608047</v>
      </c>
      <c r="S444" s="44">
        <f t="shared" si="4645"/>
        <v>6.4791391017786415</v>
      </c>
      <c r="T444" s="44">
        <f t="shared" si="4645"/>
        <v>2.8439648152094739</v>
      </c>
      <c r="U444" s="44">
        <f t="shared" si="4645"/>
        <v>0.86480648959444073</v>
      </c>
      <c r="V444" s="44">
        <f t="shared" si="4645"/>
        <v>0.83227468193268039</v>
      </c>
      <c r="W444" s="44">
        <f t="shared" si="4645"/>
        <v>-17.710158693521436</v>
      </c>
      <c r="X444" s="44">
        <f t="shared" si="4645"/>
        <v>-1.2539505718319794</v>
      </c>
      <c r="Y444" s="44">
        <f t="shared" si="4645"/>
        <v>-2.8688562422173272</v>
      </c>
      <c r="Z444" s="44">
        <f t="shared" si="4645"/>
        <v>2.3693869955283469</v>
      </c>
      <c r="AA444" s="44">
        <f t="shared" si="4645"/>
        <v>1.9682497731948752</v>
      </c>
      <c r="AB444" s="44">
        <f t="shared" si="4645"/>
        <v>0.51021532173396256</v>
      </c>
      <c r="AC444" s="44">
        <f t="shared" si="4645"/>
        <v>0.59915311059877752</v>
      </c>
      <c r="AD444" s="44">
        <f t="shared" si="4645"/>
        <v>0.32015411207952232</v>
      </c>
      <c r="AE444" s="44">
        <f t="shared" si="4645"/>
        <v>0.83983047707347469</v>
      </c>
      <c r="AF444" s="44">
        <f t="shared" si="4645"/>
        <v>0.46998634804270917</v>
      </c>
      <c r="AG444" s="44">
        <f t="shared" si="4645"/>
        <v>0.89619866348243438</v>
      </c>
      <c r="AH444" s="44">
        <f t="shared" si="4645"/>
        <v>0.78806249296387654</v>
      </c>
      <c r="AI444" s="49">
        <f t="shared" ref="AI444" si="4646">IF(ISERROR(-AI408/(AI401-((11%/(1-30%))*AVERAGE(AH415:AI415)/AI$5))),"n.a.",-AI408/(AI401-((11%/(1-30%))*AVERAGE(AH415:AI415)/AI$5)))</f>
        <v>0.74975090963283098</v>
      </c>
      <c r="AJ444" s="44">
        <f t="shared" ref="AJ444" si="4647">IF(ISERROR(-AJ408/(AJ401-((11%/(1-30%))*AVERAGE(AI415:AJ415)/AJ$5))),"n.a.",-AJ408/(AJ401-((11%/(1-30%))*AVERAGE(AI415:AJ415)/AJ$5)))</f>
        <v>0.66633800780371699</v>
      </c>
      <c r="AK444" s="44">
        <f t="shared" ref="AK444" si="4648">IF(ISERROR(-AK408/(AK401-((11%/(1-30%))*AVERAGE(AJ415:AK415)/AK$5))),"n.a.",-AK408/(AK401-((11%/(1-30%))*AVERAGE(AJ415:AK415)/AK$5)))</f>
        <v>0.95292553318411688</v>
      </c>
      <c r="AL444" s="44">
        <f t="shared" ref="AL444" si="4649">IF(ISERROR(-AL408/(AL401-((11%/(1-30%))*AVERAGE(AK415:AL415)/AL$5))),"n.a.",-AL408/(AL401-((11%/(1-30%))*AVERAGE(AK415:AL415)/AL$5)))</f>
        <v>0.80250804375177709</v>
      </c>
      <c r="AM444" s="44">
        <f t="shared" ref="AM444" si="4650">IF(ISERROR(-AM408/(AM401-((11%/(1-30%))*AVERAGE(AL415:AM415)/AM$5))),"n.a.",-AM408/(AM401-((11%/(1-30%))*AVERAGE(AL415:AM415)/AM$5)))</f>
        <v>0.91267181014665899</v>
      </c>
      <c r="AN444" s="44">
        <f t="shared" ref="AN444" si="4651">IF(ISERROR(-AN408/(AN401-((11%/(1-30%))*AVERAGE(AM415:AN415)/AN$5))),"n.a.",-AN408/(AN401-((11%/(1-30%))*AVERAGE(AM415:AN415)/AN$5)))</f>
        <v>0.71087854880290968</v>
      </c>
      <c r="AO444" s="44">
        <f t="shared" ref="AO444" si="4652">IF(ISERROR(-AO408/(AO401-((11%/(1-30%))*AVERAGE(AN415:AO415)/AO$5))),"n.a.",-AO408/(AO401-((11%/(1-30%))*AVERAGE(AN415:AO415)/AO$5)))</f>
        <v>0.81563216377292269</v>
      </c>
      <c r="AP444" s="44">
        <f t="shared" ref="AP444" si="4653">IF(ISERROR(-AP408/(AP401-((11%/(1-30%))*AVERAGE(AO415:AP415)/AP$5))),"n.a.",-AP408/(AP401-((11%/(1-30%))*AVERAGE(AO415:AP415)/AP$5)))</f>
        <v>0.64482385321231883</v>
      </c>
      <c r="AQ444" s="44">
        <f t="shared" ref="AQ444" si="4654">IF(ISERROR(-AQ408/(AQ401-((11%/(1-30%))*AVERAGE(AP415:AQ415)/AQ$5))),"n.a.",-AQ408/(AQ401-((11%/(1-30%))*AVERAGE(AP415:AQ415)/AQ$5)))</f>
        <v>0.71114314622361052</v>
      </c>
      <c r="AR444" s="44">
        <f t="shared" ref="AR444" si="4655">IF(ISERROR(-AR408/(AR401-((11%/(1-30%))*AVERAGE(AQ415:AR415)/AR$5))),"n.a.",-AR408/(AR401-((11%/(1-30%))*AVERAGE(AQ415:AR415)/AR$5)))</f>
        <v>0.60076441299087724</v>
      </c>
      <c r="AS444" s="8"/>
      <c r="AT444" s="44">
        <f>IF(ISERROR(-AT408/(AT401-((11%/(1-30%))*AVERAGE(T415:AT415)/AT$5))),"n.a.",-AT408/(AT401-((11%/(1-30%))*AVERAGE(T415:AT415)/AT$5)))</f>
        <v>0</v>
      </c>
      <c r="AU444" s="44">
        <f>IF(ISERROR(-AU408/(AU401-((11%/(1-30%))*AVERAGE(AT415:AU415)/AU$5))),"n.a.",-AU408/(AU401-((11%/(1-30%))*AVERAGE(AT415:AU415)/AU$5)))</f>
        <v>0</v>
      </c>
      <c r="AV444" s="44">
        <f>IF(ISERROR(-AV408/(AV401-((11%/(1-30%))*AVERAGE(AU415:AV415)/AV$5))),"n.a.",-AV408/(AV401-((11%/(1-30%))*AVERAGE(AU415:AV415)/AV$5)))</f>
        <v>-2.5755315449907537</v>
      </c>
      <c r="AW444" s="44">
        <f>IF(ISERROR(-AW408/(AW401-((11%/(1-30%))*AVERAGE(AV415:AW415)/AW$5))),"n.a.",-AW408/(AW401-((11%/(1-30%))*AVERAGE(AV415:AW415)/AW$5)))</f>
        <v>-25.451745058898364</v>
      </c>
      <c r="AX444" s="44">
        <f t="shared" ref="AX444:BB444" si="4656">IF(ISERROR(-AX408/(AX401-((11%/(1-30%))*AVERAGE(AW415:AX415)/AX$5))),"n.a.",-AX408/(AX401-((11%/(1-30%))*AVERAGE(AW415:AX415)/AX$5)))</f>
        <v>-151.40971374782634</v>
      </c>
      <c r="AY444" s="44">
        <f t="shared" si="4656"/>
        <v>1.2192498437711834</v>
      </c>
      <c r="AZ444" s="44">
        <f t="shared" si="4656"/>
        <v>1.3332465129670485</v>
      </c>
      <c r="BA444" s="44">
        <f t="shared" si="4656"/>
        <v>4.2457409440264025</v>
      </c>
      <c r="BB444" s="44">
        <f t="shared" si="4656"/>
        <v>3.6830398713276713</v>
      </c>
      <c r="BC444" s="44">
        <f t="shared" ref="BC444" si="4657">IF(ISERROR(-BC408/(BC401-((11%/(1-30%))*AVERAGE(BB415:BC415)/BC$5))),"n.a.",-BC408/(BC401-((11%/(1-30%))*AVERAGE(BB415:BC415)/BC$5)))</f>
        <v>0.77109753709337692</v>
      </c>
      <c r="BD444" s="44">
        <f t="shared" ref="BD444" si="4658">IF(ISERROR(-BD408/(BD401-((11%/(1-30%))*AVERAGE(BC415:BD415)/BD$5))),"n.a.",-BD408/(BD401-((11%/(1-30%))*AVERAGE(BC415:BD415)/BD$5)))</f>
        <v>1.4000578502282419</v>
      </c>
      <c r="BE444" s="44">
        <f t="shared" ref="BE444" si="4659">IF(ISERROR(-BE408/(BE401-((11%/(1-30%))*AVERAGE(BD415:BE415)/BE$5))),"n.a.",-BE408/(BE401-((11%/(1-30%))*AVERAGE(BD415:BE415)/BE$5)))</f>
        <v>0.98147780702663945</v>
      </c>
      <c r="BF444" s="44">
        <f t="shared" ref="BF444" si="4660">IF(ISERROR(-BF408/(BF401-((11%/(1-30%))*AVERAGE(BE415:BF415)/BF$5))),"n.a.",-BF408/(BF401-((11%/(1-30%))*AVERAGE(BE415:BF415)/BF$5)))</f>
        <v>0.47919803471853328</v>
      </c>
      <c r="BG444" s="44">
        <f t="shared" ref="BG444" si="4661">IF(ISERROR(-BG408/(BG401-((11%/(1-30%))*AVERAGE(BF415:BG415)/BG$5))),"n.a.",-BG408/(BG401-((11%/(1-30%))*AVERAGE(BF415:BG415)/BG$5)))</f>
        <v>0.41888157665303238</v>
      </c>
      <c r="BH444" s="44">
        <f t="shared" ref="BH444:BJ444" si="4662">IF(ISERROR(-BH408/(BH401-((11%/(1-30%))*AVERAGE(BG415:BH415)/BH$5))),"n.a.",-BH408/(BH401-((11%/(1-30%))*AVERAGE(BG415:BH415)/BH$5)))</f>
        <v>0.6083694365566964</v>
      </c>
      <c r="BI444" s="49">
        <f t="shared" si="4662"/>
        <v>0.85554114522802971</v>
      </c>
      <c r="BJ444" s="44">
        <f t="shared" si="4662"/>
        <v>1.9641133328131293</v>
      </c>
      <c r="BK444" s="44">
        <f>IF(ISERROR(-BK408/(BK401-((11%/(1-30%))*AVERAGE(BK415:BK415)/BK$5))),"n.a.",-BK408/(BK401-((11%/(1-30%))*AVERAGE(BK415:BK415)/BK$5)))</f>
        <v>2.2992956973674552</v>
      </c>
      <c r="BL444" s="44">
        <f>IF(ISERROR(-BL408/(BL401-((11%/(1-30%))*AVERAGE(BL415:BL415)/BL$5))),"n.a.",-BL408/(BL401-((11%/(1-30%))*AVERAGE(BL415:BL415)/BL$5)))</f>
        <v>1.8345234851599079</v>
      </c>
      <c r="BM444" s="44">
        <f>IF(ISERROR(-BM408/(BM401-((11%/(1-30%))*AVERAGE(BM415:BM415)/BM$5))),"n.a.",-BM408/(BM401-((11%/(1-30%))*AVERAGE(BM415:BM415)/BM$5)))</f>
        <v>1.5271997845647183</v>
      </c>
      <c r="BN444" s="44">
        <f>IF(ISERROR(-BN408/(BN401-((11%/(1-30%))*AVERAGE(BN415:BN415)/BN$5))),"n.a.",-BN408/(BN401-((11%/(1-30%))*AVERAGE(BN415:BN415)/BN$5)))</f>
        <v>1.2728005591297458</v>
      </c>
    </row>
    <row r="445" spans="1:66" ht="12" hidden="1" customHeight="1" outlineLevel="1">
      <c r="B445" s="1" t="s">
        <v>69</v>
      </c>
      <c r="C445" s="37">
        <f t="shared" ref="C445:M445" si="4663">IF(ISERROR(C410/AVERAGE(B414:C414)),"n.a.",C410*C$5/AVERAGE(B414:C414))</f>
        <v>0</v>
      </c>
      <c r="D445" s="37">
        <f t="shared" si="4663"/>
        <v>0</v>
      </c>
      <c r="E445" s="37">
        <f t="shared" si="4663"/>
        <v>0</v>
      </c>
      <c r="F445" s="37">
        <f t="shared" si="4663"/>
        <v>0</v>
      </c>
      <c r="G445" s="37">
        <f t="shared" si="4663"/>
        <v>-3.2928583221799841E-3</v>
      </c>
      <c r="H445" s="37">
        <f t="shared" si="4663"/>
        <v>-1.2783035915007513E-3</v>
      </c>
      <c r="I445" s="37">
        <f t="shared" si="4663"/>
        <v>-4.0299865548243117E-3</v>
      </c>
      <c r="J445" s="37">
        <f t="shared" si="4663"/>
        <v>1.5046896677896686E-3</v>
      </c>
      <c r="K445" s="37">
        <f t="shared" si="4663"/>
        <v>3.7466508861991074E-3</v>
      </c>
      <c r="L445" s="37">
        <f t="shared" si="4663"/>
        <v>9.3835768493302756E-3</v>
      </c>
      <c r="M445" s="37">
        <f t="shared" si="4663"/>
        <v>3.9408110649786013E-3</v>
      </c>
      <c r="N445" s="37">
        <f t="shared" ref="N445" si="4664">IF(ISERROR(N410/AVERAGE(M414:N414)),"n.a.",N410*N$5/AVERAGE(M414:N414))</f>
        <v>9.2394324663572103E-3</v>
      </c>
      <c r="O445" s="37">
        <f t="shared" ref="O445:AH445" si="4665">IF(ISERROR(O410/AVERAGE(N414:O414)),"n.a.",O410*O$5/AVERAGE(N414:O414))</f>
        <v>5.8879235805163258E-3</v>
      </c>
      <c r="P445" s="37">
        <f t="shared" si="4665"/>
        <v>5.3471385008155448E-3</v>
      </c>
      <c r="Q445" s="37">
        <f t="shared" si="4665"/>
        <v>7.3039720420181265E-3</v>
      </c>
      <c r="R445" s="37">
        <f t="shared" si="4665"/>
        <v>6.9628572240295963E-3</v>
      </c>
      <c r="S445" s="37">
        <f t="shared" si="4665"/>
        <v>5.9242737460559226E-3</v>
      </c>
      <c r="T445" s="37">
        <f t="shared" si="4665"/>
        <v>1.0945588603261551E-2</v>
      </c>
      <c r="U445" s="37">
        <f t="shared" si="4665"/>
        <v>1.3784241483711129E-2</v>
      </c>
      <c r="V445" s="37">
        <f t="shared" si="4665"/>
        <v>1.5107183692184022E-2</v>
      </c>
      <c r="W445" s="37">
        <f t="shared" si="4665"/>
        <v>1.3046820474561105E-2</v>
      </c>
      <c r="X445" s="37">
        <f t="shared" si="4665"/>
        <v>6.0808656417691582E-3</v>
      </c>
      <c r="Y445" s="37">
        <f t="shared" si="4665"/>
        <v>6.6286283500208735E-3</v>
      </c>
      <c r="Z445" s="37">
        <f t="shared" si="4665"/>
        <v>1.965466658987686E-2</v>
      </c>
      <c r="AA445" s="37">
        <f t="shared" si="4665"/>
        <v>1.4418675617943241E-2</v>
      </c>
      <c r="AB445" s="37">
        <f t="shared" si="4665"/>
        <v>1.995233332949941E-2</v>
      </c>
      <c r="AC445" s="37">
        <f t="shared" si="4665"/>
        <v>1.0973567506856369E-2</v>
      </c>
      <c r="AD445" s="37">
        <f t="shared" si="4665"/>
        <v>2.3038800741418636E-2</v>
      </c>
      <c r="AE445" s="37">
        <f t="shared" si="4665"/>
        <v>1.0648081068533901E-2</v>
      </c>
      <c r="AF445" s="37">
        <f t="shared" si="4665"/>
        <v>1.63513813791571E-2</v>
      </c>
      <c r="AG445" s="37">
        <f t="shared" si="4665"/>
        <v>1.0632736131902687E-2</v>
      </c>
      <c r="AH445" s="37">
        <f t="shared" si="4665"/>
        <v>1.284399184701137E-2</v>
      </c>
      <c r="AI445" s="38">
        <f t="shared" ref="AI445" si="4666">IF(ISERROR(AI410/AVERAGE(AH414:AI414)),"n.a.",AI410*AI$5/AVERAGE(AH414:AI414))</f>
        <v>1.0453731881675392E-2</v>
      </c>
      <c r="AJ445" s="37">
        <f t="shared" ref="AJ445" si="4667">IF(ISERROR(AJ410/AVERAGE(AI414:AJ414)),"n.a.",AJ410*AJ$5/AVERAGE(AI414:AJ414))</f>
        <v>1.3411606382302562E-2</v>
      </c>
      <c r="AK445" s="37">
        <f t="shared" ref="AK445" si="4668">IF(ISERROR(AK410/AVERAGE(AJ414:AK414)),"n.a.",AK410*AK$5/AVERAGE(AJ414:AK414))</f>
        <v>1.0063969647311608E-2</v>
      </c>
      <c r="AL445" s="37">
        <f t="shared" ref="AL445" si="4669">IF(ISERROR(AL410/AVERAGE(AK414:AL414)),"n.a.",AL410*AL$5/AVERAGE(AK414:AL414))</f>
        <v>1.1123890949144835E-2</v>
      </c>
      <c r="AM445" s="37">
        <f t="shared" ref="AM445" si="4670">IF(ISERROR(AM410/AVERAGE(AL414:AM414)),"n.a.",AM410*AM$5/AVERAGE(AL414:AM414))</f>
        <v>9.8722715807488155E-3</v>
      </c>
      <c r="AN445" s="37">
        <f t="shared" ref="AN445" si="4671">IF(ISERROR(AN410/AVERAGE(AM414:AN414)),"n.a.",AN410*AN$5/AVERAGE(AM414:AN414))</f>
        <v>1.1646065816979788E-2</v>
      </c>
      <c r="AO445" s="37">
        <f t="shared" ref="AO445" si="4672">IF(ISERROR(AO410/AVERAGE(AN414:AO414)),"n.a.",AO410*AO$5/AVERAGE(AN414:AO414))</f>
        <v>1.0155201755824267E-2</v>
      </c>
      <c r="AP445" s="37">
        <f t="shared" ref="AP445" si="4673">IF(ISERROR(AP410/AVERAGE(AO414:AP414)),"n.a.",AP410*AP$5/AVERAGE(AO414:AP414))</f>
        <v>1.203506093346875E-2</v>
      </c>
      <c r="AQ445" s="37">
        <f t="shared" ref="AQ445" si="4674">IF(ISERROR(AQ410/AVERAGE(AP414:AQ414)),"n.a.",AQ410*AQ$5/AVERAGE(AP414:AQ414))</f>
        <v>1.0750626923561542E-2</v>
      </c>
      <c r="AR445" s="37">
        <f t="shared" ref="AR445" si="4675">IF(ISERROR(AR410/AVERAGE(AQ414:AR414)),"n.a.",AR410*AR$5/AVERAGE(AQ414:AR414))</f>
        <v>1.2209182920777065E-2</v>
      </c>
      <c r="AS445" s="8"/>
      <c r="AT445" s="37">
        <f>IF(ISERROR(AT410/AVERAGE(T414:AT414)),"n.a.",AT410*AT$5/AVERAGE(T414:AT414))</f>
        <v>0</v>
      </c>
      <c r="AU445" s="37">
        <f>IF(ISERROR(AU410/AVERAGE(AT414:AU414)),"n.a.",AU410*AU$5/AVERAGE(AT414:AU414))</f>
        <v>0</v>
      </c>
      <c r="AV445" s="37">
        <f>IF(ISERROR(AV410/AVERAGE(AU414:AV414)),"n.a.",AV410*AV$5/AVERAGE(AU414:AV414))</f>
        <v>-2.5660748846057608E-3</v>
      </c>
      <c r="AW445" s="37">
        <f>IF(ISERROR(AW410/AVERAGE(AV414:AW414)),"n.a.",AW410*AW$5/AVERAGE(AV414:AW414))</f>
        <v>-1.3189288519391208E-3</v>
      </c>
      <c r="AX445" s="37">
        <f t="shared" ref="AX445:BB445" si="4676">IF(ISERROR(AX410/AVERAGE(AW414:AX414)),"n.a.",AX410*AX$5/AVERAGE(AW414:AX414))</f>
        <v>6.6498346431492477E-3</v>
      </c>
      <c r="AY445" s="37">
        <f t="shared" si="4676"/>
        <v>6.5719260798741807E-3</v>
      </c>
      <c r="AZ445" s="37">
        <f t="shared" si="4676"/>
        <v>5.9979163566006846E-3</v>
      </c>
      <c r="BA445" s="37">
        <f t="shared" si="4676"/>
        <v>-1.7765506022613564E-2</v>
      </c>
      <c r="BB445" s="37">
        <f t="shared" si="4676"/>
        <v>-1.5007473841554557E-2</v>
      </c>
      <c r="BC445" s="37">
        <f t="shared" ref="BC445" si="4677">IF(ISERROR(BC410/AVERAGE(BB414:BC414)),"n.a.",BC410*BC$5/AVERAGE(BB414:BC414))</f>
        <v>1.5749306170460404E-2</v>
      </c>
      <c r="BD445" s="37">
        <f t="shared" ref="BD445" si="4678">IF(ISERROR(BD410/AVERAGE(BC414:BD414)),"n.a.",BD410*BD$5/AVERAGE(BC414:BD414))</f>
        <v>9.0160108179871482E-3</v>
      </c>
      <c r="BE445" s="37">
        <f t="shared" ref="BE445" si="4679">IF(ISERROR(BE410/AVERAGE(BD414:BE414)),"n.a.",BE410*BE$5/AVERAGE(BD414:BE414))</f>
        <v>1.2202308994197289E-2</v>
      </c>
      <c r="BF445" s="37">
        <f t="shared" ref="BF445" si="4680">IF(ISERROR(BF410/AVERAGE(BE414:BF414)),"n.a.",BF410*BF$5/AVERAGE(BE414:BF414))</f>
        <v>1.9309440552107773E-2</v>
      </c>
      <c r="BG445" s="37">
        <f t="shared" ref="BG445" si="4681">IF(ISERROR(BG410/AVERAGE(BF414:BG414)),"n.a.",BG410*BG$5/AVERAGE(BF414:BG414))</f>
        <v>2.0366943892513267E-2</v>
      </c>
      <c r="BH445" s="37">
        <f t="shared" ref="BH445:BJ445" si="4682">IF(ISERROR(BH410/AVERAGE(BG414:BH414)),"n.a.",BH410*BH$5/AVERAGE(BG414:BH414))</f>
        <v>1.3442999911559211E-2</v>
      </c>
      <c r="BI445" s="38">
        <f t="shared" si="4682"/>
        <v>1.1727352862341767E-2</v>
      </c>
      <c r="BJ445" s="37">
        <f t="shared" si="4682"/>
        <v>1.2068981699449562E-2</v>
      </c>
      <c r="BK445" s="37">
        <f>IF(ISERROR(BK410/AVERAGE(BK414:BK414)),"n.a.",BK410*BK$5/AVERAGE(BK414:BK414))</f>
        <v>1.0082427031781957E-2</v>
      </c>
      <c r="BL445" s="37">
        <f>IF(ISERROR(BL410/AVERAGE(BL414:BL414)),"n.a.",BL410*BL$5/AVERAGE(BL414:BL414))</f>
        <v>1.0378011192490469E-2</v>
      </c>
      <c r="BM445" s="37">
        <f>IF(ISERROR(BM410/AVERAGE(BM414:BM414)),"n.a.",BM410*BM$5/AVERAGE(BM414:BM414))</f>
        <v>1.0746565949404248E-2</v>
      </c>
      <c r="BN445" s="37">
        <f>IF(ISERROR(BN410/AVERAGE(BN414:BN414)),"n.a.",BN410*BN$5/AVERAGE(BN414:BN414))</f>
        <v>1.1122516392019872E-2</v>
      </c>
    </row>
    <row r="446" spans="1:66" ht="12" hidden="1" customHeight="1" outlineLevel="1">
      <c r="A446" s="91" t="s">
        <v>524</v>
      </c>
      <c r="B446" s="1" t="s">
        <v>26</v>
      </c>
      <c r="C446" s="44"/>
      <c r="D446" s="44"/>
      <c r="E446" s="44"/>
      <c r="F446" s="44"/>
      <c r="G446" s="44">
        <f t="shared" ref="G446:M446" si="4683">IF(ISERROR(G410/AVERAGE(F415:G415)),"n.a.",G410*G$5/AVERAGE(F415:G415))</f>
        <v>-5.8095843183609136E-2</v>
      </c>
      <c r="H446" s="44">
        <f t="shared" si="4683"/>
        <v>-2.1446460614318746E-2</v>
      </c>
      <c r="I446" s="44">
        <f t="shared" si="4683"/>
        <v>-6.1081016868614869E-2</v>
      </c>
      <c r="J446" s="44">
        <f t="shared" si="4683"/>
        <v>2.3914361500568422E-2</v>
      </c>
      <c r="K446" s="44">
        <f t="shared" si="4683"/>
        <v>5.9999999999999963E-2</v>
      </c>
      <c r="L446" s="44">
        <f t="shared" si="4683"/>
        <v>0.15589680434508021</v>
      </c>
      <c r="M446" s="44">
        <f t="shared" si="4683"/>
        <v>7.0000000000000007E-2</v>
      </c>
      <c r="N446" s="44">
        <f t="shared" ref="N446" si="4684">IF(ISERROR(N410/AVERAGE(M415:N415)),"n.a.",N410*N$5/AVERAGE(M415:N415))</f>
        <v>0.18772216913521261</v>
      </c>
      <c r="O446" s="44">
        <f t="shared" ref="O446:AH446" si="4685">IF(ISERROR(O410/AVERAGE(N415:O415)),"n.a.",O410*O$5/AVERAGE(N415:O415))</f>
        <v>0.13</v>
      </c>
      <c r="P446" s="44">
        <f t="shared" si="4685"/>
        <v>0.11540816326530612</v>
      </c>
      <c r="Q446" s="44">
        <f t="shared" si="4685"/>
        <v>0.15999999999999998</v>
      </c>
      <c r="R446" s="44">
        <f t="shared" si="4685"/>
        <v>0.1466300366300366</v>
      </c>
      <c r="S446" s="44">
        <f t="shared" si="4685"/>
        <v>0.10999999999999997</v>
      </c>
      <c r="T446" s="44">
        <f t="shared" si="4685"/>
        <v>0.18425627943485084</v>
      </c>
      <c r="U446" s="44">
        <f t="shared" si="4685"/>
        <v>0.19000000000000003</v>
      </c>
      <c r="V446" s="44">
        <f t="shared" si="4685"/>
        <v>0.19546200255627982</v>
      </c>
      <c r="W446" s="44">
        <f t="shared" si="4685"/>
        <v>0.18</v>
      </c>
      <c r="X446" s="44">
        <f t="shared" si="4685"/>
        <v>8.8055139346718631E-2</v>
      </c>
      <c r="Y446" s="44">
        <f t="shared" si="4685"/>
        <v>9.9999999999999992E-2</v>
      </c>
      <c r="Z446" s="44">
        <f t="shared" si="4685"/>
        <v>0.27560959750308861</v>
      </c>
      <c r="AA446" s="327">
        <f t="shared" si="4685"/>
        <v>0.21</v>
      </c>
      <c r="AB446" s="327">
        <f t="shared" si="4685"/>
        <v>0.31073974805682125</v>
      </c>
      <c r="AC446" s="327">
        <f t="shared" si="4685"/>
        <v>0.19945355191256831</v>
      </c>
      <c r="AD446" s="327">
        <f t="shared" si="4685"/>
        <v>0.3826700326700328</v>
      </c>
      <c r="AE446" s="327">
        <f t="shared" si="4685"/>
        <v>0.13</v>
      </c>
      <c r="AF446" s="327">
        <f t="shared" si="4685"/>
        <v>0.18836177474402729</v>
      </c>
      <c r="AG446" s="327">
        <f t="shared" si="4685"/>
        <v>0.11967213114754099</v>
      </c>
      <c r="AH446" s="327">
        <f t="shared" si="4685"/>
        <v>0.14314667368559583</v>
      </c>
      <c r="AI446" s="408">
        <f t="shared" ref="AI446" si="4686">IF(ISERROR(AI410/AVERAGE(AH415:AI415)),"n.a.",AI410*AI$5/AVERAGE(AH415:AI415))</f>
        <v>0.11967213114754099</v>
      </c>
      <c r="AJ446" s="47">
        <f>IF(ISERROR(AJ410/AVERAGE(AI415:AJ415)),"n.a.",AJ410*AJ$5/AVERAGE(AI415:AJ415))</f>
        <v>0.16278441073116889</v>
      </c>
      <c r="AK446" s="47">
        <f t="shared" ref="AK446" si="4687">IF(ISERROR(AK410/AVERAGE(AJ415:AK415)),"n.a.",AK410*AK$5/AVERAGE(AJ415:AK415))</f>
        <v>0.12545906664662707</v>
      </c>
      <c r="AL446" s="47">
        <f>IF(ISERROR(AL410/AVERAGE(AK415:AL415)),"n.a.",AL410*AL$5/AVERAGE(AK415:AL415))</f>
        <v>0.14188488298479307</v>
      </c>
      <c r="AM446" s="47">
        <f t="shared" ref="AM446" si="4688">IF(ISERROR(AM410/AVERAGE(AL415:AM415)),"n.a.",AM410*AM$5/AVERAGE(AL415:AM415))</f>
        <v>0.12883300994306959</v>
      </c>
      <c r="AN446" s="47">
        <f>IF(ISERROR(AN410/AVERAGE(AM415:AN415)),"n.a.",AN410*AN$5/AVERAGE(AM415:AN415))</f>
        <v>0.1555012259637584</v>
      </c>
      <c r="AO446" s="47">
        <f t="shared" ref="AO446" si="4689">IF(ISERROR(AO410/AVERAGE(AN415:AO415)),"n.a.",AO410*AO$5/AVERAGE(AN415:AO415))</f>
        <v>0.13873465351698272</v>
      </c>
      <c r="AP446" s="47">
        <f>IF(ISERROR(AP410/AVERAGE(AO415:AP415)),"n.a.",AP410*AP$5/AVERAGE(AO415:AP415))</f>
        <v>0.16822499216250075</v>
      </c>
      <c r="AQ446" s="47">
        <f t="shared" ref="AQ446" si="4690">IF(ISERROR(AQ410/AVERAGE(AP415:AQ415)),"n.a.",AQ410*AQ$5/AVERAGE(AP415:AQ415))</f>
        <v>0.15375157423405111</v>
      </c>
      <c r="AR446" s="47">
        <f>IF(ISERROR(AR410/AVERAGE(AQ415:AR415)),"n.a.",AR410*AR$5/AVERAGE(AQ415:AR415))</f>
        <v>0.1786553834903887</v>
      </c>
      <c r="AS446" s="8"/>
      <c r="AT446" s="44"/>
      <c r="AU446" s="44"/>
      <c r="AV446" s="44">
        <f>IF(ISERROR(AV410/AVERAGE(AU415:AV415)),"n.a.",AV410*AV$5/AVERAGE(AU415:AV415))</f>
        <v>-3.9181244008074323E-2</v>
      </c>
      <c r="AW446" s="44">
        <f>IF(ISERROR(AW410/AVERAGE(AV415:AW415)),"n.a.",AW410*AW$5/AVERAGE(AV415:AW415))</f>
        <v>-1.9999999999999983E-2</v>
      </c>
      <c r="AX446" s="44">
        <f t="shared" ref="AX446:BB446" si="4691">IF(ISERROR(AX410/AVERAGE(AW415:AX415)),"n.a.",AX410*AX$5/AVERAGE(AW415:AX415))</f>
        <v>0.11</v>
      </c>
      <c r="AY446" s="44">
        <f t="shared" si="4691"/>
        <v>0.13000000000000006</v>
      </c>
      <c r="AZ446" s="44">
        <f t="shared" si="4691"/>
        <v>0.13</v>
      </c>
      <c r="BA446" s="44">
        <f t="shared" si="4691"/>
        <v>-0.36086956521739133</v>
      </c>
      <c r="BB446" s="44">
        <f t="shared" si="4691"/>
        <v>-0.26295238095238088</v>
      </c>
      <c r="BC446" s="44">
        <f t="shared" ref="BC446" si="4692">IF(ISERROR(BC410/AVERAGE(BB415:BC415)),"n.a.",BC410*BC$5/AVERAGE(BB415:BC415))</f>
        <v>0.23</v>
      </c>
      <c r="BD446" s="44">
        <f t="shared" ref="BD446" si="4693">IF(ISERROR(BD410/AVERAGE(BC415:BD415)),"n.a.",BD410*BD$5/AVERAGE(BC415:BD415))</f>
        <v>0.12901487862176977</v>
      </c>
      <c r="BE446" s="44">
        <f t="shared" ref="BE446" si="4694">IF(ISERROR(BE410/AVERAGE(BD415:BE415)),"n.a.",BE410*BE$5/AVERAGE(BD415:BE415))</f>
        <v>0.16999999999999996</v>
      </c>
      <c r="BF446" s="498">
        <f>IF(ISERROR(BF410/AVERAGE(BE415:BF415)),"n.a.",BF410*BF$5/AVERAGE(BE415:BF415))</f>
        <v>0.276086736948425</v>
      </c>
      <c r="BG446" s="498">
        <f>IF(ISERROR(BG410/AVERAGE(BF415:BG415)),"n.a.",BG410*BG$5/AVERAGE(BF415:BG415))</f>
        <v>0.28227272727272734</v>
      </c>
      <c r="BH446" s="498">
        <f t="shared" ref="BH446:BJ446" si="4695">IF(ISERROR(BH410/AVERAGE(BG415:BH415)),"n.a.",BH410*BH$5/AVERAGE(BG415:BH415))</f>
        <v>0.15833333333333333</v>
      </c>
      <c r="BI446" s="499">
        <f t="shared" si="4695"/>
        <v>0.12939024390243903</v>
      </c>
      <c r="BJ446" s="44">
        <f t="shared" si="4695"/>
        <v>0.14053452622667795</v>
      </c>
      <c r="BK446" s="44">
        <f>IF(ISERROR(BK410/AVERAGE(BK415:BK415)),"n.a.",BK410*BK$5/AVERAGE(BK415:BK415))</f>
        <v>0.13005472663932838</v>
      </c>
      <c r="BL446" s="44">
        <f>IF(ISERROR(BL410/AVERAGE(BL415:BL415)),"n.a.",BL410*BL$5/AVERAGE(BL415:BL415))</f>
        <v>0.14014584555593054</v>
      </c>
      <c r="BM446" s="44">
        <f>IF(ISERROR(BM410/AVERAGE(BM415:BM415)),"n.a.",BM410*BM$5/AVERAGE(BM415:BM415))</f>
        <v>0.15192569152225188</v>
      </c>
      <c r="BN446" s="44">
        <f>IF(ISERROR(BN410/AVERAGE(BN415:BN415)),"n.a.",BN410*BN$5/AVERAGE(BN415:BN415))</f>
        <v>0.16460777421921705</v>
      </c>
    </row>
    <row r="447" spans="1:66" ht="12" customHeight="1" collapsed="1"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20"/>
      <c r="AJ447" s="19"/>
      <c r="AK447" s="19"/>
      <c r="AL447" s="19"/>
      <c r="AM447" s="19"/>
      <c r="AN447" s="19"/>
      <c r="AO447" s="19"/>
      <c r="AP447" s="19"/>
      <c r="AQ447" s="19"/>
      <c r="AR447" s="19"/>
    </row>
    <row r="448" spans="1:66" s="9" customFormat="1" ht="12" customHeight="1">
      <c r="A448" s="91"/>
      <c r="B448" s="2" t="s">
        <v>48</v>
      </c>
      <c r="C448" s="93">
        <f t="shared" ref="C448:BB448" si="4696">C477</f>
        <v>-843</v>
      </c>
      <c r="D448" s="93">
        <f t="shared" si="4696"/>
        <v>-787</v>
      </c>
      <c r="E448" s="93">
        <f t="shared" si="4696"/>
        <v>-514</v>
      </c>
      <c r="F448" s="93">
        <f t="shared" si="4696"/>
        <v>-834</v>
      </c>
      <c r="G448" s="93">
        <f t="shared" si="4696"/>
        <v>-594</v>
      </c>
      <c r="H448" s="93">
        <f t="shared" si="4696"/>
        <v>-724</v>
      </c>
      <c r="I448" s="93">
        <f t="shared" si="4696"/>
        <v>-619</v>
      </c>
      <c r="J448" s="93">
        <f t="shared" si="4696"/>
        <v>-885</v>
      </c>
      <c r="K448" s="93">
        <f t="shared" ref="K448" si="4697">K477</f>
        <v>-881</v>
      </c>
      <c r="L448" s="93">
        <f t="shared" si="4696"/>
        <v>-1104</v>
      </c>
      <c r="M448" s="93">
        <f t="shared" ref="M448:N448" si="4698">M477</f>
        <v>-1133</v>
      </c>
      <c r="N448" s="93">
        <f t="shared" si="4698"/>
        <v>-1439</v>
      </c>
      <c r="O448" s="93">
        <f t="shared" ref="O448:P448" si="4699">O477</f>
        <v>-1542</v>
      </c>
      <c r="P448" s="93">
        <f t="shared" si="4699"/>
        <v>-814</v>
      </c>
      <c r="Q448" s="93">
        <f t="shared" ref="Q448:R448" si="4700">Q477</f>
        <v>-2660</v>
      </c>
      <c r="R448" s="93">
        <f t="shared" si="4700"/>
        <v>-2176</v>
      </c>
      <c r="S448" s="93">
        <f t="shared" ref="S448" si="4701">S477</f>
        <v>-2329</v>
      </c>
      <c r="T448" s="93">
        <f t="shared" ref="T448" si="4702">T477</f>
        <v>-2343</v>
      </c>
      <c r="U448" s="93">
        <f t="shared" ref="U448:V448" si="4703">U477</f>
        <v>-1291</v>
      </c>
      <c r="V448" s="93">
        <f t="shared" si="4703"/>
        <v>-1872</v>
      </c>
      <c r="W448" s="93">
        <f t="shared" ref="W448:X448" si="4704">W477</f>
        <v>-1411</v>
      </c>
      <c r="X448" s="93">
        <f t="shared" si="4704"/>
        <v>-1306</v>
      </c>
      <c r="Y448" s="93">
        <f t="shared" ref="Y448:Z448" si="4705">Y477</f>
        <v>-1287</v>
      </c>
      <c r="Z448" s="93">
        <f t="shared" si="4705"/>
        <v>-1795</v>
      </c>
      <c r="AA448" s="93">
        <f t="shared" ref="AA448:AB448" si="4706">AA477</f>
        <v>-1941</v>
      </c>
      <c r="AB448" s="93">
        <f t="shared" si="4706"/>
        <v>-2815</v>
      </c>
      <c r="AC448" s="93">
        <f t="shared" ref="AC448" si="4707">AC477</f>
        <v>-2268</v>
      </c>
      <c r="AD448" s="93">
        <f t="shared" ref="AD448" si="4708">AD477</f>
        <v>-2902</v>
      </c>
      <c r="AE448" s="93">
        <f t="shared" ref="AE448" si="4709">AE477</f>
        <v>-1443</v>
      </c>
      <c r="AF448" s="93">
        <f t="shared" ref="AF448:AG448" si="4710">AF477</f>
        <v>-1748</v>
      </c>
      <c r="AG448" s="93">
        <f t="shared" si="4710"/>
        <v>-1409</v>
      </c>
      <c r="AH448" s="93">
        <f t="shared" ref="AH448" si="4711">AH477</f>
        <v>-1738</v>
      </c>
      <c r="AI448" s="94">
        <f t="shared" ref="AI448:AJ448" si="4712">AI477</f>
        <v>-2137</v>
      </c>
      <c r="AJ448" s="93">
        <f t="shared" si="4712"/>
        <v>-2487.647895233561</v>
      </c>
      <c r="AK448" s="93">
        <f t="shared" ref="AK448:AL448" si="4713">AK477</f>
        <v>-1980.2185537826351</v>
      </c>
      <c r="AL448" s="93">
        <f t="shared" si="4713"/>
        <v>-2092.6209993506909</v>
      </c>
      <c r="AM448" s="93">
        <f t="shared" ref="AM448:AN448" si="4714">AM477</f>
        <v>-2151.4061406648675</v>
      </c>
      <c r="AN448" s="93">
        <f t="shared" si="4714"/>
        <v>-2264.245429734493</v>
      </c>
      <c r="AO448" s="93">
        <f t="shared" ref="AO448:AP448" si="4715">AO477</f>
        <v>-2327.86435115736</v>
      </c>
      <c r="AP448" s="93">
        <f t="shared" si="4715"/>
        <v>-2462.4813626064515</v>
      </c>
      <c r="AQ448" s="93">
        <f t="shared" ref="AQ448:AR448" si="4716">AQ477</f>
        <v>-2533.2769037341241</v>
      </c>
      <c r="AR448" s="93">
        <f t="shared" si="4716"/>
        <v>-2645.4090301363522</v>
      </c>
      <c r="AS448" s="93"/>
      <c r="AT448" s="93">
        <f t="shared" ref="AT448:AV448" si="4717">AT477</f>
        <v>-1630</v>
      </c>
      <c r="AU448" s="93">
        <f t="shared" si="4717"/>
        <v>-1348</v>
      </c>
      <c r="AV448" s="93">
        <f t="shared" si="4717"/>
        <v>-1318</v>
      </c>
      <c r="AW448" s="93">
        <f t="shared" si="4696"/>
        <v>-1504</v>
      </c>
      <c r="AX448" s="93">
        <f t="shared" si="4696"/>
        <v>-1985</v>
      </c>
      <c r="AY448" s="93">
        <f t="shared" si="4696"/>
        <v>-2572</v>
      </c>
      <c r="AZ448" s="93">
        <f t="shared" si="4696"/>
        <v>-2356</v>
      </c>
      <c r="BA448" s="93">
        <f t="shared" si="4696"/>
        <v>-4836</v>
      </c>
      <c r="BB448" s="93">
        <f t="shared" si="4696"/>
        <v>-4672</v>
      </c>
      <c r="BC448" s="93">
        <f t="shared" ref="BC448" si="4718">BC477</f>
        <v>-3163</v>
      </c>
      <c r="BD448" s="93">
        <f t="shared" ref="BD448:BI448" si="4719">BD477</f>
        <v>-2717</v>
      </c>
      <c r="BE448" s="93">
        <f t="shared" si="4719"/>
        <v>-3082</v>
      </c>
      <c r="BF448" s="93">
        <f t="shared" si="4719"/>
        <v>-4756</v>
      </c>
      <c r="BG448" s="93">
        <f t="shared" si="4719"/>
        <v>-5170</v>
      </c>
      <c r="BH448" s="93">
        <f t="shared" si="4719"/>
        <v>-3191</v>
      </c>
      <c r="BI448" s="94">
        <f t="shared" si="4719"/>
        <v>-3147</v>
      </c>
      <c r="BJ448" s="93">
        <f t="shared" ref="BJ448:BK448" si="4720">BJ477</f>
        <v>-4624.647895233561</v>
      </c>
      <c r="BK448" s="93">
        <f t="shared" si="4720"/>
        <v>-4072.8395531333263</v>
      </c>
      <c r="BL448" s="93">
        <f t="shared" ref="BL448:BM448" si="4721">BL477</f>
        <v>-4415.6515703993609</v>
      </c>
      <c r="BM448" s="93">
        <f t="shared" si="4721"/>
        <v>-4790.3457137638115</v>
      </c>
      <c r="BN448" s="93">
        <f>BN477</f>
        <v>-5178.6859338704762</v>
      </c>
    </row>
    <row r="449" spans="1:66" ht="12" customHeight="1" outlineLevel="1"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20"/>
      <c r="AJ449" s="19"/>
      <c r="AK449" s="19"/>
      <c r="AL449" s="19"/>
      <c r="AM449" s="19"/>
      <c r="AN449" s="19"/>
      <c r="AO449" s="19"/>
      <c r="AP449" s="19"/>
      <c r="AQ449" s="19"/>
      <c r="AR449" s="19"/>
    </row>
    <row r="450" spans="1:66" ht="12" customHeight="1" outlineLevel="1">
      <c r="B450" s="9" t="s">
        <v>40</v>
      </c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20"/>
      <c r="AJ450" s="19"/>
      <c r="AK450" s="19"/>
      <c r="AL450" s="19"/>
      <c r="AM450" s="19"/>
      <c r="AN450" s="19"/>
      <c r="AO450" s="19"/>
      <c r="AP450" s="19"/>
      <c r="AQ450" s="19"/>
      <c r="AR450" s="19"/>
    </row>
    <row r="451" spans="1:66" s="9" customFormat="1" ht="12" customHeight="1" outlineLevel="1">
      <c r="A451" s="91" t="s">
        <v>1262</v>
      </c>
      <c r="B451" s="16" t="s">
        <v>6</v>
      </c>
      <c r="C451" s="22">
        <v>0</v>
      </c>
      <c r="D451" s="22">
        <v>0</v>
      </c>
      <c r="E451" s="22">
        <v>0</v>
      </c>
      <c r="F451" s="22">
        <v>0</v>
      </c>
      <c r="G451" s="22">
        <v>0</v>
      </c>
      <c r="H451" s="22">
        <v>0</v>
      </c>
      <c r="I451" s="22">
        <v>0</v>
      </c>
      <c r="J451" s="22">
        <v>0</v>
      </c>
      <c r="K451" s="22">
        <v>0</v>
      </c>
      <c r="L451" s="22">
        <v>0</v>
      </c>
      <c r="M451" s="22">
        <v>0</v>
      </c>
      <c r="N451" s="22">
        <v>0</v>
      </c>
      <c r="O451" s="22">
        <v>0</v>
      </c>
      <c r="P451" s="22">
        <v>0</v>
      </c>
      <c r="Q451" s="22">
        <v>0</v>
      </c>
      <c r="R451" s="22">
        <v>0</v>
      </c>
      <c r="S451" s="22">
        <v>0</v>
      </c>
      <c r="T451" s="22">
        <v>0</v>
      </c>
      <c r="U451" s="22">
        <v>0</v>
      </c>
      <c r="V451" s="22">
        <v>0</v>
      </c>
      <c r="W451" s="22">
        <v>0</v>
      </c>
      <c r="X451" s="22">
        <v>0</v>
      </c>
      <c r="Y451" s="22">
        <v>0</v>
      </c>
      <c r="Z451" s="22">
        <v>0</v>
      </c>
      <c r="AA451" s="22">
        <v>0</v>
      </c>
      <c r="AB451" s="22">
        <v>0</v>
      </c>
      <c r="AC451" s="22">
        <v>0</v>
      </c>
      <c r="AD451" s="22">
        <v>0</v>
      </c>
      <c r="AE451" s="22">
        <v>0</v>
      </c>
      <c r="AF451" s="22">
        <v>0</v>
      </c>
      <c r="AG451" s="22">
        <v>0</v>
      </c>
      <c r="AH451" s="22">
        <v>0</v>
      </c>
      <c r="AI451" s="23">
        <f t="shared" ref="AI451" si="4722">AH451</f>
        <v>0</v>
      </c>
      <c r="AJ451" s="80">
        <f t="shared" ref="AJ451" si="4723">AI451</f>
        <v>0</v>
      </c>
      <c r="AK451" s="80">
        <f t="shared" ref="AK451" si="4724">AJ451</f>
        <v>0</v>
      </c>
      <c r="AL451" s="80">
        <f t="shared" ref="AL451" si="4725">AK451</f>
        <v>0</v>
      </c>
      <c r="AM451" s="80">
        <f t="shared" ref="AM451" si="4726">AL451</f>
        <v>0</v>
      </c>
      <c r="AN451" s="80">
        <f t="shared" ref="AN451" si="4727">AM451</f>
        <v>0</v>
      </c>
      <c r="AO451" s="80">
        <f t="shared" ref="AO451" si="4728">AN451</f>
        <v>0</v>
      </c>
      <c r="AP451" s="80">
        <f t="shared" ref="AP451" si="4729">AO451</f>
        <v>0</v>
      </c>
      <c r="AQ451" s="80">
        <f t="shared" ref="AQ451" si="4730">AP451</f>
        <v>0</v>
      </c>
      <c r="AR451" s="80">
        <f t="shared" ref="AR451" si="4731">AQ451</f>
        <v>0</v>
      </c>
      <c r="AT451" s="30">
        <f>SUMPRODUCT(C451:D451,C$5:D$5)/SUM(C$5:D$5)</f>
        <v>0</v>
      </c>
      <c r="AU451" s="30">
        <f>SUMPRODUCT(E451:F451,E$5:F$5)/SUM(E$5:F$5)</f>
        <v>0</v>
      </c>
      <c r="AV451" s="30">
        <f>SUMPRODUCT(G451:H451,G$5:H$5)/SUM(G$5:H$5)</f>
        <v>0</v>
      </c>
      <c r="AW451" s="30">
        <f>SUMPRODUCT(I451:J451,I$5:J$5)/SUM(I$5:J$5)</f>
        <v>0</v>
      </c>
      <c r="AX451" s="30">
        <f>SUMPRODUCT(K451:L451,K$5:L$5)/SUM(K$5:L$5)</f>
        <v>0</v>
      </c>
      <c r="AY451" s="30">
        <f>SUMPRODUCT(M451:N451,M$5:N$5)/SUM(M$5:N$5)</f>
        <v>0</v>
      </c>
      <c r="AZ451" s="30">
        <f>SUMPRODUCT(O451:P451,O$5:P$5)/SUM(O$5:P$5)</f>
        <v>0</v>
      </c>
      <c r="BA451" s="30">
        <f>SUMPRODUCT(Q451:R451,Q$5:R$5)/SUM(Q$5:R$5)</f>
        <v>0</v>
      </c>
      <c r="BB451" s="30">
        <f>SUMPRODUCT(S451:T451,S$5:T$5)/SUM(S$5:T$5)</f>
        <v>0</v>
      </c>
      <c r="BC451" s="30">
        <f>SUMPRODUCT(U451:V451,U$5:V$5)/SUM(U$5:V$5)</f>
        <v>0</v>
      </c>
      <c r="BD451" s="30">
        <f>SUMPRODUCT(W451:X451,W$5:X$5)/SUM(W$5:X$5)</f>
        <v>0</v>
      </c>
      <c r="BE451" s="30">
        <f>SUMPRODUCT(Y451:Z451,Y$5:Z$5)/SUM(Y$5:Z$5)</f>
        <v>0</v>
      </c>
      <c r="BF451" s="30">
        <f>SUMPRODUCT(AA451:AB451,AA$5:AB$5)/SUM(AA$5:AB$5)</f>
        <v>0</v>
      </c>
      <c r="BG451" s="30">
        <f>SUMPRODUCT(AC451:AD451,AC$5:AD$5)/SUM(AC$5:AD$5)</f>
        <v>0</v>
      </c>
      <c r="BH451" s="30">
        <f>SUMPRODUCT(AE451:AF451,AE$5:AF$5)/SUM(AE$5:AF$5)</f>
        <v>0</v>
      </c>
      <c r="BI451" s="27">
        <f>SUMPRODUCT(AG451:AH451,AG$5:AH$5)/SUM(AG$5:AH$5)</f>
        <v>0</v>
      </c>
      <c r="BJ451" s="30">
        <f>SUMPRODUCT(AI451:AJ451,AI$5:AJ$5)/SUM(AI$5:AJ$5)</f>
        <v>0</v>
      </c>
      <c r="BK451" s="30">
        <f>SUMPRODUCT(AK451:AL451,AK$5:AL$5)/SUM(AK$5:AL$5)</f>
        <v>0</v>
      </c>
      <c r="BL451" s="30">
        <f>SUMPRODUCT(AM451:AN451,AM$5:AN$5)/SUM(AM$5:AN$5)</f>
        <v>0</v>
      </c>
      <c r="BM451" s="30">
        <f>SUMPRODUCT(AO451:AP451,AO$5:AP$5)/SUM(AO$5:AP$5)</f>
        <v>0</v>
      </c>
      <c r="BN451" s="30">
        <f>SUMPRODUCT(AQ451:AR451,AQ$5:AR$5)/SUM(AQ$5:AR$5)</f>
        <v>0</v>
      </c>
    </row>
    <row r="452" spans="1:66" ht="12" customHeight="1" outlineLevel="1">
      <c r="A452" s="91" t="s">
        <v>1263</v>
      </c>
      <c r="B452" s="1" t="s">
        <v>5</v>
      </c>
      <c r="C452" s="37" t="str">
        <f t="shared" ref="C452:O452" si="4732">IF(ISERROR(C453/C451),"n.a.",C453/C451*C$5)</f>
        <v>n.a.</v>
      </c>
      <c r="D452" s="37" t="str">
        <f t="shared" si="4732"/>
        <v>n.a.</v>
      </c>
      <c r="E452" s="37" t="str">
        <f t="shared" si="4732"/>
        <v>n.a.</v>
      </c>
      <c r="F452" s="37" t="str">
        <f t="shared" si="4732"/>
        <v>n.a.</v>
      </c>
      <c r="G452" s="37" t="str">
        <f t="shared" si="4732"/>
        <v>n.a.</v>
      </c>
      <c r="H452" s="37" t="str">
        <f t="shared" si="4732"/>
        <v>n.a.</v>
      </c>
      <c r="I452" s="37" t="str">
        <f t="shared" si="4732"/>
        <v>n.a.</v>
      </c>
      <c r="J452" s="37" t="str">
        <f t="shared" si="4732"/>
        <v>n.a.</v>
      </c>
      <c r="K452" s="37" t="str">
        <f t="shared" ref="K452" si="4733">IF(ISERROR(K453/K451),"n.a.",K453/K451*K$5)</f>
        <v>n.a.</v>
      </c>
      <c r="L452" s="37" t="str">
        <f t="shared" si="4732"/>
        <v>n.a.</v>
      </c>
      <c r="M452" s="37" t="str">
        <f t="shared" ref="M452" si="4734">IF(ISERROR(M453/M451),"n.a.",M453/M451*M$5)</f>
        <v>n.a.</v>
      </c>
      <c r="N452" s="37" t="str">
        <f t="shared" si="4732"/>
        <v>n.a.</v>
      </c>
      <c r="O452" s="37" t="str">
        <f t="shared" si="4732"/>
        <v>n.a.</v>
      </c>
      <c r="P452" s="37" t="str">
        <f t="shared" ref="P452" si="4735">IF(ISERROR(P453/P451),"n.a.",P453/P451*P$5)</f>
        <v>n.a.</v>
      </c>
      <c r="Q452" s="37" t="str">
        <f t="shared" ref="Q452:R452" si="4736">IF(ISERROR(Q453/Q451),"n.a.",Q453/Q451*Q$5)</f>
        <v>n.a.</v>
      </c>
      <c r="R452" s="37" t="str">
        <f t="shared" si="4736"/>
        <v>n.a.</v>
      </c>
      <c r="S452" s="37" t="str">
        <f t="shared" ref="S452" si="4737">IF(ISERROR(S453/S451),"n.a.",S453/S451*S$5)</f>
        <v>n.a.</v>
      </c>
      <c r="T452" s="37" t="str">
        <f t="shared" ref="T452:U452" si="4738">IF(ISERROR(T453/T451),"n.a.",T453/T451*T$5)</f>
        <v>n.a.</v>
      </c>
      <c r="U452" s="37" t="str">
        <f t="shared" si="4738"/>
        <v>n.a.</v>
      </c>
      <c r="V452" s="37" t="str">
        <f t="shared" ref="V452:W452" si="4739">IF(ISERROR(V453/V451),"n.a.",V453/V451*V$5)</f>
        <v>n.a.</v>
      </c>
      <c r="W452" s="37" t="str">
        <f t="shared" si="4739"/>
        <v>n.a.</v>
      </c>
      <c r="X452" s="37" t="str">
        <f t="shared" ref="X452:Y452" si="4740">IF(ISERROR(X453/X451),"n.a.",X453/X451*X$5)</f>
        <v>n.a.</v>
      </c>
      <c r="Y452" s="37" t="str">
        <f t="shared" si="4740"/>
        <v>n.a.</v>
      </c>
      <c r="Z452" s="37" t="str">
        <f t="shared" ref="Z452:AA452" si="4741">IF(ISERROR(Z453/Z451),"n.a.",Z453/Z451*Z$5)</f>
        <v>n.a.</v>
      </c>
      <c r="AA452" s="37" t="str">
        <f t="shared" si="4741"/>
        <v>n.a.</v>
      </c>
      <c r="AB452" s="37" t="str">
        <f t="shared" ref="AB452:AC452" si="4742">IF(ISERROR(AB453/AB451),"n.a.",AB453/AB451*AB$5)</f>
        <v>n.a.</v>
      </c>
      <c r="AC452" s="37" t="str">
        <f t="shared" si="4742"/>
        <v>n.a.</v>
      </c>
      <c r="AD452" s="37" t="str">
        <f t="shared" ref="AD452:AE452" si="4743">IF(ISERROR(AD453/AD451),"n.a.",AD453/AD451*AD$5)</f>
        <v>n.a.</v>
      </c>
      <c r="AE452" s="37" t="str">
        <f t="shared" si="4743"/>
        <v>n.a.</v>
      </c>
      <c r="AF452" s="37" t="str">
        <f t="shared" ref="AF452:AG452" si="4744">IF(ISERROR(AF453/AF451),"n.a.",AF453/AF451*AF$5)</f>
        <v>n.a.</v>
      </c>
      <c r="AG452" s="37" t="str">
        <f t="shared" si="4744"/>
        <v>n.a.</v>
      </c>
      <c r="AH452" s="37" t="str">
        <f t="shared" ref="AH452" si="4745">IF(ISERROR(AH453/AH451),"n.a.",AH453/AH451*AH$5)</f>
        <v>n.a.</v>
      </c>
      <c r="AI452" s="38" t="str">
        <f t="shared" ref="AI452:AJ452" si="4746">IF(ISERROR(AI453/AI451),"n.a.",AI453/AI451*AI$5)</f>
        <v>n.a.</v>
      </c>
      <c r="AJ452" s="37" t="str">
        <f t="shared" si="4746"/>
        <v>n.a.</v>
      </c>
      <c r="AK452" s="37" t="str">
        <f t="shared" ref="AK452:AL452" si="4747">IF(ISERROR(AK453/AK451),"n.a.",AK453/AK451*AK$5)</f>
        <v>n.a.</v>
      </c>
      <c r="AL452" s="37" t="str">
        <f t="shared" si="4747"/>
        <v>n.a.</v>
      </c>
      <c r="AM452" s="37" t="str">
        <f t="shared" ref="AM452:AN452" si="4748">IF(ISERROR(AM453/AM451),"n.a.",AM453/AM451*AM$5)</f>
        <v>n.a.</v>
      </c>
      <c r="AN452" s="37" t="str">
        <f t="shared" si="4748"/>
        <v>n.a.</v>
      </c>
      <c r="AO452" s="37" t="str">
        <f t="shared" ref="AO452:AP452" si="4749">IF(ISERROR(AO453/AO451),"n.a.",AO453/AO451*AO$5)</f>
        <v>n.a.</v>
      </c>
      <c r="AP452" s="37" t="str">
        <f t="shared" si="4749"/>
        <v>n.a.</v>
      </c>
      <c r="AQ452" s="37" t="str">
        <f t="shared" ref="AQ452:AR452" si="4750">IF(ISERROR(AQ453/AQ451),"n.a.",AQ453/AQ451*AQ$5)</f>
        <v>n.a.</v>
      </c>
      <c r="AR452" s="37" t="str">
        <f t="shared" si="4750"/>
        <v>n.a.</v>
      </c>
      <c r="AT452" s="37" t="str">
        <f t="shared" ref="AT452:AW452" si="4751">IF(ISERROR(AT453/AT451),"n.a.",AT453/AT451*AT$5)</f>
        <v>n.a.</v>
      </c>
      <c r="AU452" s="37" t="str">
        <f t="shared" si="4751"/>
        <v>n.a.</v>
      </c>
      <c r="AV452" s="37" t="str">
        <f t="shared" si="4751"/>
        <v>n.a.</v>
      </c>
      <c r="AW452" s="37" t="str">
        <f t="shared" si="4751"/>
        <v>n.a.</v>
      </c>
      <c r="AX452" s="37" t="str">
        <f t="shared" ref="AX452:BC452" si="4752">IF(ISERROR(AX453/AX451),"n.a.",AX453/AX451*AX$5)</f>
        <v>n.a.</v>
      </c>
      <c r="AY452" s="37" t="str">
        <f t="shared" si="4752"/>
        <v>n.a.</v>
      </c>
      <c r="AZ452" s="37" t="str">
        <f t="shared" si="4752"/>
        <v>n.a.</v>
      </c>
      <c r="BA452" s="37" t="str">
        <f t="shared" si="4752"/>
        <v>n.a.</v>
      </c>
      <c r="BB452" s="37" t="str">
        <f t="shared" si="4752"/>
        <v>n.a.</v>
      </c>
      <c r="BC452" s="37" t="str">
        <f t="shared" si="4752"/>
        <v>n.a.</v>
      </c>
      <c r="BD452" s="37" t="str">
        <f>IF(ISERROR(BD453/BD451),"n.a.",BD453/BD451*BD$5)</f>
        <v>n.a.</v>
      </c>
      <c r="BE452" s="37" t="str">
        <f>IF(ISERROR(BE453/BE451),"n.a.",BE453/BE451*BE$5)</f>
        <v>n.a.</v>
      </c>
      <c r="BF452" s="37" t="str">
        <f>IF(ISERROR(BF453/BF451),"n.a.",BF453/BF451*BF$5)</f>
        <v>n.a.</v>
      </c>
      <c r="BG452" s="37" t="str">
        <f t="shared" ref="BG452:BH452" si="4753">IF(ISERROR(BG453/BG451),"n.a.",BG453/BG451*BG$5)</f>
        <v>n.a.</v>
      </c>
      <c r="BH452" s="37" t="str">
        <f t="shared" si="4753"/>
        <v>n.a.</v>
      </c>
      <c r="BI452" s="38" t="str">
        <f t="shared" ref="BI452:BJ452" si="4754">IF(ISERROR(BI453/BI451),"n.a.",BI453/BI451*BI$5)</f>
        <v>n.a.</v>
      </c>
      <c r="BJ452" s="37" t="str">
        <f t="shared" si="4754"/>
        <v>n.a.</v>
      </c>
      <c r="BK452" s="37" t="str">
        <f t="shared" ref="BK452:BL452" si="4755">IF(ISERROR(BK453/BK451),"n.a.",BK453/BK451*BK$5)</f>
        <v>n.a.</v>
      </c>
      <c r="BL452" s="37" t="str">
        <f t="shared" si="4755"/>
        <v>n.a.</v>
      </c>
      <c r="BM452" s="37" t="str">
        <f t="shared" ref="BM452" si="4756">IF(ISERROR(BM453/BM451),"n.a.",BM453/BM451*BM$5)</f>
        <v>n.a.</v>
      </c>
      <c r="BN452" s="37" t="str">
        <f>IF(ISERROR(BN453/BN451),"n.a.",BN453/BN451*BO$5)</f>
        <v>n.a.</v>
      </c>
    </row>
    <row r="453" spans="1:66" s="9" customFormat="1" ht="12" customHeight="1" outlineLevel="1">
      <c r="A453" s="91" t="s">
        <v>1264</v>
      </c>
      <c r="B453" s="9" t="s">
        <v>7</v>
      </c>
      <c r="C453" s="30">
        <f t="shared" ref="C453:AI453" si="4757">C12-C80-C666-C158-C230-C310</f>
        <v>88</v>
      </c>
      <c r="D453" s="30">
        <f t="shared" si="4757"/>
        <v>205</v>
      </c>
      <c r="E453" s="30">
        <f t="shared" si="4757"/>
        <v>120</v>
      </c>
      <c r="F453" s="30">
        <f t="shared" si="4757"/>
        <v>69</v>
      </c>
      <c r="G453" s="30">
        <f t="shared" si="4757"/>
        <v>35</v>
      </c>
      <c r="H453" s="30">
        <f t="shared" si="4757"/>
        <v>20</v>
      </c>
      <c r="I453" s="30">
        <f t="shared" si="4757"/>
        <v>112</v>
      </c>
      <c r="J453" s="30">
        <f t="shared" si="4757"/>
        <v>79</v>
      </c>
      <c r="K453" s="30">
        <f t="shared" si="4757"/>
        <v>217</v>
      </c>
      <c r="L453" s="30">
        <f t="shared" si="4757"/>
        <v>84</v>
      </c>
      <c r="M453" s="30">
        <f t="shared" si="4757"/>
        <v>224</v>
      </c>
      <c r="N453" s="30">
        <f t="shared" si="4757"/>
        <v>306</v>
      </c>
      <c r="O453" s="30">
        <f t="shared" si="4757"/>
        <v>249</v>
      </c>
      <c r="P453" s="30">
        <f t="shared" si="4757"/>
        <v>241</v>
      </c>
      <c r="Q453" s="30">
        <f t="shared" si="4757"/>
        <v>244</v>
      </c>
      <c r="R453" s="30">
        <f t="shared" si="4757"/>
        <v>180</v>
      </c>
      <c r="S453" s="30">
        <f t="shared" si="4757"/>
        <v>30</v>
      </c>
      <c r="T453" s="30">
        <f t="shared" si="4757"/>
        <v>83</v>
      </c>
      <c r="U453" s="30">
        <f t="shared" si="4757"/>
        <v>164</v>
      </c>
      <c r="V453" s="30">
        <f t="shared" si="4757"/>
        <v>-82</v>
      </c>
      <c r="W453" s="30">
        <f t="shared" si="4757"/>
        <v>-48</v>
      </c>
      <c r="X453" s="30">
        <f t="shared" si="4757"/>
        <v>179</v>
      </c>
      <c r="Y453" s="30">
        <f t="shared" si="4757"/>
        <v>189</v>
      </c>
      <c r="Z453" s="30">
        <f t="shared" si="4757"/>
        <v>260</v>
      </c>
      <c r="AA453" s="30">
        <f t="shared" si="4757"/>
        <v>399</v>
      </c>
      <c r="AB453" s="30">
        <f t="shared" si="4757"/>
        <v>489</v>
      </c>
      <c r="AC453" s="30">
        <f t="shared" si="4757"/>
        <v>234</v>
      </c>
      <c r="AD453" s="30">
        <f t="shared" si="4757"/>
        <v>274</v>
      </c>
      <c r="AE453" s="30">
        <f t="shared" si="4757"/>
        <v>273</v>
      </c>
      <c r="AF453" s="30">
        <f t="shared" si="4757"/>
        <v>541</v>
      </c>
      <c r="AG453" s="30">
        <f t="shared" si="4757"/>
        <v>343</v>
      </c>
      <c r="AH453" s="30">
        <f t="shared" si="4757"/>
        <v>447</v>
      </c>
      <c r="AI453" s="27">
        <f t="shared" si="4757"/>
        <v>610</v>
      </c>
      <c r="AJ453" s="80">
        <f>AI453*0.96</f>
        <v>585.6</v>
      </c>
      <c r="AK453" s="80">
        <f>AJ453*1.1</f>
        <v>644.16000000000008</v>
      </c>
      <c r="AL453" s="80">
        <f t="shared" ref="AL453:AR453" si="4758">AK453*0.98</f>
        <v>631.27680000000009</v>
      </c>
      <c r="AM453" s="80">
        <f t="shared" si="4758"/>
        <v>618.65126400000008</v>
      </c>
      <c r="AN453" s="80">
        <f t="shared" si="4758"/>
        <v>606.2782387200001</v>
      </c>
      <c r="AO453" s="80">
        <f t="shared" si="4758"/>
        <v>594.1526739456001</v>
      </c>
      <c r="AP453" s="80">
        <f t="shared" si="4758"/>
        <v>582.26962046668814</v>
      </c>
      <c r="AQ453" s="80">
        <f t="shared" si="4758"/>
        <v>570.62422805735434</v>
      </c>
      <c r="AR453" s="80">
        <f t="shared" si="4758"/>
        <v>559.21174349620719</v>
      </c>
      <c r="AT453" s="17">
        <f t="shared" ref="AT453:AT460" si="4759">C453+D453</f>
        <v>293</v>
      </c>
      <c r="AU453" s="17">
        <f t="shared" ref="AU453:AU460" si="4760">E453+F453</f>
        <v>189</v>
      </c>
      <c r="AV453" s="17">
        <f t="shared" ref="AV453:AV460" si="4761">G453+H453</f>
        <v>55</v>
      </c>
      <c r="AW453" s="17">
        <f t="shared" ref="AW453:AW460" si="4762">I453+J453</f>
        <v>191</v>
      </c>
      <c r="AX453" s="17">
        <f t="shared" ref="AX453:AX460" si="4763">K453+L453</f>
        <v>301</v>
      </c>
      <c r="AY453" s="17">
        <f t="shared" ref="AY453:AY460" si="4764">M453+N453</f>
        <v>530</v>
      </c>
      <c r="AZ453" s="17">
        <f t="shared" ref="AZ453:AZ460" si="4765">O453+P453</f>
        <v>490</v>
      </c>
      <c r="BA453" s="17">
        <f t="shared" ref="BA453:BA460" si="4766">Q453+R453</f>
        <v>424</v>
      </c>
      <c r="BB453" s="17">
        <f t="shared" ref="BB453:BB460" si="4767">S453+T453</f>
        <v>113</v>
      </c>
      <c r="BC453" s="17">
        <f t="shared" ref="BC453:BC460" si="4768">U453+V453</f>
        <v>82</v>
      </c>
      <c r="BD453" s="17">
        <f t="shared" ref="BD453:BD460" si="4769">W453+X453</f>
        <v>131</v>
      </c>
      <c r="BE453" s="17">
        <f t="shared" ref="BE453:BE460" si="4770">Y453+Z453</f>
        <v>449</v>
      </c>
      <c r="BF453" s="17">
        <f t="shared" ref="BF453:BF460" si="4771">AA453+AB453</f>
        <v>888</v>
      </c>
      <c r="BG453" s="17">
        <f t="shared" ref="BG453:BG460" si="4772">AC453+AD453</f>
        <v>508</v>
      </c>
      <c r="BH453" s="17">
        <f t="shared" ref="BH453:BH460" si="4773">AE453+AF453</f>
        <v>814</v>
      </c>
      <c r="BI453" s="18">
        <f t="shared" ref="BI453:BI460" si="4774">AG453+AH453</f>
        <v>790</v>
      </c>
      <c r="BJ453" s="17">
        <f t="shared" ref="BJ453:BJ460" si="4775">AI453+AJ453</f>
        <v>1195.5999999999999</v>
      </c>
      <c r="BK453" s="17">
        <f t="shared" ref="BK453:BK460" si="4776">AK453+AL453</f>
        <v>1275.4368000000002</v>
      </c>
      <c r="BL453" s="17">
        <f t="shared" ref="BL453:BL460" si="4777">AM453+AN453</f>
        <v>1224.9295027200001</v>
      </c>
      <c r="BM453" s="17">
        <f t="shared" ref="BM453:BM460" si="4778">AO453+AP453</f>
        <v>1176.4222944122882</v>
      </c>
      <c r="BN453" s="17">
        <f t="shared" ref="BN453:BN460" si="4779">AQ453+AR453</f>
        <v>1129.8359715535616</v>
      </c>
    </row>
    <row r="454" spans="1:66" ht="12" customHeight="1" outlineLevel="1">
      <c r="A454" s="91" t="s">
        <v>1265</v>
      </c>
      <c r="B454" s="1" t="s">
        <v>31</v>
      </c>
      <c r="C454" s="21">
        <v>0</v>
      </c>
      <c r="D454" s="21">
        <v>0</v>
      </c>
      <c r="E454" s="21">
        <v>0</v>
      </c>
      <c r="F454" s="21">
        <v>0</v>
      </c>
      <c r="G454" s="21">
        <v>0</v>
      </c>
      <c r="H454" s="21">
        <v>0</v>
      </c>
      <c r="I454" s="21">
        <v>0</v>
      </c>
      <c r="J454" s="21">
        <v>0</v>
      </c>
      <c r="K454" s="21">
        <v>0</v>
      </c>
      <c r="L454" s="21">
        <v>0</v>
      </c>
      <c r="M454" s="21">
        <v>0</v>
      </c>
      <c r="N454" s="21">
        <v>0</v>
      </c>
      <c r="O454" s="21">
        <v>0</v>
      </c>
      <c r="P454" s="21">
        <v>0</v>
      </c>
      <c r="Q454" s="21">
        <v>0</v>
      </c>
      <c r="R454" s="21">
        <v>0</v>
      </c>
      <c r="S454" s="21">
        <v>0</v>
      </c>
      <c r="T454" s="21">
        <v>0</v>
      </c>
      <c r="U454" s="21">
        <v>0</v>
      </c>
      <c r="V454" s="21">
        <v>0</v>
      </c>
      <c r="W454" s="21">
        <v>0</v>
      </c>
      <c r="X454" s="21">
        <v>0</v>
      </c>
      <c r="Y454" s="21">
        <v>0</v>
      </c>
      <c r="Z454" s="21">
        <v>0</v>
      </c>
      <c r="AA454" s="21">
        <v>0</v>
      </c>
      <c r="AB454" s="21">
        <v>0</v>
      </c>
      <c r="AC454" s="21">
        <v>0</v>
      </c>
      <c r="AD454" s="21">
        <v>0</v>
      </c>
      <c r="AE454" s="21">
        <v>0</v>
      </c>
      <c r="AF454" s="21">
        <v>0</v>
      </c>
      <c r="AG454" s="21">
        <v>0</v>
      </c>
      <c r="AH454" s="21">
        <v>0</v>
      </c>
      <c r="AI454" s="24">
        <v>0</v>
      </c>
      <c r="AJ454" s="52">
        <f t="shared" ref="AJ454:AJ460" si="4780">AI454</f>
        <v>0</v>
      </c>
      <c r="AK454" s="52">
        <f t="shared" ref="AK454:AK460" si="4781">AJ454</f>
        <v>0</v>
      </c>
      <c r="AL454" s="52">
        <f t="shared" ref="AL454:AL460" si="4782">AK454</f>
        <v>0</v>
      </c>
      <c r="AM454" s="52">
        <f t="shared" ref="AM454:AM460" si="4783">AL454</f>
        <v>0</v>
      </c>
      <c r="AN454" s="52">
        <f t="shared" ref="AN454:AN460" si="4784">AM454</f>
        <v>0</v>
      </c>
      <c r="AO454" s="52">
        <f t="shared" ref="AO454:AO460" si="4785">AN454</f>
        <v>0</v>
      </c>
      <c r="AP454" s="52">
        <f t="shared" ref="AP454:AP460" si="4786">AO454</f>
        <v>0</v>
      </c>
      <c r="AQ454" s="52">
        <f t="shared" ref="AQ454:AQ460" si="4787">AP454</f>
        <v>0</v>
      </c>
      <c r="AR454" s="52">
        <f t="shared" ref="AR454:AR460" si="4788">AQ454</f>
        <v>0</v>
      </c>
      <c r="AT454" s="19">
        <f t="shared" si="4759"/>
        <v>0</v>
      </c>
      <c r="AU454" s="19">
        <f t="shared" si="4760"/>
        <v>0</v>
      </c>
      <c r="AV454" s="19">
        <f t="shared" si="4761"/>
        <v>0</v>
      </c>
      <c r="AW454" s="19">
        <f t="shared" si="4762"/>
        <v>0</v>
      </c>
      <c r="AX454" s="19">
        <f t="shared" si="4763"/>
        <v>0</v>
      </c>
      <c r="AY454" s="19">
        <f t="shared" si="4764"/>
        <v>0</v>
      </c>
      <c r="AZ454" s="19">
        <f t="shared" si="4765"/>
        <v>0</v>
      </c>
      <c r="BA454" s="19">
        <f t="shared" si="4766"/>
        <v>0</v>
      </c>
      <c r="BB454" s="19">
        <f t="shared" si="4767"/>
        <v>0</v>
      </c>
      <c r="BC454" s="19">
        <f t="shared" si="4768"/>
        <v>0</v>
      </c>
      <c r="BD454" s="19">
        <f t="shared" si="4769"/>
        <v>0</v>
      </c>
      <c r="BE454" s="19">
        <f t="shared" si="4770"/>
        <v>0</v>
      </c>
      <c r="BF454" s="19">
        <f t="shared" si="4771"/>
        <v>0</v>
      </c>
      <c r="BG454" s="19">
        <f t="shared" si="4772"/>
        <v>0</v>
      </c>
      <c r="BH454" s="19">
        <f t="shared" si="4773"/>
        <v>0</v>
      </c>
      <c r="BI454" s="20">
        <f t="shared" si="4774"/>
        <v>0</v>
      </c>
      <c r="BJ454" s="19">
        <f t="shared" si="4775"/>
        <v>0</v>
      </c>
      <c r="BK454" s="19">
        <f t="shared" si="4776"/>
        <v>0</v>
      </c>
      <c r="BL454" s="19">
        <f t="shared" si="4777"/>
        <v>0</v>
      </c>
      <c r="BM454" s="19">
        <f t="shared" si="4778"/>
        <v>0</v>
      </c>
      <c r="BN454" s="19">
        <f t="shared" si="4779"/>
        <v>0</v>
      </c>
    </row>
    <row r="455" spans="1:66" ht="12" customHeight="1" outlineLevel="1">
      <c r="A455" s="91" t="s">
        <v>1266</v>
      </c>
      <c r="B455" s="1" t="s">
        <v>30</v>
      </c>
      <c r="C455" s="21">
        <v>0</v>
      </c>
      <c r="D455" s="21">
        <v>0</v>
      </c>
      <c r="E455" s="21">
        <v>0</v>
      </c>
      <c r="F455" s="21">
        <v>0</v>
      </c>
      <c r="G455" s="21">
        <v>0</v>
      </c>
      <c r="H455" s="21">
        <v>0</v>
      </c>
      <c r="I455" s="21">
        <v>0</v>
      </c>
      <c r="J455" s="21">
        <v>0</v>
      </c>
      <c r="K455" s="21">
        <v>0</v>
      </c>
      <c r="L455" s="21">
        <v>0</v>
      </c>
      <c r="M455" s="21">
        <v>0</v>
      </c>
      <c r="N455" s="21">
        <v>0</v>
      </c>
      <c r="O455" s="21">
        <v>0</v>
      </c>
      <c r="P455" s="21">
        <v>0</v>
      </c>
      <c r="Q455" s="21">
        <v>0</v>
      </c>
      <c r="R455" s="21">
        <v>0</v>
      </c>
      <c r="S455" s="21">
        <v>0</v>
      </c>
      <c r="T455" s="21">
        <v>0</v>
      </c>
      <c r="U455" s="21">
        <v>0</v>
      </c>
      <c r="V455" s="21">
        <v>0</v>
      </c>
      <c r="W455" s="21">
        <v>0</v>
      </c>
      <c r="X455" s="21">
        <v>0</v>
      </c>
      <c r="Y455" s="21">
        <v>0</v>
      </c>
      <c r="Z455" s="21">
        <v>0</v>
      </c>
      <c r="AA455" s="21">
        <v>0</v>
      </c>
      <c r="AB455" s="21">
        <v>0</v>
      </c>
      <c r="AC455" s="21">
        <v>0</v>
      </c>
      <c r="AD455" s="21">
        <v>0</v>
      </c>
      <c r="AE455" s="21">
        <v>0</v>
      </c>
      <c r="AF455" s="21">
        <v>0</v>
      </c>
      <c r="AG455" s="21">
        <v>0</v>
      </c>
      <c r="AH455" s="21">
        <v>0</v>
      </c>
      <c r="AI455" s="24">
        <v>0</v>
      </c>
      <c r="AJ455" s="52">
        <f t="shared" si="4780"/>
        <v>0</v>
      </c>
      <c r="AK455" s="52">
        <f t="shared" si="4781"/>
        <v>0</v>
      </c>
      <c r="AL455" s="52">
        <f t="shared" si="4782"/>
        <v>0</v>
      </c>
      <c r="AM455" s="52">
        <f t="shared" si="4783"/>
        <v>0</v>
      </c>
      <c r="AN455" s="52">
        <f t="shared" si="4784"/>
        <v>0</v>
      </c>
      <c r="AO455" s="52">
        <f t="shared" si="4785"/>
        <v>0</v>
      </c>
      <c r="AP455" s="52">
        <f t="shared" si="4786"/>
        <v>0</v>
      </c>
      <c r="AQ455" s="52">
        <f t="shared" si="4787"/>
        <v>0</v>
      </c>
      <c r="AR455" s="52">
        <f t="shared" si="4788"/>
        <v>0</v>
      </c>
      <c r="AT455" s="19">
        <f t="shared" si="4759"/>
        <v>0</v>
      </c>
      <c r="AU455" s="19">
        <f t="shared" si="4760"/>
        <v>0</v>
      </c>
      <c r="AV455" s="19">
        <f t="shared" si="4761"/>
        <v>0</v>
      </c>
      <c r="AW455" s="19">
        <f t="shared" si="4762"/>
        <v>0</v>
      </c>
      <c r="AX455" s="19">
        <f t="shared" si="4763"/>
        <v>0</v>
      </c>
      <c r="AY455" s="19">
        <f t="shared" si="4764"/>
        <v>0</v>
      </c>
      <c r="AZ455" s="19">
        <f t="shared" si="4765"/>
        <v>0</v>
      </c>
      <c r="BA455" s="19">
        <f t="shared" si="4766"/>
        <v>0</v>
      </c>
      <c r="BB455" s="19">
        <f t="shared" si="4767"/>
        <v>0</v>
      </c>
      <c r="BC455" s="19">
        <f t="shared" si="4768"/>
        <v>0</v>
      </c>
      <c r="BD455" s="19">
        <f t="shared" si="4769"/>
        <v>0</v>
      </c>
      <c r="BE455" s="19">
        <f t="shared" si="4770"/>
        <v>0</v>
      </c>
      <c r="BF455" s="19">
        <f t="shared" si="4771"/>
        <v>0</v>
      </c>
      <c r="BG455" s="19">
        <f t="shared" si="4772"/>
        <v>0</v>
      </c>
      <c r="BH455" s="19">
        <f t="shared" si="4773"/>
        <v>0</v>
      </c>
      <c r="BI455" s="20">
        <f t="shared" si="4774"/>
        <v>0</v>
      </c>
      <c r="BJ455" s="19">
        <f t="shared" si="4775"/>
        <v>0</v>
      </c>
      <c r="BK455" s="19">
        <f t="shared" si="4776"/>
        <v>0</v>
      </c>
      <c r="BL455" s="19">
        <f t="shared" si="4777"/>
        <v>0</v>
      </c>
      <c r="BM455" s="19">
        <f t="shared" si="4778"/>
        <v>0</v>
      </c>
      <c r="BN455" s="19">
        <f t="shared" si="4779"/>
        <v>0</v>
      </c>
    </row>
    <row r="456" spans="1:66" ht="12" customHeight="1" outlineLevel="1">
      <c r="A456" s="91" t="s">
        <v>1267</v>
      </c>
      <c r="B456" s="1" t="s">
        <v>32</v>
      </c>
      <c r="C456" s="21">
        <v>0</v>
      </c>
      <c r="D456" s="21">
        <v>0</v>
      </c>
      <c r="E456" s="21">
        <v>0</v>
      </c>
      <c r="F456" s="21">
        <v>0</v>
      </c>
      <c r="G456" s="21">
        <v>0</v>
      </c>
      <c r="H456" s="21">
        <v>0</v>
      </c>
      <c r="I456" s="21">
        <v>0</v>
      </c>
      <c r="J456" s="21">
        <v>0</v>
      </c>
      <c r="K456" s="21">
        <v>0</v>
      </c>
      <c r="L456" s="21">
        <v>0</v>
      </c>
      <c r="M456" s="21">
        <v>0</v>
      </c>
      <c r="N456" s="21">
        <v>0</v>
      </c>
      <c r="O456" s="21">
        <v>0</v>
      </c>
      <c r="P456" s="21">
        <v>0</v>
      </c>
      <c r="Q456" s="21">
        <v>0</v>
      </c>
      <c r="R456" s="21">
        <v>0</v>
      </c>
      <c r="S456" s="21">
        <v>0</v>
      </c>
      <c r="T456" s="21">
        <v>0</v>
      </c>
      <c r="U456" s="21">
        <v>0</v>
      </c>
      <c r="V456" s="21">
        <v>0</v>
      </c>
      <c r="W456" s="21">
        <v>0</v>
      </c>
      <c r="X456" s="21">
        <v>0</v>
      </c>
      <c r="Y456" s="21">
        <v>0</v>
      </c>
      <c r="Z456" s="21">
        <v>0</v>
      </c>
      <c r="AA456" s="21">
        <v>0</v>
      </c>
      <c r="AB456" s="21">
        <v>0</v>
      </c>
      <c r="AC456" s="21">
        <v>0</v>
      </c>
      <c r="AD456" s="21">
        <v>0</v>
      </c>
      <c r="AE456" s="21">
        <v>0</v>
      </c>
      <c r="AF456" s="21">
        <v>0</v>
      </c>
      <c r="AG456" s="21">
        <v>0</v>
      </c>
      <c r="AH456" s="21">
        <v>0</v>
      </c>
      <c r="AI456" s="24">
        <v>0</v>
      </c>
      <c r="AJ456" s="52">
        <f t="shared" si="4780"/>
        <v>0</v>
      </c>
      <c r="AK456" s="52">
        <f t="shared" si="4781"/>
        <v>0</v>
      </c>
      <c r="AL456" s="52">
        <f t="shared" si="4782"/>
        <v>0</v>
      </c>
      <c r="AM456" s="52">
        <f t="shared" si="4783"/>
        <v>0</v>
      </c>
      <c r="AN456" s="52">
        <f t="shared" si="4784"/>
        <v>0</v>
      </c>
      <c r="AO456" s="52">
        <f t="shared" si="4785"/>
        <v>0</v>
      </c>
      <c r="AP456" s="52">
        <f t="shared" si="4786"/>
        <v>0</v>
      </c>
      <c r="AQ456" s="52">
        <f t="shared" si="4787"/>
        <v>0</v>
      </c>
      <c r="AR456" s="52">
        <f t="shared" si="4788"/>
        <v>0</v>
      </c>
      <c r="AT456" s="19">
        <f t="shared" si="4759"/>
        <v>0</v>
      </c>
      <c r="AU456" s="19">
        <f t="shared" si="4760"/>
        <v>0</v>
      </c>
      <c r="AV456" s="19">
        <f t="shared" si="4761"/>
        <v>0</v>
      </c>
      <c r="AW456" s="19">
        <f t="shared" si="4762"/>
        <v>0</v>
      </c>
      <c r="AX456" s="19">
        <f t="shared" si="4763"/>
        <v>0</v>
      </c>
      <c r="AY456" s="19">
        <f t="shared" si="4764"/>
        <v>0</v>
      </c>
      <c r="AZ456" s="19">
        <f t="shared" si="4765"/>
        <v>0</v>
      </c>
      <c r="BA456" s="19">
        <f t="shared" si="4766"/>
        <v>0</v>
      </c>
      <c r="BB456" s="19">
        <f t="shared" si="4767"/>
        <v>0</v>
      </c>
      <c r="BC456" s="19">
        <f t="shared" si="4768"/>
        <v>0</v>
      </c>
      <c r="BD456" s="19">
        <f t="shared" si="4769"/>
        <v>0</v>
      </c>
      <c r="BE456" s="19">
        <f t="shared" si="4770"/>
        <v>0</v>
      </c>
      <c r="BF456" s="19">
        <f t="shared" si="4771"/>
        <v>0</v>
      </c>
      <c r="BG456" s="19">
        <f t="shared" si="4772"/>
        <v>0</v>
      </c>
      <c r="BH456" s="19">
        <f t="shared" si="4773"/>
        <v>0</v>
      </c>
      <c r="BI456" s="20">
        <f t="shared" si="4774"/>
        <v>0</v>
      </c>
      <c r="BJ456" s="19">
        <f t="shared" si="4775"/>
        <v>0</v>
      </c>
      <c r="BK456" s="19">
        <f t="shared" si="4776"/>
        <v>0</v>
      </c>
      <c r="BL456" s="19">
        <f t="shared" si="4777"/>
        <v>0</v>
      </c>
      <c r="BM456" s="19">
        <f t="shared" si="4778"/>
        <v>0</v>
      </c>
      <c r="BN456" s="19">
        <f t="shared" si="4779"/>
        <v>0</v>
      </c>
    </row>
    <row r="457" spans="1:66" ht="12" customHeight="1" outlineLevel="1">
      <c r="A457" s="91" t="s">
        <v>1268</v>
      </c>
      <c r="B457" s="1" t="s">
        <v>33</v>
      </c>
      <c r="C457" s="21">
        <v>0</v>
      </c>
      <c r="D457" s="21">
        <v>0</v>
      </c>
      <c r="E457" s="21">
        <v>0</v>
      </c>
      <c r="F457" s="21">
        <v>0</v>
      </c>
      <c r="G457" s="21">
        <v>0</v>
      </c>
      <c r="H457" s="21">
        <v>0</v>
      </c>
      <c r="I457" s="21">
        <v>0</v>
      </c>
      <c r="J457" s="21">
        <v>0</v>
      </c>
      <c r="K457" s="21">
        <v>0</v>
      </c>
      <c r="L457" s="21">
        <v>0</v>
      </c>
      <c r="M457" s="21">
        <v>0</v>
      </c>
      <c r="N457" s="21">
        <v>0</v>
      </c>
      <c r="O457" s="21">
        <v>0</v>
      </c>
      <c r="P457" s="21">
        <v>0</v>
      </c>
      <c r="Q457" s="21">
        <v>0</v>
      </c>
      <c r="R457" s="21">
        <v>0</v>
      </c>
      <c r="S457" s="21">
        <v>0</v>
      </c>
      <c r="T457" s="21">
        <v>0</v>
      </c>
      <c r="U457" s="21">
        <v>0</v>
      </c>
      <c r="V457" s="21">
        <v>0</v>
      </c>
      <c r="W457" s="21">
        <v>0</v>
      </c>
      <c r="X457" s="21">
        <v>0</v>
      </c>
      <c r="Y457" s="21">
        <v>0</v>
      </c>
      <c r="Z457" s="21">
        <v>0</v>
      </c>
      <c r="AA457" s="21">
        <v>0</v>
      </c>
      <c r="AB457" s="21">
        <v>0</v>
      </c>
      <c r="AC457" s="21">
        <v>0</v>
      </c>
      <c r="AD457" s="21">
        <v>0</v>
      </c>
      <c r="AE457" s="21">
        <v>0</v>
      </c>
      <c r="AF457" s="21">
        <v>0</v>
      </c>
      <c r="AG457" s="21">
        <v>0</v>
      </c>
      <c r="AH457" s="21">
        <v>0</v>
      </c>
      <c r="AI457" s="24">
        <v>0</v>
      </c>
      <c r="AJ457" s="52">
        <f t="shared" si="4780"/>
        <v>0</v>
      </c>
      <c r="AK457" s="52">
        <f t="shared" si="4781"/>
        <v>0</v>
      </c>
      <c r="AL457" s="52">
        <f t="shared" si="4782"/>
        <v>0</v>
      </c>
      <c r="AM457" s="52">
        <f t="shared" si="4783"/>
        <v>0</v>
      </c>
      <c r="AN457" s="52">
        <f t="shared" si="4784"/>
        <v>0</v>
      </c>
      <c r="AO457" s="52">
        <f t="shared" si="4785"/>
        <v>0</v>
      </c>
      <c r="AP457" s="52">
        <f t="shared" si="4786"/>
        <v>0</v>
      </c>
      <c r="AQ457" s="52">
        <f t="shared" si="4787"/>
        <v>0</v>
      </c>
      <c r="AR457" s="52">
        <f t="shared" si="4788"/>
        <v>0</v>
      </c>
      <c r="AT457" s="19">
        <f t="shared" si="4759"/>
        <v>0</v>
      </c>
      <c r="AU457" s="19">
        <f t="shared" si="4760"/>
        <v>0</v>
      </c>
      <c r="AV457" s="19">
        <f t="shared" si="4761"/>
        <v>0</v>
      </c>
      <c r="AW457" s="19">
        <f t="shared" si="4762"/>
        <v>0</v>
      </c>
      <c r="AX457" s="19">
        <f t="shared" si="4763"/>
        <v>0</v>
      </c>
      <c r="AY457" s="19">
        <f t="shared" si="4764"/>
        <v>0</v>
      </c>
      <c r="AZ457" s="19">
        <f t="shared" si="4765"/>
        <v>0</v>
      </c>
      <c r="BA457" s="19">
        <f t="shared" si="4766"/>
        <v>0</v>
      </c>
      <c r="BB457" s="19">
        <f t="shared" si="4767"/>
        <v>0</v>
      </c>
      <c r="BC457" s="19">
        <f t="shared" si="4768"/>
        <v>0</v>
      </c>
      <c r="BD457" s="19">
        <f t="shared" si="4769"/>
        <v>0</v>
      </c>
      <c r="BE457" s="19">
        <f t="shared" si="4770"/>
        <v>0</v>
      </c>
      <c r="BF457" s="19">
        <f t="shared" si="4771"/>
        <v>0</v>
      </c>
      <c r="BG457" s="19">
        <f t="shared" si="4772"/>
        <v>0</v>
      </c>
      <c r="BH457" s="19">
        <f t="shared" si="4773"/>
        <v>0</v>
      </c>
      <c r="BI457" s="20">
        <f t="shared" si="4774"/>
        <v>0</v>
      </c>
      <c r="BJ457" s="19">
        <f t="shared" si="4775"/>
        <v>0</v>
      </c>
      <c r="BK457" s="19">
        <f t="shared" si="4776"/>
        <v>0</v>
      </c>
      <c r="BL457" s="19">
        <f t="shared" si="4777"/>
        <v>0</v>
      </c>
      <c r="BM457" s="19">
        <f t="shared" si="4778"/>
        <v>0</v>
      </c>
      <c r="BN457" s="19">
        <f t="shared" si="4779"/>
        <v>0</v>
      </c>
    </row>
    <row r="458" spans="1:66" ht="12" customHeight="1" outlineLevel="1">
      <c r="A458" s="91" t="s">
        <v>1269</v>
      </c>
      <c r="B458" s="1" t="s">
        <v>20</v>
      </c>
      <c r="C458" s="25">
        <f t="shared" ref="C458:AH458" si="4789">C17-C85-C671-C163-C235-C315</f>
        <v>30</v>
      </c>
      <c r="D458" s="25">
        <f t="shared" si="4789"/>
        <v>20</v>
      </c>
      <c r="E458" s="25">
        <f t="shared" si="4789"/>
        <v>23</v>
      </c>
      <c r="F458" s="25">
        <f t="shared" si="4789"/>
        <v>34</v>
      </c>
      <c r="G458" s="25">
        <f t="shared" si="4789"/>
        <v>24</v>
      </c>
      <c r="H458" s="25">
        <f t="shared" si="4789"/>
        <v>16</v>
      </c>
      <c r="I458" s="25">
        <f t="shared" si="4789"/>
        <v>54</v>
      </c>
      <c r="J458" s="25">
        <f t="shared" si="4789"/>
        <v>64</v>
      </c>
      <c r="K458" s="25">
        <f t="shared" si="4789"/>
        <v>69</v>
      </c>
      <c r="L458" s="25">
        <f t="shared" si="4789"/>
        <v>73</v>
      </c>
      <c r="M458" s="25">
        <f t="shared" si="4789"/>
        <v>97</v>
      </c>
      <c r="N458" s="25">
        <f t="shared" si="4789"/>
        <v>79</v>
      </c>
      <c r="O458" s="25">
        <f t="shared" si="4789"/>
        <v>36</v>
      </c>
      <c r="P458" s="25">
        <f t="shared" si="4789"/>
        <v>56</v>
      </c>
      <c r="Q458" s="25">
        <f t="shared" si="4789"/>
        <v>55</v>
      </c>
      <c r="R458" s="25">
        <f t="shared" si="4789"/>
        <v>21</v>
      </c>
      <c r="S458" s="25">
        <f t="shared" si="4789"/>
        <v>36</v>
      </c>
      <c r="T458" s="25">
        <f t="shared" si="4789"/>
        <v>39</v>
      </c>
      <c r="U458" s="25">
        <f t="shared" si="4789"/>
        <v>47</v>
      </c>
      <c r="V458" s="25">
        <f t="shared" si="4789"/>
        <v>-64</v>
      </c>
      <c r="W458" s="25">
        <f t="shared" si="4789"/>
        <v>67</v>
      </c>
      <c r="X458" s="25">
        <f t="shared" si="4789"/>
        <v>42</v>
      </c>
      <c r="Y458" s="25">
        <f t="shared" si="4789"/>
        <v>15.754396984924597</v>
      </c>
      <c r="Z458" s="25">
        <f t="shared" si="4789"/>
        <v>13.704773869346695</v>
      </c>
      <c r="AA458" s="25">
        <f t="shared" si="4789"/>
        <v>0</v>
      </c>
      <c r="AB458" s="25">
        <f t="shared" si="4789"/>
        <v>0</v>
      </c>
      <c r="AC458" s="25">
        <f t="shared" si="4789"/>
        <v>0</v>
      </c>
      <c r="AD458" s="25">
        <f t="shared" si="4789"/>
        <v>139.6256281407035</v>
      </c>
      <c r="AE458" s="25">
        <f t="shared" si="4789"/>
        <v>0</v>
      </c>
      <c r="AF458" s="25">
        <f t="shared" si="4789"/>
        <v>0</v>
      </c>
      <c r="AG458" s="25">
        <f t="shared" si="4789"/>
        <v>0</v>
      </c>
      <c r="AH458" s="25">
        <f t="shared" si="4789"/>
        <v>0</v>
      </c>
      <c r="AI458" s="26">
        <f t="shared" ref="AI458" si="4790">AI17-AI85-AI671-AI163-AI235-AI315</f>
        <v>0</v>
      </c>
      <c r="AJ458" s="52">
        <f t="shared" si="4780"/>
        <v>0</v>
      </c>
      <c r="AK458" s="52">
        <f t="shared" si="4781"/>
        <v>0</v>
      </c>
      <c r="AL458" s="52">
        <f t="shared" si="4782"/>
        <v>0</v>
      </c>
      <c r="AM458" s="52">
        <f t="shared" si="4783"/>
        <v>0</v>
      </c>
      <c r="AN458" s="52">
        <f t="shared" si="4784"/>
        <v>0</v>
      </c>
      <c r="AO458" s="52">
        <f t="shared" si="4785"/>
        <v>0</v>
      </c>
      <c r="AP458" s="52">
        <f t="shared" si="4786"/>
        <v>0</v>
      </c>
      <c r="AQ458" s="52">
        <f t="shared" si="4787"/>
        <v>0</v>
      </c>
      <c r="AR458" s="52">
        <f t="shared" si="4788"/>
        <v>0</v>
      </c>
      <c r="AT458" s="19">
        <f t="shared" si="4759"/>
        <v>50</v>
      </c>
      <c r="AU458" s="19">
        <f t="shared" si="4760"/>
        <v>57</v>
      </c>
      <c r="AV458" s="19">
        <f t="shared" si="4761"/>
        <v>40</v>
      </c>
      <c r="AW458" s="19">
        <f t="shared" si="4762"/>
        <v>118</v>
      </c>
      <c r="AX458" s="19">
        <f t="shared" si="4763"/>
        <v>142</v>
      </c>
      <c r="AY458" s="19">
        <f t="shared" si="4764"/>
        <v>176</v>
      </c>
      <c r="AZ458" s="19">
        <f t="shared" si="4765"/>
        <v>92</v>
      </c>
      <c r="BA458" s="19">
        <f t="shared" si="4766"/>
        <v>76</v>
      </c>
      <c r="BB458" s="19">
        <f t="shared" si="4767"/>
        <v>75</v>
      </c>
      <c r="BC458" s="19">
        <f t="shared" si="4768"/>
        <v>-17</v>
      </c>
      <c r="BD458" s="19">
        <f t="shared" si="4769"/>
        <v>109</v>
      </c>
      <c r="BE458" s="19">
        <f t="shared" si="4770"/>
        <v>29.459170854271292</v>
      </c>
      <c r="BF458" s="19">
        <f t="shared" si="4771"/>
        <v>0</v>
      </c>
      <c r="BG458" s="19">
        <f t="shared" si="4772"/>
        <v>139.6256281407035</v>
      </c>
      <c r="BH458" s="19">
        <f t="shared" si="4773"/>
        <v>0</v>
      </c>
      <c r="BI458" s="20">
        <f t="shared" si="4774"/>
        <v>0</v>
      </c>
      <c r="BJ458" s="19">
        <f t="shared" si="4775"/>
        <v>0</v>
      </c>
      <c r="BK458" s="19">
        <f t="shared" si="4776"/>
        <v>0</v>
      </c>
      <c r="BL458" s="19">
        <f t="shared" si="4777"/>
        <v>0</v>
      </c>
      <c r="BM458" s="19">
        <f t="shared" si="4778"/>
        <v>0</v>
      </c>
      <c r="BN458" s="19">
        <f t="shared" si="4779"/>
        <v>0</v>
      </c>
    </row>
    <row r="459" spans="1:66" ht="12" customHeight="1" outlineLevel="1">
      <c r="A459" s="91" t="s">
        <v>1270</v>
      </c>
      <c r="B459" s="1" t="s">
        <v>19</v>
      </c>
      <c r="C459" s="25">
        <f t="shared" ref="C459:AH459" si="4791">C18-C86-C672-C164-C236-C316</f>
        <v>2</v>
      </c>
      <c r="D459" s="25">
        <f t="shared" si="4791"/>
        <v>2</v>
      </c>
      <c r="E459" s="25">
        <f t="shared" si="4791"/>
        <v>-1</v>
      </c>
      <c r="F459" s="25">
        <f t="shared" si="4791"/>
        <v>3</v>
      </c>
      <c r="G459" s="25">
        <f t="shared" si="4791"/>
        <v>1</v>
      </c>
      <c r="H459" s="25">
        <f t="shared" si="4791"/>
        <v>2</v>
      </c>
      <c r="I459" s="25">
        <f t="shared" si="4791"/>
        <v>-1</v>
      </c>
      <c r="J459" s="25">
        <f t="shared" si="4791"/>
        <v>1</v>
      </c>
      <c r="K459" s="25">
        <f t="shared" si="4791"/>
        <v>0</v>
      </c>
      <c r="L459" s="25">
        <f t="shared" si="4791"/>
        <v>-3</v>
      </c>
      <c r="M459" s="25">
        <f t="shared" si="4791"/>
        <v>-14</v>
      </c>
      <c r="N459" s="25">
        <f t="shared" si="4791"/>
        <v>12</v>
      </c>
      <c r="O459" s="25">
        <f t="shared" si="4791"/>
        <v>81</v>
      </c>
      <c r="P459" s="25">
        <f t="shared" si="4791"/>
        <v>69</v>
      </c>
      <c r="Q459" s="25">
        <f t="shared" si="4791"/>
        <v>64</v>
      </c>
      <c r="R459" s="25">
        <f t="shared" si="4791"/>
        <v>45</v>
      </c>
      <c r="S459" s="25">
        <f t="shared" si="4791"/>
        <v>45</v>
      </c>
      <c r="T459" s="25">
        <f t="shared" si="4791"/>
        <v>43</v>
      </c>
      <c r="U459" s="25">
        <f t="shared" si="4791"/>
        <v>41</v>
      </c>
      <c r="V459" s="25">
        <f t="shared" si="4791"/>
        <v>34</v>
      </c>
      <c r="W459" s="25">
        <f t="shared" si="4791"/>
        <v>-23</v>
      </c>
      <c r="X459" s="25">
        <f t="shared" si="4791"/>
        <v>1</v>
      </c>
      <c r="Y459" s="25">
        <f t="shared" si="4791"/>
        <v>21.245603015075403</v>
      </c>
      <c r="Z459" s="25">
        <f t="shared" si="4791"/>
        <v>27.295226130653305</v>
      </c>
      <c r="AA459" s="25">
        <f t="shared" si="4791"/>
        <v>22</v>
      </c>
      <c r="AB459" s="25">
        <f t="shared" si="4791"/>
        <v>45</v>
      </c>
      <c r="AC459" s="25">
        <f t="shared" si="4791"/>
        <v>7</v>
      </c>
      <c r="AD459" s="25">
        <f t="shared" si="4791"/>
        <v>-48.625628140703498</v>
      </c>
      <c r="AE459" s="25">
        <f t="shared" si="4791"/>
        <v>22</v>
      </c>
      <c r="AF459" s="25">
        <f t="shared" si="4791"/>
        <v>14</v>
      </c>
      <c r="AG459" s="25">
        <f t="shared" si="4791"/>
        <v>17</v>
      </c>
      <c r="AH459" s="25">
        <f t="shared" si="4791"/>
        <v>2</v>
      </c>
      <c r="AI459" s="26">
        <f t="shared" ref="AI459" si="4792">AI18-AI86-AI672-AI164-AI236-AI316</f>
        <v>15</v>
      </c>
      <c r="AJ459" s="52">
        <f t="shared" si="4780"/>
        <v>15</v>
      </c>
      <c r="AK459" s="52">
        <f t="shared" si="4781"/>
        <v>15</v>
      </c>
      <c r="AL459" s="52">
        <f t="shared" si="4782"/>
        <v>15</v>
      </c>
      <c r="AM459" s="52">
        <f t="shared" si="4783"/>
        <v>15</v>
      </c>
      <c r="AN459" s="52">
        <f t="shared" si="4784"/>
        <v>15</v>
      </c>
      <c r="AO459" s="52">
        <f t="shared" si="4785"/>
        <v>15</v>
      </c>
      <c r="AP459" s="52">
        <f t="shared" si="4786"/>
        <v>15</v>
      </c>
      <c r="AQ459" s="52">
        <f t="shared" si="4787"/>
        <v>15</v>
      </c>
      <c r="AR459" s="52">
        <f t="shared" si="4788"/>
        <v>15</v>
      </c>
      <c r="AT459" s="19">
        <f t="shared" si="4759"/>
        <v>4</v>
      </c>
      <c r="AU459" s="19">
        <f t="shared" si="4760"/>
        <v>2</v>
      </c>
      <c r="AV459" s="19">
        <f t="shared" si="4761"/>
        <v>3</v>
      </c>
      <c r="AW459" s="19">
        <f t="shared" si="4762"/>
        <v>0</v>
      </c>
      <c r="AX459" s="19">
        <f t="shared" si="4763"/>
        <v>-3</v>
      </c>
      <c r="AY459" s="19">
        <f t="shared" si="4764"/>
        <v>-2</v>
      </c>
      <c r="AZ459" s="19">
        <f t="shared" si="4765"/>
        <v>150</v>
      </c>
      <c r="BA459" s="19">
        <f t="shared" si="4766"/>
        <v>109</v>
      </c>
      <c r="BB459" s="19">
        <f t="shared" si="4767"/>
        <v>88</v>
      </c>
      <c r="BC459" s="19">
        <f t="shared" si="4768"/>
        <v>75</v>
      </c>
      <c r="BD459" s="19">
        <f t="shared" si="4769"/>
        <v>-22</v>
      </c>
      <c r="BE459" s="19">
        <f t="shared" si="4770"/>
        <v>48.540829145728708</v>
      </c>
      <c r="BF459" s="19">
        <f t="shared" si="4771"/>
        <v>67</v>
      </c>
      <c r="BG459" s="19">
        <f t="shared" si="4772"/>
        <v>-41.625628140703498</v>
      </c>
      <c r="BH459" s="19">
        <f t="shared" si="4773"/>
        <v>36</v>
      </c>
      <c r="BI459" s="20">
        <f t="shared" si="4774"/>
        <v>19</v>
      </c>
      <c r="BJ459" s="19">
        <f t="shared" si="4775"/>
        <v>30</v>
      </c>
      <c r="BK459" s="19">
        <f t="shared" si="4776"/>
        <v>30</v>
      </c>
      <c r="BL459" s="19">
        <f t="shared" si="4777"/>
        <v>30</v>
      </c>
      <c r="BM459" s="19">
        <f t="shared" si="4778"/>
        <v>30</v>
      </c>
      <c r="BN459" s="19">
        <f t="shared" si="4779"/>
        <v>30</v>
      </c>
    </row>
    <row r="460" spans="1:66" ht="12" customHeight="1" outlineLevel="1">
      <c r="A460" s="91" t="s">
        <v>1271</v>
      </c>
      <c r="B460" s="1" t="s">
        <v>29</v>
      </c>
      <c r="C460" s="25">
        <f t="shared" ref="C460:AH460" si="4793">C19-C87-C673-C165-C237-C317</f>
        <v>27</v>
      </c>
      <c r="D460" s="25">
        <f t="shared" si="4793"/>
        <v>25</v>
      </c>
      <c r="E460" s="25">
        <f t="shared" si="4793"/>
        <v>83</v>
      </c>
      <c r="F460" s="25">
        <f t="shared" si="4793"/>
        <v>-59</v>
      </c>
      <c r="G460" s="25">
        <f t="shared" si="4793"/>
        <v>-22</v>
      </c>
      <c r="H460" s="25">
        <f t="shared" si="4793"/>
        <v>-18</v>
      </c>
      <c r="I460" s="25">
        <f t="shared" si="4793"/>
        <v>-55</v>
      </c>
      <c r="J460" s="25">
        <f t="shared" si="4793"/>
        <v>-67</v>
      </c>
      <c r="K460" s="25">
        <f t="shared" si="4793"/>
        <v>-77</v>
      </c>
      <c r="L460" s="25">
        <f t="shared" si="4793"/>
        <v>-63</v>
      </c>
      <c r="M460" s="25">
        <f t="shared" si="4793"/>
        <v>-95</v>
      </c>
      <c r="N460" s="25">
        <f t="shared" si="4793"/>
        <v>-107</v>
      </c>
      <c r="O460" s="25">
        <f t="shared" si="4793"/>
        <v>-122</v>
      </c>
      <c r="P460" s="25">
        <f t="shared" si="4793"/>
        <v>-123</v>
      </c>
      <c r="Q460" s="25">
        <f t="shared" si="4793"/>
        <v>-122</v>
      </c>
      <c r="R460" s="25">
        <f t="shared" si="4793"/>
        <v>-68</v>
      </c>
      <c r="S460" s="25">
        <f t="shared" si="4793"/>
        <v>-87</v>
      </c>
      <c r="T460" s="25">
        <f t="shared" si="4793"/>
        <v>-91</v>
      </c>
      <c r="U460" s="25">
        <f t="shared" si="4793"/>
        <v>-100</v>
      </c>
      <c r="V460" s="25">
        <f t="shared" si="4793"/>
        <v>17</v>
      </c>
      <c r="W460" s="25">
        <f t="shared" si="4793"/>
        <v>-65</v>
      </c>
      <c r="X460" s="25">
        <f t="shared" si="4793"/>
        <v>-59</v>
      </c>
      <c r="Y460" s="25">
        <f t="shared" si="4793"/>
        <v>-54</v>
      </c>
      <c r="Z460" s="25">
        <f t="shared" si="4793"/>
        <v>-60</v>
      </c>
      <c r="AA460" s="25">
        <f t="shared" si="4793"/>
        <v>-26</v>
      </c>
      <c r="AB460" s="25">
        <f t="shared" si="4793"/>
        <v>-49</v>
      </c>
      <c r="AC460" s="25">
        <f t="shared" si="4793"/>
        <v>-26</v>
      </c>
      <c r="AD460" s="25">
        <f t="shared" si="4793"/>
        <v>-226</v>
      </c>
      <c r="AE460" s="25">
        <f t="shared" si="4793"/>
        <v>-38</v>
      </c>
      <c r="AF460" s="25">
        <f t="shared" si="4793"/>
        <v>-31</v>
      </c>
      <c r="AG460" s="25">
        <f t="shared" si="4793"/>
        <v>-28</v>
      </c>
      <c r="AH460" s="25">
        <f t="shared" si="4793"/>
        <v>-4</v>
      </c>
      <c r="AI460" s="26">
        <f t="shared" ref="AI460" si="4794">AI19-AI87-AI673-AI165-AI237-AI317</f>
        <v>-26</v>
      </c>
      <c r="AJ460" s="52">
        <f t="shared" si="4780"/>
        <v>-26</v>
      </c>
      <c r="AK460" s="52">
        <f t="shared" si="4781"/>
        <v>-26</v>
      </c>
      <c r="AL460" s="52">
        <f t="shared" si="4782"/>
        <v>-26</v>
      </c>
      <c r="AM460" s="52">
        <f t="shared" si="4783"/>
        <v>-26</v>
      </c>
      <c r="AN460" s="52">
        <f t="shared" si="4784"/>
        <v>-26</v>
      </c>
      <c r="AO460" s="52">
        <f t="shared" si="4785"/>
        <v>-26</v>
      </c>
      <c r="AP460" s="52">
        <f t="shared" si="4786"/>
        <v>-26</v>
      </c>
      <c r="AQ460" s="52">
        <f t="shared" si="4787"/>
        <v>-26</v>
      </c>
      <c r="AR460" s="52">
        <f t="shared" si="4788"/>
        <v>-26</v>
      </c>
      <c r="AT460" s="19">
        <f t="shared" si="4759"/>
        <v>52</v>
      </c>
      <c r="AU460" s="19">
        <f t="shared" si="4760"/>
        <v>24</v>
      </c>
      <c r="AV460" s="19">
        <f t="shared" si="4761"/>
        <v>-40</v>
      </c>
      <c r="AW460" s="19">
        <f t="shared" si="4762"/>
        <v>-122</v>
      </c>
      <c r="AX460" s="19">
        <f t="shared" si="4763"/>
        <v>-140</v>
      </c>
      <c r="AY460" s="19">
        <f t="shared" si="4764"/>
        <v>-202</v>
      </c>
      <c r="AZ460" s="19">
        <f t="shared" si="4765"/>
        <v>-245</v>
      </c>
      <c r="BA460" s="19">
        <f t="shared" si="4766"/>
        <v>-190</v>
      </c>
      <c r="BB460" s="19">
        <f t="shared" si="4767"/>
        <v>-178</v>
      </c>
      <c r="BC460" s="19">
        <f t="shared" si="4768"/>
        <v>-83</v>
      </c>
      <c r="BD460" s="19">
        <f t="shared" si="4769"/>
        <v>-124</v>
      </c>
      <c r="BE460" s="19">
        <f t="shared" si="4770"/>
        <v>-114</v>
      </c>
      <c r="BF460" s="19">
        <f t="shared" si="4771"/>
        <v>-75</v>
      </c>
      <c r="BG460" s="19">
        <f t="shared" si="4772"/>
        <v>-252</v>
      </c>
      <c r="BH460" s="19">
        <f t="shared" si="4773"/>
        <v>-69</v>
      </c>
      <c r="BI460" s="20">
        <f t="shared" si="4774"/>
        <v>-32</v>
      </c>
      <c r="BJ460" s="19">
        <f t="shared" si="4775"/>
        <v>-52</v>
      </c>
      <c r="BK460" s="19">
        <f t="shared" si="4776"/>
        <v>-52</v>
      </c>
      <c r="BL460" s="19">
        <f t="shared" si="4777"/>
        <v>-52</v>
      </c>
      <c r="BM460" s="19">
        <f t="shared" si="4778"/>
        <v>-52</v>
      </c>
      <c r="BN460" s="19">
        <f t="shared" si="4779"/>
        <v>-52</v>
      </c>
    </row>
    <row r="461" spans="1:66" ht="12" customHeight="1" outlineLevel="1">
      <c r="A461" s="91" t="s">
        <v>1272</v>
      </c>
      <c r="B461" s="9" t="s">
        <v>118</v>
      </c>
      <c r="C461" s="30">
        <f t="shared" ref="C461:H461" si="4795">C454+C455+C456+C457+C458+C459+C460</f>
        <v>59</v>
      </c>
      <c r="D461" s="30">
        <f t="shared" si="4795"/>
        <v>47</v>
      </c>
      <c r="E461" s="30">
        <f t="shared" si="4795"/>
        <v>105</v>
      </c>
      <c r="F461" s="30">
        <f t="shared" si="4795"/>
        <v>-22</v>
      </c>
      <c r="G461" s="30">
        <f t="shared" si="4795"/>
        <v>3</v>
      </c>
      <c r="H461" s="30">
        <f t="shared" si="4795"/>
        <v>0</v>
      </c>
      <c r="I461" s="30">
        <f t="shared" ref="I461:M461" si="4796">I454+I455+I456+I457+I458+I459+I460</f>
        <v>-2</v>
      </c>
      <c r="J461" s="30">
        <f t="shared" si="4796"/>
        <v>-2</v>
      </c>
      <c r="K461" s="30">
        <f t="shared" si="4796"/>
        <v>-8</v>
      </c>
      <c r="L461" s="30">
        <f t="shared" si="4796"/>
        <v>7</v>
      </c>
      <c r="M461" s="30">
        <f t="shared" si="4796"/>
        <v>-12</v>
      </c>
      <c r="N461" s="30">
        <f t="shared" ref="N461:BB461" si="4797">N454+N455+N456+N457+N458+N459+N460</f>
        <v>-16</v>
      </c>
      <c r="O461" s="30">
        <f t="shared" si="4797"/>
        <v>-5</v>
      </c>
      <c r="P461" s="30">
        <f t="shared" ref="P461:Q461" si="4798">P454+P455+P456+P457+P458+P459+P460</f>
        <v>2</v>
      </c>
      <c r="Q461" s="30">
        <f t="shared" si="4798"/>
        <v>-3</v>
      </c>
      <c r="R461" s="30">
        <f t="shared" ref="R461:S461" si="4799">R454+R455+R456+R457+R458+R459+R460</f>
        <v>-2</v>
      </c>
      <c r="S461" s="30">
        <f t="shared" si="4799"/>
        <v>-6</v>
      </c>
      <c r="T461" s="30">
        <f t="shared" ref="T461:U461" si="4800">T454+T455+T456+T457+T458+T459+T460</f>
        <v>-9</v>
      </c>
      <c r="U461" s="30">
        <f t="shared" si="4800"/>
        <v>-12</v>
      </c>
      <c r="V461" s="30">
        <f t="shared" ref="V461:W461" si="4801">V454+V455+V456+V457+V458+V459+V460</f>
        <v>-13</v>
      </c>
      <c r="W461" s="30">
        <f t="shared" si="4801"/>
        <v>-21</v>
      </c>
      <c r="X461" s="30">
        <f t="shared" ref="X461:Y461" si="4802">X454+X455+X456+X457+X458+X459+X460</f>
        <v>-16</v>
      </c>
      <c r="Y461" s="30">
        <f t="shared" si="4802"/>
        <v>-17</v>
      </c>
      <c r="Z461" s="30">
        <f t="shared" ref="Z461:AA461" si="4803">Z454+Z455+Z456+Z457+Z458+Z459+Z460</f>
        <v>-19</v>
      </c>
      <c r="AA461" s="30">
        <f t="shared" si="4803"/>
        <v>-4</v>
      </c>
      <c r="AB461" s="30">
        <f t="shared" ref="AB461:AC461" si="4804">AB454+AB455+AB456+AB457+AB458+AB459+AB460</f>
        <v>-4</v>
      </c>
      <c r="AC461" s="30">
        <f t="shared" si="4804"/>
        <v>-19</v>
      </c>
      <c r="AD461" s="30">
        <f t="shared" ref="AD461:AE461" si="4805">AD454+AD455+AD456+AD457+AD458+AD459+AD460</f>
        <v>-135</v>
      </c>
      <c r="AE461" s="30">
        <f t="shared" si="4805"/>
        <v>-16</v>
      </c>
      <c r="AF461" s="30">
        <f t="shared" ref="AF461:AG461" si="4806">AF454+AF455+AF456+AF457+AF458+AF459+AF460</f>
        <v>-17</v>
      </c>
      <c r="AG461" s="30">
        <f t="shared" si="4806"/>
        <v>-11</v>
      </c>
      <c r="AH461" s="30">
        <f t="shared" ref="AH461:AI461" si="4807">AH454+AH455+AH456+AH457+AH458+AH459+AH460</f>
        <v>-2</v>
      </c>
      <c r="AI461" s="27">
        <f t="shared" si="4807"/>
        <v>-11</v>
      </c>
      <c r="AJ461" s="30">
        <f t="shared" ref="AJ461" si="4808">AJ454+AJ455+AJ456+AJ457+AJ458+AJ459+AJ460</f>
        <v>-11</v>
      </c>
      <c r="AK461" s="30">
        <f t="shared" ref="AK461:AL461" si="4809">AK454+AK455+AK456+AK457+AK458+AK459+AK460</f>
        <v>-11</v>
      </c>
      <c r="AL461" s="30">
        <f t="shared" si="4809"/>
        <v>-11</v>
      </c>
      <c r="AM461" s="30">
        <f t="shared" ref="AM461:AN461" si="4810">AM454+AM455+AM456+AM457+AM458+AM459+AM460</f>
        <v>-11</v>
      </c>
      <c r="AN461" s="30">
        <f t="shared" si="4810"/>
        <v>-11</v>
      </c>
      <c r="AO461" s="30">
        <f t="shared" ref="AO461:AP461" si="4811">AO454+AO455+AO456+AO457+AO458+AO459+AO460</f>
        <v>-11</v>
      </c>
      <c r="AP461" s="30">
        <f t="shared" si="4811"/>
        <v>-11</v>
      </c>
      <c r="AQ461" s="30">
        <f t="shared" ref="AQ461:AR461" si="4812">AQ454+AQ455+AQ456+AQ457+AQ458+AQ459+AQ460</f>
        <v>-11</v>
      </c>
      <c r="AR461" s="30">
        <f t="shared" si="4812"/>
        <v>-11</v>
      </c>
      <c r="AT461" s="30">
        <f t="shared" si="4797"/>
        <v>106</v>
      </c>
      <c r="AU461" s="30">
        <f t="shared" si="4797"/>
        <v>83</v>
      </c>
      <c r="AV461" s="30">
        <f t="shared" si="4797"/>
        <v>3</v>
      </c>
      <c r="AW461" s="30">
        <f t="shared" si="4797"/>
        <v>-4</v>
      </c>
      <c r="AX461" s="30">
        <f t="shared" si="4797"/>
        <v>-1</v>
      </c>
      <c r="AY461" s="30">
        <f t="shared" si="4797"/>
        <v>-28</v>
      </c>
      <c r="AZ461" s="30">
        <f t="shared" si="4797"/>
        <v>-3</v>
      </c>
      <c r="BA461" s="30">
        <f t="shared" si="4797"/>
        <v>-5</v>
      </c>
      <c r="BB461" s="30">
        <f t="shared" si="4797"/>
        <v>-15</v>
      </c>
      <c r="BC461" s="30">
        <f t="shared" ref="BC461" si="4813">BC454+BC455+BC456+BC457+BC458+BC459+BC460</f>
        <v>-25</v>
      </c>
      <c r="BD461" s="30">
        <f t="shared" ref="BD461:BI461" si="4814">BD454+BD455+BD456+BD457+BD458+BD459+BD460</f>
        <v>-37</v>
      </c>
      <c r="BE461" s="30">
        <f t="shared" si="4814"/>
        <v>-36</v>
      </c>
      <c r="BF461" s="30">
        <f t="shared" si="4814"/>
        <v>-8</v>
      </c>
      <c r="BG461" s="30">
        <f t="shared" si="4814"/>
        <v>-154</v>
      </c>
      <c r="BH461" s="30">
        <f t="shared" si="4814"/>
        <v>-33</v>
      </c>
      <c r="BI461" s="27">
        <f t="shared" si="4814"/>
        <v>-13</v>
      </c>
      <c r="BJ461" s="30">
        <f t="shared" ref="BJ461:BK461" si="4815">BJ454+BJ455+BJ456+BJ457+BJ458+BJ459+BJ460</f>
        <v>-22</v>
      </c>
      <c r="BK461" s="30">
        <f t="shared" si="4815"/>
        <v>-22</v>
      </c>
      <c r="BL461" s="30">
        <f t="shared" ref="BL461:BM461" si="4816">BL454+BL455+BL456+BL457+BL458+BL459+BL460</f>
        <v>-22</v>
      </c>
      <c r="BM461" s="30">
        <f t="shared" si="4816"/>
        <v>-22</v>
      </c>
      <c r="BN461" s="30">
        <f>BN454+BN455+BN456+BN457+BN458+BN459+BN460</f>
        <v>-22</v>
      </c>
    </row>
    <row r="462" spans="1:66" ht="12" customHeight="1" outlineLevel="1">
      <c r="A462" s="91" t="s">
        <v>1273</v>
      </c>
      <c r="B462" s="1" t="s">
        <v>8</v>
      </c>
      <c r="C462" s="25">
        <f t="shared" ref="C462:AH462" si="4817">C21-C89-C675-C167-C242-C319-C243</f>
        <v>-257</v>
      </c>
      <c r="D462" s="25">
        <f t="shared" si="4817"/>
        <v>-119</v>
      </c>
      <c r="E462" s="25">
        <f t="shared" si="4817"/>
        <v>54</v>
      </c>
      <c r="F462" s="25">
        <f t="shared" si="4817"/>
        <v>-49</v>
      </c>
      <c r="G462" s="25">
        <f t="shared" si="4817"/>
        <v>-110</v>
      </c>
      <c r="H462" s="25">
        <f t="shared" si="4817"/>
        <v>35</v>
      </c>
      <c r="I462" s="25">
        <f t="shared" si="4817"/>
        <v>-45</v>
      </c>
      <c r="J462" s="25">
        <f t="shared" si="4817"/>
        <v>-14</v>
      </c>
      <c r="K462" s="25">
        <f t="shared" si="4817"/>
        <v>-142</v>
      </c>
      <c r="L462" s="25">
        <f t="shared" si="4817"/>
        <v>-41</v>
      </c>
      <c r="M462" s="25">
        <f t="shared" si="4817"/>
        <v>-95</v>
      </c>
      <c r="N462" s="25">
        <f t="shared" si="4817"/>
        <v>-147</v>
      </c>
      <c r="O462" s="25">
        <f t="shared" si="4817"/>
        <v>-136</v>
      </c>
      <c r="P462" s="25">
        <f t="shared" si="4817"/>
        <v>-83</v>
      </c>
      <c r="Q462" s="25">
        <f t="shared" si="4817"/>
        <v>-156</v>
      </c>
      <c r="R462" s="25">
        <f t="shared" si="4817"/>
        <v>-96</v>
      </c>
      <c r="S462" s="25">
        <f t="shared" si="4817"/>
        <v>112</v>
      </c>
      <c r="T462" s="25">
        <f t="shared" si="4817"/>
        <v>118</v>
      </c>
      <c r="U462" s="25">
        <f t="shared" si="4817"/>
        <v>30</v>
      </c>
      <c r="V462" s="25">
        <f t="shared" si="4817"/>
        <v>203</v>
      </c>
      <c r="W462" s="25">
        <f t="shared" si="4817"/>
        <v>215</v>
      </c>
      <c r="X462" s="25">
        <f t="shared" si="4817"/>
        <v>150</v>
      </c>
      <c r="Y462" s="25">
        <f t="shared" si="4817"/>
        <v>-133</v>
      </c>
      <c r="Z462" s="25">
        <f t="shared" si="4817"/>
        <v>-61</v>
      </c>
      <c r="AA462" s="25">
        <f t="shared" si="4817"/>
        <v>-242</v>
      </c>
      <c r="AB462" s="25">
        <f t="shared" si="4817"/>
        <v>-667</v>
      </c>
      <c r="AC462" s="25">
        <f t="shared" si="4817"/>
        <v>-46</v>
      </c>
      <c r="AD462" s="25">
        <f t="shared" si="4817"/>
        <v>-34</v>
      </c>
      <c r="AE462" s="25">
        <f t="shared" si="4817"/>
        <v>180</v>
      </c>
      <c r="AF462" s="25">
        <f t="shared" si="4817"/>
        <v>-21</v>
      </c>
      <c r="AG462" s="25">
        <f t="shared" si="4817"/>
        <v>162</v>
      </c>
      <c r="AH462" s="25">
        <f t="shared" si="4817"/>
        <v>82</v>
      </c>
      <c r="AI462" s="26">
        <f t="shared" ref="AI462" si="4818">AI21-AI89-AI675-AI167-AI242-AI319-AI243</f>
        <v>-180</v>
      </c>
      <c r="AJ462" s="52">
        <f>AI462*0.25</f>
        <v>-45</v>
      </c>
      <c r="AK462" s="52">
        <f t="shared" ref="AK462:AM462" si="4819">AJ462*0.95</f>
        <v>-42.75</v>
      </c>
      <c r="AL462" s="52">
        <f t="shared" si="4819"/>
        <v>-40.612499999999997</v>
      </c>
      <c r="AM462" s="52">
        <f t="shared" si="4819"/>
        <v>-38.581874999999997</v>
      </c>
      <c r="AN462" s="52">
        <f>AM462*0.95</f>
        <v>-36.652781249999997</v>
      </c>
      <c r="AO462" s="52">
        <f t="shared" ref="AO462:AR462" si="4820">AN462*0.95</f>
        <v>-34.820142187499997</v>
      </c>
      <c r="AP462" s="52">
        <f t="shared" si="4820"/>
        <v>-33.079135078124992</v>
      </c>
      <c r="AQ462" s="52">
        <f t="shared" si="4820"/>
        <v>-31.425178324218741</v>
      </c>
      <c r="AR462" s="52">
        <f t="shared" si="4820"/>
        <v>-29.853919408007805</v>
      </c>
      <c r="AT462" s="19">
        <f>C462+D462</f>
        <v>-376</v>
      </c>
      <c r="AU462" s="19">
        <f>E462+F462</f>
        <v>5</v>
      </c>
      <c r="AV462" s="19">
        <f>G462+H462</f>
        <v>-75</v>
      </c>
      <c r="AW462" s="19">
        <f>I462+J462</f>
        <v>-59</v>
      </c>
      <c r="AX462" s="19">
        <f>K462+L462</f>
        <v>-183</v>
      </c>
      <c r="AY462" s="19">
        <f>M462+N462</f>
        <v>-242</v>
      </c>
      <c r="AZ462" s="19">
        <f>O462+P462</f>
        <v>-219</v>
      </c>
      <c r="BA462" s="19">
        <f>Q462+R462</f>
        <v>-252</v>
      </c>
      <c r="BB462" s="19">
        <f>S462+T462</f>
        <v>230</v>
      </c>
      <c r="BC462" s="19">
        <f>U462+V462</f>
        <v>233</v>
      </c>
      <c r="BD462" s="19">
        <f>W462+X462</f>
        <v>365</v>
      </c>
      <c r="BE462" s="19">
        <f>Y462+Z462</f>
        <v>-194</v>
      </c>
      <c r="BF462" s="19">
        <f>AA462+AB462</f>
        <v>-909</v>
      </c>
      <c r="BG462" s="19">
        <f>AC462+AD462</f>
        <v>-80</v>
      </c>
      <c r="BH462" s="19">
        <f>AE462+AF462</f>
        <v>159</v>
      </c>
      <c r="BI462" s="20">
        <f>AG462+AH462</f>
        <v>244</v>
      </c>
      <c r="BJ462" s="19">
        <f>AI462+AJ462</f>
        <v>-225</v>
      </c>
      <c r="BK462" s="19">
        <f>AK462+AL462</f>
        <v>-83.362499999999997</v>
      </c>
      <c r="BL462" s="19">
        <f>AM462+AN462</f>
        <v>-75.23465625</v>
      </c>
      <c r="BM462" s="19">
        <f>AO462+AP462</f>
        <v>-67.899277265624988</v>
      </c>
      <c r="BN462" s="19">
        <f>AQ462+AR462</f>
        <v>-61.279097732226546</v>
      </c>
    </row>
    <row r="463" spans="1:66" ht="12" customHeight="1" outlineLevel="1">
      <c r="A463" s="91" t="s">
        <v>1274</v>
      </c>
      <c r="B463" s="1" t="s">
        <v>9</v>
      </c>
      <c r="C463" s="25">
        <f t="shared" ref="C463:AH463" si="4821">C22-C90-C676-C168-C244-C320</f>
        <v>-25</v>
      </c>
      <c r="D463" s="25">
        <f t="shared" si="4821"/>
        <v>-23</v>
      </c>
      <c r="E463" s="25">
        <f t="shared" si="4821"/>
        <v>8</v>
      </c>
      <c r="F463" s="25">
        <f t="shared" si="4821"/>
        <v>8</v>
      </c>
      <c r="G463" s="25">
        <f t="shared" si="4821"/>
        <v>5</v>
      </c>
      <c r="H463" s="25">
        <f t="shared" si="4821"/>
        <v>12</v>
      </c>
      <c r="I463" s="25">
        <f t="shared" si="4821"/>
        <v>3</v>
      </c>
      <c r="J463" s="25">
        <f t="shared" si="4821"/>
        <v>12</v>
      </c>
      <c r="K463" s="25">
        <f t="shared" si="4821"/>
        <v>8</v>
      </c>
      <c r="L463" s="25">
        <f t="shared" si="4821"/>
        <v>-6</v>
      </c>
      <c r="M463" s="25">
        <f t="shared" si="4821"/>
        <v>-16</v>
      </c>
      <c r="N463" s="25">
        <f t="shared" si="4821"/>
        <v>-10</v>
      </c>
      <c r="O463" s="25">
        <f t="shared" si="4821"/>
        <v>-8</v>
      </c>
      <c r="P463" s="25">
        <f t="shared" si="4821"/>
        <v>30</v>
      </c>
      <c r="Q463" s="25">
        <f t="shared" si="4821"/>
        <v>-20</v>
      </c>
      <c r="R463" s="25">
        <f t="shared" si="4821"/>
        <v>-8</v>
      </c>
      <c r="S463" s="25">
        <f t="shared" si="4821"/>
        <v>0</v>
      </c>
      <c r="T463" s="25">
        <f t="shared" si="4821"/>
        <v>1</v>
      </c>
      <c r="U463" s="25">
        <f t="shared" si="4821"/>
        <v>0</v>
      </c>
      <c r="V463" s="25">
        <f t="shared" si="4821"/>
        <v>-7</v>
      </c>
      <c r="W463" s="25">
        <f t="shared" si="4821"/>
        <v>-1</v>
      </c>
      <c r="X463" s="25">
        <f t="shared" si="4821"/>
        <v>44</v>
      </c>
      <c r="Y463" s="25">
        <f t="shared" si="4821"/>
        <v>6</v>
      </c>
      <c r="Z463" s="25">
        <f t="shared" si="4821"/>
        <v>-2</v>
      </c>
      <c r="AA463" s="25">
        <f t="shared" si="4821"/>
        <v>0</v>
      </c>
      <c r="AB463" s="25">
        <f t="shared" si="4821"/>
        <v>-11</v>
      </c>
      <c r="AC463" s="25">
        <f t="shared" si="4821"/>
        <v>0</v>
      </c>
      <c r="AD463" s="25">
        <f t="shared" si="4821"/>
        <v>0</v>
      </c>
      <c r="AE463" s="25">
        <f t="shared" si="4821"/>
        <v>0</v>
      </c>
      <c r="AF463" s="25">
        <f t="shared" si="4821"/>
        <v>-1</v>
      </c>
      <c r="AG463" s="25">
        <f t="shared" si="4821"/>
        <v>1</v>
      </c>
      <c r="AH463" s="25">
        <f t="shared" si="4821"/>
        <v>-1</v>
      </c>
      <c r="AI463" s="26">
        <f t="shared" ref="AI463" si="4822">AI22-AI90-AI676-AI168-AI244-AI320</f>
        <v>0</v>
      </c>
      <c r="AJ463" s="52">
        <f t="shared" ref="AJ463" si="4823">AI463</f>
        <v>0</v>
      </c>
      <c r="AK463" s="52">
        <f t="shared" ref="AK463" si="4824">AJ463</f>
        <v>0</v>
      </c>
      <c r="AL463" s="52">
        <f t="shared" ref="AL463" si="4825">AK463</f>
        <v>0</v>
      </c>
      <c r="AM463" s="52">
        <f t="shared" ref="AM463" si="4826">AL463</f>
        <v>0</v>
      </c>
      <c r="AN463" s="52">
        <f t="shared" ref="AN463" si="4827">AM463</f>
        <v>0</v>
      </c>
      <c r="AO463" s="52">
        <f t="shared" ref="AO463" si="4828">AN463</f>
        <v>0</v>
      </c>
      <c r="AP463" s="52">
        <f t="shared" ref="AP463" si="4829">AO463</f>
        <v>0</v>
      </c>
      <c r="AQ463" s="52">
        <f t="shared" ref="AQ463" si="4830">AP463</f>
        <v>0</v>
      </c>
      <c r="AR463" s="52">
        <f t="shared" ref="AR463" si="4831">AQ463</f>
        <v>0</v>
      </c>
      <c r="AT463" s="19">
        <f>C463+D463</f>
        <v>-48</v>
      </c>
      <c r="AU463" s="19">
        <f>E463+F463</f>
        <v>16</v>
      </c>
      <c r="AV463" s="19">
        <f>G463+H463</f>
        <v>17</v>
      </c>
      <c r="AW463" s="19">
        <f>I463+J463</f>
        <v>15</v>
      </c>
      <c r="AX463" s="19">
        <f>K463+L463</f>
        <v>2</v>
      </c>
      <c r="AY463" s="19">
        <f>M463+N463</f>
        <v>-26</v>
      </c>
      <c r="AZ463" s="19">
        <f>O463+P463</f>
        <v>22</v>
      </c>
      <c r="BA463" s="19">
        <f>Q463+R463</f>
        <v>-28</v>
      </c>
      <c r="BB463" s="19">
        <f>S463+T463</f>
        <v>1</v>
      </c>
      <c r="BC463" s="19">
        <f>U463+V463</f>
        <v>-7</v>
      </c>
      <c r="BD463" s="19">
        <f>W463+X463</f>
        <v>43</v>
      </c>
      <c r="BE463" s="19">
        <f>Y463+Z463</f>
        <v>4</v>
      </c>
      <c r="BF463" s="19">
        <f>AA463+AB463</f>
        <v>-11</v>
      </c>
      <c r="BG463" s="19">
        <f>AC463+AD463</f>
        <v>0</v>
      </c>
      <c r="BH463" s="19">
        <f>AE463+AF463</f>
        <v>-1</v>
      </c>
      <c r="BI463" s="20">
        <f>AG463+AH463</f>
        <v>0</v>
      </c>
      <c r="BJ463" s="19">
        <f>AI463+AJ463</f>
        <v>0</v>
      </c>
      <c r="BK463" s="19">
        <f>AK463+AL463</f>
        <v>0</v>
      </c>
      <c r="BL463" s="19">
        <f>AM463+AN463</f>
        <v>0</v>
      </c>
      <c r="BM463" s="19">
        <f>AO463+AP463</f>
        <v>0</v>
      </c>
      <c r="BN463" s="19">
        <f>AQ463+AR463</f>
        <v>0</v>
      </c>
    </row>
    <row r="464" spans="1:66" ht="12" customHeight="1" outlineLevel="1">
      <c r="A464" s="91" t="s">
        <v>1275</v>
      </c>
      <c r="B464" s="1" t="s">
        <v>1844</v>
      </c>
      <c r="C464" s="25">
        <f t="shared" ref="C464:AH464" si="4832">C23-C91-C677-C169-C245-C321</f>
        <v>-17</v>
      </c>
      <c r="D464" s="25">
        <f t="shared" si="4832"/>
        <v>-2</v>
      </c>
      <c r="E464" s="25">
        <f t="shared" si="4832"/>
        <v>-40</v>
      </c>
      <c r="F464" s="25">
        <f t="shared" si="4832"/>
        <v>-2</v>
      </c>
      <c r="G464" s="25">
        <f t="shared" si="4832"/>
        <v>-2</v>
      </c>
      <c r="H464" s="25">
        <f t="shared" si="4832"/>
        <v>-15</v>
      </c>
      <c r="I464" s="25">
        <f t="shared" si="4832"/>
        <v>2</v>
      </c>
      <c r="J464" s="25">
        <f t="shared" si="4832"/>
        <v>-3</v>
      </c>
      <c r="K464" s="25">
        <f t="shared" si="4832"/>
        <v>-7</v>
      </c>
      <c r="L464" s="25">
        <f t="shared" si="4832"/>
        <v>1</v>
      </c>
      <c r="M464" s="25">
        <f t="shared" si="4832"/>
        <v>-7</v>
      </c>
      <c r="N464" s="25">
        <f t="shared" si="4832"/>
        <v>-62</v>
      </c>
      <c r="O464" s="25">
        <f t="shared" si="4832"/>
        <v>-78</v>
      </c>
      <c r="P464" s="25">
        <f t="shared" si="4832"/>
        <v>39</v>
      </c>
      <c r="Q464" s="25">
        <f t="shared" si="4832"/>
        <v>-110</v>
      </c>
      <c r="R464" s="25">
        <f t="shared" si="4832"/>
        <v>-32</v>
      </c>
      <c r="S464" s="25">
        <f t="shared" si="4832"/>
        <v>-62</v>
      </c>
      <c r="T464" s="25">
        <f t="shared" si="4832"/>
        <v>-127</v>
      </c>
      <c r="U464" s="25">
        <f t="shared" si="4832"/>
        <v>-34</v>
      </c>
      <c r="V464" s="25">
        <f t="shared" si="4832"/>
        <v>-111</v>
      </c>
      <c r="W464" s="25">
        <f t="shared" si="4832"/>
        <v>2</v>
      </c>
      <c r="X464" s="25">
        <f t="shared" si="4832"/>
        <v>-138</v>
      </c>
      <c r="Y464" s="25">
        <f t="shared" si="4832"/>
        <v>-73</v>
      </c>
      <c r="Z464" s="25">
        <f t="shared" si="4832"/>
        <v>45</v>
      </c>
      <c r="AA464" s="25">
        <f t="shared" si="4832"/>
        <v>-48</v>
      </c>
      <c r="AB464" s="25">
        <f t="shared" si="4832"/>
        <v>43</v>
      </c>
      <c r="AC464" s="25">
        <f t="shared" si="4832"/>
        <v>-44</v>
      </c>
      <c r="AD464" s="25">
        <f t="shared" si="4832"/>
        <v>-11</v>
      </c>
      <c r="AE464" s="25">
        <f t="shared" si="4832"/>
        <v>18</v>
      </c>
      <c r="AF464" s="25">
        <f t="shared" si="4832"/>
        <v>39</v>
      </c>
      <c r="AG464" s="25">
        <f t="shared" si="4832"/>
        <v>0</v>
      </c>
      <c r="AH464" s="25">
        <f t="shared" si="4832"/>
        <v>-96</v>
      </c>
      <c r="AI464" s="26">
        <f t="shared" ref="AI464" si="4833">AI23-AI91-AI677-AI169-AI245-AI321</f>
        <v>73</v>
      </c>
      <c r="AJ464" s="25">
        <f t="shared" ref="AJ464:AR464" si="4834">AJ23-AJ91-AJ677-AJ169-AJ245-AJ321</f>
        <v>-61.671192672570243</v>
      </c>
      <c r="AK464" s="25">
        <f t="shared" si="4834"/>
        <v>-37.694206579968991</v>
      </c>
      <c r="AL464" s="25">
        <f t="shared" si="4834"/>
        <v>-48.736820738386228</v>
      </c>
      <c r="AM464" s="25">
        <f t="shared" si="4834"/>
        <v>-56.697639776256302</v>
      </c>
      <c r="AN464" s="25">
        <f t="shared" si="4834"/>
        <v>-55.312453126227567</v>
      </c>
      <c r="AO464" s="25">
        <f t="shared" si="4834"/>
        <v>-66.108246725539232</v>
      </c>
      <c r="AP464" s="25">
        <f t="shared" si="4834"/>
        <v>-66.254887998828423</v>
      </c>
      <c r="AQ464" s="25">
        <f t="shared" si="4834"/>
        <v>-66.720933667525401</v>
      </c>
      <c r="AR464" s="25">
        <f t="shared" si="4834"/>
        <v>-67.044598366740132</v>
      </c>
      <c r="AT464" s="19">
        <f>C464+D464</f>
        <v>-19</v>
      </c>
      <c r="AU464" s="19">
        <f>E464+F464</f>
        <v>-42</v>
      </c>
      <c r="AV464" s="19">
        <f>G464+H464</f>
        <v>-17</v>
      </c>
      <c r="AW464" s="19">
        <f>I464+J464</f>
        <v>-1</v>
      </c>
      <c r="AX464" s="19">
        <f>K464+L464</f>
        <v>-6</v>
      </c>
      <c r="AY464" s="19">
        <f>M464+N464</f>
        <v>-69</v>
      </c>
      <c r="AZ464" s="19">
        <f>O464+P464</f>
        <v>-39</v>
      </c>
      <c r="BA464" s="19">
        <f>Q464+R464</f>
        <v>-142</v>
      </c>
      <c r="BB464" s="19">
        <f>S464+T464</f>
        <v>-189</v>
      </c>
      <c r="BC464" s="19">
        <f>U464+V464</f>
        <v>-145</v>
      </c>
      <c r="BD464" s="19">
        <f>W464+X464</f>
        <v>-136</v>
      </c>
      <c r="BE464" s="19">
        <f>Y464+Z464</f>
        <v>-28</v>
      </c>
      <c r="BF464" s="19">
        <f>AA464+AB464</f>
        <v>-5</v>
      </c>
      <c r="BG464" s="19">
        <f>AC464+AD464</f>
        <v>-55</v>
      </c>
      <c r="BH464" s="19">
        <f>AE464+AF464</f>
        <v>57</v>
      </c>
      <c r="BI464" s="20">
        <f>AG464+AH464</f>
        <v>-96</v>
      </c>
      <c r="BJ464" s="19">
        <f>AI464+AJ464</f>
        <v>11.328807327429757</v>
      </c>
      <c r="BK464" s="19">
        <f>AK464+AL464</f>
        <v>-86.43102731835522</v>
      </c>
      <c r="BL464" s="19">
        <f>AM464+AN464</f>
        <v>-112.01009290248388</v>
      </c>
      <c r="BM464" s="19">
        <f>AO464+AP464</f>
        <v>-132.36313472436765</v>
      </c>
      <c r="BN464" s="19">
        <f>AQ464+AR464</f>
        <v>-133.76553203426553</v>
      </c>
    </row>
    <row r="465" spans="1:66" ht="12" customHeight="1" outlineLevel="1">
      <c r="A465" s="91" t="s">
        <v>1859</v>
      </c>
      <c r="B465" s="1" t="s">
        <v>1842</v>
      </c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>
        <f t="shared" ref="U465:AH465" si="4835">U24-U92-U678-U170-U246-U322</f>
        <v>485</v>
      </c>
      <c r="V465" s="25">
        <f t="shared" si="4835"/>
        <v>1617</v>
      </c>
      <c r="W465" s="25">
        <f t="shared" si="4835"/>
        <v>28</v>
      </c>
      <c r="X465" s="25">
        <f t="shared" si="4835"/>
        <v>-27</v>
      </c>
      <c r="Y465" s="25">
        <f t="shared" si="4835"/>
        <v>87</v>
      </c>
      <c r="Z465" s="25">
        <f t="shared" si="4835"/>
        <v>132</v>
      </c>
      <c r="AA465" s="25">
        <f t="shared" si="4835"/>
        <v>41</v>
      </c>
      <c r="AB465" s="25">
        <f t="shared" si="4835"/>
        <v>27</v>
      </c>
      <c r="AC465" s="25">
        <f t="shared" si="4835"/>
        <v>4</v>
      </c>
      <c r="AD465" s="25">
        <f t="shared" si="4835"/>
        <v>59</v>
      </c>
      <c r="AE465" s="25">
        <f t="shared" si="4835"/>
        <v>26</v>
      </c>
      <c r="AF465" s="25">
        <f t="shared" si="4835"/>
        <v>52</v>
      </c>
      <c r="AG465" s="25">
        <f t="shared" si="4835"/>
        <v>-5</v>
      </c>
      <c r="AH465" s="25">
        <f t="shared" si="4835"/>
        <v>12</v>
      </c>
      <c r="AI465" s="26">
        <f t="shared" ref="AI465" si="4836">AI24-AI92-AI678-AI170-AI246-AI322</f>
        <v>32</v>
      </c>
      <c r="AJ465" s="52">
        <f t="shared" ref="AJ465:AR465" si="4837">AI465</f>
        <v>32</v>
      </c>
      <c r="AK465" s="52">
        <f t="shared" si="4837"/>
        <v>32</v>
      </c>
      <c r="AL465" s="52">
        <f t="shared" si="4837"/>
        <v>32</v>
      </c>
      <c r="AM465" s="52">
        <f t="shared" si="4837"/>
        <v>32</v>
      </c>
      <c r="AN465" s="52">
        <f t="shared" si="4837"/>
        <v>32</v>
      </c>
      <c r="AO465" s="52">
        <f t="shared" si="4837"/>
        <v>32</v>
      </c>
      <c r="AP465" s="52">
        <f t="shared" si="4837"/>
        <v>32</v>
      </c>
      <c r="AQ465" s="52">
        <f t="shared" si="4837"/>
        <v>32</v>
      </c>
      <c r="AR465" s="52">
        <f t="shared" si="4837"/>
        <v>32</v>
      </c>
      <c r="AT465" s="19">
        <f t="shared" ref="AT465:AT468" si="4838">C465+D465</f>
        <v>0</v>
      </c>
      <c r="AU465" s="19">
        <f t="shared" ref="AU465:AU468" si="4839">E465+F465</f>
        <v>0</v>
      </c>
      <c r="AV465" s="19">
        <f t="shared" ref="AV465:AV468" si="4840">G465+H465</f>
        <v>0</v>
      </c>
      <c r="AW465" s="19">
        <f t="shared" ref="AW465:AW468" si="4841">I465+J465</f>
        <v>0</v>
      </c>
      <c r="AX465" s="19">
        <f t="shared" ref="AX465:AX468" si="4842">K465+L465</f>
        <v>0</v>
      </c>
      <c r="AY465" s="19">
        <f t="shared" ref="AY465:AY468" si="4843">M465+N465</f>
        <v>0</v>
      </c>
      <c r="AZ465" s="19">
        <f t="shared" ref="AZ465:AZ468" si="4844">O465+P465</f>
        <v>0</v>
      </c>
      <c r="BA465" s="19">
        <f t="shared" ref="BA465:BA468" si="4845">Q465+R465</f>
        <v>0</v>
      </c>
      <c r="BB465" s="19">
        <f t="shared" ref="BB465:BB468" si="4846">S465+T465</f>
        <v>0</v>
      </c>
      <c r="BC465" s="19">
        <f t="shared" ref="BC465:BC468" si="4847">U465+V465</f>
        <v>2102</v>
      </c>
      <c r="BD465" s="19">
        <f t="shared" ref="BD465:BD468" si="4848">W465+X465</f>
        <v>1</v>
      </c>
      <c r="BE465" s="19">
        <f t="shared" ref="BE465:BE468" si="4849">Y465+Z465</f>
        <v>219</v>
      </c>
      <c r="BF465" s="19">
        <f t="shared" ref="BF465:BF468" si="4850">AA465+AB465</f>
        <v>68</v>
      </c>
      <c r="BG465" s="19">
        <f t="shared" ref="BG465:BG468" si="4851">AC465+AD465</f>
        <v>63</v>
      </c>
      <c r="BH465" s="19">
        <f t="shared" ref="BH465:BH468" si="4852">AE465+AF465</f>
        <v>78</v>
      </c>
      <c r="BI465" s="20">
        <f t="shared" ref="BI465:BI468" si="4853">AG465+AH465</f>
        <v>7</v>
      </c>
      <c r="BJ465" s="19">
        <f t="shared" ref="BJ465:BJ467" si="4854">AI465+AJ465</f>
        <v>64</v>
      </c>
      <c r="BK465" s="19">
        <f t="shared" ref="BK465:BK467" si="4855">AK465+AL465</f>
        <v>64</v>
      </c>
      <c r="BL465" s="19">
        <f t="shared" ref="BL465:BL467" si="4856">AM465+AN465</f>
        <v>64</v>
      </c>
      <c r="BM465" s="19">
        <f t="shared" ref="BM465:BM467" si="4857">AO465+AP465</f>
        <v>64</v>
      </c>
      <c r="BN465" s="19">
        <f t="shared" ref="BN465:BN467" si="4858">AQ465+AR465</f>
        <v>64</v>
      </c>
    </row>
    <row r="466" spans="1:66" ht="12" customHeight="1" outlineLevel="1">
      <c r="A466" s="91" t="s">
        <v>1860</v>
      </c>
      <c r="B466" s="1" t="s">
        <v>1838</v>
      </c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>
        <f t="shared" ref="U466:AH466" si="4859">U25-U93-U679-U171-U247-U323</f>
        <v>0</v>
      </c>
      <c r="V466" s="25">
        <f t="shared" si="4859"/>
        <v>0</v>
      </c>
      <c r="W466" s="25">
        <f t="shared" si="4859"/>
        <v>0</v>
      </c>
      <c r="X466" s="25">
        <f t="shared" si="4859"/>
        <v>0</v>
      </c>
      <c r="Y466" s="25">
        <f t="shared" si="4859"/>
        <v>0</v>
      </c>
      <c r="Z466" s="25">
        <f t="shared" si="4859"/>
        <v>0</v>
      </c>
      <c r="AA466" s="25">
        <f t="shared" si="4859"/>
        <v>0</v>
      </c>
      <c r="AB466" s="25">
        <f t="shared" si="4859"/>
        <v>0</v>
      </c>
      <c r="AC466" s="25">
        <f t="shared" si="4859"/>
        <v>0</v>
      </c>
      <c r="AD466" s="25">
        <f t="shared" si="4859"/>
        <v>0</v>
      </c>
      <c r="AE466" s="25">
        <f t="shared" si="4859"/>
        <v>0</v>
      </c>
      <c r="AF466" s="25">
        <f t="shared" si="4859"/>
        <v>0</v>
      </c>
      <c r="AG466" s="25">
        <f t="shared" si="4859"/>
        <v>0</v>
      </c>
      <c r="AH466" s="25">
        <f t="shared" si="4859"/>
        <v>0</v>
      </c>
      <c r="AI466" s="26">
        <f t="shared" ref="AI466" si="4860">AI25-AI93-AI679-AI171-AI247-AI323</f>
        <v>-294</v>
      </c>
      <c r="AJ466" s="52">
        <f>AI466*0.3</f>
        <v>-88.2</v>
      </c>
      <c r="AK466" s="52">
        <f>AJ466*0.9</f>
        <v>-79.38000000000001</v>
      </c>
      <c r="AL466" s="52">
        <f t="shared" ref="AL466" si="4861">AK466*0.95</f>
        <v>-75.411000000000001</v>
      </c>
      <c r="AM466" s="52">
        <f t="shared" ref="AM466" si="4862">AL466*0.95</f>
        <v>-71.640450000000001</v>
      </c>
      <c r="AN466" s="52">
        <f t="shared" ref="AN466" si="4863">AM466*0.95</f>
        <v>-68.058427499999993</v>
      </c>
      <c r="AO466" s="52">
        <f t="shared" ref="AO466" si="4864">AN466*0.95</f>
        <v>-64.655506124999988</v>
      </c>
      <c r="AP466" s="52">
        <f t="shared" ref="AP466:AR466" si="4865">AO466*0.95</f>
        <v>-61.422730818749983</v>
      </c>
      <c r="AQ466" s="52">
        <f t="shared" si="4865"/>
        <v>-58.351594277812481</v>
      </c>
      <c r="AR466" s="52">
        <f t="shared" si="4865"/>
        <v>-55.434014563921856</v>
      </c>
      <c r="AT466" s="19">
        <f t="shared" si="4838"/>
        <v>0</v>
      </c>
      <c r="AU466" s="19">
        <f t="shared" si="4839"/>
        <v>0</v>
      </c>
      <c r="AV466" s="19">
        <f t="shared" si="4840"/>
        <v>0</v>
      </c>
      <c r="AW466" s="19">
        <f t="shared" si="4841"/>
        <v>0</v>
      </c>
      <c r="AX466" s="19">
        <f t="shared" si="4842"/>
        <v>0</v>
      </c>
      <c r="AY466" s="19">
        <f t="shared" si="4843"/>
        <v>0</v>
      </c>
      <c r="AZ466" s="19">
        <f t="shared" si="4844"/>
        <v>0</v>
      </c>
      <c r="BA466" s="19">
        <f t="shared" si="4845"/>
        <v>0</v>
      </c>
      <c r="BB466" s="19">
        <f t="shared" si="4846"/>
        <v>0</v>
      </c>
      <c r="BC466" s="19">
        <f t="shared" si="4847"/>
        <v>0</v>
      </c>
      <c r="BD466" s="19">
        <f t="shared" si="4848"/>
        <v>0</v>
      </c>
      <c r="BE466" s="19">
        <f t="shared" si="4849"/>
        <v>0</v>
      </c>
      <c r="BF466" s="19">
        <f t="shared" si="4850"/>
        <v>0</v>
      </c>
      <c r="BG466" s="19">
        <f t="shared" si="4851"/>
        <v>0</v>
      </c>
      <c r="BH466" s="19">
        <f t="shared" si="4852"/>
        <v>0</v>
      </c>
      <c r="BI466" s="20">
        <f t="shared" si="4853"/>
        <v>0</v>
      </c>
      <c r="BJ466" s="19">
        <f t="shared" si="4854"/>
        <v>-382.2</v>
      </c>
      <c r="BK466" s="19">
        <f t="shared" si="4855"/>
        <v>-154.791</v>
      </c>
      <c r="BL466" s="19">
        <f t="shared" si="4856"/>
        <v>-139.69887749999998</v>
      </c>
      <c r="BM466" s="19">
        <f t="shared" si="4857"/>
        <v>-126.07823694374997</v>
      </c>
      <c r="BN466" s="19">
        <f t="shared" si="4858"/>
        <v>-113.78560884173433</v>
      </c>
    </row>
    <row r="467" spans="1:66" ht="12" customHeight="1" outlineLevel="1">
      <c r="A467" s="91" t="s">
        <v>1861</v>
      </c>
      <c r="B467" s="1" t="s">
        <v>1839</v>
      </c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>
        <f t="shared" ref="U467:AH467" si="4866">U26-U94-U680-U172-U248-U324</f>
        <v>461</v>
      </c>
      <c r="V467" s="25">
        <f t="shared" si="4866"/>
        <v>489</v>
      </c>
      <c r="W467" s="25">
        <f t="shared" si="4866"/>
        <v>1</v>
      </c>
      <c r="X467" s="25">
        <f t="shared" si="4866"/>
        <v>4</v>
      </c>
      <c r="Y467" s="25">
        <f t="shared" si="4866"/>
        <v>1</v>
      </c>
      <c r="Z467" s="25">
        <f t="shared" si="4866"/>
        <v>3</v>
      </c>
      <c r="AA467" s="25">
        <f t="shared" si="4866"/>
        <v>0</v>
      </c>
      <c r="AB467" s="25">
        <f t="shared" si="4866"/>
        <v>0</v>
      </c>
      <c r="AC467" s="25">
        <f t="shared" si="4866"/>
        <v>0</v>
      </c>
      <c r="AD467" s="25">
        <f t="shared" si="4866"/>
        <v>0</v>
      </c>
      <c r="AE467" s="25">
        <f t="shared" si="4866"/>
        <v>0</v>
      </c>
      <c r="AF467" s="25">
        <f t="shared" si="4866"/>
        <v>0</v>
      </c>
      <c r="AG467" s="25">
        <f t="shared" si="4866"/>
        <v>0</v>
      </c>
      <c r="AH467" s="25">
        <f t="shared" si="4866"/>
        <v>0</v>
      </c>
      <c r="AI467" s="26">
        <f t="shared" ref="AI467" si="4867">AI26-AI94-AI680-AI172-AI248-AI324</f>
        <v>0</v>
      </c>
      <c r="AJ467" s="52">
        <v>0</v>
      </c>
      <c r="AK467" s="52">
        <v>0</v>
      </c>
      <c r="AL467" s="52">
        <v>0</v>
      </c>
      <c r="AM467" s="52">
        <v>0</v>
      </c>
      <c r="AN467" s="52">
        <v>0</v>
      </c>
      <c r="AO467" s="52">
        <v>0</v>
      </c>
      <c r="AP467" s="52">
        <v>0</v>
      </c>
      <c r="AQ467" s="52">
        <v>0</v>
      </c>
      <c r="AR467" s="52">
        <v>0</v>
      </c>
      <c r="AT467" s="19">
        <f t="shared" si="4838"/>
        <v>0</v>
      </c>
      <c r="AU467" s="19">
        <f t="shared" si="4839"/>
        <v>0</v>
      </c>
      <c r="AV467" s="19">
        <f t="shared" si="4840"/>
        <v>0</v>
      </c>
      <c r="AW467" s="19">
        <f t="shared" si="4841"/>
        <v>0</v>
      </c>
      <c r="AX467" s="19">
        <f t="shared" si="4842"/>
        <v>0</v>
      </c>
      <c r="AY467" s="19">
        <f t="shared" si="4843"/>
        <v>0</v>
      </c>
      <c r="AZ467" s="19">
        <f t="shared" si="4844"/>
        <v>0</v>
      </c>
      <c r="BA467" s="19">
        <f t="shared" si="4845"/>
        <v>0</v>
      </c>
      <c r="BB467" s="19">
        <f t="shared" si="4846"/>
        <v>0</v>
      </c>
      <c r="BC467" s="19">
        <f t="shared" si="4847"/>
        <v>950</v>
      </c>
      <c r="BD467" s="19">
        <f t="shared" si="4848"/>
        <v>5</v>
      </c>
      <c r="BE467" s="19">
        <f t="shared" si="4849"/>
        <v>4</v>
      </c>
      <c r="BF467" s="19">
        <f t="shared" si="4850"/>
        <v>0</v>
      </c>
      <c r="BG467" s="19">
        <f t="shared" si="4851"/>
        <v>0</v>
      </c>
      <c r="BH467" s="19">
        <f t="shared" si="4852"/>
        <v>0</v>
      </c>
      <c r="BI467" s="20">
        <f t="shared" si="4853"/>
        <v>0</v>
      </c>
      <c r="BJ467" s="19">
        <f t="shared" si="4854"/>
        <v>0</v>
      </c>
      <c r="BK467" s="19">
        <f t="shared" si="4855"/>
        <v>0</v>
      </c>
      <c r="BL467" s="19">
        <f t="shared" si="4856"/>
        <v>0</v>
      </c>
      <c r="BM467" s="19">
        <f t="shared" si="4857"/>
        <v>0</v>
      </c>
      <c r="BN467" s="19">
        <f t="shared" si="4858"/>
        <v>0</v>
      </c>
    </row>
    <row r="468" spans="1:66" ht="12" customHeight="1" outlineLevel="1">
      <c r="A468" s="91" t="s">
        <v>1276</v>
      </c>
      <c r="B468" s="1" t="s">
        <v>10</v>
      </c>
      <c r="C468" s="25">
        <f t="shared" ref="C468:T468" si="4868">C27-C95-C681-C173-C249-C325</f>
        <v>44</v>
      </c>
      <c r="D468" s="25">
        <f t="shared" si="4868"/>
        <v>-120</v>
      </c>
      <c r="E468" s="25">
        <f t="shared" si="4868"/>
        <v>127</v>
      </c>
      <c r="F468" s="25">
        <f t="shared" si="4868"/>
        <v>-41</v>
      </c>
      <c r="G468" s="25">
        <f t="shared" si="4868"/>
        <v>73</v>
      </c>
      <c r="H468" s="25">
        <f t="shared" si="4868"/>
        <v>135</v>
      </c>
      <c r="I468" s="25">
        <f t="shared" si="4868"/>
        <v>-41</v>
      </c>
      <c r="J468" s="25">
        <f t="shared" si="4868"/>
        <v>68</v>
      </c>
      <c r="K468" s="25">
        <f t="shared" si="4868"/>
        <v>-2</v>
      </c>
      <c r="L468" s="25">
        <f t="shared" si="4868"/>
        <v>202</v>
      </c>
      <c r="M468" s="25">
        <f t="shared" si="4868"/>
        <v>17</v>
      </c>
      <c r="N468" s="25">
        <f t="shared" si="4868"/>
        <v>-78</v>
      </c>
      <c r="O468" s="25">
        <f t="shared" si="4868"/>
        <v>-17</v>
      </c>
      <c r="P468" s="25">
        <f t="shared" si="4868"/>
        <v>-66</v>
      </c>
      <c r="Q468" s="25">
        <f t="shared" si="4868"/>
        <v>-1254</v>
      </c>
      <c r="R468" s="25">
        <f t="shared" si="4868"/>
        <v>-958</v>
      </c>
      <c r="S468" s="25">
        <f t="shared" si="4868"/>
        <v>-978</v>
      </c>
      <c r="T468" s="25">
        <f t="shared" si="4868"/>
        <v>-1135</v>
      </c>
      <c r="U468" s="25">
        <f t="shared" ref="U468:AH468" si="4869">U27-U95-U681-U173-U249-U325</f>
        <v>-1023</v>
      </c>
      <c r="V468" s="25">
        <f t="shared" si="4869"/>
        <v>-2111</v>
      </c>
      <c r="W468" s="25">
        <f t="shared" si="4869"/>
        <v>-47</v>
      </c>
      <c r="X468" s="25">
        <f t="shared" si="4869"/>
        <v>-120</v>
      </c>
      <c r="Y468" s="25">
        <f t="shared" si="4869"/>
        <v>-59</v>
      </c>
      <c r="Z468" s="25">
        <f t="shared" si="4869"/>
        <v>-143</v>
      </c>
      <c r="AA468" s="25">
        <f t="shared" si="4869"/>
        <v>-18</v>
      </c>
      <c r="AB468" s="25">
        <f t="shared" si="4869"/>
        <v>-18</v>
      </c>
      <c r="AC468" s="25">
        <f t="shared" si="4869"/>
        <v>-59</v>
      </c>
      <c r="AD468" s="25">
        <f t="shared" si="4869"/>
        <v>43</v>
      </c>
      <c r="AE468" s="25">
        <f t="shared" si="4869"/>
        <v>-22</v>
      </c>
      <c r="AF468" s="25">
        <f t="shared" si="4869"/>
        <v>-62</v>
      </c>
      <c r="AG468" s="25">
        <f t="shared" si="4869"/>
        <v>166</v>
      </c>
      <c r="AH468" s="25">
        <f t="shared" si="4869"/>
        <v>-1</v>
      </c>
      <c r="AI468" s="26">
        <f>AI27-AI95-AI681-AI173-AI249-AI325</f>
        <v>-63</v>
      </c>
      <c r="AJ468" s="52">
        <f t="shared" ref="AJ468" si="4870">AI468</f>
        <v>-63</v>
      </c>
      <c r="AK468" s="52">
        <f t="shared" ref="AK468" si="4871">AJ468</f>
        <v>-63</v>
      </c>
      <c r="AL468" s="52">
        <f t="shared" ref="AL468" si="4872">AK468</f>
        <v>-63</v>
      </c>
      <c r="AM468" s="52">
        <f t="shared" ref="AM468" si="4873">AL468</f>
        <v>-63</v>
      </c>
      <c r="AN468" s="52">
        <f t="shared" ref="AN468" si="4874">AM468</f>
        <v>-63</v>
      </c>
      <c r="AO468" s="52">
        <f t="shared" ref="AO468" si="4875">AN468</f>
        <v>-63</v>
      </c>
      <c r="AP468" s="52">
        <f t="shared" ref="AP468" si="4876">AO468</f>
        <v>-63</v>
      </c>
      <c r="AQ468" s="52">
        <f t="shared" ref="AQ468" si="4877">AP468</f>
        <v>-63</v>
      </c>
      <c r="AR468" s="52">
        <f t="shared" ref="AR468" si="4878">AQ468</f>
        <v>-63</v>
      </c>
      <c r="AT468" s="19">
        <f t="shared" si="4838"/>
        <v>-76</v>
      </c>
      <c r="AU468" s="19">
        <f t="shared" si="4839"/>
        <v>86</v>
      </c>
      <c r="AV468" s="19">
        <f t="shared" si="4840"/>
        <v>208</v>
      </c>
      <c r="AW468" s="19">
        <f t="shared" si="4841"/>
        <v>27</v>
      </c>
      <c r="AX468" s="19">
        <f t="shared" si="4842"/>
        <v>200</v>
      </c>
      <c r="AY468" s="19">
        <f t="shared" si="4843"/>
        <v>-61</v>
      </c>
      <c r="AZ468" s="19">
        <f t="shared" si="4844"/>
        <v>-83</v>
      </c>
      <c r="BA468" s="19">
        <f t="shared" si="4845"/>
        <v>-2212</v>
      </c>
      <c r="BB468" s="19">
        <f t="shared" si="4846"/>
        <v>-2113</v>
      </c>
      <c r="BC468" s="19">
        <f t="shared" si="4847"/>
        <v>-3134</v>
      </c>
      <c r="BD468" s="19">
        <f t="shared" si="4848"/>
        <v>-167</v>
      </c>
      <c r="BE468" s="19">
        <f t="shared" si="4849"/>
        <v>-202</v>
      </c>
      <c r="BF468" s="19">
        <f t="shared" si="4850"/>
        <v>-36</v>
      </c>
      <c r="BG468" s="19">
        <f t="shared" si="4851"/>
        <v>-16</v>
      </c>
      <c r="BH468" s="19">
        <f t="shared" si="4852"/>
        <v>-84</v>
      </c>
      <c r="BI468" s="20">
        <f t="shared" si="4853"/>
        <v>165</v>
      </c>
      <c r="BJ468" s="19">
        <f>AI468+AJ468</f>
        <v>-126</v>
      </c>
      <c r="BK468" s="19">
        <f>AK468+AL468</f>
        <v>-126</v>
      </c>
      <c r="BL468" s="19">
        <f>AM468+AN468</f>
        <v>-126</v>
      </c>
      <c r="BM468" s="19">
        <f>AO468+AP468</f>
        <v>-126</v>
      </c>
      <c r="BN468" s="19">
        <f>AQ468+AR468</f>
        <v>-126</v>
      </c>
    </row>
    <row r="469" spans="1:66" s="9" customFormat="1" ht="12" customHeight="1" outlineLevel="1">
      <c r="A469" s="91" t="s">
        <v>1277</v>
      </c>
      <c r="B469" s="9" t="s">
        <v>35</v>
      </c>
      <c r="C469" s="30">
        <f t="shared" ref="C469:H469" si="4879">C461+C462+C463+C464+C468+C453</f>
        <v>-108</v>
      </c>
      <c r="D469" s="30">
        <f t="shared" si="4879"/>
        <v>-12</v>
      </c>
      <c r="E469" s="30">
        <f t="shared" si="4879"/>
        <v>374</v>
      </c>
      <c r="F469" s="30">
        <f t="shared" si="4879"/>
        <v>-37</v>
      </c>
      <c r="G469" s="30">
        <f t="shared" si="4879"/>
        <v>4</v>
      </c>
      <c r="H469" s="30">
        <f t="shared" si="4879"/>
        <v>187</v>
      </c>
      <c r="I469" s="30">
        <f t="shared" ref="I469:M469" si="4880">I461+I462+I463+I464+I468+I453</f>
        <v>29</v>
      </c>
      <c r="J469" s="30">
        <f t="shared" si="4880"/>
        <v>140</v>
      </c>
      <c r="K469" s="30">
        <f t="shared" si="4880"/>
        <v>66</v>
      </c>
      <c r="L469" s="30">
        <f t="shared" si="4880"/>
        <v>247</v>
      </c>
      <c r="M469" s="30">
        <f t="shared" si="4880"/>
        <v>111</v>
      </c>
      <c r="N469" s="30">
        <f t="shared" ref="N469:O469" si="4881">N461+N462+N463+N464+N468+N453</f>
        <v>-7</v>
      </c>
      <c r="O469" s="30">
        <f t="shared" si="4881"/>
        <v>5</v>
      </c>
      <c r="P469" s="30">
        <f t="shared" ref="P469:Q469" si="4882">P461+P462+P463+P464+P468+P453</f>
        <v>163</v>
      </c>
      <c r="Q469" s="30">
        <f t="shared" si="4882"/>
        <v>-1299</v>
      </c>
      <c r="R469" s="30">
        <f t="shared" ref="R469:S469" si="4883">R461+R462+R463+R464+R468+R453</f>
        <v>-916</v>
      </c>
      <c r="S469" s="30">
        <f t="shared" si="4883"/>
        <v>-904</v>
      </c>
      <c r="T469" s="30">
        <f t="shared" ref="T469" si="4884">T461+T462+T463+T464+T468+T453</f>
        <v>-1069</v>
      </c>
      <c r="U469" s="30">
        <f t="shared" ref="U469" si="4885">U461+U462+U463+U464+U468+U453+U465+U466+U467</f>
        <v>71</v>
      </c>
      <c r="V469" s="30">
        <f t="shared" ref="V469" si="4886">V461+V462+V463+V464+V468+V453+V465+V466+V467</f>
        <v>-15</v>
      </c>
      <c r="W469" s="30">
        <f t="shared" ref="W469" si="4887">W461+W462+W463+W464+W468+W453+W465+W466+W467</f>
        <v>129</v>
      </c>
      <c r="X469" s="30">
        <f t="shared" ref="X469" si="4888">X461+X462+X463+X464+X468+X453+X465+X466+X467</f>
        <v>76</v>
      </c>
      <c r="Y469" s="30">
        <f t="shared" ref="Y469" si="4889">Y461+Y462+Y463+Y464+Y468+Y453+Y465+Y466+Y467</f>
        <v>1</v>
      </c>
      <c r="Z469" s="30">
        <f t="shared" ref="Z469" si="4890">Z461+Z462+Z463+Z464+Z468+Z453+Z465+Z466+Z467</f>
        <v>215</v>
      </c>
      <c r="AA469" s="30">
        <f t="shared" ref="AA469" si="4891">AA461+AA462+AA463+AA464+AA468+AA453+AA465+AA466+AA467</f>
        <v>128</v>
      </c>
      <c r="AB469" s="30">
        <f t="shared" ref="AB469" si="4892">AB461+AB462+AB463+AB464+AB468+AB453+AB465+AB466+AB467</f>
        <v>-141</v>
      </c>
      <c r="AC469" s="30">
        <f t="shared" ref="AC469" si="4893">AC461+AC462+AC463+AC464+AC468+AC453+AC465+AC466+AC467</f>
        <v>70</v>
      </c>
      <c r="AD469" s="30">
        <f t="shared" ref="AD469" si="4894">AD461+AD462+AD463+AD464+AD468+AD453+AD465+AD466+AD467</f>
        <v>196</v>
      </c>
      <c r="AE469" s="30">
        <f t="shared" ref="AE469:AF469" si="4895">AE461+AE462+AE463+AE464+AE468+AE453+AE465+AE466+AE467</f>
        <v>459</v>
      </c>
      <c r="AF469" s="30">
        <f t="shared" si="4895"/>
        <v>531</v>
      </c>
      <c r="AG469" s="30">
        <f>AG461+AG462+AG463+AG464+AG468+AG453+AG465+AG466+AG467</f>
        <v>656</v>
      </c>
      <c r="AH469" s="30">
        <f>AH461+AH462+AH463+AH464+AH468+AH453+AH465+AH466+AH467</f>
        <v>441</v>
      </c>
      <c r="AI469" s="27">
        <f>AI461+AI462+AI463+AI464+AI468+AI453+AI465+AI466+AI467</f>
        <v>167</v>
      </c>
      <c r="AJ469" s="30">
        <f t="shared" ref="AJ469:AR469" si="4896">AJ461+AJ462+AJ463+AJ464+AJ468+AJ453+AJ465+AJ466+AJ467</f>
        <v>348.72880732742982</v>
      </c>
      <c r="AK469" s="30">
        <f t="shared" si="4896"/>
        <v>442.33579342003111</v>
      </c>
      <c r="AL469" s="30">
        <f t="shared" si="4896"/>
        <v>424.51647926161388</v>
      </c>
      <c r="AM469" s="30">
        <f t="shared" si="4896"/>
        <v>409.7312992237438</v>
      </c>
      <c r="AN469" s="30">
        <f t="shared" si="4896"/>
        <v>404.25457684377255</v>
      </c>
      <c r="AO469" s="30">
        <f t="shared" si="4896"/>
        <v>386.5687789075609</v>
      </c>
      <c r="AP469" s="30">
        <f t="shared" si="4896"/>
        <v>379.51286657098473</v>
      </c>
      <c r="AQ469" s="30">
        <f t="shared" si="4896"/>
        <v>372.12652178779774</v>
      </c>
      <c r="AR469" s="30">
        <f t="shared" si="4896"/>
        <v>364.87921115753744</v>
      </c>
      <c r="AT469" s="30">
        <f t="shared" ref="AT469:BH469" si="4897">AT461+AT462+AT463+AT464+AT468+AT453+AT465+AT466+AT467</f>
        <v>-120</v>
      </c>
      <c r="AU469" s="30">
        <f t="shared" si="4897"/>
        <v>337</v>
      </c>
      <c r="AV469" s="30">
        <f t="shared" si="4897"/>
        <v>191</v>
      </c>
      <c r="AW469" s="30">
        <f t="shared" si="4897"/>
        <v>169</v>
      </c>
      <c r="AX469" s="30">
        <f t="shared" si="4897"/>
        <v>313</v>
      </c>
      <c r="AY469" s="30">
        <f t="shared" si="4897"/>
        <v>104</v>
      </c>
      <c r="AZ469" s="30">
        <f t="shared" si="4897"/>
        <v>168</v>
      </c>
      <c r="BA469" s="30">
        <f t="shared" si="4897"/>
        <v>-2215</v>
      </c>
      <c r="BB469" s="30">
        <f t="shared" si="4897"/>
        <v>-1973</v>
      </c>
      <c r="BC469" s="30">
        <f t="shared" si="4897"/>
        <v>56</v>
      </c>
      <c r="BD469" s="30">
        <f t="shared" si="4897"/>
        <v>205</v>
      </c>
      <c r="BE469" s="30">
        <f t="shared" si="4897"/>
        <v>216</v>
      </c>
      <c r="BF469" s="30">
        <f t="shared" si="4897"/>
        <v>-13</v>
      </c>
      <c r="BG469" s="30">
        <f t="shared" si="4897"/>
        <v>266</v>
      </c>
      <c r="BH469" s="30">
        <f t="shared" si="4897"/>
        <v>990</v>
      </c>
      <c r="BI469" s="27">
        <f>BI461+BI462+BI463+BI464+BI468+BI453+BI465+BI466+BI467</f>
        <v>1097</v>
      </c>
      <c r="BJ469" s="30">
        <f>BJ461+BJ462+BJ463+BJ464+BJ468+BJ453+BJ465+BJ466+BJ467</f>
        <v>515.72880732742965</v>
      </c>
      <c r="BK469" s="30">
        <f t="shared" ref="BK469:BN469" si="4898">BK461+BK462+BK463+BK464+BK468+BK453+BK465+BK466+BK467</f>
        <v>866.85227268164499</v>
      </c>
      <c r="BL469" s="30">
        <f t="shared" si="4898"/>
        <v>813.98587606751619</v>
      </c>
      <c r="BM469" s="30">
        <f t="shared" si="4898"/>
        <v>766.08164547854562</v>
      </c>
      <c r="BN469" s="30">
        <f t="shared" si="4898"/>
        <v>737.00573294533524</v>
      </c>
    </row>
    <row r="470" spans="1:66" ht="12" customHeight="1" outlineLevel="1">
      <c r="A470" s="91" t="s">
        <v>1278</v>
      </c>
      <c r="B470" s="1" t="s">
        <v>14</v>
      </c>
      <c r="C470" s="25">
        <f t="shared" ref="C470:AH470" si="4899">C29-C97-C683-C175-C251-C327</f>
        <v>-777</v>
      </c>
      <c r="D470" s="25">
        <f t="shared" si="4899"/>
        <v>-696</v>
      </c>
      <c r="E470" s="25">
        <f t="shared" si="4899"/>
        <v>-942</v>
      </c>
      <c r="F470" s="25">
        <f t="shared" si="4899"/>
        <v>-918</v>
      </c>
      <c r="G470" s="25">
        <f t="shared" si="4899"/>
        <v>-791</v>
      </c>
      <c r="H470" s="25">
        <f t="shared" si="4899"/>
        <v>-1013</v>
      </c>
      <c r="I470" s="25">
        <f t="shared" si="4899"/>
        <v>-753</v>
      </c>
      <c r="J470" s="25">
        <f t="shared" si="4899"/>
        <v>-959</v>
      </c>
      <c r="K470" s="25">
        <f t="shared" si="4899"/>
        <v>-916</v>
      </c>
      <c r="L470" s="25">
        <f t="shared" si="4899"/>
        <v>-1156</v>
      </c>
      <c r="M470" s="25">
        <f t="shared" si="4899"/>
        <v>-1110</v>
      </c>
      <c r="N470" s="25">
        <f t="shared" si="4899"/>
        <v>-1269</v>
      </c>
      <c r="O470" s="25">
        <f t="shared" si="4899"/>
        <v>-1347</v>
      </c>
      <c r="P470" s="25">
        <f t="shared" si="4899"/>
        <v>-1008</v>
      </c>
      <c r="Q470" s="25">
        <f t="shared" si="4899"/>
        <v>-1334</v>
      </c>
      <c r="R470" s="25">
        <f t="shared" si="4899"/>
        <v>-1186</v>
      </c>
      <c r="S470" s="25">
        <f t="shared" si="4899"/>
        <v>-1332</v>
      </c>
      <c r="T470" s="25">
        <f t="shared" si="4899"/>
        <v>-1219</v>
      </c>
      <c r="U470" s="25">
        <f t="shared" si="4899"/>
        <v>-1422</v>
      </c>
      <c r="V470" s="25">
        <f t="shared" si="4899"/>
        <v>-1597</v>
      </c>
      <c r="W470" s="25">
        <f t="shared" si="4899"/>
        <v>-1689</v>
      </c>
      <c r="X470" s="25">
        <f t="shared" si="4899"/>
        <v>-1457</v>
      </c>
      <c r="Y470" s="25">
        <f t="shared" si="4899"/>
        <v>-1502</v>
      </c>
      <c r="Z470" s="25">
        <f t="shared" si="4899"/>
        <v>-1892</v>
      </c>
      <c r="AA470" s="25">
        <f t="shared" si="4899"/>
        <v>-1999</v>
      </c>
      <c r="AB470" s="25">
        <f t="shared" si="4899"/>
        <v>-2344</v>
      </c>
      <c r="AC470" s="25">
        <f t="shared" si="4899"/>
        <v>-2348</v>
      </c>
      <c r="AD470" s="25">
        <f t="shared" si="4899"/>
        <v>-2679</v>
      </c>
      <c r="AE470" s="25">
        <f t="shared" si="4899"/>
        <v>-2277</v>
      </c>
      <c r="AF470" s="25">
        <f t="shared" si="4899"/>
        <v>-2543</v>
      </c>
      <c r="AG470" s="25">
        <f t="shared" si="4899"/>
        <v>-2328</v>
      </c>
      <c r="AH470" s="25">
        <f t="shared" si="4899"/>
        <v>-2574</v>
      </c>
      <c r="AI470" s="26">
        <f t="shared" ref="AI470" si="4900">AI29-AI97-AI683-AI175-AI251-AI327</f>
        <v>-2590</v>
      </c>
      <c r="AJ470" s="19">
        <f>AH470*1.02</f>
        <v>-2625.48</v>
      </c>
      <c r="AK470" s="19">
        <f t="shared" ref="AK470" si="4901">(AJ470+AJ482)*AJ$5/AVERAGE(AI495:AJ495)*AVERAGE(AJ495:AK495)/AK$5-AK482</f>
        <v>-2590.6953639774656</v>
      </c>
      <c r="AL470" s="19">
        <f t="shared" ref="AL470" si="4902">(AK470+AK482)*AK$5/AVERAGE(AJ495:AK495)*AVERAGE(AK495:AL495)/AL$5-AL482</f>
        <v>-2701.718478268951</v>
      </c>
      <c r="AM470" s="19">
        <f t="shared" ref="AM470" si="4903">(AL470+AL482)*AL$5/AVERAGE(AK495:AL495)*AVERAGE(AL495:AM495)/AM$5-AM482</f>
        <v>-2696.7116848643991</v>
      </c>
      <c r="AN470" s="19">
        <f t="shared" ref="AN470" si="4904">(AM470+AM482)*AM$5/AVERAGE(AL495:AM495)*AVERAGE(AM495:AN495)/AN$5-AN482</f>
        <v>-2792.1811293844225</v>
      </c>
      <c r="AO470" s="19">
        <f t="shared" ref="AO470" si="4905">(AN470+AN482)*AN$5/AVERAGE(AM495:AN495)*AVERAGE(AN495:AO495)/AO$5-AO482</f>
        <v>-2762.4030051885234</v>
      </c>
      <c r="AP470" s="19">
        <f t="shared" ref="AP470" si="4906">(AO470+AO482)*AO$5/AVERAGE(AN495:AO495)*AVERAGE(AO495:AP495)/AP$5-AP482</f>
        <v>-2849.0826761589133</v>
      </c>
      <c r="AQ470" s="19">
        <f t="shared" ref="AQ470" si="4907">(AP470+AP482)*AP$5/AVERAGE(AO495:AP495)*AVERAGE(AP495:AQ495)/AQ$5-AQ482</f>
        <v>-2828.8866378818984</v>
      </c>
      <c r="AR470" s="19">
        <f t="shared" ref="AR470" si="4908">(AQ470+AQ482)*AQ$5/AVERAGE(AP495:AQ495)*AVERAGE(AQ495:AR495)/AR$5-AR482</f>
        <v>-2899.982237189919</v>
      </c>
      <c r="AT470" s="19">
        <f>C470+D470</f>
        <v>-1473</v>
      </c>
      <c r="AU470" s="19">
        <f>E470+F470</f>
        <v>-1860</v>
      </c>
      <c r="AV470" s="19">
        <f>G470+H470</f>
        <v>-1804</v>
      </c>
      <c r="AW470" s="19">
        <f>I470+J470</f>
        <v>-1712</v>
      </c>
      <c r="AX470" s="19">
        <f>K470+L470</f>
        <v>-2072</v>
      </c>
      <c r="AY470" s="19">
        <f>M470+N470</f>
        <v>-2379</v>
      </c>
      <c r="AZ470" s="19">
        <f>O470+P470</f>
        <v>-2355</v>
      </c>
      <c r="BA470" s="19">
        <f>Q470+R470</f>
        <v>-2520</v>
      </c>
      <c r="BB470" s="19">
        <f>S470+T470</f>
        <v>-2551</v>
      </c>
      <c r="BC470" s="19">
        <f>U470+V470</f>
        <v>-3019</v>
      </c>
      <c r="BD470" s="19">
        <f>W470+X470</f>
        <v>-3146</v>
      </c>
      <c r="BE470" s="19">
        <f>Y470+Z470</f>
        <v>-3394</v>
      </c>
      <c r="BF470" s="19">
        <f>AA470+AB470</f>
        <v>-4343</v>
      </c>
      <c r="BG470" s="19">
        <f>AC470+AD470</f>
        <v>-5027</v>
      </c>
      <c r="BH470" s="19">
        <f>AE470+AF470</f>
        <v>-4820</v>
      </c>
      <c r="BI470" s="20">
        <f>AG470+AH470</f>
        <v>-4902</v>
      </c>
      <c r="BJ470" s="19">
        <f>AI470+AJ470</f>
        <v>-5215.4799999999996</v>
      </c>
      <c r="BK470" s="19">
        <f>AK470+AL470</f>
        <v>-5292.4138422464166</v>
      </c>
      <c r="BL470" s="19">
        <f>AM470+AN470</f>
        <v>-5488.8928142488221</v>
      </c>
      <c r="BM470" s="19">
        <f>AO470+AP470</f>
        <v>-5611.4856813474362</v>
      </c>
      <c r="BN470" s="19">
        <f>AQ470+AR470</f>
        <v>-5728.8688750718175</v>
      </c>
    </row>
    <row r="471" spans="1:66" ht="12" customHeight="1" outlineLevel="1">
      <c r="A471" s="91" t="s">
        <v>1279</v>
      </c>
      <c r="B471" s="1" t="s">
        <v>21</v>
      </c>
      <c r="C471" s="25">
        <f t="shared" ref="C471:AH471" si="4909">C30-C98-C684-C176-C252-C328</f>
        <v>-22</v>
      </c>
      <c r="D471" s="25">
        <f t="shared" si="4909"/>
        <v>-39</v>
      </c>
      <c r="E471" s="25">
        <f t="shared" si="4909"/>
        <v>-98</v>
      </c>
      <c r="F471" s="25">
        <f t="shared" si="4909"/>
        <v>19</v>
      </c>
      <c r="G471" s="25">
        <f t="shared" si="4909"/>
        <v>-1</v>
      </c>
      <c r="H471" s="25">
        <f t="shared" si="4909"/>
        <v>-4</v>
      </c>
      <c r="I471" s="25">
        <f t="shared" si="4909"/>
        <v>-6</v>
      </c>
      <c r="J471" s="25">
        <f t="shared" si="4909"/>
        <v>-3</v>
      </c>
      <c r="K471" s="25">
        <f t="shared" si="4909"/>
        <v>-3</v>
      </c>
      <c r="L471" s="25">
        <f t="shared" si="4909"/>
        <v>-5</v>
      </c>
      <c r="M471" s="25">
        <f t="shared" si="4909"/>
        <v>-3</v>
      </c>
      <c r="N471" s="25">
        <f t="shared" si="4909"/>
        <v>-4</v>
      </c>
      <c r="O471" s="25">
        <f t="shared" si="4909"/>
        <v>-5</v>
      </c>
      <c r="P471" s="25">
        <f t="shared" si="4909"/>
        <v>-4</v>
      </c>
      <c r="Q471" s="25">
        <f t="shared" si="4909"/>
        <v>-3</v>
      </c>
      <c r="R471" s="25">
        <f t="shared" si="4909"/>
        <v>-1</v>
      </c>
      <c r="S471" s="25">
        <f t="shared" si="4909"/>
        <v>-1</v>
      </c>
      <c r="T471" s="25">
        <f t="shared" si="4909"/>
        <v>1</v>
      </c>
      <c r="U471" s="25">
        <f t="shared" si="4909"/>
        <v>0</v>
      </c>
      <c r="V471" s="25">
        <f t="shared" si="4909"/>
        <v>0</v>
      </c>
      <c r="W471" s="25">
        <f t="shared" si="4909"/>
        <v>0</v>
      </c>
      <c r="X471" s="25">
        <f t="shared" si="4909"/>
        <v>0</v>
      </c>
      <c r="Y471" s="25">
        <f t="shared" si="4909"/>
        <v>-1</v>
      </c>
      <c r="Z471" s="25">
        <f t="shared" si="4909"/>
        <v>-1</v>
      </c>
      <c r="AA471" s="25">
        <f t="shared" si="4909"/>
        <v>0</v>
      </c>
      <c r="AB471" s="25">
        <f t="shared" si="4909"/>
        <v>-1</v>
      </c>
      <c r="AC471" s="25">
        <f t="shared" si="4909"/>
        <v>-2</v>
      </c>
      <c r="AD471" s="25">
        <f t="shared" si="4909"/>
        <v>0</v>
      </c>
      <c r="AE471" s="25">
        <f t="shared" si="4909"/>
        <v>-1</v>
      </c>
      <c r="AF471" s="25">
        <f t="shared" si="4909"/>
        <v>-1</v>
      </c>
      <c r="AG471" s="25">
        <f t="shared" si="4909"/>
        <v>-2</v>
      </c>
      <c r="AH471" s="25">
        <f t="shared" si="4909"/>
        <v>-1</v>
      </c>
      <c r="AI471" s="26">
        <f t="shared" ref="AI471" si="4910">AI30-AI98-AI684-AI176-AI252-AI328</f>
        <v>-1</v>
      </c>
      <c r="AJ471" s="52">
        <f t="shared" ref="AJ471" si="4911">AI471</f>
        <v>-1</v>
      </c>
      <c r="AK471" s="52">
        <f t="shared" ref="AK471" si="4912">AJ471</f>
        <v>-1</v>
      </c>
      <c r="AL471" s="52">
        <f t="shared" ref="AL471" si="4913">AK471</f>
        <v>-1</v>
      </c>
      <c r="AM471" s="52">
        <f t="shared" ref="AM471" si="4914">AL471</f>
        <v>-1</v>
      </c>
      <c r="AN471" s="52">
        <f t="shared" ref="AN471" si="4915">AM471</f>
        <v>-1</v>
      </c>
      <c r="AO471" s="52">
        <f t="shared" ref="AO471" si="4916">AN471</f>
        <v>-1</v>
      </c>
      <c r="AP471" s="52">
        <f t="shared" ref="AP471" si="4917">AO471</f>
        <v>-1</v>
      </c>
      <c r="AQ471" s="52">
        <f t="shared" ref="AQ471" si="4918">AP471</f>
        <v>-1</v>
      </c>
      <c r="AR471" s="52">
        <f t="shared" ref="AR471" si="4919">AQ471</f>
        <v>-1</v>
      </c>
      <c r="AT471" s="19">
        <f>C471+D471</f>
        <v>-61</v>
      </c>
      <c r="AU471" s="19">
        <f>E471+F471</f>
        <v>-79</v>
      </c>
      <c r="AV471" s="19">
        <f>G471+H471</f>
        <v>-5</v>
      </c>
      <c r="AW471" s="19">
        <f>I471+J471</f>
        <v>-9</v>
      </c>
      <c r="AX471" s="19">
        <f>K471+L471</f>
        <v>-8</v>
      </c>
      <c r="AY471" s="19">
        <f>M471+N471</f>
        <v>-7</v>
      </c>
      <c r="AZ471" s="19">
        <f>O471+P471</f>
        <v>-9</v>
      </c>
      <c r="BA471" s="19">
        <f>Q471+R471</f>
        <v>-4</v>
      </c>
      <c r="BB471" s="19">
        <f>S471+T471</f>
        <v>0</v>
      </c>
      <c r="BC471" s="19">
        <f>U471+V471</f>
        <v>0</v>
      </c>
      <c r="BD471" s="19">
        <f>W471+X471</f>
        <v>0</v>
      </c>
      <c r="BE471" s="19">
        <f>Y471+Z471</f>
        <v>-2</v>
      </c>
      <c r="BF471" s="19">
        <f>AA471+AB471</f>
        <v>-1</v>
      </c>
      <c r="BG471" s="19">
        <f>AC471+AD471</f>
        <v>-2</v>
      </c>
      <c r="BH471" s="19">
        <f>AE471+AF471</f>
        <v>-2</v>
      </c>
      <c r="BI471" s="20">
        <f>AG471+AH471</f>
        <v>-3</v>
      </c>
      <c r="BJ471" s="19">
        <f>AI471+AJ471</f>
        <v>-2</v>
      </c>
      <c r="BK471" s="19">
        <f>AK471+AL471</f>
        <v>-2</v>
      </c>
      <c r="BL471" s="19">
        <f>AM471+AN471</f>
        <v>-2</v>
      </c>
      <c r="BM471" s="19">
        <f>AO471+AP471</f>
        <v>-2</v>
      </c>
      <c r="BN471" s="19">
        <f>AQ471+AR471</f>
        <v>-2</v>
      </c>
    </row>
    <row r="472" spans="1:66" ht="12" customHeight="1" outlineLevel="1">
      <c r="A472" s="91" t="s">
        <v>1280</v>
      </c>
      <c r="B472" s="1" t="s">
        <v>11</v>
      </c>
      <c r="C472" s="25">
        <f t="shared" ref="C472:AH472" si="4920">C31-C99-C685-C177-C253-C329</f>
        <v>116</v>
      </c>
      <c r="D472" s="25">
        <f t="shared" si="4920"/>
        <v>132</v>
      </c>
      <c r="E472" s="25">
        <f t="shared" si="4920"/>
        <v>254</v>
      </c>
      <c r="F472" s="25">
        <f t="shared" si="4920"/>
        <v>307</v>
      </c>
      <c r="G472" s="25">
        <f t="shared" si="4920"/>
        <v>321</v>
      </c>
      <c r="H472" s="25">
        <f t="shared" si="4920"/>
        <v>298</v>
      </c>
      <c r="I472" s="25">
        <f t="shared" si="4920"/>
        <v>286</v>
      </c>
      <c r="J472" s="25">
        <f t="shared" si="4920"/>
        <v>321</v>
      </c>
      <c r="K472" s="25">
        <f t="shared" si="4920"/>
        <v>293</v>
      </c>
      <c r="L472" s="25">
        <f t="shared" si="4920"/>
        <v>341</v>
      </c>
      <c r="M472" s="25">
        <f t="shared" si="4920"/>
        <v>313</v>
      </c>
      <c r="N472" s="25">
        <f t="shared" si="4920"/>
        <v>320</v>
      </c>
      <c r="O472" s="25">
        <f t="shared" si="4920"/>
        <v>341</v>
      </c>
      <c r="P472" s="25">
        <f t="shared" si="4920"/>
        <v>444</v>
      </c>
      <c r="Q472" s="25">
        <f t="shared" si="4920"/>
        <v>422</v>
      </c>
      <c r="R472" s="25">
        <f t="shared" si="4920"/>
        <v>366</v>
      </c>
      <c r="S472" s="25">
        <f t="shared" si="4920"/>
        <v>364</v>
      </c>
      <c r="T472" s="25">
        <f t="shared" si="4920"/>
        <v>385</v>
      </c>
      <c r="U472" s="25">
        <f t="shared" si="4920"/>
        <v>443</v>
      </c>
      <c r="V472" s="25">
        <f t="shared" si="4920"/>
        <v>251</v>
      </c>
      <c r="W472" s="25">
        <f t="shared" si="4920"/>
        <v>531</v>
      </c>
      <c r="X472" s="25">
        <f t="shared" si="4920"/>
        <v>432</v>
      </c>
      <c r="Y472" s="25">
        <f t="shared" si="4920"/>
        <v>490</v>
      </c>
      <c r="Z472" s="25">
        <f t="shared" si="4920"/>
        <v>511</v>
      </c>
      <c r="AA472" s="25">
        <f t="shared" si="4920"/>
        <v>533</v>
      </c>
      <c r="AB472" s="25">
        <f t="shared" si="4920"/>
        <v>655</v>
      </c>
      <c r="AC472" s="25">
        <f t="shared" si="4920"/>
        <v>748</v>
      </c>
      <c r="AD472" s="25">
        <f t="shared" si="4920"/>
        <v>671</v>
      </c>
      <c r="AE472" s="25">
        <f t="shared" si="4920"/>
        <v>963</v>
      </c>
      <c r="AF472" s="25">
        <f t="shared" si="4920"/>
        <v>971</v>
      </c>
      <c r="AG472" s="25">
        <f t="shared" si="4920"/>
        <v>954</v>
      </c>
      <c r="AH472" s="25">
        <f t="shared" si="4920"/>
        <v>1036</v>
      </c>
      <c r="AI472" s="26">
        <f t="shared" ref="AI472" si="4921">AI31-AI99-AI685-AI177-AI253-AI329</f>
        <v>1059</v>
      </c>
      <c r="AJ472" s="19">
        <f>(SUM(AI$29:AI$31)*1.02)-SUM(AJ$97:AJ$99,AJ$175:AJ$177,AJ$251:AJ$253,AJ$327:AJ$329)-SUM(AJ$470:AJ$471)</f>
        <v>873.6267500796389</v>
      </c>
      <c r="AK472" s="19">
        <f>(SUM(AI$29:AI$31,348)*1.0325)-SUM(AK$97:AK$99,AK$175:AK$177,AK$251:AK$253,AK$327:AK$329)-SUM(AK$470:AK$471)</f>
        <v>1093.7509980063387</v>
      </c>
      <c r="AL472" s="19">
        <f>(SUM(AJ$29:AJ$31,174)*1.0325)-SUM(AL$97:AL$99,AL$175:AL$177,AL$251:AL$253,AL$327:AL$329)-SUM(AL$470:AL$471)</f>
        <v>929.52392999848053</v>
      </c>
      <c r="AM472" s="19">
        <f t="shared" ref="AM472:AR472" si="4922">(SUM(AK$29:AK$31)*1.0325)-SUM(AM$97:AM$99,AM$175:AM$177,AM$251:AM$253,AM$327:AM$329)-SUM(AM$470:AM$471)</f>
        <v>1143.6689077753863</v>
      </c>
      <c r="AN472" s="19">
        <f t="shared" si="4922"/>
        <v>955.9546295431569</v>
      </c>
      <c r="AO472" s="19">
        <f t="shared" si="4922"/>
        <v>1125.9998362057518</v>
      </c>
      <c r="AP472" s="19">
        <f t="shared" si="4922"/>
        <v>883.92465174774861</v>
      </c>
      <c r="AQ472" s="19">
        <f t="shared" si="4922"/>
        <v>1072.7342914330175</v>
      </c>
      <c r="AR472" s="19">
        <f t="shared" si="4922"/>
        <v>798.83617690257415</v>
      </c>
      <c r="AT472" s="19">
        <f>C472+D472</f>
        <v>248</v>
      </c>
      <c r="AU472" s="19">
        <f>E472+F472</f>
        <v>561</v>
      </c>
      <c r="AV472" s="19">
        <f>G472+H472</f>
        <v>619</v>
      </c>
      <c r="AW472" s="19">
        <f>I472+J472</f>
        <v>607</v>
      </c>
      <c r="AX472" s="19">
        <f>K472+L472</f>
        <v>634</v>
      </c>
      <c r="AY472" s="19">
        <f>M472+N472</f>
        <v>633</v>
      </c>
      <c r="AZ472" s="19">
        <f>O472+P472</f>
        <v>785</v>
      </c>
      <c r="BA472" s="19">
        <f>Q472+R472</f>
        <v>788</v>
      </c>
      <c r="BB472" s="19">
        <f>S472+T472</f>
        <v>749</v>
      </c>
      <c r="BC472" s="19">
        <f>U472+V472</f>
        <v>694</v>
      </c>
      <c r="BD472" s="19">
        <f>W472+X472</f>
        <v>963</v>
      </c>
      <c r="BE472" s="19">
        <f>Y472+Z472</f>
        <v>1001</v>
      </c>
      <c r="BF472" s="19">
        <f>AA472+AB472</f>
        <v>1188</v>
      </c>
      <c r="BG472" s="19">
        <f>AC472+AD472</f>
        <v>1419</v>
      </c>
      <c r="BH472" s="19">
        <f>AE472+AF472</f>
        <v>1934</v>
      </c>
      <c r="BI472" s="20">
        <f>AG472+AH472</f>
        <v>1990</v>
      </c>
      <c r="BJ472" s="19">
        <f>AI472+AJ472</f>
        <v>1932.6267500796389</v>
      </c>
      <c r="BK472" s="19">
        <f>AK472+AL472</f>
        <v>2023.2749280048192</v>
      </c>
      <c r="BL472" s="19">
        <f>AM472+AN472</f>
        <v>2099.6235373185432</v>
      </c>
      <c r="BM472" s="19">
        <f>AO472+AP472</f>
        <v>2009.9244879535004</v>
      </c>
      <c r="BN472" s="19">
        <f>AQ472+AR472</f>
        <v>1871.5704683355916</v>
      </c>
    </row>
    <row r="473" spans="1:66" s="9" customFormat="1" ht="12" customHeight="1" outlineLevel="1">
      <c r="A473" s="91" t="s">
        <v>1281</v>
      </c>
      <c r="B473" s="9" t="s">
        <v>52</v>
      </c>
      <c r="C473" s="17">
        <f t="shared" ref="C473:H473" si="4923">C469+C470+C471+C472</f>
        <v>-791</v>
      </c>
      <c r="D473" s="17">
        <f t="shared" si="4923"/>
        <v>-615</v>
      </c>
      <c r="E473" s="17">
        <f t="shared" si="4923"/>
        <v>-412</v>
      </c>
      <c r="F473" s="17">
        <f t="shared" si="4923"/>
        <v>-629</v>
      </c>
      <c r="G473" s="17">
        <f t="shared" si="4923"/>
        <v>-467</v>
      </c>
      <c r="H473" s="17">
        <f t="shared" si="4923"/>
        <v>-532</v>
      </c>
      <c r="I473" s="17">
        <f t="shared" ref="I473:M473" si="4924">I469+I470+I471+I472</f>
        <v>-444</v>
      </c>
      <c r="J473" s="17">
        <f t="shared" si="4924"/>
        <v>-501</v>
      </c>
      <c r="K473" s="17">
        <f t="shared" si="4924"/>
        <v>-560</v>
      </c>
      <c r="L473" s="17">
        <f t="shared" si="4924"/>
        <v>-573</v>
      </c>
      <c r="M473" s="17">
        <f t="shared" si="4924"/>
        <v>-689</v>
      </c>
      <c r="N473" s="17">
        <f t="shared" ref="N473:O473" si="4925">N469+N470+N471+N472</f>
        <v>-960</v>
      </c>
      <c r="O473" s="17">
        <f t="shared" si="4925"/>
        <v>-1006</v>
      </c>
      <c r="P473" s="17">
        <f t="shared" ref="P473:Q473" si="4926">P469+P470+P471+P472</f>
        <v>-405</v>
      </c>
      <c r="Q473" s="17">
        <f t="shared" si="4926"/>
        <v>-2214</v>
      </c>
      <c r="R473" s="17">
        <f t="shared" ref="R473:S473" si="4927">R469+R470+R471+R472</f>
        <v>-1737</v>
      </c>
      <c r="S473" s="17">
        <f t="shared" si="4927"/>
        <v>-1873</v>
      </c>
      <c r="T473" s="17">
        <f t="shared" ref="T473:U473" si="4928">T469+T470+T471+T472</f>
        <v>-1902</v>
      </c>
      <c r="U473" s="17">
        <f t="shared" si="4928"/>
        <v>-908</v>
      </c>
      <c r="V473" s="17">
        <f t="shared" ref="V473:W473" si="4929">V469+V470+V471+V472</f>
        <v>-1361</v>
      </c>
      <c r="W473" s="17">
        <f t="shared" si="4929"/>
        <v>-1029</v>
      </c>
      <c r="X473" s="17">
        <f t="shared" ref="X473:Y473" si="4930">X469+X470+X471+X472</f>
        <v>-949</v>
      </c>
      <c r="Y473" s="17">
        <f t="shared" si="4930"/>
        <v>-1012</v>
      </c>
      <c r="Z473" s="17">
        <f t="shared" ref="Z473:AA473" si="4931">Z469+Z470+Z471+Z472</f>
        <v>-1167</v>
      </c>
      <c r="AA473" s="17">
        <f t="shared" si="4931"/>
        <v>-1338</v>
      </c>
      <c r="AB473" s="17">
        <f t="shared" ref="AB473:AC473" si="4932">AB469+AB470+AB471+AB472</f>
        <v>-1831</v>
      </c>
      <c r="AC473" s="17">
        <f t="shared" si="4932"/>
        <v>-1532</v>
      </c>
      <c r="AD473" s="17">
        <f t="shared" ref="AD473:AE473" si="4933">AD469+AD470+AD471+AD472</f>
        <v>-1812</v>
      </c>
      <c r="AE473" s="17">
        <f t="shared" si="4933"/>
        <v>-856</v>
      </c>
      <c r="AF473" s="17">
        <f t="shared" ref="AF473:AG473" si="4934">AF469+AF470+AF471+AF472</f>
        <v>-1042</v>
      </c>
      <c r="AG473" s="17">
        <f t="shared" si="4934"/>
        <v>-720</v>
      </c>
      <c r="AH473" s="17">
        <f t="shared" ref="AH473:AI473" si="4935">AH469+AH470+AH471+AH472</f>
        <v>-1098</v>
      </c>
      <c r="AI473" s="18">
        <f t="shared" si="4935"/>
        <v>-1365</v>
      </c>
      <c r="AJ473" s="17">
        <f t="shared" ref="AJ473" si="4936">AJ469+AJ470+AJ471+AJ472</f>
        <v>-1404.1244425929312</v>
      </c>
      <c r="AK473" s="17">
        <f t="shared" ref="AK473:AL473" si="4937">AK469+AK470+AK471+AK472</f>
        <v>-1055.6085725510957</v>
      </c>
      <c r="AL473" s="17">
        <f t="shared" si="4937"/>
        <v>-1348.6780690088567</v>
      </c>
      <c r="AM473" s="17">
        <f t="shared" ref="AM473:AN473" si="4938">AM469+AM470+AM471+AM472</f>
        <v>-1144.3114778652689</v>
      </c>
      <c r="AN473" s="17">
        <f t="shared" si="4938"/>
        <v>-1432.971922997493</v>
      </c>
      <c r="AO473" s="17">
        <f t="shared" ref="AO473:AP473" si="4939">AO469+AO470+AO471+AO472</f>
        <v>-1250.8343900752106</v>
      </c>
      <c r="AP473" s="17">
        <f t="shared" si="4939"/>
        <v>-1586.6451578401798</v>
      </c>
      <c r="AQ473" s="17">
        <f t="shared" ref="AQ473:AR473" si="4940">AQ469+AQ470+AQ471+AQ472</f>
        <v>-1385.0258246610833</v>
      </c>
      <c r="AR473" s="17">
        <f t="shared" si="4940"/>
        <v>-1737.2668491298073</v>
      </c>
      <c r="AT473" s="17">
        <f t="shared" ref="AT473:BB473" si="4941">AT469+AT470+AT471+AT472</f>
        <v>-1406</v>
      </c>
      <c r="AU473" s="17">
        <f t="shared" si="4941"/>
        <v>-1041</v>
      </c>
      <c r="AV473" s="17">
        <f t="shared" si="4941"/>
        <v>-999</v>
      </c>
      <c r="AW473" s="17">
        <f t="shared" si="4941"/>
        <v>-945</v>
      </c>
      <c r="AX473" s="17">
        <f t="shared" si="4941"/>
        <v>-1133</v>
      </c>
      <c r="AY473" s="17">
        <f t="shared" si="4941"/>
        <v>-1649</v>
      </c>
      <c r="AZ473" s="17">
        <f t="shared" si="4941"/>
        <v>-1411</v>
      </c>
      <c r="BA473" s="17">
        <f t="shared" si="4941"/>
        <v>-3951</v>
      </c>
      <c r="BB473" s="17">
        <f t="shared" si="4941"/>
        <v>-3775</v>
      </c>
      <c r="BC473" s="17">
        <f t="shared" ref="BC473" si="4942">BC469+BC470+BC471+BC472</f>
        <v>-2269</v>
      </c>
      <c r="BD473" s="17">
        <f t="shared" ref="BD473:BI473" si="4943">BD469+BD470+BD471+BD472</f>
        <v>-1978</v>
      </c>
      <c r="BE473" s="17">
        <f t="shared" si="4943"/>
        <v>-2179</v>
      </c>
      <c r="BF473" s="17">
        <f t="shared" si="4943"/>
        <v>-3169</v>
      </c>
      <c r="BG473" s="17">
        <f t="shared" si="4943"/>
        <v>-3344</v>
      </c>
      <c r="BH473" s="17">
        <f t="shared" si="4943"/>
        <v>-1898</v>
      </c>
      <c r="BI473" s="18">
        <f t="shared" si="4943"/>
        <v>-1818</v>
      </c>
      <c r="BJ473" s="17">
        <f t="shared" ref="BJ473:BK473" si="4944">BJ469+BJ470+BJ471+BJ472</f>
        <v>-2769.1244425929312</v>
      </c>
      <c r="BK473" s="17">
        <f t="shared" si="4944"/>
        <v>-2404.2866415599528</v>
      </c>
      <c r="BL473" s="17">
        <f t="shared" ref="BL473:BM473" si="4945">BL469+BL470+BL471+BL472</f>
        <v>-2577.2834008627628</v>
      </c>
      <c r="BM473" s="17">
        <f t="shared" si="4945"/>
        <v>-2837.4795479153904</v>
      </c>
      <c r="BN473" s="17">
        <f>BN469+BN470+BN471+BN472</f>
        <v>-3122.2926737908901</v>
      </c>
    </row>
    <row r="474" spans="1:66" ht="12" customHeight="1" outlineLevel="1">
      <c r="A474" s="91" t="s">
        <v>1283</v>
      </c>
      <c r="B474" s="1" t="s">
        <v>15</v>
      </c>
      <c r="C474" s="25">
        <f t="shared" ref="C474:AR474" si="4946">C33</f>
        <v>-36</v>
      </c>
      <c r="D474" s="25">
        <f t="shared" si="4946"/>
        <v>-165</v>
      </c>
      <c r="E474" s="25">
        <f t="shared" si="4946"/>
        <v>-85</v>
      </c>
      <c r="F474" s="25">
        <f t="shared" si="4946"/>
        <v>-197</v>
      </c>
      <c r="G474" s="25">
        <f t="shared" si="4946"/>
        <v>-107</v>
      </c>
      <c r="H474" s="25">
        <f t="shared" si="4946"/>
        <v>-180</v>
      </c>
      <c r="I474" s="25">
        <f t="shared" si="4946"/>
        <v>-156</v>
      </c>
      <c r="J474" s="25">
        <f t="shared" si="4946"/>
        <v>-377</v>
      </c>
      <c r="K474" s="25">
        <f t="shared" si="4946"/>
        <v>-307</v>
      </c>
      <c r="L474" s="25">
        <f t="shared" si="4946"/>
        <v>-520</v>
      </c>
      <c r="M474" s="25">
        <f t="shared" si="4946"/>
        <v>-432</v>
      </c>
      <c r="N474" s="25">
        <f t="shared" si="4946"/>
        <v>-467</v>
      </c>
      <c r="O474" s="25">
        <f t="shared" si="4946"/>
        <v>-530</v>
      </c>
      <c r="P474" s="25">
        <f t="shared" si="4946"/>
        <v>-397</v>
      </c>
      <c r="Q474" s="25">
        <f t="shared" si="4946"/>
        <v>-438</v>
      </c>
      <c r="R474" s="25">
        <f t="shared" si="4946"/>
        <v>-430</v>
      </c>
      <c r="S474" s="25">
        <f t="shared" si="4946"/>
        <v>-448</v>
      </c>
      <c r="T474" s="25">
        <f t="shared" si="4946"/>
        <v>-435</v>
      </c>
      <c r="U474" s="25">
        <f t="shared" si="4946"/>
        <v>-374</v>
      </c>
      <c r="V474" s="25">
        <f t="shared" si="4946"/>
        <v>-505</v>
      </c>
      <c r="W474" s="25">
        <f t="shared" si="4946"/>
        <v>-376</v>
      </c>
      <c r="X474" s="25">
        <f t="shared" si="4946"/>
        <v>-352</v>
      </c>
      <c r="Y474" s="25">
        <f t="shared" si="4946"/>
        <v>-275</v>
      </c>
      <c r="Z474" s="25">
        <f t="shared" si="4946"/>
        <v>-624</v>
      </c>
      <c r="AA474" s="25">
        <f t="shared" si="4946"/>
        <v>-603</v>
      </c>
      <c r="AB474" s="25">
        <f t="shared" si="4946"/>
        <v>-983</v>
      </c>
      <c r="AC474" s="25">
        <f t="shared" si="4946"/>
        <v>-735</v>
      </c>
      <c r="AD474" s="25">
        <f t="shared" si="4946"/>
        <v>-1089</v>
      </c>
      <c r="AE474" s="25">
        <f t="shared" si="4946"/>
        <v>-587</v>
      </c>
      <c r="AF474" s="25">
        <f t="shared" si="4946"/>
        <v>-704</v>
      </c>
      <c r="AG474" s="25">
        <f t="shared" si="4946"/>
        <v>-686</v>
      </c>
      <c r="AH474" s="25">
        <f t="shared" si="4946"/>
        <v>-640</v>
      </c>
      <c r="AI474" s="26">
        <f t="shared" ref="AI474" si="4947">AI33</f>
        <v>-771</v>
      </c>
      <c r="AJ474" s="19">
        <f t="shared" si="4946"/>
        <v>-1082.5234526406296</v>
      </c>
      <c r="AK474" s="19">
        <f t="shared" si="4946"/>
        <v>-923.60998123153945</v>
      </c>
      <c r="AL474" s="19">
        <f t="shared" si="4946"/>
        <v>-742.9429303418342</v>
      </c>
      <c r="AM474" s="19">
        <f t="shared" si="4946"/>
        <v>-1006.0946627995985</v>
      </c>
      <c r="AN474" s="19">
        <f t="shared" si="4946"/>
        <v>-830.27350673700005</v>
      </c>
      <c r="AO474" s="19">
        <f t="shared" si="4946"/>
        <v>-1076.0299610821494</v>
      </c>
      <c r="AP474" s="19">
        <f t="shared" si="4946"/>
        <v>-874.83620476627152</v>
      </c>
      <c r="AQ474" s="19">
        <f t="shared" si="4946"/>
        <v>-1147.2510790730407</v>
      </c>
      <c r="AR474" s="19">
        <f t="shared" si="4946"/>
        <v>-907.14218100654512</v>
      </c>
      <c r="AT474" s="19">
        <f>C474+D474</f>
        <v>-201</v>
      </c>
      <c r="AU474" s="19">
        <f>E474+F474</f>
        <v>-282</v>
      </c>
      <c r="AV474" s="19">
        <f>G474+H474</f>
        <v>-287</v>
      </c>
      <c r="AW474" s="19">
        <f>I474+J474</f>
        <v>-533</v>
      </c>
      <c r="AX474" s="19">
        <f>K474+L474</f>
        <v>-827</v>
      </c>
      <c r="AY474" s="19">
        <f>M474+N474</f>
        <v>-899</v>
      </c>
      <c r="AZ474" s="19">
        <f>O474+P474</f>
        <v>-927</v>
      </c>
      <c r="BA474" s="19">
        <f>Q474+R474</f>
        <v>-868</v>
      </c>
      <c r="BB474" s="19">
        <f>S474+T474</f>
        <v>-883</v>
      </c>
      <c r="BC474" s="19">
        <f>U474+V474</f>
        <v>-879</v>
      </c>
      <c r="BD474" s="19">
        <f>W474+X474</f>
        <v>-728</v>
      </c>
      <c r="BE474" s="19">
        <f>Y474+Z474</f>
        <v>-899</v>
      </c>
      <c r="BF474" s="19">
        <f>AA474+AB474</f>
        <v>-1586</v>
      </c>
      <c r="BG474" s="19">
        <f>AC474+AD474</f>
        <v>-1824</v>
      </c>
      <c r="BH474" s="19">
        <f>AE474+AF474</f>
        <v>-1291</v>
      </c>
      <c r="BI474" s="20">
        <f>AG474+AH474</f>
        <v>-1326</v>
      </c>
      <c r="BJ474" s="19">
        <f>AI474+AJ474</f>
        <v>-1853.5234526406296</v>
      </c>
      <c r="BK474" s="19">
        <f>AK474+AL474</f>
        <v>-1666.5529115733736</v>
      </c>
      <c r="BL474" s="19">
        <f>AM474+AN474</f>
        <v>-1836.3681695365985</v>
      </c>
      <c r="BM474" s="19">
        <f>AO474+AP474</f>
        <v>-1950.8661658484209</v>
      </c>
      <c r="BN474" s="19">
        <f>AQ474+AR474</f>
        <v>-2054.3932600795861</v>
      </c>
    </row>
    <row r="475" spans="1:66" ht="12" customHeight="1" outlineLevel="1">
      <c r="A475" s="91" t="s">
        <v>1282</v>
      </c>
      <c r="B475" s="1" t="s">
        <v>16</v>
      </c>
      <c r="C475" s="25">
        <f t="shared" ref="C475:AH475" si="4948">C34-C101-C687-C179-C255-C331</f>
        <v>-16</v>
      </c>
      <c r="D475" s="25">
        <f t="shared" si="4948"/>
        <v>-7</v>
      </c>
      <c r="E475" s="25">
        <f t="shared" si="4948"/>
        <v>-17</v>
      </c>
      <c r="F475" s="25">
        <f t="shared" si="4948"/>
        <v>-8</v>
      </c>
      <c r="G475" s="25">
        <f t="shared" si="4948"/>
        <v>-20</v>
      </c>
      <c r="H475" s="25">
        <f t="shared" si="4948"/>
        <v>-12</v>
      </c>
      <c r="I475" s="25">
        <f t="shared" si="4948"/>
        <v>-19</v>
      </c>
      <c r="J475" s="25">
        <f t="shared" si="4948"/>
        <v>-7</v>
      </c>
      <c r="K475" s="25">
        <f t="shared" si="4948"/>
        <v>-14</v>
      </c>
      <c r="L475" s="25">
        <f t="shared" si="4948"/>
        <v>-11</v>
      </c>
      <c r="M475" s="25">
        <f t="shared" si="4948"/>
        <v>-12</v>
      </c>
      <c r="N475" s="25">
        <f t="shared" si="4948"/>
        <v>-12</v>
      </c>
      <c r="O475" s="25">
        <f t="shared" si="4948"/>
        <v>-6</v>
      </c>
      <c r="P475" s="25">
        <f t="shared" si="4948"/>
        <v>-12</v>
      </c>
      <c r="Q475" s="25">
        <f t="shared" si="4948"/>
        <v>-8</v>
      </c>
      <c r="R475" s="25">
        <f t="shared" si="4948"/>
        <v>-9</v>
      </c>
      <c r="S475" s="25">
        <f t="shared" si="4948"/>
        <v>-8</v>
      </c>
      <c r="T475" s="25">
        <f t="shared" si="4948"/>
        <v>-6</v>
      </c>
      <c r="U475" s="25">
        <f t="shared" si="4948"/>
        <v>-9</v>
      </c>
      <c r="V475" s="25">
        <f t="shared" si="4948"/>
        <v>-6</v>
      </c>
      <c r="W475" s="25">
        <f t="shared" si="4948"/>
        <v>-6</v>
      </c>
      <c r="X475" s="25">
        <f t="shared" si="4948"/>
        <v>-5</v>
      </c>
      <c r="Y475" s="25">
        <f t="shared" si="4948"/>
        <v>0</v>
      </c>
      <c r="Z475" s="25">
        <f t="shared" si="4948"/>
        <v>-4</v>
      </c>
      <c r="AA475" s="25">
        <f t="shared" si="4948"/>
        <v>0</v>
      </c>
      <c r="AB475" s="25">
        <f t="shared" si="4948"/>
        <v>-1</v>
      </c>
      <c r="AC475" s="25">
        <f t="shared" si="4948"/>
        <v>-1</v>
      </c>
      <c r="AD475" s="25">
        <f t="shared" si="4948"/>
        <v>-1</v>
      </c>
      <c r="AE475" s="25">
        <f t="shared" si="4948"/>
        <v>0</v>
      </c>
      <c r="AF475" s="25">
        <f t="shared" si="4948"/>
        <v>-2</v>
      </c>
      <c r="AG475" s="25">
        <f t="shared" si="4948"/>
        <v>-3</v>
      </c>
      <c r="AH475" s="25">
        <f t="shared" si="4948"/>
        <v>0</v>
      </c>
      <c r="AI475" s="26">
        <f t="shared" ref="AI475" si="4949">AI34-AI101-AI687-AI179-AI255-AI331</f>
        <v>-1</v>
      </c>
      <c r="AJ475" s="52">
        <f t="shared" ref="AJ475:AJ476" si="4950">AI475</f>
        <v>-1</v>
      </c>
      <c r="AK475" s="52">
        <f t="shared" ref="AK475:AK476" si="4951">AJ475</f>
        <v>-1</v>
      </c>
      <c r="AL475" s="52">
        <f t="shared" ref="AL475:AL476" si="4952">AK475</f>
        <v>-1</v>
      </c>
      <c r="AM475" s="52">
        <f t="shared" ref="AM475:AM476" si="4953">AL475</f>
        <v>-1</v>
      </c>
      <c r="AN475" s="52">
        <f t="shared" ref="AN475:AN476" si="4954">AM475</f>
        <v>-1</v>
      </c>
      <c r="AO475" s="52">
        <f t="shared" ref="AO475:AO476" si="4955">AN475</f>
        <v>-1</v>
      </c>
      <c r="AP475" s="52">
        <f t="shared" ref="AP475:AP476" si="4956">AO475</f>
        <v>-1</v>
      </c>
      <c r="AQ475" s="52">
        <f t="shared" ref="AQ475:AQ476" si="4957">AP475</f>
        <v>-1</v>
      </c>
      <c r="AR475" s="52">
        <f t="shared" ref="AR475:AR476" si="4958">AQ475</f>
        <v>-1</v>
      </c>
      <c r="AT475" s="19">
        <f>C475+D475</f>
        <v>-23</v>
      </c>
      <c r="AU475" s="19">
        <f>E475+F475</f>
        <v>-25</v>
      </c>
      <c r="AV475" s="19">
        <f>G475+H475</f>
        <v>-32</v>
      </c>
      <c r="AW475" s="19">
        <f>I475+J475</f>
        <v>-26</v>
      </c>
      <c r="AX475" s="19">
        <f>K475+L475</f>
        <v>-25</v>
      </c>
      <c r="AY475" s="19">
        <f>M475+N475</f>
        <v>-24</v>
      </c>
      <c r="AZ475" s="19">
        <f>O475+P475</f>
        <v>-18</v>
      </c>
      <c r="BA475" s="19">
        <f>Q475+R475</f>
        <v>-17</v>
      </c>
      <c r="BB475" s="19">
        <f>S475+T475</f>
        <v>-14</v>
      </c>
      <c r="BC475" s="19">
        <f>U475+V475</f>
        <v>-15</v>
      </c>
      <c r="BD475" s="19">
        <f>W475+X475</f>
        <v>-11</v>
      </c>
      <c r="BE475" s="19">
        <f>Y475+Z475</f>
        <v>-4</v>
      </c>
      <c r="BF475" s="19">
        <f>AA475+AB475</f>
        <v>-1</v>
      </c>
      <c r="BG475" s="19">
        <f>AC475+AD475</f>
        <v>-2</v>
      </c>
      <c r="BH475" s="19">
        <f>AE475+AF475</f>
        <v>-2</v>
      </c>
      <c r="BI475" s="20">
        <f>AG475+AH475</f>
        <v>-3</v>
      </c>
      <c r="BJ475" s="19">
        <f>AI475+AJ475</f>
        <v>-2</v>
      </c>
      <c r="BK475" s="19">
        <f>AK475+AL475</f>
        <v>-2</v>
      </c>
      <c r="BL475" s="19">
        <f>AM475+AN475</f>
        <v>-2</v>
      </c>
      <c r="BM475" s="19">
        <f>AO475+AP475</f>
        <v>-2</v>
      </c>
      <c r="BN475" s="19">
        <f>AQ475+AR475</f>
        <v>-2</v>
      </c>
    </row>
    <row r="476" spans="1:66" ht="12" customHeight="1" outlineLevel="1">
      <c r="A476" s="91" t="s">
        <v>1284</v>
      </c>
      <c r="B476" s="1" t="s">
        <v>159</v>
      </c>
      <c r="C476" s="25">
        <f t="shared" ref="C476:AH476" si="4959">C35</f>
        <v>0</v>
      </c>
      <c r="D476" s="25">
        <f t="shared" si="4959"/>
        <v>0</v>
      </c>
      <c r="E476" s="25">
        <f t="shared" si="4959"/>
        <v>0</v>
      </c>
      <c r="F476" s="25">
        <f t="shared" si="4959"/>
        <v>0</v>
      </c>
      <c r="G476" s="25">
        <f t="shared" si="4959"/>
        <v>0</v>
      </c>
      <c r="H476" s="25">
        <f t="shared" si="4959"/>
        <v>0</v>
      </c>
      <c r="I476" s="25">
        <f t="shared" si="4959"/>
        <v>0</v>
      </c>
      <c r="J476" s="25">
        <f t="shared" si="4959"/>
        <v>0</v>
      </c>
      <c r="K476" s="25">
        <f t="shared" si="4959"/>
        <v>0</v>
      </c>
      <c r="L476" s="25">
        <f t="shared" si="4959"/>
        <v>0</v>
      </c>
      <c r="M476" s="25">
        <f t="shared" si="4959"/>
        <v>0</v>
      </c>
      <c r="N476" s="25">
        <f t="shared" si="4959"/>
        <v>0</v>
      </c>
      <c r="O476" s="25">
        <f t="shared" si="4959"/>
        <v>0</v>
      </c>
      <c r="P476" s="25">
        <f t="shared" si="4959"/>
        <v>0</v>
      </c>
      <c r="Q476" s="25">
        <f t="shared" si="4959"/>
        <v>0</v>
      </c>
      <c r="R476" s="25">
        <f t="shared" si="4959"/>
        <v>0</v>
      </c>
      <c r="S476" s="25">
        <f t="shared" si="4959"/>
        <v>0</v>
      </c>
      <c r="T476" s="25">
        <f t="shared" si="4959"/>
        <v>0</v>
      </c>
      <c r="U476" s="25">
        <f t="shared" si="4959"/>
        <v>0</v>
      </c>
      <c r="V476" s="25">
        <f t="shared" si="4959"/>
        <v>0</v>
      </c>
      <c r="W476" s="25">
        <f t="shared" si="4959"/>
        <v>0</v>
      </c>
      <c r="X476" s="25">
        <f t="shared" si="4959"/>
        <v>0</v>
      </c>
      <c r="Y476" s="25">
        <f t="shared" si="4959"/>
        <v>0</v>
      </c>
      <c r="Z476" s="25">
        <f t="shared" si="4959"/>
        <v>0</v>
      </c>
      <c r="AA476" s="25">
        <f t="shared" si="4959"/>
        <v>0</v>
      </c>
      <c r="AB476" s="25">
        <f t="shared" si="4959"/>
        <v>0</v>
      </c>
      <c r="AC476" s="25">
        <f t="shared" si="4959"/>
        <v>0</v>
      </c>
      <c r="AD476" s="25">
        <f t="shared" si="4959"/>
        <v>0</v>
      </c>
      <c r="AE476" s="25">
        <f t="shared" si="4959"/>
        <v>0</v>
      </c>
      <c r="AF476" s="25">
        <f t="shared" si="4959"/>
        <v>0</v>
      </c>
      <c r="AG476" s="25">
        <f t="shared" si="4959"/>
        <v>0</v>
      </c>
      <c r="AH476" s="25">
        <f t="shared" si="4959"/>
        <v>0</v>
      </c>
      <c r="AI476" s="26">
        <f>AI35</f>
        <v>0</v>
      </c>
      <c r="AJ476" s="52">
        <f t="shared" si="4950"/>
        <v>0</v>
      </c>
      <c r="AK476" s="52">
        <f t="shared" si="4951"/>
        <v>0</v>
      </c>
      <c r="AL476" s="52">
        <f t="shared" si="4952"/>
        <v>0</v>
      </c>
      <c r="AM476" s="52">
        <f t="shared" si="4953"/>
        <v>0</v>
      </c>
      <c r="AN476" s="52">
        <f t="shared" si="4954"/>
        <v>0</v>
      </c>
      <c r="AO476" s="52">
        <f t="shared" si="4955"/>
        <v>0</v>
      </c>
      <c r="AP476" s="52">
        <f t="shared" si="4956"/>
        <v>0</v>
      </c>
      <c r="AQ476" s="52">
        <f t="shared" si="4957"/>
        <v>0</v>
      </c>
      <c r="AR476" s="52">
        <f t="shared" si="4958"/>
        <v>0</v>
      </c>
      <c r="AT476" s="19">
        <f>C476+D476</f>
        <v>0</v>
      </c>
      <c r="AU476" s="19">
        <f>E476+F476</f>
        <v>0</v>
      </c>
      <c r="AV476" s="19">
        <f>G476+H476</f>
        <v>0</v>
      </c>
      <c r="AW476" s="19">
        <f>I476+J476</f>
        <v>0</v>
      </c>
      <c r="AX476" s="19">
        <f>K476+L476</f>
        <v>0</v>
      </c>
      <c r="AY476" s="19">
        <f>M476+N476</f>
        <v>0</v>
      </c>
      <c r="AZ476" s="19">
        <f>O476+P476</f>
        <v>0</v>
      </c>
      <c r="BA476" s="19">
        <f>Q476+R476</f>
        <v>0</v>
      </c>
      <c r="BB476" s="19">
        <f>S476+T476</f>
        <v>0</v>
      </c>
      <c r="BC476" s="19">
        <f>U476+V476</f>
        <v>0</v>
      </c>
      <c r="BD476" s="19">
        <f>W476+X476</f>
        <v>0</v>
      </c>
      <c r="BE476" s="19">
        <f>Y476+Z476</f>
        <v>0</v>
      </c>
      <c r="BF476" s="19">
        <f>AA476+AB476</f>
        <v>0</v>
      </c>
      <c r="BG476" s="19">
        <f>AC476+AD476</f>
        <v>0</v>
      </c>
      <c r="BH476" s="19">
        <f>AE476+AF476</f>
        <v>0</v>
      </c>
      <c r="BI476" s="20">
        <f>AG476+AH476</f>
        <v>0</v>
      </c>
      <c r="BJ476" s="19">
        <f>AI476+AJ476</f>
        <v>0</v>
      </c>
      <c r="BK476" s="19">
        <f>AK476+AL476</f>
        <v>0</v>
      </c>
      <c r="BL476" s="19">
        <f>AM476+AN476</f>
        <v>0</v>
      </c>
      <c r="BM476" s="19">
        <f>AO476+AP476</f>
        <v>0</v>
      </c>
      <c r="BN476" s="19">
        <f>AQ476+AR476</f>
        <v>0</v>
      </c>
    </row>
    <row r="477" spans="1:66" s="9" customFormat="1" ht="12" customHeight="1" outlineLevel="1">
      <c r="A477" s="91" t="s">
        <v>563</v>
      </c>
      <c r="B477" s="16" t="s">
        <v>51</v>
      </c>
      <c r="C477" s="30">
        <f t="shared" ref="C477:H477" si="4960">C473+C475+C474+C476</f>
        <v>-843</v>
      </c>
      <c r="D477" s="30">
        <f t="shared" si="4960"/>
        <v>-787</v>
      </c>
      <c r="E477" s="30">
        <f t="shared" si="4960"/>
        <v>-514</v>
      </c>
      <c r="F477" s="30">
        <f t="shared" si="4960"/>
        <v>-834</v>
      </c>
      <c r="G477" s="30">
        <f t="shared" si="4960"/>
        <v>-594</v>
      </c>
      <c r="H477" s="30">
        <f t="shared" si="4960"/>
        <v>-724</v>
      </c>
      <c r="I477" s="30">
        <f>I473+I475+I474+I476</f>
        <v>-619</v>
      </c>
      <c r="J477" s="30">
        <f t="shared" ref="J477:O477" si="4961">J473+J475+J474+J476</f>
        <v>-885</v>
      </c>
      <c r="K477" s="30">
        <f t="shared" ref="K477:L477" si="4962">K473+K475+K474+K476</f>
        <v>-881</v>
      </c>
      <c r="L477" s="30">
        <f t="shared" si="4962"/>
        <v>-1104</v>
      </c>
      <c r="M477" s="30">
        <f t="shared" ref="M477" si="4963">M473+M475+M474+M476</f>
        <v>-1133</v>
      </c>
      <c r="N477" s="30">
        <f t="shared" si="4961"/>
        <v>-1439</v>
      </c>
      <c r="O477" s="30">
        <f t="shared" si="4961"/>
        <v>-1542</v>
      </c>
      <c r="P477" s="30">
        <f t="shared" ref="P477:Q477" si="4964">P473+P475+P474+P476</f>
        <v>-814</v>
      </c>
      <c r="Q477" s="30">
        <f t="shared" si="4964"/>
        <v>-2660</v>
      </c>
      <c r="R477" s="30">
        <f t="shared" ref="R477:S477" si="4965">R473+R475+R474+R476</f>
        <v>-2176</v>
      </c>
      <c r="S477" s="30">
        <f t="shared" si="4965"/>
        <v>-2329</v>
      </c>
      <c r="T477" s="30">
        <f t="shared" ref="T477:U477" si="4966">T473+T475+T474+T476</f>
        <v>-2343</v>
      </c>
      <c r="U477" s="30">
        <f t="shared" si="4966"/>
        <v>-1291</v>
      </c>
      <c r="V477" s="30">
        <f t="shared" ref="V477:W477" si="4967">V473+V475+V474+V476</f>
        <v>-1872</v>
      </c>
      <c r="W477" s="30">
        <f t="shared" si="4967"/>
        <v>-1411</v>
      </c>
      <c r="X477" s="30">
        <f t="shared" ref="X477:Y477" si="4968">X473+X475+X474+X476</f>
        <v>-1306</v>
      </c>
      <c r="Y477" s="30">
        <f t="shared" si="4968"/>
        <v>-1287</v>
      </c>
      <c r="Z477" s="30">
        <f t="shared" ref="Z477:AA477" si="4969">Z473+Z475+Z474+Z476</f>
        <v>-1795</v>
      </c>
      <c r="AA477" s="30">
        <f t="shared" si="4969"/>
        <v>-1941</v>
      </c>
      <c r="AB477" s="30">
        <f t="shared" ref="AB477:AC477" si="4970">AB473+AB475+AB474+AB476</f>
        <v>-2815</v>
      </c>
      <c r="AC477" s="30">
        <f t="shared" si="4970"/>
        <v>-2268</v>
      </c>
      <c r="AD477" s="30">
        <f t="shared" ref="AD477:AE477" si="4971">AD473+AD475+AD474+AD476</f>
        <v>-2902</v>
      </c>
      <c r="AE477" s="30">
        <f t="shared" si="4971"/>
        <v>-1443</v>
      </c>
      <c r="AF477" s="30">
        <f t="shared" ref="AF477:AG477" si="4972">AF473+AF475+AF474+AF476</f>
        <v>-1748</v>
      </c>
      <c r="AG477" s="30">
        <f t="shared" si="4972"/>
        <v>-1409</v>
      </c>
      <c r="AH477" s="30">
        <f t="shared" ref="AH477:AI477" si="4973">AH473+AH475+AH474+AH476</f>
        <v>-1738</v>
      </c>
      <c r="AI477" s="27">
        <f t="shared" si="4973"/>
        <v>-2137</v>
      </c>
      <c r="AJ477" s="30">
        <f t="shared" ref="AJ477" si="4974">AJ473+AJ475+AJ474+AJ476</f>
        <v>-2487.647895233561</v>
      </c>
      <c r="AK477" s="30">
        <f t="shared" ref="AK477:AL477" si="4975">AK473+AK475+AK474+AK476</f>
        <v>-1980.2185537826351</v>
      </c>
      <c r="AL477" s="30">
        <f t="shared" si="4975"/>
        <v>-2092.6209993506909</v>
      </c>
      <c r="AM477" s="30">
        <f t="shared" ref="AM477:AN477" si="4976">AM473+AM475+AM474+AM476</f>
        <v>-2151.4061406648675</v>
      </c>
      <c r="AN477" s="30">
        <f t="shared" si="4976"/>
        <v>-2264.245429734493</v>
      </c>
      <c r="AO477" s="30">
        <f t="shared" ref="AO477:AP477" si="4977">AO473+AO475+AO474+AO476</f>
        <v>-2327.86435115736</v>
      </c>
      <c r="AP477" s="30">
        <f t="shared" si="4977"/>
        <v>-2462.4813626064515</v>
      </c>
      <c r="AQ477" s="30">
        <f t="shared" ref="AQ477:AR477" si="4978">AQ473+AQ475+AQ474+AQ476</f>
        <v>-2533.2769037341241</v>
      </c>
      <c r="AR477" s="30">
        <f t="shared" si="4978"/>
        <v>-2645.4090301363522</v>
      </c>
      <c r="AT477" s="30">
        <f t="shared" ref="AT477:BB477" si="4979">AT473+AT475+AT474+AT476</f>
        <v>-1630</v>
      </c>
      <c r="AU477" s="30">
        <f t="shared" si="4979"/>
        <v>-1348</v>
      </c>
      <c r="AV477" s="30">
        <f t="shared" si="4979"/>
        <v>-1318</v>
      </c>
      <c r="AW477" s="30">
        <f t="shared" si="4979"/>
        <v>-1504</v>
      </c>
      <c r="AX477" s="30">
        <f t="shared" si="4979"/>
        <v>-1985</v>
      </c>
      <c r="AY477" s="30">
        <f t="shared" si="4979"/>
        <v>-2572</v>
      </c>
      <c r="AZ477" s="30">
        <f t="shared" si="4979"/>
        <v>-2356</v>
      </c>
      <c r="BA477" s="30">
        <f t="shared" si="4979"/>
        <v>-4836</v>
      </c>
      <c r="BB477" s="30">
        <f t="shared" si="4979"/>
        <v>-4672</v>
      </c>
      <c r="BC477" s="30">
        <f t="shared" ref="BC477" si="4980">BC473+BC475+BC474+BC476</f>
        <v>-3163</v>
      </c>
      <c r="BD477" s="30">
        <f t="shared" ref="BD477:BI477" si="4981">BD473+BD475+BD474+BD476</f>
        <v>-2717</v>
      </c>
      <c r="BE477" s="30">
        <f t="shared" si="4981"/>
        <v>-3082</v>
      </c>
      <c r="BF477" s="30">
        <f t="shared" si="4981"/>
        <v>-4756</v>
      </c>
      <c r="BG477" s="30">
        <f t="shared" si="4981"/>
        <v>-5170</v>
      </c>
      <c r="BH477" s="30">
        <f t="shared" si="4981"/>
        <v>-3191</v>
      </c>
      <c r="BI477" s="27">
        <f t="shared" si="4981"/>
        <v>-3147</v>
      </c>
      <c r="BJ477" s="30">
        <f t="shared" ref="BJ477:BK477" si="4982">BJ473+BJ475+BJ474+BJ476</f>
        <v>-4624.647895233561</v>
      </c>
      <c r="BK477" s="30">
        <f t="shared" si="4982"/>
        <v>-4072.8395531333263</v>
      </c>
      <c r="BL477" s="30">
        <f t="shared" ref="BL477:BM477" si="4983">BL473+BL475+BL474+BL476</f>
        <v>-4415.6515703993609</v>
      </c>
      <c r="BM477" s="30">
        <f t="shared" si="4983"/>
        <v>-4790.3457137638115</v>
      </c>
      <c r="BN477" s="30">
        <f>BN473+BN475+BN474+BN476</f>
        <v>-5178.6859338704762</v>
      </c>
    </row>
    <row r="478" spans="1:66" ht="12" customHeight="1" outlineLevel="1"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20"/>
      <c r="AJ478" s="19"/>
      <c r="AK478" s="19"/>
      <c r="AL478" s="19"/>
      <c r="AM478" s="19"/>
      <c r="AN478" s="19"/>
      <c r="AO478" s="19"/>
      <c r="AP478" s="19"/>
      <c r="AQ478" s="19"/>
      <c r="AR478" s="19"/>
    </row>
    <row r="479" spans="1:66" s="9" customFormat="1" ht="12" customHeight="1" outlineLevel="1">
      <c r="A479" s="91"/>
      <c r="B479" s="9" t="s">
        <v>50</v>
      </c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8"/>
      <c r="AJ479" s="17"/>
      <c r="AK479" s="17"/>
      <c r="AL479" s="17"/>
      <c r="AM479" s="17"/>
      <c r="AN479" s="17"/>
      <c r="AO479" s="17"/>
      <c r="AP479" s="17"/>
      <c r="AQ479" s="17"/>
      <c r="AR479" s="17"/>
      <c r="AT479" s="17"/>
      <c r="AU479" s="17"/>
      <c r="AV479" s="17"/>
      <c r="AW479" s="17"/>
      <c r="AX479" s="17"/>
      <c r="AY479" s="17"/>
      <c r="AZ479" s="17"/>
      <c r="BA479" s="17"/>
      <c r="BB479" s="17"/>
      <c r="BC479" s="17"/>
      <c r="BD479" s="17"/>
      <c r="BE479" s="17"/>
      <c r="BF479" s="17"/>
      <c r="BG479" s="17"/>
      <c r="BH479" s="17"/>
      <c r="BI479" s="18"/>
      <c r="BJ479" s="17"/>
      <c r="BK479" s="17"/>
      <c r="BL479" s="17"/>
      <c r="BM479" s="17"/>
      <c r="BN479" s="17"/>
    </row>
    <row r="480" spans="1:66" ht="12" customHeight="1" outlineLevel="1">
      <c r="A480" s="91" t="str">
        <f>LEFT(A477,3)&amp;"_CapEarnings"</f>
        <v>COR_CapEarnings</v>
      </c>
      <c r="B480" s="1" t="s">
        <v>53</v>
      </c>
      <c r="C480" s="25">
        <f t="shared" ref="C480:AH480" si="4984">-C105-C691-C183-C259-C335</f>
        <v>108</v>
      </c>
      <c r="D480" s="25">
        <f t="shared" si="4984"/>
        <v>12</v>
      </c>
      <c r="E480" s="25">
        <f t="shared" si="4984"/>
        <v>-374</v>
      </c>
      <c r="F480" s="25">
        <f t="shared" si="4984"/>
        <v>37</v>
      </c>
      <c r="G480" s="25">
        <f t="shared" si="4984"/>
        <v>-4</v>
      </c>
      <c r="H480" s="25">
        <f t="shared" si="4984"/>
        <v>-187</v>
      </c>
      <c r="I480" s="25">
        <f t="shared" si="4984"/>
        <v>30</v>
      </c>
      <c r="J480" s="25">
        <f t="shared" si="4984"/>
        <v>36</v>
      </c>
      <c r="K480" s="25">
        <f t="shared" si="4984"/>
        <v>21</v>
      </c>
      <c r="L480" s="25">
        <f t="shared" si="4984"/>
        <v>16</v>
      </c>
      <c r="M480" s="25">
        <f t="shared" si="4984"/>
        <v>-4</v>
      </c>
      <c r="N480" s="25">
        <f t="shared" si="4984"/>
        <v>-9</v>
      </c>
      <c r="O480" s="25">
        <f t="shared" si="4984"/>
        <v>-2</v>
      </c>
      <c r="P480" s="25">
        <f t="shared" si="4984"/>
        <v>78</v>
      </c>
      <c r="Q480" s="25">
        <f t="shared" si="4984"/>
        <v>36</v>
      </c>
      <c r="R480" s="25">
        <f t="shared" si="4984"/>
        <v>58</v>
      </c>
      <c r="S480" s="25">
        <f t="shared" si="4984"/>
        <v>12</v>
      </c>
      <c r="T480" s="25">
        <f t="shared" si="4984"/>
        <v>69</v>
      </c>
      <c r="U480" s="25">
        <f t="shared" si="4984"/>
        <v>22</v>
      </c>
      <c r="V480" s="25">
        <f t="shared" si="4984"/>
        <v>124</v>
      </c>
      <c r="W480" s="25">
        <f t="shared" si="4984"/>
        <v>42</v>
      </c>
      <c r="X480" s="25">
        <f t="shared" si="4984"/>
        <v>125</v>
      </c>
      <c r="Y480" s="25">
        <f t="shared" si="4984"/>
        <v>4</v>
      </c>
      <c r="Z480" s="25">
        <f t="shared" si="4984"/>
        <v>54</v>
      </c>
      <c r="AA480" s="25">
        <f t="shared" si="4984"/>
        <v>51</v>
      </c>
      <c r="AB480" s="25">
        <f t="shared" si="4984"/>
        <v>2</v>
      </c>
      <c r="AC480" s="25">
        <f t="shared" si="4984"/>
        <v>75</v>
      </c>
      <c r="AD480" s="25">
        <f t="shared" si="4984"/>
        <v>25</v>
      </c>
      <c r="AE480" s="25">
        <f t="shared" si="4984"/>
        <v>-13</v>
      </c>
      <c r="AF480" s="25">
        <f t="shared" si="4984"/>
        <v>14</v>
      </c>
      <c r="AG480" s="25">
        <f t="shared" si="4984"/>
        <v>-20</v>
      </c>
      <c r="AH480" s="25">
        <f t="shared" si="4984"/>
        <v>-19</v>
      </c>
      <c r="AI480" s="26">
        <f t="shared" ref="AI480" si="4985">-AI105-AI691-AI183-AI259-AI335</f>
        <v>-39</v>
      </c>
      <c r="AJ480" s="19">
        <f t="shared" ref="AJ480" si="4986">AI480</f>
        <v>-39</v>
      </c>
      <c r="AK480" s="19">
        <f t="shared" ref="AK480" si="4987">AJ480</f>
        <v>-39</v>
      </c>
      <c r="AL480" s="19">
        <f t="shared" ref="AL480" si="4988">AK480</f>
        <v>-39</v>
      </c>
      <c r="AM480" s="19">
        <f t="shared" ref="AM480" si="4989">AL480</f>
        <v>-39</v>
      </c>
      <c r="AN480" s="19">
        <f t="shared" ref="AN480" si="4990">AM480</f>
        <v>-39</v>
      </c>
      <c r="AO480" s="19">
        <f t="shared" ref="AO480" si="4991">AN480</f>
        <v>-39</v>
      </c>
      <c r="AP480" s="19">
        <f t="shared" ref="AP480" si="4992">AO480</f>
        <v>-39</v>
      </c>
      <c r="AQ480" s="19">
        <f t="shared" ref="AQ480" si="4993">AP480</f>
        <v>-39</v>
      </c>
      <c r="AR480" s="19">
        <f t="shared" ref="AR480" si="4994">AQ480</f>
        <v>-39</v>
      </c>
      <c r="AT480" s="19">
        <f>C480+D480</f>
        <v>120</v>
      </c>
      <c r="AU480" s="19">
        <f>E480+F480</f>
        <v>-337</v>
      </c>
      <c r="AV480" s="19">
        <f>G480+H480</f>
        <v>-191</v>
      </c>
      <c r="AW480" s="19">
        <f>I480+J480</f>
        <v>66</v>
      </c>
      <c r="AX480" s="19">
        <f>K480+L480</f>
        <v>37</v>
      </c>
      <c r="AY480" s="19">
        <f>M480+N480</f>
        <v>-13</v>
      </c>
      <c r="AZ480" s="19">
        <f>O480+P480</f>
        <v>76</v>
      </c>
      <c r="BA480" s="19">
        <f>Q480+R480</f>
        <v>94</v>
      </c>
      <c r="BB480" s="19">
        <f>S480+T480</f>
        <v>81</v>
      </c>
      <c r="BC480" s="19">
        <f>U480+V480</f>
        <v>146</v>
      </c>
      <c r="BD480" s="19">
        <f>W480+X480</f>
        <v>167</v>
      </c>
      <c r="BE480" s="19">
        <f>Y480+Z480</f>
        <v>58</v>
      </c>
      <c r="BF480" s="19">
        <f>AA480+AB480</f>
        <v>53</v>
      </c>
      <c r="BG480" s="19">
        <f>AC480+AD480</f>
        <v>100</v>
      </c>
      <c r="BH480" s="19">
        <f>AE480+AF480</f>
        <v>1</v>
      </c>
      <c r="BI480" s="20">
        <f>AG480+AH480</f>
        <v>-39</v>
      </c>
      <c r="BJ480" s="19">
        <f>AI480+AJ480</f>
        <v>-78</v>
      </c>
      <c r="BK480" s="19">
        <f>AK480+AL480</f>
        <v>-78</v>
      </c>
      <c r="BL480" s="19">
        <f>AM480+AN480</f>
        <v>-78</v>
      </c>
      <c r="BM480" s="19">
        <f>AO480+AP480</f>
        <v>-78</v>
      </c>
      <c r="BN480" s="19">
        <f>AQ480+AR480</f>
        <v>-78</v>
      </c>
    </row>
    <row r="481" spans="1:66" ht="12" customHeight="1" outlineLevel="1">
      <c r="A481" s="91" t="str">
        <f>LEFT(A477,3)&amp;"_CenCosts"</f>
        <v>COR_CenCosts</v>
      </c>
      <c r="B481" s="1" t="s">
        <v>12</v>
      </c>
      <c r="C481" s="25"/>
      <c r="D481" s="25"/>
      <c r="E481" s="25"/>
      <c r="F481" s="25"/>
      <c r="G481" s="25">
        <f t="shared" ref="G481:AH481" si="4995">-G106-G692-G184-G260-G336</f>
        <v>-321.00000000000006</v>
      </c>
      <c r="H481" s="25">
        <f t="shared" si="4995"/>
        <v>-298</v>
      </c>
      <c r="I481" s="25">
        <f t="shared" si="4995"/>
        <v>-286</v>
      </c>
      <c r="J481" s="25">
        <f t="shared" si="4995"/>
        <v>-321</v>
      </c>
      <c r="K481" s="25">
        <f t="shared" si="4995"/>
        <v>-293</v>
      </c>
      <c r="L481" s="25">
        <f t="shared" si="4995"/>
        <v>-341</v>
      </c>
      <c r="M481" s="25">
        <f t="shared" si="4995"/>
        <v>-313</v>
      </c>
      <c r="N481" s="25">
        <f t="shared" si="4995"/>
        <v>-320</v>
      </c>
      <c r="O481" s="25">
        <f t="shared" si="4995"/>
        <v>-341</v>
      </c>
      <c r="P481" s="25">
        <f t="shared" si="4995"/>
        <v>-444</v>
      </c>
      <c r="Q481" s="25">
        <f t="shared" si="4995"/>
        <v>-332.89887985269297</v>
      </c>
      <c r="R481" s="25">
        <f t="shared" si="4995"/>
        <v>-307.19366545694493</v>
      </c>
      <c r="S481" s="25">
        <f t="shared" si="4995"/>
        <v>-311.14172353594671</v>
      </c>
      <c r="T481" s="25">
        <f t="shared" si="4995"/>
        <v>-311.81962985436894</v>
      </c>
      <c r="U481" s="25">
        <f t="shared" si="4995"/>
        <v>-442.99999999999994</v>
      </c>
      <c r="V481" s="25">
        <f t="shared" si="4995"/>
        <v>-251</v>
      </c>
      <c r="W481" s="25">
        <f t="shared" si="4995"/>
        <v>-531</v>
      </c>
      <c r="X481" s="25">
        <f t="shared" si="4995"/>
        <v>-432</v>
      </c>
      <c r="Y481" s="25">
        <f t="shared" si="4995"/>
        <v>-490.00000000000006</v>
      </c>
      <c r="Z481" s="25">
        <f t="shared" si="4995"/>
        <v>-511</v>
      </c>
      <c r="AA481" s="25">
        <f t="shared" si="4995"/>
        <v>-452.24452840020842</v>
      </c>
      <c r="AB481" s="25">
        <f t="shared" si="4995"/>
        <v>-566.9977228030225</v>
      </c>
      <c r="AC481" s="25">
        <f t="shared" si="4995"/>
        <v>0</v>
      </c>
      <c r="AD481" s="25">
        <f t="shared" si="4995"/>
        <v>0</v>
      </c>
      <c r="AE481" s="25">
        <f t="shared" si="4995"/>
        <v>0</v>
      </c>
      <c r="AF481" s="25">
        <f t="shared" si="4995"/>
        <v>0</v>
      </c>
      <c r="AG481" s="25">
        <f t="shared" si="4995"/>
        <v>0</v>
      </c>
      <c r="AH481" s="25">
        <f t="shared" si="4995"/>
        <v>0</v>
      </c>
      <c r="AI481" s="26">
        <f t="shared" ref="AI481" si="4996">-AI106-AI692-AI184-AI260-AI336</f>
        <v>0</v>
      </c>
      <c r="AJ481" s="52">
        <f t="shared" ref="AJ481" si="4997">AI481*1.025</f>
        <v>0</v>
      </c>
      <c r="AK481" s="52">
        <f t="shared" ref="AK481" si="4998">AJ481*1.025</f>
        <v>0</v>
      </c>
      <c r="AL481" s="52">
        <f t="shared" ref="AL481" si="4999">AK481*1.025</f>
        <v>0</v>
      </c>
      <c r="AM481" s="52">
        <f t="shared" ref="AM481" si="5000">AL481*1.025</f>
        <v>0</v>
      </c>
      <c r="AN481" s="52">
        <f t="shared" ref="AN481" si="5001">AM481*1.025</f>
        <v>0</v>
      </c>
      <c r="AO481" s="52">
        <f t="shared" ref="AO481" si="5002">AN481*1.025</f>
        <v>0</v>
      </c>
      <c r="AP481" s="52">
        <f t="shared" ref="AP481" si="5003">AO481*1.025</f>
        <v>0</v>
      </c>
      <c r="AQ481" s="52">
        <f t="shared" ref="AQ481" si="5004">AP481*1.025</f>
        <v>0</v>
      </c>
      <c r="AR481" s="52">
        <f t="shared" ref="AR481" si="5005">AQ481*1.025</f>
        <v>0</v>
      </c>
      <c r="AT481" s="19"/>
      <c r="AU481" s="19"/>
      <c r="AV481" s="19">
        <f>G481+H481</f>
        <v>-619</v>
      </c>
      <c r="AW481" s="19">
        <f>I481+J481</f>
        <v>-607</v>
      </c>
      <c r="AX481" s="19">
        <f>K481+L481</f>
        <v>-634</v>
      </c>
      <c r="AY481" s="19">
        <f>M481+N481</f>
        <v>-633</v>
      </c>
      <c r="AZ481" s="19">
        <f>O481+P481</f>
        <v>-785</v>
      </c>
      <c r="BA481" s="19">
        <f>Q481+R481</f>
        <v>-640.0925453096379</v>
      </c>
      <c r="BB481" s="19">
        <f>S481+T481</f>
        <v>-622.96135339031571</v>
      </c>
      <c r="BC481" s="19">
        <f>U481+V481</f>
        <v>-694</v>
      </c>
      <c r="BD481" s="19">
        <f>W481+X481</f>
        <v>-963</v>
      </c>
      <c r="BE481" s="19">
        <f>Y481+Z481</f>
        <v>-1001</v>
      </c>
      <c r="BF481" s="19">
        <f>AA481+AB481</f>
        <v>-1019.2422512032309</v>
      </c>
      <c r="BG481" s="19">
        <f>AC481+AD481</f>
        <v>0</v>
      </c>
      <c r="BH481" s="19">
        <f>AE481+AF481</f>
        <v>0</v>
      </c>
      <c r="BI481" s="20">
        <f>AG481+AH481</f>
        <v>0</v>
      </c>
      <c r="BJ481" s="19">
        <f>AI481+AJ481</f>
        <v>0</v>
      </c>
      <c r="BK481" s="19">
        <f>AK481+AL481</f>
        <v>0</v>
      </c>
      <c r="BL481" s="19">
        <f>AM481+AN481</f>
        <v>0</v>
      </c>
      <c r="BM481" s="19">
        <f>AO481+AP481</f>
        <v>0</v>
      </c>
      <c r="BN481" s="19">
        <f>AQ481+AR481</f>
        <v>0</v>
      </c>
    </row>
    <row r="482" spans="1:66" ht="12" customHeight="1" outlineLevel="1">
      <c r="B482" s="1" t="s">
        <v>14</v>
      </c>
      <c r="C482" s="25"/>
      <c r="D482" s="25"/>
      <c r="E482" s="25"/>
      <c r="F482" s="25"/>
      <c r="G482" s="21">
        <f>-(-793-(G469+G480)*(-2828+793)/G28)</f>
        <v>793</v>
      </c>
      <c r="H482" s="21">
        <f>-(-1012-(H469+H480)*(-3086+1012)/H28)</f>
        <v>1012</v>
      </c>
      <c r="I482" s="21">
        <f>-(-753-(I469+I480)*(-2552+753)/I28)</f>
        <v>718.24525212835624</v>
      </c>
      <c r="J482" s="21">
        <f>-(-959-(J469+J480)*(-2743+959)/J28)</f>
        <v>871.85484318623367</v>
      </c>
      <c r="K482" s="21">
        <f>-(-916-(K469+K480)*(-2869+916)/K28)</f>
        <v>869.81598260396845</v>
      </c>
      <c r="L482" s="21">
        <f>-(-1156-(L469+L480)*(-3157+1156)/L28)</f>
        <v>1037.8183247249046</v>
      </c>
      <c r="M482" s="21">
        <f>-(-1110-(M469+M480)*(-3163+1110)/M28)</f>
        <v>1058.7229225023343</v>
      </c>
      <c r="N482" s="21">
        <f>-(-1269-(N469+N480)*(-3577+1269)/N28)</f>
        <v>1276.4182402571314</v>
      </c>
      <c r="O482" s="21">
        <f>-(-1347-(O469+O480)*(-3699+1347)/O28)</f>
        <v>1345.6731854080481</v>
      </c>
      <c r="P482" s="21">
        <f>-(-1008-(P469+P480)*(-3421+1008)/P28)</f>
        <v>887.27485987128921</v>
      </c>
      <c r="Q482" s="21">
        <f>-(-1334-(Q469+Q480)*(-3733+1334)/Q28)</f>
        <v>1914.6701801456497</v>
      </c>
      <c r="R482" s="21">
        <f>-(-1186-(R469+R480)*(-3527+1186)/R28)</f>
        <v>1576.3183054799845</v>
      </c>
      <c r="S482" s="21">
        <f>-(-1332-(S469+S480)*(-3693+1332)/S28)</f>
        <v>1722.2190105614231</v>
      </c>
      <c r="T482" s="21">
        <f>-(-1219-(T469+T480)*(-3763+1219)/T28)</f>
        <v>1679.6192286800651</v>
      </c>
      <c r="U482" s="21">
        <f>-(-1422-(U469+U480)*(-4125+1422)/U28)</f>
        <v>1378.8818181818183</v>
      </c>
      <c r="V482" s="21">
        <f>-(-1597-(V469+V480)*(-4762+1597)/V28)</f>
        <v>1547.1754766031195</v>
      </c>
      <c r="W482" s="21">
        <f>-(-1689-(W469+W480)*(-4480+1689)/W28)</f>
        <v>1613.4840189873419</v>
      </c>
      <c r="X482" s="21">
        <f>-(-1457-(X469+X480)*(-4391+1457)/X28)</f>
        <v>1358.7928393005827</v>
      </c>
      <c r="Y482" s="21">
        <f>-(-1502-(Y469+Y480)*(-4266+1502)/Y28)</f>
        <v>1499.4959231744881</v>
      </c>
      <c r="Z482" s="21">
        <f>-(-1892-(Z469+Z480)*(-4601+1892)/Z28)</f>
        <v>1791.5560303239145</v>
      </c>
      <c r="AA482" s="21">
        <f>-(-1999-(AA469+AA480)*(-5069+1999)/AA28)</f>
        <v>1928.5835468990263</v>
      </c>
      <c r="AB482" s="21">
        <f>-(-2344-(AB469+AB480)*(-5716+2344)/AB28)</f>
        <v>2393.2340336134453</v>
      </c>
      <c r="AC482" s="21">
        <f t="shared" ref="AC482:AG482" si="5006">-SUM(AC107,AC185,AC261,AC337)</f>
        <v>1519.7861629283573</v>
      </c>
      <c r="AD482" s="21">
        <f t="shared" si="5006"/>
        <v>1611.988816819817</v>
      </c>
      <c r="AE482" s="21">
        <f t="shared" si="5006"/>
        <v>784.57188679372575</v>
      </c>
      <c r="AF482" s="21">
        <f t="shared" si="5006"/>
        <v>1021.8841847846716</v>
      </c>
      <c r="AG482" s="21">
        <f t="shared" si="5006"/>
        <v>627.74432842241049</v>
      </c>
      <c r="AH482" s="21">
        <f>-SUM(AH107,AH185,AH261,AH337)</f>
        <v>1033.4441390241213</v>
      </c>
      <c r="AI482" s="24">
        <f>-SUM(AI107,AI185,AI261,AI337)</f>
        <v>553.20166947631765</v>
      </c>
      <c r="AJ482" s="25">
        <f t="shared" ref="AJ482:AR482" si="5007">-SUM(AJ107,AJ185,AJ261,AJ337)</f>
        <v>1235.7719243270676</v>
      </c>
      <c r="AK482" s="25">
        <f t="shared" si="5007"/>
        <v>1193.3515296469898</v>
      </c>
      <c r="AL482" s="25">
        <f t="shared" si="5007"/>
        <v>1312.0104025960186</v>
      </c>
      <c r="AM482" s="25">
        <f t="shared" si="5007"/>
        <v>1303.1857298626949</v>
      </c>
      <c r="AN482" s="25">
        <f t="shared" si="5007"/>
        <v>1398.6551743827183</v>
      </c>
      <c r="AO482" s="25">
        <f t="shared" si="5007"/>
        <v>1365.0591708580473</v>
      </c>
      <c r="AP482" s="25">
        <f t="shared" si="5007"/>
        <v>1459.3746004859809</v>
      </c>
      <c r="AQ482" s="25">
        <f t="shared" si="5007"/>
        <v>1431.5428035514224</v>
      </c>
      <c r="AR482" s="25">
        <f t="shared" si="5007"/>
        <v>1510.2741615169864</v>
      </c>
      <c r="AT482" s="19"/>
      <c r="AU482" s="19"/>
      <c r="AV482" s="19">
        <f>G482+H482</f>
        <v>1805</v>
      </c>
      <c r="AW482" s="19">
        <f>I482+J482</f>
        <v>1590.1000953145899</v>
      </c>
      <c r="AX482" s="19">
        <f>K482+L482</f>
        <v>1907.6343073288731</v>
      </c>
      <c r="AY482" s="19">
        <f>M482+N482</f>
        <v>2335.1411627594657</v>
      </c>
      <c r="AZ482" s="19">
        <f>O482+P482</f>
        <v>2232.9480452793373</v>
      </c>
      <c r="BA482" s="19">
        <f>Q482+R482</f>
        <v>3490.988485625634</v>
      </c>
      <c r="BB482" s="19">
        <f>S482+T482</f>
        <v>3401.8382392414883</v>
      </c>
      <c r="BC482" s="19">
        <f>U482+V482</f>
        <v>2926.0572947849378</v>
      </c>
      <c r="BD482" s="19">
        <f>W482+X482</f>
        <v>2972.2768582879244</v>
      </c>
      <c r="BE482" s="19">
        <f>Y482+Z482</f>
        <v>3291.0519534984023</v>
      </c>
      <c r="BF482" s="19">
        <f>AA482+AB482</f>
        <v>4321.817580512472</v>
      </c>
      <c r="BG482" s="19">
        <f>AC482+AD482</f>
        <v>3131.7749797481742</v>
      </c>
      <c r="BH482" s="19">
        <f>AE482+AF482</f>
        <v>1806.4560715783973</v>
      </c>
      <c r="BI482" s="20">
        <f>AG482+AH482</f>
        <v>1661.1884674465318</v>
      </c>
      <c r="BJ482" s="19">
        <f>AI482+AJ482</f>
        <v>1788.9735938033853</v>
      </c>
      <c r="BK482" s="19">
        <f>AK482+AL482</f>
        <v>2505.3619322430086</v>
      </c>
      <c r="BL482" s="19">
        <f>AM482+AN482</f>
        <v>2701.8409042454132</v>
      </c>
      <c r="BM482" s="19">
        <f>AO482+AP482</f>
        <v>2824.4337713440282</v>
      </c>
      <c r="BN482" s="19">
        <f>AQ482+AR482</f>
        <v>2941.8169650684085</v>
      </c>
    </row>
    <row r="483" spans="1:66" ht="12" customHeight="1" outlineLevel="1">
      <c r="A483" s="91" t="str">
        <f>LEFT(A477,3)&amp;"_ProfitShare"</f>
        <v>COR_ProfitShare</v>
      </c>
      <c r="B483" s="1" t="s">
        <v>13</v>
      </c>
      <c r="C483" s="19"/>
      <c r="D483" s="19"/>
      <c r="E483" s="19"/>
      <c r="F483" s="19"/>
      <c r="G483" s="19">
        <f t="shared" ref="G483:H483" si="5008">(G485-(G473+G482+G481+G480)*(1-G518)-G475)/(1-G518)</f>
        <v>26.016393442623009</v>
      </c>
      <c r="H483" s="19">
        <f t="shared" si="5008"/>
        <v>22.08235294117647</v>
      </c>
      <c r="I483" s="19">
        <f t="shared" ref="I483:M483" si="5009">(I485-(I473+I482+I481+I480)*(1-I518)-I475)/(1-I518)</f>
        <v>8.965274187433236</v>
      </c>
      <c r="J483" s="19">
        <f t="shared" si="5009"/>
        <v>-73.469128900519379</v>
      </c>
      <c r="K483" s="19">
        <f t="shared" si="5009"/>
        <v>-214.74838628974751</v>
      </c>
      <c r="L483" s="19">
        <f t="shared" si="5009"/>
        <v>-371.3973894885853</v>
      </c>
      <c r="M483" s="25">
        <f t="shared" si="5009"/>
        <v>-357.8820933109173</v>
      </c>
      <c r="N483" s="25">
        <f t="shared" ref="N483:O483" si="5010">(N485-(N473+N482+N481+N480)*(1-N518)-N475)/(1-N518)</f>
        <v>-438.87281139828929</v>
      </c>
      <c r="O483" s="25">
        <f t="shared" si="5010"/>
        <v>-573.49561531459017</v>
      </c>
      <c r="P483" s="25">
        <f t="shared" ref="P483:Q483" si="5011">(P485-(P473+P482+P481+P480)*(1-P518)-P475)/(1-P518)</f>
        <v>-20.738606094854159</v>
      </c>
      <c r="Q483" s="25">
        <f t="shared" si="5011"/>
        <v>294.41609696731723</v>
      </c>
      <c r="R483" s="25">
        <f t="shared" ref="R483:S483" si="5012">(R485-(R473+R482+R481+R480)*(1-R518)-R475)/(1-R518)</f>
        <v>345.51995858479461</v>
      </c>
      <c r="S483" s="25">
        <f t="shared" si="5012"/>
        <v>173.72885979573897</v>
      </c>
      <c r="T483" s="25">
        <f t="shared" ref="T483" si="5013">(T485-(T473+T482+T481+T480)*(1-T518)-T475)/(1-T518)</f>
        <v>476.84081684243904</v>
      </c>
      <c r="U483" s="25">
        <f t="shared" ref="U483" si="5014">(U485-(U473+U482+U481+U480)*(1-U518)-U475)/(1-U518)</f>
        <v>-240.14581901837602</v>
      </c>
      <c r="V483" s="25">
        <f t="shared" ref="V483:W483" si="5015">(V485-(V473+V482+V481+V480)*(1-V518)-V475)/(1-V518)</f>
        <v>-322.08384800871778</v>
      </c>
      <c r="W483" s="25">
        <f t="shared" si="5015"/>
        <v>-327.23367823313913</v>
      </c>
      <c r="X483" s="25">
        <f t="shared" ref="X483:Y483" si="5016">(X485-(X473+X482+X481+X480)*(1-X518)-X475)/(1-X518)</f>
        <v>-25.837635550610624</v>
      </c>
      <c r="Y483" s="25">
        <f t="shared" si="5016"/>
        <v>-376.28743975887011</v>
      </c>
      <c r="Z483" s="25">
        <f t="shared" ref="Z483:AB483" si="5017">(Z485-(Z473+Z482+Z481+Z480)*(1-Z518)-Z475)/(1-Z518)</f>
        <v>-159.06874643161419</v>
      </c>
      <c r="AA483" s="25">
        <f t="shared" si="5017"/>
        <v>-146.91296092836356</v>
      </c>
      <c r="AB483" s="25">
        <f t="shared" si="5017"/>
        <v>-13.390199462113634</v>
      </c>
      <c r="AC483" s="25">
        <v>0</v>
      </c>
      <c r="AD483" s="25">
        <v>0</v>
      </c>
      <c r="AE483" s="25">
        <v>0</v>
      </c>
      <c r="AF483" s="25">
        <v>0</v>
      </c>
      <c r="AG483" s="25">
        <v>0</v>
      </c>
      <c r="AH483" s="25">
        <v>0</v>
      </c>
      <c r="AI483" s="26">
        <v>0</v>
      </c>
      <c r="AJ483" s="52">
        <f t="shared" ref="AJ483" si="5018">AI483*1.025</f>
        <v>0</v>
      </c>
      <c r="AK483" s="52">
        <f t="shared" ref="AK483" si="5019">AJ483*1.025</f>
        <v>0</v>
      </c>
      <c r="AL483" s="52">
        <f t="shared" ref="AL483" si="5020">AK483*1.025</f>
        <v>0</v>
      </c>
      <c r="AM483" s="52">
        <f t="shared" ref="AM483" si="5021">AL483*1.025</f>
        <v>0</v>
      </c>
      <c r="AN483" s="52">
        <f t="shared" ref="AN483" si="5022">AM483*1.025</f>
        <v>0</v>
      </c>
      <c r="AO483" s="52">
        <f t="shared" ref="AO483" si="5023">AN483*1.025</f>
        <v>0</v>
      </c>
      <c r="AP483" s="52">
        <f t="shared" ref="AP483" si="5024">AO483*1.025</f>
        <v>0</v>
      </c>
      <c r="AQ483" s="52">
        <f t="shared" ref="AQ483" si="5025">AP483*1.025</f>
        <v>0</v>
      </c>
      <c r="AR483" s="52">
        <f t="shared" ref="AR483" si="5026">AQ483*1.025</f>
        <v>0</v>
      </c>
      <c r="AT483" s="19"/>
      <c r="AU483" s="19"/>
      <c r="AV483" s="19">
        <f>G483+H483</f>
        <v>48.09874638379948</v>
      </c>
      <c r="AW483" s="19">
        <f>I483+J483</f>
        <v>-64.503854713086142</v>
      </c>
      <c r="AX483" s="19">
        <f>K483+L483</f>
        <v>-586.14577577833279</v>
      </c>
      <c r="AY483" s="19">
        <f>M483+N483</f>
        <v>-796.75490470920658</v>
      </c>
      <c r="AZ483" s="19">
        <f>O483+P483</f>
        <v>-594.23422140944433</v>
      </c>
      <c r="BA483" s="19">
        <f>Q483+R483</f>
        <v>639.93605555211184</v>
      </c>
      <c r="BB483" s="19">
        <f>S483+T483</f>
        <v>650.56967663817795</v>
      </c>
      <c r="BC483" s="19">
        <f>U483+V483</f>
        <v>-562.2296670270938</v>
      </c>
      <c r="BD483" s="19">
        <f>W483+X483</f>
        <v>-353.07131378374976</v>
      </c>
      <c r="BE483" s="19">
        <f>Y483+Z483</f>
        <v>-535.35618619048432</v>
      </c>
      <c r="BF483" s="19">
        <f>AA483+AB483</f>
        <v>-160.30316039047719</v>
      </c>
      <c r="BG483" s="19">
        <f>AC483+AD483</f>
        <v>0</v>
      </c>
      <c r="BH483" s="19">
        <f>AE483+AF483</f>
        <v>0</v>
      </c>
      <c r="BI483" s="20">
        <f>AG483+AH483</f>
        <v>0</v>
      </c>
      <c r="BJ483" s="19">
        <f>AI483+AJ483</f>
        <v>0</v>
      </c>
      <c r="BK483" s="19">
        <f>AK483+AL483</f>
        <v>0</v>
      </c>
      <c r="BL483" s="19">
        <f>AM483+AN483</f>
        <v>0</v>
      </c>
      <c r="BM483" s="19">
        <f>AO483+AP483</f>
        <v>0</v>
      </c>
      <c r="BN483" s="19">
        <f>AQ483+AR483</f>
        <v>0</v>
      </c>
    </row>
    <row r="484" spans="1:66" ht="12" customHeight="1" outlineLevel="1">
      <c r="A484" s="91" t="str">
        <f>LEFT(A477,3)&amp;"_Tax"</f>
        <v>COR_Tax</v>
      </c>
      <c r="B484" s="1" t="s">
        <v>15</v>
      </c>
      <c r="C484" s="19"/>
      <c r="D484" s="19"/>
      <c r="E484" s="19"/>
      <c r="F484" s="19"/>
      <c r="G484" s="19">
        <f t="shared" ref="G484:H484" si="5027">G485-(G477+G480+G481+G483+G482)</f>
        <v>99.983606557377016</v>
      </c>
      <c r="H484" s="19">
        <f t="shared" si="5027"/>
        <v>174.9176470588236</v>
      </c>
      <c r="I484" s="19">
        <f t="shared" ref="I484:M484" si="5028">I485-(I477+I480+I481+I483+I482)</f>
        <v>147.78947368421052</v>
      </c>
      <c r="J484" s="19">
        <f t="shared" si="5028"/>
        <v>371.61428571428564</v>
      </c>
      <c r="K484" s="19">
        <f t="shared" si="5028"/>
        <v>374.2255543707106</v>
      </c>
      <c r="L484" s="19">
        <f t="shared" si="5028"/>
        <v>613.78591407874922</v>
      </c>
      <c r="M484" s="19">
        <f t="shared" si="5028"/>
        <v>550.76465026063772</v>
      </c>
      <c r="N484" s="19">
        <f t="shared" ref="N484:O484" si="5029">N485-(N477+N480+N481+N483+N482)</f>
        <v>618.34909168910315</v>
      </c>
      <c r="O484" s="19">
        <f t="shared" si="5029"/>
        <v>721.07242990654231</v>
      </c>
      <c r="P484" s="19">
        <f t="shared" ref="P484:Q484" si="5030">P485-(P477+P480+P481+P483+P482)</f>
        <v>369.71374622356484</v>
      </c>
      <c r="Q484" s="19">
        <f t="shared" si="5030"/>
        <v>526.84000000000015</v>
      </c>
      <c r="R484" s="19">
        <f t="shared" ref="R484:S484" si="5031">R485-(R477+R480+R481+R483+R482)</f>
        <v>447.32800413189199</v>
      </c>
      <c r="S484" s="19">
        <f t="shared" si="5031"/>
        <v>520.95686687741477</v>
      </c>
      <c r="T484" s="19">
        <f t="shared" ref="T484" si="5032">T485-(T477+T480+T481+T483+T482)</f>
        <v>432.09657063323471</v>
      </c>
      <c r="U484" s="19">
        <f t="shared" ref="U484" si="5033">U485-(U477+U480+U481+U483+U482)</f>
        <v>416.25578165847537</v>
      </c>
      <c r="V484" s="19">
        <f t="shared" ref="V484:W484" si="5034">V485-(V477+V480+V481+V483+V482)</f>
        <v>565.98701311889158</v>
      </c>
      <c r="W484" s="19">
        <f t="shared" si="5034"/>
        <v>423.53839164016335</v>
      </c>
      <c r="X484" s="19">
        <f t="shared" ref="X484:Y484" si="5035">X485-(X477+X480+X481+X483+X482)</f>
        <v>335.34057089791509</v>
      </c>
      <c r="Y484" s="19">
        <f t="shared" si="5035"/>
        <v>356.79973576246448</v>
      </c>
      <c r="Z484" s="19">
        <f t="shared" ref="Z484:AA484" si="5036">Z485-(Z477+Z480+Z481+Z483+Z482)</f>
        <v>622.00449692961752</v>
      </c>
      <c r="AA484" s="19">
        <f t="shared" si="5036"/>
        <v>593.33147667612093</v>
      </c>
      <c r="AB484" s="19">
        <f t="shared" ref="AB484" si="5037">AB485-(AB477+AB480+AB481+AB483+AB482)</f>
        <v>987.35525851470447</v>
      </c>
      <c r="AC484" s="19">
        <f>-SUM(AC108,AC186,AC262,AC338)</f>
        <v>731.21383707164284</v>
      </c>
      <c r="AD484" s="19">
        <f t="shared" ref="AD484:AH484" si="5038">-SUM(AD108,AD186,AD262,AD338)</f>
        <v>1013.011183180182</v>
      </c>
      <c r="AE484" s="19">
        <f t="shared" si="5038"/>
        <v>543.42811320627436</v>
      </c>
      <c r="AF484" s="19">
        <f t="shared" si="5038"/>
        <v>720.11581521532867</v>
      </c>
      <c r="AG484" s="19">
        <f t="shared" si="5038"/>
        <v>658.25567157758951</v>
      </c>
      <c r="AH484" s="19">
        <f t="shared" si="5038"/>
        <v>619.55586097587866</v>
      </c>
      <c r="AI484" s="20">
        <f t="shared" ref="AI484" si="5039">-SUM(AI108,AI186,AI262,AI338)</f>
        <v>914.79833052368258</v>
      </c>
      <c r="AJ484" s="19">
        <f t="shared" ref="AJ484:AR484" si="5040">-SUM(AJ108,AJ186,AJ262,AJ338)</f>
        <v>839.47884217896797</v>
      </c>
      <c r="AK484" s="19">
        <f t="shared" si="5040"/>
        <v>685.36796461755455</v>
      </c>
      <c r="AL484" s="19">
        <f t="shared" si="5040"/>
        <v>753.248186838984</v>
      </c>
      <c r="AM484" s="19">
        <f t="shared" si="5040"/>
        <v>750.73687094444654</v>
      </c>
      <c r="AN484" s="19">
        <f t="shared" si="5040"/>
        <v>841.93107686810981</v>
      </c>
      <c r="AO484" s="19">
        <f t="shared" si="5040"/>
        <v>819.59264996176375</v>
      </c>
      <c r="AP484" s="19">
        <f t="shared" si="5040"/>
        <v>911.11347498843111</v>
      </c>
      <c r="AQ484" s="19">
        <f t="shared" si="5040"/>
        <v>892.07370203332653</v>
      </c>
      <c r="AR484" s="19">
        <f t="shared" si="5040"/>
        <v>971.15904475997172</v>
      </c>
      <c r="AT484" s="19"/>
      <c r="AU484" s="19"/>
      <c r="AV484" s="19">
        <f>G484+H484</f>
        <v>274.90125361620062</v>
      </c>
      <c r="AW484" s="19">
        <f>I484+J484</f>
        <v>519.40375939849616</v>
      </c>
      <c r="AX484" s="19">
        <f>K484+L484</f>
        <v>988.01146844945981</v>
      </c>
      <c r="AY484" s="19">
        <f>M484+N484</f>
        <v>1169.1137419497409</v>
      </c>
      <c r="AZ484" s="19">
        <f>O484+P484</f>
        <v>1090.7861761301072</v>
      </c>
      <c r="BA484" s="19">
        <f>Q484+R484</f>
        <v>974.16800413189208</v>
      </c>
      <c r="BB484" s="19">
        <f>S484+T484</f>
        <v>953.05343751064947</v>
      </c>
      <c r="BC484" s="19">
        <f>U484+V484</f>
        <v>982.24279477736695</v>
      </c>
      <c r="BD484" s="19">
        <f>W484+X484</f>
        <v>758.87896253807844</v>
      </c>
      <c r="BE484" s="19">
        <f>Y484+Z484</f>
        <v>978.804232692082</v>
      </c>
      <c r="BF484" s="19">
        <f>AA484+AB484</f>
        <v>1580.6867351908254</v>
      </c>
      <c r="BG484" s="19">
        <f>AC484+AD484</f>
        <v>1744.2250202518248</v>
      </c>
      <c r="BH484" s="19">
        <f>AE484+AF484</f>
        <v>1263.5439284216031</v>
      </c>
      <c r="BI484" s="20">
        <f>AG484+AH484</f>
        <v>1277.8115325534682</v>
      </c>
      <c r="BJ484" s="19">
        <f>AI484+AJ484</f>
        <v>1754.2771727026507</v>
      </c>
      <c r="BK484" s="19">
        <f>AK484+AL484</f>
        <v>1438.6161514565385</v>
      </c>
      <c r="BL484" s="19">
        <f>AM484+AN484</f>
        <v>1592.6679478125563</v>
      </c>
      <c r="BM484" s="19">
        <f>AO484+AP484</f>
        <v>1730.7061249501949</v>
      </c>
      <c r="BN484" s="19">
        <f>AQ484+AR484</f>
        <v>1863.2327467932982</v>
      </c>
    </row>
    <row r="485" spans="1:66" ht="12" customHeight="1" outlineLevel="1">
      <c r="A485" s="91" t="str">
        <f>LEFT(A477,3)&amp;"_CE"</f>
        <v>COR_CE</v>
      </c>
      <c r="B485" s="1" t="s">
        <v>54</v>
      </c>
      <c r="C485" s="19"/>
      <c r="D485" s="19"/>
      <c r="E485" s="19"/>
      <c r="F485" s="19"/>
      <c r="G485" s="19">
        <f>AVERAGE(F490:G490)*G519/G$5</f>
        <v>0</v>
      </c>
      <c r="H485" s="19">
        <f t="shared" ref="H485" si="5041">AVERAGE(G490:H490)*H519/H$5</f>
        <v>0</v>
      </c>
      <c r="I485" s="19">
        <f t="shared" ref="I485:M485" si="5042">AVERAGE(H490:I490)*I519/I$5</f>
        <v>0</v>
      </c>
      <c r="J485" s="19">
        <f t="shared" si="5042"/>
        <v>0</v>
      </c>
      <c r="K485" s="19">
        <f t="shared" si="5042"/>
        <v>-123.70684931506845</v>
      </c>
      <c r="L485" s="19">
        <f t="shared" si="5042"/>
        <v>-148.79315068493145</v>
      </c>
      <c r="M485" s="19">
        <f t="shared" si="5042"/>
        <v>-198.39452054794526</v>
      </c>
      <c r="N485" s="19">
        <f t="shared" ref="N485" si="5043">AVERAGE(M490:N490)*N519/N$5</f>
        <v>-312.10547945205474</v>
      </c>
      <c r="O485" s="19">
        <f t="shared" ref="O485:P485" si="5044">AVERAGE(N490:O490)*O519/O$5</f>
        <v>-391.75</v>
      </c>
      <c r="P485" s="19">
        <f t="shared" si="5044"/>
        <v>56.25</v>
      </c>
      <c r="Q485" s="19">
        <f t="shared" ref="Q485:AB485" si="5045">AVERAGE(P490:Q490)*Q519/Q$5</f>
        <v>-220.97260273972597</v>
      </c>
      <c r="R485" s="19">
        <f t="shared" si="5045"/>
        <v>-56.027397260273972</v>
      </c>
      <c r="S485" s="19">
        <f t="shared" si="5045"/>
        <v>-211.2369863013698</v>
      </c>
      <c r="T485" s="19">
        <f t="shared" si="5045"/>
        <v>2.736986301369825</v>
      </c>
      <c r="U485" s="19">
        <f t="shared" si="5045"/>
        <v>-157.00821917808227</v>
      </c>
      <c r="V485" s="19">
        <f t="shared" si="5045"/>
        <v>-207.92135828670663</v>
      </c>
      <c r="W485" s="19">
        <f t="shared" si="5045"/>
        <v>-190.21126760563376</v>
      </c>
      <c r="X485" s="19">
        <f t="shared" si="5045"/>
        <v>55.295774647887129</v>
      </c>
      <c r="Y485" s="19">
        <f t="shared" si="5045"/>
        <v>-292.9917808219177</v>
      </c>
      <c r="Z485" s="19">
        <f t="shared" si="5045"/>
        <v>2.4917808219177005</v>
      </c>
      <c r="AA485" s="19">
        <f t="shared" si="5045"/>
        <v>32.75753424657524</v>
      </c>
      <c r="AB485" s="19">
        <f t="shared" si="5045"/>
        <v>-12.798630136986503</v>
      </c>
      <c r="AC485" s="19">
        <f>SUM(AC477,AC482,AC483,AC484)</f>
        <v>-16.999999999999886</v>
      </c>
      <c r="AD485" s="19">
        <f t="shared" ref="AD485:AH485" si="5046">SUM(AD477,AD482,AD483,AD484)</f>
        <v>-277.00000000000102</v>
      </c>
      <c r="AE485" s="19">
        <f t="shared" si="5046"/>
        <v>-114.99999999999989</v>
      </c>
      <c r="AF485" s="19">
        <f t="shared" si="5046"/>
        <v>-5.9999999999997726</v>
      </c>
      <c r="AG485" s="19">
        <f t="shared" si="5046"/>
        <v>-123</v>
      </c>
      <c r="AH485" s="19">
        <f t="shared" si="5046"/>
        <v>-85</v>
      </c>
      <c r="AI485" s="20">
        <f t="shared" ref="AI485" si="5047">SUM(AI477,AI482,AI483,AI484)</f>
        <v>-668.99999999999977</v>
      </c>
      <c r="AJ485" s="19">
        <f t="shared" ref="AJ485" si="5048">SUM(AJ477,AJ482,AJ483,AJ484)</f>
        <v>-412.39712872752546</v>
      </c>
      <c r="AK485" s="19">
        <f t="shared" ref="AK485" si="5049">SUM(AK477,AK482,AK483,AK484)</f>
        <v>-101.4990595180908</v>
      </c>
      <c r="AL485" s="19">
        <f t="shared" ref="AL485" si="5050">SUM(AL477,AL482,AL483,AL484)</f>
        <v>-27.362409915688318</v>
      </c>
      <c r="AM485" s="19">
        <f t="shared" ref="AM485" si="5051">SUM(AM477,AM482,AM483,AM484)</f>
        <v>-97.4835398577261</v>
      </c>
      <c r="AN485" s="19">
        <f t="shared" ref="AN485" si="5052">SUM(AN477,AN482,AN483,AN484)</f>
        <v>-23.659178483664846</v>
      </c>
      <c r="AO485" s="19">
        <f t="shared" ref="AO485" si="5053">SUM(AO477,AO482,AO483,AO484)</f>
        <v>-143.21253033754897</v>
      </c>
      <c r="AP485" s="19">
        <f t="shared" ref="AP485" si="5054">SUM(AP477,AP482,AP483,AP484)</f>
        <v>-91.993287132039541</v>
      </c>
      <c r="AQ485" s="19">
        <f t="shared" ref="AQ485" si="5055">SUM(AQ477,AQ482,AQ483,AQ484)</f>
        <v>-209.66039814937517</v>
      </c>
      <c r="AR485" s="19">
        <f t="shared" ref="AR485" si="5056">SUM(AR477,AR482,AR483,AR484)</f>
        <v>-163.97582385939404</v>
      </c>
      <c r="AT485" s="41"/>
      <c r="AU485" s="41"/>
      <c r="AV485" s="41">
        <f t="shared" ref="AV485:BB485" si="5057">AV480+AV481+AV482+AV483+AV484+AV477</f>
        <v>0</v>
      </c>
      <c r="AW485" s="41">
        <f t="shared" si="5057"/>
        <v>0</v>
      </c>
      <c r="AX485" s="41">
        <f t="shared" si="5057"/>
        <v>-272.5</v>
      </c>
      <c r="AY485" s="41">
        <f t="shared" si="5057"/>
        <v>-510.5</v>
      </c>
      <c r="AZ485" s="41">
        <f t="shared" si="5057"/>
        <v>-335.5</v>
      </c>
      <c r="BA485" s="41">
        <f t="shared" si="5057"/>
        <v>-277</v>
      </c>
      <c r="BB485" s="41">
        <f t="shared" si="5057"/>
        <v>-208.5</v>
      </c>
      <c r="BC485" s="41">
        <f t="shared" ref="BC485" si="5058">BC480+BC481+BC482+BC483+BC484+BC477</f>
        <v>-364.92957746478896</v>
      </c>
      <c r="BD485" s="41">
        <f t="shared" ref="BD485:BF485" si="5059">BD480+BD481+BD482+BD483+BD484+BD477</f>
        <v>-134.91549295774712</v>
      </c>
      <c r="BE485" s="41">
        <f t="shared" si="5059"/>
        <v>-290.5</v>
      </c>
      <c r="BF485" s="41">
        <f t="shared" si="5059"/>
        <v>19.958904109589639</v>
      </c>
      <c r="BG485" s="41">
        <f t="shared" ref="BG485:BI485" si="5060">BG481+BG482+BG483+BG484+BG477</f>
        <v>-294.00000000000091</v>
      </c>
      <c r="BH485" s="41">
        <f t="shared" si="5060"/>
        <v>-120.99999999999955</v>
      </c>
      <c r="BI485" s="42">
        <f t="shared" si="5060"/>
        <v>-208</v>
      </c>
      <c r="BJ485" s="41">
        <f>BJ481+BJ482+BJ483+BJ484+BJ477</f>
        <v>-1081.3971287275253</v>
      </c>
      <c r="BK485" s="41">
        <f t="shared" ref="BK485:BN485" si="5061">BK481+BK482+BK483+BK484+BK477</f>
        <v>-128.86146943377935</v>
      </c>
      <c r="BL485" s="41">
        <f t="shared" si="5061"/>
        <v>-121.14271834139163</v>
      </c>
      <c r="BM485" s="41">
        <f t="shared" si="5061"/>
        <v>-235.20581746958851</v>
      </c>
      <c r="BN485" s="41">
        <f t="shared" si="5061"/>
        <v>-373.63622200876944</v>
      </c>
    </row>
    <row r="486" spans="1:66" ht="12" customHeight="1" outlineLevel="1">
      <c r="C486" s="85"/>
      <c r="D486" s="85"/>
      <c r="E486" s="85"/>
      <c r="F486" s="85"/>
      <c r="G486" s="85"/>
      <c r="H486" s="85"/>
      <c r="I486" s="85"/>
      <c r="J486" s="85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20"/>
      <c r="AJ486" s="19"/>
      <c r="AK486" s="19"/>
      <c r="AL486" s="19"/>
      <c r="AM486" s="19"/>
      <c r="AN486" s="19"/>
      <c r="AO486" s="19"/>
      <c r="AP486" s="19"/>
      <c r="AQ486" s="19"/>
      <c r="AR486" s="19"/>
      <c r="AT486" s="19"/>
      <c r="AU486" s="19"/>
      <c r="AV486" s="19"/>
      <c r="AW486" s="19"/>
      <c r="AX486" s="19"/>
      <c r="AY486" s="19"/>
      <c r="AZ486" s="19"/>
      <c r="BA486" s="19"/>
      <c r="BB486" s="19"/>
      <c r="BC486" s="19"/>
      <c r="BD486" s="19"/>
      <c r="BE486" s="19"/>
      <c r="BF486" s="19"/>
      <c r="BG486" s="19"/>
      <c r="BH486" s="19"/>
      <c r="BI486" s="20"/>
      <c r="BJ486" s="19"/>
      <c r="BK486" s="19"/>
      <c r="BL486" s="19"/>
      <c r="BM486" s="19"/>
      <c r="BN486" s="19"/>
    </row>
    <row r="487" spans="1:66" ht="12" customHeight="1" outlineLevel="1">
      <c r="B487" s="9" t="s">
        <v>41</v>
      </c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20"/>
    </row>
    <row r="488" spans="1:66" ht="12" customHeight="1" outlineLevel="1">
      <c r="B488" s="1" t="s">
        <v>42</v>
      </c>
      <c r="C488" s="25">
        <f t="shared" ref="C488:T488" si="5062">C39-C112-C698-C190-C557-C627-C342</f>
        <v>4004</v>
      </c>
      <c r="D488" s="25">
        <f t="shared" si="5062"/>
        <v>3667</v>
      </c>
      <c r="E488" s="25">
        <f t="shared" si="5062"/>
        <v>4830</v>
      </c>
      <c r="F488" s="25">
        <f t="shared" si="5062"/>
        <v>5316</v>
      </c>
      <c r="G488" s="25">
        <f t="shared" si="5062"/>
        <v>5843</v>
      </c>
      <c r="H488" s="25">
        <f t="shared" si="5062"/>
        <v>5818</v>
      </c>
      <c r="I488" s="25">
        <f t="shared" si="5062"/>
        <v>7459</v>
      </c>
      <c r="J488" s="25">
        <f t="shared" si="5062"/>
        <v>8883</v>
      </c>
      <c r="K488" s="25">
        <f t="shared" si="5062"/>
        <v>6193</v>
      </c>
      <c r="L488" s="25">
        <f t="shared" si="5062"/>
        <v>11912</v>
      </c>
      <c r="M488" s="25">
        <f t="shared" si="5062"/>
        <v>12935</v>
      </c>
      <c r="N488" s="25">
        <f t="shared" si="5062"/>
        <v>16062</v>
      </c>
      <c r="O488" s="25">
        <f t="shared" si="5062"/>
        <v>16590</v>
      </c>
      <c r="P488" s="25">
        <f t="shared" si="5062"/>
        <v>14866</v>
      </c>
      <c r="Q488" s="25">
        <f t="shared" si="5062"/>
        <v>13676</v>
      </c>
      <c r="R488" s="25">
        <f t="shared" si="5062"/>
        <v>13863</v>
      </c>
      <c r="S488" s="25">
        <f t="shared" si="5062"/>
        <v>7187</v>
      </c>
      <c r="T488" s="25">
        <f t="shared" si="5062"/>
        <v>5909</v>
      </c>
      <c r="U488" s="25">
        <f t="shared" ref="U488:AH488" si="5063">U39-U112-U698-U190-U557-U627-U342-U266</f>
        <v>-4147</v>
      </c>
      <c r="V488" s="25">
        <f t="shared" si="5063"/>
        <v>-4489</v>
      </c>
      <c r="W488" s="25">
        <f t="shared" si="5063"/>
        <v>4766</v>
      </c>
      <c r="X488" s="25">
        <f t="shared" si="5063"/>
        <v>7617</v>
      </c>
      <c r="Y488" s="25">
        <f t="shared" si="5063"/>
        <v>-2886</v>
      </c>
      <c r="Z488" s="25">
        <f t="shared" si="5063"/>
        <v>-2374</v>
      </c>
      <c r="AA488" s="25">
        <f t="shared" si="5063"/>
        <v>-3741</v>
      </c>
      <c r="AB488" s="25">
        <f t="shared" si="5063"/>
        <v>-3856</v>
      </c>
      <c r="AC488" s="25">
        <f t="shared" si="5063"/>
        <v>-4226</v>
      </c>
      <c r="AD488" s="25">
        <f t="shared" si="5063"/>
        <v>-4928</v>
      </c>
      <c r="AE488" s="25">
        <f t="shared" si="5063"/>
        <v>-5105</v>
      </c>
      <c r="AF488" s="25">
        <f t="shared" si="5063"/>
        <v>-5029</v>
      </c>
      <c r="AG488" s="25">
        <f t="shared" si="5063"/>
        <v>-4836</v>
      </c>
      <c r="AH488" s="25">
        <f t="shared" si="5063"/>
        <v>48</v>
      </c>
      <c r="AI488" s="26">
        <f>AI39-AI112-AI698-AI190-AI557-AI627-AI342-AI266</f>
        <v>42</v>
      </c>
      <c r="AJ488" s="52">
        <f t="shared" ref="AJ488" si="5064">AI488*AJ190/AI190</f>
        <v>46.2</v>
      </c>
      <c r="AK488" s="52">
        <f t="shared" ref="AK488" si="5065">AJ488*AK190/AJ190</f>
        <v>50.127000000000002</v>
      </c>
      <c r="AL488" s="52">
        <f t="shared" ref="AL488" si="5066">AK488*AL190/AK190</f>
        <v>53.886525000000006</v>
      </c>
      <c r="AM488" s="52">
        <f t="shared" ref="AM488" si="5067">AL488*AM190/AL190</f>
        <v>57.119716500000017</v>
      </c>
      <c r="AN488" s="52">
        <f t="shared" ref="AN488" si="5068">AM488*AN190/AM190</f>
        <v>60.261300907500015</v>
      </c>
      <c r="AO488" s="52">
        <f t="shared" ref="AO488" si="5069">AN488*AO190/AN190</f>
        <v>63.274365952875023</v>
      </c>
      <c r="AP488" s="52">
        <f t="shared" ref="AP488" si="5070">AO488*AP190/AO190</f>
        <v>66.438084250518784</v>
      </c>
      <c r="AQ488" s="52">
        <f t="shared" ref="AQ488" si="5071">AP488*AQ190/AP190</f>
        <v>69.759988463044735</v>
      </c>
      <c r="AR488" s="52">
        <f t="shared" ref="AR488" si="5072">AQ488*AR190/AQ190</f>
        <v>73.247987886196981</v>
      </c>
      <c r="AT488" s="19">
        <f t="shared" ref="AT488:AT495" si="5073">D488</f>
        <v>3667</v>
      </c>
      <c r="AU488" s="19">
        <f t="shared" ref="AU488:AU495" si="5074">F488</f>
        <v>5316</v>
      </c>
      <c r="AV488" s="19">
        <f t="shared" ref="AV488:AV495" si="5075">H488</f>
        <v>5818</v>
      </c>
      <c r="AW488" s="19">
        <f t="shared" ref="AW488:AW495" si="5076">J488</f>
        <v>8883</v>
      </c>
      <c r="AX488" s="19">
        <f t="shared" ref="AX488:AX495" si="5077">L488</f>
        <v>11912</v>
      </c>
      <c r="AY488" s="19">
        <f t="shared" ref="AY488:AY495" si="5078">N488</f>
        <v>16062</v>
      </c>
      <c r="AZ488" s="19">
        <f t="shared" ref="AZ488:AZ495" si="5079">P488</f>
        <v>14866</v>
      </c>
      <c r="BA488" s="19">
        <f t="shared" ref="BA488:BA495" si="5080">R488</f>
        <v>13863</v>
      </c>
      <c r="BB488" s="19">
        <f t="shared" ref="BB488:BB495" si="5081">T488</f>
        <v>5909</v>
      </c>
      <c r="BC488" s="19">
        <f t="shared" ref="BC488:BC495" si="5082">V488</f>
        <v>-4489</v>
      </c>
      <c r="BD488" s="19">
        <f t="shared" ref="BD488:BD495" si="5083">X488</f>
        <v>7617</v>
      </c>
      <c r="BE488" s="19">
        <f t="shared" ref="BE488:BE495" si="5084">Z488</f>
        <v>-2374</v>
      </c>
      <c r="BF488" s="19">
        <f t="shared" ref="BF488:BF495" si="5085">AB488</f>
        <v>-3856</v>
      </c>
      <c r="BG488" s="19">
        <f t="shared" ref="BG488:BG495" si="5086">AD488</f>
        <v>-4928</v>
      </c>
      <c r="BH488" s="19">
        <f t="shared" ref="BH488:BH495" si="5087">AF488</f>
        <v>-5029</v>
      </c>
      <c r="BI488" s="20">
        <f t="shared" ref="BI488:BI495" si="5088">AH488</f>
        <v>48</v>
      </c>
      <c r="BJ488" s="19">
        <f t="shared" ref="BJ488:BJ495" si="5089">AJ488</f>
        <v>46.2</v>
      </c>
      <c r="BK488" s="19">
        <f t="shared" ref="BK488:BK495" si="5090">AL488</f>
        <v>53.886525000000006</v>
      </c>
      <c r="BL488" s="19">
        <f t="shared" ref="BL488:BL495" si="5091">AN488</f>
        <v>60.261300907500015</v>
      </c>
      <c r="BM488" s="19">
        <f t="shared" ref="BM488:BM495" si="5092">AP488</f>
        <v>66.438084250518784</v>
      </c>
      <c r="BN488" s="19">
        <f t="shared" ref="BN488:BN495" si="5093">AR488</f>
        <v>73.247987886196981</v>
      </c>
    </row>
    <row r="489" spans="1:66" ht="12" customHeight="1" outlineLevel="1">
      <c r="A489" s="91" t="str">
        <f>LEFT(A490,3)&amp;"_PEAssetsTotal"</f>
        <v>COR_PEAssetsTotal</v>
      </c>
      <c r="B489" s="1" t="s">
        <v>43</v>
      </c>
      <c r="C489" s="25">
        <f t="shared" ref="C489:Q489" si="5094">C40-C113-C700-C191-C558-C628-C343</f>
        <v>25749</v>
      </c>
      <c r="D489" s="25">
        <f t="shared" si="5094"/>
        <v>22259</v>
      </c>
      <c r="E489" s="25">
        <f t="shared" si="5094"/>
        <v>26582</v>
      </c>
      <c r="F489" s="25">
        <f t="shared" si="5094"/>
        <v>25161</v>
      </c>
      <c r="G489" s="25">
        <f t="shared" si="5094"/>
        <v>27266</v>
      </c>
      <c r="H489" s="25">
        <f t="shared" si="5094"/>
        <v>24070</v>
      </c>
      <c r="I489" s="25">
        <f t="shared" si="5094"/>
        <v>23224</v>
      </c>
      <c r="J489" s="25">
        <f t="shared" si="5094"/>
        <v>19239</v>
      </c>
      <c r="K489" s="25">
        <f t="shared" si="5094"/>
        <v>19655</v>
      </c>
      <c r="L489" s="25">
        <f t="shared" si="5094"/>
        <v>15456</v>
      </c>
      <c r="M489" s="25">
        <f t="shared" si="5094"/>
        <v>11005</v>
      </c>
      <c r="N489" s="25">
        <f t="shared" si="5094"/>
        <v>8943</v>
      </c>
      <c r="O489" s="25">
        <f t="shared" si="5094"/>
        <v>12348</v>
      </c>
      <c r="P489" s="25">
        <f t="shared" si="5094"/>
        <v>12251</v>
      </c>
      <c r="Q489" s="25">
        <f t="shared" si="5094"/>
        <v>8731</v>
      </c>
      <c r="R489" s="25">
        <f t="shared" ref="R489:AR489" si="5095">R40-R113-R700-R191-R414</f>
        <v>8967</v>
      </c>
      <c r="S489" s="25">
        <f t="shared" si="5095"/>
        <v>9482</v>
      </c>
      <c r="T489" s="25">
        <f t="shared" si="5095"/>
        <v>8442</v>
      </c>
      <c r="U489" s="25">
        <f t="shared" si="5095"/>
        <v>9897</v>
      </c>
      <c r="V489" s="25">
        <f t="shared" si="5095"/>
        <v>10569</v>
      </c>
      <c r="W489" s="25">
        <f t="shared" si="5095"/>
        <v>18400</v>
      </c>
      <c r="X489" s="25">
        <f t="shared" si="5095"/>
        <v>20202</v>
      </c>
      <c r="Y489" s="25">
        <f t="shared" si="5095"/>
        <v>21144</v>
      </c>
      <c r="Z489" s="25">
        <f t="shared" si="5095"/>
        <v>35186</v>
      </c>
      <c r="AA489" s="25">
        <f t="shared" si="5095"/>
        <v>52408</v>
      </c>
      <c r="AB489" s="25">
        <f t="shared" si="5095"/>
        <v>80254</v>
      </c>
      <c r="AC489" s="25">
        <f t="shared" si="5095"/>
        <v>90014</v>
      </c>
      <c r="AD489" s="25">
        <f t="shared" si="5095"/>
        <v>74564</v>
      </c>
      <c r="AE489" s="25">
        <f t="shared" si="5095"/>
        <v>75347</v>
      </c>
      <c r="AF489" s="25">
        <f t="shared" si="5095"/>
        <v>76630</v>
      </c>
      <c r="AG489" s="25">
        <f t="shared" si="5095"/>
        <v>68344</v>
      </c>
      <c r="AH489" s="25">
        <f t="shared" si="5095"/>
        <v>71387</v>
      </c>
      <c r="AI489" s="26">
        <f t="shared" ref="AI489" si="5096">AI40-AI113-AI700-AI191-AI414</f>
        <v>75012</v>
      </c>
      <c r="AJ489" s="25">
        <f t="shared" si="5095"/>
        <v>79595.312851873197</v>
      </c>
      <c r="AK489" s="25">
        <f t="shared" si="5095"/>
        <v>84051.463577686489</v>
      </c>
      <c r="AL489" s="25">
        <f t="shared" si="5095"/>
        <v>88378.71546591958</v>
      </c>
      <c r="AM489" s="25">
        <f t="shared" si="5095"/>
        <v>92027.334493595874</v>
      </c>
      <c r="AN489" s="25">
        <f t="shared" si="5095"/>
        <v>95519.183180809836</v>
      </c>
      <c r="AO489" s="25">
        <f t="shared" si="5095"/>
        <v>98813.675309753569</v>
      </c>
      <c r="AP489" s="25">
        <f t="shared" si="5095"/>
        <v>102144.61363279936</v>
      </c>
      <c r="AQ489" s="25">
        <f t="shared" si="5095"/>
        <v>105514.07236008352</v>
      </c>
      <c r="AR489" s="25">
        <f t="shared" si="5095"/>
        <v>109031.76106229209</v>
      </c>
      <c r="AT489" s="19">
        <f t="shared" si="5073"/>
        <v>22259</v>
      </c>
      <c r="AU489" s="19">
        <f t="shared" si="5074"/>
        <v>25161</v>
      </c>
      <c r="AV489" s="19">
        <f t="shared" si="5075"/>
        <v>24070</v>
      </c>
      <c r="AW489" s="19">
        <f t="shared" si="5076"/>
        <v>19239</v>
      </c>
      <c r="AX489" s="19">
        <f t="shared" si="5077"/>
        <v>15456</v>
      </c>
      <c r="AY489" s="19">
        <f t="shared" si="5078"/>
        <v>8943</v>
      </c>
      <c r="AZ489" s="19">
        <f t="shared" si="5079"/>
        <v>12251</v>
      </c>
      <c r="BA489" s="19">
        <f t="shared" si="5080"/>
        <v>8967</v>
      </c>
      <c r="BB489" s="19">
        <f t="shared" si="5081"/>
        <v>8442</v>
      </c>
      <c r="BC489" s="19">
        <f t="shared" si="5082"/>
        <v>10569</v>
      </c>
      <c r="BD489" s="19">
        <f t="shared" si="5083"/>
        <v>20202</v>
      </c>
      <c r="BE489" s="19">
        <f t="shared" si="5084"/>
        <v>35186</v>
      </c>
      <c r="BF489" s="19">
        <f t="shared" si="5085"/>
        <v>80254</v>
      </c>
      <c r="BG489" s="19">
        <f t="shared" si="5086"/>
        <v>74564</v>
      </c>
      <c r="BH489" s="19">
        <f t="shared" si="5087"/>
        <v>76630</v>
      </c>
      <c r="BI489" s="20">
        <f t="shared" si="5088"/>
        <v>71387</v>
      </c>
      <c r="BJ489" s="19">
        <f t="shared" si="5089"/>
        <v>79595.312851873197</v>
      </c>
      <c r="BK489" s="19">
        <f t="shared" si="5090"/>
        <v>88378.71546591958</v>
      </c>
      <c r="BL489" s="19">
        <f t="shared" si="5091"/>
        <v>95519.183180809836</v>
      </c>
      <c r="BM489" s="19">
        <f t="shared" si="5092"/>
        <v>102144.61363279936</v>
      </c>
      <c r="BN489" s="19">
        <f t="shared" si="5093"/>
        <v>109031.76106229209</v>
      </c>
    </row>
    <row r="490" spans="1:66" ht="12" customHeight="1" outlineLevel="1">
      <c r="A490" s="91" t="s">
        <v>514</v>
      </c>
      <c r="B490" s="1" t="s">
        <v>49</v>
      </c>
      <c r="C490" s="25">
        <f t="shared" ref="C490:Q490" si="5097">C41-C114-C701-C192-C559-C629-C344</f>
        <v>2855.5118075480023</v>
      </c>
      <c r="D490" s="25">
        <f t="shared" si="5097"/>
        <v>3202.7437651732507</v>
      </c>
      <c r="E490" s="25">
        <f t="shared" si="5097"/>
        <v>2893.6241447804027</v>
      </c>
      <c r="F490" s="25">
        <f t="shared" si="5097"/>
        <v>3173.6093577576694</v>
      </c>
      <c r="G490" s="25">
        <f t="shared" si="5097"/>
        <v>2951</v>
      </c>
      <c r="H490" s="25">
        <f t="shared" si="5097"/>
        <v>2003</v>
      </c>
      <c r="I490" s="25">
        <f t="shared" si="5097"/>
        <v>1887</v>
      </c>
      <c r="J490" s="25">
        <f t="shared" si="5097"/>
        <v>2303</v>
      </c>
      <c r="K490" s="25">
        <f t="shared" si="5097"/>
        <v>2329</v>
      </c>
      <c r="L490" s="25">
        <f t="shared" si="5097"/>
        <v>1318</v>
      </c>
      <c r="M490" s="25">
        <f t="shared" si="5097"/>
        <v>990</v>
      </c>
      <c r="N490" s="25">
        <f t="shared" si="5097"/>
        <v>1709</v>
      </c>
      <c r="O490" s="25">
        <f t="shared" si="5097"/>
        <v>1731</v>
      </c>
      <c r="P490" s="25">
        <f t="shared" si="5097"/>
        <v>2416</v>
      </c>
      <c r="Q490" s="25">
        <f t="shared" si="5097"/>
        <v>2121</v>
      </c>
      <c r="R490" s="25">
        <f t="shared" ref="R490:AR490" si="5098">R41-R114-R701-R192-R344-R268</f>
        <v>2663</v>
      </c>
      <c r="S490" s="25">
        <f t="shared" si="5098"/>
        <v>1457</v>
      </c>
      <c r="T490" s="25">
        <f t="shared" si="5098"/>
        <v>1557</v>
      </c>
      <c r="U490" s="25">
        <f t="shared" si="5098"/>
        <v>560</v>
      </c>
      <c r="V490" s="25">
        <f t="shared" si="5098"/>
        <v>2760.9999999999991</v>
      </c>
      <c r="W490" s="25">
        <f t="shared" si="5098"/>
        <v>3017</v>
      </c>
      <c r="X490" s="25">
        <f t="shared" si="5098"/>
        <v>3863</v>
      </c>
      <c r="Y490" s="25">
        <f t="shared" si="5098"/>
        <v>5908</v>
      </c>
      <c r="Z490" s="25">
        <f t="shared" si="5098"/>
        <v>5548</v>
      </c>
      <c r="AA490" s="25">
        <f t="shared" si="5098"/>
        <v>4564</v>
      </c>
      <c r="AB490" s="25">
        <f t="shared" si="5098"/>
        <v>7261</v>
      </c>
      <c r="AC490" s="25">
        <f t="shared" si="5098"/>
        <v>8137</v>
      </c>
      <c r="AD490" s="25">
        <f t="shared" si="5098"/>
        <v>8455</v>
      </c>
      <c r="AE490" s="25">
        <f t="shared" si="5098"/>
        <v>6751</v>
      </c>
      <c r="AF490" s="25">
        <f t="shared" si="5098"/>
        <v>6881</v>
      </c>
      <c r="AG490" s="25">
        <f t="shared" si="5098"/>
        <v>4899</v>
      </c>
      <c r="AH490" s="25">
        <f t="shared" si="5098"/>
        <v>4956</v>
      </c>
      <c r="AI490" s="26">
        <f t="shared" ref="AI490" si="5099">AI41-AI114-AI701-AI192-AI344-AI268</f>
        <v>4361</v>
      </c>
      <c r="AJ490" s="25">
        <f t="shared" si="5098"/>
        <v>6799.5761869657072</v>
      </c>
      <c r="AK490" s="25">
        <f t="shared" si="5098"/>
        <v>5870.4306314891055</v>
      </c>
      <c r="AL490" s="25">
        <f t="shared" si="5098"/>
        <v>5581.166924964833</v>
      </c>
      <c r="AM490" s="25">
        <f t="shared" si="5098"/>
        <v>5444.7973576372224</v>
      </c>
      <c r="AN490" s="25">
        <f t="shared" si="5098"/>
        <v>5964.5377001259003</v>
      </c>
      <c r="AO490" s="25">
        <f t="shared" si="5098"/>
        <v>5884.5579106755868</v>
      </c>
      <c r="AP490" s="25">
        <f t="shared" si="5098"/>
        <v>6601.2320137448314</v>
      </c>
      <c r="AQ490" s="25">
        <f t="shared" si="5098"/>
        <v>6802.4464773135605</v>
      </c>
      <c r="AR490" s="25">
        <f t="shared" si="5098"/>
        <v>7478.1227580282321</v>
      </c>
      <c r="AT490" s="19">
        <f t="shared" si="5073"/>
        <v>3202.7437651732507</v>
      </c>
      <c r="AU490" s="19">
        <f t="shared" si="5074"/>
        <v>3173.6093577576694</v>
      </c>
      <c r="AV490" s="19">
        <f t="shared" si="5075"/>
        <v>2003</v>
      </c>
      <c r="AW490" s="19">
        <f t="shared" si="5076"/>
        <v>2303</v>
      </c>
      <c r="AX490" s="19">
        <f t="shared" si="5077"/>
        <v>1318</v>
      </c>
      <c r="AY490" s="19">
        <f t="shared" si="5078"/>
        <v>1709</v>
      </c>
      <c r="AZ490" s="19">
        <f t="shared" si="5079"/>
        <v>2416</v>
      </c>
      <c r="BA490" s="19">
        <f t="shared" si="5080"/>
        <v>2663</v>
      </c>
      <c r="BB490" s="19">
        <f t="shared" si="5081"/>
        <v>1557</v>
      </c>
      <c r="BC490" s="19">
        <f t="shared" si="5082"/>
        <v>2760.9999999999991</v>
      </c>
      <c r="BD490" s="19">
        <f t="shared" si="5083"/>
        <v>3863</v>
      </c>
      <c r="BE490" s="19">
        <f t="shared" si="5084"/>
        <v>5548</v>
      </c>
      <c r="BF490" s="19">
        <f t="shared" si="5085"/>
        <v>7261</v>
      </c>
      <c r="BG490" s="19">
        <f t="shared" si="5086"/>
        <v>8455</v>
      </c>
      <c r="BH490" s="19">
        <f t="shared" si="5087"/>
        <v>6881</v>
      </c>
      <c r="BI490" s="20">
        <f t="shared" si="5088"/>
        <v>4956</v>
      </c>
      <c r="BJ490" s="19">
        <f t="shared" si="5089"/>
        <v>6799.5761869657072</v>
      </c>
      <c r="BK490" s="19">
        <f t="shared" si="5090"/>
        <v>5581.166924964833</v>
      </c>
      <c r="BL490" s="19">
        <f t="shared" si="5091"/>
        <v>5964.5377001259003</v>
      </c>
      <c r="BM490" s="19">
        <f t="shared" si="5092"/>
        <v>6601.2320137448314</v>
      </c>
      <c r="BN490" s="19">
        <f t="shared" si="5093"/>
        <v>7478.1227580282321</v>
      </c>
    </row>
    <row r="491" spans="1:66" ht="12" customHeight="1" outlineLevel="1">
      <c r="B491" s="1" t="s">
        <v>24</v>
      </c>
      <c r="C491" s="25">
        <f t="shared" ref="C491:AH491" si="5100">C42-C115-C702-C193-C416</f>
        <v>27688</v>
      </c>
      <c r="D491" s="25">
        <f t="shared" si="5100"/>
        <v>19409</v>
      </c>
      <c r="E491" s="25">
        <f t="shared" si="5100"/>
        <v>4480</v>
      </c>
      <c r="F491" s="25">
        <f t="shared" si="5100"/>
        <v>4711</v>
      </c>
      <c r="G491" s="25">
        <f t="shared" si="5100"/>
        <v>2300</v>
      </c>
      <c r="H491" s="25">
        <f t="shared" si="5100"/>
        <v>2100</v>
      </c>
      <c r="I491" s="25">
        <f t="shared" si="5100"/>
        <v>3700</v>
      </c>
      <c r="J491" s="25">
        <f t="shared" si="5100"/>
        <v>3900</v>
      </c>
      <c r="K491" s="25">
        <f t="shared" si="5100"/>
        <v>4100</v>
      </c>
      <c r="L491" s="25">
        <f t="shared" si="5100"/>
        <v>2100</v>
      </c>
      <c r="M491" s="25">
        <f t="shared" si="5100"/>
        <v>2100</v>
      </c>
      <c r="N491" s="25">
        <f t="shared" si="5100"/>
        <v>2300</v>
      </c>
      <c r="O491" s="25">
        <f t="shared" si="5100"/>
        <v>2000</v>
      </c>
      <c r="P491" s="25">
        <f t="shared" si="5100"/>
        <v>1700</v>
      </c>
      <c r="Q491" s="25">
        <f t="shared" si="5100"/>
        <v>1800</v>
      </c>
      <c r="R491" s="25">
        <f t="shared" si="5100"/>
        <v>1700</v>
      </c>
      <c r="S491" s="25">
        <f t="shared" si="5100"/>
        <v>1700</v>
      </c>
      <c r="T491" s="25">
        <f t="shared" si="5100"/>
        <v>8000</v>
      </c>
      <c r="U491" s="25">
        <f t="shared" si="5100"/>
        <v>2300</v>
      </c>
      <c r="V491" s="25">
        <f t="shared" si="5100"/>
        <v>1300</v>
      </c>
      <c r="W491" s="25">
        <f t="shared" si="5100"/>
        <v>1400</v>
      </c>
      <c r="X491" s="25">
        <f t="shared" si="5100"/>
        <v>1200</v>
      </c>
      <c r="Y491" s="25">
        <f t="shared" si="5100"/>
        <v>1400</v>
      </c>
      <c r="Z491" s="25">
        <f t="shared" si="5100"/>
        <v>1300</v>
      </c>
      <c r="AA491" s="25">
        <f t="shared" si="5100"/>
        <v>1500</v>
      </c>
      <c r="AB491" s="25">
        <f t="shared" si="5100"/>
        <v>0</v>
      </c>
      <c r="AC491" s="25">
        <f t="shared" si="5100"/>
        <v>0</v>
      </c>
      <c r="AD491" s="25">
        <f t="shared" si="5100"/>
        <v>0</v>
      </c>
      <c r="AE491" s="25">
        <f t="shared" si="5100"/>
        <v>0</v>
      </c>
      <c r="AF491" s="25">
        <f t="shared" si="5100"/>
        <v>0</v>
      </c>
      <c r="AG491" s="25">
        <f t="shared" si="5100"/>
        <v>0</v>
      </c>
      <c r="AH491" s="25">
        <f t="shared" si="5100"/>
        <v>0</v>
      </c>
      <c r="AI491" s="26">
        <f t="shared" ref="AI491" si="5101">AI42-AI115-AI702-AI193-AI416</f>
        <v>0</v>
      </c>
      <c r="AJ491" s="19">
        <f t="shared" ref="AJ491:AR491" si="5102">AI491*AJ115/AI115</f>
        <v>0</v>
      </c>
      <c r="AK491" s="19">
        <f t="shared" si="5102"/>
        <v>0</v>
      </c>
      <c r="AL491" s="19">
        <f t="shared" si="5102"/>
        <v>0</v>
      </c>
      <c r="AM491" s="19">
        <f t="shared" si="5102"/>
        <v>0</v>
      </c>
      <c r="AN491" s="19">
        <f t="shared" si="5102"/>
        <v>0</v>
      </c>
      <c r="AO491" s="19">
        <f t="shared" si="5102"/>
        <v>0</v>
      </c>
      <c r="AP491" s="19">
        <f t="shared" si="5102"/>
        <v>0</v>
      </c>
      <c r="AQ491" s="19">
        <f t="shared" si="5102"/>
        <v>0</v>
      </c>
      <c r="AR491" s="19">
        <f t="shared" si="5102"/>
        <v>0</v>
      </c>
      <c r="AT491" s="19">
        <f t="shared" si="5073"/>
        <v>19409</v>
      </c>
      <c r="AU491" s="19">
        <f t="shared" si="5074"/>
        <v>4711</v>
      </c>
      <c r="AV491" s="19">
        <f t="shared" si="5075"/>
        <v>2100</v>
      </c>
      <c r="AW491" s="19">
        <f t="shared" si="5076"/>
        <v>3900</v>
      </c>
      <c r="AX491" s="19">
        <f t="shared" si="5077"/>
        <v>2100</v>
      </c>
      <c r="AY491" s="19">
        <f t="shared" si="5078"/>
        <v>2300</v>
      </c>
      <c r="AZ491" s="19">
        <f t="shared" si="5079"/>
        <v>1700</v>
      </c>
      <c r="BA491" s="19">
        <f t="shared" si="5080"/>
        <v>1700</v>
      </c>
      <c r="BB491" s="19">
        <f t="shared" si="5081"/>
        <v>8000</v>
      </c>
      <c r="BC491" s="19">
        <f t="shared" si="5082"/>
        <v>1300</v>
      </c>
      <c r="BD491" s="19">
        <f t="shared" si="5083"/>
        <v>1200</v>
      </c>
      <c r="BE491" s="19">
        <f t="shared" si="5084"/>
        <v>1300</v>
      </c>
      <c r="BF491" s="19">
        <f t="shared" si="5085"/>
        <v>0</v>
      </c>
      <c r="BG491" s="19">
        <f t="shared" si="5086"/>
        <v>0</v>
      </c>
      <c r="BH491" s="19">
        <f t="shared" si="5087"/>
        <v>0</v>
      </c>
      <c r="BI491" s="20">
        <f t="shared" si="5088"/>
        <v>0</v>
      </c>
      <c r="BJ491" s="19">
        <f t="shared" si="5089"/>
        <v>0</v>
      </c>
      <c r="BK491" s="19">
        <f t="shared" si="5090"/>
        <v>0</v>
      </c>
      <c r="BL491" s="19">
        <f t="shared" si="5091"/>
        <v>0</v>
      </c>
      <c r="BM491" s="19">
        <f t="shared" si="5092"/>
        <v>0</v>
      </c>
      <c r="BN491" s="19">
        <f t="shared" si="5093"/>
        <v>0</v>
      </c>
    </row>
    <row r="492" spans="1:66" ht="12" customHeight="1" outlineLevel="1">
      <c r="B492" s="1" t="s">
        <v>23</v>
      </c>
      <c r="C492" s="25">
        <f t="shared" ref="C492:AH492" si="5103">C43-C116-C703-C194-C417</f>
        <v>0</v>
      </c>
      <c r="D492" s="25">
        <f t="shared" si="5103"/>
        <v>0</v>
      </c>
      <c r="E492" s="25">
        <f t="shared" si="5103"/>
        <v>0</v>
      </c>
      <c r="F492" s="25">
        <f t="shared" si="5103"/>
        <v>0</v>
      </c>
      <c r="G492" s="25">
        <f t="shared" si="5103"/>
        <v>0</v>
      </c>
      <c r="H492" s="25">
        <f t="shared" si="5103"/>
        <v>0</v>
      </c>
      <c r="I492" s="25">
        <f t="shared" si="5103"/>
        <v>0</v>
      </c>
      <c r="J492" s="25">
        <f t="shared" si="5103"/>
        <v>0</v>
      </c>
      <c r="K492" s="25">
        <f t="shared" si="5103"/>
        <v>0</v>
      </c>
      <c r="L492" s="25">
        <f t="shared" si="5103"/>
        <v>0</v>
      </c>
      <c r="M492" s="25">
        <f t="shared" si="5103"/>
        <v>0</v>
      </c>
      <c r="N492" s="25">
        <f t="shared" si="5103"/>
        <v>0</v>
      </c>
      <c r="O492" s="25">
        <f t="shared" si="5103"/>
        <v>0</v>
      </c>
      <c r="P492" s="25">
        <f t="shared" si="5103"/>
        <v>0</v>
      </c>
      <c r="Q492" s="25">
        <f t="shared" si="5103"/>
        <v>0</v>
      </c>
      <c r="R492" s="25">
        <f t="shared" si="5103"/>
        <v>0</v>
      </c>
      <c r="S492" s="25">
        <f t="shared" si="5103"/>
        <v>0</v>
      </c>
      <c r="T492" s="25">
        <f t="shared" si="5103"/>
        <v>0</v>
      </c>
      <c r="U492" s="25">
        <f t="shared" si="5103"/>
        <v>0</v>
      </c>
      <c r="V492" s="25">
        <f t="shared" si="5103"/>
        <v>0</v>
      </c>
      <c r="W492" s="25">
        <f t="shared" si="5103"/>
        <v>0</v>
      </c>
      <c r="X492" s="25">
        <f t="shared" si="5103"/>
        <v>0</v>
      </c>
      <c r="Y492" s="25">
        <f t="shared" si="5103"/>
        <v>0</v>
      </c>
      <c r="Z492" s="25">
        <f t="shared" si="5103"/>
        <v>0</v>
      </c>
      <c r="AA492" s="25">
        <f t="shared" si="5103"/>
        <v>0</v>
      </c>
      <c r="AB492" s="25">
        <f t="shared" si="5103"/>
        <v>0</v>
      </c>
      <c r="AC492" s="25">
        <f t="shared" si="5103"/>
        <v>0</v>
      </c>
      <c r="AD492" s="25">
        <f t="shared" si="5103"/>
        <v>0</v>
      </c>
      <c r="AE492" s="25">
        <f t="shared" si="5103"/>
        <v>0</v>
      </c>
      <c r="AF492" s="25">
        <f t="shared" si="5103"/>
        <v>0</v>
      </c>
      <c r="AG492" s="25">
        <f t="shared" si="5103"/>
        <v>0</v>
      </c>
      <c r="AH492" s="25">
        <f t="shared" si="5103"/>
        <v>0</v>
      </c>
      <c r="AI492" s="26">
        <f t="shared" ref="AI492" si="5104">AI43-AI116-AI703-AI194-AI417</f>
        <v>0</v>
      </c>
      <c r="AJ492" s="19">
        <f t="shared" ref="AJ492:AR492" si="5105">AI492*AJ116/AI116</f>
        <v>0</v>
      </c>
      <c r="AK492" s="19">
        <f t="shared" si="5105"/>
        <v>0</v>
      </c>
      <c r="AL492" s="19">
        <f t="shared" si="5105"/>
        <v>0</v>
      </c>
      <c r="AM492" s="19">
        <f t="shared" si="5105"/>
        <v>0</v>
      </c>
      <c r="AN492" s="19">
        <f t="shared" si="5105"/>
        <v>0</v>
      </c>
      <c r="AO492" s="19">
        <f t="shared" si="5105"/>
        <v>0</v>
      </c>
      <c r="AP492" s="19">
        <f t="shared" si="5105"/>
        <v>0</v>
      </c>
      <c r="AQ492" s="19">
        <f t="shared" si="5105"/>
        <v>0</v>
      </c>
      <c r="AR492" s="19">
        <f t="shared" si="5105"/>
        <v>0</v>
      </c>
      <c r="AT492" s="19">
        <f t="shared" si="5073"/>
        <v>0</v>
      </c>
      <c r="AU492" s="19">
        <f t="shared" si="5074"/>
        <v>0</v>
      </c>
      <c r="AV492" s="19">
        <f t="shared" si="5075"/>
        <v>0</v>
      </c>
      <c r="AW492" s="19">
        <f t="shared" si="5076"/>
        <v>0</v>
      </c>
      <c r="AX492" s="19">
        <f t="shared" si="5077"/>
        <v>0</v>
      </c>
      <c r="AY492" s="19">
        <f t="shared" si="5078"/>
        <v>0</v>
      </c>
      <c r="AZ492" s="19">
        <f t="shared" si="5079"/>
        <v>0</v>
      </c>
      <c r="BA492" s="19">
        <f t="shared" si="5080"/>
        <v>0</v>
      </c>
      <c r="BB492" s="19">
        <f t="shared" si="5081"/>
        <v>0</v>
      </c>
      <c r="BC492" s="19">
        <f t="shared" si="5082"/>
        <v>0</v>
      </c>
      <c r="BD492" s="19">
        <f t="shared" si="5083"/>
        <v>0</v>
      </c>
      <c r="BE492" s="19">
        <f t="shared" si="5084"/>
        <v>0</v>
      </c>
      <c r="BF492" s="19">
        <f t="shared" si="5085"/>
        <v>0</v>
      </c>
      <c r="BG492" s="19">
        <f t="shared" si="5086"/>
        <v>0</v>
      </c>
      <c r="BH492" s="19">
        <f t="shared" si="5087"/>
        <v>0</v>
      </c>
      <c r="BI492" s="20">
        <f t="shared" si="5088"/>
        <v>0</v>
      </c>
      <c r="BJ492" s="19">
        <f t="shared" si="5089"/>
        <v>0</v>
      </c>
      <c r="BK492" s="19">
        <f t="shared" si="5090"/>
        <v>0</v>
      </c>
      <c r="BL492" s="19">
        <f t="shared" si="5091"/>
        <v>0</v>
      </c>
      <c r="BM492" s="19">
        <f t="shared" si="5092"/>
        <v>0</v>
      </c>
      <c r="BN492" s="19">
        <f t="shared" si="5093"/>
        <v>0</v>
      </c>
    </row>
    <row r="493" spans="1:66" ht="12" customHeight="1" outlineLevel="1">
      <c r="B493" s="1" t="s">
        <v>22</v>
      </c>
      <c r="C493" s="25">
        <f t="shared" ref="C493:AH493" si="5106">C44-C117-C704-C195-C418</f>
        <v>27688</v>
      </c>
      <c r="D493" s="25">
        <f t="shared" si="5106"/>
        <v>19409</v>
      </c>
      <c r="E493" s="25">
        <f t="shared" si="5106"/>
        <v>4480</v>
      </c>
      <c r="F493" s="25">
        <f t="shared" si="5106"/>
        <v>4711</v>
      </c>
      <c r="G493" s="25">
        <f t="shared" si="5106"/>
        <v>2300</v>
      </c>
      <c r="H493" s="25">
        <f t="shared" si="5106"/>
        <v>2100</v>
      </c>
      <c r="I493" s="25">
        <f t="shared" si="5106"/>
        <v>3700</v>
      </c>
      <c r="J493" s="25">
        <f t="shared" si="5106"/>
        <v>3900</v>
      </c>
      <c r="K493" s="25">
        <f t="shared" si="5106"/>
        <v>4100</v>
      </c>
      <c r="L493" s="25">
        <f t="shared" si="5106"/>
        <v>2100</v>
      </c>
      <c r="M493" s="25">
        <f t="shared" si="5106"/>
        <v>2100</v>
      </c>
      <c r="N493" s="25">
        <f t="shared" si="5106"/>
        <v>2300</v>
      </c>
      <c r="O493" s="25">
        <f t="shared" si="5106"/>
        <v>2000</v>
      </c>
      <c r="P493" s="25">
        <f t="shared" si="5106"/>
        <v>1700</v>
      </c>
      <c r="Q493" s="25">
        <f t="shared" si="5106"/>
        <v>1800</v>
      </c>
      <c r="R493" s="25">
        <f t="shared" si="5106"/>
        <v>1700</v>
      </c>
      <c r="S493" s="25">
        <f t="shared" si="5106"/>
        <v>1700</v>
      </c>
      <c r="T493" s="25">
        <f t="shared" si="5106"/>
        <v>8000</v>
      </c>
      <c r="U493" s="25">
        <f t="shared" si="5106"/>
        <v>2300</v>
      </c>
      <c r="V493" s="25">
        <f t="shared" si="5106"/>
        <v>1300</v>
      </c>
      <c r="W493" s="25">
        <f t="shared" si="5106"/>
        <v>1400</v>
      </c>
      <c r="X493" s="25">
        <f t="shared" si="5106"/>
        <v>1200</v>
      </c>
      <c r="Y493" s="25">
        <f t="shared" si="5106"/>
        <v>1400</v>
      </c>
      <c r="Z493" s="25">
        <f t="shared" si="5106"/>
        <v>1300</v>
      </c>
      <c r="AA493" s="25">
        <f t="shared" si="5106"/>
        <v>1500</v>
      </c>
      <c r="AB493" s="25">
        <f t="shared" si="5106"/>
        <v>0</v>
      </c>
      <c r="AC493" s="25">
        <f t="shared" si="5106"/>
        <v>0</v>
      </c>
      <c r="AD493" s="25">
        <f t="shared" si="5106"/>
        <v>0</v>
      </c>
      <c r="AE493" s="25">
        <f t="shared" si="5106"/>
        <v>0</v>
      </c>
      <c r="AF493" s="25">
        <f t="shared" si="5106"/>
        <v>0</v>
      </c>
      <c r="AG493" s="25">
        <f t="shared" si="5106"/>
        <v>0</v>
      </c>
      <c r="AH493" s="25">
        <f t="shared" si="5106"/>
        <v>0</v>
      </c>
      <c r="AI493" s="26">
        <f t="shared" ref="AI493" si="5107">AI44-AI117-AI704-AI195-AI418</f>
        <v>0</v>
      </c>
      <c r="AJ493" s="19">
        <f t="shared" ref="AJ493" si="5108">AJ491+AJ492</f>
        <v>0</v>
      </c>
      <c r="AK493" s="19">
        <f t="shared" ref="AK493:AL493" si="5109">AK491+AK492</f>
        <v>0</v>
      </c>
      <c r="AL493" s="19">
        <f t="shared" si="5109"/>
        <v>0</v>
      </c>
      <c r="AM493" s="19">
        <f t="shared" ref="AM493:AN493" si="5110">AM491+AM492</f>
        <v>0</v>
      </c>
      <c r="AN493" s="19">
        <f t="shared" si="5110"/>
        <v>0</v>
      </c>
      <c r="AO493" s="19">
        <f t="shared" ref="AO493:AP493" si="5111">AO491+AO492</f>
        <v>0</v>
      </c>
      <c r="AP493" s="19">
        <f t="shared" si="5111"/>
        <v>0</v>
      </c>
      <c r="AQ493" s="19">
        <f t="shared" ref="AQ493:AR493" si="5112">AQ491+AQ492</f>
        <v>0</v>
      </c>
      <c r="AR493" s="19">
        <f t="shared" si="5112"/>
        <v>0</v>
      </c>
      <c r="AT493" s="19">
        <f t="shared" si="5073"/>
        <v>19409</v>
      </c>
      <c r="AU493" s="19">
        <f t="shared" si="5074"/>
        <v>4711</v>
      </c>
      <c r="AV493" s="19">
        <f t="shared" si="5075"/>
        <v>2100</v>
      </c>
      <c r="AW493" s="19">
        <f t="shared" si="5076"/>
        <v>3900</v>
      </c>
      <c r="AX493" s="19">
        <f t="shared" si="5077"/>
        <v>2100</v>
      </c>
      <c r="AY493" s="19">
        <f t="shared" si="5078"/>
        <v>2300</v>
      </c>
      <c r="AZ493" s="19">
        <f t="shared" si="5079"/>
        <v>1700</v>
      </c>
      <c r="BA493" s="19">
        <f t="shared" si="5080"/>
        <v>1700</v>
      </c>
      <c r="BB493" s="19">
        <f t="shared" si="5081"/>
        <v>8000</v>
      </c>
      <c r="BC493" s="19">
        <f t="shared" si="5082"/>
        <v>1300</v>
      </c>
      <c r="BD493" s="19">
        <f t="shared" si="5083"/>
        <v>1200</v>
      </c>
      <c r="BE493" s="19">
        <f t="shared" si="5084"/>
        <v>1300</v>
      </c>
      <c r="BF493" s="19">
        <f t="shared" si="5085"/>
        <v>0</v>
      </c>
      <c r="BG493" s="19">
        <f t="shared" si="5086"/>
        <v>0</v>
      </c>
      <c r="BH493" s="19">
        <f t="shared" si="5087"/>
        <v>0</v>
      </c>
      <c r="BI493" s="20">
        <f t="shared" si="5088"/>
        <v>0</v>
      </c>
      <c r="BJ493" s="19">
        <f t="shared" si="5089"/>
        <v>0</v>
      </c>
      <c r="BK493" s="19">
        <f t="shared" si="5090"/>
        <v>0</v>
      </c>
      <c r="BL493" s="19">
        <f t="shared" si="5091"/>
        <v>0</v>
      </c>
      <c r="BM493" s="19">
        <f t="shared" si="5092"/>
        <v>0</v>
      </c>
      <c r="BN493" s="19">
        <f t="shared" si="5093"/>
        <v>0</v>
      </c>
    </row>
    <row r="494" spans="1:66" ht="12" customHeight="1" outlineLevel="1">
      <c r="B494" s="1" t="s">
        <v>44</v>
      </c>
      <c r="C494" s="25">
        <f t="shared" ref="C494:AH494" si="5113">C45-C118-C705-C196-C419</f>
        <v>0</v>
      </c>
      <c r="D494" s="25">
        <f t="shared" si="5113"/>
        <v>0</v>
      </c>
      <c r="E494" s="25">
        <f t="shared" si="5113"/>
        <v>0</v>
      </c>
      <c r="F494" s="25">
        <f t="shared" si="5113"/>
        <v>0</v>
      </c>
      <c r="G494" s="25">
        <f t="shared" si="5113"/>
        <v>0</v>
      </c>
      <c r="H494" s="25">
        <f t="shared" si="5113"/>
        <v>0</v>
      </c>
      <c r="I494" s="25">
        <f t="shared" si="5113"/>
        <v>0</v>
      </c>
      <c r="J494" s="25">
        <f t="shared" si="5113"/>
        <v>0</v>
      </c>
      <c r="K494" s="25">
        <f t="shared" si="5113"/>
        <v>0</v>
      </c>
      <c r="L494" s="25">
        <f t="shared" si="5113"/>
        <v>0</v>
      </c>
      <c r="M494" s="25">
        <f t="shared" si="5113"/>
        <v>0</v>
      </c>
      <c r="N494" s="25">
        <f t="shared" si="5113"/>
        <v>0</v>
      </c>
      <c r="O494" s="25">
        <f t="shared" si="5113"/>
        <v>0</v>
      </c>
      <c r="P494" s="25">
        <f t="shared" si="5113"/>
        <v>0</v>
      </c>
      <c r="Q494" s="25">
        <f t="shared" si="5113"/>
        <v>0</v>
      </c>
      <c r="R494" s="25">
        <f t="shared" si="5113"/>
        <v>0</v>
      </c>
      <c r="S494" s="25">
        <f t="shared" si="5113"/>
        <v>0</v>
      </c>
      <c r="T494" s="25">
        <f t="shared" si="5113"/>
        <v>0</v>
      </c>
      <c r="U494" s="25">
        <f t="shared" si="5113"/>
        <v>0</v>
      </c>
      <c r="V494" s="25">
        <f t="shared" si="5113"/>
        <v>0</v>
      </c>
      <c r="W494" s="25">
        <f t="shared" si="5113"/>
        <v>0</v>
      </c>
      <c r="X494" s="25">
        <f t="shared" si="5113"/>
        <v>0</v>
      </c>
      <c r="Y494" s="25">
        <f t="shared" si="5113"/>
        <v>0</v>
      </c>
      <c r="Z494" s="25">
        <f t="shared" si="5113"/>
        <v>0</v>
      </c>
      <c r="AA494" s="25">
        <f t="shared" si="5113"/>
        <v>0</v>
      </c>
      <c r="AB494" s="25">
        <f t="shared" si="5113"/>
        <v>0</v>
      </c>
      <c r="AC494" s="25">
        <f t="shared" si="5113"/>
        <v>0</v>
      </c>
      <c r="AD494" s="25">
        <f t="shared" si="5113"/>
        <v>0</v>
      </c>
      <c r="AE494" s="25">
        <f t="shared" si="5113"/>
        <v>0</v>
      </c>
      <c r="AF494" s="25">
        <f t="shared" si="5113"/>
        <v>0</v>
      </c>
      <c r="AG494" s="25">
        <f t="shared" si="5113"/>
        <v>0</v>
      </c>
      <c r="AH494" s="25">
        <f t="shared" si="5113"/>
        <v>0</v>
      </c>
      <c r="AI494" s="26">
        <f t="shared" ref="AI494" si="5114">AI45-AI118-AI705-AI196-AI419</f>
        <v>0</v>
      </c>
      <c r="AJ494" s="52">
        <f t="shared" ref="AJ494:AJ495" si="5115">AI494</f>
        <v>0</v>
      </c>
      <c r="AK494" s="52">
        <f t="shared" ref="AK494:AK495" si="5116">AJ494</f>
        <v>0</v>
      </c>
      <c r="AL494" s="52">
        <f t="shared" ref="AL494:AL495" si="5117">AK494</f>
        <v>0</v>
      </c>
      <c r="AM494" s="52">
        <f t="shared" ref="AM494:AM495" si="5118">AL494</f>
        <v>0</v>
      </c>
      <c r="AN494" s="52">
        <f t="shared" ref="AN494:AN495" si="5119">AM494</f>
        <v>0</v>
      </c>
      <c r="AO494" s="52">
        <f t="shared" ref="AO494:AO495" si="5120">AN494</f>
        <v>0</v>
      </c>
      <c r="AP494" s="52">
        <f t="shared" ref="AP494:AP495" si="5121">AO494</f>
        <v>0</v>
      </c>
      <c r="AQ494" s="52">
        <f t="shared" ref="AQ494:AQ495" si="5122">AP494</f>
        <v>0</v>
      </c>
      <c r="AR494" s="52">
        <f t="shared" ref="AR494:AR495" si="5123">AQ494</f>
        <v>0</v>
      </c>
      <c r="AT494" s="19">
        <f t="shared" si="5073"/>
        <v>0</v>
      </c>
      <c r="AU494" s="19">
        <f t="shared" si="5074"/>
        <v>0</v>
      </c>
      <c r="AV494" s="19">
        <f t="shared" si="5075"/>
        <v>0</v>
      </c>
      <c r="AW494" s="19">
        <f t="shared" si="5076"/>
        <v>0</v>
      </c>
      <c r="AX494" s="19">
        <f t="shared" si="5077"/>
        <v>0</v>
      </c>
      <c r="AY494" s="19">
        <f t="shared" si="5078"/>
        <v>0</v>
      </c>
      <c r="AZ494" s="19">
        <f t="shared" si="5079"/>
        <v>0</v>
      </c>
      <c r="BA494" s="19">
        <f t="shared" si="5080"/>
        <v>0</v>
      </c>
      <c r="BB494" s="19">
        <f t="shared" si="5081"/>
        <v>0</v>
      </c>
      <c r="BC494" s="19">
        <f t="shared" si="5082"/>
        <v>0</v>
      </c>
      <c r="BD494" s="19">
        <f t="shared" si="5083"/>
        <v>0</v>
      </c>
      <c r="BE494" s="19">
        <f t="shared" si="5084"/>
        <v>0</v>
      </c>
      <c r="BF494" s="19">
        <f t="shared" si="5085"/>
        <v>0</v>
      </c>
      <c r="BG494" s="19">
        <f t="shared" si="5086"/>
        <v>0</v>
      </c>
      <c r="BH494" s="19">
        <f t="shared" si="5087"/>
        <v>0</v>
      </c>
      <c r="BI494" s="20">
        <f t="shared" si="5088"/>
        <v>0</v>
      </c>
      <c r="BJ494" s="19">
        <f t="shared" si="5089"/>
        <v>0</v>
      </c>
      <c r="BK494" s="19">
        <f t="shared" si="5090"/>
        <v>0</v>
      </c>
      <c r="BL494" s="19">
        <f t="shared" si="5091"/>
        <v>0</v>
      </c>
      <c r="BM494" s="19">
        <f t="shared" si="5092"/>
        <v>0</v>
      </c>
      <c r="BN494" s="19">
        <f t="shared" si="5093"/>
        <v>0</v>
      </c>
    </row>
    <row r="495" spans="1:66" ht="12" customHeight="1" outlineLevel="1">
      <c r="B495" s="1" t="s">
        <v>25</v>
      </c>
      <c r="C495" s="25">
        <f t="shared" ref="C495:AH495" si="5124">C46-C120-C706-C197-C420</f>
        <v>4244</v>
      </c>
      <c r="D495" s="25">
        <f t="shared" si="5124"/>
        <v>4873</v>
      </c>
      <c r="E495" s="25">
        <f t="shared" si="5124"/>
        <v>5657</v>
      </c>
      <c r="F495" s="25">
        <f t="shared" si="5124"/>
        <v>5838</v>
      </c>
      <c r="G495" s="25">
        <f t="shared" si="5124"/>
        <v>6071</v>
      </c>
      <c r="H495" s="25">
        <f t="shared" si="5124"/>
        <v>5367</v>
      </c>
      <c r="I495" s="25">
        <f t="shared" si="5124"/>
        <v>5088</v>
      </c>
      <c r="J495" s="25">
        <f t="shared" si="5124"/>
        <v>5315</v>
      </c>
      <c r="K495" s="25">
        <f t="shared" si="5124"/>
        <v>5502</v>
      </c>
      <c r="L495" s="25">
        <f t="shared" si="5124"/>
        <v>5810</v>
      </c>
      <c r="M495" s="25">
        <f t="shared" si="5124"/>
        <v>5904</v>
      </c>
      <c r="N495" s="25">
        <f t="shared" si="5124"/>
        <v>5875</v>
      </c>
      <c r="O495" s="25">
        <f t="shared" si="5124"/>
        <v>5826</v>
      </c>
      <c r="P495" s="25">
        <f t="shared" si="5124"/>
        <v>6114</v>
      </c>
      <c r="Q495" s="25">
        <f t="shared" si="5124"/>
        <v>5922</v>
      </c>
      <c r="R495" s="25">
        <f t="shared" si="5124"/>
        <v>5764</v>
      </c>
      <c r="S495" s="25">
        <f t="shared" si="5124"/>
        <v>5882</v>
      </c>
      <c r="T495" s="25">
        <f t="shared" si="5124"/>
        <v>5981</v>
      </c>
      <c r="U495" s="25">
        <f t="shared" si="5124"/>
        <v>6317</v>
      </c>
      <c r="V495" s="25">
        <f t="shared" si="5124"/>
        <v>6695</v>
      </c>
      <c r="W495" s="25">
        <f t="shared" si="5124"/>
        <v>6989</v>
      </c>
      <c r="X495" s="25">
        <f t="shared" si="5124"/>
        <v>7107</v>
      </c>
      <c r="Y495" s="25">
        <f t="shared" si="5124"/>
        <v>7398</v>
      </c>
      <c r="Z495" s="25">
        <f t="shared" si="5124"/>
        <v>7598</v>
      </c>
      <c r="AA495" s="25">
        <f t="shared" si="5124"/>
        <v>7752</v>
      </c>
      <c r="AB495" s="25">
        <f t="shared" si="5124"/>
        <v>8353</v>
      </c>
      <c r="AC495" s="25">
        <f t="shared" si="5124"/>
        <v>9250</v>
      </c>
      <c r="AD495" s="25">
        <f t="shared" si="5124"/>
        <v>10172</v>
      </c>
      <c r="AE495" s="25">
        <f t="shared" si="5124"/>
        <v>10599</v>
      </c>
      <c r="AF495" s="25">
        <f t="shared" si="5124"/>
        <v>10381</v>
      </c>
      <c r="AG495" s="25">
        <f t="shared" si="5124"/>
        <v>9206</v>
      </c>
      <c r="AH495" s="25">
        <f t="shared" si="5124"/>
        <v>9342</v>
      </c>
      <c r="AI495" s="26">
        <f t="shared" ref="AI495" si="5125">AI46-AI120-AI706-AI197-AI420</f>
        <v>9343</v>
      </c>
      <c r="AJ495" s="52">
        <f t="shared" si="5115"/>
        <v>9343</v>
      </c>
      <c r="AK495" s="52">
        <f t="shared" si="5116"/>
        <v>9343</v>
      </c>
      <c r="AL495" s="52">
        <f t="shared" si="5117"/>
        <v>9343</v>
      </c>
      <c r="AM495" s="52">
        <f t="shared" si="5118"/>
        <v>9343</v>
      </c>
      <c r="AN495" s="52">
        <f t="shared" si="5119"/>
        <v>9343</v>
      </c>
      <c r="AO495" s="52">
        <f t="shared" si="5120"/>
        <v>9343</v>
      </c>
      <c r="AP495" s="52">
        <f t="shared" si="5121"/>
        <v>9343</v>
      </c>
      <c r="AQ495" s="52">
        <f t="shared" si="5122"/>
        <v>9343</v>
      </c>
      <c r="AR495" s="52">
        <f t="shared" si="5123"/>
        <v>9343</v>
      </c>
      <c r="AT495" s="19">
        <f t="shared" si="5073"/>
        <v>4873</v>
      </c>
      <c r="AU495" s="19">
        <f t="shared" si="5074"/>
        <v>5838</v>
      </c>
      <c r="AV495" s="19">
        <f t="shared" si="5075"/>
        <v>5367</v>
      </c>
      <c r="AW495" s="19">
        <f t="shared" si="5076"/>
        <v>5315</v>
      </c>
      <c r="AX495" s="19">
        <f t="shared" si="5077"/>
        <v>5810</v>
      </c>
      <c r="AY495" s="19">
        <f t="shared" si="5078"/>
        <v>5875</v>
      </c>
      <c r="AZ495" s="19">
        <f t="shared" si="5079"/>
        <v>6114</v>
      </c>
      <c r="BA495" s="19">
        <f t="shared" si="5080"/>
        <v>5764</v>
      </c>
      <c r="BB495" s="19">
        <f t="shared" si="5081"/>
        <v>5981</v>
      </c>
      <c r="BC495" s="19">
        <f t="shared" si="5082"/>
        <v>6695</v>
      </c>
      <c r="BD495" s="19">
        <f t="shared" si="5083"/>
        <v>7107</v>
      </c>
      <c r="BE495" s="19">
        <f t="shared" si="5084"/>
        <v>7598</v>
      </c>
      <c r="BF495" s="19">
        <f t="shared" si="5085"/>
        <v>8353</v>
      </c>
      <c r="BG495" s="19">
        <f t="shared" si="5086"/>
        <v>10172</v>
      </c>
      <c r="BH495" s="19">
        <f t="shared" si="5087"/>
        <v>10381</v>
      </c>
      <c r="BI495" s="20">
        <f t="shared" si="5088"/>
        <v>9342</v>
      </c>
      <c r="BJ495" s="19">
        <f t="shared" si="5089"/>
        <v>9343</v>
      </c>
      <c r="BK495" s="19">
        <f t="shared" si="5090"/>
        <v>9343</v>
      </c>
      <c r="BL495" s="19">
        <f t="shared" si="5091"/>
        <v>9343</v>
      </c>
      <c r="BM495" s="19">
        <f t="shared" si="5092"/>
        <v>9343</v>
      </c>
      <c r="BN495" s="19">
        <f t="shared" si="5093"/>
        <v>9343</v>
      </c>
    </row>
    <row r="496" spans="1:66" ht="12" customHeight="1" outlineLevel="1"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5"/>
      <c r="AC496" s="25"/>
      <c r="AD496" s="25"/>
      <c r="AE496" s="25"/>
      <c r="AF496" s="25"/>
      <c r="AG496" s="25"/>
      <c r="AH496" s="25"/>
      <c r="AI496" s="26"/>
      <c r="AJ496" s="19"/>
      <c r="AK496" s="19"/>
      <c r="AL496" s="19"/>
      <c r="AM496" s="19"/>
      <c r="AN496" s="19"/>
      <c r="AO496" s="19"/>
      <c r="AP496" s="19"/>
      <c r="AQ496" s="19"/>
      <c r="AR496" s="19"/>
      <c r="AT496" s="19"/>
      <c r="AU496" s="19"/>
      <c r="AV496" s="19"/>
      <c r="AW496" s="19"/>
      <c r="AX496" s="19"/>
      <c r="AY496" s="19"/>
      <c r="AZ496" s="19"/>
      <c r="BA496" s="19"/>
      <c r="BB496" s="19"/>
      <c r="BC496" s="19"/>
      <c r="BD496" s="19"/>
      <c r="BE496" s="19"/>
      <c r="BF496" s="19"/>
      <c r="BG496" s="19"/>
      <c r="BH496" s="19"/>
      <c r="BI496" s="20"/>
      <c r="BJ496" s="19"/>
      <c r="BK496" s="19"/>
      <c r="BL496" s="19"/>
      <c r="BM496" s="19"/>
      <c r="BN496" s="19"/>
    </row>
    <row r="497" spans="2:66" ht="12" customHeight="1" outlineLevel="1">
      <c r="B497" s="9" t="s">
        <v>158</v>
      </c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25"/>
      <c r="AB497" s="25"/>
      <c r="AC497" s="25"/>
      <c r="AD497" s="25"/>
      <c r="AE497" s="25"/>
      <c r="AF497" s="25"/>
      <c r="AG497" s="25"/>
      <c r="AH497" s="25"/>
      <c r="AI497" s="26"/>
      <c r="AJ497" s="19"/>
      <c r="AK497" s="19"/>
      <c r="AL497" s="19"/>
      <c r="AM497" s="19"/>
      <c r="AN497" s="19"/>
      <c r="AO497" s="19"/>
      <c r="AP497" s="19"/>
      <c r="AQ497" s="19"/>
      <c r="AR497" s="19"/>
      <c r="AT497" s="19"/>
      <c r="AU497" s="19"/>
      <c r="AV497" s="19"/>
      <c r="AW497" s="19"/>
      <c r="AX497" s="19"/>
      <c r="AY497" s="19"/>
      <c r="AZ497" s="19"/>
      <c r="BA497" s="19"/>
      <c r="BB497" s="19"/>
      <c r="BC497" s="19"/>
      <c r="BD497" s="19"/>
      <c r="BE497" s="19"/>
      <c r="BF497" s="19"/>
      <c r="BG497" s="19"/>
      <c r="BH497" s="19"/>
      <c r="BI497" s="20"/>
      <c r="BJ497" s="19"/>
      <c r="BK497" s="19"/>
      <c r="BL497" s="19"/>
      <c r="BM497" s="19"/>
      <c r="BN497" s="19"/>
    </row>
    <row r="498" spans="2:66" ht="12" customHeight="1" outlineLevel="1">
      <c r="B498" s="1" t="s">
        <v>58</v>
      </c>
      <c r="C498" s="50" t="str">
        <f t="shared" ref="C498" si="5126">IF(ISERROR(C488/B488),"n.a.",C488/B488-1)</f>
        <v>n.a.</v>
      </c>
      <c r="D498" s="50">
        <f>IF(ISERROR(D488/C488),"n.a.",D488/C488-1)</f>
        <v>-8.4165834165834119E-2</v>
      </c>
      <c r="E498" s="50">
        <f t="shared" ref="E498:M498" si="5127">IF(ISERROR(E488/D488),"n.a.",E488/D488-1)</f>
        <v>0.31715298609217335</v>
      </c>
      <c r="F498" s="50">
        <f t="shared" si="5127"/>
        <v>0.10062111801242235</v>
      </c>
      <c r="G498" s="50">
        <f t="shared" si="5127"/>
        <v>9.9134687735139115E-2</v>
      </c>
      <c r="H498" s="50">
        <f t="shared" si="5127"/>
        <v>-4.2786239945233895E-3</v>
      </c>
      <c r="I498" s="50">
        <f t="shared" si="5127"/>
        <v>0.28205568924028879</v>
      </c>
      <c r="J498" s="50">
        <f t="shared" si="5127"/>
        <v>0.19091030969298828</v>
      </c>
      <c r="K498" s="50">
        <f t="shared" si="5127"/>
        <v>-0.30282562197455809</v>
      </c>
      <c r="L498" s="50">
        <f t="shared" si="5127"/>
        <v>0.92346197319554335</v>
      </c>
      <c r="M498" s="69">
        <f t="shared" si="5127"/>
        <v>8.5879785090664962E-2</v>
      </c>
      <c r="N498" s="69">
        <f t="shared" ref="N498" si="5128">IF(ISERROR(N488/M488),"n.a.",N488/M488-1)</f>
        <v>0.24174719752609208</v>
      </c>
      <c r="O498" s="69">
        <f t="shared" ref="O498:AH498" si="5129">IF(ISERROR(O488/N488),"n.a.",O488/N488-1)</f>
        <v>3.2872618602913795E-2</v>
      </c>
      <c r="P498" s="69">
        <f t="shared" si="5129"/>
        <v>-0.10391802290536467</v>
      </c>
      <c r="Q498" s="69">
        <f t="shared" si="5129"/>
        <v>-8.0048432665141944E-2</v>
      </c>
      <c r="R498" s="69">
        <f t="shared" si="5129"/>
        <v>1.3673588768645883E-2</v>
      </c>
      <c r="S498" s="69">
        <f t="shared" si="5129"/>
        <v>-0.4815696458198081</v>
      </c>
      <c r="T498" s="69">
        <f t="shared" si="5129"/>
        <v>-0.17782106581327395</v>
      </c>
      <c r="U498" s="69">
        <f t="shared" si="5129"/>
        <v>-1.701810797089186</v>
      </c>
      <c r="V498" s="69">
        <f t="shared" si="5129"/>
        <v>8.2469254883047904E-2</v>
      </c>
      <c r="W498" s="69">
        <f t="shared" si="5129"/>
        <v>-2.0617063934061037</v>
      </c>
      <c r="X498" s="69">
        <f t="shared" si="5129"/>
        <v>0.59819555182543005</v>
      </c>
      <c r="Y498" s="69">
        <f t="shared" si="5129"/>
        <v>-1.3788893265064988</v>
      </c>
      <c r="Z498" s="69">
        <f t="shared" si="5129"/>
        <v>-0.17740817740817738</v>
      </c>
      <c r="AA498" s="69">
        <f t="shared" si="5129"/>
        <v>0.57582139848357206</v>
      </c>
      <c r="AB498" s="69">
        <f t="shared" si="5129"/>
        <v>3.0740443731622547E-2</v>
      </c>
      <c r="AC498" s="69">
        <f t="shared" si="5129"/>
        <v>9.5954356846473132E-2</v>
      </c>
      <c r="AD498" s="69">
        <f t="shared" si="5129"/>
        <v>0.16611452910553726</v>
      </c>
      <c r="AE498" s="69">
        <f t="shared" si="5129"/>
        <v>3.5917207792207861E-2</v>
      </c>
      <c r="AF498" s="69">
        <f t="shared" si="5129"/>
        <v>-1.4887365328109747E-2</v>
      </c>
      <c r="AG498" s="69">
        <f t="shared" si="5129"/>
        <v>-3.8377411016106588E-2</v>
      </c>
      <c r="AH498" s="69">
        <f t="shared" si="5129"/>
        <v>-1.0099255583126552</v>
      </c>
      <c r="AI498" s="89">
        <f t="shared" ref="AI498" si="5130">IF(ISERROR(AI488/AH488),"n.a.",AI488/AH488-1)</f>
        <v>-0.125</v>
      </c>
      <c r="AJ498" s="50">
        <f t="shared" ref="AJ498" si="5131">IF(ISERROR(AJ488/AI488),"n.a.",AJ488/AI488-1)</f>
        <v>0.10000000000000009</v>
      </c>
      <c r="AK498" s="50">
        <f t="shared" ref="AK498" si="5132">IF(ISERROR(AK488/AJ488),"n.a.",AK488/AJ488-1)</f>
        <v>8.4999999999999964E-2</v>
      </c>
      <c r="AL498" s="50">
        <f t="shared" ref="AL498" si="5133">IF(ISERROR(AL488/AK488),"n.a.",AL488/AK488-1)</f>
        <v>7.5000000000000178E-2</v>
      </c>
      <c r="AM498" s="50">
        <f t="shared" ref="AM498" si="5134">IF(ISERROR(AM488/AL488),"n.a.",AM488/AL488-1)</f>
        <v>6.0000000000000275E-2</v>
      </c>
      <c r="AN498" s="50">
        <f t="shared" ref="AN498" si="5135">IF(ISERROR(AN488/AM488),"n.a.",AN488/AM488-1)</f>
        <v>5.4999999999999938E-2</v>
      </c>
      <c r="AO498" s="50">
        <f t="shared" ref="AO498" si="5136">IF(ISERROR(AO488/AN488),"n.a.",AO488/AN488-1)</f>
        <v>5.0000000000000044E-2</v>
      </c>
      <c r="AP498" s="50">
        <f t="shared" ref="AP498" si="5137">IF(ISERROR(AP488/AO488),"n.a.",AP488/AO488-1)</f>
        <v>5.0000000000000266E-2</v>
      </c>
      <c r="AQ498" s="50">
        <f t="shared" ref="AQ498" si="5138">IF(ISERROR(AQ488/AP488),"n.a.",AQ488/AP488-1)</f>
        <v>5.0000000000000266E-2</v>
      </c>
      <c r="AR498" s="50">
        <f t="shared" ref="AR498" si="5139">IF(ISERROR(AR488/AQ488),"n.a.",AR488/AQ488-1)</f>
        <v>5.0000000000000044E-2</v>
      </c>
      <c r="AS498" s="8"/>
      <c r="AT498" s="50">
        <f>IF(ISERROR(AT488/T488),"n.a.",AT488/T488-1)</f>
        <v>-0.37942122186495175</v>
      </c>
      <c r="AU498" s="50">
        <f>IF(ISERROR(AU488/AT488),"n.a.",AU488/AT488-1)</f>
        <v>0.44968639214616846</v>
      </c>
      <c r="AV498" s="50">
        <f>IF(ISERROR(AV488/AU488),"n.a.",AV488/AU488-1)</f>
        <v>9.4431903686982732E-2</v>
      </c>
      <c r="AW498" s="50">
        <f>IF(ISERROR(AW488/AV488),"n.a.",AW488/AV488-1)</f>
        <v>0.52681333791680984</v>
      </c>
      <c r="AX498" s="50">
        <f t="shared" ref="AX498:BB498" si="5140">IF(ISERROR(AX488/AW488),"n.a.",AX488/AW488-1)</f>
        <v>0.34098840481819215</v>
      </c>
      <c r="AY498" s="50">
        <f t="shared" si="5140"/>
        <v>0.34838817998656824</v>
      </c>
      <c r="AZ498" s="50">
        <f t="shared" si="5140"/>
        <v>-7.4461461835387821E-2</v>
      </c>
      <c r="BA498" s="50">
        <f t="shared" si="5140"/>
        <v>-6.7469393246333942E-2</v>
      </c>
      <c r="BB498" s="50">
        <f t="shared" si="5140"/>
        <v>-0.57375748395008297</v>
      </c>
      <c r="BC498" s="50">
        <f t="shared" ref="BC498" si="5141">IF(ISERROR(BC488/BB488),"n.a.",BC488/BB488-1)</f>
        <v>-1.7596886105940093</v>
      </c>
      <c r="BD498" s="50">
        <f t="shared" ref="BD498" si="5142">IF(ISERROR(BD488/BC488),"n.a.",BD488/BC488-1)</f>
        <v>-2.6968144352862553</v>
      </c>
      <c r="BE498" s="50">
        <f t="shared" ref="BE498" si="5143">IF(ISERROR(BE488/BD488),"n.a.",BE488/BD488-1)</f>
        <v>-1.3116712616515689</v>
      </c>
      <c r="BF498" s="50">
        <f t="shared" ref="BF498" si="5144">IF(ISERROR(BF488/BE488),"n.a.",BF488/BE488-1)</f>
        <v>0.62426284751474315</v>
      </c>
      <c r="BG498" s="50">
        <f t="shared" ref="BG498" si="5145">IF(ISERROR(BG488/BF488),"n.a.",BG488/BF488-1)</f>
        <v>0.27800829875518662</v>
      </c>
      <c r="BH498" s="50">
        <f t="shared" ref="BH498:BM498" si="5146">IF(ISERROR(BH488/BG488),"n.a.",BH488/BG488-1)</f>
        <v>2.0495129870129913E-2</v>
      </c>
      <c r="BI498" s="51">
        <f t="shared" si="5146"/>
        <v>-1.0095446410817259</v>
      </c>
      <c r="BJ498" s="50">
        <f t="shared" si="5146"/>
        <v>-3.7499999999999978E-2</v>
      </c>
      <c r="BK498" s="50">
        <f t="shared" si="5146"/>
        <v>0.16637500000000016</v>
      </c>
      <c r="BL498" s="50">
        <f t="shared" si="5146"/>
        <v>0.11830000000000007</v>
      </c>
      <c r="BM498" s="50">
        <f t="shared" si="5146"/>
        <v>0.10250000000000026</v>
      </c>
      <c r="BN498" s="50" t="str">
        <f>IF(ISERROR(BN488/#REF!),"n.a.",BN488/#REF!-1)</f>
        <v>n.a.</v>
      </c>
    </row>
    <row r="499" spans="2:66" ht="12" customHeight="1" outlineLevel="1">
      <c r="B499" s="1" t="s">
        <v>59</v>
      </c>
      <c r="C499" s="37" t="str">
        <f t="shared" ref="C499:I499" si="5147">IF(ISERROR(C452-B452),"n.a.",C452-B452)</f>
        <v>n.a.</v>
      </c>
      <c r="D499" s="37" t="str">
        <f t="shared" si="5147"/>
        <v>n.a.</v>
      </c>
      <c r="E499" s="37" t="str">
        <f t="shared" si="5147"/>
        <v>n.a.</v>
      </c>
      <c r="F499" s="37" t="str">
        <f t="shared" si="5147"/>
        <v>n.a.</v>
      </c>
      <c r="G499" s="37" t="str">
        <f t="shared" si="5147"/>
        <v>n.a.</v>
      </c>
      <c r="H499" s="37" t="str">
        <f t="shared" si="5147"/>
        <v>n.a.</v>
      </c>
      <c r="I499" s="37" t="str">
        <f t="shared" si="5147"/>
        <v>n.a.</v>
      </c>
      <c r="J499" s="37" t="str">
        <f t="shared" ref="J499:AH499" si="5148">IF(ISERROR(J452-I452),"n.a.",J452-I452)</f>
        <v>n.a.</v>
      </c>
      <c r="K499" s="37" t="str">
        <f t="shared" si="5148"/>
        <v>n.a.</v>
      </c>
      <c r="L499" s="37" t="str">
        <f t="shared" si="5148"/>
        <v>n.a.</v>
      </c>
      <c r="M499" s="78" t="str">
        <f t="shared" si="5148"/>
        <v>n.a.</v>
      </c>
      <c r="N499" s="78" t="str">
        <f t="shared" si="5148"/>
        <v>n.a.</v>
      </c>
      <c r="O499" s="78" t="str">
        <f t="shared" si="5148"/>
        <v>n.a.</v>
      </c>
      <c r="P499" s="78" t="str">
        <f t="shared" si="5148"/>
        <v>n.a.</v>
      </c>
      <c r="Q499" s="78" t="str">
        <f t="shared" si="5148"/>
        <v>n.a.</v>
      </c>
      <c r="R499" s="78" t="str">
        <f t="shared" si="5148"/>
        <v>n.a.</v>
      </c>
      <c r="S499" s="78" t="str">
        <f t="shared" si="5148"/>
        <v>n.a.</v>
      </c>
      <c r="T499" s="78" t="str">
        <f t="shared" si="5148"/>
        <v>n.a.</v>
      </c>
      <c r="U499" s="78" t="str">
        <f t="shared" si="5148"/>
        <v>n.a.</v>
      </c>
      <c r="V499" s="78" t="str">
        <f t="shared" si="5148"/>
        <v>n.a.</v>
      </c>
      <c r="W499" s="78" t="str">
        <f t="shared" si="5148"/>
        <v>n.a.</v>
      </c>
      <c r="X499" s="78" t="str">
        <f t="shared" si="5148"/>
        <v>n.a.</v>
      </c>
      <c r="Y499" s="78" t="str">
        <f t="shared" si="5148"/>
        <v>n.a.</v>
      </c>
      <c r="Z499" s="78" t="str">
        <f t="shared" si="5148"/>
        <v>n.a.</v>
      </c>
      <c r="AA499" s="78" t="str">
        <f t="shared" si="5148"/>
        <v>n.a.</v>
      </c>
      <c r="AB499" s="78" t="str">
        <f t="shared" si="5148"/>
        <v>n.a.</v>
      </c>
      <c r="AC499" s="78" t="str">
        <f t="shared" si="5148"/>
        <v>n.a.</v>
      </c>
      <c r="AD499" s="78" t="str">
        <f t="shared" si="5148"/>
        <v>n.a.</v>
      </c>
      <c r="AE499" s="78" t="str">
        <f t="shared" si="5148"/>
        <v>n.a.</v>
      </c>
      <c r="AF499" s="78" t="str">
        <f t="shared" si="5148"/>
        <v>n.a.</v>
      </c>
      <c r="AG499" s="78" t="str">
        <f t="shared" si="5148"/>
        <v>n.a.</v>
      </c>
      <c r="AH499" s="78" t="str">
        <f t="shared" si="5148"/>
        <v>n.a.</v>
      </c>
      <c r="AI499" s="88" t="str">
        <f t="shared" ref="AI499" si="5149">IF(ISERROR(AI452-AH452),"n.a.",AI452-AH452)</f>
        <v>n.a.</v>
      </c>
      <c r="AJ499" s="37" t="str">
        <f t="shared" ref="AJ499" si="5150">IF(ISERROR(AJ452-AI452),"n.a.",AJ452-AI452)</f>
        <v>n.a.</v>
      </c>
      <c r="AK499" s="37" t="str">
        <f t="shared" ref="AK499" si="5151">IF(ISERROR(AK452-AJ452),"n.a.",AK452-AJ452)</f>
        <v>n.a.</v>
      </c>
      <c r="AL499" s="37" t="str">
        <f t="shared" ref="AL499" si="5152">IF(ISERROR(AL452-AK452),"n.a.",AL452-AK452)</f>
        <v>n.a.</v>
      </c>
      <c r="AM499" s="37" t="str">
        <f t="shared" ref="AM499" si="5153">IF(ISERROR(AM452-AL452),"n.a.",AM452-AL452)</f>
        <v>n.a.</v>
      </c>
      <c r="AN499" s="37" t="str">
        <f t="shared" ref="AN499" si="5154">IF(ISERROR(AN452-AM452),"n.a.",AN452-AM452)</f>
        <v>n.a.</v>
      </c>
      <c r="AO499" s="37" t="str">
        <f t="shared" ref="AO499" si="5155">IF(ISERROR(AO452-AN452),"n.a.",AO452-AN452)</f>
        <v>n.a.</v>
      </c>
      <c r="AP499" s="37" t="str">
        <f t="shared" ref="AP499" si="5156">IF(ISERROR(AP452-AO452),"n.a.",AP452-AO452)</f>
        <v>n.a.</v>
      </c>
      <c r="AQ499" s="37" t="str">
        <f t="shared" ref="AQ499" si="5157">IF(ISERROR(AQ452-AP452),"n.a.",AQ452-AP452)</f>
        <v>n.a.</v>
      </c>
      <c r="AR499" s="37" t="str">
        <f t="shared" ref="AR499" si="5158">IF(ISERROR(AR452-AQ452),"n.a.",AR452-AQ452)</f>
        <v>n.a.</v>
      </c>
      <c r="AS499" s="8"/>
      <c r="AT499" s="37" t="str">
        <f>IF(ISERROR(AT452-T452),"n.a.",AT452-T452)</f>
        <v>n.a.</v>
      </c>
      <c r="AU499" s="37" t="str">
        <f>IF(ISERROR(AU452-AT452),"n.a.",AU452-AT452)</f>
        <v>n.a.</v>
      </c>
      <c r="AV499" s="37" t="str">
        <f>IF(ISERROR(AV452-AU452),"n.a.",AV452-AU452)</f>
        <v>n.a.</v>
      </c>
      <c r="AW499" s="37" t="str">
        <f>IF(ISERROR(AW452-AV452),"n.a.",AW452-AV452)</f>
        <v>n.a.</v>
      </c>
      <c r="AX499" s="37" t="str">
        <f t="shared" ref="AX499:BB499" si="5159">IF(ISERROR(AX452-AW452),"n.a.",AX452-AW452)</f>
        <v>n.a.</v>
      </c>
      <c r="AY499" s="37" t="str">
        <f t="shared" si="5159"/>
        <v>n.a.</v>
      </c>
      <c r="AZ499" s="37" t="str">
        <f t="shared" si="5159"/>
        <v>n.a.</v>
      </c>
      <c r="BA499" s="37" t="str">
        <f t="shared" si="5159"/>
        <v>n.a.</v>
      </c>
      <c r="BB499" s="37" t="str">
        <f t="shared" si="5159"/>
        <v>n.a.</v>
      </c>
      <c r="BC499" s="37" t="str">
        <f t="shared" ref="BC499" si="5160">IF(ISERROR(BC452-BB452),"n.a.",BC452-BB452)</f>
        <v>n.a.</v>
      </c>
      <c r="BD499" s="37" t="str">
        <f t="shared" ref="BD499" si="5161">IF(ISERROR(BD452-BC452),"n.a.",BD452-BC452)</f>
        <v>n.a.</v>
      </c>
      <c r="BE499" s="37" t="str">
        <f t="shared" ref="BE499" si="5162">IF(ISERROR(BE452-BD452),"n.a.",BE452-BD452)</f>
        <v>n.a.</v>
      </c>
      <c r="BF499" s="37" t="str">
        <f t="shared" ref="BF499" si="5163">IF(ISERROR(BF452-BE452),"n.a.",BF452-BE452)</f>
        <v>n.a.</v>
      </c>
      <c r="BG499" s="37" t="str">
        <f t="shared" ref="BG499" si="5164">IF(ISERROR(BG452-BF452),"n.a.",BG452-BF452)</f>
        <v>n.a.</v>
      </c>
      <c r="BH499" s="37" t="str">
        <f t="shared" ref="BH499:BM499" si="5165">IF(ISERROR(BH452-BG452),"n.a.",BH452-BG452)</f>
        <v>n.a.</v>
      </c>
      <c r="BI499" s="38" t="str">
        <f t="shared" si="5165"/>
        <v>n.a.</v>
      </c>
      <c r="BJ499" s="37" t="str">
        <f t="shared" si="5165"/>
        <v>n.a.</v>
      </c>
      <c r="BK499" s="37" t="str">
        <f t="shared" si="5165"/>
        <v>n.a.</v>
      </c>
      <c r="BL499" s="37" t="str">
        <f t="shared" si="5165"/>
        <v>n.a.</v>
      </c>
      <c r="BM499" s="37" t="str">
        <f t="shared" si="5165"/>
        <v>n.a.</v>
      </c>
      <c r="BN499" s="37" t="str">
        <f>IF(ISERROR(BN452-#REF!),"n.a.",BN452-#REF!)</f>
        <v>n.a.</v>
      </c>
    </row>
    <row r="500" spans="2:66" ht="12" customHeight="1" outlineLevel="1">
      <c r="B500" s="1" t="s">
        <v>60</v>
      </c>
      <c r="C500" s="50" t="str">
        <f t="shared" ref="C500" si="5166">IF(ISERROR(C491/B491),"n.a.",C491/B491-1)</f>
        <v>n.a.</v>
      </c>
      <c r="D500" s="50">
        <f>IF(ISERROR(D491/C491),"n.a.",D491/C491-1)</f>
        <v>-0.2990104016180295</v>
      </c>
      <c r="E500" s="50">
        <f t="shared" ref="E500:I500" si="5167">IF(ISERROR(E491/D491),"n.a.",E491/D491-1)</f>
        <v>-0.76917924674120253</v>
      </c>
      <c r="F500" s="50">
        <f t="shared" si="5167"/>
        <v>5.1562499999999956E-2</v>
      </c>
      <c r="G500" s="50">
        <f t="shared" si="5167"/>
        <v>-0.51178093822967519</v>
      </c>
      <c r="H500" s="50">
        <f t="shared" si="5167"/>
        <v>-8.6956521739130488E-2</v>
      </c>
      <c r="I500" s="50">
        <f t="shared" si="5167"/>
        <v>0.76190476190476186</v>
      </c>
      <c r="J500" s="50">
        <f t="shared" ref="J500:AH500" si="5168">IF(ISERROR(J491/I491),"n.a.",J491/I491-1)</f>
        <v>5.4054054054053946E-2</v>
      </c>
      <c r="K500" s="50">
        <f t="shared" si="5168"/>
        <v>5.1282051282051322E-2</v>
      </c>
      <c r="L500" s="50">
        <f t="shared" si="5168"/>
        <v>-0.48780487804878048</v>
      </c>
      <c r="M500" s="69">
        <f t="shared" si="5168"/>
        <v>0</v>
      </c>
      <c r="N500" s="69">
        <f t="shared" si="5168"/>
        <v>9.5238095238095344E-2</v>
      </c>
      <c r="O500" s="69">
        <f t="shared" si="5168"/>
        <v>-0.13043478260869568</v>
      </c>
      <c r="P500" s="69">
        <f t="shared" si="5168"/>
        <v>-0.15000000000000002</v>
      </c>
      <c r="Q500" s="69">
        <f t="shared" si="5168"/>
        <v>5.8823529411764719E-2</v>
      </c>
      <c r="R500" s="69">
        <f t="shared" si="5168"/>
        <v>-5.555555555555558E-2</v>
      </c>
      <c r="S500" s="69">
        <f t="shared" si="5168"/>
        <v>0</v>
      </c>
      <c r="T500" s="69">
        <f t="shared" si="5168"/>
        <v>3.7058823529411766</v>
      </c>
      <c r="U500" s="69">
        <f t="shared" si="5168"/>
        <v>-0.71250000000000002</v>
      </c>
      <c r="V500" s="69">
        <f t="shared" si="5168"/>
        <v>-0.43478260869565222</v>
      </c>
      <c r="W500" s="69">
        <f t="shared" si="5168"/>
        <v>7.6923076923076872E-2</v>
      </c>
      <c r="X500" s="69">
        <f t="shared" si="5168"/>
        <v>-0.1428571428571429</v>
      </c>
      <c r="Y500" s="69">
        <f t="shared" si="5168"/>
        <v>0.16666666666666674</v>
      </c>
      <c r="Z500" s="69">
        <f t="shared" si="5168"/>
        <v>-7.1428571428571397E-2</v>
      </c>
      <c r="AA500" s="69">
        <f t="shared" si="5168"/>
        <v>0.15384615384615374</v>
      </c>
      <c r="AB500" s="69">
        <f t="shared" si="5168"/>
        <v>-1</v>
      </c>
      <c r="AC500" s="69" t="str">
        <f t="shared" si="5168"/>
        <v>n.a.</v>
      </c>
      <c r="AD500" s="69" t="str">
        <f t="shared" si="5168"/>
        <v>n.a.</v>
      </c>
      <c r="AE500" s="69" t="str">
        <f t="shared" si="5168"/>
        <v>n.a.</v>
      </c>
      <c r="AF500" s="69" t="str">
        <f t="shared" si="5168"/>
        <v>n.a.</v>
      </c>
      <c r="AG500" s="69" t="str">
        <f t="shared" si="5168"/>
        <v>n.a.</v>
      </c>
      <c r="AH500" s="69" t="str">
        <f t="shared" si="5168"/>
        <v>n.a.</v>
      </c>
      <c r="AI500" s="89" t="str">
        <f t="shared" ref="AI500" si="5169">IF(ISERROR(AI491/AH491),"n.a.",AI491/AH491-1)</f>
        <v>n.a.</v>
      </c>
      <c r="AJ500" s="50" t="str">
        <f t="shared" ref="AJ500" si="5170">IF(ISERROR(AJ491/AI491),"n.a.",AJ491/AI491-1)</f>
        <v>n.a.</v>
      </c>
      <c r="AK500" s="50" t="str">
        <f t="shared" ref="AK500" si="5171">IF(ISERROR(AK491/AJ491),"n.a.",AK491/AJ491-1)</f>
        <v>n.a.</v>
      </c>
      <c r="AL500" s="50" t="str">
        <f t="shared" ref="AL500" si="5172">IF(ISERROR(AL491/AK491),"n.a.",AL491/AK491-1)</f>
        <v>n.a.</v>
      </c>
      <c r="AM500" s="50" t="str">
        <f t="shared" ref="AM500" si="5173">IF(ISERROR(AM491/AL491),"n.a.",AM491/AL491-1)</f>
        <v>n.a.</v>
      </c>
      <c r="AN500" s="50" t="str">
        <f t="shared" ref="AN500" si="5174">IF(ISERROR(AN491/AM491),"n.a.",AN491/AM491-1)</f>
        <v>n.a.</v>
      </c>
      <c r="AO500" s="50" t="str">
        <f t="shared" ref="AO500" si="5175">IF(ISERROR(AO491/AN491),"n.a.",AO491/AN491-1)</f>
        <v>n.a.</v>
      </c>
      <c r="AP500" s="50" t="str">
        <f t="shared" ref="AP500" si="5176">IF(ISERROR(AP491/AO491),"n.a.",AP491/AO491-1)</f>
        <v>n.a.</v>
      </c>
      <c r="AQ500" s="50" t="str">
        <f t="shared" ref="AQ500" si="5177">IF(ISERROR(AQ491/AP491),"n.a.",AQ491/AP491-1)</f>
        <v>n.a.</v>
      </c>
      <c r="AR500" s="50" t="str">
        <f t="shared" ref="AR500" si="5178">IF(ISERROR(AR491/AQ491),"n.a.",AR491/AQ491-1)</f>
        <v>n.a.</v>
      </c>
      <c r="AS500" s="8"/>
      <c r="AT500" s="50">
        <f>IF(ISERROR(AT491/T491),"n.a.",AT491/T491-1)</f>
        <v>1.4261249999999999</v>
      </c>
      <c r="AU500" s="50">
        <f>IF(ISERROR(AU491/AT491),"n.a.",AU491/AT491-1)</f>
        <v>-0.75727755165129573</v>
      </c>
      <c r="AV500" s="50">
        <f>IF(ISERROR(AV491/AU491),"n.a.",AV491/AU491-1)</f>
        <v>-0.55423476968796437</v>
      </c>
      <c r="AW500" s="50">
        <f>IF(ISERROR(AW491/AV491),"n.a.",AW491/AV491-1)</f>
        <v>0.85714285714285721</v>
      </c>
      <c r="AX500" s="50">
        <f t="shared" ref="AX500:BB500" si="5179">IF(ISERROR(AX491/AW491),"n.a.",AX491/AW491-1)</f>
        <v>-0.46153846153846156</v>
      </c>
      <c r="AY500" s="50">
        <f t="shared" si="5179"/>
        <v>9.5238095238095344E-2</v>
      </c>
      <c r="AZ500" s="50">
        <f t="shared" si="5179"/>
        <v>-0.26086956521739135</v>
      </c>
      <c r="BA500" s="50">
        <f t="shared" si="5179"/>
        <v>0</v>
      </c>
      <c r="BB500" s="50">
        <f t="shared" si="5179"/>
        <v>3.7058823529411766</v>
      </c>
      <c r="BC500" s="50">
        <f t="shared" ref="BC500" si="5180">IF(ISERROR(BC491/BB491),"n.a.",BC491/BB491-1)</f>
        <v>-0.83750000000000002</v>
      </c>
      <c r="BD500" s="50">
        <f t="shared" ref="BD500" si="5181">IF(ISERROR(BD491/BC491),"n.a.",BD491/BC491-1)</f>
        <v>-7.6923076923076872E-2</v>
      </c>
      <c r="BE500" s="50">
        <f t="shared" ref="BE500" si="5182">IF(ISERROR(BE491/BD491),"n.a.",BE491/BD491-1)</f>
        <v>8.3333333333333259E-2</v>
      </c>
      <c r="BF500" s="50">
        <f t="shared" ref="BF500" si="5183">IF(ISERROR(BF491/BE491),"n.a.",BF491/BE491-1)</f>
        <v>-1</v>
      </c>
      <c r="BG500" s="50" t="str">
        <f t="shared" ref="BG500" si="5184">IF(ISERROR(BG491/BF491),"n.a.",BG491/BF491-1)</f>
        <v>n.a.</v>
      </c>
      <c r="BH500" s="50" t="str">
        <f t="shared" ref="BH500:BM500" si="5185">IF(ISERROR(BH491/BG491),"n.a.",BH491/BG491-1)</f>
        <v>n.a.</v>
      </c>
      <c r="BI500" s="51" t="str">
        <f t="shared" si="5185"/>
        <v>n.a.</v>
      </c>
      <c r="BJ500" s="50" t="str">
        <f t="shared" si="5185"/>
        <v>n.a.</v>
      </c>
      <c r="BK500" s="50" t="str">
        <f t="shared" si="5185"/>
        <v>n.a.</v>
      </c>
      <c r="BL500" s="50" t="str">
        <f t="shared" si="5185"/>
        <v>n.a.</v>
      </c>
      <c r="BM500" s="50" t="str">
        <f t="shared" si="5185"/>
        <v>n.a.</v>
      </c>
      <c r="BN500" s="50" t="str">
        <f>IF(ISERROR(BN491/#REF!),"n.a.",BN491/#REF!-1)</f>
        <v>n.a.</v>
      </c>
    </row>
    <row r="501" spans="2:66" ht="12" customHeight="1" outlineLevel="1">
      <c r="B501" s="1" t="s">
        <v>61</v>
      </c>
      <c r="C501" s="50" t="str">
        <f t="shared" ref="C501" si="5186">IF(ISERROR(C494/B494),"n.a.",C494/B494-1)</f>
        <v>n.a.</v>
      </c>
      <c r="D501" s="50" t="str">
        <f>IF(ISERROR(D494/C494),"n.a.",D494/C494-1)</f>
        <v>n.a.</v>
      </c>
      <c r="E501" s="50" t="str">
        <f t="shared" ref="E501:I501" si="5187">IF(ISERROR(E494/D494),"n.a.",E494/D494-1)</f>
        <v>n.a.</v>
      </c>
      <c r="F501" s="50" t="str">
        <f t="shared" si="5187"/>
        <v>n.a.</v>
      </c>
      <c r="G501" s="50" t="str">
        <f t="shared" si="5187"/>
        <v>n.a.</v>
      </c>
      <c r="H501" s="50" t="str">
        <f t="shared" si="5187"/>
        <v>n.a.</v>
      </c>
      <c r="I501" s="50" t="str">
        <f t="shared" si="5187"/>
        <v>n.a.</v>
      </c>
      <c r="J501" s="50" t="str">
        <f t="shared" ref="J501:AH501" si="5188">IF(ISERROR(J494/I494),"n.a.",J494/I494-1)</f>
        <v>n.a.</v>
      </c>
      <c r="K501" s="50" t="str">
        <f t="shared" si="5188"/>
        <v>n.a.</v>
      </c>
      <c r="L501" s="50" t="str">
        <f t="shared" si="5188"/>
        <v>n.a.</v>
      </c>
      <c r="M501" s="69" t="str">
        <f t="shared" si="5188"/>
        <v>n.a.</v>
      </c>
      <c r="N501" s="69" t="str">
        <f t="shared" si="5188"/>
        <v>n.a.</v>
      </c>
      <c r="O501" s="69" t="str">
        <f t="shared" si="5188"/>
        <v>n.a.</v>
      </c>
      <c r="P501" s="69" t="str">
        <f t="shared" si="5188"/>
        <v>n.a.</v>
      </c>
      <c r="Q501" s="69" t="str">
        <f t="shared" si="5188"/>
        <v>n.a.</v>
      </c>
      <c r="R501" s="69" t="str">
        <f t="shared" si="5188"/>
        <v>n.a.</v>
      </c>
      <c r="S501" s="69" t="str">
        <f t="shared" si="5188"/>
        <v>n.a.</v>
      </c>
      <c r="T501" s="69" t="str">
        <f t="shared" si="5188"/>
        <v>n.a.</v>
      </c>
      <c r="U501" s="69" t="str">
        <f t="shared" si="5188"/>
        <v>n.a.</v>
      </c>
      <c r="V501" s="69" t="str">
        <f t="shared" si="5188"/>
        <v>n.a.</v>
      </c>
      <c r="W501" s="69" t="str">
        <f t="shared" si="5188"/>
        <v>n.a.</v>
      </c>
      <c r="X501" s="69" t="str">
        <f t="shared" si="5188"/>
        <v>n.a.</v>
      </c>
      <c r="Y501" s="69" t="str">
        <f t="shared" si="5188"/>
        <v>n.a.</v>
      </c>
      <c r="Z501" s="69" t="str">
        <f t="shared" si="5188"/>
        <v>n.a.</v>
      </c>
      <c r="AA501" s="69" t="str">
        <f t="shared" si="5188"/>
        <v>n.a.</v>
      </c>
      <c r="AB501" s="69" t="str">
        <f t="shared" si="5188"/>
        <v>n.a.</v>
      </c>
      <c r="AC501" s="69" t="str">
        <f t="shared" si="5188"/>
        <v>n.a.</v>
      </c>
      <c r="AD501" s="69" t="str">
        <f t="shared" si="5188"/>
        <v>n.a.</v>
      </c>
      <c r="AE501" s="69" t="str">
        <f t="shared" si="5188"/>
        <v>n.a.</v>
      </c>
      <c r="AF501" s="69" t="str">
        <f t="shared" si="5188"/>
        <v>n.a.</v>
      </c>
      <c r="AG501" s="69" t="str">
        <f t="shared" si="5188"/>
        <v>n.a.</v>
      </c>
      <c r="AH501" s="69" t="str">
        <f t="shared" si="5188"/>
        <v>n.a.</v>
      </c>
      <c r="AI501" s="89" t="str">
        <f t="shared" ref="AI501" si="5189">IF(ISERROR(AI494/AH494),"n.a.",AI494/AH494-1)</f>
        <v>n.a.</v>
      </c>
      <c r="AJ501" s="50" t="str">
        <f t="shared" ref="AJ501" si="5190">IF(ISERROR(AJ494/AI494),"n.a.",AJ494/AI494-1)</f>
        <v>n.a.</v>
      </c>
      <c r="AK501" s="50" t="str">
        <f t="shared" ref="AK501" si="5191">IF(ISERROR(AK494/AJ494),"n.a.",AK494/AJ494-1)</f>
        <v>n.a.</v>
      </c>
      <c r="AL501" s="50" t="str">
        <f t="shared" ref="AL501" si="5192">IF(ISERROR(AL494/AK494),"n.a.",AL494/AK494-1)</f>
        <v>n.a.</v>
      </c>
      <c r="AM501" s="50" t="str">
        <f t="shared" ref="AM501" si="5193">IF(ISERROR(AM494/AL494),"n.a.",AM494/AL494-1)</f>
        <v>n.a.</v>
      </c>
      <c r="AN501" s="50" t="str">
        <f t="shared" ref="AN501" si="5194">IF(ISERROR(AN494/AM494),"n.a.",AN494/AM494-1)</f>
        <v>n.a.</v>
      </c>
      <c r="AO501" s="50" t="str">
        <f t="shared" ref="AO501" si="5195">IF(ISERROR(AO494/AN494),"n.a.",AO494/AN494-1)</f>
        <v>n.a.</v>
      </c>
      <c r="AP501" s="50" t="str">
        <f t="shared" ref="AP501" si="5196">IF(ISERROR(AP494/AO494),"n.a.",AP494/AO494-1)</f>
        <v>n.a.</v>
      </c>
      <c r="AQ501" s="50" t="str">
        <f t="shared" ref="AQ501" si="5197">IF(ISERROR(AQ494/AP494),"n.a.",AQ494/AP494-1)</f>
        <v>n.a.</v>
      </c>
      <c r="AR501" s="50" t="str">
        <f t="shared" ref="AR501" si="5198">IF(ISERROR(AR494/AQ494),"n.a.",AR494/AQ494-1)</f>
        <v>n.a.</v>
      </c>
      <c r="AS501" s="8"/>
      <c r="AT501" s="50" t="str">
        <f>IF(ISERROR(AT494/T494),"n.a.",AT494/T494-1)</f>
        <v>n.a.</v>
      </c>
      <c r="AU501" s="50" t="str">
        <f>IF(ISERROR(AU494/AT494),"n.a.",AU494/AT494-1)</f>
        <v>n.a.</v>
      </c>
      <c r="AV501" s="50" t="str">
        <f>IF(ISERROR(AV494/AU494),"n.a.",AV494/AU494-1)</f>
        <v>n.a.</v>
      </c>
      <c r="AW501" s="50" t="str">
        <f>IF(ISERROR(AW494/AV494),"n.a.",AW494/AV494-1)</f>
        <v>n.a.</v>
      </c>
      <c r="AX501" s="50" t="str">
        <f t="shared" ref="AX501:BB501" si="5199">IF(ISERROR(AX494/AW494),"n.a.",AX494/AW494-1)</f>
        <v>n.a.</v>
      </c>
      <c r="AY501" s="50" t="str">
        <f t="shared" si="5199"/>
        <v>n.a.</v>
      </c>
      <c r="AZ501" s="50" t="str">
        <f t="shared" si="5199"/>
        <v>n.a.</v>
      </c>
      <c r="BA501" s="50" t="str">
        <f t="shared" si="5199"/>
        <v>n.a.</v>
      </c>
      <c r="BB501" s="50" t="str">
        <f t="shared" si="5199"/>
        <v>n.a.</v>
      </c>
      <c r="BC501" s="50" t="str">
        <f t="shared" ref="BC501" si="5200">IF(ISERROR(BC494/BB494),"n.a.",BC494/BB494-1)</f>
        <v>n.a.</v>
      </c>
      <c r="BD501" s="50" t="str">
        <f t="shared" ref="BD501" si="5201">IF(ISERROR(BD494/BC494),"n.a.",BD494/BC494-1)</f>
        <v>n.a.</v>
      </c>
      <c r="BE501" s="50" t="str">
        <f t="shared" ref="BE501" si="5202">IF(ISERROR(BE494/BD494),"n.a.",BE494/BD494-1)</f>
        <v>n.a.</v>
      </c>
      <c r="BF501" s="50" t="str">
        <f t="shared" ref="BF501" si="5203">IF(ISERROR(BF494/BE494),"n.a.",BF494/BE494-1)</f>
        <v>n.a.</v>
      </c>
      <c r="BG501" s="50" t="str">
        <f t="shared" ref="BG501" si="5204">IF(ISERROR(BG494/BF494),"n.a.",BG494/BF494-1)</f>
        <v>n.a.</v>
      </c>
      <c r="BH501" s="50" t="str">
        <f t="shared" ref="BH501:BM501" si="5205">IF(ISERROR(BH494/BG494),"n.a.",BH494/BG494-1)</f>
        <v>n.a.</v>
      </c>
      <c r="BI501" s="51" t="str">
        <f t="shared" si="5205"/>
        <v>n.a.</v>
      </c>
      <c r="BJ501" s="50" t="str">
        <f t="shared" si="5205"/>
        <v>n.a.</v>
      </c>
      <c r="BK501" s="50" t="str">
        <f t="shared" si="5205"/>
        <v>n.a.</v>
      </c>
      <c r="BL501" s="50" t="str">
        <f t="shared" si="5205"/>
        <v>n.a.</v>
      </c>
      <c r="BM501" s="50" t="str">
        <f t="shared" si="5205"/>
        <v>n.a.</v>
      </c>
      <c r="BN501" s="50" t="str">
        <f>IF(ISERROR(BN494/#REF!),"n.a.",BN494/#REF!-1)</f>
        <v>n.a.</v>
      </c>
    </row>
    <row r="502" spans="2:66" ht="12" customHeight="1" outlineLevel="1">
      <c r="B502" s="1" t="s">
        <v>75</v>
      </c>
      <c r="C502" s="37">
        <f t="shared" ref="C502:I502" si="5206">IF(ISERROR(C456/AVERAGE(B491:C491)),"n.a.",C456*C$5/AVERAGE(B491:C491))</f>
        <v>0</v>
      </c>
      <c r="D502" s="37">
        <f t="shared" si="5206"/>
        <v>0</v>
      </c>
      <c r="E502" s="37">
        <f t="shared" si="5206"/>
        <v>0</v>
      </c>
      <c r="F502" s="37">
        <f t="shared" si="5206"/>
        <v>0</v>
      </c>
      <c r="G502" s="37">
        <f t="shared" si="5206"/>
        <v>0</v>
      </c>
      <c r="H502" s="37">
        <f t="shared" si="5206"/>
        <v>0</v>
      </c>
      <c r="I502" s="37">
        <f t="shared" si="5206"/>
        <v>0</v>
      </c>
      <c r="J502" s="37">
        <f t="shared" ref="J502:AH502" si="5207">IF(ISERROR(J454/AVERAGE(I491:J491)),"n.a.",J454*J$5/AVERAGE(I491:J491))</f>
        <v>0</v>
      </c>
      <c r="K502" s="37">
        <f t="shared" si="5207"/>
        <v>0</v>
      </c>
      <c r="L502" s="37">
        <f t="shared" si="5207"/>
        <v>0</v>
      </c>
      <c r="M502" s="78">
        <f t="shared" si="5207"/>
        <v>0</v>
      </c>
      <c r="N502" s="78">
        <f t="shared" si="5207"/>
        <v>0</v>
      </c>
      <c r="O502" s="78">
        <f t="shared" si="5207"/>
        <v>0</v>
      </c>
      <c r="P502" s="78">
        <f t="shared" si="5207"/>
        <v>0</v>
      </c>
      <c r="Q502" s="78">
        <f t="shared" si="5207"/>
        <v>0</v>
      </c>
      <c r="R502" s="78">
        <f t="shared" si="5207"/>
        <v>0</v>
      </c>
      <c r="S502" s="78">
        <f t="shared" si="5207"/>
        <v>0</v>
      </c>
      <c r="T502" s="78">
        <f t="shared" si="5207"/>
        <v>0</v>
      </c>
      <c r="U502" s="78">
        <f t="shared" si="5207"/>
        <v>0</v>
      </c>
      <c r="V502" s="78">
        <f t="shared" si="5207"/>
        <v>0</v>
      </c>
      <c r="W502" s="78">
        <f t="shared" si="5207"/>
        <v>0</v>
      </c>
      <c r="X502" s="78">
        <f t="shared" si="5207"/>
        <v>0</v>
      </c>
      <c r="Y502" s="78">
        <f t="shared" si="5207"/>
        <v>0</v>
      </c>
      <c r="Z502" s="78">
        <f t="shared" si="5207"/>
        <v>0</v>
      </c>
      <c r="AA502" s="78">
        <f t="shared" si="5207"/>
        <v>0</v>
      </c>
      <c r="AB502" s="78">
        <f t="shared" si="5207"/>
        <v>0</v>
      </c>
      <c r="AC502" s="78" t="str">
        <f t="shared" si="5207"/>
        <v>n.a.</v>
      </c>
      <c r="AD502" s="78" t="str">
        <f t="shared" si="5207"/>
        <v>n.a.</v>
      </c>
      <c r="AE502" s="78" t="str">
        <f t="shared" si="5207"/>
        <v>n.a.</v>
      </c>
      <c r="AF502" s="78" t="str">
        <f t="shared" si="5207"/>
        <v>n.a.</v>
      </c>
      <c r="AG502" s="78" t="str">
        <f t="shared" si="5207"/>
        <v>n.a.</v>
      </c>
      <c r="AH502" s="78" t="str">
        <f t="shared" si="5207"/>
        <v>n.a.</v>
      </c>
      <c r="AI502" s="88" t="str">
        <f t="shared" ref="AI502" si="5208">IF(ISERROR(AI456/AVERAGE(AH491:AI491)),"n.a.",AI456*AI$5/AVERAGE(AH491:AI491))</f>
        <v>n.a.</v>
      </c>
      <c r="AJ502" s="37" t="str">
        <f t="shared" ref="AJ502" si="5209">IF(ISERROR(AJ456/AVERAGE(AI491:AJ491)),"n.a.",AJ456*AJ$5/AVERAGE(AI491:AJ491))</f>
        <v>n.a.</v>
      </c>
      <c r="AK502" s="37" t="str">
        <f t="shared" ref="AK502" si="5210">IF(ISERROR(AK456/AVERAGE(AJ491:AK491)),"n.a.",AK456*AK$5/AVERAGE(AJ491:AK491))</f>
        <v>n.a.</v>
      </c>
      <c r="AL502" s="37" t="str">
        <f t="shared" ref="AL502" si="5211">IF(ISERROR(AL456/AVERAGE(AK491:AL491)),"n.a.",AL456*AL$5/AVERAGE(AK491:AL491))</f>
        <v>n.a.</v>
      </c>
      <c r="AM502" s="37" t="str">
        <f t="shared" ref="AM502" si="5212">IF(ISERROR(AM456/AVERAGE(AL491:AM491)),"n.a.",AM456*AM$5/AVERAGE(AL491:AM491))</f>
        <v>n.a.</v>
      </c>
      <c r="AN502" s="37" t="str">
        <f t="shared" ref="AN502" si="5213">IF(ISERROR(AN456/AVERAGE(AM491:AN491)),"n.a.",AN456*AN$5/AVERAGE(AM491:AN491))</f>
        <v>n.a.</v>
      </c>
      <c r="AO502" s="37" t="str">
        <f t="shared" ref="AO502" si="5214">IF(ISERROR(AO456/AVERAGE(AN491:AO491)),"n.a.",AO456*AO$5/AVERAGE(AN491:AO491))</f>
        <v>n.a.</v>
      </c>
      <c r="AP502" s="37" t="str">
        <f t="shared" ref="AP502" si="5215">IF(ISERROR(AP456/AVERAGE(AO491:AP491)),"n.a.",AP456*AP$5/AVERAGE(AO491:AP491))</f>
        <v>n.a.</v>
      </c>
      <c r="AQ502" s="37" t="str">
        <f t="shared" ref="AQ502" si="5216">IF(ISERROR(AQ456/AVERAGE(AP491:AQ491)),"n.a.",AQ456*AQ$5/AVERAGE(AP491:AQ491))</f>
        <v>n.a.</v>
      </c>
      <c r="AR502" s="37" t="str">
        <f t="shared" ref="AR502" si="5217">IF(ISERROR(AR456/AVERAGE(AQ491:AR491)),"n.a.",AR456*AR$5/AVERAGE(AQ491:AR491))</f>
        <v>n.a.</v>
      </c>
      <c r="AS502" s="8"/>
      <c r="AT502" s="37">
        <f>IF(ISERROR(AT454/AVERAGE(T491:AT491)),"n.a.",AT454*AT$5/AVERAGE(T491:AT491))</f>
        <v>0</v>
      </c>
      <c r="AU502" s="37">
        <f>IF(ISERROR(AU454/AVERAGE(AT491:AU491)),"n.a.",AU454*AU$5/AVERAGE(AT491:AU491))</f>
        <v>0</v>
      </c>
      <c r="AV502" s="37">
        <f>IF(ISERROR(AV454/AVERAGE(AU491:AV491)),"n.a.",AV454*AV$5/AVERAGE(AU491:AV491))</f>
        <v>0</v>
      </c>
      <c r="AW502" s="37">
        <f>IF(ISERROR(AW454/AVERAGE(AV491:AW491)),"n.a.",AW454*AW$5/AVERAGE(AV491:AW491))</f>
        <v>0</v>
      </c>
      <c r="AX502" s="37">
        <f t="shared" ref="AX502:BB502" si="5218">IF(ISERROR(AX454/AVERAGE(AW491:AX491)),"n.a.",AX454*AX$5/AVERAGE(AW491:AX491))</f>
        <v>0</v>
      </c>
      <c r="AY502" s="37">
        <f t="shared" si="5218"/>
        <v>0</v>
      </c>
      <c r="AZ502" s="37">
        <f t="shared" si="5218"/>
        <v>0</v>
      </c>
      <c r="BA502" s="37">
        <f t="shared" si="5218"/>
        <v>0</v>
      </c>
      <c r="BB502" s="37">
        <f t="shared" si="5218"/>
        <v>0</v>
      </c>
      <c r="BC502" s="37">
        <f t="shared" ref="BC502" si="5219">IF(ISERROR(BC454/AVERAGE(BB491:BC491)),"n.a.",BC454*BC$5/AVERAGE(BB491:BC491))</f>
        <v>0</v>
      </c>
      <c r="BD502" s="37">
        <f t="shared" ref="BD502" si="5220">IF(ISERROR(BD454/AVERAGE(BC491:BD491)),"n.a.",BD454*BD$5/AVERAGE(BC491:BD491))</f>
        <v>0</v>
      </c>
      <c r="BE502" s="37">
        <f t="shared" ref="BE502" si="5221">IF(ISERROR(BE454/AVERAGE(BD491:BE491)),"n.a.",BE454*BE$5/AVERAGE(BD491:BE491))</f>
        <v>0</v>
      </c>
      <c r="BF502" s="37">
        <f t="shared" ref="BF502" si="5222">IF(ISERROR(BF454/AVERAGE(BE491:BF491)),"n.a.",BF454*BF$5/AVERAGE(BE491:BF491))</f>
        <v>0</v>
      </c>
      <c r="BG502" s="37" t="str">
        <f t="shared" ref="BG502" si="5223">IF(ISERROR(BG454/AVERAGE(BF491:BG491)),"n.a.",BG454*BG$5/AVERAGE(BF491:BG491))</f>
        <v>n.a.</v>
      </c>
      <c r="BH502" s="37" t="str">
        <f t="shared" ref="BH502:BJ502" si="5224">IF(ISERROR(BH454/AVERAGE(BG491:BH491)),"n.a.",BH454*BH$5/AVERAGE(BG491:BH491))</f>
        <v>n.a.</v>
      </c>
      <c r="BI502" s="38" t="str">
        <f t="shared" si="5224"/>
        <v>n.a.</v>
      </c>
      <c r="BJ502" s="37" t="str">
        <f t="shared" si="5224"/>
        <v>n.a.</v>
      </c>
      <c r="BK502" s="37" t="str">
        <f>IF(ISERROR(BK454/AVERAGE(BK491:BK491)),"n.a.",BK454*BK$5/AVERAGE(BK491:BK491))</f>
        <v>n.a.</v>
      </c>
      <c r="BL502" s="37" t="str">
        <f>IF(ISERROR(BL454/AVERAGE(BL491:BL491)),"n.a.",BL454*BL$5/AVERAGE(BL491:BL491))</f>
        <v>n.a.</v>
      </c>
      <c r="BM502" s="37" t="str">
        <f>IF(ISERROR(BM454/AVERAGE(BM491:BM491)),"n.a.",BM454*BM$5/AVERAGE(BM491:BM491))</f>
        <v>n.a.</v>
      </c>
      <c r="BN502" s="37" t="str">
        <f>IF(ISERROR(BN454/AVERAGE(BN491:BN491)),"n.a.",BN454*BO$5/AVERAGE(BN491:BN491))</f>
        <v>n.a.</v>
      </c>
    </row>
    <row r="503" spans="2:66" ht="12" customHeight="1" outlineLevel="1">
      <c r="B503" s="1" t="s">
        <v>76</v>
      </c>
      <c r="C503" s="37" t="str">
        <f t="shared" ref="C503:I503" si="5225">IF(ISERROR(C455/AVERAGE(B494:C494)),"n.a.",C455*C$5/AVERAGE(B494:C494))</f>
        <v>n.a.</v>
      </c>
      <c r="D503" s="37" t="str">
        <f t="shared" si="5225"/>
        <v>n.a.</v>
      </c>
      <c r="E503" s="37" t="str">
        <f t="shared" si="5225"/>
        <v>n.a.</v>
      </c>
      <c r="F503" s="37" t="str">
        <f t="shared" si="5225"/>
        <v>n.a.</v>
      </c>
      <c r="G503" s="37" t="str">
        <f t="shared" si="5225"/>
        <v>n.a.</v>
      </c>
      <c r="H503" s="37" t="str">
        <f t="shared" si="5225"/>
        <v>n.a.</v>
      </c>
      <c r="I503" s="37" t="str">
        <f t="shared" si="5225"/>
        <v>n.a.</v>
      </c>
      <c r="J503" s="37" t="str">
        <f t="shared" ref="J503:AH503" si="5226">IF(ISERROR(J455/AVERAGE(I494:J494)),"n.a.",J455*J$5/AVERAGE(I494:J494))</f>
        <v>n.a.</v>
      </c>
      <c r="K503" s="37" t="str">
        <f t="shared" si="5226"/>
        <v>n.a.</v>
      </c>
      <c r="L503" s="37" t="str">
        <f t="shared" si="5226"/>
        <v>n.a.</v>
      </c>
      <c r="M503" s="78" t="str">
        <f t="shared" si="5226"/>
        <v>n.a.</v>
      </c>
      <c r="N503" s="78" t="str">
        <f t="shared" si="5226"/>
        <v>n.a.</v>
      </c>
      <c r="O503" s="78" t="str">
        <f t="shared" si="5226"/>
        <v>n.a.</v>
      </c>
      <c r="P503" s="78" t="str">
        <f t="shared" si="5226"/>
        <v>n.a.</v>
      </c>
      <c r="Q503" s="78" t="str">
        <f t="shared" si="5226"/>
        <v>n.a.</v>
      </c>
      <c r="R503" s="78" t="str">
        <f t="shared" si="5226"/>
        <v>n.a.</v>
      </c>
      <c r="S503" s="78" t="str">
        <f t="shared" si="5226"/>
        <v>n.a.</v>
      </c>
      <c r="T503" s="78" t="str">
        <f t="shared" si="5226"/>
        <v>n.a.</v>
      </c>
      <c r="U503" s="78" t="str">
        <f t="shared" si="5226"/>
        <v>n.a.</v>
      </c>
      <c r="V503" s="78" t="str">
        <f t="shared" si="5226"/>
        <v>n.a.</v>
      </c>
      <c r="W503" s="78" t="str">
        <f t="shared" si="5226"/>
        <v>n.a.</v>
      </c>
      <c r="X503" s="78" t="str">
        <f t="shared" si="5226"/>
        <v>n.a.</v>
      </c>
      <c r="Y503" s="78" t="str">
        <f t="shared" si="5226"/>
        <v>n.a.</v>
      </c>
      <c r="Z503" s="78" t="str">
        <f t="shared" si="5226"/>
        <v>n.a.</v>
      </c>
      <c r="AA503" s="78" t="str">
        <f t="shared" si="5226"/>
        <v>n.a.</v>
      </c>
      <c r="AB503" s="78" t="str">
        <f t="shared" si="5226"/>
        <v>n.a.</v>
      </c>
      <c r="AC503" s="78" t="str">
        <f t="shared" si="5226"/>
        <v>n.a.</v>
      </c>
      <c r="AD503" s="78" t="str">
        <f t="shared" si="5226"/>
        <v>n.a.</v>
      </c>
      <c r="AE503" s="78" t="str">
        <f t="shared" si="5226"/>
        <v>n.a.</v>
      </c>
      <c r="AF503" s="78" t="str">
        <f t="shared" si="5226"/>
        <v>n.a.</v>
      </c>
      <c r="AG503" s="78" t="str">
        <f t="shared" si="5226"/>
        <v>n.a.</v>
      </c>
      <c r="AH503" s="78" t="str">
        <f t="shared" si="5226"/>
        <v>n.a.</v>
      </c>
      <c r="AI503" s="88" t="str">
        <f t="shared" ref="AI503" si="5227">IF(ISERROR(AI455/AVERAGE(AH494:AI494)),"n.a.",AI455*AI$5/AVERAGE(AH494:AI494))</f>
        <v>n.a.</v>
      </c>
      <c r="AJ503" s="37" t="str">
        <f t="shared" ref="AJ503" si="5228">IF(ISERROR(AJ455/AVERAGE(AI494:AJ494)),"n.a.",AJ455*AJ$5/AVERAGE(AI494:AJ494))</f>
        <v>n.a.</v>
      </c>
      <c r="AK503" s="37" t="str">
        <f t="shared" ref="AK503" si="5229">IF(ISERROR(AK455/AVERAGE(AJ494:AK494)),"n.a.",AK455*AK$5/AVERAGE(AJ494:AK494))</f>
        <v>n.a.</v>
      </c>
      <c r="AL503" s="37" t="str">
        <f t="shared" ref="AL503" si="5230">IF(ISERROR(AL455/AVERAGE(AK494:AL494)),"n.a.",AL455*AL$5/AVERAGE(AK494:AL494))</f>
        <v>n.a.</v>
      </c>
      <c r="AM503" s="37" t="str">
        <f t="shared" ref="AM503" si="5231">IF(ISERROR(AM455/AVERAGE(AL494:AM494)),"n.a.",AM455*AM$5/AVERAGE(AL494:AM494))</f>
        <v>n.a.</v>
      </c>
      <c r="AN503" s="37" t="str">
        <f t="shared" ref="AN503" si="5232">IF(ISERROR(AN455/AVERAGE(AM494:AN494)),"n.a.",AN455*AN$5/AVERAGE(AM494:AN494))</f>
        <v>n.a.</v>
      </c>
      <c r="AO503" s="37" t="str">
        <f t="shared" ref="AO503" si="5233">IF(ISERROR(AO455/AVERAGE(AN494:AO494)),"n.a.",AO455*AO$5/AVERAGE(AN494:AO494))</f>
        <v>n.a.</v>
      </c>
      <c r="AP503" s="37" t="str">
        <f t="shared" ref="AP503" si="5234">IF(ISERROR(AP455/AVERAGE(AO494:AP494)),"n.a.",AP455*AP$5/AVERAGE(AO494:AP494))</f>
        <v>n.a.</v>
      </c>
      <c r="AQ503" s="37" t="str">
        <f t="shared" ref="AQ503" si="5235">IF(ISERROR(AQ455/AVERAGE(AP494:AQ494)),"n.a.",AQ455*AQ$5/AVERAGE(AP494:AQ494))</f>
        <v>n.a.</v>
      </c>
      <c r="AR503" s="37" t="str">
        <f t="shared" ref="AR503" si="5236">IF(ISERROR(AR455/AVERAGE(AQ494:AR494)),"n.a.",AR455*AR$5/AVERAGE(AQ494:AR494))</f>
        <v>n.a.</v>
      </c>
      <c r="AS503" s="8"/>
      <c r="AT503" s="37" t="str">
        <f>IF(ISERROR(AT455/AVERAGE(T494:AT494)),"n.a.",AT455*AT$5/AVERAGE(T494:AT494))</f>
        <v>n.a.</v>
      </c>
      <c r="AU503" s="37" t="str">
        <f>IF(ISERROR(AU455/AVERAGE(AT494:AU494)),"n.a.",AU455*AU$5/AVERAGE(AT494:AU494))</f>
        <v>n.a.</v>
      </c>
      <c r="AV503" s="37" t="str">
        <f>IF(ISERROR(AV455/AVERAGE(AU494:AV494)),"n.a.",AV455*AV$5/AVERAGE(AU494:AV494))</f>
        <v>n.a.</v>
      </c>
      <c r="AW503" s="37" t="str">
        <f>IF(ISERROR(AW455/AVERAGE(AV494:AW494)),"n.a.",AW455*AW$5/AVERAGE(AV494:AW494))</f>
        <v>n.a.</v>
      </c>
      <c r="AX503" s="37" t="str">
        <f t="shared" ref="AX503:BB503" si="5237">IF(ISERROR(AX455/AVERAGE(AW494:AX494)),"n.a.",AX455*AX$5/AVERAGE(AW494:AX494))</f>
        <v>n.a.</v>
      </c>
      <c r="AY503" s="37" t="str">
        <f t="shared" si="5237"/>
        <v>n.a.</v>
      </c>
      <c r="AZ503" s="37" t="str">
        <f t="shared" si="5237"/>
        <v>n.a.</v>
      </c>
      <c r="BA503" s="37" t="str">
        <f t="shared" si="5237"/>
        <v>n.a.</v>
      </c>
      <c r="BB503" s="37" t="str">
        <f t="shared" si="5237"/>
        <v>n.a.</v>
      </c>
      <c r="BC503" s="37" t="str">
        <f t="shared" ref="BC503" si="5238">IF(ISERROR(BC455/AVERAGE(BB494:BC494)),"n.a.",BC455*BC$5/AVERAGE(BB494:BC494))</f>
        <v>n.a.</v>
      </c>
      <c r="BD503" s="37" t="str">
        <f t="shared" ref="BD503" si="5239">IF(ISERROR(BD455/AVERAGE(BC494:BD494)),"n.a.",BD455*BD$5/AVERAGE(BC494:BD494))</f>
        <v>n.a.</v>
      </c>
      <c r="BE503" s="37" t="str">
        <f t="shared" ref="BE503" si="5240">IF(ISERROR(BE455/AVERAGE(BD494:BE494)),"n.a.",BE455*BE$5/AVERAGE(BD494:BE494))</f>
        <v>n.a.</v>
      </c>
      <c r="BF503" s="37" t="str">
        <f t="shared" ref="BF503" si="5241">IF(ISERROR(BF455/AVERAGE(BE494:BF494)),"n.a.",BF455*BF$5/AVERAGE(BE494:BF494))</f>
        <v>n.a.</v>
      </c>
      <c r="BG503" s="37" t="str">
        <f t="shared" ref="BG503" si="5242">IF(ISERROR(BG455/AVERAGE(BF494:BG494)),"n.a.",BG455*BG$5/AVERAGE(BF494:BG494))</f>
        <v>n.a.</v>
      </c>
      <c r="BH503" s="37" t="str">
        <f t="shared" ref="BH503:BJ503" si="5243">IF(ISERROR(BH455/AVERAGE(BG494:BH494)),"n.a.",BH455*BH$5/AVERAGE(BG494:BH494))</f>
        <v>n.a.</v>
      </c>
      <c r="BI503" s="38" t="str">
        <f t="shared" si="5243"/>
        <v>n.a.</v>
      </c>
      <c r="BJ503" s="37" t="str">
        <f t="shared" si="5243"/>
        <v>n.a.</v>
      </c>
      <c r="BK503" s="37" t="str">
        <f>IF(ISERROR(BK455/AVERAGE(BK494:BK494)),"n.a.",BK455*BK$5/AVERAGE(BK494:BK494))</f>
        <v>n.a.</v>
      </c>
      <c r="BL503" s="37" t="str">
        <f>IF(ISERROR(BL455/AVERAGE(BL494:BL494)),"n.a.",BL455*BL$5/AVERAGE(BL494:BL494))</f>
        <v>n.a.</v>
      </c>
      <c r="BM503" s="37" t="str">
        <f>IF(ISERROR(BM455/AVERAGE(BM494:BM494)),"n.a.",BM455*BM$5/AVERAGE(BM494:BM494))</f>
        <v>n.a.</v>
      </c>
      <c r="BN503" s="37" t="str">
        <f>IF(ISERROR(BN455/AVERAGE(BN494:BN494)),"n.a.",BN455*BO$5/AVERAGE(BN494:BN494))</f>
        <v>n.a.</v>
      </c>
    </row>
    <row r="504" spans="2:66" ht="12" customHeight="1" outlineLevel="1">
      <c r="B504" s="1" t="s">
        <v>62</v>
      </c>
      <c r="C504" s="50" t="str">
        <f t="shared" ref="C504:AR504" si="5244">IF(ISERROR(C458/B458),"n.a.",C458/B458-1)</f>
        <v>n.a.</v>
      </c>
      <c r="D504" s="50">
        <f t="shared" si="5244"/>
        <v>-0.33333333333333337</v>
      </c>
      <c r="E504" s="50">
        <f t="shared" si="5244"/>
        <v>0.14999999999999991</v>
      </c>
      <c r="F504" s="50">
        <f t="shared" si="5244"/>
        <v>0.47826086956521729</v>
      </c>
      <c r="G504" s="50">
        <f t="shared" si="5244"/>
        <v>-0.29411764705882348</v>
      </c>
      <c r="H504" s="50">
        <f t="shared" si="5244"/>
        <v>-0.33333333333333337</v>
      </c>
      <c r="I504" s="50">
        <f t="shared" si="5244"/>
        <v>2.375</v>
      </c>
      <c r="J504" s="50">
        <f t="shared" si="5244"/>
        <v>0.18518518518518512</v>
      </c>
      <c r="K504" s="50">
        <f t="shared" si="5244"/>
        <v>7.8125E-2</v>
      </c>
      <c r="L504" s="50">
        <f t="shared" si="5244"/>
        <v>5.7971014492753659E-2</v>
      </c>
      <c r="M504" s="69">
        <f t="shared" si="5244"/>
        <v>0.32876712328767121</v>
      </c>
      <c r="N504" s="69">
        <f t="shared" si="5244"/>
        <v>-0.18556701030927836</v>
      </c>
      <c r="O504" s="69">
        <f t="shared" si="5244"/>
        <v>-0.54430379746835444</v>
      </c>
      <c r="P504" s="69">
        <f t="shared" si="5244"/>
        <v>0.55555555555555558</v>
      </c>
      <c r="Q504" s="69">
        <f t="shared" si="5244"/>
        <v>-1.7857142857142905E-2</v>
      </c>
      <c r="R504" s="69">
        <f t="shared" si="5244"/>
        <v>-0.61818181818181817</v>
      </c>
      <c r="S504" s="69">
        <f t="shared" si="5244"/>
        <v>0.71428571428571419</v>
      </c>
      <c r="T504" s="69">
        <f t="shared" si="5244"/>
        <v>8.3333333333333259E-2</v>
      </c>
      <c r="U504" s="69">
        <f t="shared" si="5244"/>
        <v>0.20512820512820507</v>
      </c>
      <c r="V504" s="69">
        <f t="shared" si="5244"/>
        <v>-2.3617021276595747</v>
      </c>
      <c r="W504" s="69">
        <f t="shared" si="5244"/>
        <v>-2.046875</v>
      </c>
      <c r="X504" s="69">
        <f t="shared" si="5244"/>
        <v>-0.37313432835820892</v>
      </c>
      <c r="Y504" s="69">
        <f t="shared" si="5244"/>
        <v>-0.62489530988274766</v>
      </c>
      <c r="Z504" s="69">
        <f t="shared" si="5244"/>
        <v>-0.13009848092181431</v>
      </c>
      <c r="AA504" s="69">
        <f t="shared" si="5244"/>
        <v>-1</v>
      </c>
      <c r="AB504" s="69" t="str">
        <f t="shared" si="5244"/>
        <v>n.a.</v>
      </c>
      <c r="AC504" s="69" t="str">
        <f t="shared" si="5244"/>
        <v>n.a.</v>
      </c>
      <c r="AD504" s="69" t="str">
        <f t="shared" si="5244"/>
        <v>n.a.</v>
      </c>
      <c r="AE504" s="69">
        <f t="shared" si="5244"/>
        <v>-1</v>
      </c>
      <c r="AF504" s="69" t="str">
        <f t="shared" si="5244"/>
        <v>n.a.</v>
      </c>
      <c r="AG504" s="69" t="str">
        <f t="shared" si="5244"/>
        <v>n.a.</v>
      </c>
      <c r="AH504" s="69" t="str">
        <f t="shared" si="5244"/>
        <v>n.a.</v>
      </c>
      <c r="AI504" s="89" t="str">
        <f t="shared" si="5244"/>
        <v>n.a.</v>
      </c>
      <c r="AJ504" s="50" t="str">
        <f t="shared" si="5244"/>
        <v>n.a.</v>
      </c>
      <c r="AK504" s="50" t="str">
        <f t="shared" si="5244"/>
        <v>n.a.</v>
      </c>
      <c r="AL504" s="50" t="str">
        <f t="shared" si="5244"/>
        <v>n.a.</v>
      </c>
      <c r="AM504" s="50" t="str">
        <f t="shared" si="5244"/>
        <v>n.a.</v>
      </c>
      <c r="AN504" s="50" t="str">
        <f t="shared" si="5244"/>
        <v>n.a.</v>
      </c>
      <c r="AO504" s="50" t="str">
        <f t="shared" si="5244"/>
        <v>n.a.</v>
      </c>
      <c r="AP504" s="50" t="str">
        <f t="shared" si="5244"/>
        <v>n.a.</v>
      </c>
      <c r="AQ504" s="50" t="str">
        <f t="shared" si="5244"/>
        <v>n.a.</v>
      </c>
      <c r="AR504" s="50" t="str">
        <f t="shared" si="5244"/>
        <v>n.a.</v>
      </c>
      <c r="AS504" s="8"/>
      <c r="AT504" s="50">
        <f>IF(ISERROR(AT458/T458),"n.a.",AT458/T458-1)</f>
        <v>0.28205128205128216</v>
      </c>
      <c r="AU504" s="50">
        <f t="shared" ref="AU504:BM504" si="5245">IF(ISERROR(AU458/AT458),"n.a.",AU458/AT458-1)</f>
        <v>0.1399999999999999</v>
      </c>
      <c r="AV504" s="50">
        <f t="shared" si="5245"/>
        <v>-0.29824561403508776</v>
      </c>
      <c r="AW504" s="50">
        <f t="shared" si="5245"/>
        <v>1.9500000000000002</v>
      </c>
      <c r="AX504" s="50">
        <f t="shared" si="5245"/>
        <v>0.20338983050847448</v>
      </c>
      <c r="AY504" s="50">
        <f t="shared" si="5245"/>
        <v>0.23943661971830976</v>
      </c>
      <c r="AZ504" s="50">
        <f t="shared" si="5245"/>
        <v>-0.47727272727272729</v>
      </c>
      <c r="BA504" s="50">
        <f t="shared" si="5245"/>
        <v>-0.17391304347826086</v>
      </c>
      <c r="BB504" s="50">
        <f t="shared" si="5245"/>
        <v>-1.3157894736842146E-2</v>
      </c>
      <c r="BC504" s="50">
        <f t="shared" si="5245"/>
        <v>-1.2266666666666666</v>
      </c>
      <c r="BD504" s="50">
        <f t="shared" si="5245"/>
        <v>-7.4117647058823533</v>
      </c>
      <c r="BE504" s="50">
        <f t="shared" si="5245"/>
        <v>-0.72973237748374964</v>
      </c>
      <c r="BF504" s="50">
        <f t="shared" si="5245"/>
        <v>-1</v>
      </c>
      <c r="BG504" s="50" t="str">
        <f t="shared" si="5245"/>
        <v>n.a.</v>
      </c>
      <c r="BH504" s="50">
        <f t="shared" si="5245"/>
        <v>-1</v>
      </c>
      <c r="BI504" s="51" t="str">
        <f t="shared" si="5245"/>
        <v>n.a.</v>
      </c>
      <c r="BJ504" s="50" t="str">
        <f t="shared" si="5245"/>
        <v>n.a.</v>
      </c>
      <c r="BK504" s="50" t="str">
        <f t="shared" si="5245"/>
        <v>n.a.</v>
      </c>
      <c r="BL504" s="50" t="str">
        <f t="shared" si="5245"/>
        <v>n.a.</v>
      </c>
      <c r="BM504" s="50" t="str">
        <f t="shared" si="5245"/>
        <v>n.a.</v>
      </c>
      <c r="BN504" s="50" t="str">
        <f>IF(ISERROR(BN458/#REF!),"n.a.",BN458/#REF!-1)</f>
        <v>n.a.</v>
      </c>
    </row>
    <row r="505" spans="2:66" ht="12" customHeight="1" outlineLevel="1">
      <c r="B505" s="1" t="s">
        <v>63</v>
      </c>
      <c r="C505" s="50" t="str">
        <f t="shared" ref="C505:AR505" si="5246">IF(ISERROR(C459/B459),"n.a.",C459/B459-1)</f>
        <v>n.a.</v>
      </c>
      <c r="D505" s="50">
        <f t="shared" si="5246"/>
        <v>0</v>
      </c>
      <c r="E505" s="50">
        <f t="shared" si="5246"/>
        <v>-1.5</v>
      </c>
      <c r="F505" s="50">
        <f t="shared" si="5246"/>
        <v>-4</v>
      </c>
      <c r="G505" s="50">
        <f t="shared" si="5246"/>
        <v>-0.66666666666666674</v>
      </c>
      <c r="H505" s="50">
        <f t="shared" si="5246"/>
        <v>1</v>
      </c>
      <c r="I505" s="50">
        <f t="shared" si="5246"/>
        <v>-1.5</v>
      </c>
      <c r="J505" s="50">
        <f t="shared" si="5246"/>
        <v>-2</v>
      </c>
      <c r="K505" s="50">
        <f t="shared" si="5246"/>
        <v>-1</v>
      </c>
      <c r="L505" s="50" t="str">
        <f t="shared" si="5246"/>
        <v>n.a.</v>
      </c>
      <c r="M505" s="69">
        <f t="shared" si="5246"/>
        <v>3.666666666666667</v>
      </c>
      <c r="N505" s="69">
        <f t="shared" si="5246"/>
        <v>-1.8571428571428572</v>
      </c>
      <c r="O505" s="69">
        <f t="shared" si="5246"/>
        <v>5.75</v>
      </c>
      <c r="P505" s="69">
        <f t="shared" si="5246"/>
        <v>-0.14814814814814814</v>
      </c>
      <c r="Q505" s="69">
        <f t="shared" si="5246"/>
        <v>-7.2463768115942018E-2</v>
      </c>
      <c r="R505" s="69">
        <f t="shared" si="5246"/>
        <v>-0.296875</v>
      </c>
      <c r="S505" s="69">
        <f t="shared" si="5246"/>
        <v>0</v>
      </c>
      <c r="T505" s="69">
        <f t="shared" si="5246"/>
        <v>-4.4444444444444398E-2</v>
      </c>
      <c r="U505" s="69">
        <f t="shared" si="5246"/>
        <v>-4.6511627906976716E-2</v>
      </c>
      <c r="V505" s="69">
        <f t="shared" si="5246"/>
        <v>-0.17073170731707321</v>
      </c>
      <c r="W505" s="69">
        <f t="shared" si="5246"/>
        <v>-1.6764705882352942</v>
      </c>
      <c r="X505" s="69">
        <f t="shared" si="5246"/>
        <v>-1.0434782608695652</v>
      </c>
      <c r="Y505" s="69">
        <f t="shared" si="5246"/>
        <v>20.245603015075403</v>
      </c>
      <c r="Z505" s="69">
        <f t="shared" si="5246"/>
        <v>0.28474706560624452</v>
      </c>
      <c r="AA505" s="69">
        <f t="shared" si="5246"/>
        <v>-0.19399825102407253</v>
      </c>
      <c r="AB505" s="69">
        <f t="shared" si="5246"/>
        <v>1.0454545454545454</v>
      </c>
      <c r="AC505" s="69">
        <f t="shared" si="5246"/>
        <v>-0.84444444444444444</v>
      </c>
      <c r="AD505" s="69">
        <f t="shared" si="5246"/>
        <v>-7.9465183058147852</v>
      </c>
      <c r="AE505" s="69">
        <f t="shared" si="5246"/>
        <v>-1.452436314783238</v>
      </c>
      <c r="AF505" s="69">
        <f t="shared" si="5246"/>
        <v>-0.36363636363636365</v>
      </c>
      <c r="AG505" s="69">
        <f t="shared" si="5246"/>
        <v>0.21428571428571419</v>
      </c>
      <c r="AH505" s="69">
        <f t="shared" si="5246"/>
        <v>-0.88235294117647056</v>
      </c>
      <c r="AI505" s="89">
        <f t="shared" si="5246"/>
        <v>6.5</v>
      </c>
      <c r="AJ505" s="50">
        <f t="shared" si="5246"/>
        <v>0</v>
      </c>
      <c r="AK505" s="50">
        <f t="shared" si="5246"/>
        <v>0</v>
      </c>
      <c r="AL505" s="50">
        <f t="shared" si="5246"/>
        <v>0</v>
      </c>
      <c r="AM505" s="50">
        <f t="shared" si="5246"/>
        <v>0</v>
      </c>
      <c r="AN505" s="50">
        <f t="shared" si="5246"/>
        <v>0</v>
      </c>
      <c r="AO505" s="50">
        <f t="shared" si="5246"/>
        <v>0</v>
      </c>
      <c r="AP505" s="50">
        <f t="shared" si="5246"/>
        <v>0</v>
      </c>
      <c r="AQ505" s="50">
        <f t="shared" si="5246"/>
        <v>0</v>
      </c>
      <c r="AR505" s="50">
        <f t="shared" si="5246"/>
        <v>0</v>
      </c>
      <c r="AS505" s="8"/>
      <c r="AT505" s="50">
        <f>IF(ISERROR(AT459/T459),"n.a.",AT459/T459-1)</f>
        <v>-0.90697674418604657</v>
      </c>
      <c r="AU505" s="50">
        <f t="shared" ref="AU505:BM505" si="5247">IF(ISERROR(AU459/AT459),"n.a.",AU459/AT459-1)</f>
        <v>-0.5</v>
      </c>
      <c r="AV505" s="50">
        <f t="shared" si="5247"/>
        <v>0.5</v>
      </c>
      <c r="AW505" s="50">
        <f t="shared" si="5247"/>
        <v>-1</v>
      </c>
      <c r="AX505" s="50" t="str">
        <f t="shared" si="5247"/>
        <v>n.a.</v>
      </c>
      <c r="AY505" s="50">
        <f t="shared" si="5247"/>
        <v>-0.33333333333333337</v>
      </c>
      <c r="AZ505" s="50">
        <f t="shared" si="5247"/>
        <v>-76</v>
      </c>
      <c r="BA505" s="50">
        <f t="shared" si="5247"/>
        <v>-0.27333333333333332</v>
      </c>
      <c r="BB505" s="50">
        <f t="shared" si="5247"/>
        <v>-0.19266055045871555</v>
      </c>
      <c r="BC505" s="50">
        <f t="shared" si="5247"/>
        <v>-0.14772727272727271</v>
      </c>
      <c r="BD505" s="50">
        <f t="shared" si="5247"/>
        <v>-1.2933333333333334</v>
      </c>
      <c r="BE505" s="50">
        <f t="shared" si="5247"/>
        <v>-3.2064013248058503</v>
      </c>
      <c r="BF505" s="50">
        <f t="shared" si="5247"/>
        <v>0.38028132562081685</v>
      </c>
      <c r="BG505" s="50">
        <f t="shared" si="5247"/>
        <v>-1.6212780319507984</v>
      </c>
      <c r="BH505" s="50">
        <f t="shared" si="5247"/>
        <v>-1.8648518138468044</v>
      </c>
      <c r="BI505" s="51">
        <f t="shared" si="5247"/>
        <v>-0.47222222222222221</v>
      </c>
      <c r="BJ505" s="50">
        <f t="shared" si="5247"/>
        <v>0.57894736842105265</v>
      </c>
      <c r="BK505" s="50">
        <f t="shared" si="5247"/>
        <v>0</v>
      </c>
      <c r="BL505" s="50">
        <f t="shared" si="5247"/>
        <v>0</v>
      </c>
      <c r="BM505" s="50">
        <f t="shared" si="5247"/>
        <v>0</v>
      </c>
      <c r="BN505" s="50" t="str">
        <f>IF(ISERROR(BN459/#REF!),"n.a.",BN459/#REF!-1)</f>
        <v>n.a.</v>
      </c>
    </row>
    <row r="506" spans="2:66" ht="12" customHeight="1" outlineLevel="1">
      <c r="B506" s="1" t="s">
        <v>64</v>
      </c>
      <c r="C506" s="50" t="str">
        <f t="shared" ref="C506:AR506" si="5248">IF(ISERROR(C460/B460),"n.a.",C460/B460-1)</f>
        <v>n.a.</v>
      </c>
      <c r="D506" s="50">
        <f t="shared" si="5248"/>
        <v>-7.407407407407407E-2</v>
      </c>
      <c r="E506" s="50">
        <f t="shared" si="5248"/>
        <v>2.3199999999999998</v>
      </c>
      <c r="F506" s="50">
        <f t="shared" si="5248"/>
        <v>-1.7108433734939759</v>
      </c>
      <c r="G506" s="50">
        <f t="shared" si="5248"/>
        <v>-0.6271186440677966</v>
      </c>
      <c r="H506" s="50">
        <f t="shared" si="5248"/>
        <v>-0.18181818181818177</v>
      </c>
      <c r="I506" s="50">
        <f t="shared" si="5248"/>
        <v>2.0555555555555554</v>
      </c>
      <c r="J506" s="50">
        <f t="shared" si="5248"/>
        <v>0.21818181818181825</v>
      </c>
      <c r="K506" s="50">
        <f t="shared" si="5248"/>
        <v>0.14925373134328357</v>
      </c>
      <c r="L506" s="50">
        <f t="shared" si="5248"/>
        <v>-0.18181818181818177</v>
      </c>
      <c r="M506" s="69">
        <f t="shared" si="5248"/>
        <v>0.50793650793650791</v>
      </c>
      <c r="N506" s="69">
        <f t="shared" si="5248"/>
        <v>0.12631578947368416</v>
      </c>
      <c r="O506" s="69">
        <f t="shared" si="5248"/>
        <v>0.14018691588785037</v>
      </c>
      <c r="P506" s="69">
        <f t="shared" si="5248"/>
        <v>8.1967213114753079E-3</v>
      </c>
      <c r="Q506" s="69">
        <f t="shared" si="5248"/>
        <v>-8.1300813008130524E-3</v>
      </c>
      <c r="R506" s="69">
        <f t="shared" si="5248"/>
        <v>-0.44262295081967218</v>
      </c>
      <c r="S506" s="69">
        <f t="shared" si="5248"/>
        <v>0.27941176470588225</v>
      </c>
      <c r="T506" s="69">
        <f t="shared" si="5248"/>
        <v>4.5977011494252817E-2</v>
      </c>
      <c r="U506" s="69">
        <f t="shared" si="5248"/>
        <v>9.8901098901098994E-2</v>
      </c>
      <c r="V506" s="69">
        <f t="shared" si="5248"/>
        <v>-1.17</v>
      </c>
      <c r="W506" s="69">
        <f t="shared" si="5248"/>
        <v>-4.8235294117647065</v>
      </c>
      <c r="X506" s="69">
        <f t="shared" si="5248"/>
        <v>-9.2307692307692313E-2</v>
      </c>
      <c r="Y506" s="69">
        <f t="shared" si="5248"/>
        <v>-8.4745762711864403E-2</v>
      </c>
      <c r="Z506" s="69">
        <f t="shared" si="5248"/>
        <v>0.11111111111111116</v>
      </c>
      <c r="AA506" s="69">
        <f t="shared" si="5248"/>
        <v>-0.56666666666666665</v>
      </c>
      <c r="AB506" s="69">
        <f t="shared" si="5248"/>
        <v>0.88461538461538458</v>
      </c>
      <c r="AC506" s="69">
        <f t="shared" si="5248"/>
        <v>-0.46938775510204078</v>
      </c>
      <c r="AD506" s="69">
        <f t="shared" si="5248"/>
        <v>7.6923076923076916</v>
      </c>
      <c r="AE506" s="69">
        <f t="shared" si="5248"/>
        <v>-0.83185840707964598</v>
      </c>
      <c r="AF506" s="69">
        <f t="shared" si="5248"/>
        <v>-0.18421052631578949</v>
      </c>
      <c r="AG506" s="69">
        <f t="shared" si="5248"/>
        <v>-9.6774193548387122E-2</v>
      </c>
      <c r="AH506" s="69">
        <f t="shared" si="5248"/>
        <v>-0.85714285714285721</v>
      </c>
      <c r="AI506" s="89">
        <f t="shared" si="5248"/>
        <v>5.5</v>
      </c>
      <c r="AJ506" s="50">
        <f t="shared" si="5248"/>
        <v>0</v>
      </c>
      <c r="AK506" s="50">
        <f t="shared" si="5248"/>
        <v>0</v>
      </c>
      <c r="AL506" s="50">
        <f t="shared" si="5248"/>
        <v>0</v>
      </c>
      <c r="AM506" s="50">
        <f t="shared" si="5248"/>
        <v>0</v>
      </c>
      <c r="AN506" s="50">
        <f t="shared" si="5248"/>
        <v>0</v>
      </c>
      <c r="AO506" s="50">
        <f t="shared" si="5248"/>
        <v>0</v>
      </c>
      <c r="AP506" s="50">
        <f t="shared" si="5248"/>
        <v>0</v>
      </c>
      <c r="AQ506" s="50">
        <f t="shared" si="5248"/>
        <v>0</v>
      </c>
      <c r="AR506" s="50">
        <f t="shared" si="5248"/>
        <v>0</v>
      </c>
      <c r="AS506" s="8"/>
      <c r="AT506" s="50">
        <f>IF(ISERROR(AT460/T460),"n.a.",AT460/T460-1)</f>
        <v>-1.5714285714285714</v>
      </c>
      <c r="AU506" s="50">
        <f t="shared" ref="AU506:BM506" si="5249">IF(ISERROR(AU460/AT460),"n.a.",AU460/AT460-1)</f>
        <v>-0.53846153846153844</v>
      </c>
      <c r="AV506" s="50">
        <f t="shared" si="5249"/>
        <v>-2.666666666666667</v>
      </c>
      <c r="AW506" s="50">
        <f t="shared" si="5249"/>
        <v>2.0499999999999998</v>
      </c>
      <c r="AX506" s="50">
        <f t="shared" si="5249"/>
        <v>0.14754098360655732</v>
      </c>
      <c r="AY506" s="50">
        <f t="shared" si="5249"/>
        <v>0.44285714285714284</v>
      </c>
      <c r="AZ506" s="50">
        <f t="shared" si="5249"/>
        <v>0.21287128712871284</v>
      </c>
      <c r="BA506" s="50">
        <f t="shared" si="5249"/>
        <v>-0.22448979591836737</v>
      </c>
      <c r="BB506" s="50">
        <f t="shared" si="5249"/>
        <v>-6.315789473684208E-2</v>
      </c>
      <c r="BC506" s="50">
        <f t="shared" si="5249"/>
        <v>-0.53370786516853941</v>
      </c>
      <c r="BD506" s="50">
        <f t="shared" si="5249"/>
        <v>0.49397590361445776</v>
      </c>
      <c r="BE506" s="50">
        <f t="shared" si="5249"/>
        <v>-8.064516129032262E-2</v>
      </c>
      <c r="BF506" s="50">
        <f t="shared" si="5249"/>
        <v>-0.34210526315789469</v>
      </c>
      <c r="BG506" s="50">
        <f t="shared" si="5249"/>
        <v>2.36</v>
      </c>
      <c r="BH506" s="50">
        <f t="shared" si="5249"/>
        <v>-0.72619047619047616</v>
      </c>
      <c r="BI506" s="51">
        <f t="shared" si="5249"/>
        <v>-0.53623188405797095</v>
      </c>
      <c r="BJ506" s="50">
        <f t="shared" si="5249"/>
        <v>0.625</v>
      </c>
      <c r="BK506" s="50">
        <f t="shared" si="5249"/>
        <v>0</v>
      </c>
      <c r="BL506" s="50">
        <f t="shared" si="5249"/>
        <v>0</v>
      </c>
      <c r="BM506" s="50">
        <f t="shared" si="5249"/>
        <v>0</v>
      </c>
      <c r="BN506" s="50" t="str">
        <f>IF(ISERROR(BN460/#REF!),"n.a.",BN460/#REF!-1)</f>
        <v>n.a.</v>
      </c>
    </row>
    <row r="507" spans="2:66" ht="12" customHeight="1" outlineLevel="1">
      <c r="B507" s="1" t="s">
        <v>65</v>
      </c>
      <c r="C507" s="50" t="str">
        <f t="shared" ref="C507:I507" si="5250">IF(ISERROR(C462/B462),"n.a.",C462/B462-1)</f>
        <v>n.a.</v>
      </c>
      <c r="D507" s="50">
        <f t="shared" si="5250"/>
        <v>-0.53696498054474706</v>
      </c>
      <c r="E507" s="50">
        <f t="shared" si="5250"/>
        <v>-1.453781512605042</v>
      </c>
      <c r="F507" s="50">
        <f t="shared" si="5250"/>
        <v>-1.9074074074074074</v>
      </c>
      <c r="G507" s="50">
        <f t="shared" si="5250"/>
        <v>1.2448979591836733</v>
      </c>
      <c r="H507" s="50">
        <f t="shared" si="5250"/>
        <v>-1.3181818181818181</v>
      </c>
      <c r="I507" s="50">
        <f t="shared" si="5250"/>
        <v>-2.2857142857142856</v>
      </c>
      <c r="J507" s="50">
        <f t="shared" ref="J507:AH507" si="5251">IF(ISERROR(J462/I462),"n.a.",J462/I462-1)</f>
        <v>-0.68888888888888888</v>
      </c>
      <c r="K507" s="50">
        <f t="shared" si="5251"/>
        <v>9.1428571428571423</v>
      </c>
      <c r="L507" s="50">
        <f t="shared" si="5251"/>
        <v>-0.71126760563380276</v>
      </c>
      <c r="M507" s="69">
        <f t="shared" si="5251"/>
        <v>1.3170731707317072</v>
      </c>
      <c r="N507" s="69">
        <f t="shared" si="5251"/>
        <v>0.5473684210526315</v>
      </c>
      <c r="O507" s="69">
        <f t="shared" si="5251"/>
        <v>-7.4829931972789088E-2</v>
      </c>
      <c r="P507" s="69">
        <f t="shared" si="5251"/>
        <v>-0.38970588235294112</v>
      </c>
      <c r="Q507" s="69">
        <f t="shared" si="5251"/>
        <v>0.87951807228915668</v>
      </c>
      <c r="R507" s="69">
        <f t="shared" si="5251"/>
        <v>-0.38461538461538458</v>
      </c>
      <c r="S507" s="69">
        <f t="shared" si="5251"/>
        <v>-2.166666666666667</v>
      </c>
      <c r="T507" s="69">
        <f t="shared" si="5251"/>
        <v>5.3571428571428603E-2</v>
      </c>
      <c r="U507" s="69">
        <f t="shared" si="5251"/>
        <v>-0.74576271186440679</v>
      </c>
      <c r="V507" s="69">
        <f t="shared" si="5251"/>
        <v>5.7666666666666666</v>
      </c>
      <c r="W507" s="69">
        <f t="shared" si="5251"/>
        <v>5.9113300492610765E-2</v>
      </c>
      <c r="X507" s="69">
        <f t="shared" si="5251"/>
        <v>-0.30232558139534882</v>
      </c>
      <c r="Y507" s="69">
        <f t="shared" si="5251"/>
        <v>-1.8866666666666667</v>
      </c>
      <c r="Z507" s="69">
        <f t="shared" si="5251"/>
        <v>-0.54135338345864659</v>
      </c>
      <c r="AA507" s="69">
        <f t="shared" si="5251"/>
        <v>2.9672131147540983</v>
      </c>
      <c r="AB507" s="69">
        <f t="shared" si="5251"/>
        <v>1.7561983471074378</v>
      </c>
      <c r="AC507" s="69">
        <f t="shared" si="5251"/>
        <v>-0.93103448275862066</v>
      </c>
      <c r="AD507" s="69">
        <f t="shared" si="5251"/>
        <v>-0.26086956521739135</v>
      </c>
      <c r="AE507" s="69">
        <f t="shared" si="5251"/>
        <v>-6.2941176470588234</v>
      </c>
      <c r="AF507" s="69">
        <f t="shared" si="5251"/>
        <v>-1.1166666666666667</v>
      </c>
      <c r="AG507" s="69">
        <f t="shared" si="5251"/>
        <v>-8.7142857142857153</v>
      </c>
      <c r="AH507" s="69">
        <f t="shared" si="5251"/>
        <v>-0.49382716049382713</v>
      </c>
      <c r="AI507" s="89">
        <f t="shared" ref="AI507" si="5252">IF(ISERROR(AI462/AH462),"n.a.",AI462/AH462-1)</f>
        <v>-3.1951219512195124</v>
      </c>
      <c r="AJ507" s="50">
        <f t="shared" ref="AJ507" si="5253">IF(ISERROR(AJ462/AI462),"n.a.",AJ462/AI462-1)</f>
        <v>-0.75</v>
      </c>
      <c r="AK507" s="50">
        <f t="shared" ref="AK507" si="5254">IF(ISERROR(AK462/AJ462),"n.a.",AK462/AJ462-1)</f>
        <v>-5.0000000000000044E-2</v>
      </c>
      <c r="AL507" s="50">
        <f t="shared" ref="AL507" si="5255">IF(ISERROR(AL462/AK462),"n.a.",AL462/AK462-1)</f>
        <v>-5.0000000000000044E-2</v>
      </c>
      <c r="AM507" s="50">
        <f t="shared" ref="AM507" si="5256">IF(ISERROR(AM462/AL462),"n.a.",AM462/AL462-1)</f>
        <v>-5.0000000000000044E-2</v>
      </c>
      <c r="AN507" s="50">
        <f t="shared" ref="AN507" si="5257">IF(ISERROR(AN462/AM462),"n.a.",AN462/AM462-1)</f>
        <v>-5.0000000000000044E-2</v>
      </c>
      <c r="AO507" s="50">
        <f t="shared" ref="AO507" si="5258">IF(ISERROR(AO462/AN462),"n.a.",AO462/AN462-1)</f>
        <v>-5.0000000000000044E-2</v>
      </c>
      <c r="AP507" s="50">
        <f t="shared" ref="AP507" si="5259">IF(ISERROR(AP462/AO462),"n.a.",AP462/AO462-1)</f>
        <v>-5.0000000000000155E-2</v>
      </c>
      <c r="AQ507" s="50">
        <f t="shared" ref="AQ507" si="5260">IF(ISERROR(AQ462/AP462),"n.a.",AQ462/AP462-1)</f>
        <v>-5.0000000000000044E-2</v>
      </c>
      <c r="AR507" s="50">
        <f t="shared" ref="AR507" si="5261">IF(ISERROR(AR462/AQ462),"n.a.",AR462/AQ462-1)</f>
        <v>-4.9999999999999933E-2</v>
      </c>
      <c r="AS507" s="8"/>
      <c r="AT507" s="50">
        <f>IF(ISERROR(AT462/T462),"n.a.",AT462/T462-1)</f>
        <v>-4.1864406779661021</v>
      </c>
      <c r="AU507" s="50">
        <f>IF(ISERROR(AU462/AT462),"n.a.",AU462/AT462-1)</f>
        <v>-1.0132978723404256</v>
      </c>
      <c r="AV507" s="50">
        <f>IF(ISERROR(AV462/AU462),"n.a.",AV462/AU462-1)</f>
        <v>-16</v>
      </c>
      <c r="AW507" s="50">
        <f>IF(ISERROR(AW462/AV462),"n.a.",AW462/AV462-1)</f>
        <v>-0.21333333333333337</v>
      </c>
      <c r="AX507" s="50">
        <f t="shared" ref="AX507:BB507" si="5262">IF(ISERROR(AX462/AW462),"n.a.",AX462/AW462-1)</f>
        <v>2.1016949152542375</v>
      </c>
      <c r="AY507" s="50">
        <f t="shared" si="5262"/>
        <v>0.32240437158469937</v>
      </c>
      <c r="AZ507" s="50">
        <f t="shared" si="5262"/>
        <v>-9.5041322314049603E-2</v>
      </c>
      <c r="BA507" s="50">
        <f t="shared" si="5262"/>
        <v>0.15068493150684925</v>
      </c>
      <c r="BB507" s="50">
        <f t="shared" si="5262"/>
        <v>-1.9126984126984126</v>
      </c>
      <c r="BC507" s="50">
        <f t="shared" ref="BC507" si="5263">IF(ISERROR(BC462/BB462),"n.a.",BC462/BB462-1)</f>
        <v>1.304347826086949E-2</v>
      </c>
      <c r="BD507" s="50">
        <f t="shared" ref="BD507" si="5264">IF(ISERROR(BD462/BC462),"n.a.",BD462/BC462-1)</f>
        <v>0.56652360515021449</v>
      </c>
      <c r="BE507" s="50">
        <f t="shared" ref="BE507" si="5265">IF(ISERROR(BE462/BD462),"n.a.",BE462/BD462-1)</f>
        <v>-1.5315068493150685</v>
      </c>
      <c r="BF507" s="50">
        <f t="shared" ref="BF507" si="5266">IF(ISERROR(BF462/BE462),"n.a.",BF462/BE462-1)</f>
        <v>3.6855670103092786</v>
      </c>
      <c r="BG507" s="50">
        <f t="shared" ref="BG507" si="5267">IF(ISERROR(BG462/BF462),"n.a.",BG462/BF462-1)</f>
        <v>-0.911991199119912</v>
      </c>
      <c r="BH507" s="50">
        <f t="shared" ref="BH507:BM507" si="5268">IF(ISERROR(BH462/BG462),"n.a.",BH462/BG462-1)</f>
        <v>-2.9874999999999998</v>
      </c>
      <c r="BI507" s="51">
        <f t="shared" si="5268"/>
        <v>0.53459119496855356</v>
      </c>
      <c r="BJ507" s="50">
        <f t="shared" si="5268"/>
        <v>-1.9221311475409837</v>
      </c>
      <c r="BK507" s="50">
        <f t="shared" si="5268"/>
        <v>-0.62949999999999995</v>
      </c>
      <c r="BL507" s="50">
        <f t="shared" si="5268"/>
        <v>-9.749999999999992E-2</v>
      </c>
      <c r="BM507" s="50">
        <f t="shared" si="5268"/>
        <v>-9.7500000000000142E-2</v>
      </c>
      <c r="BN507" s="50" t="str">
        <f>IF(ISERROR(BN462/#REF!),"n.a.",BN462/#REF!-1)</f>
        <v>n.a.</v>
      </c>
    </row>
    <row r="508" spans="2:66" ht="12" customHeight="1" outlineLevel="1">
      <c r="B508" s="1" t="s">
        <v>77</v>
      </c>
      <c r="C508" s="37">
        <f t="shared" ref="C508:I508" si="5269">IF(ISERROR(-C464/AVERAGE(B488:C488)),"n.a.",-C464/AVERAGE(B488:C488))</f>
        <v>4.245754245754246E-3</v>
      </c>
      <c r="D508" s="37">
        <f t="shared" si="5269"/>
        <v>5.2144440099074433E-4</v>
      </c>
      <c r="E508" s="37">
        <f t="shared" si="5269"/>
        <v>9.415087678004001E-3</v>
      </c>
      <c r="F508" s="37">
        <f t="shared" si="5269"/>
        <v>3.942440370589395E-4</v>
      </c>
      <c r="G508" s="37">
        <f t="shared" si="5269"/>
        <v>3.5845505869701587E-4</v>
      </c>
      <c r="H508" s="37">
        <f t="shared" si="5269"/>
        <v>2.5726781579624388E-3</v>
      </c>
      <c r="I508" s="37">
        <f t="shared" si="5269"/>
        <v>-3.0127287790916621E-4</v>
      </c>
      <c r="J508" s="37">
        <f t="shared" ref="J508:AH508" si="5270">IF(ISERROR(-J464/AVERAGE(I488:J488)),"n.a.",-J464/AVERAGE(I488:J488))</f>
        <v>3.6715212336311344E-4</v>
      </c>
      <c r="K508" s="37">
        <f t="shared" si="5270"/>
        <v>9.2862828336428757E-4</v>
      </c>
      <c r="L508" s="37">
        <f t="shared" si="5270"/>
        <v>-1.1046672190002761E-4</v>
      </c>
      <c r="M508" s="78">
        <f t="shared" si="5270"/>
        <v>5.6344830361814303E-4</v>
      </c>
      <c r="N508" s="78">
        <f t="shared" si="5270"/>
        <v>4.2763044452874439E-3</v>
      </c>
      <c r="O508" s="78">
        <f t="shared" si="5270"/>
        <v>4.7776552737963983E-3</v>
      </c>
      <c r="P508" s="78">
        <f t="shared" si="5270"/>
        <v>-2.4796541200406918E-3</v>
      </c>
      <c r="Q508" s="78">
        <f t="shared" si="5270"/>
        <v>7.7079391773526729E-3</v>
      </c>
      <c r="R508" s="78">
        <f t="shared" si="5270"/>
        <v>2.3239769054795019E-3</v>
      </c>
      <c r="S508" s="78">
        <f t="shared" si="5270"/>
        <v>5.8907363420427549E-3</v>
      </c>
      <c r="T508" s="78">
        <f t="shared" si="5270"/>
        <v>1.9395235186316431E-2</v>
      </c>
      <c r="U508" s="78">
        <f t="shared" si="5270"/>
        <v>3.8592508513053347E-2</v>
      </c>
      <c r="V508" s="78">
        <f t="shared" si="5270"/>
        <v>-2.5706345530338119E-2</v>
      </c>
      <c r="W508" s="78">
        <f t="shared" si="5270"/>
        <v>-1.444043321299639E-2</v>
      </c>
      <c r="X508" s="78">
        <f t="shared" si="5270"/>
        <v>2.2288621497213921E-2</v>
      </c>
      <c r="Y508" s="78">
        <f t="shared" si="5270"/>
        <v>3.0860283238216022E-2</v>
      </c>
      <c r="Z508" s="78">
        <f t="shared" si="5270"/>
        <v>1.7110266159695818E-2</v>
      </c>
      <c r="AA508" s="78">
        <f t="shared" si="5270"/>
        <v>-1.5699100572363043E-2</v>
      </c>
      <c r="AB508" s="78">
        <f t="shared" si="5270"/>
        <v>1.1320257996577597E-2</v>
      </c>
      <c r="AC508" s="78">
        <f t="shared" si="5270"/>
        <v>-1.0888393961890621E-2</v>
      </c>
      <c r="AD508" s="78">
        <f t="shared" si="5270"/>
        <v>-2.403320952589032E-3</v>
      </c>
      <c r="AE508" s="78">
        <f t="shared" si="5270"/>
        <v>3.5881590750523273E-3</v>
      </c>
      <c r="AF508" s="78">
        <f t="shared" si="5270"/>
        <v>7.6968620485494375E-3</v>
      </c>
      <c r="AG508" s="78">
        <f t="shared" si="5270"/>
        <v>0</v>
      </c>
      <c r="AH508" s="78">
        <f t="shared" si="5270"/>
        <v>-4.0100250626566414E-2</v>
      </c>
      <c r="AI508" s="88">
        <f t="shared" ref="AI508" si="5271">IF(ISERROR(-AI464/AVERAGE(AH488:AI488)),"n.a.",-AI464/AVERAGE(AH488:AI488))</f>
        <v>-1.6222222222222222</v>
      </c>
      <c r="AJ508" s="37">
        <f t="shared" ref="AJ508" si="5272">IF(ISERROR(-AJ464/AVERAGE(AI488:AJ488)),"n.a.",-AJ464/AVERAGE(AI488:AJ488))</f>
        <v>1.3984397431421822</v>
      </c>
      <c r="AK508" s="37">
        <f t="shared" ref="AK508" si="5273">IF(ISERROR(-AK464/AVERAGE(AJ488:AK488)),"n.a.",-AK464/AVERAGE(AJ488:AK488))</f>
        <v>0.78263013651352153</v>
      </c>
      <c r="AL508" s="37">
        <f t="shared" ref="AL508" si="5274">IF(ISERROR(-AL464/AVERAGE(AK488:AL488)),"n.a.",-AL464/AVERAGE(AK488:AL488))</f>
        <v>0.93712468139862048</v>
      </c>
      <c r="AM508" s="37">
        <f t="shared" ref="AM508" si="5275">IF(ISERROR(-AM464/AVERAGE(AL488:AM488)),"n.a.",-AM464/AVERAGE(AL488:AM488))</f>
        <v>1.0215216551810971</v>
      </c>
      <c r="AN508" s="37">
        <f t="shared" ref="AN508" si="5276">IF(ISERROR(-AN464/AVERAGE(AM488:AN488)),"n.a.",-AN464/AVERAGE(AM488:AN488))</f>
        <v>0.94244289831301797</v>
      </c>
      <c r="AO508" s="37">
        <f t="shared" ref="AO508" si="5277">IF(ISERROR(-AO464/AVERAGE(AN488:AO488)),"n.a.",-AO464/AVERAGE(AN488:AO488))</f>
        <v>1.0702697998992861</v>
      </c>
      <c r="AP508" s="37">
        <f t="shared" ref="AP508" si="5278">IF(ISERROR(-AP464/AVERAGE(AO488:AP488)),"n.a.",-AP464/AVERAGE(AO488:AP488))</f>
        <v>1.0215655921222422</v>
      </c>
      <c r="AQ508" s="37">
        <f t="shared" ref="AQ508" si="5279">IF(ISERROR(-AQ464/AVERAGE(AP488:AQ488)),"n.a.",-AQ464/AVERAGE(AP488:AQ488))</f>
        <v>0.97976325711811452</v>
      </c>
      <c r="AR508" s="37">
        <f t="shared" ref="AR508" si="5280">IF(ISERROR(-AR464/AVERAGE(AQ488:AR488)),"n.a.",-AR464/AVERAGE(AQ488:AR488))</f>
        <v>0.93763439044839858</v>
      </c>
      <c r="AS508" s="8"/>
      <c r="AT508" s="44">
        <f>IF(ISERROR(-AT464/AVERAGE(T488:AT488)),"n.a.",-AT464/AVERAGE(T488:AT488))</f>
        <v>-2.1452438633502206E-2</v>
      </c>
      <c r="AU508" s="44">
        <f>IF(ISERROR(-AU464/AVERAGE(AT488:AU488)),"n.a.",-AU464/AVERAGE(AT488:AU488))</f>
        <v>9.3509963263943008E-3</v>
      </c>
      <c r="AV508" s="44">
        <f>IF(ISERROR(-AV464/AVERAGE(AU488:AV488)),"n.a.",-AV464/AVERAGE(AU488:AV488))</f>
        <v>3.0537093587210346E-3</v>
      </c>
      <c r="AW508" s="44">
        <f>IF(ISERROR(-AW464/AVERAGE(AV488:AW488)),"n.a.",-AW464/AVERAGE(AV488:AW488))</f>
        <v>1.3604516699544249E-4</v>
      </c>
      <c r="AX508" s="44">
        <f t="shared" ref="AX508:BB508" si="5281">IF(ISERROR(-AX464/AVERAGE(AW488:AX488)),"n.a.",-AX464/AVERAGE(AW488:AX488))</f>
        <v>5.7706179370040881E-4</v>
      </c>
      <c r="AY508" s="44">
        <f t="shared" si="5281"/>
        <v>4.933152212769E-3</v>
      </c>
      <c r="AZ508" s="44">
        <f t="shared" si="5281"/>
        <v>2.52198654940507E-3</v>
      </c>
      <c r="BA508" s="44">
        <f t="shared" si="5281"/>
        <v>9.8854815691461588E-3</v>
      </c>
      <c r="BB508" s="44">
        <f t="shared" si="5281"/>
        <v>1.9117944568076067E-2</v>
      </c>
      <c r="BC508" s="44">
        <f t="shared" ref="BC508" si="5282">IF(ISERROR(-BC464/AVERAGE(BB488:BC488)),"n.a.",-BC464/AVERAGE(BB488:BC488))</f>
        <v>0.20422535211267606</v>
      </c>
      <c r="BD508" s="44">
        <f t="shared" ref="BD508" si="5283">IF(ISERROR(-BD464/AVERAGE(BC488:BD488)),"n.a.",-BD464/AVERAGE(BC488:BD488))</f>
        <v>8.6956521739130432E-2</v>
      </c>
      <c r="BE508" s="44">
        <f t="shared" ref="BE508" si="5284">IF(ISERROR(-BE464/AVERAGE(BD488:BE488)),"n.a.",-BE464/AVERAGE(BD488:BE488))</f>
        <v>1.0680907877169559E-2</v>
      </c>
      <c r="BF508" s="44">
        <f t="shared" ref="BF508" si="5285">IF(ISERROR(-BF464/AVERAGE(BE488:BF488)),"n.a.",-BF464/AVERAGE(BE488:BF488))</f>
        <v>-1.6051364365971107E-3</v>
      </c>
      <c r="BG508" s="44">
        <f t="shared" ref="BG508" si="5286">IF(ISERROR(-BG464/AVERAGE(BF488:BG488)),"n.a.",-BG464/AVERAGE(BF488:BG488))</f>
        <v>-1.2522768670309653E-2</v>
      </c>
      <c r="BH508" s="44">
        <f t="shared" ref="BH508:BJ508" si="5287">IF(ISERROR(-BH464/AVERAGE(BG488:BH488)),"n.a.",-BH464/AVERAGE(BG488:BH488))</f>
        <v>1.1449231696294065E-2</v>
      </c>
      <c r="BI508" s="49">
        <f t="shared" si="5287"/>
        <v>-3.8546476611122267E-2</v>
      </c>
      <c r="BJ508" s="44">
        <f t="shared" si="5287"/>
        <v>-0.24052669484988867</v>
      </c>
      <c r="BK508" s="44">
        <f>IF(ISERROR(-BK464/AVERAGE(BK488:BK488)),"n.a.",-BK464/AVERAGE(BK488:BK488))</f>
        <v>1.6039450923650247</v>
      </c>
      <c r="BL508" s="44">
        <f>IF(ISERROR(-BL464/AVERAGE(BL488:BL488)),"n.a.",-BL464/AVERAGE(BL488:BL488))</f>
        <v>1.8587400407172971</v>
      </c>
      <c r="BM508" s="44">
        <f>IF(ISERROR(-BM464/AVERAGE(BM488:BM488)),"n.a.",-BM464/AVERAGE(BM488:BM488))</f>
        <v>1.9922780167059693</v>
      </c>
      <c r="BN508" s="44">
        <f>IF(ISERROR(-BN464/AVERAGE(BN488:BN488)),"n.a.",-BN464/AVERAGE(BN488:BN488))</f>
        <v>1.8262007721234976</v>
      </c>
    </row>
    <row r="509" spans="2:66" ht="12" customHeight="1" outlineLevel="1">
      <c r="B509" s="1" t="s">
        <v>66</v>
      </c>
      <c r="C509" s="50" t="str">
        <f t="shared" ref="C509:I509" si="5288">IF(ISERROR(C468/B468),"n.a.",C468/B468-1)</f>
        <v>n.a.</v>
      </c>
      <c r="D509" s="50">
        <f t="shared" si="5288"/>
        <v>-3.7272727272727271</v>
      </c>
      <c r="E509" s="50">
        <f t="shared" si="5288"/>
        <v>-2.0583333333333336</v>
      </c>
      <c r="F509" s="50">
        <f t="shared" si="5288"/>
        <v>-1.3228346456692912</v>
      </c>
      <c r="G509" s="50">
        <f t="shared" si="5288"/>
        <v>-2.7804878048780486</v>
      </c>
      <c r="H509" s="50">
        <f t="shared" si="5288"/>
        <v>0.84931506849315075</v>
      </c>
      <c r="I509" s="50">
        <f t="shared" si="5288"/>
        <v>-1.3037037037037038</v>
      </c>
      <c r="J509" s="50">
        <f t="shared" ref="J509:AH509" si="5289">IF(ISERROR(J468/I468),"n.a.",J468/I468-1)</f>
        <v>-2.6585365853658534</v>
      </c>
      <c r="K509" s="50">
        <f t="shared" si="5289"/>
        <v>-1.0294117647058822</v>
      </c>
      <c r="L509" s="50">
        <f t="shared" si="5289"/>
        <v>-102</v>
      </c>
      <c r="M509" s="69">
        <f t="shared" si="5289"/>
        <v>-0.91584158415841588</v>
      </c>
      <c r="N509" s="69">
        <f t="shared" si="5289"/>
        <v>-5.5882352941176467</v>
      </c>
      <c r="O509" s="69">
        <f t="shared" si="5289"/>
        <v>-0.78205128205128205</v>
      </c>
      <c r="P509" s="69">
        <f t="shared" si="5289"/>
        <v>2.8823529411764706</v>
      </c>
      <c r="Q509" s="69">
        <f t="shared" si="5289"/>
        <v>18</v>
      </c>
      <c r="R509" s="69">
        <f t="shared" si="5289"/>
        <v>-0.23604465709728872</v>
      </c>
      <c r="S509" s="69">
        <f t="shared" si="5289"/>
        <v>2.087682672233826E-2</v>
      </c>
      <c r="T509" s="69">
        <f t="shared" si="5289"/>
        <v>0.1605316973415134</v>
      </c>
      <c r="U509" s="69">
        <f t="shared" si="5289"/>
        <v>-9.8678414096916245E-2</v>
      </c>
      <c r="V509" s="69">
        <f t="shared" si="5289"/>
        <v>1.0635386119257086</v>
      </c>
      <c r="W509" s="69">
        <f t="shared" si="5289"/>
        <v>-0.97773567029843678</v>
      </c>
      <c r="X509" s="69">
        <f t="shared" si="5289"/>
        <v>1.5531914893617023</v>
      </c>
      <c r="Y509" s="69">
        <f t="shared" si="5289"/>
        <v>-0.5083333333333333</v>
      </c>
      <c r="Z509" s="69">
        <f t="shared" si="5289"/>
        <v>1.4237288135593222</v>
      </c>
      <c r="AA509" s="69">
        <f t="shared" si="5289"/>
        <v>-0.87412587412587417</v>
      </c>
      <c r="AB509" s="69">
        <f t="shared" si="5289"/>
        <v>0</v>
      </c>
      <c r="AC509" s="69">
        <f t="shared" si="5289"/>
        <v>2.2777777777777777</v>
      </c>
      <c r="AD509" s="69">
        <f t="shared" si="5289"/>
        <v>-1.7288135593220337</v>
      </c>
      <c r="AE509" s="69">
        <f t="shared" si="5289"/>
        <v>-1.5116279069767442</v>
      </c>
      <c r="AF509" s="69">
        <f t="shared" si="5289"/>
        <v>1.8181818181818183</v>
      </c>
      <c r="AG509" s="69">
        <f t="shared" si="5289"/>
        <v>-3.6774193548387095</v>
      </c>
      <c r="AH509" s="69">
        <f t="shared" si="5289"/>
        <v>-1.0060240963855422</v>
      </c>
      <c r="AI509" s="89">
        <f t="shared" ref="AI509" si="5290">IF(ISERROR(AI468/AH468),"n.a.",AI468/AH468-1)</f>
        <v>62</v>
      </c>
      <c r="AJ509" s="50">
        <f t="shared" ref="AJ509" si="5291">IF(ISERROR(AJ468/AI468),"n.a.",AJ468/AI468-1)</f>
        <v>0</v>
      </c>
      <c r="AK509" s="50">
        <f t="shared" ref="AK509" si="5292">IF(ISERROR(AK468/AJ468),"n.a.",AK468/AJ468-1)</f>
        <v>0</v>
      </c>
      <c r="AL509" s="50">
        <f t="shared" ref="AL509" si="5293">IF(ISERROR(AL468/AK468),"n.a.",AL468/AK468-1)</f>
        <v>0</v>
      </c>
      <c r="AM509" s="50">
        <f t="shared" ref="AM509" si="5294">IF(ISERROR(AM468/AL468),"n.a.",AM468/AL468-1)</f>
        <v>0</v>
      </c>
      <c r="AN509" s="50">
        <f t="shared" ref="AN509" si="5295">IF(ISERROR(AN468/AM468),"n.a.",AN468/AM468-1)</f>
        <v>0</v>
      </c>
      <c r="AO509" s="50">
        <f t="shared" ref="AO509" si="5296">IF(ISERROR(AO468/AN468),"n.a.",AO468/AN468-1)</f>
        <v>0</v>
      </c>
      <c r="AP509" s="50">
        <f t="shared" ref="AP509" si="5297">IF(ISERROR(AP468/AO468),"n.a.",AP468/AO468-1)</f>
        <v>0</v>
      </c>
      <c r="AQ509" s="50">
        <f t="shared" ref="AQ509" si="5298">IF(ISERROR(AQ468/AP468),"n.a.",AQ468/AP468-1)</f>
        <v>0</v>
      </c>
      <c r="AR509" s="50">
        <f t="shared" ref="AR509" si="5299">IF(ISERROR(AR468/AQ468),"n.a.",AR468/AQ468-1)</f>
        <v>0</v>
      </c>
      <c r="AS509" s="8"/>
      <c r="AT509" s="50">
        <f>IF(ISERROR(AT468/T468),"n.a.",AT468/T468-1)</f>
        <v>-0.93303964757709257</v>
      </c>
      <c r="AU509" s="50">
        <f>IF(ISERROR(AU468/AT468),"n.a.",AU468/AT468-1)</f>
        <v>-2.1315789473684212</v>
      </c>
      <c r="AV509" s="50">
        <f>IF(ISERROR(AV468/AU468),"n.a.",AV468/AU468-1)</f>
        <v>1.4186046511627906</v>
      </c>
      <c r="AW509" s="50">
        <f>IF(ISERROR(AW468/AV468),"n.a.",AW468/AV468-1)</f>
        <v>-0.87019230769230771</v>
      </c>
      <c r="AX509" s="50">
        <f t="shared" ref="AX509:BB509" si="5300">IF(ISERROR(AX468/AW468),"n.a.",AX468/AW468-1)</f>
        <v>6.4074074074074074</v>
      </c>
      <c r="AY509" s="50">
        <f t="shared" si="5300"/>
        <v>-1.3049999999999999</v>
      </c>
      <c r="AZ509" s="50">
        <f t="shared" si="5300"/>
        <v>0.36065573770491799</v>
      </c>
      <c r="BA509" s="50">
        <f t="shared" si="5300"/>
        <v>25.650602409638555</v>
      </c>
      <c r="BB509" s="50">
        <f t="shared" si="5300"/>
        <v>-4.4755877034358016E-2</v>
      </c>
      <c r="BC509" s="50">
        <f t="shared" ref="BC509" si="5301">IF(ISERROR(BC468/BB468),"n.a.",BC468/BB468-1)</f>
        <v>0.48319924278277337</v>
      </c>
      <c r="BD509" s="50">
        <f t="shared" ref="BD509" si="5302">IF(ISERROR(BD468/BC468),"n.a.",BD468/BC468-1)</f>
        <v>-0.94671346522016597</v>
      </c>
      <c r="BE509" s="50">
        <f t="shared" ref="BE509" si="5303">IF(ISERROR(BE468/BD468),"n.a.",BE468/BD468-1)</f>
        <v>0.20958083832335328</v>
      </c>
      <c r="BF509" s="50">
        <f t="shared" ref="BF509" si="5304">IF(ISERROR(BF468/BE468),"n.a.",BF468/BE468-1)</f>
        <v>-0.82178217821782185</v>
      </c>
      <c r="BG509" s="50">
        <f t="shared" ref="BG509" si="5305">IF(ISERROR(BG468/BF468),"n.a.",BG468/BF468-1)</f>
        <v>-0.55555555555555558</v>
      </c>
      <c r="BH509" s="50">
        <f t="shared" ref="BH509:BM509" si="5306">IF(ISERROR(BH468/BG468),"n.a.",BH468/BG468-1)</f>
        <v>4.25</v>
      </c>
      <c r="BI509" s="51">
        <f t="shared" si="5306"/>
        <v>-2.9642857142857144</v>
      </c>
      <c r="BJ509" s="50">
        <f t="shared" si="5306"/>
        <v>-1.7636363636363637</v>
      </c>
      <c r="BK509" s="50">
        <f t="shared" si="5306"/>
        <v>0</v>
      </c>
      <c r="BL509" s="50">
        <f t="shared" si="5306"/>
        <v>0</v>
      </c>
      <c r="BM509" s="50">
        <f t="shared" si="5306"/>
        <v>0</v>
      </c>
      <c r="BN509" s="50" t="str">
        <f>IF(ISERROR(BN468/#REF!),"n.a.",BN468/#REF!-1)</f>
        <v>n.a.</v>
      </c>
    </row>
    <row r="510" spans="2:66" ht="12" customHeight="1" outlineLevel="1">
      <c r="B510" s="1" t="s">
        <v>67</v>
      </c>
      <c r="C510" s="79">
        <f t="shared" ref="C510:I510" si="5307">IF(ISERROR(-C470/AVERAGE(B495:C495)*1000000),"n.a.",-C470*C$5/AVERAGE(B495:C495)*1000000)</f>
        <v>365163.54815284064</v>
      </c>
      <c r="D510" s="79">
        <f t="shared" si="5307"/>
        <v>306202.51745621936</v>
      </c>
      <c r="E510" s="79">
        <f t="shared" si="5307"/>
        <v>356857.06723958091</v>
      </c>
      <c r="F510" s="79">
        <f t="shared" si="5307"/>
        <v>320320.827497861</v>
      </c>
      <c r="G510" s="79">
        <f t="shared" si="5307"/>
        <v>265681.41741540015</v>
      </c>
      <c r="H510" s="79">
        <f t="shared" si="5307"/>
        <v>354257.73736667249</v>
      </c>
      <c r="I510" s="79">
        <f t="shared" si="5307"/>
        <v>287304.68596874975</v>
      </c>
      <c r="J510" s="79">
        <f t="shared" ref="J510:AH510" si="5308">IF(ISERROR(-J470/AVERAGE(I495:J495)*1000000),"n.a.",-J470*J$5/AVERAGE(I495:J495)*1000000)</f>
        <v>369752.80799177749</v>
      </c>
      <c r="K510" s="79">
        <f t="shared" si="5308"/>
        <v>337800.59822855238</v>
      </c>
      <c r="L510" s="79">
        <f t="shared" si="5308"/>
        <v>409892.4413634456</v>
      </c>
      <c r="M510" s="79">
        <f t="shared" si="5308"/>
        <v>377998.02394220728</v>
      </c>
      <c r="N510" s="79">
        <f t="shared" si="5308"/>
        <v>432120.30350157525</v>
      </c>
      <c r="O510" s="79">
        <f t="shared" si="5308"/>
        <v>460473.4638065123</v>
      </c>
      <c r="P510" s="79">
        <f t="shared" si="5308"/>
        <v>337688.44221105526</v>
      </c>
      <c r="Q510" s="79">
        <f t="shared" si="5308"/>
        <v>442125.35435587587</v>
      </c>
      <c r="R510" s="79">
        <f t="shared" si="5308"/>
        <v>407071.10790971818</v>
      </c>
      <c r="S510" s="79">
        <f t="shared" si="5308"/>
        <v>456246.14656970801</v>
      </c>
      <c r="T510" s="79">
        <f t="shared" si="5308"/>
        <v>412155.07075744792</v>
      </c>
      <c r="U510" s="79">
        <f t="shared" si="5308"/>
        <v>461250.52987424319</v>
      </c>
      <c r="V510" s="79">
        <f t="shared" si="5308"/>
        <v>492280.16066319175</v>
      </c>
      <c r="W510" s="79">
        <f t="shared" si="5308"/>
        <v>493715.28792750655</v>
      </c>
      <c r="X510" s="79">
        <f t="shared" si="5308"/>
        <v>413450.62429057888</v>
      </c>
      <c r="Y510" s="79">
        <f t="shared" si="5308"/>
        <v>413070.29985891428</v>
      </c>
      <c r="Z510" s="79">
        <f t="shared" si="5308"/>
        <v>506054.36174921371</v>
      </c>
      <c r="AA510" s="79">
        <f t="shared" si="5308"/>
        <v>519488.79514426581</v>
      </c>
      <c r="AB510" s="79">
        <f t="shared" si="5308"/>
        <v>583778.84146279062</v>
      </c>
      <c r="AC510" s="79">
        <f t="shared" si="5308"/>
        <v>532087.64402739354</v>
      </c>
      <c r="AD510" s="79">
        <f t="shared" si="5308"/>
        <v>553261.22749663063</v>
      </c>
      <c r="AE510" s="79">
        <f t="shared" si="5308"/>
        <v>438495.97997207643</v>
      </c>
      <c r="AF510" s="79">
        <f t="shared" si="5308"/>
        <v>484842.70734032412</v>
      </c>
      <c r="AG510" s="79">
        <f t="shared" si="5308"/>
        <v>474118.41410370049</v>
      </c>
      <c r="AH510" s="79">
        <f t="shared" si="5308"/>
        <v>556625.28112387937</v>
      </c>
      <c r="AI510" s="90">
        <f t="shared" ref="AI510" si="5309">IF(ISERROR(-AI470/AVERAGE(AH495:AI495)*1000000),"n.a.",-AI470*AI$5/AVERAGE(AH495:AI495)*1000000)</f>
        <v>552940.53995563486</v>
      </c>
      <c r="AJ510" s="79">
        <f t="shared" ref="AJ510" si="5310">IF(ISERROR(-AJ470/AVERAGE(AI495:AJ495)*1000000),"n.a.",-AJ470*AJ$5/AVERAGE(AI495:AJ495)*1000000)</f>
        <v>563564.77729698317</v>
      </c>
      <c r="AK510" s="79">
        <f t="shared" ref="AK510" si="5311">IF(ISERROR(-AK470/AVERAGE(AJ495:AK495)*1000000),"n.a.",-AK470*AK$5/AVERAGE(AJ495:AK495)*1000000)</f>
        <v>553059.39448649203</v>
      </c>
      <c r="AL510" s="79">
        <f t="shared" ref="AL510" si="5312">IF(ISERROR(-AL470/AVERAGE(AK495:AL495)*1000000),"n.a.",-AL470*AL$5/AVERAGE(AK495:AL495)*1000000)</f>
        <v>579929.52622940787</v>
      </c>
      <c r="AM510" s="79">
        <f t="shared" ref="AM510" si="5313">IF(ISERROR(-AM470/AVERAGE(AL495:AM495)*1000000),"n.a.",-AM470*AM$5/AVERAGE(AL495:AM495)*1000000)</f>
        <v>577268.90396326652</v>
      </c>
      <c r="AN510" s="79">
        <f t="shared" ref="AN510" si="5314">IF(ISERROR(-AN470/AVERAGE(AM495:AN495)*1000000),"n.a.",-AN470*AN$5/AVERAGE(AM495:AN495)*1000000)</f>
        <v>597705.47562547855</v>
      </c>
      <c r="AO510" s="79">
        <f t="shared" ref="AO510" si="5315">IF(ISERROR(-AO470/AVERAGE(AN495:AO495)*1000000),"n.a.",-AO470*AO$5/AVERAGE(AN495:AO495)*1000000)</f>
        <v>589715.39248507319</v>
      </c>
      <c r="AP510" s="79">
        <f t="shared" ref="AP510" si="5316">IF(ISERROR(-AP470/AVERAGE(AO495:AP495)*1000000),"n.a.",-AP470*AP$5/AVERAGE(AO495:AP495)*1000000)</f>
        <v>611561.55974914716</v>
      </c>
      <c r="AQ510" s="79">
        <f t="shared" ref="AQ510" si="5317">IF(ISERROR(-AQ470/AVERAGE(AP495:AQ495)*1000000),"n.a.",-AQ470*AQ$5/AVERAGE(AP495:AQ495)*1000000)</f>
        <v>603908.26060531731</v>
      </c>
      <c r="AR510" s="79">
        <f t="shared" ref="AR510" si="5318">IF(ISERROR(-AR470/AVERAGE(AQ495:AR495)*1000000),"n.a.",-AR470*AR$5/AVERAGE(AQ495:AR495)*1000000)</f>
        <v>622487.25706047798</v>
      </c>
      <c r="AS510" s="8"/>
      <c r="AT510" s="54">
        <f>IF(ISERROR(-AT470/AVERAGE(T495:AT495)*1000000),"n.a.",-AT470*AT$5/AVERAGE(T495:AT495)*1000000)</f>
        <v>172947.44019905801</v>
      </c>
      <c r="AU510" s="54">
        <f>IF(ISERROR(-AU470/AVERAGE(AT495:AU495)*1000000),"n.a.",-AU470*AU$5/AVERAGE(AT495:AU495)*1000000)</f>
        <v>347306.50732891419</v>
      </c>
      <c r="AV510" s="54">
        <f>IF(ISERROR(-AV470/AVERAGE(AU495:AV495)*1000000),"n.a.",-AV470*AV$5/AVERAGE(AU495:AV495)*1000000)</f>
        <v>321999.1075412762</v>
      </c>
      <c r="AW510" s="54">
        <f>IF(ISERROR(-AW470/AVERAGE(AV495:AW495)*1000000),"n.a.",-AW470*AW$5/AVERAGE(AV495:AW495)*1000000)</f>
        <v>320539.22486425762</v>
      </c>
      <c r="AX510" s="54">
        <f t="shared" ref="AX510:BB510" si="5319">IF(ISERROR(-AX470/AVERAGE(AW495:AX495)*1000000),"n.a.",-AX470*AX$5/AVERAGE(AW495:AX495)*1000000)</f>
        <v>372494.38202247192</v>
      </c>
      <c r="AY510" s="54">
        <f t="shared" si="5319"/>
        <v>407188.70346598199</v>
      </c>
      <c r="AZ510" s="54">
        <f t="shared" si="5319"/>
        <v>392860.12177829677</v>
      </c>
      <c r="BA510" s="54">
        <f t="shared" si="5319"/>
        <v>424313.8575517764</v>
      </c>
      <c r="BB510" s="54">
        <f t="shared" si="5319"/>
        <v>434397.61600681144</v>
      </c>
      <c r="BC510" s="54">
        <f t="shared" ref="BC510" si="5320">IF(ISERROR(-BC470/AVERAGE(BB495:BC495)*1000000),"n.a.",-BC470*BC$5/AVERAGE(BB495:BC495)*1000000)</f>
        <v>476333.22814768064</v>
      </c>
      <c r="BD510" s="54">
        <f t="shared" ref="BD510" si="5321">IF(ISERROR(-BD470/AVERAGE(BC495:BD495)*1000000),"n.a.",-BD470*BD$5/AVERAGE(BC495:BD495)*1000000)</f>
        <v>455875.96000579628</v>
      </c>
      <c r="BE510" s="54">
        <f t="shared" ref="BE510" si="5322">IF(ISERROR(-BE470/AVERAGE(BD495:BE495)*1000000),"n.a.",-BE470*BE$5/AVERAGE(BD495:BE495)*1000000)</f>
        <v>461611.69670180214</v>
      </c>
      <c r="BF510" s="54">
        <f t="shared" ref="BF510" si="5323">IF(ISERROR(-BF470/AVERAGE(BE495:BF495)*1000000),"n.a.",-BF470*BF$5/AVERAGE(BE495:BF495)*1000000)</f>
        <v>544542.66190207517</v>
      </c>
      <c r="BG510" s="54">
        <f t="shared" ref="BG510" si="5324">IF(ISERROR(-BG470/AVERAGE(BF495:BG495)*1000000),"n.a.",-BG470*BG$5/AVERAGE(BF495:BG495)*1000000)</f>
        <v>542726.04588394053</v>
      </c>
      <c r="BH510" s="54">
        <f t="shared" ref="BH510:BJ510" si="5325">IF(ISERROR(-BH470/AVERAGE(BG495:BH495)*1000000),"n.a.",-BH470*BH$5/AVERAGE(BG495:BH495)*1000000)</f>
        <v>469031.28497056389</v>
      </c>
      <c r="BI510" s="53">
        <f t="shared" si="5325"/>
        <v>497084.62201490643</v>
      </c>
      <c r="BJ510" s="54">
        <f t="shared" si="5325"/>
        <v>558253.14423334214</v>
      </c>
      <c r="BK510" s="54">
        <f>IF(ISERROR(-BK470/AVERAGE(BK495:BK495)*1000000),"n.a.",-BK470*BK$5/AVERAGE(BK495:BK495)*1000000)</f>
        <v>566457.65195830213</v>
      </c>
      <c r="BL510" s="54">
        <f>IF(ISERROR(-BL470/AVERAGE(BL495:BL495)*1000000),"n.a.",-BL470*BL$5/AVERAGE(BL495:BL495)*1000000)</f>
        <v>587487.18979437253</v>
      </c>
      <c r="BM510" s="54">
        <f>IF(ISERROR(-BM470/AVERAGE(BM495:BM495)*1000000),"n.a.",-BM470*BM$5/AVERAGE(BM495:BM495)*1000000)</f>
        <v>600608.54986058397</v>
      </c>
      <c r="BN510" s="54">
        <f>IF(ISERROR(-BN470/AVERAGE(BN495:BN495)*1000000),"n.a.",-BN470*BO$5/AVERAGE(BN495:BN495)*1000000)</f>
        <v>0</v>
      </c>
    </row>
    <row r="511" spans="2:66" ht="12" customHeight="1" outlineLevel="1">
      <c r="B511" s="1" t="s">
        <v>78</v>
      </c>
      <c r="C511" s="50">
        <f t="shared" ref="C511:I511" si="5326">IF(ISERROR(-C470/C469),"n.a.",-C470/C469)</f>
        <v>-7.1944444444444446</v>
      </c>
      <c r="D511" s="50">
        <f t="shared" si="5326"/>
        <v>-58</v>
      </c>
      <c r="E511" s="50">
        <f t="shared" si="5326"/>
        <v>2.5187165775401068</v>
      </c>
      <c r="F511" s="50">
        <f t="shared" si="5326"/>
        <v>-24.810810810810811</v>
      </c>
      <c r="G511" s="50">
        <f t="shared" si="5326"/>
        <v>197.75</v>
      </c>
      <c r="H511" s="50">
        <f t="shared" si="5326"/>
        <v>5.4171122994652405</v>
      </c>
      <c r="I511" s="50">
        <f t="shared" si="5326"/>
        <v>25.96551724137931</v>
      </c>
      <c r="J511" s="50">
        <f t="shared" ref="J511:O511" si="5327">IF(ISERROR(-J470/J469),"n.a.",-J470/J469)</f>
        <v>6.85</v>
      </c>
      <c r="K511" s="50">
        <f t="shared" si="5327"/>
        <v>13.878787878787879</v>
      </c>
      <c r="L511" s="50">
        <f t="shared" si="5327"/>
        <v>4.6801619433198383</v>
      </c>
      <c r="M511" s="81">
        <f t="shared" si="5327"/>
        <v>10</v>
      </c>
      <c r="N511" s="81">
        <f t="shared" si="5327"/>
        <v>-181.28571428571428</v>
      </c>
      <c r="O511" s="81">
        <f t="shared" si="5327"/>
        <v>269.39999999999998</v>
      </c>
      <c r="P511" s="81">
        <f t="shared" ref="P511:Q511" si="5328">IF(ISERROR(-P470/P469),"n.a.",-P470/P469)</f>
        <v>6.1840490797546011</v>
      </c>
      <c r="Q511" s="81">
        <f t="shared" si="5328"/>
        <v>-1.0269438029253273</v>
      </c>
      <c r="R511" s="81">
        <f t="shared" ref="R511:S511" si="5329">IF(ISERROR(-R470/R469),"n.a.",-R470/R469)</f>
        <v>-1.294759825327511</v>
      </c>
      <c r="S511" s="81">
        <f t="shared" si="5329"/>
        <v>-1.4734513274336283</v>
      </c>
      <c r="T511" s="81">
        <f t="shared" ref="T511:U511" si="5330">IF(ISERROR(-T470/T469),"n.a.",-T470/T469)</f>
        <v>-1.1403180542563143</v>
      </c>
      <c r="U511" s="81">
        <f t="shared" si="5330"/>
        <v>20.028169014084508</v>
      </c>
      <c r="V511" s="81">
        <f t="shared" ref="V511:W511" si="5331">IF(ISERROR(-V470/V469),"n.a.",-V470/V469)</f>
        <v>-106.46666666666667</v>
      </c>
      <c r="W511" s="81">
        <f t="shared" si="5331"/>
        <v>13.093023255813954</v>
      </c>
      <c r="X511" s="81">
        <f t="shared" ref="X511:Y511" si="5332">IF(ISERROR(-X470/X469),"n.a.",-X470/X469)</f>
        <v>19.171052631578949</v>
      </c>
      <c r="Y511" s="81">
        <f t="shared" si="5332"/>
        <v>1502</v>
      </c>
      <c r="Z511" s="81">
        <f t="shared" ref="Z511:AA511" si="5333">IF(ISERROR(-Z470/Z469),"n.a.",-Z470/Z469)</f>
        <v>8.8000000000000007</v>
      </c>
      <c r="AA511" s="81">
        <f t="shared" si="5333"/>
        <v>15.6171875</v>
      </c>
      <c r="AB511" s="81">
        <f t="shared" ref="AB511:AC511" si="5334">IF(ISERROR(-AB470/AB469),"n.a.",-AB470/AB469)</f>
        <v>-16.624113475177303</v>
      </c>
      <c r="AC511" s="81">
        <f t="shared" si="5334"/>
        <v>33.542857142857144</v>
      </c>
      <c r="AD511" s="81">
        <f t="shared" ref="AD511:AE511" si="5335">IF(ISERROR(-AD470/AD469),"n.a.",-AD470/AD469)</f>
        <v>13.668367346938776</v>
      </c>
      <c r="AE511" s="81">
        <f t="shared" si="5335"/>
        <v>4.9607843137254903</v>
      </c>
      <c r="AF511" s="81">
        <f t="shared" ref="AF511:AG511" si="5336">IF(ISERROR(-AF470/AF469),"n.a.",-AF470/AF469)</f>
        <v>4.7890772128060259</v>
      </c>
      <c r="AG511" s="81">
        <f t="shared" si="5336"/>
        <v>3.5487804878048781</v>
      </c>
      <c r="AH511" s="81">
        <f t="shared" ref="AH511" si="5337">IF(ISERROR(-AH470/AH469),"n.a.",-AH470/AH469)</f>
        <v>5.8367346938775508</v>
      </c>
      <c r="AI511" s="341">
        <f t="shared" ref="AI511:AJ511" si="5338">IF(ISERROR(-AI470/AI469),"n.a.",-AI470/AI469)</f>
        <v>15.508982035928144</v>
      </c>
      <c r="AJ511" s="81">
        <f t="shared" si="5338"/>
        <v>7.5287155658892102</v>
      </c>
      <c r="AK511" s="81">
        <f t="shared" ref="AK511:AL511" si="5339">IF(ISERROR(-AK470/AK469),"n.a.",-AK470/AK469)</f>
        <v>5.8568521980707207</v>
      </c>
      <c r="AL511" s="81">
        <f t="shared" si="5339"/>
        <v>6.3642252073893726</v>
      </c>
      <c r="AM511" s="81">
        <f t="shared" ref="AM511:AN511" si="5340">IF(ISERROR(-AM470/AM469),"n.a.",-AM470/AM469)</f>
        <v>6.5816589798569272</v>
      </c>
      <c r="AN511" s="81">
        <f t="shared" si="5340"/>
        <v>6.906987055494695</v>
      </c>
      <c r="AO511" s="81">
        <f t="shared" ref="AO511:AP511" si="5341">IF(ISERROR(-AO470/AO469),"n.a.",-AO470/AO469)</f>
        <v>7.1459547586720369</v>
      </c>
      <c r="AP511" s="81">
        <f t="shared" si="5341"/>
        <v>7.5072097078058251</v>
      </c>
      <c r="AQ511" s="81">
        <f t="shared" ref="AQ511:AR511" si="5342">IF(ISERROR(-AQ470/AQ469),"n.a.",-AQ470/AQ469)</f>
        <v>7.6019484563775572</v>
      </c>
      <c r="AR511" s="81">
        <f t="shared" si="5342"/>
        <v>7.9477869621293529</v>
      </c>
      <c r="AS511" s="8"/>
      <c r="AT511" s="50">
        <f>IF(ISERROR(-AT470/AT469),"n.a.",-AT470/AT469)</f>
        <v>-12.275</v>
      </c>
      <c r="AU511" s="50">
        <f>IF(ISERROR(-AU470/AU469),"n.a.",-AU470/AU469)</f>
        <v>5.5192878338278932</v>
      </c>
      <c r="AV511" s="50">
        <f>IF(ISERROR(-AV470/AV469),"n.a.",-AV470/AV469)</f>
        <v>9.4450261780104707</v>
      </c>
      <c r="AW511" s="50">
        <f>IF(ISERROR(-AW470/AW469),"n.a.",-AW470/AW469)</f>
        <v>10.1301775147929</v>
      </c>
      <c r="AX511" s="50">
        <f t="shared" ref="AX511:BB511" si="5343">IF(ISERROR(-AX470/AX469),"n.a.",-AX470/AX469)</f>
        <v>6.619808306709265</v>
      </c>
      <c r="AY511" s="50">
        <f t="shared" si="5343"/>
        <v>22.875</v>
      </c>
      <c r="AZ511" s="50">
        <f t="shared" si="5343"/>
        <v>14.017857142857142</v>
      </c>
      <c r="BA511" s="50">
        <f t="shared" si="5343"/>
        <v>-1.1376975169300225</v>
      </c>
      <c r="BB511" s="50">
        <f t="shared" si="5343"/>
        <v>-1.2929548910288899</v>
      </c>
      <c r="BC511" s="50">
        <f t="shared" ref="BC511:BH511" si="5344">IF(ISERROR(-BC470/BC469),"n.a.",-BC470/BC469)</f>
        <v>53.910714285714285</v>
      </c>
      <c r="BD511" s="50">
        <f t="shared" si="5344"/>
        <v>15.346341463414634</v>
      </c>
      <c r="BE511" s="50">
        <f t="shared" si="5344"/>
        <v>15.712962962962964</v>
      </c>
      <c r="BF511" s="50">
        <f t="shared" si="5344"/>
        <v>-334.07692307692309</v>
      </c>
      <c r="BG511" s="50">
        <f t="shared" si="5344"/>
        <v>18.898496240601503</v>
      </c>
      <c r="BH511" s="50">
        <f t="shared" si="5344"/>
        <v>4.8686868686868685</v>
      </c>
      <c r="BI511" s="51">
        <f t="shared" ref="BI511" si="5345">IF(ISERROR(-BI470/BI469),"n.a.",-BI470/BI469)</f>
        <v>4.4685505925250686</v>
      </c>
      <c r="BJ511" s="50">
        <f t="shared" ref="BJ511:BK511" si="5346">IF(ISERROR(-BJ470/BJ469),"n.a.",-BJ470/BJ469)</f>
        <v>10.112834353828829</v>
      </c>
      <c r="BK511" s="50">
        <f t="shared" si="5346"/>
        <v>6.1053238354836461</v>
      </c>
      <c r="BL511" s="50">
        <f t="shared" ref="BL511" si="5347">IF(ISERROR(-BL470/BL469),"n.a.",-BL470/BL469)</f>
        <v>6.7432285689850779</v>
      </c>
      <c r="BM511" s="50">
        <f t="shared" ref="BM511" si="5348">IF(ISERROR(-BM470/BM469),"n.a.",-BM470/BM469)</f>
        <v>7.3249185833738757</v>
      </c>
      <c r="BN511" s="50">
        <f t="shared" ref="BN511" si="5349">IF(ISERROR(-BN470/BN469),"n.a.",-BN470/BN469)</f>
        <v>7.7731673160495429</v>
      </c>
    </row>
    <row r="512" spans="2:66" ht="12" customHeight="1" outlineLevel="1">
      <c r="B512" s="1" t="s">
        <v>1110</v>
      </c>
      <c r="C512" s="69" t="str">
        <f t="shared" ref="C512:J512" si="5350">IF(OR(ISERROR(-(C470+C483+C482)/C469),C483=""),"n.a.",-(C470+C483+C482)/C469)</f>
        <v>n.a.</v>
      </c>
      <c r="D512" s="69" t="str">
        <f t="shared" si="5350"/>
        <v>n.a.</v>
      </c>
      <c r="E512" s="69" t="str">
        <f t="shared" si="5350"/>
        <v>n.a.</v>
      </c>
      <c r="F512" s="69" t="str">
        <f t="shared" si="5350"/>
        <v>n.a.</v>
      </c>
      <c r="G512" s="69">
        <f t="shared" si="5350"/>
        <v>-7.0040983606557461</v>
      </c>
      <c r="H512" s="69">
        <f t="shared" si="5350"/>
        <v>-0.11273985530040914</v>
      </c>
      <c r="I512" s="69">
        <f t="shared" si="5350"/>
        <v>0.88929219600725928</v>
      </c>
      <c r="J512" s="69">
        <f t="shared" si="5350"/>
        <v>1.1472448979591832</v>
      </c>
      <c r="K512" s="81">
        <f t="shared" ref="K512:P512" si="5351">IF(OR(ISERROR(-(K470+K483+K482)/K469),K483=""),"n.a.",-(K470+K483+K482)/K469)</f>
        <v>3.953521267966349</v>
      </c>
      <c r="L512" s="81">
        <f t="shared" si="5351"/>
        <v>1.982101476776035</v>
      </c>
      <c r="M512" s="69">
        <f t="shared" si="5351"/>
        <v>3.6861186559331802</v>
      </c>
      <c r="N512" s="69">
        <f t="shared" si="5351"/>
        <v>-61.636367305879695</v>
      </c>
      <c r="O512" s="69">
        <f t="shared" si="5351"/>
        <v>114.96448598130841</v>
      </c>
      <c r="P512" s="69">
        <f t="shared" si="5351"/>
        <v>0.86787574370285181</v>
      </c>
      <c r="Q512" s="69">
        <f t="shared" ref="Q512:R512" si="5352">IF(OR(ISERROR(-(Q470+Q483+Q482)/Q469),Q483=""),"n.a.",-(Q470+Q483+Q482)/Q469)</f>
        <v>0.67366149123400065</v>
      </c>
      <c r="R512" s="69">
        <f t="shared" si="5352"/>
        <v>0.80331688216678943</v>
      </c>
      <c r="S512" s="69">
        <f t="shared" ref="S512" si="5353">IF(OR(ISERROR(-(S470+S483+S482)/S469),S483=""),"n.a.",-(S470+S483+S482)/S469)</f>
        <v>0.62383613977562191</v>
      </c>
      <c r="T512" s="69">
        <f t="shared" ref="T512:U512" si="5354">IF(OR(ISERROR(-(T470+T483+T482)/T469),T483=""),"n.a.",-(T470+T483+T482)/T469)</f>
        <v>0.87695046353835748</v>
      </c>
      <c r="U512" s="69">
        <f t="shared" si="5354"/>
        <v>3.9896338145994039</v>
      </c>
      <c r="V512" s="69">
        <f t="shared" ref="V512:W512" si="5355">IF(OR(ISERROR(-(V470+V483+V482)/V469),V483=""),"n.a.",-(V470+V483+V482)/V469)</f>
        <v>-24.793891427039885</v>
      </c>
      <c r="W512" s="69">
        <f t="shared" si="5355"/>
        <v>3.1220903817503656</v>
      </c>
      <c r="X512" s="69">
        <f t="shared" ref="X512:Y512" si="5356">IF(OR(ISERROR(-(X470+X483+X482)/X469),X483=""),"n.a.",-(X470+X483+X482)/X469)</f>
        <v>1.6321683717108941</v>
      </c>
      <c r="Y512" s="69">
        <f t="shared" si="5356"/>
        <v>378.79151658438195</v>
      </c>
      <c r="Z512" s="69">
        <f t="shared" ref="Z512:AA512" si="5357">IF(OR(ISERROR(-(Z470+Z483+Z482)/Z469),Z483=""),"n.a.",-(Z470+Z483+Z482)/Z469)</f>
        <v>1.2070358888730224</v>
      </c>
      <c r="AA512" s="69">
        <f t="shared" si="5357"/>
        <v>1.6978860471041983</v>
      </c>
      <c r="AB512" s="69">
        <f t="shared" ref="AB512:AC512" si="5358">IF(OR(ISERROR(-(AB470+AB483+AB482)/AB469),AB483=""),"n.a.",-(AB470+AB483+AB482)/AB469)</f>
        <v>0.25421158972575547</v>
      </c>
      <c r="AC512" s="69">
        <f t="shared" si="5358"/>
        <v>11.83162624388061</v>
      </c>
      <c r="AD512" s="69">
        <f t="shared" ref="AD512:AE512" si="5359">IF(OR(ISERROR(-(AD470+AD483+AD482)/AD469),AD483=""),"n.a.",-(AD470+AD483+AD482)/AD469)</f>
        <v>5.4439346080621585</v>
      </c>
      <c r="AE512" s="69">
        <f t="shared" si="5359"/>
        <v>3.2514773708197695</v>
      </c>
      <c r="AF512" s="69">
        <f t="shared" ref="AF512:AG512" si="5360">IF(OR(ISERROR(-(AF470+AF483+AF482)/AF469),AF483=""),"n.a.",-(AF470+AF483+AF482)/AF469)</f>
        <v>2.8646248874111646</v>
      </c>
      <c r="AG512" s="69">
        <f t="shared" si="5360"/>
        <v>2.5918531578926669</v>
      </c>
      <c r="AH512" s="69">
        <f t="shared" ref="AH512" si="5361">IF(OR(ISERROR(-(AH470+AH483+AH482)/AH469),AH483=""),"n.a.",-(AH470+AH483+AH482)/AH469)</f>
        <v>3.493323947791108</v>
      </c>
      <c r="AI512" s="89">
        <f t="shared" ref="AI512:AJ512" si="5362">IF(OR(ISERROR(-(AI470+AI483+AI482)/AI469),AI483=""),"n.a.",-(AI470+AI483+AI482)/AI469)</f>
        <v>12.196397188764564</v>
      </c>
      <c r="AJ512" s="69">
        <f t="shared" si="5362"/>
        <v>3.9850681861452939</v>
      </c>
      <c r="AK512" s="69">
        <f t="shared" ref="AK512:AL512" si="5363">IF(OR(ISERROR(-(AK470+AK483+AK482)/AK469),AK483=""),"n.a.",-(AK470+AK483+AK482)/AK469)</f>
        <v>3.1590114458668568</v>
      </c>
      <c r="AL512" s="69">
        <f t="shared" si="5363"/>
        <v>3.2736257449655009</v>
      </c>
      <c r="AM512" s="69">
        <f t="shared" ref="AM512:AN512" si="5364">IF(OR(ISERROR(-(AM470+AM483+AM482)/AM469),AM483=""),"n.a.",-(AM470+AM483+AM482)/AM469)</f>
        <v>3.4010727460699441</v>
      </c>
      <c r="AN512" s="69">
        <f t="shared" si="5364"/>
        <v>3.4471494816006589</v>
      </c>
      <c r="AO512" s="69">
        <f t="shared" ref="AO512:AP512" si="5365">IF(OR(ISERROR(-(AO470+AO483+AO482)/AO469),AO483=""),"n.a.",-(AO470+AO483+AO482)/AO469)</f>
        <v>3.6147353603655068</v>
      </c>
      <c r="AP512" s="69">
        <f t="shared" si="5365"/>
        <v>3.6618207130350324</v>
      </c>
      <c r="AQ512" s="69">
        <f t="shared" ref="AQ512:AR512" si="5366">IF(OR(ISERROR(-(AQ470+AQ483+AQ482)/AQ469),AQ483=""),"n.a.",-(AQ470+AQ483+AQ482)/AQ469)</f>
        <v>3.7550235001183294</v>
      </c>
      <c r="AR512" s="69">
        <f t="shared" si="5366"/>
        <v>3.8086797854672048</v>
      </c>
      <c r="AT512" s="69" t="str">
        <f t="shared" ref="AT512:BB512" si="5367">IF(OR(ISERROR(-(AT470+AT483+AT482)/AT469),AT483=""),"n.a.",-(AT470+AT483+AT482)/AT469)</f>
        <v>n.a.</v>
      </c>
      <c r="AU512" s="69" t="str">
        <f t="shared" si="5367"/>
        <v>n.a.</v>
      </c>
      <c r="AV512" s="69">
        <f t="shared" si="5367"/>
        <v>-0.25706149939161976</v>
      </c>
      <c r="AW512" s="69">
        <f t="shared" si="5367"/>
        <v>1.1029808248431732</v>
      </c>
      <c r="AX512" s="69">
        <f t="shared" si="5367"/>
        <v>2.3978002186883698</v>
      </c>
      <c r="AY512" s="69">
        <f t="shared" si="5367"/>
        <v>8.0828244418244317</v>
      </c>
      <c r="AZ512" s="69">
        <f t="shared" si="5367"/>
        <v>4.2636081912506363</v>
      </c>
      <c r="BA512" s="69">
        <f t="shared" si="5367"/>
        <v>0.72727970256331642</v>
      </c>
      <c r="BB512" s="69">
        <f t="shared" si="5367"/>
        <v>0.76097714945750949</v>
      </c>
      <c r="BC512" s="69">
        <f t="shared" ref="BC512:BH512" si="5368">IF(OR(ISERROR(-(BC470+BC483+BC482)/BC469),BC483=""),"n.a.",-(BC470+BC483+BC482)/BC469)</f>
        <v>11.69950664718136</v>
      </c>
      <c r="BD512" s="69">
        <f t="shared" si="5368"/>
        <v>2.5697290511991477</v>
      </c>
      <c r="BE512" s="69">
        <f t="shared" si="5368"/>
        <v>2.9551121883892697</v>
      </c>
      <c r="BF512" s="69">
        <f t="shared" si="5368"/>
        <v>-13.960429221385031</v>
      </c>
      <c r="BG512" s="69">
        <f t="shared" si="5368"/>
        <v>7.124906091172277</v>
      </c>
      <c r="BH512" s="69">
        <f t="shared" si="5368"/>
        <v>3.0439837660824272</v>
      </c>
      <c r="BI512" s="89">
        <f t="shared" ref="BI512" si="5369">IF(OR(ISERROR(-(BI470+BI483+BI482)/BI469),BI483=""),"n.a.",-(BI470+BI483+BI482)/BI469)</f>
        <v>2.9542493459922228</v>
      </c>
      <c r="BJ512" s="69">
        <f t="shared" ref="BJ512:BK512" si="5370">IF(OR(ISERROR(-(BJ470+BJ483+BJ482)/BJ469),BJ483=""),"n.a.",-(BJ470+BJ483+BJ482)/BJ469)</f>
        <v>6.6440081638122823</v>
      </c>
      <c r="BK512" s="69">
        <f t="shared" si="5370"/>
        <v>3.2151405698938094</v>
      </c>
      <c r="BL512" s="69">
        <f t="shared" ref="BL512" si="5371">IF(OR(ISERROR(-(BL470+BL483+BL482)/BL469),BL483=""),"n.a.",-(BL470+BL483+BL482)/BL469)</f>
        <v>3.4239561053172825</v>
      </c>
      <c r="BM512" s="69">
        <f t="shared" ref="BM512" si="5372">IF(OR(ISERROR(-(BM470+BM483+BM482)/BM469),BM483=""),"n.a.",-(BM470+BM483+BM482)/BM469)</f>
        <v>3.6380611994201084</v>
      </c>
      <c r="BN512" s="69">
        <f t="shared" ref="BN512" si="5373">IF(OR(ISERROR(-(BN470+BN483+BN482)/BN469),BN483=""),"n.a.",-(BN470+BN483+BN482)/BN469)</f>
        <v>3.7815878295347378</v>
      </c>
    </row>
    <row r="513" spans="1:66" ht="12" customHeight="1" outlineLevel="1">
      <c r="B513" s="1" t="s">
        <v>79</v>
      </c>
      <c r="C513" s="37">
        <f t="shared" ref="C513:I513" si="5374">IF(ISERROR(-C472*C$5/AVERAGE(B489:C489)),"n.a.",-C472*C$5/AVERAGE(B489:C489))</f>
        <v>-8.985440996488377E-3</v>
      </c>
      <c r="D513" s="37">
        <f t="shared" si="5374"/>
        <v>-1.1028381716600347E-2</v>
      </c>
      <c r="E513" s="37">
        <f t="shared" si="5374"/>
        <v>-2.0745358279229478E-2</v>
      </c>
      <c r="F513" s="37">
        <f t="shared" si="5374"/>
        <v>-2.3797878483536448E-2</v>
      </c>
      <c r="G513" s="37">
        <f t="shared" si="5374"/>
        <v>-2.4491197283842296E-2</v>
      </c>
      <c r="H513" s="37">
        <f t="shared" si="5374"/>
        <v>-2.3219573009194326E-2</v>
      </c>
      <c r="I513" s="37">
        <f t="shared" si="5374"/>
        <v>-2.4123024420431568E-2</v>
      </c>
      <c r="J513" s="37">
        <f t="shared" ref="J513:AH513" si="5375">IF(ISERROR(-J472*J$5/AVERAGE(I489:J489)),"n.a.",-J472*J$5/AVERAGE(I489:J489))</f>
        <v>-3.0321161305783214E-2</v>
      </c>
      <c r="K513" s="37">
        <f t="shared" si="5375"/>
        <v>-3.0050851396298921E-2</v>
      </c>
      <c r="L513" s="37">
        <f t="shared" si="5375"/>
        <v>-3.8954950093909396E-2</v>
      </c>
      <c r="M513" s="82">
        <f t="shared" si="5375"/>
        <v>-4.7185640564327787E-2</v>
      </c>
      <c r="N513" s="82">
        <f t="shared" si="5375"/>
        <v>-6.4343116278147358E-2</v>
      </c>
      <c r="O513" s="82">
        <f t="shared" si="5375"/>
        <v>-6.4064628246676997E-2</v>
      </c>
      <c r="P513" s="82">
        <f t="shared" si="5375"/>
        <v>-7.2198056831578525E-2</v>
      </c>
      <c r="Q513" s="82">
        <f t="shared" si="5375"/>
        <v>-8.0230100950437352E-2</v>
      </c>
      <c r="R513" s="82">
        <f t="shared" si="5375"/>
        <v>-8.294846751169499E-2</v>
      </c>
      <c r="S513" s="82">
        <f t="shared" si="5375"/>
        <v>-7.8704637537183431E-2</v>
      </c>
      <c r="T513" s="82">
        <f t="shared" si="5375"/>
        <v>-8.6154361148782041E-2</v>
      </c>
      <c r="U513" s="82">
        <f t="shared" si="5375"/>
        <v>-9.6360677787521415E-2</v>
      </c>
      <c r="V513" s="82">
        <f t="shared" si="5375"/>
        <v>-4.9191744442404074E-2</v>
      </c>
      <c r="W513" s="82">
        <f t="shared" si="5375"/>
        <v>-7.3319755600814662E-2</v>
      </c>
      <c r="X513" s="82">
        <f t="shared" si="5375"/>
        <v>-4.4764519973058393E-2</v>
      </c>
      <c r="Y513" s="82">
        <f t="shared" si="5375"/>
        <v>-4.7275306166090297E-2</v>
      </c>
      <c r="Z513" s="82">
        <f t="shared" si="5375"/>
        <v>-3.638585806169687E-2</v>
      </c>
      <c r="AA513" s="82">
        <f t="shared" si="5375"/>
        <v>-2.427306508879579E-2</v>
      </c>
      <c r="AB513" s="82">
        <f t="shared" si="5375"/>
        <v>-1.9803695121419863E-2</v>
      </c>
      <c r="AC513" s="82">
        <f t="shared" si="5375"/>
        <v>-1.752428604677345E-2</v>
      </c>
      <c r="AD513" s="82">
        <f t="shared" si="5375"/>
        <v>-1.6353179807590483E-2</v>
      </c>
      <c r="AE513" s="82">
        <f t="shared" si="5375"/>
        <v>-2.5695245845868547E-2</v>
      </c>
      <c r="AF513" s="82">
        <f t="shared" si="5375"/>
        <v>-2.5556498680721424E-2</v>
      </c>
      <c r="AG513" s="82">
        <f t="shared" si="5375"/>
        <v>-2.6250043252526684E-2</v>
      </c>
      <c r="AH513" s="82">
        <f t="shared" si="5375"/>
        <v>-2.9738459006123302E-2</v>
      </c>
      <c r="AI513" s="369">
        <f t="shared" ref="AI513" si="5376">IF(ISERROR(-AI472*AI$5/AVERAGE(AH489:AI489)),"n.a.",-AI472*AI$5/AVERAGE(AH489:AI489))</f>
        <v>-2.8855567521009005E-2</v>
      </c>
      <c r="AJ513" s="82">
        <f t="shared" ref="AJ513" si="5377">IF(ISERROR(-AJ472*AJ$5/AVERAGE(AI489:AJ489)),"n.a.",-AJ472*AJ$5/AVERAGE(AI489:AJ489))</f>
        <v>-2.2664563723662306E-2</v>
      </c>
      <c r="AK513" s="82">
        <f t="shared" ref="AK513" si="5378">IF(ISERROR(-AK472*AK$5/AVERAGE(AJ489:AK489)),"n.a.",-AK472*AK$5/AVERAGE(AJ489:AK489))</f>
        <v>-2.666138939243725E-2</v>
      </c>
      <c r="AL513" s="82">
        <f t="shared" ref="AL513" si="5379">IF(ISERROR(-AL472*AL$5/AVERAGE(AK489:AL489)),"n.a.",-AL472*AL$5/AVERAGE(AK489:AL489))</f>
        <v>-2.1622144623142606E-2</v>
      </c>
      <c r="AM513" s="82">
        <f t="shared" ref="AM513" si="5380">IF(ISERROR(-AM472*AM$5/AVERAGE(AL489:AM489)),"n.a.",-AM472*AM$5/AVERAGE(AL489:AM489))</f>
        <v>-2.5357661963820718E-2</v>
      </c>
      <c r="AN513" s="82">
        <f t="shared" ref="AN513" si="5381">IF(ISERROR(-AN472*AN$5/AVERAGE(AM489:AN489)),"n.a.",-AN472*AN$5/AVERAGE(AM489:AN489))</f>
        <v>-2.0388640458849E-2</v>
      </c>
      <c r="AO513" s="82">
        <f t="shared" ref="AO513" si="5382">IF(ISERROR(-AO472*AO$5/AVERAGE(AN489:AO489)),"n.a.",-AO472*AO$5/AVERAGE(AN489:AO489))</f>
        <v>-2.3113401256855685E-2</v>
      </c>
      <c r="AP513" s="82">
        <f t="shared" ref="AP513" si="5383">IF(ISERROR(-AP472*AP$5/AVERAGE(AO489:AP489)),"n.a.",-AP472*AP$5/AVERAGE(AO489:AP489))</f>
        <v>-1.7642527130174859E-2</v>
      </c>
      <c r="AQ513" s="82">
        <f t="shared" ref="AQ513" si="5384">IF(ISERROR(-AQ472*AQ$5/AVERAGE(AP489:AQ489)),"n.a.",-AQ472*AQ$5/AVERAGE(AP489:AQ489))</f>
        <v>-2.0606955462682708E-2</v>
      </c>
      <c r="AR513" s="82">
        <f t="shared" ref="AR513" si="5385">IF(ISERROR(-AR472*AR$5/AVERAGE(AQ489:AR489)),"n.a.",-AR472*AR$5/AVERAGE(AQ489:AR489))</f>
        <v>-1.493444582924504E-2</v>
      </c>
      <c r="AS513" s="8"/>
      <c r="AT513" s="37">
        <f>IF(ISERROR(-AT472*AT$5/AVERAGE(T489:AT489)),"n.a.",-AT472*AT$5/AVERAGE(T489:AT489))</f>
        <v>-3.8723583908218352E-3</v>
      </c>
      <c r="AU513" s="37">
        <f>IF(ISERROR(-AU472*AU$5/AVERAGE(AT489:AU489)),"n.a.",-AU472*AU$5/AVERAGE(AT489:AU489))</f>
        <v>-2.3660902572754113E-2</v>
      </c>
      <c r="AV513" s="37">
        <f>IF(ISERROR(-AV472*AV$5/AVERAGE(AU489:AV489)),"n.a.",-AV472*AV$5/AVERAGE(AU489:AV489))</f>
        <v>-2.514675712457598E-2</v>
      </c>
      <c r="AW513" s="37">
        <f>IF(ISERROR(-AW472*AW$5/AVERAGE(AV489:AW489)),"n.a.",-AW472*AW$5/AVERAGE(AV489:AW489))</f>
        <v>-2.803112517028793E-2</v>
      </c>
      <c r="AX513" s="37">
        <f t="shared" ref="AX513:BB513" si="5386">IF(ISERROR(-AX472*AX$5/AVERAGE(AW489:AX489)),"n.a.",-AX472*AX$5/AVERAGE(AW489:AX489))</f>
        <v>-3.6547052889465338E-2</v>
      </c>
      <c r="AY513" s="37">
        <f t="shared" si="5386"/>
        <v>-5.1887372433296448E-2</v>
      </c>
      <c r="AZ513" s="37">
        <f t="shared" si="5386"/>
        <v>-7.4077569123336795E-2</v>
      </c>
      <c r="BA513" s="37">
        <f t="shared" si="5386"/>
        <v>-7.4276557639739837E-2</v>
      </c>
      <c r="BB513" s="37">
        <f t="shared" si="5386"/>
        <v>-8.6047446722959386E-2</v>
      </c>
      <c r="BC513" s="37">
        <f t="shared" ref="BC513" si="5387">IF(ISERROR(-BC472*BC$5/AVERAGE(BB489:BC489)),"n.a.",-BC472*BC$5/AVERAGE(BB489:BC489))</f>
        <v>-7.301036242175582E-2</v>
      </c>
      <c r="BD513" s="37">
        <f t="shared" ref="BD513" si="5388">IF(ISERROR(-BD472*BD$5/AVERAGE(BC489:BD489)),"n.a.",-BD472*BD$5/AVERAGE(BC489:BD489))</f>
        <v>-6.2591400994442825E-2</v>
      </c>
      <c r="BE513" s="37">
        <f t="shared" ref="BE513" si="5389">IF(ISERROR(-BE472*BE$5/AVERAGE(BD489:BE489)),"n.a.",-BE472*BE$5/AVERAGE(BD489:BE489))</f>
        <v>-3.6145013360294652E-2</v>
      </c>
      <c r="BF513" s="37">
        <f t="shared" ref="BF513" si="5390">IF(ISERROR(-BF472*BF$5/AVERAGE(BE489:BF489)),"n.a.",-BF472*BF$5/AVERAGE(BE489:BF489))</f>
        <v>-2.0582120582120583E-2</v>
      </c>
      <c r="BG513" s="37">
        <f t="shared" ref="BG513" si="5391">IF(ISERROR(-BG472*BG$5/AVERAGE(BF489:BG489)),"n.a.",-BG472*BG$5/AVERAGE(BF489:BG489))</f>
        <v>-1.8331201798240514E-2</v>
      </c>
      <c r="BH513" s="37">
        <f t="shared" ref="BH513:BJ513" si="5392">IF(ISERROR(-BH472*BH$5/AVERAGE(BG489:BH489)),"n.a.",-BH472*BH$5/AVERAGE(BG489:BH489))</f>
        <v>-2.5583025781446354E-2</v>
      </c>
      <c r="BI513" s="38">
        <f t="shared" si="5392"/>
        <v>-2.6888803313132949E-2</v>
      </c>
      <c r="BJ513" s="37">
        <f t="shared" si="5392"/>
        <v>-2.5600703997371056E-2</v>
      </c>
      <c r="BK513" s="37">
        <f>IF(ISERROR(-BK472*BK$5/AVERAGE(BK489:BK489)),"n.a.",-BK472*BK$5/AVERAGE(BK489:BK489))</f>
        <v>-2.2893237555427364E-2</v>
      </c>
      <c r="BL513" s="37">
        <f>IF(ISERROR(-BL472*BL$5/AVERAGE(BL489:BL489)),"n.a.",-BL472*BL$5/AVERAGE(BL489:BL489))</f>
        <v>-2.1981171398253386E-2</v>
      </c>
      <c r="BM513" s="37">
        <f>IF(ISERROR(-BM472*BM$5/AVERAGE(BM489:BM489)),"n.a.",-BM472*BM$5/AVERAGE(BM489:BM489))</f>
        <v>-1.9677244021686715E-2</v>
      </c>
      <c r="BN513" s="37">
        <f>IF(ISERROR(-BN472*BO$5/AVERAGE(BN489:BN489)),"n.a.",-BN472*BO$5/AVERAGE(BN489:BN489))</f>
        <v>0</v>
      </c>
    </row>
    <row r="514" spans="1:66" ht="12" customHeight="1" outlineLevel="1">
      <c r="B514" s="1" t="s">
        <v>68</v>
      </c>
      <c r="C514" s="50" t="str">
        <f t="shared" ref="C514:I514" si="5393">IF(ISERROR(C472/B472),"n.a.",C472/B472-1)</f>
        <v>n.a.</v>
      </c>
      <c r="D514" s="50">
        <f t="shared" si="5393"/>
        <v>0.13793103448275867</v>
      </c>
      <c r="E514" s="50">
        <f t="shared" si="5393"/>
        <v>0.92424242424242431</v>
      </c>
      <c r="F514" s="50">
        <f t="shared" si="5393"/>
        <v>0.20866141732283472</v>
      </c>
      <c r="G514" s="50">
        <f t="shared" si="5393"/>
        <v>4.5602605863192203E-2</v>
      </c>
      <c r="H514" s="50">
        <f t="shared" si="5393"/>
        <v>-7.1651090342679136E-2</v>
      </c>
      <c r="I514" s="50">
        <f t="shared" si="5393"/>
        <v>-4.0268456375838979E-2</v>
      </c>
      <c r="J514" s="50">
        <f t="shared" ref="J514:AH514" si="5394">IF(ISERROR(J472/I472),"n.a.",J472/I472-1)</f>
        <v>0.12237762237762229</v>
      </c>
      <c r="K514" s="50">
        <f t="shared" si="5394"/>
        <v>-8.7227414330218078E-2</v>
      </c>
      <c r="L514" s="50">
        <f t="shared" si="5394"/>
        <v>0.16382252559726962</v>
      </c>
      <c r="M514" s="81">
        <f t="shared" si="5394"/>
        <v>-8.2111436950146666E-2</v>
      </c>
      <c r="N514" s="81">
        <f t="shared" si="5394"/>
        <v>2.2364217252396124E-2</v>
      </c>
      <c r="O514" s="81">
        <f t="shared" si="5394"/>
        <v>6.5625000000000044E-2</v>
      </c>
      <c r="P514" s="81">
        <f t="shared" si="5394"/>
        <v>0.30205278592375362</v>
      </c>
      <c r="Q514" s="81">
        <f t="shared" si="5394"/>
        <v>-4.9549549549549599E-2</v>
      </c>
      <c r="R514" s="81">
        <f t="shared" si="5394"/>
        <v>-0.13270142180094791</v>
      </c>
      <c r="S514" s="81">
        <f t="shared" si="5394"/>
        <v>-5.464480874316946E-3</v>
      </c>
      <c r="T514" s="81">
        <f t="shared" si="5394"/>
        <v>5.7692307692307709E-2</v>
      </c>
      <c r="U514" s="81">
        <f t="shared" si="5394"/>
        <v>0.1506493506493507</v>
      </c>
      <c r="V514" s="81">
        <f t="shared" si="5394"/>
        <v>-0.43340857787810383</v>
      </c>
      <c r="W514" s="81">
        <f t="shared" si="5394"/>
        <v>1.1155378486055776</v>
      </c>
      <c r="X514" s="81">
        <f t="shared" si="5394"/>
        <v>-0.18644067796610164</v>
      </c>
      <c r="Y514" s="81">
        <f t="shared" si="5394"/>
        <v>0.1342592592592593</v>
      </c>
      <c r="Z514" s="81">
        <f t="shared" si="5394"/>
        <v>4.2857142857142927E-2</v>
      </c>
      <c r="AA514" s="81">
        <f t="shared" si="5394"/>
        <v>4.3052837573385627E-2</v>
      </c>
      <c r="AB514" s="81">
        <f t="shared" si="5394"/>
        <v>0.22889305816135086</v>
      </c>
      <c r="AC514" s="81">
        <f t="shared" si="5394"/>
        <v>0.14198473282442747</v>
      </c>
      <c r="AD514" s="81">
        <f t="shared" si="5394"/>
        <v>-0.1029411764705882</v>
      </c>
      <c r="AE514" s="81">
        <f t="shared" si="5394"/>
        <v>0.4351713859910582</v>
      </c>
      <c r="AF514" s="81">
        <f t="shared" si="5394"/>
        <v>8.3073727933540287E-3</v>
      </c>
      <c r="AG514" s="81">
        <f t="shared" si="5394"/>
        <v>-1.750772399588052E-2</v>
      </c>
      <c r="AH514" s="81">
        <f t="shared" si="5394"/>
        <v>8.595387840670865E-2</v>
      </c>
      <c r="AI514" s="341">
        <f t="shared" ref="AI514" si="5395">IF(ISERROR(AI472/AH472),"n.a.",AI472/AH472-1)</f>
        <v>2.2200772200772212E-2</v>
      </c>
      <c r="AJ514" s="81">
        <f t="shared" ref="AJ514" si="5396">IF(ISERROR(AJ472/AI472),"n.a.",AJ472/AI472-1)</f>
        <v>-0.17504556177560071</v>
      </c>
      <c r="AK514" s="81">
        <f t="shared" ref="AK514" si="5397">IF(ISERROR(AK472/AJ472),"n.a.",AK472/AJ472-1)</f>
        <v>0.25196601169393396</v>
      </c>
      <c r="AL514" s="81">
        <f t="shared" ref="AL514" si="5398">IF(ISERROR(AL472/AK472),"n.a.",AL472/AK472-1)</f>
        <v>-0.15015032517200633</v>
      </c>
      <c r="AM514" s="81">
        <f t="shared" ref="AM514" si="5399">IF(ISERROR(AM472/AL472),"n.a.",AM472/AL472-1)</f>
        <v>0.23038134992098147</v>
      </c>
      <c r="AN514" s="81">
        <f t="shared" ref="AN514" si="5400">IF(ISERROR(AN472/AM472),"n.a.",AN472/AM472-1)</f>
        <v>-0.16413341042676666</v>
      </c>
      <c r="AO514" s="81">
        <f t="shared" ref="AO514" si="5401">IF(ISERROR(AO472/AN472),"n.a.",AO472/AN472-1)</f>
        <v>0.17787999702858093</v>
      </c>
      <c r="AP514" s="81">
        <f t="shared" ref="AP514" si="5402">IF(ISERROR(AP472/AO472),"n.a.",AP472/AO472-1)</f>
        <v>-0.21498687359823843</v>
      </c>
      <c r="AQ514" s="81">
        <f t="shared" ref="AQ514" si="5403">IF(ISERROR(AQ472/AP472),"n.a.",AQ472/AP472-1)</f>
        <v>0.21360377189610347</v>
      </c>
      <c r="AR514" s="81">
        <f t="shared" ref="AR514" si="5404">IF(ISERROR(AR472/AQ472),"n.a.",AR472/AQ472-1)</f>
        <v>-0.25532708026379503</v>
      </c>
      <c r="AS514" s="8"/>
      <c r="AT514" s="50">
        <f>IF(ISERROR(AT472/T472),"n.a.",AT472/T472-1)</f>
        <v>-0.35584415584415585</v>
      </c>
      <c r="AU514" s="50">
        <f>IF(ISERROR(AU472/AT472),"n.a.",AU472/AT472-1)</f>
        <v>1.2620967741935485</v>
      </c>
      <c r="AV514" s="50">
        <f>IF(ISERROR(AV472/AU472),"n.a.",AV472/AU472-1)</f>
        <v>0.10338680926916211</v>
      </c>
      <c r="AW514" s="50">
        <f>IF(ISERROR(AW472/AV472),"n.a.",AW472/AV472-1)</f>
        <v>-1.9386106623586419E-2</v>
      </c>
      <c r="AX514" s="50">
        <f t="shared" ref="AX514:BB514" si="5405">IF(ISERROR(AX472/AW472),"n.a.",AX472/AW472-1)</f>
        <v>4.4481054365733019E-2</v>
      </c>
      <c r="AY514" s="50">
        <f t="shared" si="5405"/>
        <v>-1.577287066246047E-3</v>
      </c>
      <c r="AZ514" s="50">
        <f t="shared" si="5405"/>
        <v>0.2401263823064772</v>
      </c>
      <c r="BA514" s="50">
        <f t="shared" si="5405"/>
        <v>3.8216560509554132E-3</v>
      </c>
      <c r="BB514" s="50">
        <f t="shared" si="5405"/>
        <v>-4.949238578680204E-2</v>
      </c>
      <c r="BC514" s="50">
        <f t="shared" ref="BC514" si="5406">IF(ISERROR(BC472/BB472),"n.a.",BC472/BB472-1)</f>
        <v>-7.3431241655540713E-2</v>
      </c>
      <c r="BD514" s="50">
        <f t="shared" ref="BD514" si="5407">IF(ISERROR(BD472/BC472),"n.a.",BD472/BC472-1)</f>
        <v>0.38760806916426516</v>
      </c>
      <c r="BE514" s="50">
        <f t="shared" ref="BE514" si="5408">IF(ISERROR(BE472/BD472),"n.a.",BE472/BD472-1)</f>
        <v>3.9460020768431914E-2</v>
      </c>
      <c r="BF514" s="50">
        <f t="shared" ref="BF514" si="5409">IF(ISERROR(BF472/BE472),"n.a.",BF472/BE472-1)</f>
        <v>0.18681318681318682</v>
      </c>
      <c r="BG514" s="50">
        <f t="shared" ref="BG514" si="5410">IF(ISERROR(BG472/BF472),"n.a.",BG472/BF472-1)</f>
        <v>0.19444444444444442</v>
      </c>
      <c r="BH514" s="50">
        <f t="shared" ref="BH514:BM514" si="5411">IF(ISERROR(BH472/BG472),"n.a.",BH472/BG472-1)</f>
        <v>0.36293164200140948</v>
      </c>
      <c r="BI514" s="51">
        <f t="shared" si="5411"/>
        <v>2.8955532574974185E-2</v>
      </c>
      <c r="BJ514" s="50">
        <f t="shared" si="5411"/>
        <v>-2.8830778854452843E-2</v>
      </c>
      <c r="BK514" s="50">
        <f t="shared" si="5411"/>
        <v>4.6904130826836976E-2</v>
      </c>
      <c r="BL514" s="50">
        <f t="shared" si="5411"/>
        <v>3.7735163055182319E-2</v>
      </c>
      <c r="BM514" s="50">
        <f t="shared" si="5411"/>
        <v>-4.2721491624921781E-2</v>
      </c>
      <c r="BN514" s="50" t="str">
        <f>IF(ISERROR(BN472/#REF!),"n.a.",BN472/#REF!-1)</f>
        <v>n.a.</v>
      </c>
    </row>
    <row r="515" spans="1:66" ht="12" customHeight="1" outlineLevel="1">
      <c r="B515" s="1" t="s">
        <v>80</v>
      </c>
      <c r="C515" s="50">
        <f t="shared" ref="C515" si="5412">IF(ISERROR(-SUM(C470:C472)/C469),"n.a.",-SUM(C470:C472)/C469)</f>
        <v>-6.3240740740740744</v>
      </c>
      <c r="D515" s="50">
        <f t="shared" ref="D515:I515" si="5413">IF(ISERROR(-SUM(D470:D472)/D469),"n.a.",-SUM(D470:D472)/D469)</f>
        <v>-50.25</v>
      </c>
      <c r="E515" s="50">
        <f t="shared" si="5413"/>
        <v>2.1016042780748663</v>
      </c>
      <c r="F515" s="50">
        <f t="shared" si="5413"/>
        <v>-16</v>
      </c>
      <c r="G515" s="50">
        <f t="shared" si="5413"/>
        <v>117.75</v>
      </c>
      <c r="H515" s="50">
        <f t="shared" si="5413"/>
        <v>3.8449197860962565</v>
      </c>
      <c r="I515" s="50">
        <f t="shared" si="5413"/>
        <v>16.310344827586206</v>
      </c>
      <c r="J515" s="50">
        <f t="shared" ref="J515:O515" si="5414">IF(ISERROR(-SUM(J470:J472)/J469),"n.a.",-SUM(J470:J472)/J469)</f>
        <v>4.5785714285714283</v>
      </c>
      <c r="K515" s="50">
        <f t="shared" si="5414"/>
        <v>9.4848484848484844</v>
      </c>
      <c r="L515" s="50">
        <f t="shared" si="5414"/>
        <v>3.3198380566801617</v>
      </c>
      <c r="M515" s="81">
        <f t="shared" si="5414"/>
        <v>7.2072072072072073</v>
      </c>
      <c r="N515" s="81">
        <f t="shared" si="5414"/>
        <v>-136.14285714285714</v>
      </c>
      <c r="O515" s="81">
        <f t="shared" si="5414"/>
        <v>202.2</v>
      </c>
      <c r="P515" s="81">
        <f t="shared" ref="P515:Q515" si="5415">IF(ISERROR(-SUM(P470:P472)/P469),"n.a.",-SUM(P470:P472)/P469)</f>
        <v>3.4846625766871164</v>
      </c>
      <c r="Q515" s="81">
        <f t="shared" si="5415"/>
        <v>-0.70438799076212466</v>
      </c>
      <c r="R515" s="81">
        <f t="shared" ref="R515:S515" si="5416">IF(ISERROR(-SUM(R470:R472)/R469),"n.a.",-SUM(R470:R472)/R469)</f>
        <v>-0.89628820960698685</v>
      </c>
      <c r="S515" s="81">
        <f t="shared" si="5416"/>
        <v>-1.0719026548672566</v>
      </c>
      <c r="T515" s="81">
        <f t="shared" ref="T515:U515" si="5417">IF(ISERROR(-SUM(T470:T472)/T469),"n.a.",-SUM(T470:T472)/T469)</f>
        <v>-0.77923292797006549</v>
      </c>
      <c r="U515" s="81">
        <f t="shared" si="5417"/>
        <v>13.788732394366198</v>
      </c>
      <c r="V515" s="81">
        <f t="shared" ref="V515:W515" si="5418">IF(ISERROR(-SUM(V470:V472)/V469),"n.a.",-SUM(V470:V472)/V469)</f>
        <v>-89.733333333333334</v>
      </c>
      <c r="W515" s="81">
        <f t="shared" si="5418"/>
        <v>8.9767441860465116</v>
      </c>
      <c r="X515" s="81">
        <f t="shared" ref="X515:Y515" si="5419">IF(ISERROR(-SUM(X470:X472)/X469),"n.a.",-SUM(X470:X472)/X469)</f>
        <v>13.486842105263158</v>
      </c>
      <c r="Y515" s="81">
        <f t="shared" si="5419"/>
        <v>1013</v>
      </c>
      <c r="Z515" s="81">
        <f t="shared" ref="Z515:AA515" si="5420">IF(ISERROR(-SUM(Z470:Z472)/Z469),"n.a.",-SUM(Z470:Z472)/Z469)</f>
        <v>6.4279069767441861</v>
      </c>
      <c r="AA515" s="81">
        <f t="shared" si="5420"/>
        <v>11.453125</v>
      </c>
      <c r="AB515" s="81">
        <f t="shared" ref="AB515:AC515" si="5421">IF(ISERROR(-SUM(AB470:AB472)/AB469),"n.a.",-SUM(AB470:AB472)/AB469)</f>
        <v>-11.98581560283688</v>
      </c>
      <c r="AC515" s="81">
        <f t="shared" si="5421"/>
        <v>22.885714285714286</v>
      </c>
      <c r="AD515" s="81">
        <f t="shared" ref="AD515:AE515" si="5422">IF(ISERROR(-SUM(AD470:AD472)/AD469),"n.a.",-SUM(AD470:AD472)/AD469)</f>
        <v>10.244897959183673</v>
      </c>
      <c r="AE515" s="81">
        <f t="shared" si="5422"/>
        <v>2.8649237472766886</v>
      </c>
      <c r="AF515" s="81">
        <f t="shared" ref="AF515:AG515" si="5423">IF(ISERROR(-SUM(AF470:AF472)/AF469),"n.a.",-SUM(AF470:AF472)/AF469)</f>
        <v>2.9623352165725048</v>
      </c>
      <c r="AG515" s="81">
        <f t="shared" si="5423"/>
        <v>2.0975609756097562</v>
      </c>
      <c r="AH515" s="81">
        <f t="shared" ref="AH515" si="5424">IF(ISERROR(-SUM(AH470:AH472)/AH469),"n.a.",-SUM(AH470:AH472)/AH469)</f>
        <v>3.489795918367347</v>
      </c>
      <c r="AI515" s="341">
        <f t="shared" ref="AI515:AJ515" si="5425">IF(ISERROR(-SUM(AI470:AI472)/AI469),"n.a.",-SUM(AI470:AI472)/AI469)</f>
        <v>9.1736526946107784</v>
      </c>
      <c r="AJ515" s="81">
        <f t="shared" si="5425"/>
        <v>5.0264079510774842</v>
      </c>
      <c r="AK515" s="81">
        <f t="shared" ref="AK515:AL515" si="5426">IF(ISERROR(-SUM(AK470:AK472)/AK469),"n.a.",-SUM(AK470:AK472)/AK469)</f>
        <v>3.3864416767844876</v>
      </c>
      <c r="AL515" s="81">
        <f t="shared" si="5426"/>
        <v>4.1769745931999873</v>
      </c>
      <c r="AM515" s="81">
        <f t="shared" ref="AM515:AN515" si="5427">IF(ISERROR(-SUM(AM470:AM472)/AM469),"n.a.",-SUM(AM470:AM472)/AM469)</f>
        <v>3.7928339378349265</v>
      </c>
      <c r="AN515" s="81">
        <f t="shared" si="5427"/>
        <v>4.5447265289745298</v>
      </c>
      <c r="AO515" s="81">
        <f t="shared" ref="AO515:AP515" si="5428">IF(ISERROR(-SUM(AO470:AO472)/AO469),"n.a.",-SUM(AO470:AO472)/AO469)</f>
        <v>4.2357356784219746</v>
      </c>
      <c r="AP515" s="81">
        <f t="shared" si="5428"/>
        <v>5.1807414124743811</v>
      </c>
      <c r="AQ515" s="81">
        <f t="shared" ref="AQ515:AR515" si="5429">IF(ISERROR(-SUM(AQ470:AQ472)/AQ469),"n.a.",-SUM(AQ470:AQ472)/AQ469)</f>
        <v>4.7219218291860514</v>
      </c>
      <c r="AR515" s="81">
        <f t="shared" si="5429"/>
        <v>5.7612108226679393</v>
      </c>
      <c r="AS515" s="8"/>
      <c r="AT515" s="50">
        <f>IF(ISERROR(-SUM(AT470:AT472)/AT469),"n.a.",-SUM(AT470:AT472)/AT469)</f>
        <v>-10.716666666666667</v>
      </c>
      <c r="AU515" s="50">
        <f>IF(ISERROR(-SUM(AU470:AU472)/AU469),"n.a.",-SUM(AU470:AU472)/AU469)</f>
        <v>4.0890207715133533</v>
      </c>
      <c r="AV515" s="50">
        <f>IF(ISERROR(-SUM(AV470:AV472)/AV469),"n.a.",-SUM(AV470:AV472)/AV469)</f>
        <v>6.2303664921465964</v>
      </c>
      <c r="AW515" s="50">
        <f>IF(ISERROR(-SUM(AW470:AW472)/AW469),"n.a.",-SUM(AW470:AW472)/AW469)</f>
        <v>6.5917159763313613</v>
      </c>
      <c r="AX515" s="50">
        <f t="shared" ref="AX515:BB515" si="5430">IF(ISERROR(-SUM(AX470:AX472)/AX469),"n.a.",-SUM(AX470:AX472)/AX469)</f>
        <v>4.619808306709265</v>
      </c>
      <c r="AY515" s="50">
        <f t="shared" si="5430"/>
        <v>16.85576923076923</v>
      </c>
      <c r="AZ515" s="50">
        <f t="shared" si="5430"/>
        <v>9.3988095238095237</v>
      </c>
      <c r="BA515" s="50">
        <f t="shared" si="5430"/>
        <v>-0.78374717832957108</v>
      </c>
      <c r="BB515" s="50">
        <f t="shared" si="5430"/>
        <v>-0.91332995438418652</v>
      </c>
      <c r="BC515" s="50">
        <f t="shared" ref="BC515:BH515" si="5431">IF(ISERROR(-SUM(BC470:BC472)/BC469),"n.a.",-SUM(BC470:BC472)/BC469)</f>
        <v>41.517857142857146</v>
      </c>
      <c r="BD515" s="50">
        <f t="shared" si="5431"/>
        <v>10.648780487804878</v>
      </c>
      <c r="BE515" s="50">
        <f t="shared" si="5431"/>
        <v>11.087962962962964</v>
      </c>
      <c r="BF515" s="50">
        <f t="shared" si="5431"/>
        <v>-242.76923076923077</v>
      </c>
      <c r="BG515" s="50">
        <f t="shared" si="5431"/>
        <v>13.571428571428571</v>
      </c>
      <c r="BH515" s="50">
        <f t="shared" si="5431"/>
        <v>2.9171717171717173</v>
      </c>
      <c r="BI515" s="51">
        <f t="shared" ref="BI515" si="5432">IF(ISERROR(-SUM(BI470:BI472)/BI469),"n.a.",-SUM(BI470:BI472)/BI469)</f>
        <v>2.6572470373746579</v>
      </c>
      <c r="BJ515" s="50">
        <f t="shared" ref="BJ515:BK515" si="5433">IF(ISERROR(-SUM(BJ470:BJ472)/BJ469),"n.a.",-SUM(BJ470:BJ472)/BJ469)</f>
        <v>6.3693421876952652</v>
      </c>
      <c r="BK515" s="50">
        <f t="shared" si="5433"/>
        <v>3.7735829014120106</v>
      </c>
      <c r="BL515" s="50">
        <f t="shared" ref="BL515" si="5434">IF(ISERROR(-SUM(BL470:BL472)/BL469),"n.a.",-SUM(BL470:BL472)/BL469)</f>
        <v>4.166250762622556</v>
      </c>
      <c r="BM515" s="50">
        <f t="shared" ref="BM515" si="5435">IF(ISERROR(-SUM(BM470:BM472)/BM469),"n.a.",-SUM(BM470:BM472)/BM469)</f>
        <v>4.7038866087738098</v>
      </c>
      <c r="BN515" s="50">
        <f t="shared" ref="BN515" si="5436">IF(ISERROR(-SUM(BN470:BN472)/BN469),"n.a.",-SUM(BN470:BN472)/BN469)</f>
        <v>5.2364564266184281</v>
      </c>
    </row>
    <row r="516" spans="1:66" ht="12" customHeight="1" outlineLevel="1">
      <c r="B516" s="1" t="s">
        <v>81</v>
      </c>
      <c r="C516" s="70">
        <f t="shared" ref="C516:I516" si="5437">IF(ISERROR(C489/C490),"n.a.",C489/C490)</f>
        <v>9.0172976809051946</v>
      </c>
      <c r="D516" s="70">
        <f t="shared" si="5437"/>
        <v>6.9499784035317331</v>
      </c>
      <c r="E516" s="70">
        <f t="shared" si="5437"/>
        <v>9.1864038555074021</v>
      </c>
      <c r="F516" s="70">
        <f t="shared" si="5437"/>
        <v>7.9281969403372443</v>
      </c>
      <c r="G516" s="70">
        <f t="shared" si="5437"/>
        <v>9.239579803456456</v>
      </c>
      <c r="H516" s="70">
        <f t="shared" si="5437"/>
        <v>12.016974538192711</v>
      </c>
      <c r="I516" s="70">
        <f t="shared" si="5437"/>
        <v>12.307366189719131</v>
      </c>
      <c r="J516" s="70">
        <f t="shared" ref="J516:O516" si="5438">IF(ISERROR(J489/J490),"n.a.",J489/J490)</f>
        <v>8.3538862353452021</v>
      </c>
      <c r="K516" s="70">
        <f t="shared" si="5438"/>
        <v>8.4392443108630317</v>
      </c>
      <c r="L516" s="70">
        <f t="shared" si="5438"/>
        <v>11.726858877086494</v>
      </c>
      <c r="M516" s="83">
        <f t="shared" si="5438"/>
        <v>11.116161616161616</v>
      </c>
      <c r="N516" s="83">
        <f t="shared" si="5438"/>
        <v>5.2328847279110589</v>
      </c>
      <c r="O516" s="83">
        <f t="shared" si="5438"/>
        <v>7.1334488734835357</v>
      </c>
      <c r="P516" s="83">
        <f t="shared" ref="P516:Q516" si="5439">IF(ISERROR(P489/P490),"n.a.",P489/P490)</f>
        <v>5.070778145695364</v>
      </c>
      <c r="Q516" s="83">
        <f t="shared" si="5439"/>
        <v>4.1164545025931165</v>
      </c>
      <c r="R516" s="83">
        <f t="shared" ref="R516:S516" si="5440">IF(ISERROR(R489/R490),"n.a.",R489/R490)</f>
        <v>3.3672549755914383</v>
      </c>
      <c r="S516" s="83">
        <f t="shared" si="5440"/>
        <v>6.5078929306794784</v>
      </c>
      <c r="T516" s="83">
        <f t="shared" ref="T516:U516" si="5441">IF(ISERROR(T489/T490),"n.a.",T489/T490)</f>
        <v>5.4219653179190752</v>
      </c>
      <c r="U516" s="83">
        <f t="shared" si="5441"/>
        <v>17.673214285714284</v>
      </c>
      <c r="V516" s="83">
        <f t="shared" ref="V516:W516" si="5442">IF(ISERROR(V489/V490),"n.a.",V489/V490)</f>
        <v>3.8279608837377772</v>
      </c>
      <c r="W516" s="83">
        <f t="shared" si="5442"/>
        <v>6.0987736161750083</v>
      </c>
      <c r="X516" s="83">
        <f t="shared" ref="X516:Y516" si="5443">IF(ISERROR(X489/X490),"n.a.",X489/X490)</f>
        <v>5.2296142894123738</v>
      </c>
      <c r="Y516" s="83">
        <f t="shared" si="5443"/>
        <v>3.5788761002031144</v>
      </c>
      <c r="Z516" s="83">
        <f t="shared" ref="Z516:AA516" si="5444">IF(ISERROR(Z489/Z490),"n.a.",Z489/Z490)</f>
        <v>6.3421052631578947</v>
      </c>
      <c r="AA516" s="83">
        <f t="shared" si="5444"/>
        <v>11.482909728308501</v>
      </c>
      <c r="AB516" s="83">
        <f t="shared" ref="AB516:AC516" si="5445">IF(ISERROR(AB489/AB490),"n.a.",AB489/AB490)</f>
        <v>11.052747555433136</v>
      </c>
      <c r="AC516" s="83">
        <f t="shared" si="5445"/>
        <v>11.062307975912498</v>
      </c>
      <c r="AD516" s="83">
        <f t="shared" ref="AD516:AE516" si="5446">IF(ISERROR(AD489/AD490),"n.a.",AD489/AD490)</f>
        <v>8.8189237137788297</v>
      </c>
      <c r="AE516" s="83">
        <f t="shared" si="5446"/>
        <v>11.160865057028589</v>
      </c>
      <c r="AF516" s="83">
        <f t="shared" ref="AF516:AG516" si="5447">IF(ISERROR(AF489/AF490),"n.a.",AF489/AF490)</f>
        <v>11.13646272344136</v>
      </c>
      <c r="AG516" s="83">
        <f t="shared" si="5447"/>
        <v>13.950602163706879</v>
      </c>
      <c r="AH516" s="83">
        <f t="shared" ref="AH516" si="5448">IF(ISERROR(AH489/AH490),"n.a.",AH489/AH490)</f>
        <v>14.404156577885391</v>
      </c>
      <c r="AI516" s="370">
        <f t="shared" ref="AI516:AJ516" si="5449">IF(ISERROR(AI489/AI490),"n.a.",AI489/AI490)</f>
        <v>17.20064205457464</v>
      </c>
      <c r="AJ516" s="83">
        <f t="shared" si="5449"/>
        <v>11.705922643304095</v>
      </c>
      <c r="AK516" s="83">
        <f t="shared" ref="AK516:AL516" si="5450">IF(ISERROR(AK489/AK490),"n.a.",AK489/AK490)</f>
        <v>14.317767955017267</v>
      </c>
      <c r="AL516" s="83">
        <f t="shared" si="5450"/>
        <v>15.835167923503104</v>
      </c>
      <c r="AM516" s="83">
        <f t="shared" ref="AM516:AN516" si="5451">IF(ISERROR(AM489/AM490),"n.a.",AM489/AM490)</f>
        <v>16.901884211450483</v>
      </c>
      <c r="AN516" s="83">
        <f t="shared" si="5451"/>
        <v>16.014515790350963</v>
      </c>
      <c r="AO516" s="83">
        <f t="shared" ref="AO516:AP516" si="5452">IF(ISERROR(AO489/AO490),"n.a.",AO489/AO490)</f>
        <v>16.792030397132944</v>
      </c>
      <c r="AP516" s="83">
        <f t="shared" si="5452"/>
        <v>15.473568179412233</v>
      </c>
      <c r="AQ516" s="83">
        <f t="shared" ref="AQ516:AR516" si="5453">IF(ISERROR(AQ489/AQ490),"n.a.",AQ489/AQ490)</f>
        <v>15.511194790282776</v>
      </c>
      <c r="AR516" s="83">
        <f t="shared" si="5453"/>
        <v>14.580097785268325</v>
      </c>
      <c r="AS516" s="8"/>
      <c r="AT516" s="70">
        <f>IF(ISERROR(AT489/AT490),"n.a.",AT489/AT490)</f>
        <v>6.9499784035317331</v>
      </c>
      <c r="AU516" s="70">
        <f>IF(ISERROR(AU489/AU490),"n.a.",AU489/AU490)</f>
        <v>7.9281969403372443</v>
      </c>
      <c r="AV516" s="70">
        <f>IF(ISERROR(AV489/AV490),"n.a.",AV489/AV490)</f>
        <v>12.016974538192711</v>
      </c>
      <c r="AW516" s="70">
        <f>IF(ISERROR(AW489/AW490),"n.a.",AW489/AW490)</f>
        <v>8.3538862353452021</v>
      </c>
      <c r="AX516" s="70">
        <f t="shared" ref="AX516:BB516" si="5454">IF(ISERROR(AX489/AX490),"n.a.",AX489/AX490)</f>
        <v>11.726858877086494</v>
      </c>
      <c r="AY516" s="70">
        <f t="shared" si="5454"/>
        <v>5.2328847279110589</v>
      </c>
      <c r="AZ516" s="70">
        <f t="shared" si="5454"/>
        <v>5.070778145695364</v>
      </c>
      <c r="BA516" s="70">
        <f t="shared" si="5454"/>
        <v>3.3672549755914383</v>
      </c>
      <c r="BB516" s="70">
        <f t="shared" si="5454"/>
        <v>5.4219653179190752</v>
      </c>
      <c r="BC516" s="70">
        <f t="shared" ref="BC516:BH516" si="5455">IF(ISERROR(BC489/BC490),"n.a.",BC489/BC490)</f>
        <v>3.8279608837377772</v>
      </c>
      <c r="BD516" s="70">
        <f t="shared" si="5455"/>
        <v>5.2296142894123738</v>
      </c>
      <c r="BE516" s="70">
        <f t="shared" si="5455"/>
        <v>6.3421052631578947</v>
      </c>
      <c r="BF516" s="70">
        <f t="shared" si="5455"/>
        <v>11.052747555433136</v>
      </c>
      <c r="BG516" s="70">
        <f t="shared" si="5455"/>
        <v>8.8189237137788297</v>
      </c>
      <c r="BH516" s="70">
        <f t="shared" si="5455"/>
        <v>11.13646272344136</v>
      </c>
      <c r="BI516" s="71">
        <f t="shared" ref="BI516" si="5456">IF(ISERROR(BI489/BI490),"n.a.",BI489/BI490)</f>
        <v>14.404156577885391</v>
      </c>
      <c r="BJ516" s="70">
        <f t="shared" ref="BJ516:BK516" si="5457">IF(ISERROR(BJ489/BJ490),"n.a.",BJ489/BJ490)</f>
        <v>11.705922643304095</v>
      </c>
      <c r="BK516" s="70">
        <f t="shared" si="5457"/>
        <v>15.835167923503104</v>
      </c>
      <c r="BL516" s="70">
        <f t="shared" ref="BL516" si="5458">IF(ISERROR(BL489/BL490),"n.a.",BL489/BL490)</f>
        <v>16.014515790350963</v>
      </c>
      <c r="BM516" s="70">
        <f t="shared" ref="BM516" si="5459">IF(ISERROR(BM489/BM490),"n.a.",BM489/BM490)</f>
        <v>15.473568179412233</v>
      </c>
      <c r="BN516" s="70">
        <f t="shared" ref="BN516" si="5460">IF(ISERROR(BN489/BN490),"n.a.",BN489/BN490)</f>
        <v>14.580097785268325</v>
      </c>
    </row>
    <row r="517" spans="1:66" ht="12" customHeight="1" outlineLevel="1">
      <c r="B517" s="1" t="s">
        <v>27</v>
      </c>
      <c r="C517" s="84" t="s">
        <v>55</v>
      </c>
      <c r="D517" s="84" t="s">
        <v>55</v>
      </c>
      <c r="E517" s="84" t="s">
        <v>55</v>
      </c>
      <c r="F517" s="84" t="s">
        <v>55</v>
      </c>
      <c r="G517" s="84" t="s">
        <v>55</v>
      </c>
      <c r="H517" s="84" t="s">
        <v>55</v>
      </c>
      <c r="I517" s="84" t="s">
        <v>55</v>
      </c>
      <c r="J517" s="84" t="s">
        <v>55</v>
      </c>
      <c r="K517" s="84" t="s">
        <v>55</v>
      </c>
      <c r="L517" s="84" t="s">
        <v>55</v>
      </c>
      <c r="M517" s="84" t="s">
        <v>55</v>
      </c>
      <c r="N517" s="84" t="s">
        <v>55</v>
      </c>
      <c r="O517" s="84" t="s">
        <v>55</v>
      </c>
      <c r="P517" s="84" t="s">
        <v>55</v>
      </c>
      <c r="Q517" s="84" t="s">
        <v>55</v>
      </c>
      <c r="R517" s="84" t="s">
        <v>55</v>
      </c>
      <c r="S517" s="84" t="s">
        <v>55</v>
      </c>
      <c r="T517" s="84" t="s">
        <v>55</v>
      </c>
      <c r="U517" s="84" t="s">
        <v>55</v>
      </c>
      <c r="V517" s="84" t="s">
        <v>55</v>
      </c>
      <c r="W517" s="84" t="s">
        <v>55</v>
      </c>
      <c r="X517" s="84" t="s">
        <v>55</v>
      </c>
      <c r="Y517" s="84" t="s">
        <v>55</v>
      </c>
      <c r="Z517" s="84" t="s">
        <v>55</v>
      </c>
      <c r="AA517" s="84" t="s">
        <v>55</v>
      </c>
      <c r="AB517" s="84" t="s">
        <v>55</v>
      </c>
      <c r="AC517" s="84" t="s">
        <v>55</v>
      </c>
      <c r="AD517" s="84" t="s">
        <v>55</v>
      </c>
      <c r="AE517" s="84" t="s">
        <v>55</v>
      </c>
      <c r="AF517" s="84" t="s">
        <v>55</v>
      </c>
      <c r="AG517" s="84" t="s">
        <v>55</v>
      </c>
      <c r="AH517" s="84" t="s">
        <v>55</v>
      </c>
      <c r="AI517" s="45" t="s">
        <v>55</v>
      </c>
      <c r="AJ517" s="84" t="s">
        <v>55</v>
      </c>
      <c r="AK517" s="84" t="s">
        <v>55</v>
      </c>
      <c r="AL517" s="84" t="s">
        <v>55</v>
      </c>
      <c r="AM517" s="84" t="s">
        <v>55</v>
      </c>
      <c r="AN517" s="84" t="s">
        <v>55</v>
      </c>
      <c r="AO517" s="84" t="s">
        <v>55</v>
      </c>
      <c r="AP517" s="84" t="s">
        <v>55</v>
      </c>
      <c r="AQ517" s="84" t="s">
        <v>55</v>
      </c>
      <c r="AR517" s="84" t="s">
        <v>55</v>
      </c>
      <c r="AT517" s="84" t="s">
        <v>55</v>
      </c>
      <c r="AU517" s="84" t="s">
        <v>55</v>
      </c>
      <c r="AV517" s="84" t="s">
        <v>55</v>
      </c>
      <c r="AW517" s="84" t="s">
        <v>55</v>
      </c>
      <c r="AX517" s="84" t="s">
        <v>55</v>
      </c>
      <c r="AY517" s="84" t="s">
        <v>55</v>
      </c>
      <c r="AZ517" s="84" t="s">
        <v>55</v>
      </c>
      <c r="BA517" s="84" t="s">
        <v>55</v>
      </c>
      <c r="BB517" s="84" t="s">
        <v>55</v>
      </c>
      <c r="BC517" s="84" t="s">
        <v>55</v>
      </c>
      <c r="BD517" s="84" t="s">
        <v>55</v>
      </c>
      <c r="BE517" s="84" t="s">
        <v>55</v>
      </c>
      <c r="BF517" s="84" t="s">
        <v>55</v>
      </c>
      <c r="BG517" s="84" t="s">
        <v>55</v>
      </c>
      <c r="BH517" s="84" t="s">
        <v>55</v>
      </c>
      <c r="BI517" s="45" t="s">
        <v>55</v>
      </c>
      <c r="BJ517" s="84" t="s">
        <v>55</v>
      </c>
      <c r="BK517" s="84" t="s">
        <v>55</v>
      </c>
      <c r="BL517" s="84" t="s">
        <v>55</v>
      </c>
      <c r="BM517" s="84" t="s">
        <v>55</v>
      </c>
      <c r="BN517" s="84" t="s">
        <v>55</v>
      </c>
    </row>
    <row r="518" spans="1:66" ht="12" customHeight="1" outlineLevel="1">
      <c r="B518" s="1" t="s">
        <v>28</v>
      </c>
      <c r="C518" s="85">
        <f t="shared" ref="C518:AR518" si="5461">C67</f>
        <v>6.9902912621359226E-2</v>
      </c>
      <c r="D518" s="85">
        <f t="shared" si="5461"/>
        <v>0.22418478260869565</v>
      </c>
      <c r="E518" s="85">
        <f t="shared" si="5461"/>
        <v>0.17418032786885246</v>
      </c>
      <c r="F518" s="85">
        <f t="shared" si="5461"/>
        <v>0.26266666666666666</v>
      </c>
      <c r="G518" s="85">
        <f t="shared" si="5461"/>
        <v>0.25970873786407767</v>
      </c>
      <c r="H518" s="85">
        <f t="shared" si="5461"/>
        <v>0.2975206611570248</v>
      </c>
      <c r="I518" s="85">
        <f t="shared" si="5461"/>
        <v>0.30174081237911027</v>
      </c>
      <c r="J518" s="85">
        <f t="shared" si="5461"/>
        <v>0.43483275663206461</v>
      </c>
      <c r="K518" s="85">
        <f t="shared" si="5461"/>
        <v>0.37995049504950495</v>
      </c>
      <c r="L518" s="85">
        <f t="shared" si="5461"/>
        <v>0.40498442367601245</v>
      </c>
      <c r="M518" s="85">
        <f t="shared" si="5461"/>
        <v>0.38918918918918921</v>
      </c>
      <c r="N518" s="85">
        <f t="shared" si="5461"/>
        <v>0.33524766690595836</v>
      </c>
      <c r="O518" s="85">
        <f t="shared" si="5461"/>
        <v>0.33124999999999999</v>
      </c>
      <c r="P518" s="85">
        <f t="shared" si="5461"/>
        <v>0.28561151079136693</v>
      </c>
      <c r="Q518" s="85">
        <f t="shared" si="5461"/>
        <v>0.29435483870967744</v>
      </c>
      <c r="R518" s="85">
        <f t="shared" si="5461"/>
        <v>0.26925485284909206</v>
      </c>
      <c r="S518" s="85">
        <f t="shared" si="5461"/>
        <v>0.26415094339622641</v>
      </c>
      <c r="T518" s="85">
        <f t="shared" si="5461"/>
        <v>0.24942660550458715</v>
      </c>
      <c r="U518" s="85">
        <f t="shared" si="5461"/>
        <v>0.22209026128266032</v>
      </c>
      <c r="V518" s="85">
        <f t="shared" si="5461"/>
        <v>0.23197060174552137</v>
      </c>
      <c r="W518" s="85">
        <f t="shared" si="5461"/>
        <v>0.20512820512820512</v>
      </c>
      <c r="X518" s="85">
        <f t="shared" si="5461"/>
        <v>0.21648216482164823</v>
      </c>
      <c r="Y518" s="85">
        <f t="shared" si="5461"/>
        <v>0.21825396825396826</v>
      </c>
      <c r="Z518" s="85">
        <f t="shared" si="5461"/>
        <v>0.23511680482290881</v>
      </c>
      <c r="AA518" s="85">
        <f t="shared" si="5461"/>
        <v>0.22789115646258504</v>
      </c>
      <c r="AB518" s="85">
        <f t="shared" si="5461"/>
        <v>0.26961053208996161</v>
      </c>
      <c r="AC518" s="85">
        <f t="shared" si="5461"/>
        <v>0.24177631578947367</v>
      </c>
      <c r="AD518" s="85">
        <f t="shared" si="5461"/>
        <v>0.27458396369137672</v>
      </c>
      <c r="AE518" s="85">
        <f t="shared" si="5461"/>
        <v>0.29320679320679321</v>
      </c>
      <c r="AF518" s="85">
        <f t="shared" si="5461"/>
        <v>0.25044468160796868</v>
      </c>
      <c r="AG518" s="85">
        <f t="shared" si="5461"/>
        <v>0.29852045256744997</v>
      </c>
      <c r="AH518" s="85">
        <f t="shared" si="5461"/>
        <v>0.23332118118847978</v>
      </c>
      <c r="AI518" s="86">
        <f t="shared" si="5461"/>
        <v>0.31780708985985162</v>
      </c>
      <c r="AJ518" s="85">
        <f t="shared" si="5461"/>
        <v>0.3</v>
      </c>
      <c r="AK518" s="85">
        <f t="shared" si="5461"/>
        <v>0.3</v>
      </c>
      <c r="AL518" s="85">
        <f t="shared" si="5461"/>
        <v>0.23</v>
      </c>
      <c r="AM518" s="85">
        <f t="shared" si="5461"/>
        <v>0.3</v>
      </c>
      <c r="AN518" s="85">
        <f t="shared" si="5461"/>
        <v>0.23</v>
      </c>
      <c r="AO518" s="85">
        <f t="shared" si="5461"/>
        <v>0.3</v>
      </c>
      <c r="AP518" s="85">
        <f t="shared" si="5461"/>
        <v>0.23</v>
      </c>
      <c r="AQ518" s="85">
        <f t="shared" si="5461"/>
        <v>0.3</v>
      </c>
      <c r="AR518" s="85">
        <f t="shared" si="5461"/>
        <v>0.23</v>
      </c>
      <c r="AT518" s="85">
        <f t="shared" ref="AT518:BN518" si="5462">AT67</f>
        <v>0.16067146282973621</v>
      </c>
      <c r="AU518" s="85">
        <f t="shared" si="5462"/>
        <v>0.22778675282714056</v>
      </c>
      <c r="AV518" s="85">
        <f t="shared" si="5462"/>
        <v>0.28220255653883974</v>
      </c>
      <c r="AW518" s="85">
        <f t="shared" si="5462"/>
        <v>0.38511560693641617</v>
      </c>
      <c r="AX518" s="85">
        <f t="shared" si="5462"/>
        <v>0.39531548757170171</v>
      </c>
      <c r="AY518" s="85">
        <f t="shared" si="5462"/>
        <v>0.35916899720335599</v>
      </c>
      <c r="AZ518" s="85">
        <f t="shared" si="5462"/>
        <v>0.31003344481605349</v>
      </c>
      <c r="BA518" s="85">
        <f t="shared" si="5462"/>
        <v>0.2813614262560778</v>
      </c>
      <c r="BB518" s="85">
        <f t="shared" si="5462"/>
        <v>0.25668604651162791</v>
      </c>
      <c r="BC518" s="85">
        <f t="shared" si="5462"/>
        <v>0.22766122766122765</v>
      </c>
      <c r="BD518" s="85">
        <f t="shared" si="5462"/>
        <v>0.21046545244290257</v>
      </c>
      <c r="BE518" s="85">
        <f t="shared" si="5462"/>
        <v>0.22968829841594277</v>
      </c>
      <c r="BF518" s="85">
        <f t="shared" si="5462"/>
        <v>0.25206611570247933</v>
      </c>
      <c r="BG518" s="85">
        <f t="shared" si="5462"/>
        <v>0.2603482729089352</v>
      </c>
      <c r="BH518" s="85">
        <f t="shared" si="5462"/>
        <v>0.26823187201329735</v>
      </c>
      <c r="BI518" s="86">
        <f t="shared" si="5462"/>
        <v>0.26304304701448128</v>
      </c>
      <c r="BJ518" s="85">
        <f t="shared" si="5462"/>
        <v>0.30848810037815927</v>
      </c>
      <c r="BK518" s="85">
        <f t="shared" si="5462"/>
        <v>0.26635498139670677</v>
      </c>
      <c r="BL518" s="85">
        <f t="shared" si="5462"/>
        <v>0.26569619023226021</v>
      </c>
      <c r="BM518" s="85">
        <f t="shared" si="5462"/>
        <v>0.26584345066739867</v>
      </c>
      <c r="BN518" s="85">
        <f t="shared" si="5462"/>
        <v>0.26624186789075482</v>
      </c>
    </row>
    <row r="519" spans="1:66" ht="12" customHeight="1" outlineLevel="1">
      <c r="B519" s="1" t="s">
        <v>26</v>
      </c>
      <c r="C519" s="28">
        <v>0</v>
      </c>
      <c r="D519" s="28">
        <v>0</v>
      </c>
      <c r="E519" s="28">
        <v>0</v>
      </c>
      <c r="F519" s="28">
        <v>0</v>
      </c>
      <c r="G519" s="28">
        <v>0</v>
      </c>
      <c r="H519" s="28">
        <v>0</v>
      </c>
      <c r="I519" s="28">
        <v>0</v>
      </c>
      <c r="J519" s="28">
        <v>0</v>
      </c>
      <c r="K519" s="28">
        <f>((K36-(19%*SUM(AVERAGE(J114:K114),AVERAGE(J701:K701),AVERAGE(J192:K192)) + 6%*SUM(AVERAGE(J559:K559),AVERAGE(J629:K629),AVERAGE(J344:K344)))/K$5)/AVERAGE(J490:K490))*K$5</f>
        <v>-0.10653614201987595</v>
      </c>
      <c r="L519" s="28">
        <f>(L36-((20%*SUM(AVERAGE(AW114:AX114),AVERAGE(AW701:AX701),AVERAGE(AW192:AX192))/AX$5) + (-19%*SUM(AVERAGE(J114:K114),AVERAGE(J701:K701),AVERAGE(J192:K192))/K$5)) - ((11%*SUM(AVERAGE(AW415:AX415))/AX$5) + (-6%*SUM(AVERAGE(J415:K415)) / K$5))) * L$5 / AVERAGE(K490:L490)</f>
        <v>-0.16364345826917798</v>
      </c>
      <c r="M519" s="29">
        <f>((M36-(24%*SUM(AVERAGE(L114:M114),AVERAGE(L701:M701),AVERAGE(L192:M192)) + 7%*SUM(AVERAGE(L559:M559),AVERAGE(L629:M629),AVERAGE(L344:M344)))/M$5)/AVERAGE(L490:M490))*M$5</f>
        <v>-0.34289854248941681</v>
      </c>
      <c r="N519" s="28">
        <f>(N36-((23%*SUM(AVERAGE(AX114:AY114),AVERAGE(AX701:AY701),AVERAGE(AX192:AY192))/AY$5) + (-24%*SUM(AVERAGE(L114:M114),AVERAGE(L701:M701),AVERAGE(L192:M192))/M$5)) - ((13%*SUM(AVERAGE(AX415:AY415))/AY$5) + (-7%*SUM(AVERAGE(L415:M415)) / M$5))) * N$5 / AVERAGE(M490:N490)</f>
        <v>-0.46382054403543832</v>
      </c>
      <c r="O519" s="29">
        <f>((O36-(30%*SUM(AVERAGE(N114:O114),AVERAGE(N701:O701),AVERAGE(N192:O192)) + 13%*SUM(AVERAGE(N559:O559),AVERAGE(N629:O629),AVERAGE(N344:O344)))/O$5)/AVERAGE(N490:O490))*O$5</f>
        <v>-0.45552325581395348</v>
      </c>
      <c r="P519" s="28">
        <f>(P36-((23%*SUM(AVERAGE(AY114:AZ114),AVERAGE(AY701:AZ701),AVERAGE(AY192:AZ192))/AZ$5) + (-30%*SUM(AVERAGE(N114:O114),AVERAGE(N701:O701),AVERAGE(N192:O192))/O$5)) - ((13%*SUM(AVERAGE(AY415:AZ415))/AZ$5) + (-13%*SUM(AVERAGE(N415:O415)) / O$5))) * P$5 / AVERAGE(O490:P490)</f>
        <v>5.4256088738847359E-2</v>
      </c>
      <c r="Q519" s="28">
        <f>((Q36-(22%*SUM(AVERAGE(P114:Q114),AVERAGE(P701:Q701),AVERAGE(P192:Q192)) + 16%*SUM(AVERAGE(P415:Q415)))/Q$5)/AVERAGE(P490:Q490))*Q$5</f>
        <v>-0.19428596205335361</v>
      </c>
      <c r="R519" s="28">
        <f>(R36-((22%*SUM(AVERAGE(AZ114:BA114),AVERAGE(AZ701:BA701),AVERAGE(AZ192:BA192))/BA$5) + (-22%*SUM(AVERAGE(P114:Q114),AVERAGE(P701:Q701),AVERAGE(P192:Q192))/Q$5)) - ((15%*SUM(AVERAGE(AZ415:BA415))/BA$5) + (-16%*SUM(AVERAGE(P415:Q415)) / Q$5))) * R$5 / AVERAGE(Q490:R490)</f>
        <v>-4.6974346723510599E-2</v>
      </c>
      <c r="S519" s="28">
        <f>((S36-(28%*SUM(AVERAGE(R114:S114),AVERAGE(R701:S701),AVERAGE(R192:S192)) + 11%*SUM(AVERAGE(R415:S415)))/S$5)/AVERAGE(R490:S490))*S$5</f>
        <v>-0.20452411268502302</v>
      </c>
      <c r="T519" s="28">
        <f>(T36-((23%*SUM(AVERAGE(BA114:BB114),AVERAGE(BA701:BB701),AVERAGE(BA192:BB192))/BB$5) + (-28%*SUM(AVERAGE(R114:S114),AVERAGE(R701:S701),AVERAGE(R192:S192))/S$5)) - ((15%*SUM(AVERAGE(BA415:BB415))/BB$5) + (-11%*SUM(AVERAGE(R415:S415)) / S$5))) * T$5 / AVERAGE(S490:T490)</f>
        <v>3.6423430584014019E-3</v>
      </c>
      <c r="U519" s="28">
        <f>((U36-(19%*SUM(AVERAGE(T114:U114),AVERAGE(T701:U701),AVERAGE(T192:U192)) + 19%*SUM(AVERAGE(T415:U415)))/U$5)/AVERAGE(T490:U490))*U$5</f>
        <v>-0.29585117614110096</v>
      </c>
      <c r="V519" s="28">
        <f>(V36-((22%*SUM(AVERAGE(BB114:BC114),AVERAGE(BB701:BC701),AVERAGE(BB192:BC192))/BC$5) + (-19%*SUM(AVERAGE(T114:U114),AVERAGE(T701:U701),AVERAGE(T192:U192))/U$5)) - ((23%*SUM(AVERAGE(BB415:BC415))/BC$5) + (-19%*SUM(AVERAGE(T415:U415)) / U$5))) * V$5 / AVERAGE(U490:V490)</f>
        <v>-0.25112022982170717</v>
      </c>
      <c r="W519" s="28">
        <f>((W36-(24%*SUM(AVERAGE(V114:W114),AVERAGE(V701:W701),AVERAGE(V192:W192)) + 18%*SUM(AVERAGE(V415:W415)))/W$5)/AVERAGE(V490:W490))*W$5</f>
        <v>-0.13167965912470322</v>
      </c>
      <c r="X519" s="28">
        <f>(X36-((24%*SUM(AVERAGE(BC114:BD114),AVERAGE(BC701:BD701),AVERAGE(BC192:BD192))/BD$5) + (-24%*SUM(AVERAGE(W114:X114),AVERAGE(V701:W701),AVERAGE(W192:X192))/W$5)) - ((14%*SUM(AVERAGE(BC415:BD415))/BD$5) + (-18%*SUM(AVERAGE(W415:X415)) / W$5))) * X$5 / AVERAGE(W490:X490)</f>
        <v>3.2148706190632051E-2</v>
      </c>
      <c r="Y519" s="28">
        <f>((Y36-(24%*SUM(AVERAGE(X114:Y114),AVERAGE(X701:Y701),AVERAGE(X192:Y192)) + 10%*SUM(AVERAGE(X415:Y415)))/Y$5)/AVERAGE(X490:Y490))*Y$5</f>
        <v>-0.11961570231525984</v>
      </c>
      <c r="Z519" s="28">
        <f>(Z36-((23%*SUM(AVERAGE(BD114:BE114),AVERAGE(BD192:BE192))/BE$5) + (-24%*SUM(AVERAGE(Y114:Z114),AVERAGE(Y192:Z192))/Y$5)) - ((17%*SUM(AVERAGE(BD415:BE415))/BE$5) + (-10%*SUM(AVERAGE(Y415:Z415)) / Y$5))) * Z$5 / AVERAGE(Y490:Z490)</f>
        <v>8.7242540978570734E-4</v>
      </c>
      <c r="AA519" s="28">
        <f>((AA36-(24%*SUM(AVERAGE(Z114:AA114),AVERAGE(Z701:AA701),AVERAGE(Z192:AA192)) + 21%*SUM(AVERAGE(Z415:AA415)))/AA$5)/AVERAGE(Z490:AA490))*AA$5</f>
        <v>1.2922481323926083E-2</v>
      </c>
      <c r="AB519" s="28">
        <f>(AB36-((21%*SUM(AVERAGE(BE114:BF114),AVERAGE(BE192:BF192))/BF$5) + (-24%*SUM(AVERAGE(AA114:AB114),AVERAGE(AA192:AB192))/AA$5)) - ((30%*SUM(AVERAGE(BE415:BF415))/BF$5) + (-21%*SUM(AVERAGE(AA415:AB415)) / AA$5))) * AB$5 / AVERAGE(AA490:AB490)</f>
        <v>-4.3412401551937117E-3</v>
      </c>
      <c r="AC519" s="28">
        <f>((AC36-(22%*SUM(AVERAGE(AB114:AC114),AVERAGE(AB701:AC701),AVERAGE(AB192:AC192)) + 20%*SUM(AVERAGE(AB415:AC415)))/AC$5)/AVERAGE(AB490:AC490))*AC$5</f>
        <v>-6.0521663093000303E-3</v>
      </c>
      <c r="AD519" s="28">
        <f>(AD36-((18%*SUM(AVERAGE(BF114:BG114),AVERAGE(BF192:BG192))/BG$5) + (-22%*SUM(AVERAGE(AC114:AD114),AVERAGE(AC192:AD192))/AC$5)) - ((28%*SUM(AVERAGE(BF415:BG415))/BG$5) + (-20%*SUM(AVERAGE(AC415:AD415)) / AC$5))) * AD$5 / AVERAGE(AC490:AD490)</f>
        <v>-1.7196821982260926E-2</v>
      </c>
      <c r="AE519" s="28">
        <f>((AE36-(11%*SUM(AVERAGE(AD114:AE114),AVERAGE(AD701:AE701),AVERAGE(AD192:AE192)) + 13%*SUM(AVERAGE(AD415:AE415)))/AE$5)/AVERAGE(AD490:AE490))*AE$5</f>
        <v>-3.0251216625016442E-2</v>
      </c>
      <c r="AF519" s="28">
        <f>(AF36-((12%*SUM(AVERAGE(BH114:BI114),AVERAGE(BH192:BI192))/BI$5) + (-11%*SUM(AVERAGE(AE114:AF114),AVERAGE(AE192:AF192))/AE$5)) - ((16%*SUM(AVERAGE(BH415:BI415))/BI$5) + (-13%*SUM(AVERAGE(AE415:AF415)) / AE$5))) * AF$5 / AVERAGE(AE490:AF490)</f>
        <v>-0.11113556338028169</v>
      </c>
      <c r="AG519" s="28">
        <f>((AG36-(11%*SUM(AVERAGE(AF114:AG114),AVERAGE(AF701:AG701),AVERAGE(AF192:AG192)) + 13%*SUM(AVERAGE(AF415:AG415)))/AG$5)/AVERAGE(AF490:AG490))*AG$5</f>
        <v>-1.1003182201935332E-2</v>
      </c>
      <c r="AH519" s="28">
        <f>((AH36-(11%*SUM(AVERAGE(AG114:AH114),AVERAGE(AG701:AH701),AVERAGE(AG192:AH192)) + 13%*SUM(AVERAGE(AG415:AH415)))/AH$5)/AVERAGE(AG490:AH490))*AH$5</f>
        <v>0.14298426079247997</v>
      </c>
      <c r="AI519" s="411">
        <f t="shared" ref="AI519" si="5463">AI485/AVERAGE(AH490:AI490)*AI$5</f>
        <v>-0.28643216964582624</v>
      </c>
      <c r="AJ519" s="36">
        <f>AJ485/AVERAGE(AI490:AJ490)*AJ$5</f>
        <v>-0.14821101740440165</v>
      </c>
      <c r="AK519" s="36">
        <f t="shared" ref="AK519" si="5464">AK485/AVERAGE(AJ490:AK490)*AK$5</f>
        <v>-3.1956333136586759E-2</v>
      </c>
      <c r="AL519" s="36">
        <f>AL485/AVERAGE(AK490:AL490)*AL$5</f>
        <v>-9.5838440833217239E-3</v>
      </c>
      <c r="AM519" s="36">
        <f t="shared" ref="AM519" si="5465">AM485/AVERAGE(AL490:AM490)*AM$5</f>
        <v>-3.5365084580056563E-2</v>
      </c>
      <c r="AN519" s="36">
        <f>AN485/AVERAGE(AM490:AN490)*AN$5</f>
        <v>-8.2946739188158747E-3</v>
      </c>
      <c r="AO519" s="36">
        <f t="shared" ref="AO519" si="5466">AO485/AVERAGE(AN490:AO490)*AO$5</f>
        <v>-4.8213380653577942E-2</v>
      </c>
      <c r="AP519" s="36">
        <f>AP485/AVERAGE(AO490:AP490)*AP$5</f>
        <v>-2.9552320358176728E-2</v>
      </c>
      <c r="AQ519" s="36">
        <f t="shared" ref="AQ519" si="5467">AQ485/AVERAGE(AP490:AQ490)*AQ$5</f>
        <v>-6.2397066796540432E-2</v>
      </c>
      <c r="AR519" s="36">
        <f>AR485/AVERAGE(AQ490:AR490)*AR$5</f>
        <v>-4.6055953143674361E-2</v>
      </c>
      <c r="AT519" s="33"/>
      <c r="AU519" s="33"/>
      <c r="AV519" s="33">
        <f>AV485/AVERAGE(AU490:AV490)*AV$5</f>
        <v>0</v>
      </c>
      <c r="AW519" s="33">
        <f>AW485/AVERAGE(AV490:AW490)*AW$5</f>
        <v>0</v>
      </c>
      <c r="AX519" s="33">
        <f t="shared" ref="AX519:BB519" si="5468">AX485/AVERAGE(AW490:AX490)*AX$5</f>
        <v>-0.15051090858878763</v>
      </c>
      <c r="AY519" s="33">
        <f t="shared" si="5468"/>
        <v>-0.33729765444334325</v>
      </c>
      <c r="AZ519" s="33">
        <f t="shared" si="5468"/>
        <v>-0.16266666666666665</v>
      </c>
      <c r="BA519" s="33">
        <f t="shared" si="5468"/>
        <v>-0.10907658987989761</v>
      </c>
      <c r="BB519" s="33">
        <f t="shared" si="5468"/>
        <v>-9.8815165876777245E-2</v>
      </c>
      <c r="BC519" s="33">
        <f t="shared" ref="BC519" si="5469">BC485/AVERAGE(BB490:BC490)*BC$5</f>
        <v>-0.16902713175766051</v>
      </c>
      <c r="BD519" s="33">
        <f t="shared" ref="BD519" si="5470">BD485/AVERAGE(BC490:BD490)*BD$5</f>
        <v>-4.0735354153909158E-2</v>
      </c>
      <c r="BE519" s="33">
        <f t="shared" ref="BE519" si="5471">BE485/AVERAGE(BD490:BE490)*BE$5</f>
        <v>-6.173626607161832E-2</v>
      </c>
      <c r="BF519" s="33">
        <f t="shared" ref="BF519" si="5472">BF485/AVERAGE(BE490:BF490)*BF$5</f>
        <v>3.1163875571222797E-3</v>
      </c>
      <c r="BG519" s="33">
        <f t="shared" ref="BG519" si="5473">BG485/AVERAGE(BF490:BG490)*BG$5</f>
        <v>-3.7414100279969574E-2</v>
      </c>
      <c r="BH519" s="33">
        <f t="shared" ref="BH519:BJ519" si="5474">BH485/AVERAGE(BG490:BH490)*BH$5</f>
        <v>-1.5779864371413609E-2</v>
      </c>
      <c r="BI519" s="32">
        <f t="shared" si="5474"/>
        <v>-3.5144039874968322E-2</v>
      </c>
      <c r="BJ519" s="33">
        <f t="shared" si="5474"/>
        <v>-0.18398028502023606</v>
      </c>
      <c r="BK519" s="33">
        <f>BK485/AVERAGE(BK490:BK490)*BK$5</f>
        <v>-2.3088624863982419E-2</v>
      </c>
      <c r="BL519" s="33">
        <f>BL485/AVERAGE(BL490:BL490)*BL$5</f>
        <v>-2.0310495872770579E-2</v>
      </c>
      <c r="BM519" s="33">
        <f>BM485/AVERAGE(BM490:BM490)*BM$5</f>
        <v>-3.5630593952742762E-2</v>
      </c>
      <c r="BN519" s="33">
        <f>BN485/AVERAGE(BN490:BN490)*BO$5</f>
        <v>0</v>
      </c>
    </row>
    <row r="520" spans="1:66" ht="12" customHeight="1" outlineLevel="1">
      <c r="B520" s="1" t="s">
        <v>1353</v>
      </c>
      <c r="C520" s="41">
        <f>IF(ISERROR('Group Model'!D55-'Group Model'!C55),"n.a.",'Group Model'!D55-'Group Model'!C55)</f>
        <v>3454.5499999999997</v>
      </c>
      <c r="D520" s="41">
        <f>IF(ISERROR('Group Model'!E55-'Group Model'!D55),"n.a.",'Group Model'!E55-'Group Model'!D55)</f>
        <v>-568.52250000000004</v>
      </c>
      <c r="E520" s="41">
        <f>IF(ISERROR('Group Model'!F55-'Group Model'!E55),"n.a.",'Group Model'!F55-'Group Model'!E55)</f>
        <v>-1170.7000000000003</v>
      </c>
      <c r="F520" s="41">
        <f>IF(ISERROR('Group Model'!G55-'Group Model'!F55),"n.a.",'Group Model'!G55-'Group Model'!F55)</f>
        <v>76.172500000000582</v>
      </c>
      <c r="G520" s="41">
        <f>IF(ISERROR('Group Model'!H55-'Group Model'!G55),"n.a.",'Group Model'!H55-'Group Model'!G55)</f>
        <v>563.41749999999956</v>
      </c>
      <c r="H520" s="41">
        <f>IF(ISERROR('Group Model'!I55-'Group Model'!H55),"n.a.",'Group Model'!I55-'Group Model'!H55)</f>
        <v>-698.08500000000004</v>
      </c>
      <c r="I520" s="41">
        <f>IF(ISERROR('Group Model'!J55-'Group Model'!I55),"n.a.",'Group Model'!J55-'Group Model'!I55)</f>
        <v>-20.657499999999345</v>
      </c>
      <c r="J520" s="41">
        <f>IF(ISERROR('Group Model'!K55-'Group Model'!J55),"n.a.",'Group Model'!K55-'Group Model'!J55)</f>
        <v>79.052499999999782</v>
      </c>
      <c r="K520" s="41">
        <f>IF(ISERROR('Group Model'!L55-'Group Model'!K55),"n.a.",'Group Model'!L55-'Group Model'!K55)</f>
        <v>-131.85750000000007</v>
      </c>
      <c r="L520" s="41">
        <f>IF(ISERROR('Group Model'!M55-'Group Model'!L55),"n.a.",'Group Model'!M55-'Group Model'!L55)</f>
        <v>-311.45499999999993</v>
      </c>
      <c r="M520" s="41">
        <f>IF(ISERROR('Group Model'!N55-'Group Model'!M55),"n.a.",'Group Model'!N55-'Group Model'!M55)</f>
        <v>-513.07000000000062</v>
      </c>
      <c r="N520" s="41">
        <f>IF(ISERROR('Group Model'!O55-'Group Model'!N55),"n.a.",'Group Model'!O55-'Group Model'!N55)</f>
        <v>867.73999999999978</v>
      </c>
      <c r="O520" s="41">
        <f>IF(ISERROR('Group Model'!P55-'Group Model'!O55),"n.a.",'Group Model'!P55-'Group Model'!O55)</f>
        <v>280.89500000000044</v>
      </c>
      <c r="P520" s="41">
        <f>IF(ISERROR('Group Model'!Q55-'Group Model'!P55),"n.a.",'Group Model'!Q55-'Group Model'!P55)</f>
        <v>960.47999999999956</v>
      </c>
      <c r="Q520" s="41">
        <f>IF(ISERROR('Group Model'!R55-'Group Model'!Q55),"n.a.",'Group Model'!R55-'Group Model'!Q55)</f>
        <v>-214.78999999999996</v>
      </c>
      <c r="R520" s="41">
        <f>IF(ISERROR('Group Model'!S55-'Group Model'!R55),"n.a.",'Group Model'!S55-'Group Model'!R55)</f>
        <v>833.47000000000025</v>
      </c>
      <c r="S520" s="41">
        <f>IF(ISERROR('Group Model'!T55-'Group Model'!S55),"n.a.",'Group Model'!T55-'Group Model'!S55)</f>
        <v>-1837.0149999999994</v>
      </c>
      <c r="T520" s="41">
        <f>IF(ISERROR('Group Model'!U55-'Group Model'!T55),"n.a.",'Group Model'!U55-'Group Model'!T55)</f>
        <v>46.024999999999636</v>
      </c>
      <c r="U520" s="41">
        <f>IF(ISERROR('Group Model'!V55-'Group Model'!U55),"n.a.",'Group Model'!V55-'Group Model'!U55)</f>
        <v>-895.64999999999964</v>
      </c>
      <c r="V520" s="41">
        <f>IF(ISERROR('Group Model'!W55-'Group Model'!V55),"n.a.",'Group Model'!W55-'Group Model'!V55)</f>
        <v>2879.8850000000002</v>
      </c>
      <c r="W520" s="41">
        <f>IF(ISERROR('Group Model'!X55-'Group Model'!W55),"n.a.",'Group Model'!X55-'Group Model'!W55)</f>
        <v>323.375</v>
      </c>
      <c r="X520" s="41">
        <f>IF(ISERROR('Group Model'!Y55-'Group Model'!X55),"n.a.",'Group Model'!Y55-'Group Model'!X55)</f>
        <v>724.02999999999884</v>
      </c>
      <c r="Y520" s="41">
        <f>IF(ISERROR('Group Model'!Z55-'Group Model'!Y55),"n.a.",'Group Model'!Z55-'Group Model'!Y55)</f>
        <v>1997.8450000000012</v>
      </c>
      <c r="Z520" s="41">
        <f>IF(ISERROR('Group Model'!AA55-'Group Model'!Z55),"n.a.",'Group Model'!AA55-'Group Model'!Z55)</f>
        <v>-545.13500000000022</v>
      </c>
      <c r="AA520" s="41">
        <f>IF(ISERROR('Group Model'!AB55-'Group Model'!AA55),"n.a.",'Group Model'!AB55-'Group Model'!AA55)</f>
        <v>-1331.8850000000002</v>
      </c>
      <c r="AB520" s="41">
        <f>IF(ISERROR('Group Model'!AC55-'Group Model'!AB55),"n.a.",'Group Model'!AC55-'Group Model'!AB55)</f>
        <v>2146.0850000000009</v>
      </c>
      <c r="AC520" s="41">
        <f>IF(ISERROR('Group Model'!AD55-'Group Model'!AC55),"n.a.",'Group Model'!AD55-'Group Model'!AC55)</f>
        <v>1370.1849999999995</v>
      </c>
      <c r="AD520" s="41">
        <f>IF(ISERROR('Group Model'!AE55-'Group Model'!AD55),"n.a.",'Group Model'!AE55-'Group Model'!AD55)</f>
        <v>1865.0400000000009</v>
      </c>
      <c r="AE520" s="41">
        <f>IF(ISERROR('Group Model'!AF55-'Group Model'!AE55),"n.a.",'Group Model'!AF55-'Group Model'!AE55)</f>
        <v>-2204.0150000000012</v>
      </c>
      <c r="AF520" s="41">
        <f>IF(ISERROR('Group Model'!AG55-'Group Model'!AF55),"n.a.",'Group Model'!AG55-'Group Model'!AF55)</f>
        <v>194.10000000000036</v>
      </c>
      <c r="AG520" s="41">
        <f>IF(ISERROR('Group Model'!AH55-'Group Model'!AG55),"n.a.",'Group Model'!AH55-'Group Model'!AG55)</f>
        <v>-799</v>
      </c>
      <c r="AH520" s="41">
        <f>IF(ISERROR('Group Model'!AI55-'Group Model'!AH55),"n.a.",'Group Model'!AI55-'Group Model'!AH55)</f>
        <v>-369.52000000000044</v>
      </c>
      <c r="AI520" s="42">
        <f>IF(ISERROR('Group Model'!AJ55-'Group Model'!AI55),"n.a.",'Group Model'!AJ55-'Group Model'!AI55)</f>
        <v>-1894.9449999999997</v>
      </c>
      <c r="AJ520" s="41">
        <f>IF(ISERROR('Group Model'!AK55-'Group Model'!AJ55),"n.a.",'Group Model'!AK55-'Group Model'!AJ55)</f>
        <v>-1468.2438868428853</v>
      </c>
      <c r="AK520" s="41">
        <f>IF(ISERROR('Group Model'!AL55-'Group Model'!AK55),"n.a.",'Group Model'!AL55-'Group Model'!AK55)</f>
        <v>-684.18667909668329</v>
      </c>
      <c r="AL520" s="41">
        <f>IF(ISERROR('Group Model'!AM55-'Group Model'!AL55),"n.a.",'Group Model'!AM55-'Group Model'!AL55)</f>
        <v>-81.152871136073372</v>
      </c>
      <c r="AM520" s="41">
        <f>IF(ISERROR('Group Model'!AN55-'Group Model'!AM55),"n.a.",'Group Model'!AN55-'Group Model'!AM55)</f>
        <v>-234.0053257106083</v>
      </c>
      <c r="AN520" s="41">
        <f>IF(ISERROR('Group Model'!AO55-'Group Model'!AN55),"n.a.",'Group Model'!AO55-'Group Model'!AN55)</f>
        <v>423.31524377602364</v>
      </c>
      <c r="AO520" s="41">
        <f>IF(ISERROR('Group Model'!AP55-'Group Model'!AO55),"n.a.",'Group Model'!AP55-'Group Model'!AO55)</f>
        <v>-668.74657142526121</v>
      </c>
      <c r="AP520" s="41">
        <f>IF(ISERROR('Group Model'!AQ55-'Group Model'!AP55),"n.a.",'Group Model'!AQ55-'Group Model'!AP55)</f>
        <v>144.88569424425077</v>
      </c>
      <c r="AQ520" s="41">
        <f>IF(ISERROR('Group Model'!AR55-'Group Model'!AQ55),"n.a.",'Group Model'!AR55-'Group Model'!AQ55)</f>
        <v>-356.58219252903291</v>
      </c>
      <c r="AR520" s="41">
        <f>IF(ISERROR('Group Model'!AS55-'Group Model'!AR55),"n.a.",'Group Model'!AS55-'Group Model'!AR55)</f>
        <v>75.921176058138371</v>
      </c>
      <c r="AS520" s="41"/>
      <c r="AT520" s="19">
        <f>C520+D520</f>
        <v>2886.0274999999997</v>
      </c>
      <c r="AU520" s="19">
        <f>E520+F520</f>
        <v>-1094.5274999999997</v>
      </c>
      <c r="AV520" s="19">
        <f>G520+H520</f>
        <v>-134.66750000000047</v>
      </c>
      <c r="AW520" s="19">
        <f>I520+J520</f>
        <v>58.395000000000437</v>
      </c>
      <c r="AX520" s="19">
        <f>K520+L520</f>
        <v>-443.3125</v>
      </c>
      <c r="AY520" s="19">
        <f>M520+N520</f>
        <v>354.66999999999916</v>
      </c>
      <c r="AZ520" s="19">
        <f>O520+P520</f>
        <v>1241.375</v>
      </c>
      <c r="BA520" s="19">
        <f>Q520+R520</f>
        <v>618.68000000000029</v>
      </c>
      <c r="BB520" s="19">
        <f>S520+T520</f>
        <v>-1790.9899999999998</v>
      </c>
      <c r="BC520" s="19">
        <f>U520+V520</f>
        <v>1984.2350000000006</v>
      </c>
      <c r="BD520" s="19">
        <f>W520+X520</f>
        <v>1047.4049999999988</v>
      </c>
      <c r="BE520" s="19">
        <f>Y520+Z520</f>
        <v>1452.7100000000009</v>
      </c>
      <c r="BF520" s="19">
        <f>AA520+AB520</f>
        <v>814.20000000000073</v>
      </c>
      <c r="BG520" s="19">
        <f>AC520+AD520</f>
        <v>3235.2250000000004</v>
      </c>
      <c r="BH520" s="19">
        <f>AE520+AF520</f>
        <v>-2009.9150000000009</v>
      </c>
      <c r="BI520" s="20">
        <f>AG520+AH520</f>
        <v>-1168.5200000000004</v>
      </c>
      <c r="BJ520" s="19">
        <f>AI520+AJ520</f>
        <v>-3363.188886842885</v>
      </c>
      <c r="BK520" s="19">
        <f>AK520+AL520</f>
        <v>-765.33955023275666</v>
      </c>
      <c r="BL520" s="19">
        <f>AM520+AN520</f>
        <v>189.30991806541533</v>
      </c>
      <c r="BM520" s="19">
        <f>AO520+AP520</f>
        <v>-523.86087718101044</v>
      </c>
      <c r="BN520" s="19">
        <f>AQ520+AR520</f>
        <v>-280.66101647089454</v>
      </c>
    </row>
    <row r="521" spans="1:66" ht="12" customHeight="1">
      <c r="I521" s="21"/>
      <c r="J521" s="21"/>
      <c r="M521" s="19"/>
      <c r="O521" s="19"/>
      <c r="P521" s="34"/>
      <c r="Q521" s="19"/>
      <c r="R521" s="19"/>
      <c r="S521" s="19"/>
      <c r="T521" s="19"/>
      <c r="U521" s="19"/>
      <c r="AI521" s="15"/>
    </row>
    <row r="522" spans="1:66" s="9" customFormat="1" ht="12" customHeight="1" outlineLevel="1">
      <c r="A522" s="91"/>
      <c r="B522" s="2" t="str">
        <f>UPPER("Commodities and Financial Markets")</f>
        <v>COMMODITIES AND FINANCIAL MARKETS</v>
      </c>
      <c r="C522" s="93">
        <f t="shared" ref="C522:AZ522" si="5475">C547</f>
        <v>368</v>
      </c>
      <c r="D522" s="93">
        <f t="shared" si="5475"/>
        <v>459</v>
      </c>
      <c r="E522" s="93">
        <f t="shared" si="5475"/>
        <v>167</v>
      </c>
      <c r="F522" s="93">
        <f t="shared" si="5475"/>
        <v>408</v>
      </c>
      <c r="G522" s="93">
        <f t="shared" si="5475"/>
        <v>6</v>
      </c>
      <c r="H522" s="93">
        <f t="shared" si="5475"/>
        <v>533</v>
      </c>
      <c r="I522" s="93">
        <f t="shared" si="5475"/>
        <v>219</v>
      </c>
      <c r="J522" s="93">
        <f t="shared" si="5475"/>
        <v>344</v>
      </c>
      <c r="K522" s="93">
        <f t="shared" ref="K522" si="5476">K547</f>
        <v>203</v>
      </c>
      <c r="L522" s="93">
        <f t="shared" si="5475"/>
        <v>523</v>
      </c>
      <c r="M522" s="93">
        <f t="shared" ref="M522:N522" si="5477">M547</f>
        <v>250</v>
      </c>
      <c r="N522" s="93">
        <f t="shared" si="5477"/>
        <v>585</v>
      </c>
      <c r="O522" s="93">
        <f t="shared" ref="O522:P522" si="5478">O547</f>
        <v>282</v>
      </c>
      <c r="P522" s="93">
        <f t="shared" si="5478"/>
        <v>294</v>
      </c>
      <c r="Q522" s="93">
        <f t="shared" ref="Q522" si="5479">Q547</f>
        <v>472</v>
      </c>
      <c r="R522" s="93"/>
      <c r="S522" s="93"/>
      <c r="T522" s="93"/>
      <c r="U522" s="93"/>
      <c r="V522" s="93"/>
      <c r="W522" s="93"/>
      <c r="X522" s="93"/>
      <c r="Y522" s="93"/>
      <c r="Z522" s="93"/>
      <c r="AA522" s="93"/>
      <c r="AB522" s="93"/>
      <c r="AC522" s="93"/>
      <c r="AD522" s="93"/>
      <c r="AE522" s="93"/>
      <c r="AF522" s="93"/>
      <c r="AG522" s="93"/>
      <c r="AH522" s="93"/>
      <c r="AI522" s="94"/>
      <c r="AJ522" s="93"/>
      <c r="AK522" s="93"/>
      <c r="AL522" s="93"/>
      <c r="AM522" s="93"/>
      <c r="AN522" s="93"/>
      <c r="AO522" s="93"/>
      <c r="AP522" s="93"/>
      <c r="AQ522" s="93"/>
      <c r="AR522" s="93"/>
      <c r="AS522" s="93"/>
      <c r="AT522" s="93">
        <f t="shared" ref="AT522:AV522" si="5480">AT547</f>
        <v>827</v>
      </c>
      <c r="AU522" s="93">
        <f t="shared" si="5480"/>
        <v>575</v>
      </c>
      <c r="AV522" s="93">
        <f t="shared" si="5480"/>
        <v>539</v>
      </c>
      <c r="AW522" s="93">
        <f t="shared" si="5475"/>
        <v>563</v>
      </c>
      <c r="AX522" s="93">
        <f t="shared" si="5475"/>
        <v>726</v>
      </c>
      <c r="AY522" s="93">
        <f t="shared" si="5475"/>
        <v>835</v>
      </c>
      <c r="AZ522" s="93">
        <f t="shared" si="5475"/>
        <v>576</v>
      </c>
      <c r="BA522" s="93"/>
      <c r="BB522" s="93"/>
      <c r="BC522" s="93"/>
      <c r="BD522" s="93"/>
      <c r="BE522" s="93"/>
      <c r="BF522" s="93"/>
      <c r="BG522" s="93"/>
      <c r="BH522" s="93"/>
      <c r="BI522" s="94"/>
      <c r="BJ522" s="93"/>
      <c r="BK522" s="93"/>
      <c r="BL522" s="93"/>
      <c r="BM522" s="93"/>
      <c r="BN522" s="93"/>
    </row>
    <row r="523" spans="1:66" ht="12" hidden="1" customHeight="1" outlineLevel="2"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20"/>
      <c r="AJ523" s="19"/>
      <c r="AK523" s="19"/>
      <c r="AL523" s="19"/>
      <c r="AM523" s="19"/>
      <c r="AN523" s="19"/>
      <c r="AO523" s="19"/>
      <c r="AP523" s="19"/>
      <c r="AQ523" s="19"/>
      <c r="AR523" s="19"/>
      <c r="AY523" s="33"/>
      <c r="AZ523" s="33"/>
      <c r="BA523" s="33"/>
      <c r="BB523" s="33"/>
      <c r="BC523" s="33"/>
      <c r="BD523" s="33"/>
      <c r="BE523" s="33"/>
      <c r="BF523" s="33"/>
      <c r="BG523" s="33"/>
      <c r="BH523" s="33"/>
      <c r="BI523" s="32"/>
      <c r="BJ523" s="33"/>
      <c r="BK523" s="33"/>
      <c r="BL523" s="33"/>
      <c r="BM523" s="33"/>
      <c r="BN523" s="33"/>
    </row>
    <row r="524" spans="1:66" ht="12" hidden="1" customHeight="1" outlineLevel="2">
      <c r="B524" s="9" t="s">
        <v>40</v>
      </c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20"/>
      <c r="AJ524" s="19"/>
      <c r="AK524" s="19"/>
      <c r="AL524" s="19"/>
      <c r="AM524" s="19"/>
      <c r="AN524" s="19"/>
      <c r="AO524" s="19"/>
      <c r="AP524" s="19"/>
      <c r="AQ524" s="19"/>
      <c r="AR524" s="19"/>
    </row>
    <row r="525" spans="1:66" s="9" customFormat="1" ht="12" hidden="1" customHeight="1" outlineLevel="2">
      <c r="A525" s="91" t="s">
        <v>1177</v>
      </c>
      <c r="B525" s="16" t="s">
        <v>6</v>
      </c>
      <c r="C525" s="22">
        <v>0</v>
      </c>
      <c r="D525" s="22">
        <v>0</v>
      </c>
      <c r="E525" s="22">
        <v>0</v>
      </c>
      <c r="F525" s="22">
        <v>0</v>
      </c>
      <c r="G525" s="22">
        <v>0</v>
      </c>
      <c r="H525" s="22">
        <v>0</v>
      </c>
      <c r="I525" s="22">
        <v>0</v>
      </c>
      <c r="J525" s="22">
        <v>0</v>
      </c>
      <c r="K525" s="22">
        <v>0</v>
      </c>
      <c r="L525" s="22">
        <v>0</v>
      </c>
      <c r="M525" s="61">
        <v>0</v>
      </c>
      <c r="N525" s="61">
        <v>0</v>
      </c>
      <c r="O525" s="61">
        <v>0</v>
      </c>
      <c r="P525" s="61">
        <v>0</v>
      </c>
      <c r="Q525" s="61">
        <v>0</v>
      </c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40"/>
      <c r="AJ525" s="39"/>
      <c r="AK525" s="39"/>
      <c r="AL525" s="39"/>
      <c r="AM525" s="39"/>
      <c r="AN525" s="39"/>
      <c r="AO525" s="39"/>
      <c r="AP525" s="39"/>
      <c r="AQ525" s="39"/>
      <c r="AR525" s="39"/>
      <c r="AS525" s="74"/>
      <c r="AT525" s="63">
        <f>SUMPRODUCT(C525:D525,C$5:D$5)/SUM(C$5:D$5)</f>
        <v>0</v>
      </c>
      <c r="AU525" s="63">
        <f>SUMPRODUCT(E525:F525,E$5:F$5)/SUM(E$5:F$5)</f>
        <v>0</v>
      </c>
      <c r="AV525" s="63">
        <f>SUMPRODUCT(G525:H525,G$5:H$5)/SUM(G$5:H$5)</f>
        <v>0</v>
      </c>
      <c r="AW525" s="63">
        <f>SUMPRODUCT(I525:J525,I$5:J$5)/SUM(I$5:J$5)</f>
        <v>0</v>
      </c>
      <c r="AX525" s="63">
        <f>SUMPRODUCT(K525:L525,K$5:L$5)/SUM(K$5:L$5)</f>
        <v>0</v>
      </c>
      <c r="AY525" s="63">
        <f>SUMPRODUCT(M525:N525,M$5:N$5)/SUM(M$5:N$5)</f>
        <v>0</v>
      </c>
      <c r="AZ525" s="63">
        <f>SUMPRODUCT(O525:P525,O$5:P$5)/SUM(O$5:P$5)</f>
        <v>0</v>
      </c>
      <c r="BA525" s="63"/>
      <c r="BB525" s="63"/>
      <c r="BC525" s="63"/>
      <c r="BD525" s="63"/>
      <c r="BE525" s="63"/>
      <c r="BF525" s="63"/>
      <c r="BG525" s="63"/>
      <c r="BH525" s="63"/>
      <c r="BI525" s="64"/>
      <c r="BJ525" s="63"/>
      <c r="BK525" s="63"/>
      <c r="BL525" s="63"/>
      <c r="BM525" s="63"/>
      <c r="BN525" s="63"/>
    </row>
    <row r="526" spans="1:66" ht="12" hidden="1" customHeight="1" outlineLevel="2">
      <c r="A526" s="91" t="s">
        <v>1178</v>
      </c>
      <c r="B526" s="1" t="s">
        <v>5</v>
      </c>
      <c r="C526" s="37" t="str">
        <f t="shared" ref="C526:Q526" si="5481">IF(ISERROR(C527/C525),"n.a.",C527/C525*C$5)</f>
        <v>n.a.</v>
      </c>
      <c r="D526" s="37" t="str">
        <f t="shared" si="5481"/>
        <v>n.a.</v>
      </c>
      <c r="E526" s="37" t="str">
        <f t="shared" si="5481"/>
        <v>n.a.</v>
      </c>
      <c r="F526" s="37" t="str">
        <f t="shared" si="5481"/>
        <v>n.a.</v>
      </c>
      <c r="G526" s="37" t="str">
        <f t="shared" si="5481"/>
        <v>n.a.</v>
      </c>
      <c r="H526" s="37" t="str">
        <f t="shared" si="5481"/>
        <v>n.a.</v>
      </c>
      <c r="I526" s="37" t="str">
        <f t="shared" si="5481"/>
        <v>n.a.</v>
      </c>
      <c r="J526" s="37" t="str">
        <f t="shared" si="5481"/>
        <v>n.a.</v>
      </c>
      <c r="K526" s="37" t="str">
        <f t="shared" si="5481"/>
        <v>n.a.</v>
      </c>
      <c r="L526" s="37" t="str">
        <f t="shared" si="5481"/>
        <v>n.a.</v>
      </c>
      <c r="M526" s="37" t="str">
        <f t="shared" si="5481"/>
        <v>n.a.</v>
      </c>
      <c r="N526" s="37" t="str">
        <f t="shared" si="5481"/>
        <v>n.a.</v>
      </c>
      <c r="O526" s="37" t="str">
        <f t="shared" si="5481"/>
        <v>n.a.</v>
      </c>
      <c r="P526" s="37" t="str">
        <f t="shared" si="5481"/>
        <v>n.a.</v>
      </c>
      <c r="Q526" s="37" t="str">
        <f t="shared" si="5481"/>
        <v>n.a.</v>
      </c>
      <c r="R526" s="37"/>
      <c r="S526" s="37"/>
      <c r="T526" s="37"/>
      <c r="U526" s="37"/>
      <c r="V526" s="37"/>
      <c r="W526" s="37"/>
      <c r="X526" s="37"/>
      <c r="Y526" s="37"/>
      <c r="Z526" s="37"/>
      <c r="AA526" s="37"/>
      <c r="AB526" s="37"/>
      <c r="AC526" s="37"/>
      <c r="AD526" s="37"/>
      <c r="AE526" s="37"/>
      <c r="AF526" s="37"/>
      <c r="AG526" s="37"/>
      <c r="AH526" s="37"/>
      <c r="AI526" s="38"/>
      <c r="AJ526" s="48"/>
      <c r="AK526" s="48"/>
      <c r="AL526" s="48"/>
      <c r="AM526" s="48"/>
      <c r="AN526" s="48"/>
      <c r="AO526" s="48"/>
      <c r="AP526" s="48"/>
      <c r="AQ526" s="48"/>
      <c r="AR526" s="48"/>
      <c r="AS526" s="8"/>
      <c r="AT526" s="37" t="str">
        <f t="shared" ref="AT526:AZ526" si="5482">IF(ISERROR(AT527/AT525),"n.a.",AT527/AT525*AT$5)</f>
        <v>n.a.</v>
      </c>
      <c r="AU526" s="37" t="str">
        <f t="shared" si="5482"/>
        <v>n.a.</v>
      </c>
      <c r="AV526" s="37" t="str">
        <f t="shared" si="5482"/>
        <v>n.a.</v>
      </c>
      <c r="AW526" s="37" t="str">
        <f t="shared" si="5482"/>
        <v>n.a.</v>
      </c>
      <c r="AX526" s="37" t="str">
        <f t="shared" si="5482"/>
        <v>n.a.</v>
      </c>
      <c r="AY526" s="37" t="str">
        <f t="shared" si="5482"/>
        <v>n.a.</v>
      </c>
      <c r="AZ526" s="37" t="str">
        <f t="shared" si="5482"/>
        <v>n.a.</v>
      </c>
      <c r="BA526" s="37"/>
      <c r="BB526" s="37"/>
      <c r="BC526" s="37"/>
      <c r="BD526" s="37"/>
      <c r="BE526" s="37"/>
      <c r="BF526" s="37"/>
      <c r="BG526" s="37"/>
      <c r="BH526" s="37"/>
      <c r="BI526" s="38"/>
      <c r="BJ526" s="37"/>
      <c r="BK526" s="37"/>
      <c r="BL526" s="37"/>
      <c r="BM526" s="37"/>
      <c r="BN526" s="37"/>
    </row>
    <row r="527" spans="1:66" s="9" customFormat="1" ht="12" hidden="1" customHeight="1" outlineLevel="2">
      <c r="A527" s="91" t="s">
        <v>1179</v>
      </c>
      <c r="B527" s="9" t="s">
        <v>7</v>
      </c>
      <c r="C527" s="22">
        <v>46</v>
      </c>
      <c r="D527" s="22">
        <v>70</v>
      </c>
      <c r="E527" s="22">
        <v>-39</v>
      </c>
      <c r="F527" s="22">
        <v>10</v>
      </c>
      <c r="G527" s="22">
        <v>0</v>
      </c>
      <c r="H527" s="22">
        <v>0</v>
      </c>
      <c r="I527" s="22">
        <v>0</v>
      </c>
      <c r="J527" s="22">
        <v>0</v>
      </c>
      <c r="K527" s="22">
        <v>0</v>
      </c>
      <c r="L527" s="22">
        <v>0</v>
      </c>
      <c r="M527" s="61">
        <v>0</v>
      </c>
      <c r="N527" s="61">
        <v>0</v>
      </c>
      <c r="O527" s="61">
        <v>0</v>
      </c>
      <c r="P527" s="61">
        <v>0</v>
      </c>
      <c r="Q527" s="61">
        <v>0</v>
      </c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40"/>
      <c r="AJ527" s="39"/>
      <c r="AK527" s="39"/>
      <c r="AL527" s="39"/>
      <c r="AM527" s="39"/>
      <c r="AN527" s="39"/>
      <c r="AO527" s="39"/>
      <c r="AP527" s="39"/>
      <c r="AQ527" s="39"/>
      <c r="AR527" s="39"/>
      <c r="AS527" s="74"/>
      <c r="AT527" s="39">
        <f t="shared" ref="AT527:AT534" si="5483">C527+D527</f>
        <v>116</v>
      </c>
      <c r="AU527" s="39">
        <f t="shared" ref="AU527:AU534" si="5484">E527+F527</f>
        <v>-29</v>
      </c>
      <c r="AV527" s="39">
        <f t="shared" ref="AV527:AV534" si="5485">G527+H527</f>
        <v>0</v>
      </c>
      <c r="AW527" s="39">
        <f t="shared" ref="AW527:AW534" si="5486">I527+J527</f>
        <v>0</v>
      </c>
      <c r="AX527" s="39">
        <f t="shared" ref="AX527:AX534" si="5487">K527+L527</f>
        <v>0</v>
      </c>
      <c r="AY527" s="39">
        <f t="shared" ref="AY527:AY534" si="5488">M527+N527</f>
        <v>0</v>
      </c>
      <c r="AZ527" s="39">
        <f t="shared" ref="AZ527:AZ534" si="5489">O527+P527</f>
        <v>0</v>
      </c>
      <c r="BA527" s="39"/>
      <c r="BB527" s="39"/>
      <c r="BC527" s="39"/>
      <c r="BD527" s="39"/>
      <c r="BE527" s="39"/>
      <c r="BF527" s="39"/>
      <c r="BG527" s="39"/>
      <c r="BH527" s="39"/>
      <c r="BI527" s="40"/>
      <c r="BJ527" s="39"/>
      <c r="BK527" s="39"/>
      <c r="BL527" s="39"/>
      <c r="BM527" s="39"/>
      <c r="BN527" s="39"/>
    </row>
    <row r="528" spans="1:66" ht="12" hidden="1" customHeight="1" outlineLevel="2">
      <c r="A528" s="91" t="s">
        <v>1180</v>
      </c>
      <c r="B528" s="1" t="s">
        <v>31</v>
      </c>
      <c r="C528" s="19">
        <f t="shared" ref="C528:Q528" si="5490">C13-C81-C667-C159-C599-C311-C454</f>
        <v>25</v>
      </c>
      <c r="D528" s="19">
        <f t="shared" si="5490"/>
        <v>5</v>
      </c>
      <c r="E528" s="19">
        <f t="shared" si="5490"/>
        <v>1</v>
      </c>
      <c r="F528" s="19">
        <f t="shared" si="5490"/>
        <v>1</v>
      </c>
      <c r="G528" s="19">
        <f t="shared" si="5490"/>
        <v>1</v>
      </c>
      <c r="H528" s="19">
        <f t="shared" si="5490"/>
        <v>-1</v>
      </c>
      <c r="I528" s="19">
        <f t="shared" si="5490"/>
        <v>1</v>
      </c>
      <c r="J528" s="19">
        <f t="shared" si="5490"/>
        <v>1</v>
      </c>
      <c r="K528" s="19">
        <f t="shared" si="5490"/>
        <v>2</v>
      </c>
      <c r="L528" s="19">
        <f t="shared" si="5490"/>
        <v>1</v>
      </c>
      <c r="M528" s="59">
        <f t="shared" si="5490"/>
        <v>3</v>
      </c>
      <c r="N528" s="59">
        <f t="shared" si="5490"/>
        <v>1</v>
      </c>
      <c r="O528" s="59">
        <f t="shared" si="5490"/>
        <v>7</v>
      </c>
      <c r="P528" s="59">
        <f t="shared" si="5490"/>
        <v>6</v>
      </c>
      <c r="Q528" s="59">
        <f t="shared" si="5490"/>
        <v>4</v>
      </c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  <c r="AG528" s="58"/>
      <c r="AH528" s="58"/>
      <c r="AI528" s="501"/>
      <c r="AJ528" s="58"/>
      <c r="AK528" s="58"/>
      <c r="AL528" s="58"/>
      <c r="AM528" s="58"/>
      <c r="AN528" s="58"/>
      <c r="AO528" s="58"/>
      <c r="AP528" s="58"/>
      <c r="AQ528" s="58"/>
      <c r="AR528" s="58"/>
      <c r="AS528" s="8"/>
      <c r="AT528" s="41">
        <f t="shared" si="5483"/>
        <v>30</v>
      </c>
      <c r="AU528" s="41">
        <f t="shared" si="5484"/>
        <v>2</v>
      </c>
      <c r="AV528" s="41">
        <f t="shared" si="5485"/>
        <v>0</v>
      </c>
      <c r="AW528" s="41">
        <f t="shared" si="5486"/>
        <v>2</v>
      </c>
      <c r="AX528" s="41">
        <f t="shared" si="5487"/>
        <v>3</v>
      </c>
      <c r="AY528" s="41">
        <f t="shared" si="5488"/>
        <v>4</v>
      </c>
      <c r="AZ528" s="41">
        <f t="shared" si="5489"/>
        <v>13</v>
      </c>
      <c r="BA528" s="41"/>
      <c r="BB528" s="41"/>
      <c r="BC528" s="41"/>
      <c r="BD528" s="41"/>
      <c r="BE528" s="41"/>
      <c r="BF528" s="41"/>
      <c r="BG528" s="41"/>
      <c r="BH528" s="41"/>
      <c r="BI528" s="42"/>
      <c r="BJ528" s="41"/>
      <c r="BK528" s="41"/>
      <c r="BL528" s="41"/>
      <c r="BM528" s="41"/>
      <c r="BN528" s="41"/>
    </row>
    <row r="529" spans="1:66" ht="12" hidden="1" customHeight="1" outlineLevel="2">
      <c r="A529" s="91" t="s">
        <v>1181</v>
      </c>
      <c r="B529" s="1" t="s">
        <v>30</v>
      </c>
      <c r="C529" s="19">
        <f t="shared" ref="C529:Q529" si="5491">C14-C82-C668-C160-C600-C312-C455</f>
        <v>0</v>
      </c>
      <c r="D529" s="19">
        <f t="shared" si="5491"/>
        <v>0</v>
      </c>
      <c r="E529" s="19">
        <f t="shared" si="5491"/>
        <v>0</v>
      </c>
      <c r="F529" s="19">
        <f t="shared" si="5491"/>
        <v>0</v>
      </c>
      <c r="G529" s="19">
        <f t="shared" si="5491"/>
        <v>0</v>
      </c>
      <c r="H529" s="19">
        <f t="shared" si="5491"/>
        <v>0</v>
      </c>
      <c r="I529" s="19">
        <f t="shared" si="5491"/>
        <v>0</v>
      </c>
      <c r="J529" s="19">
        <f t="shared" si="5491"/>
        <v>0</v>
      </c>
      <c r="K529" s="19">
        <f t="shared" si="5491"/>
        <v>0</v>
      </c>
      <c r="L529" s="19">
        <f t="shared" si="5491"/>
        <v>0</v>
      </c>
      <c r="M529" s="59">
        <f t="shared" si="5491"/>
        <v>0</v>
      </c>
      <c r="N529" s="59">
        <f t="shared" si="5491"/>
        <v>0</v>
      </c>
      <c r="O529" s="59">
        <f t="shared" si="5491"/>
        <v>0</v>
      </c>
      <c r="P529" s="59">
        <f t="shared" si="5491"/>
        <v>0</v>
      </c>
      <c r="Q529" s="59">
        <f t="shared" si="5491"/>
        <v>0</v>
      </c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  <c r="AG529" s="58"/>
      <c r="AH529" s="58"/>
      <c r="AI529" s="501"/>
      <c r="AJ529" s="58"/>
      <c r="AK529" s="58"/>
      <c r="AL529" s="58"/>
      <c r="AM529" s="58"/>
      <c r="AN529" s="58"/>
      <c r="AO529" s="58"/>
      <c r="AP529" s="58"/>
      <c r="AQ529" s="58"/>
      <c r="AR529" s="58"/>
      <c r="AS529" s="8"/>
      <c r="AT529" s="41">
        <f t="shared" si="5483"/>
        <v>0</v>
      </c>
      <c r="AU529" s="41">
        <f t="shared" si="5484"/>
        <v>0</v>
      </c>
      <c r="AV529" s="41">
        <f t="shared" si="5485"/>
        <v>0</v>
      </c>
      <c r="AW529" s="41">
        <f t="shared" si="5486"/>
        <v>0</v>
      </c>
      <c r="AX529" s="41">
        <f t="shared" si="5487"/>
        <v>0</v>
      </c>
      <c r="AY529" s="41">
        <f t="shared" si="5488"/>
        <v>0</v>
      </c>
      <c r="AZ529" s="41">
        <f t="shared" si="5489"/>
        <v>0</v>
      </c>
      <c r="BA529" s="41"/>
      <c r="BB529" s="41"/>
      <c r="BC529" s="41"/>
      <c r="BD529" s="41"/>
      <c r="BE529" s="41"/>
      <c r="BF529" s="41"/>
      <c r="BG529" s="41"/>
      <c r="BH529" s="41"/>
      <c r="BI529" s="42"/>
      <c r="BJ529" s="41"/>
      <c r="BK529" s="41"/>
      <c r="BL529" s="41"/>
      <c r="BM529" s="41"/>
      <c r="BN529" s="41"/>
    </row>
    <row r="530" spans="1:66" ht="12" hidden="1" customHeight="1" outlineLevel="2">
      <c r="A530" s="91" t="s">
        <v>1182</v>
      </c>
      <c r="B530" s="1" t="s">
        <v>32</v>
      </c>
      <c r="C530" s="19">
        <f t="shared" ref="C530:Q530" si="5492">C15-C83-C669-C161-C601-C313-C456</f>
        <v>35</v>
      </c>
      <c r="D530" s="19">
        <f t="shared" si="5492"/>
        <v>0</v>
      </c>
      <c r="E530" s="19">
        <f t="shared" si="5492"/>
        <v>1</v>
      </c>
      <c r="F530" s="19">
        <f t="shared" si="5492"/>
        <v>5</v>
      </c>
      <c r="G530" s="19">
        <f t="shared" si="5492"/>
        <v>0</v>
      </c>
      <c r="H530" s="19">
        <f t="shared" si="5492"/>
        <v>5</v>
      </c>
      <c r="I530" s="19">
        <f t="shared" si="5492"/>
        <v>0</v>
      </c>
      <c r="J530" s="19">
        <f t="shared" si="5492"/>
        <v>0</v>
      </c>
      <c r="K530" s="19">
        <f t="shared" si="5492"/>
        <v>1</v>
      </c>
      <c r="L530" s="19">
        <f t="shared" si="5492"/>
        <v>1</v>
      </c>
      <c r="M530" s="59">
        <f t="shared" si="5492"/>
        <v>0</v>
      </c>
      <c r="N530" s="59">
        <f t="shared" si="5492"/>
        <v>0</v>
      </c>
      <c r="O530" s="59">
        <f t="shared" si="5492"/>
        <v>20</v>
      </c>
      <c r="P530" s="59">
        <f t="shared" si="5492"/>
        <v>1</v>
      </c>
      <c r="Q530" s="59">
        <f t="shared" si="5492"/>
        <v>0</v>
      </c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  <c r="AG530" s="58"/>
      <c r="AH530" s="58"/>
      <c r="AI530" s="501"/>
      <c r="AJ530" s="58"/>
      <c r="AK530" s="58"/>
      <c r="AL530" s="58"/>
      <c r="AM530" s="58"/>
      <c r="AN530" s="58"/>
      <c r="AO530" s="58"/>
      <c r="AP530" s="58"/>
      <c r="AQ530" s="58"/>
      <c r="AR530" s="58"/>
      <c r="AS530" s="8"/>
      <c r="AT530" s="41">
        <f t="shared" si="5483"/>
        <v>35</v>
      </c>
      <c r="AU530" s="41">
        <f t="shared" si="5484"/>
        <v>6</v>
      </c>
      <c r="AV530" s="41">
        <f t="shared" si="5485"/>
        <v>5</v>
      </c>
      <c r="AW530" s="41">
        <f t="shared" si="5486"/>
        <v>0</v>
      </c>
      <c r="AX530" s="41">
        <f t="shared" si="5487"/>
        <v>2</v>
      </c>
      <c r="AY530" s="41">
        <f t="shared" si="5488"/>
        <v>0</v>
      </c>
      <c r="AZ530" s="41">
        <f t="shared" si="5489"/>
        <v>21</v>
      </c>
      <c r="BA530" s="41"/>
      <c r="BB530" s="41"/>
      <c r="BC530" s="41"/>
      <c r="BD530" s="41"/>
      <c r="BE530" s="41"/>
      <c r="BF530" s="41"/>
      <c r="BG530" s="41"/>
      <c r="BH530" s="41"/>
      <c r="BI530" s="42"/>
      <c r="BJ530" s="41"/>
      <c r="BK530" s="41"/>
      <c r="BL530" s="41"/>
      <c r="BM530" s="41"/>
      <c r="BN530" s="41"/>
    </row>
    <row r="531" spans="1:66" ht="12" hidden="1" customHeight="1" outlineLevel="2">
      <c r="A531" s="91" t="s">
        <v>1183</v>
      </c>
      <c r="B531" s="1" t="s">
        <v>33</v>
      </c>
      <c r="C531" s="19">
        <f t="shared" ref="C531:Q531" si="5493">C16-C84-C670-C162-C602-C314-C457</f>
        <v>0</v>
      </c>
      <c r="D531" s="19">
        <f t="shared" si="5493"/>
        <v>0</v>
      </c>
      <c r="E531" s="19">
        <f t="shared" si="5493"/>
        <v>0</v>
      </c>
      <c r="F531" s="19">
        <f t="shared" si="5493"/>
        <v>0</v>
      </c>
      <c r="G531" s="19">
        <f t="shared" si="5493"/>
        <v>0</v>
      </c>
      <c r="H531" s="19">
        <f t="shared" si="5493"/>
        <v>0</v>
      </c>
      <c r="I531" s="19">
        <f t="shared" si="5493"/>
        <v>0</v>
      </c>
      <c r="J531" s="19">
        <f t="shared" si="5493"/>
        <v>0</v>
      </c>
      <c r="K531" s="19">
        <f t="shared" si="5493"/>
        <v>0</v>
      </c>
      <c r="L531" s="19">
        <f t="shared" si="5493"/>
        <v>0</v>
      </c>
      <c r="M531" s="59">
        <f t="shared" si="5493"/>
        <v>0</v>
      </c>
      <c r="N531" s="59">
        <f t="shared" si="5493"/>
        <v>0</v>
      </c>
      <c r="O531" s="59">
        <f t="shared" si="5493"/>
        <v>0</v>
      </c>
      <c r="P531" s="59">
        <f t="shared" si="5493"/>
        <v>0</v>
      </c>
      <c r="Q531" s="59">
        <f t="shared" si="5493"/>
        <v>0</v>
      </c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  <c r="AG531" s="58"/>
      <c r="AH531" s="58"/>
      <c r="AI531" s="501"/>
      <c r="AJ531" s="58"/>
      <c r="AK531" s="58"/>
      <c r="AL531" s="58"/>
      <c r="AM531" s="58"/>
      <c r="AN531" s="58"/>
      <c r="AO531" s="58"/>
      <c r="AP531" s="58"/>
      <c r="AQ531" s="58"/>
      <c r="AR531" s="58"/>
      <c r="AS531" s="8"/>
      <c r="AT531" s="41">
        <f t="shared" si="5483"/>
        <v>0</v>
      </c>
      <c r="AU531" s="41">
        <f t="shared" si="5484"/>
        <v>0</v>
      </c>
      <c r="AV531" s="41">
        <f t="shared" si="5485"/>
        <v>0</v>
      </c>
      <c r="AW531" s="41">
        <f t="shared" si="5486"/>
        <v>0</v>
      </c>
      <c r="AX531" s="41">
        <f t="shared" si="5487"/>
        <v>0</v>
      </c>
      <c r="AY531" s="41">
        <f t="shared" si="5488"/>
        <v>0</v>
      </c>
      <c r="AZ531" s="41">
        <f t="shared" si="5489"/>
        <v>0</v>
      </c>
      <c r="BA531" s="41"/>
      <c r="BB531" s="41"/>
      <c r="BC531" s="41"/>
      <c r="BD531" s="41"/>
      <c r="BE531" s="41"/>
      <c r="BF531" s="41"/>
      <c r="BG531" s="41"/>
      <c r="BH531" s="41"/>
      <c r="BI531" s="42"/>
      <c r="BJ531" s="41"/>
      <c r="BK531" s="41"/>
      <c r="BL531" s="41"/>
      <c r="BM531" s="41"/>
      <c r="BN531" s="41"/>
    </row>
    <row r="532" spans="1:66" ht="12" hidden="1" customHeight="1" outlineLevel="2">
      <c r="A532" s="91" t="s">
        <v>1184</v>
      </c>
      <c r="B532" s="1" t="s">
        <v>20</v>
      </c>
      <c r="C532" s="21">
        <v>0</v>
      </c>
      <c r="D532" s="21">
        <v>0</v>
      </c>
      <c r="E532" s="21">
        <v>0</v>
      </c>
      <c r="F532" s="21">
        <v>0</v>
      </c>
      <c r="G532" s="21">
        <v>0</v>
      </c>
      <c r="H532" s="21">
        <v>0</v>
      </c>
      <c r="I532" s="21">
        <v>0</v>
      </c>
      <c r="J532" s="21">
        <v>0</v>
      </c>
      <c r="K532" s="21">
        <v>0</v>
      </c>
      <c r="L532" s="21">
        <v>0</v>
      </c>
      <c r="M532" s="62">
        <v>0</v>
      </c>
      <c r="N532" s="62">
        <v>0</v>
      </c>
      <c r="O532" s="62">
        <v>0</v>
      </c>
      <c r="P532" s="62">
        <v>0</v>
      </c>
      <c r="Q532" s="62">
        <v>0</v>
      </c>
      <c r="R532" s="41"/>
      <c r="S532" s="41"/>
      <c r="T532" s="41"/>
      <c r="U532" s="41"/>
      <c r="V532" s="41"/>
      <c r="W532" s="41"/>
      <c r="X532" s="41"/>
      <c r="Y532" s="41"/>
      <c r="Z532" s="41"/>
      <c r="AA532" s="41"/>
      <c r="AB532" s="41"/>
      <c r="AC532" s="41"/>
      <c r="AD532" s="41"/>
      <c r="AE532" s="41"/>
      <c r="AF532" s="41"/>
      <c r="AG532" s="41"/>
      <c r="AH532" s="41"/>
      <c r="AI532" s="42"/>
      <c r="AJ532" s="41"/>
      <c r="AK532" s="41"/>
      <c r="AL532" s="41"/>
      <c r="AM532" s="41"/>
      <c r="AN532" s="41"/>
      <c r="AO532" s="41"/>
      <c r="AP532" s="41"/>
      <c r="AQ532" s="41"/>
      <c r="AR532" s="41"/>
      <c r="AS532" s="8"/>
      <c r="AT532" s="41">
        <f t="shared" si="5483"/>
        <v>0</v>
      </c>
      <c r="AU532" s="41">
        <f t="shared" si="5484"/>
        <v>0</v>
      </c>
      <c r="AV532" s="41">
        <f t="shared" si="5485"/>
        <v>0</v>
      </c>
      <c r="AW532" s="41">
        <f t="shared" si="5486"/>
        <v>0</v>
      </c>
      <c r="AX532" s="41">
        <f t="shared" si="5487"/>
        <v>0</v>
      </c>
      <c r="AY532" s="41">
        <f t="shared" si="5488"/>
        <v>0</v>
      </c>
      <c r="AZ532" s="41">
        <f t="shared" si="5489"/>
        <v>0</v>
      </c>
      <c r="BA532" s="41"/>
      <c r="BB532" s="41"/>
      <c r="BC532" s="41"/>
      <c r="BD532" s="41"/>
      <c r="BE532" s="41"/>
      <c r="BF532" s="41"/>
      <c r="BG532" s="41"/>
      <c r="BH532" s="41"/>
      <c r="BI532" s="42"/>
      <c r="BJ532" s="41"/>
      <c r="BK532" s="41"/>
      <c r="BL532" s="41"/>
      <c r="BM532" s="41"/>
      <c r="BN532" s="41"/>
    </row>
    <row r="533" spans="1:66" ht="12" hidden="1" customHeight="1" outlineLevel="2">
      <c r="A533" s="91" t="s">
        <v>1185</v>
      </c>
      <c r="B533" s="1" t="s">
        <v>19</v>
      </c>
      <c r="C533" s="21">
        <v>35</v>
      </c>
      <c r="D533" s="21">
        <f>69-C533</f>
        <v>34</v>
      </c>
      <c r="E533" s="21">
        <v>42</v>
      </c>
      <c r="F533" s="21">
        <f>87-E533</f>
        <v>45</v>
      </c>
      <c r="G533" s="21">
        <v>51</v>
      </c>
      <c r="H533" s="21">
        <f>100-G533</f>
        <v>49</v>
      </c>
      <c r="I533" s="21">
        <v>44</v>
      </c>
      <c r="J533" s="21">
        <v>42</v>
      </c>
      <c r="K533" s="21">
        <v>51</v>
      </c>
      <c r="L533" s="21">
        <v>51</v>
      </c>
      <c r="M533" s="62">
        <v>51</v>
      </c>
      <c r="N533" s="62">
        <v>65</v>
      </c>
      <c r="O533" s="62">
        <v>69</v>
      </c>
      <c r="P533" s="62">
        <v>74</v>
      </c>
      <c r="Q533" s="62">
        <v>81</v>
      </c>
      <c r="R533" s="41"/>
      <c r="S533" s="41"/>
      <c r="T533" s="41"/>
      <c r="U533" s="41"/>
      <c r="V533" s="41"/>
      <c r="W533" s="41"/>
      <c r="X533" s="41"/>
      <c r="Y533" s="41"/>
      <c r="Z533" s="41"/>
      <c r="AA533" s="41"/>
      <c r="AB533" s="41"/>
      <c r="AC533" s="41"/>
      <c r="AD533" s="41"/>
      <c r="AE533" s="41"/>
      <c r="AF533" s="41"/>
      <c r="AG533" s="41"/>
      <c r="AH533" s="41"/>
      <c r="AI533" s="42"/>
      <c r="AJ533" s="41"/>
      <c r="AK533" s="41"/>
      <c r="AL533" s="41"/>
      <c r="AM533" s="41"/>
      <c r="AN533" s="41"/>
      <c r="AO533" s="41"/>
      <c r="AP533" s="41"/>
      <c r="AQ533" s="41"/>
      <c r="AR533" s="41"/>
      <c r="AS533" s="8"/>
      <c r="AT533" s="41">
        <f t="shared" si="5483"/>
        <v>69</v>
      </c>
      <c r="AU533" s="41">
        <f t="shared" si="5484"/>
        <v>87</v>
      </c>
      <c r="AV533" s="41">
        <f t="shared" si="5485"/>
        <v>100</v>
      </c>
      <c r="AW533" s="41">
        <f t="shared" si="5486"/>
        <v>86</v>
      </c>
      <c r="AX533" s="41">
        <f t="shared" si="5487"/>
        <v>102</v>
      </c>
      <c r="AY533" s="41">
        <f t="shared" si="5488"/>
        <v>116</v>
      </c>
      <c r="AZ533" s="41">
        <f t="shared" si="5489"/>
        <v>143</v>
      </c>
      <c r="BA533" s="41"/>
      <c r="BB533" s="41"/>
      <c r="BC533" s="41"/>
      <c r="BD533" s="41"/>
      <c r="BE533" s="41"/>
      <c r="BF533" s="41"/>
      <c r="BG533" s="41"/>
      <c r="BH533" s="41"/>
      <c r="BI533" s="42"/>
      <c r="BJ533" s="41"/>
      <c r="BK533" s="41"/>
      <c r="BL533" s="41"/>
      <c r="BM533" s="41"/>
      <c r="BN533" s="41"/>
    </row>
    <row r="534" spans="1:66" ht="12" hidden="1" customHeight="1" outlineLevel="2">
      <c r="A534" s="91" t="s">
        <v>1186</v>
      </c>
      <c r="B534" s="1" t="s">
        <v>29</v>
      </c>
      <c r="C534" s="25">
        <f t="shared" ref="C534:H534" si="5494">C535-C528-C530-C532-C533-C529-C531</f>
        <v>-27</v>
      </c>
      <c r="D534" s="25">
        <f t="shared" si="5494"/>
        <v>48</v>
      </c>
      <c r="E534" s="25">
        <f t="shared" si="5494"/>
        <v>43</v>
      </c>
      <c r="F534" s="25">
        <f t="shared" si="5494"/>
        <v>33</v>
      </c>
      <c r="G534" s="25">
        <f t="shared" si="5494"/>
        <v>28</v>
      </c>
      <c r="H534" s="25">
        <f t="shared" si="5494"/>
        <v>15</v>
      </c>
      <c r="I534" s="25">
        <f t="shared" ref="I534:O534" si="5495">I535-I528-I530-I532-I533-I529-I531</f>
        <v>35</v>
      </c>
      <c r="J534" s="25">
        <f t="shared" si="5495"/>
        <v>48</v>
      </c>
      <c r="K534" s="25">
        <f t="shared" si="5495"/>
        <v>27</v>
      </c>
      <c r="L534" s="25">
        <f t="shared" si="5495"/>
        <v>28</v>
      </c>
      <c r="M534" s="41">
        <f t="shared" si="5495"/>
        <v>39</v>
      </c>
      <c r="N534" s="41">
        <f t="shared" si="5495"/>
        <v>259</v>
      </c>
      <c r="O534" s="41">
        <f t="shared" si="5495"/>
        <v>21</v>
      </c>
      <c r="P534" s="41">
        <f t="shared" ref="P534:Q534" si="5496">P535-P528-P530-P532-P533-P529-P531</f>
        <v>30</v>
      </c>
      <c r="Q534" s="41">
        <f t="shared" si="5496"/>
        <v>49</v>
      </c>
      <c r="R534" s="41"/>
      <c r="S534" s="41"/>
      <c r="T534" s="41"/>
      <c r="U534" s="41"/>
      <c r="V534" s="41"/>
      <c r="W534" s="41"/>
      <c r="X534" s="41"/>
      <c r="Y534" s="41"/>
      <c r="Z534" s="41"/>
      <c r="AA534" s="41"/>
      <c r="AB534" s="41"/>
      <c r="AC534" s="41"/>
      <c r="AD534" s="41"/>
      <c r="AE534" s="41"/>
      <c r="AF534" s="41"/>
      <c r="AG534" s="41"/>
      <c r="AH534" s="41"/>
      <c r="AI534" s="42"/>
      <c r="AJ534" s="41"/>
      <c r="AK534" s="41"/>
      <c r="AL534" s="41"/>
      <c r="AM534" s="41"/>
      <c r="AN534" s="41"/>
      <c r="AO534" s="41"/>
      <c r="AP534" s="41"/>
      <c r="AQ534" s="41"/>
      <c r="AR534" s="41"/>
      <c r="AS534" s="8"/>
      <c r="AT534" s="41">
        <f t="shared" si="5483"/>
        <v>21</v>
      </c>
      <c r="AU534" s="41">
        <f t="shared" si="5484"/>
        <v>76</v>
      </c>
      <c r="AV534" s="41">
        <f t="shared" si="5485"/>
        <v>43</v>
      </c>
      <c r="AW534" s="41">
        <f t="shared" si="5486"/>
        <v>83</v>
      </c>
      <c r="AX534" s="41">
        <f t="shared" si="5487"/>
        <v>55</v>
      </c>
      <c r="AY534" s="41">
        <f t="shared" si="5488"/>
        <v>298</v>
      </c>
      <c r="AZ534" s="41">
        <f t="shared" si="5489"/>
        <v>51</v>
      </c>
      <c r="BA534" s="41"/>
      <c r="BB534" s="41"/>
      <c r="BC534" s="41"/>
      <c r="BD534" s="41"/>
      <c r="BE534" s="41"/>
      <c r="BF534" s="41"/>
      <c r="BG534" s="41"/>
      <c r="BH534" s="41"/>
      <c r="BI534" s="42"/>
      <c r="BJ534" s="41"/>
      <c r="BK534" s="41"/>
      <c r="BL534" s="41"/>
      <c r="BM534" s="41"/>
      <c r="BN534" s="41"/>
    </row>
    <row r="535" spans="1:66" ht="12" hidden="1" customHeight="1" outlineLevel="2">
      <c r="A535" s="91" t="s">
        <v>1187</v>
      </c>
      <c r="B535" s="9" t="s">
        <v>118</v>
      </c>
      <c r="C535" s="22">
        <v>68</v>
      </c>
      <c r="D535" s="22">
        <f>155-C535</f>
        <v>87</v>
      </c>
      <c r="E535" s="22">
        <v>87</v>
      </c>
      <c r="F535" s="22">
        <f>171-E535</f>
        <v>84</v>
      </c>
      <c r="G535" s="22">
        <v>80</v>
      </c>
      <c r="H535" s="22">
        <f>148-G535</f>
        <v>68</v>
      </c>
      <c r="I535" s="22">
        <v>80</v>
      </c>
      <c r="J535" s="22">
        <v>91</v>
      </c>
      <c r="K535" s="22">
        <v>81</v>
      </c>
      <c r="L535" s="22">
        <v>81</v>
      </c>
      <c r="M535" s="61">
        <v>93</v>
      </c>
      <c r="N535" s="61">
        <v>325</v>
      </c>
      <c r="O535" s="61">
        <v>117</v>
      </c>
      <c r="P535" s="61">
        <v>111</v>
      </c>
      <c r="Q535" s="61">
        <v>134</v>
      </c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40"/>
      <c r="AJ535" s="39"/>
      <c r="AK535" s="39"/>
      <c r="AL535" s="39"/>
      <c r="AM535" s="39"/>
      <c r="AN535" s="39"/>
      <c r="AO535" s="39"/>
      <c r="AP535" s="39"/>
      <c r="AQ535" s="39"/>
      <c r="AR535" s="39"/>
      <c r="AS535" s="8"/>
      <c r="AT535" s="39">
        <f t="shared" ref="AT535:AZ535" si="5497">AT528+AT529+AT530+AT531+AT532+AT533+AT534</f>
        <v>155</v>
      </c>
      <c r="AU535" s="39">
        <f t="shared" si="5497"/>
        <v>171</v>
      </c>
      <c r="AV535" s="39">
        <f t="shared" si="5497"/>
        <v>148</v>
      </c>
      <c r="AW535" s="39">
        <f t="shared" si="5497"/>
        <v>171</v>
      </c>
      <c r="AX535" s="39">
        <f t="shared" si="5497"/>
        <v>162</v>
      </c>
      <c r="AY535" s="39">
        <f t="shared" si="5497"/>
        <v>418</v>
      </c>
      <c r="AZ535" s="39">
        <f t="shared" si="5497"/>
        <v>228</v>
      </c>
      <c r="BA535" s="39"/>
      <c r="BB535" s="39"/>
      <c r="BC535" s="39"/>
      <c r="BD535" s="39"/>
      <c r="BE535" s="39"/>
      <c r="BF535" s="39"/>
      <c r="BG535" s="39"/>
      <c r="BH535" s="39"/>
      <c r="BI535" s="40"/>
      <c r="BJ535" s="39"/>
      <c r="BK535" s="39"/>
      <c r="BL535" s="39"/>
      <c r="BM535" s="39"/>
      <c r="BN535" s="39"/>
    </row>
    <row r="536" spans="1:66" ht="12" hidden="1" customHeight="1" outlineLevel="2">
      <c r="A536" s="91" t="s">
        <v>1198</v>
      </c>
      <c r="B536" s="1" t="s">
        <v>38</v>
      </c>
      <c r="C536" s="21">
        <v>346</v>
      </c>
      <c r="D536" s="21">
        <f>671-C536</f>
        <v>325</v>
      </c>
      <c r="E536" s="21">
        <v>197</v>
      </c>
      <c r="F536" s="21">
        <f>618-E536</f>
        <v>421</v>
      </c>
      <c r="G536" s="21">
        <v>279</v>
      </c>
      <c r="H536" s="21">
        <f>573-G536</f>
        <v>294</v>
      </c>
      <c r="I536" s="21">
        <v>347</v>
      </c>
      <c r="J536" s="21">
        <v>366</v>
      </c>
      <c r="K536" s="21">
        <v>393</v>
      </c>
      <c r="L536" s="21">
        <v>731</v>
      </c>
      <c r="M536" s="62">
        <v>418</v>
      </c>
      <c r="N536" s="62">
        <v>707</v>
      </c>
      <c r="O536" s="62">
        <v>583</v>
      </c>
      <c r="P536" s="62">
        <v>732</v>
      </c>
      <c r="Q536" s="62">
        <v>505</v>
      </c>
      <c r="R536" s="41"/>
      <c r="S536" s="41"/>
      <c r="T536" s="41"/>
      <c r="U536" s="41"/>
      <c r="V536" s="41"/>
      <c r="W536" s="41"/>
      <c r="X536" s="41"/>
      <c r="Y536" s="41"/>
      <c r="Z536" s="41"/>
      <c r="AA536" s="41"/>
      <c r="AB536" s="41"/>
      <c r="AC536" s="41"/>
      <c r="AD536" s="41"/>
      <c r="AE536" s="41"/>
      <c r="AF536" s="41"/>
      <c r="AG536" s="41"/>
      <c r="AH536" s="41"/>
      <c r="AI536" s="42"/>
      <c r="AJ536" s="41"/>
      <c r="AK536" s="41"/>
      <c r="AL536" s="41"/>
      <c r="AM536" s="41"/>
      <c r="AN536" s="41"/>
      <c r="AO536" s="41"/>
      <c r="AP536" s="41"/>
      <c r="AQ536" s="41"/>
      <c r="AR536" s="41"/>
      <c r="AS536" s="8"/>
      <c r="AT536" s="41">
        <f>C536+D536</f>
        <v>671</v>
      </c>
      <c r="AU536" s="41">
        <f>E536+F536</f>
        <v>618</v>
      </c>
      <c r="AV536" s="41">
        <f>G536+H536</f>
        <v>573</v>
      </c>
      <c r="AW536" s="41">
        <f>I536+J536</f>
        <v>713</v>
      </c>
      <c r="AX536" s="41">
        <f>K536+L536</f>
        <v>1124</v>
      </c>
      <c r="AY536" s="41">
        <f>M536+N536</f>
        <v>1125</v>
      </c>
      <c r="AZ536" s="41">
        <f>O536+P536</f>
        <v>1315</v>
      </c>
      <c r="BA536" s="41"/>
      <c r="BB536" s="41"/>
      <c r="BC536" s="41"/>
      <c r="BD536" s="41"/>
      <c r="BE536" s="41"/>
      <c r="BF536" s="41"/>
      <c r="BG536" s="41"/>
      <c r="BH536" s="41"/>
      <c r="BI536" s="42"/>
      <c r="BJ536" s="41"/>
      <c r="BK536" s="41"/>
      <c r="BL536" s="41"/>
      <c r="BM536" s="41"/>
      <c r="BN536" s="41"/>
    </row>
    <row r="537" spans="1:66" ht="12" hidden="1" customHeight="1" outlineLevel="2">
      <c r="A537" s="91" t="s">
        <v>1188</v>
      </c>
      <c r="B537" s="1" t="s">
        <v>39</v>
      </c>
      <c r="C537" s="21">
        <f>58+123</f>
        <v>181</v>
      </c>
      <c r="D537" s="21">
        <f>93+352-C537</f>
        <v>264</v>
      </c>
      <c r="E537" s="21">
        <f>13+150</f>
        <v>163</v>
      </c>
      <c r="F537" s="21">
        <f>38+286-E537</f>
        <v>161</v>
      </c>
      <c r="G537" s="21">
        <v>27</v>
      </c>
      <c r="H537" s="21">
        <f>310-G537</f>
        <v>283</v>
      </c>
      <c r="I537" s="21">
        <v>190</v>
      </c>
      <c r="J537" s="21">
        <v>271</v>
      </c>
      <c r="K537" s="21">
        <v>223</v>
      </c>
      <c r="L537" s="21">
        <v>233</v>
      </c>
      <c r="M537" s="62">
        <v>253</v>
      </c>
      <c r="N537" s="62">
        <v>315</v>
      </c>
      <c r="O537" s="62">
        <v>246</v>
      </c>
      <c r="P537" s="62">
        <v>184</v>
      </c>
      <c r="Q537" s="62">
        <v>269</v>
      </c>
      <c r="R537" s="41"/>
      <c r="S537" s="41"/>
      <c r="T537" s="41"/>
      <c r="U537" s="41"/>
      <c r="V537" s="41"/>
      <c r="W537" s="41"/>
      <c r="X537" s="41"/>
      <c r="Y537" s="41"/>
      <c r="Z537" s="41"/>
      <c r="AA537" s="41"/>
      <c r="AB537" s="41"/>
      <c r="AC537" s="41"/>
      <c r="AD537" s="41"/>
      <c r="AE537" s="41"/>
      <c r="AF537" s="41"/>
      <c r="AG537" s="41"/>
      <c r="AH537" s="41"/>
      <c r="AI537" s="42"/>
      <c r="AJ537" s="41"/>
      <c r="AK537" s="41"/>
      <c r="AL537" s="41"/>
      <c r="AM537" s="41"/>
      <c r="AN537" s="41"/>
      <c r="AO537" s="41"/>
      <c r="AP537" s="41"/>
      <c r="AQ537" s="41"/>
      <c r="AR537" s="41"/>
      <c r="AT537" s="19">
        <f>C537+D537</f>
        <v>445</v>
      </c>
      <c r="AU537" s="19">
        <f>E537+F537</f>
        <v>324</v>
      </c>
      <c r="AV537" s="19">
        <f>G537+H537</f>
        <v>310</v>
      </c>
      <c r="AW537" s="19">
        <f>I537+J537</f>
        <v>461</v>
      </c>
      <c r="AX537" s="19">
        <f>K537+L537</f>
        <v>456</v>
      </c>
      <c r="AY537" s="19">
        <f>M537+N537</f>
        <v>568</v>
      </c>
      <c r="AZ537" s="19">
        <f>O537+P537</f>
        <v>430</v>
      </c>
      <c r="BA537" s="19"/>
      <c r="BB537" s="19"/>
      <c r="BC537" s="19"/>
      <c r="BD537" s="19"/>
      <c r="BE537" s="19"/>
      <c r="BF537" s="19"/>
      <c r="BG537" s="19"/>
      <c r="BH537" s="19"/>
      <c r="BI537" s="20"/>
      <c r="BJ537" s="19"/>
      <c r="BK537" s="19"/>
      <c r="BL537" s="19"/>
      <c r="BM537" s="19"/>
      <c r="BN537" s="19"/>
    </row>
    <row r="538" spans="1:66" ht="12" hidden="1" customHeight="1" outlineLevel="2">
      <c r="A538" s="91" t="s">
        <v>1189</v>
      </c>
      <c r="B538" s="1" t="s">
        <v>9</v>
      </c>
      <c r="C538" s="21">
        <v>3</v>
      </c>
      <c r="D538" s="21">
        <f>11-C538</f>
        <v>8</v>
      </c>
      <c r="E538" s="21">
        <v>15</v>
      </c>
      <c r="F538" s="21">
        <f>15-E538</f>
        <v>0</v>
      </c>
      <c r="G538" s="21">
        <v>9</v>
      </c>
      <c r="H538" s="21">
        <f>19-G538</f>
        <v>10</v>
      </c>
      <c r="I538" s="21">
        <v>15</v>
      </c>
      <c r="J538" s="21">
        <v>13</v>
      </c>
      <c r="K538" s="21">
        <v>15</v>
      </c>
      <c r="L538" s="21">
        <v>8</v>
      </c>
      <c r="M538" s="62">
        <v>2</v>
      </c>
      <c r="N538" s="62">
        <v>-3</v>
      </c>
      <c r="O538" s="62">
        <v>-6</v>
      </c>
      <c r="P538" s="62">
        <v>8</v>
      </c>
      <c r="Q538" s="62">
        <v>-10</v>
      </c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  <c r="AG538" s="58"/>
      <c r="AH538" s="58"/>
      <c r="AI538" s="501"/>
      <c r="AJ538" s="58"/>
      <c r="AK538" s="58"/>
      <c r="AL538" s="58"/>
      <c r="AM538" s="58"/>
      <c r="AN538" s="58"/>
      <c r="AO538" s="58"/>
      <c r="AP538" s="58"/>
      <c r="AQ538" s="58"/>
      <c r="AR538" s="58"/>
      <c r="AS538" s="8"/>
      <c r="AT538" s="41">
        <f>C538+D538</f>
        <v>11</v>
      </c>
      <c r="AU538" s="41">
        <f>E538+F538</f>
        <v>15</v>
      </c>
      <c r="AV538" s="41">
        <f>G538+H538</f>
        <v>19</v>
      </c>
      <c r="AW538" s="41">
        <f>I538+J538</f>
        <v>28</v>
      </c>
      <c r="AX538" s="41">
        <f>K538+L538</f>
        <v>23</v>
      </c>
      <c r="AY538" s="41">
        <f>M538+N538</f>
        <v>-1</v>
      </c>
      <c r="AZ538" s="41">
        <f>O538+P538</f>
        <v>2</v>
      </c>
      <c r="BA538" s="41"/>
      <c r="BB538" s="41"/>
      <c r="BC538" s="41"/>
      <c r="BD538" s="41"/>
      <c r="BE538" s="41"/>
      <c r="BF538" s="41"/>
      <c r="BG538" s="41"/>
      <c r="BH538" s="41"/>
      <c r="BI538" s="42"/>
      <c r="BJ538" s="41"/>
      <c r="BK538" s="41"/>
      <c r="BL538" s="41"/>
      <c r="BM538" s="41"/>
      <c r="BN538" s="41"/>
    </row>
    <row r="539" spans="1:66" ht="12" hidden="1" customHeight="1" outlineLevel="2">
      <c r="A539" s="91" t="s">
        <v>1190</v>
      </c>
      <c r="B539" s="1" t="s">
        <v>45</v>
      </c>
      <c r="C539" s="21">
        <v>-50</v>
      </c>
      <c r="D539" s="21">
        <f>-53-C539</f>
        <v>-3</v>
      </c>
      <c r="E539" s="21">
        <v>12</v>
      </c>
      <c r="F539" s="21">
        <f>13-E539</f>
        <v>1</v>
      </c>
      <c r="G539" s="21">
        <v>-15</v>
      </c>
      <c r="H539" s="21">
        <f>-29-G539</f>
        <v>-14</v>
      </c>
      <c r="I539" s="21">
        <v>-34</v>
      </c>
      <c r="J539" s="21">
        <v>-23</v>
      </c>
      <c r="K539" s="21">
        <v>-29</v>
      </c>
      <c r="L539" s="21">
        <v>-60</v>
      </c>
      <c r="M539" s="62">
        <v>-48</v>
      </c>
      <c r="N539" s="62">
        <v>-187</v>
      </c>
      <c r="O539" s="62">
        <v>-166</v>
      </c>
      <c r="P539" s="62">
        <v>-120</v>
      </c>
      <c r="Q539" s="62">
        <v>-48</v>
      </c>
      <c r="R539" s="41"/>
      <c r="S539" s="41"/>
      <c r="T539" s="41"/>
      <c r="U539" s="41"/>
      <c r="V539" s="41"/>
      <c r="W539" s="41"/>
      <c r="X539" s="41"/>
      <c r="Y539" s="41"/>
      <c r="Z539" s="41"/>
      <c r="AA539" s="41"/>
      <c r="AB539" s="41"/>
      <c r="AC539" s="41"/>
      <c r="AD539" s="41"/>
      <c r="AE539" s="41"/>
      <c r="AF539" s="41"/>
      <c r="AG539" s="41"/>
      <c r="AH539" s="41"/>
      <c r="AI539" s="42"/>
      <c r="AJ539" s="41"/>
      <c r="AK539" s="41"/>
      <c r="AL539" s="41"/>
      <c r="AM539" s="41"/>
      <c r="AN539" s="41"/>
      <c r="AO539" s="41"/>
      <c r="AP539" s="41"/>
      <c r="AQ539" s="41"/>
      <c r="AR539" s="41"/>
      <c r="AS539" s="8"/>
      <c r="AT539" s="41">
        <f>C539+D539</f>
        <v>-53</v>
      </c>
      <c r="AU539" s="41">
        <f>E539+F539</f>
        <v>13</v>
      </c>
      <c r="AV539" s="41">
        <f>G539+H539</f>
        <v>-29</v>
      </c>
      <c r="AW539" s="41">
        <f>I539+J539</f>
        <v>-57</v>
      </c>
      <c r="AX539" s="41">
        <f>K539+L539</f>
        <v>-89</v>
      </c>
      <c r="AY539" s="41">
        <f>M539+N539</f>
        <v>-235</v>
      </c>
      <c r="AZ539" s="41">
        <f>O539+P539</f>
        <v>-286</v>
      </c>
      <c r="BA539" s="41"/>
      <c r="BB539" s="41"/>
      <c r="BC539" s="41"/>
      <c r="BD539" s="41"/>
      <c r="BE539" s="41"/>
      <c r="BF539" s="41"/>
      <c r="BG539" s="41"/>
      <c r="BH539" s="41"/>
      <c r="BI539" s="42"/>
      <c r="BJ539" s="41"/>
      <c r="BK539" s="41"/>
      <c r="BL539" s="41"/>
      <c r="BM539" s="41"/>
      <c r="BN539" s="41"/>
    </row>
    <row r="540" spans="1:66" ht="12" hidden="1" customHeight="1" outlineLevel="2">
      <c r="A540" s="91" t="s">
        <v>1191</v>
      </c>
      <c r="B540" s="1" t="s">
        <v>10</v>
      </c>
      <c r="C540" s="19">
        <f t="shared" ref="C540:H540" si="5498">C541-C527-C537-C535-C538-C539-C536</f>
        <v>51</v>
      </c>
      <c r="D540" s="19">
        <f t="shared" si="5498"/>
        <v>45</v>
      </c>
      <c r="E540" s="19">
        <f t="shared" si="5498"/>
        <v>114</v>
      </c>
      <c r="F540" s="19">
        <f t="shared" si="5498"/>
        <v>190</v>
      </c>
      <c r="G540" s="19">
        <f t="shared" si="5498"/>
        <v>35</v>
      </c>
      <c r="H540" s="19">
        <f t="shared" si="5498"/>
        <v>308</v>
      </c>
      <c r="I540" s="19">
        <f t="shared" ref="I540:N540" si="5499">I541-I527-I537-I535-I538-I539-I536</f>
        <v>-20</v>
      </c>
      <c r="J540" s="19">
        <f t="shared" si="5499"/>
        <v>7</v>
      </c>
      <c r="K540" s="19">
        <f t="shared" si="5499"/>
        <v>-30</v>
      </c>
      <c r="L540" s="19">
        <f t="shared" si="5499"/>
        <v>36</v>
      </c>
      <c r="M540" s="41">
        <f t="shared" si="5499"/>
        <v>7</v>
      </c>
      <c r="N540" s="41">
        <f t="shared" si="5499"/>
        <v>-51</v>
      </c>
      <c r="O540" s="41">
        <f t="shared" ref="O540:P540" si="5500">O541-O527-O537-O535-O538-O539-O536</f>
        <v>37</v>
      </c>
      <c r="P540" s="41">
        <f t="shared" si="5500"/>
        <v>-31</v>
      </c>
      <c r="Q540" s="41">
        <f t="shared" ref="Q540" si="5501">Q541-Q527-Q537-Q535-Q538-Q539-Q536</f>
        <v>152</v>
      </c>
      <c r="R540" s="41"/>
      <c r="S540" s="41"/>
      <c r="T540" s="41"/>
      <c r="U540" s="41"/>
      <c r="V540" s="41"/>
      <c r="W540" s="41"/>
      <c r="X540" s="41"/>
      <c r="Y540" s="41"/>
      <c r="Z540" s="41"/>
      <c r="AA540" s="41"/>
      <c r="AB540" s="41"/>
      <c r="AC540" s="41"/>
      <c r="AD540" s="41"/>
      <c r="AE540" s="41"/>
      <c r="AF540" s="41"/>
      <c r="AG540" s="41"/>
      <c r="AH540" s="41"/>
      <c r="AI540" s="42"/>
      <c r="AJ540" s="41"/>
      <c r="AK540" s="41"/>
      <c r="AL540" s="41"/>
      <c r="AM540" s="41"/>
      <c r="AN540" s="41"/>
      <c r="AO540" s="41"/>
      <c r="AP540" s="41"/>
      <c r="AQ540" s="41"/>
      <c r="AR540" s="41"/>
      <c r="AS540" s="8"/>
      <c r="AT540" s="41">
        <f>C540+D540</f>
        <v>96</v>
      </c>
      <c r="AU540" s="41">
        <f>E540+F540</f>
        <v>304</v>
      </c>
      <c r="AV540" s="41">
        <f>G540+H540</f>
        <v>343</v>
      </c>
      <c r="AW540" s="41">
        <f>I540+J540</f>
        <v>-13</v>
      </c>
      <c r="AX540" s="41">
        <f>K540+L540</f>
        <v>6</v>
      </c>
      <c r="AY540" s="41">
        <f>M540+N540</f>
        <v>-44</v>
      </c>
      <c r="AZ540" s="41">
        <f>O540+P540</f>
        <v>6</v>
      </c>
      <c r="BA540" s="41"/>
      <c r="BB540" s="41"/>
      <c r="BC540" s="41"/>
      <c r="BD540" s="41"/>
      <c r="BE540" s="41"/>
      <c r="BF540" s="41"/>
      <c r="BG540" s="41"/>
      <c r="BH540" s="41"/>
      <c r="BI540" s="42"/>
      <c r="BJ540" s="41"/>
      <c r="BK540" s="41"/>
      <c r="BL540" s="41"/>
      <c r="BM540" s="41"/>
      <c r="BN540" s="41"/>
    </row>
    <row r="541" spans="1:66" s="9" customFormat="1" ht="12" hidden="1" customHeight="1" outlineLevel="2">
      <c r="A541" s="91" t="s">
        <v>1192</v>
      </c>
      <c r="B541" s="9" t="s">
        <v>35</v>
      </c>
      <c r="C541" s="22">
        <v>645</v>
      </c>
      <c r="D541" s="22">
        <f>1441-C541</f>
        <v>796</v>
      </c>
      <c r="E541" s="22">
        <v>549</v>
      </c>
      <c r="F541" s="22">
        <f>1416-E541</f>
        <v>867</v>
      </c>
      <c r="G541" s="22">
        <v>415</v>
      </c>
      <c r="H541" s="22">
        <f>1364-G541</f>
        <v>949</v>
      </c>
      <c r="I541" s="22">
        <v>578</v>
      </c>
      <c r="J541" s="22">
        <v>725</v>
      </c>
      <c r="K541" s="22">
        <v>653</v>
      </c>
      <c r="L541" s="22">
        <v>1029</v>
      </c>
      <c r="M541" s="61">
        <v>725</v>
      </c>
      <c r="N541" s="61">
        <v>1106</v>
      </c>
      <c r="O541" s="61">
        <v>811</v>
      </c>
      <c r="P541" s="61">
        <v>884</v>
      </c>
      <c r="Q541" s="61">
        <v>1002</v>
      </c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40"/>
      <c r="AJ541" s="39"/>
      <c r="AK541" s="39"/>
      <c r="AL541" s="39"/>
      <c r="AM541" s="39"/>
      <c r="AN541" s="39"/>
      <c r="AO541" s="39"/>
      <c r="AP541" s="39"/>
      <c r="AQ541" s="39"/>
      <c r="AR541" s="39"/>
      <c r="AS541" s="74"/>
      <c r="AT541" s="39">
        <f t="shared" ref="AT541:AZ541" si="5502">AT527+AT536+AT537+AT538+AT539+AT540+AT535</f>
        <v>1441</v>
      </c>
      <c r="AU541" s="39">
        <f t="shared" si="5502"/>
        <v>1416</v>
      </c>
      <c r="AV541" s="39">
        <f t="shared" si="5502"/>
        <v>1364</v>
      </c>
      <c r="AW541" s="39">
        <f t="shared" si="5502"/>
        <v>1303</v>
      </c>
      <c r="AX541" s="39">
        <f t="shared" si="5502"/>
        <v>1682</v>
      </c>
      <c r="AY541" s="39">
        <f t="shared" si="5502"/>
        <v>1831</v>
      </c>
      <c r="AZ541" s="39">
        <f t="shared" si="5502"/>
        <v>1695</v>
      </c>
      <c r="BA541" s="39"/>
      <c r="BB541" s="39"/>
      <c r="BC541" s="39"/>
      <c r="BD541" s="39"/>
      <c r="BE541" s="39"/>
      <c r="BF541" s="39"/>
      <c r="BG541" s="39"/>
      <c r="BH541" s="39"/>
      <c r="BI541" s="40"/>
      <c r="BJ541" s="39"/>
      <c r="BK541" s="39"/>
      <c r="BL541" s="39"/>
      <c r="BM541" s="39"/>
      <c r="BN541" s="39"/>
    </row>
    <row r="542" spans="1:66" ht="12" hidden="1" customHeight="1" outlineLevel="2">
      <c r="A542" s="91" t="s">
        <v>1193</v>
      </c>
      <c r="B542" s="1" t="s">
        <v>14</v>
      </c>
      <c r="C542" s="21">
        <v>-96</v>
      </c>
      <c r="D542" s="21">
        <f>-209-C542</f>
        <v>-113</v>
      </c>
      <c r="E542" s="21">
        <v>-123</v>
      </c>
      <c r="F542" s="21">
        <f>-302-E542</f>
        <v>-179</v>
      </c>
      <c r="G542" s="21">
        <v>-122</v>
      </c>
      <c r="H542" s="21">
        <f>-257-G542</f>
        <v>-135</v>
      </c>
      <c r="I542" s="21">
        <v>-115</v>
      </c>
      <c r="J542" s="21">
        <v>-125</v>
      </c>
      <c r="K542" s="21">
        <v>-122</v>
      </c>
      <c r="L542" s="21">
        <v>-142</v>
      </c>
      <c r="M542" s="62">
        <v>-133</v>
      </c>
      <c r="N542" s="62">
        <v>-150</v>
      </c>
      <c r="O542" s="62">
        <v>-166</v>
      </c>
      <c r="P542" s="62">
        <v>-178</v>
      </c>
      <c r="Q542" s="62">
        <v>-155</v>
      </c>
      <c r="R542" s="41"/>
      <c r="S542" s="41"/>
      <c r="T542" s="41"/>
      <c r="U542" s="41"/>
      <c r="V542" s="41"/>
      <c r="W542" s="41"/>
      <c r="X542" s="41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2"/>
      <c r="AJ542" s="41"/>
      <c r="AK542" s="41"/>
      <c r="AL542" s="41"/>
      <c r="AM542" s="41"/>
      <c r="AN542" s="41"/>
      <c r="AO542" s="41"/>
      <c r="AP542" s="41"/>
      <c r="AQ542" s="41"/>
      <c r="AR542" s="41"/>
      <c r="AS542" s="8"/>
      <c r="AT542" s="41">
        <f>C542+D542</f>
        <v>-209</v>
      </c>
      <c r="AU542" s="41">
        <f>E542+F542</f>
        <v>-302</v>
      </c>
      <c r="AV542" s="41">
        <f>G542+H542</f>
        <v>-257</v>
      </c>
      <c r="AW542" s="41">
        <f>I542+J542</f>
        <v>-240</v>
      </c>
      <c r="AX542" s="41">
        <f>K542+L542</f>
        <v>-264</v>
      </c>
      <c r="AY542" s="41">
        <f>M542+N542</f>
        <v>-283</v>
      </c>
      <c r="AZ542" s="41">
        <f>O542+P542</f>
        <v>-344</v>
      </c>
      <c r="BA542" s="41"/>
      <c r="BB542" s="41"/>
      <c r="BC542" s="41"/>
      <c r="BD542" s="41"/>
      <c r="BE542" s="41"/>
      <c r="BF542" s="41"/>
      <c r="BG542" s="41"/>
      <c r="BH542" s="41"/>
      <c r="BI542" s="42"/>
      <c r="BJ542" s="41"/>
      <c r="BK542" s="41"/>
      <c r="BL542" s="41"/>
      <c r="BM542" s="41"/>
      <c r="BN542" s="41"/>
    </row>
    <row r="543" spans="1:66" ht="12" hidden="1" customHeight="1" outlineLevel="2">
      <c r="A543" s="91" t="s">
        <v>1194</v>
      </c>
      <c r="B543" s="1" t="s">
        <v>21</v>
      </c>
      <c r="C543" s="21">
        <v>-55</v>
      </c>
      <c r="D543" s="21">
        <f>-138-C543</f>
        <v>-83</v>
      </c>
      <c r="E543" s="21">
        <v>-91</v>
      </c>
      <c r="F543" s="21">
        <f>-173-E543</f>
        <v>-82</v>
      </c>
      <c r="G543" s="21">
        <v>-74</v>
      </c>
      <c r="H543" s="21">
        <f>-156-G543</f>
        <v>-82</v>
      </c>
      <c r="I543" s="21">
        <v>-74</v>
      </c>
      <c r="J543" s="21">
        <v>-68</v>
      </c>
      <c r="K543" s="21">
        <v>-124</v>
      </c>
      <c r="L543" s="21">
        <v>-157</v>
      </c>
      <c r="M543" s="62">
        <v>-124</v>
      </c>
      <c r="N543" s="62">
        <v>-134</v>
      </c>
      <c r="O543" s="62">
        <v>-112</v>
      </c>
      <c r="P543" s="62">
        <v>-123</v>
      </c>
      <c r="Q543" s="62">
        <v>-103</v>
      </c>
      <c r="R543" s="41"/>
      <c r="S543" s="41"/>
      <c r="T543" s="41"/>
      <c r="U543" s="41"/>
      <c r="V543" s="41"/>
      <c r="W543" s="41"/>
      <c r="X543" s="41"/>
      <c r="Y543" s="41"/>
      <c r="Z543" s="41"/>
      <c r="AA543" s="41"/>
      <c r="AB543" s="41"/>
      <c r="AC543" s="41"/>
      <c r="AD543" s="41"/>
      <c r="AE543" s="41"/>
      <c r="AF543" s="41"/>
      <c r="AG543" s="41"/>
      <c r="AH543" s="41"/>
      <c r="AI543" s="42"/>
      <c r="AJ543" s="41"/>
      <c r="AK543" s="41"/>
      <c r="AL543" s="41"/>
      <c r="AM543" s="41"/>
      <c r="AN543" s="41"/>
      <c r="AO543" s="41"/>
      <c r="AP543" s="41"/>
      <c r="AQ543" s="41"/>
      <c r="AR543" s="41"/>
      <c r="AS543" s="8"/>
      <c r="AT543" s="41">
        <f>C543+D543</f>
        <v>-138</v>
      </c>
      <c r="AU543" s="41">
        <f>E543+F543</f>
        <v>-173</v>
      </c>
      <c r="AV543" s="41">
        <f>G543+H543</f>
        <v>-156</v>
      </c>
      <c r="AW543" s="41">
        <f>I543+J543</f>
        <v>-142</v>
      </c>
      <c r="AX543" s="41">
        <f>K543+L543</f>
        <v>-281</v>
      </c>
      <c r="AY543" s="41">
        <f>M543+N543</f>
        <v>-258</v>
      </c>
      <c r="AZ543" s="41">
        <f>O543+P543</f>
        <v>-235</v>
      </c>
      <c r="BA543" s="41"/>
      <c r="BB543" s="41"/>
      <c r="BC543" s="41"/>
      <c r="BD543" s="41"/>
      <c r="BE543" s="41"/>
      <c r="BF543" s="41"/>
      <c r="BG543" s="41"/>
      <c r="BH543" s="41"/>
      <c r="BI543" s="42"/>
      <c r="BJ543" s="41"/>
      <c r="BK543" s="41"/>
      <c r="BL543" s="41"/>
      <c r="BM543" s="41"/>
      <c r="BN543" s="41"/>
    </row>
    <row r="544" spans="1:66" ht="12" hidden="1" customHeight="1" outlineLevel="2">
      <c r="A544" s="91" t="s">
        <v>1195</v>
      </c>
      <c r="B544" s="1" t="s">
        <v>11</v>
      </c>
      <c r="C544" s="21">
        <f>-277-C542-C543</f>
        <v>-126</v>
      </c>
      <c r="D544" s="21">
        <f>-614-C542-C543-C544-D542-D543</f>
        <v>-141</v>
      </c>
      <c r="E544" s="21">
        <f>-382-E542-E543</f>
        <v>-168</v>
      </c>
      <c r="F544" s="21">
        <f>-841-E542-E543-E544-F542-F543</f>
        <v>-198</v>
      </c>
      <c r="G544" s="21">
        <f>-409-G542-G543</f>
        <v>-213</v>
      </c>
      <c r="H544" s="21">
        <f>-825-G542-G543-G544-H542-H543</f>
        <v>-199</v>
      </c>
      <c r="I544" s="21">
        <f>-359-I542-I543</f>
        <v>-170</v>
      </c>
      <c r="J544" s="21">
        <f>-381-J542-J543</f>
        <v>-188</v>
      </c>
      <c r="K544" s="21">
        <f>-450-K542-K543</f>
        <v>-204</v>
      </c>
      <c r="L544" s="21">
        <f>-506-L543-L542</f>
        <v>-207</v>
      </c>
      <c r="M544" s="62">
        <f>-475-M543-M542</f>
        <v>-218</v>
      </c>
      <c r="N544" s="62">
        <f>-521-N543-N542</f>
        <v>-237</v>
      </c>
      <c r="O544" s="62">
        <f>-529-O543-O542</f>
        <v>-251</v>
      </c>
      <c r="P544" s="62">
        <v>-289</v>
      </c>
      <c r="Q544" s="62">
        <v>-271</v>
      </c>
      <c r="R544" s="41"/>
      <c r="S544" s="41"/>
      <c r="T544" s="41"/>
      <c r="U544" s="41"/>
      <c r="V544" s="41"/>
      <c r="W544" s="41"/>
      <c r="X544" s="41"/>
      <c r="Y544" s="41"/>
      <c r="Z544" s="41"/>
      <c r="AA544" s="41"/>
      <c r="AB544" s="41"/>
      <c r="AC544" s="41"/>
      <c r="AD544" s="41"/>
      <c r="AE544" s="41"/>
      <c r="AF544" s="41"/>
      <c r="AG544" s="41"/>
      <c r="AH544" s="41"/>
      <c r="AI544" s="42"/>
      <c r="AJ544" s="41"/>
      <c r="AK544" s="41"/>
      <c r="AL544" s="41"/>
      <c r="AM544" s="41"/>
      <c r="AN544" s="41"/>
      <c r="AO544" s="41"/>
      <c r="AP544" s="41"/>
      <c r="AQ544" s="41"/>
      <c r="AR544" s="41"/>
      <c r="AS544" s="8"/>
      <c r="AT544" s="41">
        <f>C544+D544</f>
        <v>-267</v>
      </c>
      <c r="AU544" s="41">
        <f>E544+F544</f>
        <v>-366</v>
      </c>
      <c r="AV544" s="41">
        <f>G544+H544</f>
        <v>-412</v>
      </c>
      <c r="AW544" s="41">
        <f>I544+J544</f>
        <v>-358</v>
      </c>
      <c r="AX544" s="41">
        <f>K544+L544</f>
        <v>-411</v>
      </c>
      <c r="AY544" s="41">
        <f>M544+N544</f>
        <v>-455</v>
      </c>
      <c r="AZ544" s="41">
        <f>O544+P544</f>
        <v>-540</v>
      </c>
      <c r="BA544" s="41"/>
      <c r="BB544" s="41"/>
      <c r="BC544" s="41"/>
      <c r="BD544" s="41"/>
      <c r="BE544" s="41"/>
      <c r="BF544" s="41"/>
      <c r="BG544" s="41"/>
      <c r="BH544" s="41"/>
      <c r="BI544" s="42"/>
      <c r="BJ544" s="41"/>
      <c r="BK544" s="41"/>
      <c r="BL544" s="41"/>
      <c r="BM544" s="41"/>
      <c r="BN544" s="41"/>
    </row>
    <row r="545" spans="1:66" s="9" customFormat="1" ht="12" hidden="1" customHeight="1" outlineLevel="2">
      <c r="A545" s="91" t="s">
        <v>1196</v>
      </c>
      <c r="B545" s="9" t="s">
        <v>52</v>
      </c>
      <c r="C545" s="17">
        <f t="shared" ref="C545:H545" si="5503">C541+C542+C543+C544</f>
        <v>368</v>
      </c>
      <c r="D545" s="17">
        <f t="shared" si="5503"/>
        <v>459</v>
      </c>
      <c r="E545" s="17">
        <f t="shared" si="5503"/>
        <v>167</v>
      </c>
      <c r="F545" s="17">
        <f t="shared" si="5503"/>
        <v>408</v>
      </c>
      <c r="G545" s="17">
        <f t="shared" si="5503"/>
        <v>6</v>
      </c>
      <c r="H545" s="17">
        <f t="shared" si="5503"/>
        <v>533</v>
      </c>
      <c r="I545" s="17">
        <f>I541+I542+I543+I544</f>
        <v>219</v>
      </c>
      <c r="J545" s="17">
        <f>J541+J542+J543+J544</f>
        <v>344</v>
      </c>
      <c r="K545" s="17">
        <f>K541+K542+K543+K544</f>
        <v>203</v>
      </c>
      <c r="L545" s="17">
        <f t="shared" ref="L545" si="5504">L541+L542+L543+L544</f>
        <v>523</v>
      </c>
      <c r="M545" s="39">
        <f t="shared" ref="M545:N545" si="5505">M541+M542+M543+M544</f>
        <v>250</v>
      </c>
      <c r="N545" s="39">
        <f t="shared" si="5505"/>
        <v>585</v>
      </c>
      <c r="O545" s="39">
        <f t="shared" ref="O545:P545" si="5506">O541+O542+O543+O544</f>
        <v>282</v>
      </c>
      <c r="P545" s="39">
        <f t="shared" si="5506"/>
        <v>294</v>
      </c>
      <c r="Q545" s="39">
        <f t="shared" ref="Q545" si="5507">Q541+Q542+Q543+Q544</f>
        <v>473</v>
      </c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40"/>
      <c r="AJ545" s="39"/>
      <c r="AK545" s="39"/>
      <c r="AL545" s="39"/>
      <c r="AM545" s="39"/>
      <c r="AN545" s="39"/>
      <c r="AO545" s="39"/>
      <c r="AP545" s="39"/>
      <c r="AQ545" s="39"/>
      <c r="AR545" s="39"/>
      <c r="AS545" s="74"/>
      <c r="AT545" s="39">
        <f t="shared" ref="AT545:AZ545" si="5508">AT541+AT542+AT543+AT544</f>
        <v>827</v>
      </c>
      <c r="AU545" s="39">
        <f t="shared" si="5508"/>
        <v>575</v>
      </c>
      <c r="AV545" s="39">
        <f t="shared" si="5508"/>
        <v>539</v>
      </c>
      <c r="AW545" s="39">
        <f t="shared" si="5508"/>
        <v>563</v>
      </c>
      <c r="AX545" s="39">
        <f t="shared" si="5508"/>
        <v>726</v>
      </c>
      <c r="AY545" s="39">
        <f t="shared" si="5508"/>
        <v>835</v>
      </c>
      <c r="AZ545" s="39">
        <f t="shared" si="5508"/>
        <v>576</v>
      </c>
      <c r="BA545" s="39"/>
      <c r="BB545" s="39"/>
      <c r="BC545" s="39"/>
      <c r="BD545" s="39"/>
      <c r="BE545" s="39"/>
      <c r="BF545" s="39"/>
      <c r="BG545" s="39"/>
      <c r="BH545" s="39"/>
      <c r="BI545" s="40"/>
      <c r="BJ545" s="39"/>
      <c r="BK545" s="39"/>
      <c r="BL545" s="39"/>
      <c r="BM545" s="39"/>
      <c r="BN545" s="39"/>
    </row>
    <row r="546" spans="1:66" ht="12" hidden="1" customHeight="1" outlineLevel="2">
      <c r="A546" s="91" t="s">
        <v>1197</v>
      </c>
      <c r="B546" s="1" t="s">
        <v>16</v>
      </c>
      <c r="C546" s="21">
        <v>0</v>
      </c>
      <c r="D546" s="21">
        <v>0</v>
      </c>
      <c r="E546" s="21">
        <v>0</v>
      </c>
      <c r="F546" s="21">
        <v>0</v>
      </c>
      <c r="G546" s="21">
        <v>0</v>
      </c>
      <c r="H546" s="21">
        <v>0</v>
      </c>
      <c r="I546" s="21">
        <v>0</v>
      </c>
      <c r="J546" s="21">
        <v>0</v>
      </c>
      <c r="K546" s="21">
        <v>0</v>
      </c>
      <c r="L546" s="21">
        <v>0</v>
      </c>
      <c r="M546" s="62">
        <v>0</v>
      </c>
      <c r="N546" s="62">
        <v>0</v>
      </c>
      <c r="O546" s="62">
        <v>0</v>
      </c>
      <c r="P546" s="62">
        <v>0</v>
      </c>
      <c r="Q546" s="62">
        <v>-1</v>
      </c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  <c r="AG546" s="58"/>
      <c r="AH546" s="58"/>
      <c r="AI546" s="501"/>
      <c r="AJ546" s="58"/>
      <c r="AK546" s="58"/>
      <c r="AL546" s="58"/>
      <c r="AM546" s="58"/>
      <c r="AN546" s="58"/>
      <c r="AO546" s="58"/>
      <c r="AP546" s="58"/>
      <c r="AQ546" s="58"/>
      <c r="AR546" s="58"/>
      <c r="AS546" s="8"/>
      <c r="AT546" s="41">
        <f>C546+D546</f>
        <v>0</v>
      </c>
      <c r="AU546" s="41">
        <f>E546+F546</f>
        <v>0</v>
      </c>
      <c r="AV546" s="41">
        <f>G546+H546</f>
        <v>0</v>
      </c>
      <c r="AW546" s="41">
        <f>I546+J546</f>
        <v>0</v>
      </c>
      <c r="AX546" s="41">
        <f>K546+L546</f>
        <v>0</v>
      </c>
      <c r="AY546" s="41">
        <f>M546+N546</f>
        <v>0</v>
      </c>
      <c r="AZ546" s="41">
        <f>O546+P546</f>
        <v>0</v>
      </c>
      <c r="BA546" s="41"/>
      <c r="BB546" s="41"/>
      <c r="BC546" s="41"/>
      <c r="BD546" s="41"/>
      <c r="BE546" s="41"/>
      <c r="BF546" s="41"/>
      <c r="BG546" s="41"/>
      <c r="BH546" s="41"/>
      <c r="BI546" s="42"/>
      <c r="BJ546" s="41"/>
      <c r="BK546" s="41"/>
      <c r="BL546" s="41"/>
      <c r="BM546" s="41"/>
      <c r="BN546" s="41"/>
    </row>
    <row r="547" spans="1:66" s="9" customFormat="1" ht="12" hidden="1" customHeight="1" outlineLevel="2">
      <c r="A547" s="91" t="s">
        <v>559</v>
      </c>
      <c r="B547" s="16" t="s">
        <v>51</v>
      </c>
      <c r="C547" s="17">
        <f t="shared" ref="C547:H547" si="5509">C545+C546</f>
        <v>368</v>
      </c>
      <c r="D547" s="17">
        <f t="shared" si="5509"/>
        <v>459</v>
      </c>
      <c r="E547" s="17">
        <f t="shared" si="5509"/>
        <v>167</v>
      </c>
      <c r="F547" s="17">
        <f t="shared" si="5509"/>
        <v>408</v>
      </c>
      <c r="G547" s="17">
        <f t="shared" si="5509"/>
        <v>6</v>
      </c>
      <c r="H547" s="17">
        <f t="shared" si="5509"/>
        <v>533</v>
      </c>
      <c r="I547" s="17">
        <f>I545+I546</f>
        <v>219</v>
      </c>
      <c r="J547" s="17">
        <f>J545+J546</f>
        <v>344</v>
      </c>
      <c r="K547" s="17">
        <f>K545+K546</f>
        <v>203</v>
      </c>
      <c r="L547" s="17">
        <f t="shared" ref="L547" si="5510">L545+L546</f>
        <v>523</v>
      </c>
      <c r="M547" s="63">
        <f t="shared" ref="M547:N547" si="5511">M545+M546</f>
        <v>250</v>
      </c>
      <c r="N547" s="63">
        <f t="shared" si="5511"/>
        <v>585</v>
      </c>
      <c r="O547" s="63">
        <f t="shared" ref="O547:P547" si="5512">O545+O546</f>
        <v>282</v>
      </c>
      <c r="P547" s="63">
        <f t="shared" si="5512"/>
        <v>294</v>
      </c>
      <c r="Q547" s="63">
        <f t="shared" ref="Q547" si="5513">Q545+Q546</f>
        <v>472</v>
      </c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4"/>
      <c r="AJ547" s="63"/>
      <c r="AK547" s="63"/>
      <c r="AL547" s="63"/>
      <c r="AM547" s="63"/>
      <c r="AN547" s="63"/>
      <c r="AO547" s="63"/>
      <c r="AP547" s="63"/>
      <c r="AQ547" s="63"/>
      <c r="AR547" s="63"/>
      <c r="AS547" s="75"/>
      <c r="AT547" s="63">
        <f t="shared" ref="AT547:AZ547" si="5514">AT545+AT546</f>
        <v>827</v>
      </c>
      <c r="AU547" s="63">
        <f t="shared" si="5514"/>
        <v>575</v>
      </c>
      <c r="AV547" s="63">
        <f t="shared" si="5514"/>
        <v>539</v>
      </c>
      <c r="AW547" s="63">
        <f t="shared" si="5514"/>
        <v>563</v>
      </c>
      <c r="AX547" s="63">
        <f t="shared" si="5514"/>
        <v>726</v>
      </c>
      <c r="AY547" s="63">
        <f t="shared" si="5514"/>
        <v>835</v>
      </c>
      <c r="AZ547" s="63">
        <f t="shared" si="5514"/>
        <v>576</v>
      </c>
      <c r="BA547" s="63"/>
      <c r="BB547" s="63"/>
      <c r="BC547" s="63"/>
      <c r="BD547" s="63"/>
      <c r="BE547" s="63"/>
      <c r="BF547" s="63"/>
      <c r="BG547" s="63"/>
      <c r="BH547" s="63"/>
      <c r="BI547" s="64"/>
      <c r="BJ547" s="63"/>
      <c r="BK547" s="63"/>
      <c r="BL547" s="63"/>
      <c r="BM547" s="63"/>
      <c r="BN547" s="63"/>
    </row>
    <row r="548" spans="1:66" ht="12" hidden="1" customHeight="1" outlineLevel="2">
      <c r="B548" s="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39"/>
      <c r="N548" s="41"/>
      <c r="O548" s="41"/>
      <c r="P548" s="41">
        <f>(O547+P547)</f>
        <v>576</v>
      </c>
      <c r="Q548" s="41"/>
      <c r="R548" s="41"/>
      <c r="S548" s="41"/>
      <c r="T548" s="41"/>
      <c r="U548" s="41"/>
      <c r="V548" s="41"/>
      <c r="W548" s="41"/>
      <c r="X548" s="41"/>
      <c r="Y548" s="41"/>
      <c r="Z548" s="41"/>
      <c r="AA548" s="41"/>
      <c r="AB548" s="41"/>
      <c r="AC548" s="41"/>
      <c r="AD548" s="41"/>
      <c r="AE548" s="41"/>
      <c r="AF548" s="41"/>
      <c r="AG548" s="41"/>
      <c r="AH548" s="41"/>
      <c r="AI548" s="42"/>
      <c r="AJ548" s="41"/>
      <c r="AK548" s="41"/>
      <c r="AL548" s="41"/>
      <c r="AM548" s="41"/>
      <c r="AN548" s="41"/>
      <c r="AO548" s="41"/>
      <c r="AP548" s="41"/>
      <c r="AQ548" s="41"/>
      <c r="AR548" s="41"/>
      <c r="AS548" s="74"/>
      <c r="AT548" s="39"/>
      <c r="AU548" s="39"/>
      <c r="AV548" s="39"/>
      <c r="AW548" s="39"/>
      <c r="AX548" s="39"/>
      <c r="AY548" s="44"/>
      <c r="AZ548" s="44"/>
      <c r="BA548" s="270"/>
      <c r="BB548" s="39"/>
      <c r="BC548" s="39"/>
      <c r="BD548" s="39"/>
      <c r="BE548" s="39"/>
      <c r="BF548" s="39"/>
      <c r="BG548" s="39"/>
      <c r="BH548" s="39"/>
      <c r="BI548" s="40"/>
      <c r="BJ548" s="39"/>
      <c r="BK548" s="39"/>
      <c r="BL548" s="39"/>
      <c r="BM548" s="39"/>
      <c r="BN548" s="39"/>
    </row>
    <row r="549" spans="1:66" s="9" customFormat="1" ht="12" hidden="1" customHeight="1" outlineLevel="2">
      <c r="A549" s="91"/>
      <c r="B549" s="9" t="s">
        <v>50</v>
      </c>
      <c r="C549" s="17"/>
      <c r="D549" s="17"/>
      <c r="E549" s="17"/>
      <c r="F549" s="17"/>
      <c r="G549" s="17"/>
      <c r="H549" s="272"/>
      <c r="I549" s="272"/>
      <c r="J549" s="272"/>
      <c r="K549" s="272"/>
      <c r="L549" s="272"/>
      <c r="M549" s="39"/>
      <c r="N549" s="39"/>
      <c r="O549" s="39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  <c r="AA549" s="44"/>
      <c r="AB549" s="44"/>
      <c r="AC549" s="44"/>
      <c r="AD549" s="44"/>
      <c r="AE549" s="44"/>
      <c r="AF549" s="44"/>
      <c r="AG549" s="44"/>
      <c r="AH549" s="44"/>
      <c r="AI549" s="49"/>
      <c r="AJ549" s="47"/>
      <c r="AK549" s="269"/>
      <c r="AL549" s="47"/>
      <c r="AM549" s="269"/>
      <c r="AN549" s="47"/>
      <c r="AO549" s="269"/>
      <c r="AP549" s="47"/>
      <c r="AQ549" s="269"/>
      <c r="AR549" s="47"/>
      <c r="AS549" s="74"/>
      <c r="AT549" s="39"/>
      <c r="AU549" s="39"/>
      <c r="AV549" s="39"/>
      <c r="AW549" s="39"/>
      <c r="AX549" s="39"/>
      <c r="AY549" s="39"/>
      <c r="AZ549" s="39"/>
      <c r="BA549" s="39"/>
      <c r="BB549" s="39"/>
      <c r="BC549" s="39"/>
      <c r="BD549" s="39"/>
      <c r="BE549" s="39"/>
      <c r="BF549" s="39"/>
      <c r="BG549" s="39"/>
      <c r="BH549" s="39"/>
      <c r="BI549" s="40"/>
      <c r="BJ549" s="39"/>
      <c r="BK549" s="39"/>
      <c r="BL549" s="39"/>
      <c r="BM549" s="39"/>
      <c r="BN549" s="39"/>
    </row>
    <row r="550" spans="1:66" ht="12" hidden="1" customHeight="1" outlineLevel="2">
      <c r="A550" s="91" t="str">
        <f>LEFT(A547,3)&amp;"_CapEarnings"</f>
        <v>FIC_CapEarnings</v>
      </c>
      <c r="B550" s="1" t="s">
        <v>53</v>
      </c>
      <c r="C550" s="21">
        <f>617-C541</f>
        <v>-28</v>
      </c>
      <c r="D550" s="21">
        <f>1400-D541-C541-C550</f>
        <v>-13</v>
      </c>
      <c r="E550" s="21">
        <f>522-E541</f>
        <v>-27</v>
      </c>
      <c r="F550" s="21">
        <f>1361-F541-E541-E550</f>
        <v>-28</v>
      </c>
      <c r="G550" s="21">
        <f>408-G541</f>
        <v>-7</v>
      </c>
      <c r="H550" s="21">
        <f>1348-H541-G541-G550</f>
        <v>-9</v>
      </c>
      <c r="I550" s="21">
        <f>585-I541</f>
        <v>7</v>
      </c>
      <c r="J550" s="21">
        <f>1286-J541-I541-I550</f>
        <v>-24</v>
      </c>
      <c r="K550" s="21">
        <f>648-K541</f>
        <v>-5</v>
      </c>
      <c r="L550" s="21">
        <f>(1029-12)-L541</f>
        <v>-12</v>
      </c>
      <c r="M550" s="62">
        <v>1</v>
      </c>
      <c r="N550" s="62">
        <v>9</v>
      </c>
      <c r="O550" s="62">
        <v>-2</v>
      </c>
      <c r="P550" s="62">
        <v>0</v>
      </c>
      <c r="Q550" s="62">
        <v>-6</v>
      </c>
      <c r="R550" s="41"/>
      <c r="S550" s="41"/>
      <c r="T550" s="41"/>
      <c r="U550" s="41"/>
      <c r="V550" s="41"/>
      <c r="W550" s="41"/>
      <c r="X550" s="41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2"/>
      <c r="AJ550" s="41"/>
      <c r="AK550" s="41"/>
      <c r="AL550" s="41"/>
      <c r="AM550" s="41"/>
      <c r="AN550" s="41"/>
      <c r="AO550" s="41"/>
      <c r="AP550" s="41"/>
      <c r="AQ550" s="41"/>
      <c r="AR550" s="41"/>
      <c r="AS550" s="8"/>
      <c r="AT550" s="41">
        <f>C550+D550</f>
        <v>-41</v>
      </c>
      <c r="AU550" s="41">
        <f>E550+F550</f>
        <v>-55</v>
      </c>
      <c r="AV550" s="41">
        <f>G550+H550</f>
        <v>-16</v>
      </c>
      <c r="AW550" s="41">
        <f>I550+J550</f>
        <v>-17</v>
      </c>
      <c r="AX550" s="41">
        <f>K550+L550</f>
        <v>-17</v>
      </c>
      <c r="AY550" s="41">
        <f>M550+N550</f>
        <v>10</v>
      </c>
      <c r="AZ550" s="41">
        <f>O550+P550</f>
        <v>-2</v>
      </c>
      <c r="BA550" s="41"/>
      <c r="BB550" s="41"/>
      <c r="BC550" s="41"/>
      <c r="BD550" s="41"/>
      <c r="BE550" s="41"/>
      <c r="BF550" s="41"/>
      <c r="BG550" s="41"/>
      <c r="BH550" s="41"/>
      <c r="BI550" s="42"/>
      <c r="BJ550" s="41"/>
      <c r="BK550" s="41"/>
      <c r="BL550" s="41"/>
      <c r="BM550" s="41"/>
      <c r="BN550" s="41"/>
    </row>
    <row r="551" spans="1:66" ht="12" hidden="1" customHeight="1" outlineLevel="2">
      <c r="A551" s="91" t="str">
        <f>LEFT(A547,3)&amp;"_CenCosts"</f>
        <v>FIC_CenCosts</v>
      </c>
      <c r="B551" s="1" t="s">
        <v>12</v>
      </c>
      <c r="C551" s="19"/>
      <c r="D551" s="19"/>
      <c r="E551" s="19"/>
      <c r="F551" s="19"/>
      <c r="G551" s="19">
        <f t="shared" ref="G551:Q551" si="5515">G$472*(G541)/(G$28-G$469)</f>
        <v>41.128434702068539</v>
      </c>
      <c r="H551" s="19">
        <f t="shared" si="5515"/>
        <v>80.045853382394569</v>
      </c>
      <c r="I551" s="19">
        <f t="shared" si="5515"/>
        <v>54.647272727272728</v>
      </c>
      <c r="J551" s="19">
        <f t="shared" si="5515"/>
        <v>67.20329194340168</v>
      </c>
      <c r="K551" s="19">
        <f t="shared" si="5515"/>
        <v>52.955715471907006</v>
      </c>
      <c r="L551" s="19">
        <f t="shared" si="5515"/>
        <v>83.425820256776035</v>
      </c>
      <c r="M551" s="41">
        <f t="shared" si="5515"/>
        <v>54.37934339803499</v>
      </c>
      <c r="N551" s="41">
        <f t="shared" si="5515"/>
        <v>70.996990972918752</v>
      </c>
      <c r="O551" s="41">
        <f t="shared" si="5515"/>
        <v>52.051759834368532</v>
      </c>
      <c r="P551" s="41">
        <f t="shared" si="5515"/>
        <v>84.335195530726253</v>
      </c>
      <c r="Q551" s="41">
        <f t="shared" si="5515"/>
        <v>64.883228479361676</v>
      </c>
      <c r="R551" s="41"/>
      <c r="S551" s="41"/>
      <c r="T551" s="41"/>
      <c r="U551" s="41"/>
      <c r="V551" s="41"/>
      <c r="W551" s="41"/>
      <c r="X551" s="41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2"/>
      <c r="AJ551" s="41"/>
      <c r="AK551" s="41"/>
      <c r="AL551" s="41"/>
      <c r="AM551" s="41"/>
      <c r="AN551" s="41"/>
      <c r="AO551" s="41"/>
      <c r="AP551" s="41"/>
      <c r="AQ551" s="41"/>
      <c r="AR551" s="41"/>
      <c r="AS551" s="8"/>
      <c r="AT551" s="41"/>
      <c r="AU551" s="41"/>
      <c r="AV551" s="41">
        <f>G551+H551</f>
        <v>121.17428808446311</v>
      </c>
      <c r="AW551" s="41">
        <f>I551+J551</f>
        <v>121.8505646706744</v>
      </c>
      <c r="AX551" s="41">
        <f>K551+L551</f>
        <v>136.38153572868305</v>
      </c>
      <c r="AY551" s="41">
        <f>M551+N551</f>
        <v>125.37633437095374</v>
      </c>
      <c r="AZ551" s="41">
        <f>O551+P551</f>
        <v>136.38695536509479</v>
      </c>
      <c r="BA551" s="41"/>
      <c r="BB551" s="41"/>
      <c r="BC551" s="41"/>
      <c r="BD551" s="41"/>
      <c r="BE551" s="41"/>
      <c r="BF551" s="41"/>
      <c r="BG551" s="41"/>
      <c r="BH551" s="41"/>
      <c r="BI551" s="42"/>
      <c r="BJ551" s="41"/>
      <c r="BK551" s="41"/>
      <c r="BL551" s="41"/>
      <c r="BM551" s="41"/>
      <c r="BN551" s="41"/>
    </row>
    <row r="552" spans="1:66" ht="12" hidden="1" customHeight="1" outlineLevel="2">
      <c r="A552" s="91" t="str">
        <f>LEFT(A547,3)&amp;"_ProfitShare"</f>
        <v>FIC_ProfitShare</v>
      </c>
      <c r="B552" s="1" t="s">
        <v>13</v>
      </c>
      <c r="C552" s="19"/>
      <c r="D552" s="19"/>
      <c r="E552" s="19"/>
      <c r="F552" s="19"/>
      <c r="G552" s="19">
        <f t="shared" ref="G552:H552" si="5516">(G554-(G545+G551+G550)*(1-G588)-G546)/(1-G588)</f>
        <v>-40.128434702068539</v>
      </c>
      <c r="H552" s="19">
        <f t="shared" si="5516"/>
        <v>-237.87304096121937</v>
      </c>
      <c r="I552" s="19">
        <f>(I554-(I545+I551+I550)*(1-I588)-I546)/(1-I588)</f>
        <v>-105.59480444514166</v>
      </c>
      <c r="J552" s="19">
        <f>(J554-(J545+J551+J550)*(1-J588)-J546)/(1-J588)</f>
        <v>-90.645668732805717</v>
      </c>
      <c r="K552" s="349">
        <f>K541*(I552/I541-0%)</f>
        <v>-119.29655242677769</v>
      </c>
      <c r="L552" s="349">
        <f>L541*(J552/J541-0%)</f>
        <v>-128.65433534628562</v>
      </c>
      <c r="M552" s="349">
        <f>M541*(K552/K541-0%)</f>
        <v>-132.45023048914828</v>
      </c>
      <c r="N552" s="349">
        <f>N541*(L552/L541-0%)</f>
        <v>-138.28153050825259</v>
      </c>
      <c r="O552" s="349">
        <f>O541*(M552/M541--6%)</f>
        <v>-99.501568174757608</v>
      </c>
      <c r="P552" s="349">
        <f>P541*(N552/N541--10%)</f>
        <v>-22.12520159972448</v>
      </c>
      <c r="Q552" s="364">
        <f>Q541*(O552/O541)</f>
        <v>-122.93535303465737</v>
      </c>
      <c r="R552" s="41"/>
      <c r="S552" s="41"/>
      <c r="T552" s="41"/>
      <c r="U552" s="41"/>
      <c r="V552" s="41"/>
      <c r="W552" s="41"/>
      <c r="X552" s="41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2"/>
      <c r="AJ552" s="41"/>
      <c r="AK552" s="41"/>
      <c r="AL552" s="41"/>
      <c r="AM552" s="41"/>
      <c r="AN552" s="41"/>
      <c r="AO552" s="41"/>
      <c r="AP552" s="41"/>
      <c r="AQ552" s="41"/>
      <c r="AR552" s="41"/>
      <c r="AS552" s="8"/>
      <c r="AT552" s="41"/>
      <c r="AU552" s="41"/>
      <c r="AV552" s="41">
        <f>G552+H552</f>
        <v>-278.00147566328792</v>
      </c>
      <c r="AW552" s="41">
        <f>I552+J552</f>
        <v>-196.24047317794737</v>
      </c>
      <c r="AX552" s="41">
        <f>K552+L552</f>
        <v>-247.9508877730633</v>
      </c>
      <c r="AY552" s="41">
        <f>M552+N552</f>
        <v>-270.7317609974009</v>
      </c>
      <c r="AZ552" s="41">
        <f>O552+P552</f>
        <v>-121.62676977448209</v>
      </c>
      <c r="BA552" s="41"/>
      <c r="BB552" s="41"/>
      <c r="BC552" s="41"/>
      <c r="BD552" s="41"/>
      <c r="BE552" s="41"/>
      <c r="BF552" s="41"/>
      <c r="BG552" s="41"/>
      <c r="BH552" s="41"/>
      <c r="BI552" s="42"/>
      <c r="BJ552" s="41"/>
      <c r="BK552" s="41"/>
      <c r="BL552" s="41"/>
      <c r="BM552" s="41"/>
      <c r="BN552" s="41"/>
    </row>
    <row r="553" spans="1:66" ht="12" hidden="1" customHeight="1" outlineLevel="2">
      <c r="A553" s="91" t="str">
        <f>LEFT(A547,3)&amp;"_Tax"</f>
        <v>FIC_Tax</v>
      </c>
      <c r="B553" s="1" t="s">
        <v>15</v>
      </c>
      <c r="C553" s="19"/>
      <c r="D553" s="19"/>
      <c r="E553" s="19"/>
      <c r="F553" s="19"/>
      <c r="G553" s="19">
        <f t="shared" ref="G553:H553" si="5517">G554-(G547+G550+G551+G552)</f>
        <v>0</v>
      </c>
      <c r="H553" s="19">
        <f t="shared" si="5517"/>
        <v>-107.22114612234498</v>
      </c>
      <c r="I553" s="19">
        <f>I554-(I547+I550+I551+I552)</f>
        <v>-55.475755953363901</v>
      </c>
      <c r="J553" s="19">
        <f>J554-(J547+J550+J551+J552)</f>
        <v>-124.63433553936306</v>
      </c>
      <c r="K553" s="364">
        <f t="shared" ref="K553:Q553" si="5518">(K547+K550+K551+K552)*-K588</f>
        <v>-131.75385037608274</v>
      </c>
      <c r="L553" s="364">
        <f t="shared" si="5518"/>
        <v>-473.58808174230626</v>
      </c>
      <c r="M553" s="364">
        <f t="shared" si="5518"/>
        <v>-61.989422058619908</v>
      </c>
      <c r="N553" s="364">
        <f t="shared" si="5518"/>
        <v>-169.98990750283832</v>
      </c>
      <c r="O553" s="364">
        <f t="shared" si="5518"/>
        <v>-81.134569704544731</v>
      </c>
      <c r="P553" s="364">
        <f t="shared" si="5518"/>
        <v>-109.13700409711777</v>
      </c>
      <c r="Q553" s="364">
        <f t="shared" si="5518"/>
        <v>-115.67370199958995</v>
      </c>
      <c r="R553" s="41"/>
      <c r="S553" s="41"/>
      <c r="T553" s="41"/>
      <c r="U553" s="41"/>
      <c r="V553" s="41"/>
      <c r="W553" s="41"/>
      <c r="X553" s="41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2"/>
      <c r="AJ553" s="41"/>
      <c r="AK553" s="41"/>
      <c r="AL553" s="41"/>
      <c r="AM553" s="41"/>
      <c r="AN553" s="41"/>
      <c r="AO553" s="41"/>
      <c r="AP553" s="41"/>
      <c r="AQ553" s="41"/>
      <c r="AR553" s="41"/>
      <c r="AS553" s="8"/>
      <c r="AT553" s="41"/>
      <c r="AU553" s="41"/>
      <c r="AV553" s="41">
        <f>G553+H553</f>
        <v>-107.22114612234498</v>
      </c>
      <c r="AW553" s="41">
        <f>I553+J553</f>
        <v>-180.11009149272695</v>
      </c>
      <c r="AX553" s="41">
        <f>K553+L553</f>
        <v>-605.34193211838897</v>
      </c>
      <c r="AY553" s="41">
        <f>M553+N553</f>
        <v>-231.97932956145823</v>
      </c>
      <c r="AZ553" s="41">
        <f>O553+P553</f>
        <v>-190.2715738016625</v>
      </c>
      <c r="BA553" s="41"/>
      <c r="BB553" s="41"/>
      <c r="BC553" s="41"/>
      <c r="BD553" s="41"/>
      <c r="BE553" s="41"/>
      <c r="BF553" s="41"/>
      <c r="BG553" s="41"/>
      <c r="BH553" s="41"/>
      <c r="BI553" s="42"/>
      <c r="BJ553" s="41"/>
      <c r="BK553" s="41"/>
      <c r="BL553" s="41"/>
      <c r="BM553" s="41"/>
      <c r="BN553" s="41"/>
    </row>
    <row r="554" spans="1:66" ht="12" hidden="1" customHeight="1" outlineLevel="2">
      <c r="A554" s="91" t="str">
        <f>LEFT(A547,3)&amp;"_CE"</f>
        <v>FIC_CE</v>
      </c>
      <c r="B554" s="1" t="s">
        <v>54</v>
      </c>
      <c r="C554" s="19"/>
      <c r="D554" s="19"/>
      <c r="E554" s="19"/>
      <c r="F554" s="19"/>
      <c r="G554" s="19">
        <f>AVERAGE(F559:G559)*G591/G$5</f>
        <v>0</v>
      </c>
      <c r="H554" s="19">
        <f>AVERAGE(G559:H559)*H591/H$5</f>
        <v>258.95166629883028</v>
      </c>
      <c r="I554" s="19">
        <f>AVERAGE(H559:I559)*I591/I$5</f>
        <v>119.57671232876713</v>
      </c>
      <c r="J554" s="19">
        <f>AVERAGE(I559:J559)*J591/J$5</f>
        <v>171.92328767123286</v>
      </c>
      <c r="K554" s="349">
        <f t="shared" ref="K554:Q554" si="5519">K547+K550+K551+K552+K553</f>
        <v>-9.4687330953405535E-2</v>
      </c>
      <c r="L554" s="349">
        <f t="shared" si="5519"/>
        <v>-7.8165968318159003</v>
      </c>
      <c r="M554" s="349">
        <f t="shared" si="5519"/>
        <v>110.93969085026677</v>
      </c>
      <c r="N554" s="349">
        <f t="shared" si="5519"/>
        <v>356.72555296182787</v>
      </c>
      <c r="O554" s="349">
        <f t="shared" si="5519"/>
        <v>151.41562195506617</v>
      </c>
      <c r="P554" s="349">
        <f t="shared" si="5519"/>
        <v>247.07298983388398</v>
      </c>
      <c r="Q554" s="349">
        <f t="shared" si="5519"/>
        <v>292.27417344511434</v>
      </c>
      <c r="R554" s="41"/>
      <c r="S554" s="41"/>
      <c r="T554" s="41"/>
      <c r="U554" s="41"/>
      <c r="V554" s="41"/>
      <c r="W554" s="41"/>
      <c r="X554" s="41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2"/>
      <c r="AJ554" s="41"/>
      <c r="AK554" s="41"/>
      <c r="AL554" s="41"/>
      <c r="AM554" s="41"/>
      <c r="AN554" s="41"/>
      <c r="AO554" s="41"/>
      <c r="AP554" s="41"/>
      <c r="AQ554" s="41"/>
      <c r="AR554" s="41"/>
      <c r="AS554" s="8"/>
      <c r="AT554" s="41"/>
      <c r="AU554" s="41"/>
      <c r="AV554" s="41">
        <f t="shared" ref="AV554:AZ554" si="5520">AV547+AV550+AV551+AV552+AV553</f>
        <v>258.95166629883022</v>
      </c>
      <c r="AW554" s="41">
        <f t="shared" si="5520"/>
        <v>291.50000000000011</v>
      </c>
      <c r="AX554" s="41">
        <f t="shared" si="5520"/>
        <v>-7.9112841627692205</v>
      </c>
      <c r="AY554" s="41">
        <f t="shared" si="5520"/>
        <v>467.66524381209456</v>
      </c>
      <c r="AZ554" s="41">
        <f t="shared" si="5520"/>
        <v>398.48861178895015</v>
      </c>
      <c r="BA554" s="41"/>
      <c r="BB554" s="41"/>
      <c r="BC554" s="41"/>
      <c r="BD554" s="41"/>
      <c r="BE554" s="41"/>
      <c r="BF554" s="41"/>
      <c r="BG554" s="41"/>
      <c r="BH554" s="41"/>
      <c r="BI554" s="42"/>
      <c r="BJ554" s="41"/>
      <c r="BK554" s="41"/>
      <c r="BL554" s="41"/>
      <c r="BM554" s="41"/>
      <c r="BN554" s="41"/>
    </row>
    <row r="555" spans="1:66" ht="12" hidden="1" customHeight="1" outlineLevel="2">
      <c r="C555" s="41"/>
      <c r="D555" s="41"/>
      <c r="E555" s="41"/>
      <c r="F555" s="41"/>
      <c r="G555" s="41"/>
      <c r="H555" s="41"/>
      <c r="I555" s="41"/>
      <c r="J555" s="41"/>
      <c r="K555" s="41"/>
      <c r="L555" s="41"/>
      <c r="M555" s="41"/>
      <c r="N555" s="41"/>
      <c r="O555" s="44"/>
      <c r="P555" s="44"/>
      <c r="Q555" s="44"/>
      <c r="R555" s="41"/>
      <c r="S555" s="41"/>
      <c r="T555" s="41"/>
      <c r="U555" s="41"/>
      <c r="V555" s="41"/>
      <c r="W555" s="41"/>
      <c r="X555" s="41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2"/>
      <c r="AJ555" s="41"/>
      <c r="AK555" s="41"/>
      <c r="AL555" s="41"/>
      <c r="AM555" s="41"/>
      <c r="AN555" s="41"/>
      <c r="AO555" s="41"/>
      <c r="AP555" s="41"/>
      <c r="AQ555" s="41"/>
      <c r="AR555" s="41"/>
      <c r="AS555" s="8"/>
      <c r="AT555" s="8"/>
      <c r="AU555" s="8"/>
      <c r="AV555" s="8"/>
      <c r="AW555" s="8"/>
      <c r="AX555" s="8"/>
      <c r="AY555" s="44"/>
      <c r="AZ555" s="44"/>
      <c r="BA555" s="8"/>
      <c r="BB555" s="8"/>
      <c r="BC555" s="8"/>
      <c r="BD555" s="8"/>
      <c r="BE555" s="8"/>
      <c r="BF555" s="8"/>
      <c r="BG555" s="8"/>
      <c r="BH555" s="8"/>
      <c r="BI555" s="43"/>
      <c r="BJ555" s="8"/>
      <c r="BK555" s="8"/>
      <c r="BL555" s="8"/>
      <c r="BM555" s="8"/>
      <c r="BN555" s="8"/>
    </row>
    <row r="556" spans="1:66" ht="12" hidden="1" customHeight="1" outlineLevel="2">
      <c r="B556" s="9" t="s">
        <v>41</v>
      </c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Z556" s="41"/>
      <c r="AA556" s="41"/>
      <c r="AB556" s="41"/>
      <c r="AC556" s="41"/>
      <c r="AD556" s="41"/>
      <c r="AE556" s="41"/>
      <c r="AF556" s="41"/>
      <c r="AG556" s="41"/>
      <c r="AH556" s="41"/>
      <c r="AI556" s="42"/>
      <c r="AJ556" s="41"/>
      <c r="AK556" s="41"/>
      <c r="AL556" s="41"/>
      <c r="AM556" s="41"/>
      <c r="AN556" s="41"/>
      <c r="AO556" s="41"/>
      <c r="AP556" s="41"/>
      <c r="AQ556" s="41"/>
      <c r="AR556" s="41"/>
      <c r="AS556" s="8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43"/>
      <c r="BJ556" s="8"/>
      <c r="BK556" s="8"/>
      <c r="BL556" s="8"/>
      <c r="BM556" s="8"/>
      <c r="BN556" s="8"/>
    </row>
    <row r="557" spans="1:66" ht="12" hidden="1" customHeight="1" outlineLevel="2">
      <c r="B557" s="1" t="s">
        <v>42</v>
      </c>
      <c r="C557" s="21">
        <v>0</v>
      </c>
      <c r="D557" s="21">
        <v>0</v>
      </c>
      <c r="E557" s="21">
        <v>0</v>
      </c>
      <c r="F557" s="21">
        <v>0</v>
      </c>
      <c r="G557" s="21">
        <v>0</v>
      </c>
      <c r="H557" s="21">
        <v>0</v>
      </c>
      <c r="I557" s="21">
        <v>0</v>
      </c>
      <c r="J557" s="21">
        <v>0</v>
      </c>
      <c r="K557" s="21">
        <v>0</v>
      </c>
      <c r="L557" s="21">
        <v>0</v>
      </c>
      <c r="M557" s="62">
        <v>0</v>
      </c>
      <c r="N557" s="62">
        <v>0</v>
      </c>
      <c r="O557" s="62">
        <v>0</v>
      </c>
      <c r="P557" s="62">
        <v>0</v>
      </c>
      <c r="Q557" s="62">
        <v>0</v>
      </c>
      <c r="R557" s="59"/>
      <c r="S557" s="59"/>
      <c r="T557" s="59"/>
      <c r="U557" s="473"/>
      <c r="V557" s="59"/>
      <c r="W557" s="59"/>
      <c r="X557" s="59"/>
      <c r="Y557" s="59"/>
      <c r="Z557" s="59"/>
      <c r="AA557" s="59"/>
      <c r="AB557" s="59"/>
      <c r="AC557" s="59"/>
      <c r="AD557" s="59"/>
      <c r="AE557" s="59"/>
      <c r="AF557" s="59"/>
      <c r="AG557" s="59"/>
      <c r="AH557" s="59"/>
      <c r="AI557" s="60"/>
      <c r="AJ557" s="59"/>
      <c r="AK557" s="59"/>
      <c r="AL557" s="59"/>
      <c r="AM557" s="59"/>
      <c r="AN557" s="59"/>
      <c r="AO557" s="59"/>
      <c r="AP557" s="59"/>
      <c r="AQ557" s="59"/>
      <c r="AR557" s="59"/>
      <c r="AS557" s="8"/>
      <c r="AT557" s="41">
        <f t="shared" ref="AT557:AT564" si="5521">D557</f>
        <v>0</v>
      </c>
      <c r="AU557" s="41">
        <f t="shared" ref="AU557:AU564" si="5522">F557</f>
        <v>0</v>
      </c>
      <c r="AV557" s="41">
        <f t="shared" ref="AV557:AV564" si="5523">H557</f>
        <v>0</v>
      </c>
      <c r="AW557" s="41">
        <f t="shared" ref="AW557:AW564" si="5524">J557</f>
        <v>0</v>
      </c>
      <c r="AX557" s="41">
        <f t="shared" ref="AX557:AX564" si="5525">L557</f>
        <v>0</v>
      </c>
      <c r="AY557" s="41">
        <f t="shared" ref="AY557:AY564" si="5526">N557</f>
        <v>0</v>
      </c>
      <c r="AZ557" s="41">
        <f t="shared" ref="AZ557:AZ564" si="5527">P557</f>
        <v>0</v>
      </c>
      <c r="BA557" s="41"/>
      <c r="BB557" s="41"/>
      <c r="BC557" s="41"/>
      <c r="BD557" s="41"/>
      <c r="BE557" s="41"/>
      <c r="BF557" s="41"/>
      <c r="BG557" s="41"/>
      <c r="BH557" s="41"/>
      <c r="BI557" s="42"/>
      <c r="BJ557" s="41"/>
      <c r="BK557" s="41"/>
      <c r="BL557" s="41"/>
      <c r="BM557" s="41"/>
      <c r="BN557" s="41"/>
    </row>
    <row r="558" spans="1:66" ht="12" hidden="1" customHeight="1" outlineLevel="2">
      <c r="B558" s="1" t="s">
        <v>43</v>
      </c>
      <c r="C558" s="21">
        <v>38741</v>
      </c>
      <c r="D558" s="21">
        <v>42388</v>
      </c>
      <c r="E558" s="21">
        <v>43879</v>
      </c>
      <c r="F558" s="21">
        <v>43154</v>
      </c>
      <c r="G558" s="21">
        <v>56742</v>
      </c>
      <c r="H558" s="21">
        <v>42092</v>
      </c>
      <c r="I558" s="21">
        <v>48634</v>
      </c>
      <c r="J558" s="21">
        <v>43413</v>
      </c>
      <c r="K558" s="21">
        <v>43915</v>
      </c>
      <c r="L558" s="21">
        <v>44811</v>
      </c>
      <c r="M558" s="62">
        <v>53009</v>
      </c>
      <c r="N558" s="62">
        <v>69634</v>
      </c>
      <c r="O558" s="62">
        <v>74241</v>
      </c>
      <c r="P558" s="62">
        <v>69774</v>
      </c>
      <c r="Q558" s="62">
        <v>63671</v>
      </c>
      <c r="R558" s="41"/>
      <c r="S558" s="41"/>
      <c r="T558" s="41"/>
      <c r="U558" s="41"/>
      <c r="V558" s="41"/>
      <c r="W558" s="41"/>
      <c r="X558" s="41"/>
      <c r="Y558" s="41"/>
      <c r="Z558" s="41"/>
      <c r="AA558" s="41"/>
      <c r="AB558" s="41"/>
      <c r="AC558" s="41"/>
      <c r="AD558" s="41"/>
      <c r="AE558" s="41"/>
      <c r="AF558" s="41"/>
      <c r="AG558" s="41"/>
      <c r="AH558" s="41"/>
      <c r="AI558" s="42"/>
      <c r="AJ558" s="41"/>
      <c r="AK558" s="41"/>
      <c r="AL558" s="41"/>
      <c r="AM558" s="41"/>
      <c r="AN558" s="41"/>
      <c r="AO558" s="41"/>
      <c r="AP558" s="41"/>
      <c r="AQ558" s="41"/>
      <c r="AR558" s="41"/>
      <c r="AS558" s="8"/>
      <c r="AT558" s="41">
        <f t="shared" si="5521"/>
        <v>42388</v>
      </c>
      <c r="AU558" s="41">
        <f t="shared" si="5522"/>
        <v>43154</v>
      </c>
      <c r="AV558" s="41">
        <f t="shared" si="5523"/>
        <v>42092</v>
      </c>
      <c r="AW558" s="41">
        <f t="shared" si="5524"/>
        <v>43413</v>
      </c>
      <c r="AX558" s="41">
        <f t="shared" si="5525"/>
        <v>44811</v>
      </c>
      <c r="AY558" s="41">
        <f t="shared" si="5526"/>
        <v>69634</v>
      </c>
      <c r="AZ558" s="41">
        <f t="shared" si="5527"/>
        <v>69774</v>
      </c>
      <c r="BA558" s="41"/>
      <c r="BB558" s="41"/>
      <c r="BC558" s="41"/>
      <c r="BD558" s="41"/>
      <c r="BE558" s="41"/>
      <c r="BF558" s="41"/>
      <c r="BG558" s="41"/>
      <c r="BH558" s="41"/>
      <c r="BI558" s="42"/>
      <c r="BJ558" s="41"/>
      <c r="BK558" s="41"/>
      <c r="BL558" s="41"/>
      <c r="BM558" s="41"/>
      <c r="BN558" s="41"/>
    </row>
    <row r="559" spans="1:66" ht="12" hidden="1" customHeight="1" outlineLevel="2">
      <c r="A559" s="91" t="s">
        <v>513</v>
      </c>
      <c r="B559" s="1" t="s">
        <v>49</v>
      </c>
      <c r="C559" s="62">
        <f>D559*AVERAGE(B$41:C$41)/AVERAGE(C$41:D$41)</f>
        <v>2357.9783712204812</v>
      </c>
      <c r="D559" s="62">
        <f>E559*AVERAGE(C$41:D$41)/AVERAGE(D$41:E$41)</f>
        <v>2418.4506731405872</v>
      </c>
      <c r="E559" s="62">
        <f>F559*AVERAGE(D$41:E$41)/AVERAGE(E$41:F$41)</f>
        <v>2460.0529684396383</v>
      </c>
      <c r="F559" s="62">
        <f>G559*AVERAGE(E$41:F$41)/AVERAGE(F$41:G$41)</f>
        <v>2479.0333259766057</v>
      </c>
      <c r="G559" s="21">
        <v>2500</v>
      </c>
      <c r="H559" s="21">
        <v>2700</v>
      </c>
      <c r="I559" s="21">
        <v>2600</v>
      </c>
      <c r="J559" s="21">
        <v>2600</v>
      </c>
      <c r="K559" s="21">
        <v>2500</v>
      </c>
      <c r="L559" s="21">
        <v>2600</v>
      </c>
      <c r="M559" s="62">
        <v>2700</v>
      </c>
      <c r="N559" s="62">
        <v>2600</v>
      </c>
      <c r="O559" s="62">
        <v>2900</v>
      </c>
      <c r="P559" s="62">
        <v>2600</v>
      </c>
      <c r="Q559" s="62">
        <v>2200</v>
      </c>
      <c r="R559" s="41"/>
      <c r="S559" s="41"/>
      <c r="T559" s="41"/>
      <c r="U559" s="41"/>
      <c r="V559" s="41"/>
      <c r="W559" s="41"/>
      <c r="X559" s="41"/>
      <c r="Y559" s="41"/>
      <c r="Z559" s="41"/>
      <c r="AA559" s="41"/>
      <c r="AB559" s="41"/>
      <c r="AC559" s="41"/>
      <c r="AD559" s="41"/>
      <c r="AE559" s="41"/>
      <c r="AF559" s="41"/>
      <c r="AG559" s="41"/>
      <c r="AH559" s="41"/>
      <c r="AI559" s="42"/>
      <c r="AJ559" s="41"/>
      <c r="AK559" s="41"/>
      <c r="AL559" s="41"/>
      <c r="AM559" s="41"/>
      <c r="AN559" s="41"/>
      <c r="AO559" s="41"/>
      <c r="AP559" s="41"/>
      <c r="AQ559" s="41"/>
      <c r="AR559" s="41"/>
      <c r="AS559" s="8"/>
      <c r="AT559" s="41">
        <f t="shared" si="5521"/>
        <v>2418.4506731405872</v>
      </c>
      <c r="AU559" s="41">
        <f t="shared" si="5522"/>
        <v>2479.0333259766057</v>
      </c>
      <c r="AV559" s="41">
        <f t="shared" si="5523"/>
        <v>2700</v>
      </c>
      <c r="AW559" s="41">
        <f t="shared" si="5524"/>
        <v>2600</v>
      </c>
      <c r="AX559" s="41">
        <f t="shared" si="5525"/>
        <v>2600</v>
      </c>
      <c r="AY559" s="41">
        <f t="shared" si="5526"/>
        <v>2600</v>
      </c>
      <c r="AZ559" s="41">
        <f t="shared" si="5527"/>
        <v>2600</v>
      </c>
      <c r="BA559" s="41"/>
      <c r="BB559" s="41"/>
      <c r="BC559" s="41"/>
      <c r="BD559" s="41"/>
      <c r="BE559" s="41"/>
      <c r="BF559" s="41"/>
      <c r="BG559" s="41"/>
      <c r="BH559" s="41"/>
      <c r="BI559" s="42"/>
      <c r="BJ559" s="41"/>
      <c r="BK559" s="41"/>
      <c r="BL559" s="41"/>
      <c r="BM559" s="41"/>
      <c r="BN559" s="41"/>
    </row>
    <row r="560" spans="1:66" ht="12" hidden="1" customHeight="1" outlineLevel="2">
      <c r="B560" s="1" t="s">
        <v>24</v>
      </c>
      <c r="C560" s="25">
        <f t="shared" ref="C560:H560" si="5528">C562-C561</f>
        <v>0</v>
      </c>
      <c r="D560" s="25">
        <f t="shared" si="5528"/>
        <v>0</v>
      </c>
      <c r="E560" s="25">
        <f t="shared" si="5528"/>
        <v>0</v>
      </c>
      <c r="F560" s="25">
        <f t="shared" si="5528"/>
        <v>0</v>
      </c>
      <c r="G560" s="25">
        <f t="shared" si="5528"/>
        <v>0</v>
      </c>
      <c r="H560" s="25">
        <f t="shared" si="5528"/>
        <v>0</v>
      </c>
      <c r="I560" s="25">
        <f t="shared" ref="I560:N560" si="5529">I562-I561</f>
        <v>0</v>
      </c>
      <c r="J560" s="25">
        <f t="shared" si="5529"/>
        <v>0</v>
      </c>
      <c r="K560" s="25">
        <f t="shared" si="5529"/>
        <v>0</v>
      </c>
      <c r="L560" s="25">
        <f t="shared" si="5529"/>
        <v>0</v>
      </c>
      <c r="M560" s="41">
        <f t="shared" si="5529"/>
        <v>0</v>
      </c>
      <c r="N560" s="41">
        <f t="shared" si="5529"/>
        <v>0</v>
      </c>
      <c r="O560" s="41">
        <f t="shared" ref="O560:P560" si="5530">O562-O561</f>
        <v>0</v>
      </c>
      <c r="P560" s="41">
        <f t="shared" si="5530"/>
        <v>0</v>
      </c>
      <c r="Q560" s="41">
        <f t="shared" ref="Q560" si="5531">Q562-Q561</f>
        <v>0</v>
      </c>
      <c r="R560" s="41"/>
      <c r="S560" s="41"/>
      <c r="T560" s="41"/>
      <c r="U560" s="41"/>
      <c r="V560" s="41"/>
      <c r="W560" s="41"/>
      <c r="X560" s="41"/>
      <c r="Y560" s="41"/>
      <c r="Z560" s="41"/>
      <c r="AA560" s="41"/>
      <c r="AB560" s="41"/>
      <c r="AC560" s="41"/>
      <c r="AD560" s="41"/>
      <c r="AE560" s="41"/>
      <c r="AF560" s="41"/>
      <c r="AG560" s="41"/>
      <c r="AH560" s="41"/>
      <c r="AI560" s="42"/>
      <c r="AJ560" s="41"/>
      <c r="AK560" s="41"/>
      <c r="AL560" s="41"/>
      <c r="AM560" s="41"/>
      <c r="AN560" s="41"/>
      <c r="AO560" s="41"/>
      <c r="AP560" s="41"/>
      <c r="AQ560" s="41"/>
      <c r="AR560" s="41"/>
      <c r="AS560" s="8"/>
      <c r="AT560" s="41">
        <f t="shared" si="5521"/>
        <v>0</v>
      </c>
      <c r="AU560" s="41">
        <f t="shared" si="5522"/>
        <v>0</v>
      </c>
      <c r="AV560" s="41">
        <f t="shared" si="5523"/>
        <v>0</v>
      </c>
      <c r="AW560" s="41">
        <f t="shared" si="5524"/>
        <v>0</v>
      </c>
      <c r="AX560" s="41">
        <f t="shared" si="5525"/>
        <v>0</v>
      </c>
      <c r="AY560" s="41">
        <f t="shared" si="5526"/>
        <v>0</v>
      </c>
      <c r="AZ560" s="41">
        <f t="shared" si="5527"/>
        <v>0</v>
      </c>
      <c r="BA560" s="41"/>
      <c r="BB560" s="41"/>
      <c r="BC560" s="41"/>
      <c r="BD560" s="41"/>
      <c r="BE560" s="41"/>
      <c r="BF560" s="41"/>
      <c r="BG560" s="41"/>
      <c r="BH560" s="41"/>
      <c r="BI560" s="42"/>
      <c r="BJ560" s="41"/>
      <c r="BK560" s="41"/>
      <c r="BL560" s="41"/>
      <c r="BM560" s="41"/>
      <c r="BN560" s="41"/>
    </row>
    <row r="561" spans="2:66" ht="12" hidden="1" customHeight="1" outlineLevel="2">
      <c r="B561" s="1" t="s">
        <v>23</v>
      </c>
      <c r="C561" s="21">
        <v>0</v>
      </c>
      <c r="D561" s="21">
        <v>0</v>
      </c>
      <c r="E561" s="21">
        <v>0</v>
      </c>
      <c r="F561" s="21">
        <v>0</v>
      </c>
      <c r="G561" s="21">
        <v>0</v>
      </c>
      <c r="H561" s="21">
        <v>0</v>
      </c>
      <c r="I561" s="21">
        <v>0</v>
      </c>
      <c r="J561" s="21">
        <v>0</v>
      </c>
      <c r="K561" s="21">
        <v>0</v>
      </c>
      <c r="L561" s="21">
        <v>0</v>
      </c>
      <c r="M561" s="62">
        <v>0</v>
      </c>
      <c r="N561" s="62">
        <v>0</v>
      </c>
      <c r="O561" s="62">
        <v>0</v>
      </c>
      <c r="P561" s="62">
        <v>0</v>
      </c>
      <c r="Q561" s="62">
        <v>0</v>
      </c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  <c r="AG561" s="58"/>
      <c r="AH561" s="58"/>
      <c r="AI561" s="501"/>
      <c r="AJ561" s="58"/>
      <c r="AK561" s="58"/>
      <c r="AL561" s="58"/>
      <c r="AM561" s="58"/>
      <c r="AN561" s="58"/>
      <c r="AO561" s="58"/>
      <c r="AP561" s="58"/>
      <c r="AQ561" s="58"/>
      <c r="AR561" s="58"/>
      <c r="AS561" s="8"/>
      <c r="AT561" s="41">
        <f t="shared" si="5521"/>
        <v>0</v>
      </c>
      <c r="AU561" s="41">
        <f t="shared" si="5522"/>
        <v>0</v>
      </c>
      <c r="AV561" s="41">
        <f t="shared" si="5523"/>
        <v>0</v>
      </c>
      <c r="AW561" s="41">
        <f t="shared" si="5524"/>
        <v>0</v>
      </c>
      <c r="AX561" s="41">
        <f t="shared" si="5525"/>
        <v>0</v>
      </c>
      <c r="AY561" s="41">
        <f t="shared" si="5526"/>
        <v>0</v>
      </c>
      <c r="AZ561" s="41">
        <f t="shared" si="5527"/>
        <v>0</v>
      </c>
      <c r="BA561" s="41"/>
      <c r="BB561" s="41"/>
      <c r="BC561" s="41"/>
      <c r="BD561" s="41"/>
      <c r="BE561" s="41"/>
      <c r="BF561" s="41"/>
      <c r="BG561" s="41"/>
      <c r="BH561" s="41"/>
      <c r="BI561" s="42"/>
      <c r="BJ561" s="41"/>
      <c r="BK561" s="41"/>
      <c r="BL561" s="41"/>
      <c r="BM561" s="41"/>
      <c r="BN561" s="41"/>
    </row>
    <row r="562" spans="2:66" ht="12" hidden="1" customHeight="1" outlineLevel="2">
      <c r="B562" s="1" t="s">
        <v>22</v>
      </c>
      <c r="C562" s="21">
        <v>0</v>
      </c>
      <c r="D562" s="21">
        <v>0</v>
      </c>
      <c r="E562" s="21">
        <v>0</v>
      </c>
      <c r="F562" s="21">
        <v>0</v>
      </c>
      <c r="G562" s="21">
        <v>0</v>
      </c>
      <c r="H562" s="21">
        <v>0</v>
      </c>
      <c r="I562" s="21">
        <v>0</v>
      </c>
      <c r="J562" s="21">
        <v>0</v>
      </c>
      <c r="K562" s="21">
        <v>0</v>
      </c>
      <c r="L562" s="21">
        <v>0</v>
      </c>
      <c r="M562" s="62">
        <v>0</v>
      </c>
      <c r="N562" s="62">
        <v>0</v>
      </c>
      <c r="O562" s="62">
        <v>0</v>
      </c>
      <c r="P562" s="62">
        <v>0</v>
      </c>
      <c r="Q562" s="62">
        <v>0</v>
      </c>
      <c r="R562" s="41"/>
      <c r="S562" s="41"/>
      <c r="T562" s="41"/>
      <c r="U562" s="41"/>
      <c r="V562" s="41"/>
      <c r="W562" s="41"/>
      <c r="X562" s="41"/>
      <c r="Y562" s="41"/>
      <c r="Z562" s="41"/>
      <c r="AA562" s="41"/>
      <c r="AB562" s="41"/>
      <c r="AC562" s="41"/>
      <c r="AD562" s="41"/>
      <c r="AE562" s="41"/>
      <c r="AF562" s="41"/>
      <c r="AG562" s="41"/>
      <c r="AH562" s="41"/>
      <c r="AI562" s="42"/>
      <c r="AJ562" s="41"/>
      <c r="AK562" s="41"/>
      <c r="AL562" s="41"/>
      <c r="AM562" s="41"/>
      <c r="AN562" s="41"/>
      <c r="AO562" s="41"/>
      <c r="AP562" s="41"/>
      <c r="AQ562" s="41"/>
      <c r="AR562" s="41"/>
      <c r="AS562" s="8"/>
      <c r="AT562" s="41">
        <f t="shared" si="5521"/>
        <v>0</v>
      </c>
      <c r="AU562" s="41">
        <f t="shared" si="5522"/>
        <v>0</v>
      </c>
      <c r="AV562" s="41">
        <f t="shared" si="5523"/>
        <v>0</v>
      </c>
      <c r="AW562" s="41">
        <f t="shared" si="5524"/>
        <v>0</v>
      </c>
      <c r="AX562" s="41">
        <f t="shared" si="5525"/>
        <v>0</v>
      </c>
      <c r="AY562" s="41">
        <f t="shared" si="5526"/>
        <v>0</v>
      </c>
      <c r="AZ562" s="41">
        <f t="shared" si="5527"/>
        <v>0</v>
      </c>
      <c r="BA562" s="41"/>
      <c r="BB562" s="41"/>
      <c r="BC562" s="41"/>
      <c r="BD562" s="41"/>
      <c r="BE562" s="41"/>
      <c r="BF562" s="41"/>
      <c r="BG562" s="41"/>
      <c r="BH562" s="41"/>
      <c r="BI562" s="42"/>
      <c r="BJ562" s="41"/>
      <c r="BK562" s="41"/>
      <c r="BL562" s="41"/>
      <c r="BM562" s="41"/>
      <c r="BN562" s="41"/>
    </row>
    <row r="563" spans="2:66" ht="12" hidden="1" customHeight="1" outlineLevel="2">
      <c r="B563" s="1" t="s">
        <v>44</v>
      </c>
      <c r="C563" s="21">
        <v>0</v>
      </c>
      <c r="D563" s="21">
        <v>0</v>
      </c>
      <c r="E563" s="21">
        <v>0</v>
      </c>
      <c r="F563" s="21">
        <v>0</v>
      </c>
      <c r="G563" s="21">
        <v>0</v>
      </c>
      <c r="H563" s="21">
        <v>0</v>
      </c>
      <c r="I563" s="21">
        <v>0</v>
      </c>
      <c r="J563" s="21">
        <v>0</v>
      </c>
      <c r="K563" s="21">
        <v>0</v>
      </c>
      <c r="L563" s="21">
        <v>0</v>
      </c>
      <c r="M563" s="62">
        <v>0</v>
      </c>
      <c r="N563" s="62">
        <v>0</v>
      </c>
      <c r="O563" s="62">
        <v>0</v>
      </c>
      <c r="P563" s="62">
        <v>0</v>
      </c>
      <c r="Q563" s="62">
        <v>0</v>
      </c>
      <c r="R563" s="41"/>
      <c r="S563" s="41"/>
      <c r="T563" s="41"/>
      <c r="U563" s="41"/>
      <c r="V563" s="41"/>
      <c r="W563" s="41"/>
      <c r="X563" s="41"/>
      <c r="Y563" s="41"/>
      <c r="Z563" s="41"/>
      <c r="AA563" s="41"/>
      <c r="AB563" s="41"/>
      <c r="AC563" s="41"/>
      <c r="AD563" s="41"/>
      <c r="AE563" s="41"/>
      <c r="AF563" s="41"/>
      <c r="AG563" s="41"/>
      <c r="AH563" s="41"/>
      <c r="AI563" s="42"/>
      <c r="AJ563" s="41"/>
      <c r="AK563" s="41"/>
      <c r="AL563" s="41"/>
      <c r="AM563" s="41"/>
      <c r="AN563" s="41"/>
      <c r="AO563" s="41"/>
      <c r="AP563" s="41"/>
      <c r="AQ563" s="41"/>
      <c r="AR563" s="41"/>
      <c r="AS563" s="8"/>
      <c r="AT563" s="41">
        <f t="shared" si="5521"/>
        <v>0</v>
      </c>
      <c r="AU563" s="41">
        <f t="shared" si="5522"/>
        <v>0</v>
      </c>
      <c r="AV563" s="41">
        <f t="shared" si="5523"/>
        <v>0</v>
      </c>
      <c r="AW563" s="41">
        <f t="shared" si="5524"/>
        <v>0</v>
      </c>
      <c r="AX563" s="41">
        <f t="shared" si="5525"/>
        <v>0</v>
      </c>
      <c r="AY563" s="41">
        <f t="shared" si="5526"/>
        <v>0</v>
      </c>
      <c r="AZ563" s="41">
        <f t="shared" si="5527"/>
        <v>0</v>
      </c>
      <c r="BA563" s="41"/>
      <c r="BB563" s="41"/>
      <c r="BC563" s="41"/>
      <c r="BD563" s="41"/>
      <c r="BE563" s="41"/>
      <c r="BF563" s="41"/>
      <c r="BG563" s="41"/>
      <c r="BH563" s="41"/>
      <c r="BI563" s="42"/>
      <c r="BJ563" s="41"/>
      <c r="BK563" s="41"/>
      <c r="BL563" s="41"/>
      <c r="BM563" s="41"/>
      <c r="BN563" s="41"/>
    </row>
    <row r="564" spans="2:66" ht="12" hidden="1" customHeight="1" outlineLevel="2">
      <c r="B564" s="1" t="s">
        <v>25</v>
      </c>
      <c r="C564" s="21">
        <v>796</v>
      </c>
      <c r="D564" s="21">
        <v>884</v>
      </c>
      <c r="E564" s="21">
        <v>953</v>
      </c>
      <c r="F564" s="21">
        <v>980</v>
      </c>
      <c r="G564" s="21">
        <v>939</v>
      </c>
      <c r="H564" s="21">
        <v>949</v>
      </c>
      <c r="I564" s="21">
        <v>949</v>
      </c>
      <c r="J564" s="21">
        <v>946</v>
      </c>
      <c r="K564" s="21">
        <v>932</v>
      </c>
      <c r="L564" s="21">
        <v>944</v>
      </c>
      <c r="M564" s="62">
        <v>959</v>
      </c>
      <c r="N564" s="62">
        <v>984</v>
      </c>
      <c r="O564" s="62">
        <v>986</v>
      </c>
      <c r="P564" s="62">
        <v>958</v>
      </c>
      <c r="Q564" s="62">
        <v>943</v>
      </c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  <c r="AG564" s="58"/>
      <c r="AH564" s="58"/>
      <c r="AI564" s="501"/>
      <c r="AJ564" s="58"/>
      <c r="AK564" s="58"/>
      <c r="AL564" s="58"/>
      <c r="AM564" s="58"/>
      <c r="AN564" s="58"/>
      <c r="AO564" s="58"/>
      <c r="AP564" s="58"/>
      <c r="AQ564" s="58"/>
      <c r="AR564" s="58"/>
      <c r="AS564" s="8"/>
      <c r="AT564" s="41">
        <f t="shared" si="5521"/>
        <v>884</v>
      </c>
      <c r="AU564" s="41">
        <f t="shared" si="5522"/>
        <v>980</v>
      </c>
      <c r="AV564" s="41">
        <f t="shared" si="5523"/>
        <v>949</v>
      </c>
      <c r="AW564" s="41">
        <f t="shared" si="5524"/>
        <v>946</v>
      </c>
      <c r="AX564" s="41">
        <f t="shared" si="5525"/>
        <v>944</v>
      </c>
      <c r="AY564" s="41">
        <f t="shared" si="5526"/>
        <v>984</v>
      </c>
      <c r="AZ564" s="41">
        <f t="shared" si="5527"/>
        <v>958</v>
      </c>
      <c r="BA564" s="41"/>
      <c r="BB564" s="41"/>
      <c r="BC564" s="41"/>
      <c r="BD564" s="41"/>
      <c r="BE564" s="41"/>
      <c r="BF564" s="41"/>
      <c r="BG564" s="41"/>
      <c r="BH564" s="41"/>
      <c r="BI564" s="42"/>
      <c r="BJ564" s="41"/>
      <c r="BK564" s="41"/>
      <c r="BL564" s="41"/>
      <c r="BM564" s="41"/>
      <c r="BN564" s="41"/>
    </row>
    <row r="565" spans="2:66" ht="12" hidden="1" customHeight="1" outlineLevel="2">
      <c r="C565" s="21"/>
      <c r="D565" s="21"/>
      <c r="E565" s="21"/>
      <c r="F565" s="21"/>
      <c r="G565" s="21"/>
      <c r="H565" s="21"/>
      <c r="I565" s="21"/>
      <c r="J565" s="21"/>
      <c r="K565" s="21"/>
      <c r="L565" s="21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20"/>
      <c r="AJ565" s="19"/>
      <c r="AK565" s="19"/>
      <c r="AL565" s="19"/>
      <c r="AM565" s="19"/>
      <c r="AN565" s="19"/>
      <c r="AO565" s="19"/>
      <c r="AP565" s="19"/>
      <c r="AQ565" s="19"/>
      <c r="AR565" s="19"/>
      <c r="AT565" s="19"/>
      <c r="AU565" s="19"/>
      <c r="AV565" s="19"/>
      <c r="AW565" s="19"/>
      <c r="AX565" s="19"/>
      <c r="AY565" s="19"/>
      <c r="AZ565" s="33"/>
      <c r="BA565" s="33"/>
      <c r="BB565" s="33"/>
      <c r="BC565" s="33"/>
      <c r="BD565" s="33"/>
      <c r="BE565" s="33"/>
      <c r="BF565" s="33"/>
      <c r="BG565" s="33"/>
      <c r="BH565" s="33"/>
      <c r="BI565" s="32"/>
      <c r="BJ565" s="33"/>
      <c r="BK565" s="33"/>
      <c r="BL565" s="33"/>
      <c r="BM565" s="33"/>
      <c r="BN565" s="33"/>
    </row>
    <row r="566" spans="2:66" ht="12" hidden="1" customHeight="1" outlineLevel="2">
      <c r="B566" s="9" t="s">
        <v>158</v>
      </c>
      <c r="C566" s="21"/>
      <c r="D566" s="21"/>
      <c r="E566" s="21"/>
      <c r="F566" s="21"/>
      <c r="G566" s="21"/>
      <c r="H566" s="21"/>
      <c r="I566" s="21"/>
      <c r="J566" s="21"/>
      <c r="K566" s="21"/>
      <c r="L566" s="21"/>
      <c r="M566" s="34"/>
      <c r="N566" s="34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20"/>
      <c r="AJ566" s="19"/>
      <c r="AK566" s="19"/>
      <c r="AL566" s="19"/>
      <c r="AM566" s="19"/>
      <c r="AN566" s="19"/>
      <c r="AO566" s="19"/>
      <c r="AP566" s="19"/>
      <c r="AQ566" s="19"/>
      <c r="AR566" s="19"/>
      <c r="AT566" s="19"/>
      <c r="AU566" s="19"/>
      <c r="AV566" s="19"/>
      <c r="AW566" s="19"/>
      <c r="AX566" s="19"/>
      <c r="AY566" s="19"/>
      <c r="AZ566" s="19"/>
      <c r="BA566" s="19"/>
      <c r="BB566" s="19"/>
      <c r="BC566" s="19"/>
      <c r="BD566" s="19"/>
      <c r="BE566" s="19"/>
      <c r="BF566" s="19"/>
      <c r="BG566" s="19"/>
      <c r="BH566" s="19"/>
      <c r="BI566" s="20"/>
      <c r="BJ566" s="19"/>
      <c r="BK566" s="19"/>
      <c r="BL566" s="19"/>
      <c r="BM566" s="19"/>
      <c r="BN566" s="19"/>
    </row>
    <row r="567" spans="2:66" ht="12" hidden="1" customHeight="1" outlineLevel="2">
      <c r="B567" s="1" t="s">
        <v>58</v>
      </c>
      <c r="C567" s="50" t="str">
        <f>IF(ISERROR(C557/B557),"n.a.",C557/B557-1)</f>
        <v>n.a.</v>
      </c>
      <c r="D567" s="50" t="str">
        <f>IF(ISERROR(D557/C557),"n.a.",D557/C557-1)</f>
        <v>n.a.</v>
      </c>
      <c r="E567" s="50" t="str">
        <f t="shared" ref="E567:I567" si="5532">IF(ISERROR(E557/D557),"n.a.",E557/D557-1)</f>
        <v>n.a.</v>
      </c>
      <c r="F567" s="50" t="str">
        <f t="shared" si="5532"/>
        <v>n.a.</v>
      </c>
      <c r="G567" s="50" t="str">
        <f t="shared" si="5532"/>
        <v>n.a.</v>
      </c>
      <c r="H567" s="50" t="str">
        <f t="shared" si="5532"/>
        <v>n.a.</v>
      </c>
      <c r="I567" s="50" t="str">
        <f t="shared" si="5532"/>
        <v>n.a.</v>
      </c>
      <c r="J567" s="50" t="str">
        <f t="shared" ref="J567:Q567" si="5533">IF(ISERROR(J557/I557),"n.a.",J557/I557-1)</f>
        <v>n.a.</v>
      </c>
      <c r="K567" s="50" t="str">
        <f t="shared" si="5533"/>
        <v>n.a.</v>
      </c>
      <c r="L567" s="50" t="str">
        <f t="shared" si="5533"/>
        <v>n.a.</v>
      </c>
      <c r="M567" s="69" t="str">
        <f t="shared" si="5533"/>
        <v>n.a.</v>
      </c>
      <c r="N567" s="69" t="str">
        <f t="shared" si="5533"/>
        <v>n.a.</v>
      </c>
      <c r="O567" s="69" t="str">
        <f t="shared" si="5533"/>
        <v>n.a.</v>
      </c>
      <c r="P567" s="69" t="str">
        <f t="shared" si="5533"/>
        <v>n.a.</v>
      </c>
      <c r="Q567" s="69" t="str">
        <f t="shared" si="5533"/>
        <v>n.a.</v>
      </c>
      <c r="R567" s="337"/>
      <c r="S567" s="337"/>
      <c r="T567" s="337"/>
      <c r="U567" s="337"/>
      <c r="V567" s="337"/>
      <c r="W567" s="337"/>
      <c r="X567" s="337"/>
      <c r="Y567" s="337"/>
      <c r="Z567" s="337"/>
      <c r="AA567" s="337"/>
      <c r="AB567" s="337"/>
      <c r="AC567" s="337"/>
      <c r="AD567" s="337"/>
      <c r="AE567" s="337"/>
      <c r="AF567" s="337"/>
      <c r="AG567" s="337"/>
      <c r="AH567" s="337"/>
      <c r="AI567" s="502"/>
      <c r="AJ567" s="56"/>
      <c r="AK567" s="56"/>
      <c r="AL567" s="56"/>
      <c r="AM567" s="56"/>
      <c r="AN567" s="56"/>
      <c r="AO567" s="56"/>
      <c r="AP567" s="56"/>
      <c r="AQ567" s="56"/>
      <c r="AR567" s="56"/>
      <c r="AS567" s="8"/>
      <c r="AT567" s="50" t="str">
        <f>IF(ISERROR(AT557/T557),"n.a.",AT557/T557-1)</f>
        <v>n.a.</v>
      </c>
      <c r="AU567" s="50" t="str">
        <f>IF(ISERROR(AU557/AT557),"n.a.",AU557/AT557-1)</f>
        <v>n.a.</v>
      </c>
      <c r="AV567" s="50" t="str">
        <f>IF(ISERROR(AV557/AU557),"n.a.",AV557/AU557-1)</f>
        <v>n.a.</v>
      </c>
      <c r="AW567" s="50" t="str">
        <f>IF(ISERROR(AW557/AV557),"n.a.",AW557/AV557-1)</f>
        <v>n.a.</v>
      </c>
      <c r="AX567" s="50" t="str">
        <f t="shared" ref="AX567:AZ567" si="5534">IF(ISERROR(AX557/AW557),"n.a.",AX557/AW557-1)</f>
        <v>n.a.</v>
      </c>
      <c r="AY567" s="50" t="str">
        <f t="shared" si="5534"/>
        <v>n.a.</v>
      </c>
      <c r="AZ567" s="50" t="str">
        <f t="shared" si="5534"/>
        <v>n.a.</v>
      </c>
      <c r="BA567" s="50"/>
      <c r="BB567" s="50"/>
      <c r="BC567" s="50"/>
      <c r="BD567" s="50"/>
      <c r="BE567" s="50"/>
      <c r="BF567" s="50"/>
      <c r="BG567" s="50"/>
      <c r="BH567" s="50"/>
      <c r="BI567" s="51"/>
      <c r="BJ567" s="50"/>
      <c r="BK567" s="50"/>
      <c r="BL567" s="50"/>
      <c r="BM567" s="50"/>
      <c r="BN567" s="50"/>
    </row>
    <row r="568" spans="2:66" ht="12" hidden="1" customHeight="1" outlineLevel="2">
      <c r="B568" s="1" t="s">
        <v>59</v>
      </c>
      <c r="C568" s="37" t="str">
        <f t="shared" ref="C568:I568" si="5535">IF(ISERROR(C526-B526),"n.a.",C526-B526)</f>
        <v>n.a.</v>
      </c>
      <c r="D568" s="37" t="str">
        <f t="shared" si="5535"/>
        <v>n.a.</v>
      </c>
      <c r="E568" s="37" t="str">
        <f t="shared" si="5535"/>
        <v>n.a.</v>
      </c>
      <c r="F568" s="37" t="str">
        <f t="shared" si="5535"/>
        <v>n.a.</v>
      </c>
      <c r="G568" s="37" t="str">
        <f t="shared" si="5535"/>
        <v>n.a.</v>
      </c>
      <c r="H568" s="37" t="str">
        <f t="shared" si="5535"/>
        <v>n.a.</v>
      </c>
      <c r="I568" s="37" t="str">
        <f t="shared" si="5535"/>
        <v>n.a.</v>
      </c>
      <c r="J568" s="37" t="str">
        <f t="shared" ref="J568:Q568" si="5536">IF(ISERROR(J526-I526),"n.a.",J526-I526)</f>
        <v>n.a.</v>
      </c>
      <c r="K568" s="37" t="str">
        <f t="shared" si="5536"/>
        <v>n.a.</v>
      </c>
      <c r="L568" s="37" t="str">
        <f t="shared" si="5536"/>
        <v>n.a.</v>
      </c>
      <c r="M568" s="78" t="str">
        <f t="shared" si="5536"/>
        <v>n.a.</v>
      </c>
      <c r="N568" s="78" t="str">
        <f t="shared" si="5536"/>
        <v>n.a.</v>
      </c>
      <c r="O568" s="78" t="str">
        <f t="shared" si="5536"/>
        <v>n.a.</v>
      </c>
      <c r="P568" s="78" t="str">
        <f t="shared" si="5536"/>
        <v>n.a.</v>
      </c>
      <c r="Q568" s="78" t="str">
        <f t="shared" si="5536"/>
        <v>n.a.</v>
      </c>
      <c r="R568" s="336"/>
      <c r="S568" s="336"/>
      <c r="T568" s="336"/>
      <c r="U568" s="336"/>
      <c r="V568" s="336"/>
      <c r="W568" s="336"/>
      <c r="X568" s="336"/>
      <c r="Y568" s="336"/>
      <c r="Z568" s="336"/>
      <c r="AA568" s="336"/>
      <c r="AB568" s="336"/>
      <c r="AC568" s="336"/>
      <c r="AD568" s="336"/>
      <c r="AE568" s="336"/>
      <c r="AF568" s="336"/>
      <c r="AG568" s="336"/>
      <c r="AH568" s="336"/>
      <c r="AI568" s="503"/>
      <c r="AJ568" s="66"/>
      <c r="AK568" s="66"/>
      <c r="AL568" s="66"/>
      <c r="AM568" s="66"/>
      <c r="AN568" s="66"/>
      <c r="AO568" s="66"/>
      <c r="AP568" s="66"/>
      <c r="AQ568" s="66"/>
      <c r="AR568" s="66"/>
      <c r="AS568" s="8"/>
      <c r="AT568" s="37">
        <f>IF(ISERROR(AT527-T527),"n.a.",AT527-T527)</f>
        <v>116</v>
      </c>
      <c r="AU568" s="37">
        <f>IF(ISERROR(AU527-AT527),"n.a.",AU527-AT527)</f>
        <v>-145</v>
      </c>
      <c r="AV568" s="37">
        <f>IF(ISERROR(AV527-AU527),"n.a.",AV527-AU527)</f>
        <v>29</v>
      </c>
      <c r="AW568" s="37">
        <f>IF(ISERROR(AW527-AV527),"n.a.",AW527-AV527)</f>
        <v>0</v>
      </c>
      <c r="AX568" s="37">
        <f t="shared" ref="AX568:AZ568" si="5537">IF(ISERROR(AX527-AW527),"n.a.",AX527-AW527)</f>
        <v>0</v>
      </c>
      <c r="AY568" s="37">
        <f t="shared" si="5537"/>
        <v>0</v>
      </c>
      <c r="AZ568" s="37">
        <f t="shared" si="5537"/>
        <v>0</v>
      </c>
      <c r="BA568" s="37"/>
      <c r="BB568" s="37"/>
      <c r="BC568" s="37"/>
      <c r="BD568" s="37"/>
      <c r="BE568" s="37"/>
      <c r="BF568" s="37"/>
      <c r="BG568" s="37"/>
      <c r="BH568" s="37"/>
      <c r="BI568" s="38"/>
      <c r="BJ568" s="37"/>
      <c r="BK568" s="37"/>
      <c r="BL568" s="37"/>
      <c r="BM568" s="37"/>
      <c r="BN568" s="37"/>
    </row>
    <row r="569" spans="2:66" ht="12" hidden="1" customHeight="1" outlineLevel="2">
      <c r="B569" s="1" t="s">
        <v>60</v>
      </c>
      <c r="C569" s="50" t="str">
        <f>IF(ISERROR(C560/B560),"n.a.",C560/B560-1)</f>
        <v>n.a.</v>
      </c>
      <c r="D569" s="50" t="str">
        <f>IF(ISERROR(D560/C560),"n.a.",D560/C560-1)</f>
        <v>n.a.</v>
      </c>
      <c r="E569" s="50" t="str">
        <f t="shared" ref="E569:M569" si="5538">IF(ISERROR(E560/D560),"n.a.",E560/D560-1)</f>
        <v>n.a.</v>
      </c>
      <c r="F569" s="50" t="str">
        <f t="shared" si="5538"/>
        <v>n.a.</v>
      </c>
      <c r="G569" s="50" t="str">
        <f t="shared" si="5538"/>
        <v>n.a.</v>
      </c>
      <c r="H569" s="50" t="str">
        <f t="shared" si="5538"/>
        <v>n.a.</v>
      </c>
      <c r="I569" s="50" t="str">
        <f t="shared" si="5538"/>
        <v>n.a.</v>
      </c>
      <c r="J569" s="50" t="str">
        <f t="shared" si="5538"/>
        <v>n.a.</v>
      </c>
      <c r="K569" s="50" t="str">
        <f t="shared" si="5538"/>
        <v>n.a.</v>
      </c>
      <c r="L569" s="50" t="str">
        <f t="shared" si="5538"/>
        <v>n.a.</v>
      </c>
      <c r="M569" s="69" t="str">
        <f t="shared" si="5538"/>
        <v>n.a.</v>
      </c>
      <c r="N569" s="69" t="str">
        <f t="shared" ref="N569" si="5539">IF(ISERROR(N560/M560),"n.a.",N560/M560-1)</f>
        <v>n.a.</v>
      </c>
      <c r="O569" s="69" t="str">
        <f t="shared" ref="O569:Q569" si="5540">IF(ISERROR(O560/N560),"n.a.",O560/N560-1)</f>
        <v>n.a.</v>
      </c>
      <c r="P569" s="69" t="str">
        <f t="shared" si="5540"/>
        <v>n.a.</v>
      </c>
      <c r="Q569" s="69" t="str">
        <f t="shared" si="5540"/>
        <v>n.a.</v>
      </c>
      <c r="R569" s="337"/>
      <c r="S569" s="337"/>
      <c r="T569" s="337"/>
      <c r="U569" s="337"/>
      <c r="V569" s="337"/>
      <c r="W569" s="337"/>
      <c r="X569" s="337"/>
      <c r="Y569" s="337"/>
      <c r="Z569" s="337"/>
      <c r="AA569" s="337"/>
      <c r="AB569" s="337"/>
      <c r="AC569" s="337"/>
      <c r="AD569" s="337"/>
      <c r="AE569" s="337"/>
      <c r="AF569" s="337"/>
      <c r="AG569" s="337"/>
      <c r="AH569" s="337"/>
      <c r="AI569" s="502"/>
      <c r="AJ569" s="56"/>
      <c r="AK569" s="56"/>
      <c r="AL569" s="56"/>
      <c r="AM569" s="56"/>
      <c r="AN569" s="56"/>
      <c r="AO569" s="56"/>
      <c r="AP569" s="56"/>
      <c r="AQ569" s="56"/>
      <c r="AR569" s="56"/>
      <c r="AS569" s="8"/>
      <c r="AT569" s="50" t="str">
        <f>IF(ISERROR(AT560/T560),"n.a.",AT560/T560-1)</f>
        <v>n.a.</v>
      </c>
      <c r="AU569" s="50" t="str">
        <f>IF(ISERROR(AU560/AT560),"n.a.",AU560/AT560-1)</f>
        <v>n.a.</v>
      </c>
      <c r="AV569" s="50" t="str">
        <f>IF(ISERROR(AV560/AU560),"n.a.",AV560/AU560-1)</f>
        <v>n.a.</v>
      </c>
      <c r="AW569" s="50" t="str">
        <f>IF(ISERROR(AW560/AV560),"n.a.",AW560/AV560-1)</f>
        <v>n.a.</v>
      </c>
      <c r="AX569" s="50" t="str">
        <f t="shared" ref="AX569:AZ569" si="5541">IF(ISERROR(AX560/AW560),"n.a.",AX560/AW560-1)</f>
        <v>n.a.</v>
      </c>
      <c r="AY569" s="50" t="str">
        <f t="shared" si="5541"/>
        <v>n.a.</v>
      </c>
      <c r="AZ569" s="50" t="str">
        <f t="shared" si="5541"/>
        <v>n.a.</v>
      </c>
      <c r="BA569" s="50"/>
      <c r="BB569" s="50"/>
      <c r="BC569" s="50"/>
      <c r="BD569" s="50"/>
      <c r="BE569" s="50"/>
      <c r="BF569" s="50"/>
      <c r="BG569" s="50"/>
      <c r="BH569" s="50"/>
      <c r="BI569" s="51"/>
      <c r="BJ569" s="50"/>
      <c r="BK569" s="50"/>
      <c r="BL569" s="50"/>
      <c r="BM569" s="50"/>
      <c r="BN569" s="50"/>
    </row>
    <row r="570" spans="2:66" ht="12" hidden="1" customHeight="1" outlineLevel="2">
      <c r="B570" s="1" t="s">
        <v>61</v>
      </c>
      <c r="C570" s="50" t="str">
        <f>IF(ISERROR(C563/B563),"n.a.",C563/B563-1)</f>
        <v>n.a.</v>
      </c>
      <c r="D570" s="50" t="str">
        <f>IF(ISERROR(D563/C563),"n.a.",D563/C563-1)</f>
        <v>n.a.</v>
      </c>
      <c r="E570" s="50" t="str">
        <f t="shared" ref="E570:M570" si="5542">IF(ISERROR(E563/D563),"n.a.",E563/D563-1)</f>
        <v>n.a.</v>
      </c>
      <c r="F570" s="50" t="str">
        <f t="shared" si="5542"/>
        <v>n.a.</v>
      </c>
      <c r="G570" s="50" t="str">
        <f t="shared" si="5542"/>
        <v>n.a.</v>
      </c>
      <c r="H570" s="50" t="str">
        <f t="shared" si="5542"/>
        <v>n.a.</v>
      </c>
      <c r="I570" s="50" t="str">
        <f t="shared" si="5542"/>
        <v>n.a.</v>
      </c>
      <c r="J570" s="50" t="str">
        <f t="shared" si="5542"/>
        <v>n.a.</v>
      </c>
      <c r="K570" s="50" t="str">
        <f t="shared" si="5542"/>
        <v>n.a.</v>
      </c>
      <c r="L570" s="50" t="str">
        <f t="shared" si="5542"/>
        <v>n.a.</v>
      </c>
      <c r="M570" s="69" t="str">
        <f t="shared" si="5542"/>
        <v>n.a.</v>
      </c>
      <c r="N570" s="69" t="str">
        <f t="shared" ref="N570" si="5543">IF(ISERROR(N563/M563),"n.a.",N563/M563-1)</f>
        <v>n.a.</v>
      </c>
      <c r="O570" s="69" t="str">
        <f t="shared" ref="O570:Q570" si="5544">IF(ISERROR(O563/N563),"n.a.",O563/N563-1)</f>
        <v>n.a.</v>
      </c>
      <c r="P570" s="69" t="str">
        <f t="shared" si="5544"/>
        <v>n.a.</v>
      </c>
      <c r="Q570" s="69" t="str">
        <f t="shared" si="5544"/>
        <v>n.a.</v>
      </c>
      <c r="R570" s="337"/>
      <c r="S570" s="337"/>
      <c r="T570" s="337"/>
      <c r="U570" s="337"/>
      <c r="V570" s="337"/>
      <c r="W570" s="337"/>
      <c r="X570" s="337"/>
      <c r="Y570" s="337"/>
      <c r="Z570" s="337"/>
      <c r="AA570" s="337"/>
      <c r="AB570" s="337"/>
      <c r="AC570" s="337"/>
      <c r="AD570" s="337"/>
      <c r="AE570" s="337"/>
      <c r="AF570" s="337"/>
      <c r="AG570" s="337"/>
      <c r="AH570" s="337"/>
      <c r="AI570" s="502"/>
      <c r="AJ570" s="56"/>
      <c r="AK570" s="56"/>
      <c r="AL570" s="56"/>
      <c r="AM570" s="56"/>
      <c r="AN570" s="56"/>
      <c r="AO570" s="56"/>
      <c r="AP570" s="56"/>
      <c r="AQ570" s="56"/>
      <c r="AR570" s="56"/>
      <c r="AS570" s="8"/>
      <c r="AT570" s="50" t="str">
        <f>IF(ISERROR(AT563/T563),"n.a.",AT563/T563-1)</f>
        <v>n.a.</v>
      </c>
      <c r="AU570" s="50" t="str">
        <f>IF(ISERROR(AU563/AT563),"n.a.",AU563/AT563-1)</f>
        <v>n.a.</v>
      </c>
      <c r="AV570" s="50" t="str">
        <f>IF(ISERROR(AV563/AU563),"n.a.",AV563/AU563-1)</f>
        <v>n.a.</v>
      </c>
      <c r="AW570" s="50" t="str">
        <f>IF(ISERROR(AW563/AV563),"n.a.",AW563/AV563-1)</f>
        <v>n.a.</v>
      </c>
      <c r="AX570" s="50" t="str">
        <f t="shared" ref="AX570:AZ570" si="5545">IF(ISERROR(AX563/AW563),"n.a.",AX563/AW563-1)</f>
        <v>n.a.</v>
      </c>
      <c r="AY570" s="50" t="str">
        <f t="shared" si="5545"/>
        <v>n.a.</v>
      </c>
      <c r="AZ570" s="50" t="str">
        <f t="shared" si="5545"/>
        <v>n.a.</v>
      </c>
      <c r="BA570" s="50"/>
      <c r="BB570" s="50"/>
      <c r="BC570" s="50"/>
      <c r="BD570" s="50"/>
      <c r="BE570" s="50"/>
      <c r="BF570" s="50"/>
      <c r="BG570" s="50"/>
      <c r="BH570" s="50"/>
      <c r="BI570" s="51"/>
      <c r="BJ570" s="50"/>
      <c r="BK570" s="50"/>
      <c r="BL570" s="50"/>
      <c r="BM570" s="50"/>
      <c r="BN570" s="50"/>
    </row>
    <row r="571" spans="2:66" ht="12" hidden="1" customHeight="1" outlineLevel="2">
      <c r="B571" s="1" t="s">
        <v>75</v>
      </c>
      <c r="C571" s="37" t="str">
        <f t="shared" ref="C571:Q571" si="5546">IF(ISERROR(C528/AVERAGE(B560:C560)),"n.a.",C528*C$5/AVERAGE(B560:C560))</f>
        <v>n.a.</v>
      </c>
      <c r="D571" s="37" t="str">
        <f t="shared" si="5546"/>
        <v>n.a.</v>
      </c>
      <c r="E571" s="37" t="str">
        <f t="shared" si="5546"/>
        <v>n.a.</v>
      </c>
      <c r="F571" s="37" t="str">
        <f t="shared" si="5546"/>
        <v>n.a.</v>
      </c>
      <c r="G571" s="37" t="str">
        <f t="shared" si="5546"/>
        <v>n.a.</v>
      </c>
      <c r="H571" s="37" t="str">
        <f t="shared" si="5546"/>
        <v>n.a.</v>
      </c>
      <c r="I571" s="37" t="str">
        <f t="shared" si="5546"/>
        <v>n.a.</v>
      </c>
      <c r="J571" s="37" t="str">
        <f t="shared" si="5546"/>
        <v>n.a.</v>
      </c>
      <c r="K571" s="37" t="str">
        <f t="shared" si="5546"/>
        <v>n.a.</v>
      </c>
      <c r="L571" s="37" t="str">
        <f t="shared" si="5546"/>
        <v>n.a.</v>
      </c>
      <c r="M571" s="78" t="str">
        <f t="shared" si="5546"/>
        <v>n.a.</v>
      </c>
      <c r="N571" s="78" t="str">
        <f t="shared" si="5546"/>
        <v>n.a.</v>
      </c>
      <c r="O571" s="78" t="str">
        <f t="shared" si="5546"/>
        <v>n.a.</v>
      </c>
      <c r="P571" s="78" t="str">
        <f t="shared" si="5546"/>
        <v>n.a.</v>
      </c>
      <c r="Q571" s="78" t="str">
        <f t="shared" si="5546"/>
        <v>n.a.</v>
      </c>
      <c r="R571" s="78"/>
      <c r="S571" s="78"/>
      <c r="T571" s="78"/>
      <c r="U571" s="78"/>
      <c r="V571" s="78"/>
      <c r="W571" s="78"/>
      <c r="X571" s="78"/>
      <c r="Y571" s="78"/>
      <c r="Z571" s="78"/>
      <c r="AA571" s="78"/>
      <c r="AB571" s="78"/>
      <c r="AC571" s="78"/>
      <c r="AD571" s="78"/>
      <c r="AE571" s="78"/>
      <c r="AF571" s="78"/>
      <c r="AG571" s="78"/>
      <c r="AH571" s="78"/>
      <c r="AI571" s="88"/>
      <c r="AJ571" s="77"/>
      <c r="AK571" s="77"/>
      <c r="AL571" s="77"/>
      <c r="AM571" s="77"/>
      <c r="AN571" s="77"/>
      <c r="AO571" s="77"/>
      <c r="AP571" s="77"/>
      <c r="AQ571" s="77"/>
      <c r="AR571" s="77"/>
      <c r="AS571" s="8"/>
      <c r="AT571" s="37" t="str">
        <f>IF(ISERROR(AT529/AVERAGE(T560:AT560)),"n.a.",AT529*AT$5/AVERAGE(T560:AT560))</f>
        <v>n.a.</v>
      </c>
      <c r="AU571" s="37" t="str">
        <f t="shared" ref="AU571:AZ571" si="5547">IF(ISERROR(AU529/AVERAGE(AT560:AU560)),"n.a.",AU529*AU$5/AVERAGE(AT560:AU560))</f>
        <v>n.a.</v>
      </c>
      <c r="AV571" s="37" t="str">
        <f t="shared" si="5547"/>
        <v>n.a.</v>
      </c>
      <c r="AW571" s="37" t="str">
        <f t="shared" si="5547"/>
        <v>n.a.</v>
      </c>
      <c r="AX571" s="37" t="str">
        <f t="shared" si="5547"/>
        <v>n.a.</v>
      </c>
      <c r="AY571" s="37" t="str">
        <f t="shared" si="5547"/>
        <v>n.a.</v>
      </c>
      <c r="AZ571" s="37" t="str">
        <f t="shared" si="5547"/>
        <v>n.a.</v>
      </c>
      <c r="BA571" s="37"/>
      <c r="BB571" s="37"/>
      <c r="BC571" s="37"/>
      <c r="BD571" s="37"/>
      <c r="BE571" s="37"/>
      <c r="BF571" s="37"/>
      <c r="BG571" s="37"/>
      <c r="BH571" s="37"/>
      <c r="BI571" s="38"/>
      <c r="BJ571" s="37"/>
      <c r="BK571" s="37"/>
      <c r="BL571" s="37"/>
      <c r="BM571" s="37"/>
      <c r="BN571" s="37"/>
    </row>
    <row r="572" spans="2:66" ht="12" hidden="1" customHeight="1" outlineLevel="2">
      <c r="B572" s="1" t="s">
        <v>76</v>
      </c>
      <c r="C572" s="37" t="str">
        <f t="shared" ref="C572:Q572" si="5548">IF(ISERROR(C529/AVERAGE(B563:C563)),"n.a.",C529*C$5/AVERAGE(B563:C563))</f>
        <v>n.a.</v>
      </c>
      <c r="D572" s="37" t="str">
        <f t="shared" si="5548"/>
        <v>n.a.</v>
      </c>
      <c r="E572" s="37" t="str">
        <f t="shared" si="5548"/>
        <v>n.a.</v>
      </c>
      <c r="F572" s="37" t="str">
        <f t="shared" si="5548"/>
        <v>n.a.</v>
      </c>
      <c r="G572" s="37" t="str">
        <f t="shared" si="5548"/>
        <v>n.a.</v>
      </c>
      <c r="H572" s="37" t="str">
        <f t="shared" si="5548"/>
        <v>n.a.</v>
      </c>
      <c r="I572" s="37" t="str">
        <f t="shared" si="5548"/>
        <v>n.a.</v>
      </c>
      <c r="J572" s="37" t="str">
        <f t="shared" si="5548"/>
        <v>n.a.</v>
      </c>
      <c r="K572" s="37" t="str">
        <f t="shared" si="5548"/>
        <v>n.a.</v>
      </c>
      <c r="L572" s="37" t="str">
        <f t="shared" si="5548"/>
        <v>n.a.</v>
      </c>
      <c r="M572" s="78" t="str">
        <f t="shared" si="5548"/>
        <v>n.a.</v>
      </c>
      <c r="N572" s="78" t="str">
        <f t="shared" si="5548"/>
        <v>n.a.</v>
      </c>
      <c r="O572" s="78" t="str">
        <f t="shared" si="5548"/>
        <v>n.a.</v>
      </c>
      <c r="P572" s="78" t="str">
        <f t="shared" si="5548"/>
        <v>n.a.</v>
      </c>
      <c r="Q572" s="78" t="str">
        <f t="shared" si="5548"/>
        <v>n.a.</v>
      </c>
      <c r="R572" s="78"/>
      <c r="S572" s="78"/>
      <c r="T572" s="78"/>
      <c r="U572" s="78"/>
      <c r="V572" s="78"/>
      <c r="W572" s="78"/>
      <c r="X572" s="78"/>
      <c r="Y572" s="78"/>
      <c r="Z572" s="78"/>
      <c r="AA572" s="78"/>
      <c r="AB572" s="78"/>
      <c r="AC572" s="78"/>
      <c r="AD572" s="78"/>
      <c r="AE572" s="78"/>
      <c r="AF572" s="78"/>
      <c r="AG572" s="78"/>
      <c r="AH572" s="78"/>
      <c r="AI572" s="88"/>
      <c r="AJ572" s="77"/>
      <c r="AK572" s="77"/>
      <c r="AL572" s="77"/>
      <c r="AM572" s="77"/>
      <c r="AN572" s="77"/>
      <c r="AO572" s="77"/>
      <c r="AP572" s="77"/>
      <c r="AQ572" s="77"/>
      <c r="AR572" s="77"/>
      <c r="AS572" s="8"/>
      <c r="AT572" s="37" t="str">
        <f>IF(ISERROR(AT530/AVERAGE(T563:AT563)),"n.a.",AT530*AT$5/AVERAGE(T563:AT563))</f>
        <v>n.a.</v>
      </c>
      <c r="AU572" s="37" t="str">
        <f t="shared" ref="AU572:AZ572" si="5549">IF(ISERROR(AU530/AVERAGE(AT563:AU563)),"n.a.",AU530*AU$5/AVERAGE(AT563:AU563))</f>
        <v>n.a.</v>
      </c>
      <c r="AV572" s="37" t="str">
        <f t="shared" si="5549"/>
        <v>n.a.</v>
      </c>
      <c r="AW572" s="37" t="str">
        <f t="shared" si="5549"/>
        <v>n.a.</v>
      </c>
      <c r="AX572" s="37" t="str">
        <f t="shared" si="5549"/>
        <v>n.a.</v>
      </c>
      <c r="AY572" s="37" t="str">
        <f t="shared" si="5549"/>
        <v>n.a.</v>
      </c>
      <c r="AZ572" s="37" t="str">
        <f t="shared" si="5549"/>
        <v>n.a.</v>
      </c>
      <c r="BA572" s="37"/>
      <c r="BB572" s="37"/>
      <c r="BC572" s="37"/>
      <c r="BD572" s="37"/>
      <c r="BE572" s="37"/>
      <c r="BF572" s="37"/>
      <c r="BG572" s="37"/>
      <c r="BH572" s="37"/>
      <c r="BI572" s="38"/>
      <c r="BJ572" s="37"/>
      <c r="BK572" s="37"/>
      <c r="BL572" s="37"/>
      <c r="BM572" s="37"/>
      <c r="BN572" s="37"/>
    </row>
    <row r="573" spans="2:66" ht="12" hidden="1" customHeight="1" outlineLevel="2">
      <c r="B573" s="1" t="s">
        <v>62</v>
      </c>
      <c r="C573" s="50" t="str">
        <f t="shared" ref="C573:I575" si="5550">IF(ISERROR(C532/B532),"n.a.",C532/B532-1)</f>
        <v>n.a.</v>
      </c>
      <c r="D573" s="50" t="str">
        <f t="shared" si="5550"/>
        <v>n.a.</v>
      </c>
      <c r="E573" s="50" t="str">
        <f t="shared" si="5550"/>
        <v>n.a.</v>
      </c>
      <c r="F573" s="50" t="str">
        <f t="shared" si="5550"/>
        <v>n.a.</v>
      </c>
      <c r="G573" s="50" t="str">
        <f t="shared" si="5550"/>
        <v>n.a.</v>
      </c>
      <c r="H573" s="50" t="str">
        <f t="shared" si="5550"/>
        <v>n.a.</v>
      </c>
      <c r="I573" s="50" t="str">
        <f t="shared" si="5550"/>
        <v>n.a.</v>
      </c>
      <c r="J573" s="50" t="str">
        <f t="shared" ref="J573:M575" si="5551">IF(ISERROR(J532/I532),"n.a.",J532/I532-1)</f>
        <v>n.a.</v>
      </c>
      <c r="K573" s="50" t="str">
        <f t="shared" si="5551"/>
        <v>n.a.</v>
      </c>
      <c r="L573" s="50" t="str">
        <f t="shared" si="5551"/>
        <v>n.a.</v>
      </c>
      <c r="M573" s="69" t="str">
        <f t="shared" si="5551"/>
        <v>n.a.</v>
      </c>
      <c r="N573" s="69" t="str">
        <f t="shared" ref="N573:N575" si="5552">IF(ISERROR(N532/M532),"n.a.",N532/M532-1)</f>
        <v>n.a.</v>
      </c>
      <c r="O573" s="69" t="str">
        <f t="shared" ref="O573:Q575" si="5553">IF(ISERROR(O532/N532),"n.a.",O532/N532-1)</f>
        <v>n.a.</v>
      </c>
      <c r="P573" s="69" t="str">
        <f t="shared" si="5553"/>
        <v>n.a.</v>
      </c>
      <c r="Q573" s="69" t="str">
        <f t="shared" si="5553"/>
        <v>n.a.</v>
      </c>
      <c r="R573" s="337"/>
      <c r="S573" s="337"/>
      <c r="T573" s="337"/>
      <c r="U573" s="337"/>
      <c r="V573" s="337"/>
      <c r="W573" s="337"/>
      <c r="X573" s="337"/>
      <c r="Y573" s="337"/>
      <c r="Z573" s="337"/>
      <c r="AA573" s="337"/>
      <c r="AB573" s="337"/>
      <c r="AC573" s="337"/>
      <c r="AD573" s="337"/>
      <c r="AE573" s="337"/>
      <c r="AF573" s="337"/>
      <c r="AG573" s="337"/>
      <c r="AH573" s="337"/>
      <c r="AI573" s="502"/>
      <c r="AJ573" s="56"/>
      <c r="AK573" s="56"/>
      <c r="AL573" s="56"/>
      <c r="AM573" s="56"/>
      <c r="AN573" s="56"/>
      <c r="AO573" s="56"/>
      <c r="AP573" s="56"/>
      <c r="AQ573" s="56"/>
      <c r="AR573" s="56"/>
      <c r="AS573" s="8"/>
      <c r="AT573" s="50" t="str">
        <f>IF(ISERROR(AT533/T533),"n.a.",AT533/T533-1)</f>
        <v>n.a.</v>
      </c>
      <c r="AU573" s="50">
        <f t="shared" ref="AU573:AZ577" si="5554">IF(ISERROR(AU533/AT533),"n.a.",AU533/AT533-1)</f>
        <v>0.26086956521739135</v>
      </c>
      <c r="AV573" s="50">
        <f t="shared" si="5554"/>
        <v>0.14942528735632177</v>
      </c>
      <c r="AW573" s="50">
        <f t="shared" si="5554"/>
        <v>-0.14000000000000001</v>
      </c>
      <c r="AX573" s="50">
        <f t="shared" si="5554"/>
        <v>0.18604651162790709</v>
      </c>
      <c r="AY573" s="50">
        <f t="shared" si="5554"/>
        <v>0.13725490196078427</v>
      </c>
      <c r="AZ573" s="50">
        <f t="shared" si="5554"/>
        <v>0.23275862068965525</v>
      </c>
      <c r="BA573" s="50"/>
      <c r="BB573" s="50"/>
      <c r="BC573" s="50"/>
      <c r="BD573" s="50"/>
      <c r="BE573" s="50"/>
      <c r="BF573" s="50"/>
      <c r="BG573" s="50"/>
      <c r="BH573" s="50"/>
      <c r="BI573" s="51"/>
      <c r="BJ573" s="50"/>
      <c r="BK573" s="50"/>
      <c r="BL573" s="50"/>
      <c r="BM573" s="50"/>
      <c r="BN573" s="50"/>
    </row>
    <row r="574" spans="2:66" ht="12" hidden="1" customHeight="1" outlineLevel="2">
      <c r="B574" s="1" t="s">
        <v>63</v>
      </c>
      <c r="C574" s="50" t="str">
        <f t="shared" si="5550"/>
        <v>n.a.</v>
      </c>
      <c r="D574" s="50">
        <f t="shared" si="5550"/>
        <v>-2.8571428571428581E-2</v>
      </c>
      <c r="E574" s="50">
        <f t="shared" si="5550"/>
        <v>0.23529411764705888</v>
      </c>
      <c r="F574" s="50">
        <f t="shared" si="5550"/>
        <v>7.1428571428571397E-2</v>
      </c>
      <c r="G574" s="50">
        <f t="shared" si="5550"/>
        <v>0.1333333333333333</v>
      </c>
      <c r="H574" s="50">
        <f t="shared" si="5550"/>
        <v>-3.9215686274509776E-2</v>
      </c>
      <c r="I574" s="50">
        <f t="shared" si="5550"/>
        <v>-0.10204081632653061</v>
      </c>
      <c r="J574" s="50">
        <f t="shared" si="5551"/>
        <v>-4.5454545454545414E-2</v>
      </c>
      <c r="K574" s="50">
        <f t="shared" si="5551"/>
        <v>0.21428571428571419</v>
      </c>
      <c r="L574" s="50">
        <f t="shared" si="5551"/>
        <v>0</v>
      </c>
      <c r="M574" s="69">
        <f t="shared" si="5551"/>
        <v>0</v>
      </c>
      <c r="N574" s="69">
        <f t="shared" si="5552"/>
        <v>0.27450980392156854</v>
      </c>
      <c r="O574" s="69">
        <f t="shared" si="5553"/>
        <v>6.1538461538461542E-2</v>
      </c>
      <c r="P574" s="69">
        <f t="shared" si="5553"/>
        <v>7.2463768115942129E-2</v>
      </c>
      <c r="Q574" s="69">
        <f t="shared" si="5553"/>
        <v>9.4594594594594517E-2</v>
      </c>
      <c r="R574" s="337"/>
      <c r="S574" s="337"/>
      <c r="T574" s="337"/>
      <c r="U574" s="337"/>
      <c r="V574" s="337"/>
      <c r="W574" s="337"/>
      <c r="X574" s="337"/>
      <c r="Y574" s="337"/>
      <c r="Z574" s="337"/>
      <c r="AA574" s="337"/>
      <c r="AB574" s="337"/>
      <c r="AC574" s="337"/>
      <c r="AD574" s="337"/>
      <c r="AE574" s="337"/>
      <c r="AF574" s="337"/>
      <c r="AG574" s="337"/>
      <c r="AH574" s="337"/>
      <c r="AI574" s="502"/>
      <c r="AJ574" s="56"/>
      <c r="AK574" s="56"/>
      <c r="AL574" s="56"/>
      <c r="AM574" s="56"/>
      <c r="AN574" s="56"/>
      <c r="AO574" s="56"/>
      <c r="AP574" s="56"/>
      <c r="AQ574" s="56"/>
      <c r="AR574" s="56"/>
      <c r="AS574" s="8"/>
      <c r="AT574" s="50" t="str">
        <f>IF(ISERROR(AT534/T534),"n.a.",AT534/T534-1)</f>
        <v>n.a.</v>
      </c>
      <c r="AU574" s="50">
        <f t="shared" si="5554"/>
        <v>2.6190476190476191</v>
      </c>
      <c r="AV574" s="50">
        <f t="shared" si="5554"/>
        <v>-0.43421052631578949</v>
      </c>
      <c r="AW574" s="50">
        <f t="shared" si="5554"/>
        <v>0.93023255813953498</v>
      </c>
      <c r="AX574" s="50">
        <f t="shared" si="5554"/>
        <v>-0.33734939759036142</v>
      </c>
      <c r="AY574" s="50">
        <f t="shared" si="5554"/>
        <v>4.418181818181818</v>
      </c>
      <c r="AZ574" s="50">
        <f t="shared" si="5554"/>
        <v>-0.82885906040268453</v>
      </c>
      <c r="BA574" s="50"/>
      <c r="BB574" s="50"/>
      <c r="BC574" s="50"/>
      <c r="BD574" s="50"/>
      <c r="BE574" s="50"/>
      <c r="BF574" s="50"/>
      <c r="BG574" s="50"/>
      <c r="BH574" s="50"/>
      <c r="BI574" s="51"/>
      <c r="BJ574" s="50"/>
      <c r="BK574" s="50"/>
      <c r="BL574" s="50"/>
      <c r="BM574" s="50"/>
      <c r="BN574" s="50"/>
    </row>
    <row r="575" spans="2:66" ht="12" hidden="1" customHeight="1" outlineLevel="2">
      <c r="B575" s="1" t="s">
        <v>64</v>
      </c>
      <c r="C575" s="50" t="str">
        <f t="shared" si="5550"/>
        <v>n.a.</v>
      </c>
      <c r="D575" s="50">
        <f t="shared" si="5550"/>
        <v>-2.7777777777777777</v>
      </c>
      <c r="E575" s="50">
        <f t="shared" si="5550"/>
        <v>-0.10416666666666663</v>
      </c>
      <c r="F575" s="50">
        <f t="shared" si="5550"/>
        <v>-0.23255813953488369</v>
      </c>
      <c r="G575" s="50">
        <f t="shared" si="5550"/>
        <v>-0.15151515151515149</v>
      </c>
      <c r="H575" s="50">
        <f t="shared" si="5550"/>
        <v>-0.4642857142857143</v>
      </c>
      <c r="I575" s="50">
        <f t="shared" si="5550"/>
        <v>1.3333333333333335</v>
      </c>
      <c r="J575" s="50">
        <f t="shared" si="5551"/>
        <v>0.37142857142857144</v>
      </c>
      <c r="K575" s="50">
        <f t="shared" si="5551"/>
        <v>-0.4375</v>
      </c>
      <c r="L575" s="50">
        <f t="shared" si="5551"/>
        <v>3.7037037037036979E-2</v>
      </c>
      <c r="M575" s="69">
        <f t="shared" si="5551"/>
        <v>0.39285714285714279</v>
      </c>
      <c r="N575" s="69">
        <f t="shared" si="5552"/>
        <v>5.6410256410256414</v>
      </c>
      <c r="O575" s="69">
        <f t="shared" si="5553"/>
        <v>-0.91891891891891886</v>
      </c>
      <c r="P575" s="69">
        <f t="shared" si="5553"/>
        <v>0.4285714285714286</v>
      </c>
      <c r="Q575" s="69">
        <f t="shared" si="5553"/>
        <v>0.6333333333333333</v>
      </c>
      <c r="R575" s="337"/>
      <c r="S575" s="337"/>
      <c r="T575" s="337"/>
      <c r="U575" s="337"/>
      <c r="V575" s="337"/>
      <c r="W575" s="337"/>
      <c r="X575" s="337"/>
      <c r="Y575" s="337"/>
      <c r="Z575" s="337"/>
      <c r="AA575" s="337"/>
      <c r="AB575" s="337"/>
      <c r="AC575" s="337"/>
      <c r="AD575" s="337"/>
      <c r="AE575" s="337"/>
      <c r="AF575" s="337"/>
      <c r="AG575" s="337"/>
      <c r="AH575" s="337"/>
      <c r="AI575" s="502"/>
      <c r="AJ575" s="56"/>
      <c r="AK575" s="56"/>
      <c r="AL575" s="56"/>
      <c r="AM575" s="56"/>
      <c r="AN575" s="56"/>
      <c r="AO575" s="56"/>
      <c r="AP575" s="56"/>
      <c r="AQ575" s="56"/>
      <c r="AR575" s="56"/>
      <c r="AS575" s="8"/>
      <c r="AT575" s="50" t="str">
        <f>IF(ISERROR(AT535/T535),"n.a.",AT535/T535-1)</f>
        <v>n.a.</v>
      </c>
      <c r="AU575" s="50">
        <f t="shared" si="5554"/>
        <v>0.10322580645161294</v>
      </c>
      <c r="AV575" s="50">
        <f t="shared" si="5554"/>
        <v>-0.13450292397660824</v>
      </c>
      <c r="AW575" s="50">
        <f t="shared" si="5554"/>
        <v>0.15540540540540548</v>
      </c>
      <c r="AX575" s="50">
        <f t="shared" si="5554"/>
        <v>-5.2631578947368474E-2</v>
      </c>
      <c r="AY575" s="50">
        <f t="shared" si="5554"/>
        <v>1.5802469135802468</v>
      </c>
      <c r="AZ575" s="50">
        <f t="shared" si="5554"/>
        <v>-0.45454545454545459</v>
      </c>
      <c r="BA575" s="50"/>
      <c r="BB575" s="50"/>
      <c r="BC575" s="50"/>
      <c r="BD575" s="50"/>
      <c r="BE575" s="50"/>
      <c r="BF575" s="50"/>
      <c r="BG575" s="50"/>
      <c r="BH575" s="50"/>
      <c r="BI575" s="51"/>
      <c r="BJ575" s="50"/>
      <c r="BK575" s="50"/>
      <c r="BL575" s="50"/>
      <c r="BM575" s="50"/>
      <c r="BN575" s="50"/>
    </row>
    <row r="576" spans="2:66" ht="12" hidden="1" customHeight="1" outlineLevel="2">
      <c r="B576" s="1" t="s">
        <v>71</v>
      </c>
      <c r="C576" s="50" t="str">
        <f t="shared" ref="C576:I577" si="5555">IF(ISERROR(C536/B536),"n.a.",C536/B536-1)</f>
        <v>n.a.</v>
      </c>
      <c r="D576" s="50">
        <f t="shared" si="5555"/>
        <v>-6.0693641618497107E-2</v>
      </c>
      <c r="E576" s="50">
        <f t="shared" si="5555"/>
        <v>-0.39384615384615385</v>
      </c>
      <c r="F576" s="50">
        <f t="shared" si="5555"/>
        <v>1.1370558375634516</v>
      </c>
      <c r="G576" s="50">
        <f t="shared" si="5555"/>
        <v>-0.33729216152019004</v>
      </c>
      <c r="H576" s="50">
        <f t="shared" si="5555"/>
        <v>5.3763440860215006E-2</v>
      </c>
      <c r="I576" s="50">
        <f t="shared" si="5555"/>
        <v>0.1802721088435375</v>
      </c>
      <c r="J576" s="50">
        <f t="shared" ref="J576:M577" si="5556">IF(ISERROR(J536/I536),"n.a.",J536/I536-1)</f>
        <v>5.4755043227665778E-2</v>
      </c>
      <c r="K576" s="50">
        <f t="shared" si="5556"/>
        <v>7.3770491803278659E-2</v>
      </c>
      <c r="L576" s="50">
        <f t="shared" si="5556"/>
        <v>0.86005089058524176</v>
      </c>
      <c r="M576" s="69">
        <f t="shared" si="5556"/>
        <v>-0.42818057455540359</v>
      </c>
      <c r="N576" s="69">
        <f t="shared" ref="N576:N577" si="5557">IF(ISERROR(N536/M536),"n.a.",N536/M536-1)</f>
        <v>0.69138755980861255</v>
      </c>
      <c r="O576" s="69">
        <f t="shared" ref="O576:Q577" si="5558">IF(ISERROR(O536/N536),"n.a.",O536/N536-1)</f>
        <v>-0.17538896746817534</v>
      </c>
      <c r="P576" s="69">
        <f t="shared" si="5558"/>
        <v>0.25557461406518001</v>
      </c>
      <c r="Q576" s="69">
        <f t="shared" si="5558"/>
        <v>-0.31010928961748629</v>
      </c>
      <c r="R576" s="337"/>
      <c r="S576" s="337"/>
      <c r="T576" s="337"/>
      <c r="U576" s="337"/>
      <c r="V576" s="337"/>
      <c r="W576" s="337"/>
      <c r="X576" s="337"/>
      <c r="Y576" s="337"/>
      <c r="Z576" s="337"/>
      <c r="AA576" s="337"/>
      <c r="AB576" s="337"/>
      <c r="AC576" s="337"/>
      <c r="AD576" s="337"/>
      <c r="AE576" s="337"/>
      <c r="AF576" s="337"/>
      <c r="AG576" s="337"/>
      <c r="AH576" s="337"/>
      <c r="AI576" s="502"/>
      <c r="AJ576" s="56"/>
      <c r="AK576" s="56"/>
      <c r="AL576" s="56"/>
      <c r="AM576" s="56"/>
      <c r="AN576" s="56"/>
      <c r="AO576" s="56"/>
      <c r="AP576" s="56"/>
      <c r="AQ576" s="56"/>
      <c r="AR576" s="56"/>
      <c r="AS576" s="8"/>
      <c r="AT576" s="50" t="str">
        <f t="shared" ref="AT576:AT577" si="5559">IF(ISERROR(AT536/AS536),"n.a.",AT536/AS536-1)</f>
        <v>n.a.</v>
      </c>
      <c r="AU576" s="50">
        <f>IF(ISERROR(AU536/AT536),"n.a.",AU536/AT536-1)</f>
        <v>-7.8986587183308532E-2</v>
      </c>
      <c r="AV576" s="50">
        <f t="shared" si="5554"/>
        <v>-7.2815533980582492E-2</v>
      </c>
      <c r="AW576" s="50">
        <f t="shared" si="5554"/>
        <v>0.2443280977312392</v>
      </c>
      <c r="AX576" s="50">
        <f t="shared" si="5554"/>
        <v>0.57643758765778408</v>
      </c>
      <c r="AY576" s="50">
        <f t="shared" si="5554"/>
        <v>8.8967971530240497E-4</v>
      </c>
      <c r="AZ576" s="50">
        <f t="shared" si="5554"/>
        <v>0.16888888888888887</v>
      </c>
      <c r="BA576" s="50"/>
      <c r="BB576" s="50"/>
      <c r="BC576" s="50"/>
      <c r="BD576" s="50"/>
      <c r="BE576" s="50"/>
      <c r="BF576" s="50"/>
      <c r="BG576" s="50"/>
      <c r="BH576" s="50"/>
      <c r="BI576" s="51"/>
      <c r="BJ576" s="50"/>
      <c r="BK576" s="50"/>
      <c r="BL576" s="50"/>
      <c r="BM576" s="50"/>
      <c r="BN576" s="50"/>
    </row>
    <row r="577" spans="1:66" ht="12" hidden="1" customHeight="1" outlineLevel="2">
      <c r="B577" s="1" t="s">
        <v>72</v>
      </c>
      <c r="C577" s="50" t="str">
        <f t="shared" si="5555"/>
        <v>n.a.</v>
      </c>
      <c r="D577" s="50">
        <f t="shared" si="5555"/>
        <v>0.45856353591160226</v>
      </c>
      <c r="E577" s="50">
        <f t="shared" si="5555"/>
        <v>-0.38257575757575757</v>
      </c>
      <c r="F577" s="50">
        <f t="shared" si="5555"/>
        <v>-1.2269938650306789E-2</v>
      </c>
      <c r="G577" s="50">
        <f t="shared" si="5555"/>
        <v>-0.83229813664596275</v>
      </c>
      <c r="H577" s="50">
        <f t="shared" si="5555"/>
        <v>9.481481481481481</v>
      </c>
      <c r="I577" s="50">
        <f t="shared" si="5555"/>
        <v>-0.32862190812720848</v>
      </c>
      <c r="J577" s="50">
        <f t="shared" si="5556"/>
        <v>0.4263157894736842</v>
      </c>
      <c r="K577" s="50">
        <f t="shared" si="5556"/>
        <v>-0.17712177121771222</v>
      </c>
      <c r="L577" s="50">
        <f t="shared" si="5556"/>
        <v>4.4843049327354167E-2</v>
      </c>
      <c r="M577" s="69">
        <f t="shared" si="5556"/>
        <v>8.5836909871244593E-2</v>
      </c>
      <c r="N577" s="69">
        <f t="shared" si="5557"/>
        <v>0.24505928853754932</v>
      </c>
      <c r="O577" s="69">
        <f t="shared" si="5558"/>
        <v>-0.21904761904761905</v>
      </c>
      <c r="P577" s="69">
        <f t="shared" si="5558"/>
        <v>-0.25203252032520329</v>
      </c>
      <c r="Q577" s="69">
        <f t="shared" si="5558"/>
        <v>0.46195652173913038</v>
      </c>
      <c r="R577" s="337"/>
      <c r="S577" s="337"/>
      <c r="T577" s="337"/>
      <c r="U577" s="337"/>
      <c r="V577" s="337"/>
      <c r="W577" s="337"/>
      <c r="X577" s="337"/>
      <c r="Y577" s="337"/>
      <c r="Z577" s="337"/>
      <c r="AA577" s="337"/>
      <c r="AB577" s="337"/>
      <c r="AC577" s="337"/>
      <c r="AD577" s="337"/>
      <c r="AE577" s="337"/>
      <c r="AF577" s="337"/>
      <c r="AG577" s="337"/>
      <c r="AH577" s="337"/>
      <c r="AI577" s="502"/>
      <c r="AJ577" s="56"/>
      <c r="AK577" s="56"/>
      <c r="AL577" s="56"/>
      <c r="AM577" s="56"/>
      <c r="AN577" s="56"/>
      <c r="AO577" s="56"/>
      <c r="AP577" s="56"/>
      <c r="AQ577" s="56"/>
      <c r="AR577" s="56"/>
      <c r="AS577" s="8"/>
      <c r="AT577" s="50" t="str">
        <f t="shared" si="5559"/>
        <v>n.a.</v>
      </c>
      <c r="AU577" s="50">
        <f>IF(ISERROR(AU537/AT537),"n.a.",AU537/AT537-1)</f>
        <v>-0.27191011235955054</v>
      </c>
      <c r="AV577" s="50">
        <f t="shared" si="5554"/>
        <v>-4.3209876543209846E-2</v>
      </c>
      <c r="AW577" s="50">
        <f t="shared" si="5554"/>
        <v>0.48709677419354835</v>
      </c>
      <c r="AX577" s="50">
        <f t="shared" si="5554"/>
        <v>-1.0845986984815648E-2</v>
      </c>
      <c r="AY577" s="50">
        <f t="shared" si="5554"/>
        <v>0.2456140350877194</v>
      </c>
      <c r="AZ577" s="50">
        <f t="shared" si="5554"/>
        <v>-0.24295774647887325</v>
      </c>
      <c r="BA577" s="50"/>
      <c r="BB577" s="50"/>
      <c r="BC577" s="50"/>
      <c r="BD577" s="50"/>
      <c r="BE577" s="50"/>
      <c r="BF577" s="50"/>
      <c r="BG577" s="50"/>
      <c r="BH577" s="50"/>
      <c r="BI577" s="51"/>
      <c r="BJ577" s="50"/>
      <c r="BK577" s="50"/>
      <c r="BL577" s="50"/>
      <c r="BM577" s="50"/>
      <c r="BN577" s="50"/>
    </row>
    <row r="578" spans="1:66" ht="12" hidden="1" customHeight="1" outlineLevel="2">
      <c r="B578" s="1" t="s">
        <v>77</v>
      </c>
      <c r="C578" s="37" t="str">
        <f t="shared" ref="C578:Q578" si="5560">IF(ISERROR(-C539/AVERAGE(B557:C557)),"n.a.",-C539*C$5/AVERAGE(B557:C557))</f>
        <v>n.a.</v>
      </c>
      <c r="D578" s="37" t="str">
        <f t="shared" si="5560"/>
        <v>n.a.</v>
      </c>
      <c r="E578" s="37" t="str">
        <f t="shared" si="5560"/>
        <v>n.a.</v>
      </c>
      <c r="F578" s="37" t="str">
        <f t="shared" si="5560"/>
        <v>n.a.</v>
      </c>
      <c r="G578" s="37" t="str">
        <f t="shared" si="5560"/>
        <v>n.a.</v>
      </c>
      <c r="H578" s="37" t="str">
        <f t="shared" si="5560"/>
        <v>n.a.</v>
      </c>
      <c r="I578" s="37" t="str">
        <f t="shared" si="5560"/>
        <v>n.a.</v>
      </c>
      <c r="J578" s="37" t="str">
        <f t="shared" si="5560"/>
        <v>n.a.</v>
      </c>
      <c r="K578" s="37" t="str">
        <f t="shared" si="5560"/>
        <v>n.a.</v>
      </c>
      <c r="L578" s="37" t="str">
        <f t="shared" si="5560"/>
        <v>n.a.</v>
      </c>
      <c r="M578" s="78" t="str">
        <f t="shared" si="5560"/>
        <v>n.a.</v>
      </c>
      <c r="N578" s="78" t="str">
        <f t="shared" si="5560"/>
        <v>n.a.</v>
      </c>
      <c r="O578" s="78" t="str">
        <f t="shared" si="5560"/>
        <v>n.a.</v>
      </c>
      <c r="P578" s="78" t="str">
        <f t="shared" si="5560"/>
        <v>n.a.</v>
      </c>
      <c r="Q578" s="78" t="str">
        <f t="shared" si="5560"/>
        <v>n.a.</v>
      </c>
      <c r="R578" s="37"/>
      <c r="S578" s="37"/>
      <c r="T578" s="37"/>
      <c r="U578" s="37"/>
      <c r="V578" s="37"/>
      <c r="W578" s="37"/>
      <c r="X578" s="37"/>
      <c r="Y578" s="37"/>
      <c r="Z578" s="37"/>
      <c r="AA578" s="37"/>
      <c r="AB578" s="37"/>
      <c r="AC578" s="37"/>
      <c r="AD578" s="37"/>
      <c r="AE578" s="37"/>
      <c r="AF578" s="37"/>
      <c r="AG578" s="37"/>
      <c r="AH578" s="37"/>
      <c r="AI578" s="38"/>
      <c r="AJ578" s="37"/>
      <c r="AK578" s="37"/>
      <c r="AL578" s="37"/>
      <c r="AM578" s="37"/>
      <c r="AN578" s="37"/>
      <c r="AO578" s="37"/>
      <c r="AP578" s="37"/>
      <c r="AQ578" s="37"/>
      <c r="AR578" s="37"/>
      <c r="AS578" s="37"/>
      <c r="AT578" s="37" t="str">
        <f t="shared" ref="AT578:AZ578" si="5561">IF(ISERROR(-AT539/AVERAGE(AS557:AT557)),"n.a.",-AT539*AT$5/AVERAGE(AS557:AT557))</f>
        <v>n.a.</v>
      </c>
      <c r="AU578" s="37" t="str">
        <f t="shared" si="5561"/>
        <v>n.a.</v>
      </c>
      <c r="AV578" s="37" t="str">
        <f t="shared" si="5561"/>
        <v>n.a.</v>
      </c>
      <c r="AW578" s="37" t="str">
        <f t="shared" si="5561"/>
        <v>n.a.</v>
      </c>
      <c r="AX578" s="37" t="str">
        <f t="shared" si="5561"/>
        <v>n.a.</v>
      </c>
      <c r="AY578" s="37" t="str">
        <f t="shared" si="5561"/>
        <v>n.a.</v>
      </c>
      <c r="AZ578" s="37" t="str">
        <f t="shared" si="5561"/>
        <v>n.a.</v>
      </c>
      <c r="BA578" s="37"/>
      <c r="BB578" s="37"/>
      <c r="BC578" s="37"/>
      <c r="BD578" s="37"/>
      <c r="BE578" s="37"/>
      <c r="BF578" s="37"/>
      <c r="BG578" s="37"/>
      <c r="BH578" s="37"/>
      <c r="BI578" s="38"/>
      <c r="BJ578" s="37"/>
      <c r="BK578" s="37"/>
      <c r="BL578" s="37"/>
      <c r="BM578" s="37"/>
      <c r="BN578" s="37"/>
    </row>
    <row r="579" spans="1:66" ht="12" hidden="1" customHeight="1" outlineLevel="2">
      <c r="B579" s="1" t="s">
        <v>66</v>
      </c>
      <c r="C579" s="50" t="str">
        <f t="shared" ref="C579:M579" si="5562">IF(ISERROR(C540/B540),"n.a.",C540/B540-1)</f>
        <v>n.a.</v>
      </c>
      <c r="D579" s="50">
        <f t="shared" si="5562"/>
        <v>-0.11764705882352944</v>
      </c>
      <c r="E579" s="50">
        <f t="shared" si="5562"/>
        <v>1.5333333333333332</v>
      </c>
      <c r="F579" s="50">
        <f t="shared" si="5562"/>
        <v>0.66666666666666674</v>
      </c>
      <c r="G579" s="50">
        <f t="shared" si="5562"/>
        <v>-0.81578947368421051</v>
      </c>
      <c r="H579" s="50">
        <f t="shared" si="5562"/>
        <v>7.8000000000000007</v>
      </c>
      <c r="I579" s="50">
        <f t="shared" si="5562"/>
        <v>-1.0649350649350648</v>
      </c>
      <c r="J579" s="50">
        <f t="shared" si="5562"/>
        <v>-1.35</v>
      </c>
      <c r="K579" s="50">
        <f t="shared" si="5562"/>
        <v>-5.2857142857142856</v>
      </c>
      <c r="L579" s="50">
        <f t="shared" si="5562"/>
        <v>-2.2000000000000002</v>
      </c>
      <c r="M579" s="69">
        <f t="shared" si="5562"/>
        <v>-0.80555555555555558</v>
      </c>
      <c r="N579" s="69">
        <f t="shared" ref="N579" si="5563">IF(ISERROR(N540/M540),"n.a.",N540/M540-1)</f>
        <v>-8.2857142857142847</v>
      </c>
      <c r="O579" s="69">
        <f t="shared" ref="O579:Q579" si="5564">IF(ISERROR(O540/N540),"n.a.",O540/N540-1)</f>
        <v>-1.7254901960784315</v>
      </c>
      <c r="P579" s="69">
        <f t="shared" si="5564"/>
        <v>-1.8378378378378377</v>
      </c>
      <c r="Q579" s="69">
        <f t="shared" si="5564"/>
        <v>-5.903225806451613</v>
      </c>
      <c r="R579" s="337"/>
      <c r="S579" s="337"/>
      <c r="T579" s="337"/>
      <c r="U579" s="337"/>
      <c r="V579" s="337"/>
      <c r="W579" s="337"/>
      <c r="X579" s="337"/>
      <c r="Y579" s="337"/>
      <c r="Z579" s="337"/>
      <c r="AA579" s="337"/>
      <c r="AB579" s="337"/>
      <c r="AC579" s="337"/>
      <c r="AD579" s="337"/>
      <c r="AE579" s="337"/>
      <c r="AF579" s="337"/>
      <c r="AG579" s="337"/>
      <c r="AH579" s="337"/>
      <c r="AI579" s="502"/>
      <c r="AJ579" s="56"/>
      <c r="AK579" s="56"/>
      <c r="AL579" s="56"/>
      <c r="AM579" s="56"/>
      <c r="AN579" s="56"/>
      <c r="AO579" s="56"/>
      <c r="AP579" s="56"/>
      <c r="AQ579" s="56"/>
      <c r="AR579" s="56"/>
      <c r="AS579" s="8"/>
      <c r="AT579" s="50" t="str">
        <f>IF(ISERROR(AT540/T540),"n.a.",AT540/T540-1)</f>
        <v>n.a.</v>
      </c>
      <c r="AU579" s="50">
        <f>IF(ISERROR(AU540/AT540),"n.a.",AU540/AT540-1)</f>
        <v>2.1666666666666665</v>
      </c>
      <c r="AV579" s="50">
        <f>IF(ISERROR(AV540/AU540),"n.a.",AV540/AU540-1)</f>
        <v>0.12828947368421062</v>
      </c>
      <c r="AW579" s="50">
        <f>IF(ISERROR(AW540/AV540),"n.a.",AW540/AV540-1)</f>
        <v>-1.0379008746355685</v>
      </c>
      <c r="AX579" s="50">
        <f t="shared" ref="AX579:AZ579" si="5565">IF(ISERROR(AX540/AW540),"n.a.",AX540/AW540-1)</f>
        <v>-1.4615384615384617</v>
      </c>
      <c r="AY579" s="50">
        <f t="shared" si="5565"/>
        <v>-8.3333333333333321</v>
      </c>
      <c r="AZ579" s="50">
        <f t="shared" si="5565"/>
        <v>-1.1363636363636362</v>
      </c>
      <c r="BA579" s="50"/>
      <c r="BB579" s="50"/>
      <c r="BC579" s="50"/>
      <c r="BD579" s="50"/>
      <c r="BE579" s="50"/>
      <c r="BF579" s="50"/>
      <c r="BG579" s="50"/>
      <c r="BH579" s="50"/>
      <c r="BI579" s="51"/>
      <c r="BJ579" s="50"/>
      <c r="BK579" s="50"/>
      <c r="BL579" s="50"/>
      <c r="BM579" s="50"/>
      <c r="BN579" s="50"/>
    </row>
    <row r="580" spans="1:66" ht="12" hidden="1" customHeight="1" outlineLevel="2">
      <c r="B580" s="1" t="s">
        <v>67</v>
      </c>
      <c r="C580" s="54">
        <f t="shared" ref="C580:Q580" si="5566">IF(ISERROR(-C542/AVERAGE(B564:C564)*1000000),"n.a.",-C542*C$5/AVERAGE(B564:C564)*1000000)</f>
        <v>240546.99728148943</v>
      </c>
      <c r="D580" s="54">
        <f t="shared" si="5566"/>
        <v>269786.76085818943</v>
      </c>
      <c r="E580" s="54">
        <f t="shared" si="5566"/>
        <v>267096.20996457158</v>
      </c>
      <c r="F580" s="54">
        <f t="shared" si="5566"/>
        <v>371426.29744802538</v>
      </c>
      <c r="G580" s="54">
        <f t="shared" si="5566"/>
        <v>254299.1141219385</v>
      </c>
      <c r="H580" s="54">
        <f t="shared" si="5566"/>
        <v>286016.94915254239</v>
      </c>
      <c r="I580" s="54">
        <f t="shared" si="5566"/>
        <v>241698.19251786466</v>
      </c>
      <c r="J580" s="54">
        <f t="shared" si="5566"/>
        <v>264577.11154281074</v>
      </c>
      <c r="K580" s="54">
        <f t="shared" si="5566"/>
        <v>259140.93006744765</v>
      </c>
      <c r="L580" s="54">
        <f t="shared" si="5566"/>
        <v>303603.64582112984</v>
      </c>
      <c r="M580" s="79">
        <f t="shared" si="5566"/>
        <v>278794.7704085295</v>
      </c>
      <c r="N580" s="79">
        <f t="shared" si="5566"/>
        <v>309649.17737949133</v>
      </c>
      <c r="O580" s="79">
        <f t="shared" si="5566"/>
        <v>337055.83756345173</v>
      </c>
      <c r="P580" s="79">
        <f t="shared" si="5566"/>
        <v>366255.14403292182</v>
      </c>
      <c r="Q580" s="79">
        <f t="shared" si="5566"/>
        <v>325253.0304728889</v>
      </c>
      <c r="R580" s="55"/>
      <c r="S580" s="55"/>
      <c r="T580" s="55"/>
      <c r="U580" s="55"/>
      <c r="V580" s="55"/>
      <c r="W580" s="55"/>
      <c r="X580" s="55"/>
      <c r="Y580" s="55"/>
      <c r="Z580" s="55"/>
      <c r="AA580" s="55"/>
      <c r="AB580" s="55"/>
      <c r="AC580" s="55"/>
      <c r="AD580" s="55"/>
      <c r="AE580" s="55"/>
      <c r="AF580" s="55"/>
      <c r="AG580" s="55"/>
      <c r="AH580" s="55"/>
      <c r="AI580" s="504"/>
      <c r="AJ580" s="55"/>
      <c r="AK580" s="55"/>
      <c r="AL580" s="55"/>
      <c r="AM580" s="55"/>
      <c r="AN580" s="55"/>
      <c r="AO580" s="55"/>
      <c r="AP580" s="55"/>
      <c r="AQ580" s="55"/>
      <c r="AR580" s="55"/>
      <c r="AS580" s="8"/>
      <c r="AT580" s="54">
        <f>IF(ISERROR(-AT542/AVERAGE(T564:AT564)*1000000),"n.a.",-AT542*AT$5/AVERAGE(T564:AT564)*1000000)</f>
        <v>236425.33936651584</v>
      </c>
      <c r="AU580" s="54">
        <f t="shared" ref="AU580:AZ580" si="5567">IF(ISERROR(-AU542/AVERAGE(AT564:AU564)*1000000),"n.a.",-AU542*AU$5/AVERAGE(AT564:AU564)*1000000)</f>
        <v>324034.33476394851</v>
      </c>
      <c r="AV580" s="54">
        <f t="shared" si="5567"/>
        <v>266459.30533955421</v>
      </c>
      <c r="AW580" s="54">
        <f t="shared" si="5567"/>
        <v>253298.15303430081</v>
      </c>
      <c r="AX580" s="54">
        <f t="shared" si="5567"/>
        <v>279365.07936507935</v>
      </c>
      <c r="AY580" s="54">
        <f t="shared" si="5567"/>
        <v>293568.46473029046</v>
      </c>
      <c r="AZ580" s="54">
        <f t="shared" si="5567"/>
        <v>354273.94438722963</v>
      </c>
      <c r="BA580" s="54"/>
      <c r="BB580" s="54"/>
      <c r="BC580" s="54"/>
      <c r="BD580" s="54"/>
      <c r="BE580" s="54"/>
      <c r="BF580" s="54"/>
      <c r="BG580" s="54"/>
      <c r="BH580" s="54"/>
      <c r="BI580" s="53"/>
      <c r="BJ580" s="54"/>
      <c r="BK580" s="54"/>
      <c r="BL580" s="54"/>
      <c r="BM580" s="54"/>
      <c r="BN580" s="54"/>
    </row>
    <row r="581" spans="1:66" ht="12" hidden="1" customHeight="1" outlineLevel="2">
      <c r="B581" s="1" t="s">
        <v>78</v>
      </c>
      <c r="C581" s="50">
        <f>IF(ISERROR(-C542/C541),"n.a.",-C542/C541)</f>
        <v>0.14883720930232558</v>
      </c>
      <c r="D581" s="50">
        <f>IF(ISERROR(-D542/D541),"n.a.",-D542/D541)</f>
        <v>0.14195979899497488</v>
      </c>
      <c r="E581" s="50">
        <f t="shared" ref="E581:O581" si="5568">IF(ISERROR(-E542/E541),"n.a.",-E542/E541)</f>
        <v>0.22404371584699453</v>
      </c>
      <c r="F581" s="50">
        <f t="shared" si="5568"/>
        <v>0.20645905420991925</v>
      </c>
      <c r="G581" s="50">
        <f t="shared" si="5568"/>
        <v>0.29397590361445786</v>
      </c>
      <c r="H581" s="50">
        <f t="shared" si="5568"/>
        <v>0.14225500526870391</v>
      </c>
      <c r="I581" s="50">
        <f t="shared" si="5568"/>
        <v>0.19896193771626297</v>
      </c>
      <c r="J581" s="50">
        <f t="shared" si="5568"/>
        <v>0.17241379310344829</v>
      </c>
      <c r="K581" s="50">
        <f t="shared" ref="K581:L581" si="5569">IF(ISERROR(-K542/K541),"n.a.",-K542/K541)</f>
        <v>0.18683001531393567</v>
      </c>
      <c r="L581" s="50">
        <f t="shared" si="5569"/>
        <v>0.1379980563654033</v>
      </c>
      <c r="M581" s="69">
        <f t="shared" ref="M581" si="5570">IF(ISERROR(-M542/M541),"n.a.",-M542/M541)</f>
        <v>0.18344827586206897</v>
      </c>
      <c r="N581" s="69">
        <f t="shared" si="5568"/>
        <v>0.13562386980108498</v>
      </c>
      <c r="O581" s="69">
        <f t="shared" si="5568"/>
        <v>0.20468557336621454</v>
      </c>
      <c r="P581" s="69">
        <f t="shared" ref="P581:Q581" si="5571">IF(ISERROR(-P542/P541),"n.a.",-P542/P541)</f>
        <v>0.20135746606334842</v>
      </c>
      <c r="Q581" s="69">
        <f t="shared" si="5571"/>
        <v>0.15469061876247506</v>
      </c>
      <c r="R581" s="50"/>
      <c r="S581" s="50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D581" s="50"/>
      <c r="AE581" s="50"/>
      <c r="AF581" s="50"/>
      <c r="AG581" s="50"/>
      <c r="AH581" s="50"/>
      <c r="AI581" s="51"/>
      <c r="AJ581" s="50"/>
      <c r="AK581" s="50"/>
      <c r="AL581" s="50"/>
      <c r="AM581" s="50"/>
      <c r="AN581" s="50"/>
      <c r="AO581" s="50"/>
      <c r="AP581" s="50"/>
      <c r="AQ581" s="50"/>
      <c r="AR581" s="50"/>
      <c r="AS581" s="8"/>
      <c r="AT581" s="50">
        <f t="shared" ref="AT581:AZ581" si="5572">IF(ISERROR(-AT542/AT541),"n.a.",-AT542/AT541)</f>
        <v>0.14503816793893129</v>
      </c>
      <c r="AU581" s="50">
        <f t="shared" si="5572"/>
        <v>0.2132768361581921</v>
      </c>
      <c r="AV581" s="50">
        <f t="shared" si="5572"/>
        <v>0.18841642228739003</v>
      </c>
      <c r="AW581" s="50">
        <f t="shared" si="5572"/>
        <v>0.1841903300076746</v>
      </c>
      <c r="AX581" s="50">
        <f t="shared" si="5572"/>
        <v>0.15695600475624258</v>
      </c>
      <c r="AY581" s="50">
        <f t="shared" si="5572"/>
        <v>0.1545603495357728</v>
      </c>
      <c r="AZ581" s="50">
        <f t="shared" si="5572"/>
        <v>0.20294985250737463</v>
      </c>
      <c r="BA581" s="50"/>
      <c r="BB581" s="50"/>
      <c r="BC581" s="50"/>
      <c r="BD581" s="50"/>
      <c r="BE581" s="50"/>
      <c r="BF581" s="50"/>
      <c r="BG581" s="50"/>
      <c r="BH581" s="50"/>
      <c r="BI581" s="51"/>
      <c r="BJ581" s="50"/>
      <c r="BK581" s="50"/>
      <c r="BL581" s="50"/>
      <c r="BM581" s="50"/>
      <c r="BN581" s="50"/>
    </row>
    <row r="582" spans="1:66" ht="12" hidden="1" customHeight="1" outlineLevel="2">
      <c r="B582" s="1" t="s">
        <v>1110</v>
      </c>
      <c r="C582" s="69" t="str">
        <f t="shared" ref="C582:J582" si="5573">IF(OR(ISERROR(-(C542+C552)/C541),C552=""),"n.a.",-(C542+C552)/C541)</f>
        <v>n.a.</v>
      </c>
      <c r="D582" s="69" t="str">
        <f t="shared" si="5573"/>
        <v>n.a.</v>
      </c>
      <c r="E582" s="69" t="str">
        <f t="shared" si="5573"/>
        <v>n.a.</v>
      </c>
      <c r="F582" s="69" t="str">
        <f t="shared" si="5573"/>
        <v>n.a.</v>
      </c>
      <c r="G582" s="69">
        <f t="shared" si="5573"/>
        <v>0.39067092699293626</v>
      </c>
      <c r="H582" s="69">
        <f t="shared" si="5573"/>
        <v>0.3929115289370067</v>
      </c>
      <c r="I582" s="69">
        <f t="shared" si="5573"/>
        <v>0.38165191080474337</v>
      </c>
      <c r="J582" s="69">
        <f t="shared" si="5573"/>
        <v>0.29744230170042169</v>
      </c>
      <c r="K582" s="69">
        <f t="shared" ref="K582:P582" si="5574">IF(OR(ISERROR(-(K542+K552)/K541),K552=""),"n.a.",-(K542+K552)/K541)</f>
        <v>0.36951998840241607</v>
      </c>
      <c r="L582" s="69">
        <f t="shared" si="5574"/>
        <v>0.2630265649623767</v>
      </c>
      <c r="M582" s="69">
        <f t="shared" si="5574"/>
        <v>0.36613824895054936</v>
      </c>
      <c r="N582" s="69">
        <f t="shared" si="5574"/>
        <v>0.26065237839805838</v>
      </c>
      <c r="O582" s="69">
        <f t="shared" si="5574"/>
        <v>0.32737554645469497</v>
      </c>
      <c r="P582" s="69">
        <f t="shared" si="5574"/>
        <v>0.22638597466032181</v>
      </c>
      <c r="Q582" s="69">
        <f t="shared" ref="Q582" si="5575">IF(OR(ISERROR(-(Q542+Q552)/Q541),Q552=""),"n.a.",-(Q542+Q552)/Q541)</f>
        <v>0.27738059185095548</v>
      </c>
      <c r="R582" s="69"/>
      <c r="S582" s="69"/>
      <c r="T582" s="69"/>
      <c r="U582" s="69"/>
      <c r="V582" s="69"/>
      <c r="W582" s="69"/>
      <c r="X582" s="69"/>
      <c r="Y582" s="69"/>
      <c r="Z582" s="69"/>
      <c r="AA582" s="69"/>
      <c r="AB582" s="69"/>
      <c r="AC582" s="69"/>
      <c r="AD582" s="69"/>
      <c r="AE582" s="69"/>
      <c r="AF582" s="69"/>
      <c r="AG582" s="69"/>
      <c r="AH582" s="69"/>
      <c r="AI582" s="89"/>
      <c r="AJ582" s="69"/>
      <c r="AK582" s="69"/>
      <c r="AL582" s="69"/>
      <c r="AM582" s="69"/>
      <c r="AN582" s="69"/>
      <c r="AO582" s="69"/>
      <c r="AP582" s="69"/>
      <c r="AQ582" s="69"/>
      <c r="AR582" s="69"/>
      <c r="AT582" s="69" t="str">
        <f t="shared" ref="AT582:AZ582" si="5576">IF(OR(ISERROR(-(AT542+AT552)/AT541),AT552=""),"n.a.",-(AT542+AT552)/AT541)</f>
        <v>n.a.</v>
      </c>
      <c r="AU582" s="69" t="str">
        <f t="shared" si="5576"/>
        <v>n.a.</v>
      </c>
      <c r="AV582" s="69">
        <f t="shared" si="5576"/>
        <v>0.39222982086751312</v>
      </c>
      <c r="AW582" s="69">
        <f t="shared" si="5576"/>
        <v>0.33479698632229266</v>
      </c>
      <c r="AX582" s="69">
        <f t="shared" si="5576"/>
        <v>0.30437032566769517</v>
      </c>
      <c r="AY582" s="69">
        <f t="shared" si="5576"/>
        <v>0.30242040469546744</v>
      </c>
      <c r="AZ582" s="69">
        <f t="shared" si="5576"/>
        <v>0.27470605886400123</v>
      </c>
      <c r="BA582" s="69"/>
      <c r="BB582" s="69"/>
      <c r="BC582" s="69"/>
      <c r="BD582" s="69"/>
      <c r="BE582" s="69"/>
      <c r="BF582" s="69"/>
      <c r="BG582" s="69"/>
      <c r="BH582" s="69"/>
      <c r="BI582" s="89"/>
      <c r="BJ582" s="69"/>
      <c r="BK582" s="69"/>
      <c r="BL582" s="69"/>
      <c r="BM582" s="69"/>
      <c r="BN582" s="69"/>
    </row>
    <row r="583" spans="1:66" ht="12" hidden="1" customHeight="1" outlineLevel="2">
      <c r="B583" s="1" t="s">
        <v>79</v>
      </c>
      <c r="C583" s="37">
        <f t="shared" ref="C583:Q583" si="5577">IF(ISERROR(-C544*C$5/AVERAGE(B558:C558)),"n.a.",-C544*C$5/AVERAGE(B558:C558))</f>
        <v>6.4869640796529791E-3</v>
      </c>
      <c r="D583" s="37">
        <f t="shared" si="5577"/>
        <v>6.9709900349992047E-3</v>
      </c>
      <c r="E583" s="37">
        <f t="shared" si="5577"/>
        <v>7.7684854512876248E-3</v>
      </c>
      <c r="F583" s="37">
        <f t="shared" si="5577"/>
        <v>9.124996543561914E-3</v>
      </c>
      <c r="G583" s="37">
        <f t="shared" si="5577"/>
        <v>8.5288700248258194E-3</v>
      </c>
      <c r="H583" s="37">
        <f t="shared" si="5577"/>
        <v>8.0539085739725191E-3</v>
      </c>
      <c r="I583" s="37">
        <f t="shared" si="5577"/>
        <v>7.474616719603336E-3</v>
      </c>
      <c r="J583" s="37">
        <f t="shared" si="5577"/>
        <v>8.1921837112120324E-3</v>
      </c>
      <c r="K583" s="37">
        <f t="shared" si="5577"/>
        <v>9.3185518024376905E-3</v>
      </c>
      <c r="L583" s="37">
        <f t="shared" si="5577"/>
        <v>9.3577387155368806E-3</v>
      </c>
      <c r="M583" s="78">
        <f t="shared" si="5577"/>
        <v>8.8899763477693489E-3</v>
      </c>
      <c r="N583" s="78">
        <f t="shared" si="5577"/>
        <v>7.7509877906150005E-3</v>
      </c>
      <c r="O583" s="78">
        <f t="shared" si="5577"/>
        <v>6.9782797567332754E-3</v>
      </c>
      <c r="P583" s="78">
        <f t="shared" si="5577"/>
        <v>8.026941638023817E-3</v>
      </c>
      <c r="Q583" s="78">
        <f t="shared" si="5577"/>
        <v>8.1010022958231502E-3</v>
      </c>
      <c r="R583" s="336"/>
      <c r="S583" s="336"/>
      <c r="T583" s="336"/>
      <c r="U583" s="336"/>
      <c r="V583" s="336"/>
      <c r="W583" s="336"/>
      <c r="X583" s="336"/>
      <c r="Y583" s="336"/>
      <c r="Z583" s="336"/>
      <c r="AA583" s="336"/>
      <c r="AB583" s="336"/>
      <c r="AC583" s="336"/>
      <c r="AD583" s="336"/>
      <c r="AE583" s="336"/>
      <c r="AF583" s="336"/>
      <c r="AG583" s="336"/>
      <c r="AH583" s="336"/>
      <c r="AI583" s="503"/>
      <c r="AJ583" s="66"/>
      <c r="AK583" s="66"/>
      <c r="AL583" s="66"/>
      <c r="AM583" s="66"/>
      <c r="AN583" s="66"/>
      <c r="AO583" s="66"/>
      <c r="AP583" s="66"/>
      <c r="AQ583" s="66"/>
      <c r="AR583" s="66"/>
      <c r="AS583" s="8"/>
      <c r="AT583" s="37">
        <f>IF(ISERROR(-AT544*AT$5/AVERAGE(T558:AT558)),"n.a.",-AT544*AT$5/AVERAGE(T558:AT558))</f>
        <v>6.2989525337359634E-3</v>
      </c>
      <c r="AU583" s="37">
        <f t="shared" ref="AU583:AZ583" si="5578">IF(ISERROR(-AU544*AU$5/AVERAGE(AT558:AU558)),"n.a.",-AU544*AU$5/AVERAGE(AT558:AU558))</f>
        <v>8.5571999719436069E-3</v>
      </c>
      <c r="AV583" s="37">
        <f t="shared" si="5578"/>
        <v>9.666142692912277E-3</v>
      </c>
      <c r="AW583" s="37">
        <f t="shared" si="5578"/>
        <v>8.3737793111513942E-3</v>
      </c>
      <c r="AX583" s="37">
        <f t="shared" si="5578"/>
        <v>9.3171926006528835E-3</v>
      </c>
      <c r="AY583" s="37">
        <f t="shared" si="5578"/>
        <v>7.9514177115645075E-3</v>
      </c>
      <c r="AZ583" s="37">
        <f t="shared" si="5578"/>
        <v>7.7470446459313672E-3</v>
      </c>
      <c r="BA583" s="37"/>
      <c r="BB583" s="37"/>
      <c r="BC583" s="37"/>
      <c r="BD583" s="37"/>
      <c r="BE583" s="37"/>
      <c r="BF583" s="37"/>
      <c r="BG583" s="37"/>
      <c r="BH583" s="37"/>
      <c r="BI583" s="38"/>
      <c r="BJ583" s="37"/>
      <c r="BK583" s="37"/>
      <c r="BL583" s="37"/>
      <c r="BM583" s="37"/>
      <c r="BN583" s="37"/>
    </row>
    <row r="584" spans="1:66" ht="12" hidden="1" customHeight="1" outlineLevel="2">
      <c r="B584" s="1" t="s">
        <v>68</v>
      </c>
      <c r="C584" s="50" t="str">
        <f>IF(ISERROR(C544/B544),"n.a.",C544/B544-1)</f>
        <v>n.a.</v>
      </c>
      <c r="D584" s="50">
        <f>IF(ISERROR(D544/C544),"n.a.",D544/C544-1)</f>
        <v>0.11904761904761907</v>
      </c>
      <c r="E584" s="50">
        <f t="shared" ref="E584:M584" si="5579">IF(ISERROR(E544/D544),"n.a.",E544/D544-1)</f>
        <v>0.1914893617021276</v>
      </c>
      <c r="F584" s="50">
        <f t="shared" si="5579"/>
        <v>0.1785714285714286</v>
      </c>
      <c r="G584" s="50">
        <f t="shared" si="5579"/>
        <v>7.575757575757569E-2</v>
      </c>
      <c r="H584" s="50">
        <f t="shared" si="5579"/>
        <v>-6.5727699530516381E-2</v>
      </c>
      <c r="I584" s="50">
        <f t="shared" si="5579"/>
        <v>-0.14572864321608037</v>
      </c>
      <c r="J584" s="50">
        <f t="shared" si="5579"/>
        <v>0.10588235294117654</v>
      </c>
      <c r="K584" s="50">
        <f t="shared" si="5579"/>
        <v>8.5106382978723305E-2</v>
      </c>
      <c r="L584" s="50">
        <f t="shared" si="5579"/>
        <v>1.4705882352941124E-2</v>
      </c>
      <c r="M584" s="69">
        <f t="shared" si="5579"/>
        <v>5.3140096618357502E-2</v>
      </c>
      <c r="N584" s="69">
        <f t="shared" ref="N584" si="5580">IF(ISERROR(N544/M544),"n.a.",N544/M544-1)</f>
        <v>8.7155963302752326E-2</v>
      </c>
      <c r="O584" s="69">
        <f t="shared" ref="O584:Q584" si="5581">IF(ISERROR(O544/N544),"n.a.",O544/N544-1)</f>
        <v>5.9071729957805852E-2</v>
      </c>
      <c r="P584" s="69">
        <f t="shared" si="5581"/>
        <v>0.15139442231075706</v>
      </c>
      <c r="Q584" s="69">
        <f t="shared" si="5581"/>
        <v>-6.2283737024221408E-2</v>
      </c>
      <c r="R584" s="50"/>
      <c r="S584" s="50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D584" s="50"/>
      <c r="AE584" s="50"/>
      <c r="AF584" s="50"/>
      <c r="AG584" s="50"/>
      <c r="AH584" s="50"/>
      <c r="AI584" s="51"/>
      <c r="AJ584" s="50"/>
      <c r="AK584" s="50"/>
      <c r="AL584" s="50"/>
      <c r="AM584" s="50"/>
      <c r="AN584" s="50"/>
      <c r="AO584" s="50"/>
      <c r="AP584" s="50"/>
      <c r="AQ584" s="50"/>
      <c r="AR584" s="50"/>
      <c r="AS584" s="8"/>
      <c r="AT584" s="50" t="str">
        <f>IF(ISERROR(AT544/T544),"n.a.",AT544/T544-1)</f>
        <v>n.a.</v>
      </c>
      <c r="AU584" s="50">
        <f>IF(ISERROR(AU544/AT544),"n.a.",AU544/AT544-1)</f>
        <v>0.3707865168539326</v>
      </c>
      <c r="AV584" s="50">
        <f>IF(ISERROR(AV544/AU544),"n.a.",AV544/AU544-1)</f>
        <v>0.12568306010928953</v>
      </c>
      <c r="AW584" s="50">
        <f>IF(ISERROR(AW544/AV544),"n.a.",AW544/AV544-1)</f>
        <v>-0.1310679611650486</v>
      </c>
      <c r="AX584" s="50">
        <f t="shared" ref="AX584:AZ584" si="5582">IF(ISERROR(AX544/AW544),"n.a.",AX544/AW544-1)</f>
        <v>0.14804469273743015</v>
      </c>
      <c r="AY584" s="50">
        <f t="shared" si="5582"/>
        <v>0.1070559610705597</v>
      </c>
      <c r="AZ584" s="50">
        <f t="shared" si="5582"/>
        <v>0.18681318681318682</v>
      </c>
      <c r="BA584" s="50"/>
      <c r="BB584" s="50"/>
      <c r="BC584" s="50"/>
      <c r="BD584" s="50"/>
      <c r="BE584" s="50"/>
      <c r="BF584" s="50"/>
      <c r="BG584" s="50"/>
      <c r="BH584" s="50"/>
      <c r="BI584" s="51"/>
      <c r="BJ584" s="50"/>
      <c r="BK584" s="50"/>
      <c r="BL584" s="50"/>
      <c r="BM584" s="50"/>
      <c r="BN584" s="50"/>
    </row>
    <row r="585" spans="1:66" ht="12" hidden="1" customHeight="1" outlineLevel="2">
      <c r="B585" s="1" t="s">
        <v>80</v>
      </c>
      <c r="C585" s="50">
        <f>IF(ISERROR(-SUM(C542:C544)/C541),"n.a.",-SUM(C542:C544)/C541)</f>
        <v>0.42945736434108528</v>
      </c>
      <c r="D585" s="50">
        <f>IF(ISERROR(-SUM(D542:D544)/D541),"n.a.",-SUM(D542:D544)/D541)</f>
        <v>0.42336683417085424</v>
      </c>
      <c r="E585" s="50">
        <f t="shared" ref="E585:J585" si="5583">IF(ISERROR(-SUM(E542:E544)/E541),"n.a.",-SUM(E542:E544)/E541)</f>
        <v>0.69581056466302371</v>
      </c>
      <c r="F585" s="50">
        <f t="shared" si="5583"/>
        <v>0.52941176470588236</v>
      </c>
      <c r="G585" s="50">
        <f t="shared" si="5583"/>
        <v>0.98554216867469879</v>
      </c>
      <c r="H585" s="50">
        <f t="shared" si="5583"/>
        <v>0.43835616438356162</v>
      </c>
      <c r="I585" s="50">
        <f t="shared" si="5583"/>
        <v>0.62110726643598613</v>
      </c>
      <c r="J585" s="50">
        <f t="shared" si="5583"/>
        <v>0.52551724137931033</v>
      </c>
      <c r="K585" s="50">
        <f t="shared" ref="K585:L585" si="5584">IF(ISERROR(-SUM(K542:K544)/K541),"n.a.",-SUM(K542:K544)/K541)</f>
        <v>0.6891271056661562</v>
      </c>
      <c r="L585" s="50">
        <f t="shared" si="5584"/>
        <v>0.49173955296404276</v>
      </c>
      <c r="M585" s="69">
        <f t="shared" ref="M585" si="5585">IF(ISERROR(-SUM(M542:M544)/M541),"n.a.",-SUM(M542:M544)/M541)</f>
        <v>0.65517241379310343</v>
      </c>
      <c r="N585" s="69">
        <f t="shared" ref="N585:O585" si="5586">IF(ISERROR(-SUM(N542:N544)/N541),"n.a.",-SUM(N542:N544)/N541)</f>
        <v>0.47106690777576854</v>
      </c>
      <c r="O585" s="69">
        <f t="shared" si="5586"/>
        <v>0.65228113440197288</v>
      </c>
      <c r="P585" s="69">
        <f t="shared" ref="P585:Q585" si="5587">IF(ISERROR(-SUM(P542:P544)/P541),"n.a.",-SUM(P542:P544)/P541)</f>
        <v>0.66742081447963797</v>
      </c>
      <c r="Q585" s="69">
        <f t="shared" si="5587"/>
        <v>0.52794411177644707</v>
      </c>
      <c r="R585" s="69"/>
      <c r="S585" s="69"/>
      <c r="T585" s="69"/>
      <c r="U585" s="69"/>
      <c r="V585" s="69"/>
      <c r="W585" s="69"/>
      <c r="X585" s="69"/>
      <c r="Y585" s="69"/>
      <c r="Z585" s="69"/>
      <c r="AA585" s="69"/>
      <c r="AB585" s="69"/>
      <c r="AC585" s="69"/>
      <c r="AD585" s="69"/>
      <c r="AE585" s="69"/>
      <c r="AF585" s="69"/>
      <c r="AG585" s="69"/>
      <c r="AH585" s="69"/>
      <c r="AI585" s="89"/>
      <c r="AJ585" s="69"/>
      <c r="AK585" s="69"/>
      <c r="AL585" s="69"/>
      <c r="AM585" s="69"/>
      <c r="AN585" s="69"/>
      <c r="AO585" s="69"/>
      <c r="AP585" s="69"/>
      <c r="AQ585" s="69"/>
      <c r="AR585" s="69"/>
      <c r="AS585" s="8"/>
      <c r="AT585" s="50">
        <f t="shared" ref="AT585:AZ585" si="5588">IF(ISERROR(-SUM(AT542:AT544)/AT541),"n.a.",-SUM(AT542:AT544)/AT541)</f>
        <v>0.42609299097848718</v>
      </c>
      <c r="AU585" s="50">
        <f t="shared" si="5588"/>
        <v>0.59392655367231639</v>
      </c>
      <c r="AV585" s="50">
        <f t="shared" si="5588"/>
        <v>0.60483870967741937</v>
      </c>
      <c r="AW585" s="50">
        <f t="shared" si="5588"/>
        <v>0.56792018419032997</v>
      </c>
      <c r="AX585" s="50">
        <f t="shared" si="5588"/>
        <v>0.56837098692033294</v>
      </c>
      <c r="AY585" s="50">
        <f t="shared" si="5588"/>
        <v>0.54396504642271981</v>
      </c>
      <c r="AZ585" s="50">
        <f t="shared" si="5588"/>
        <v>0.66017699115044248</v>
      </c>
      <c r="BA585" s="50"/>
      <c r="BB585" s="50"/>
      <c r="BC585" s="50"/>
      <c r="BD585" s="50"/>
      <c r="BE585" s="50"/>
      <c r="BF585" s="50"/>
      <c r="BG585" s="50"/>
      <c r="BH585" s="50"/>
      <c r="BI585" s="51"/>
      <c r="BJ585" s="50"/>
      <c r="BK585" s="50"/>
      <c r="BL585" s="50"/>
      <c r="BM585" s="50"/>
      <c r="BN585" s="50"/>
    </row>
    <row r="586" spans="1:66" ht="12" hidden="1" customHeight="1" outlineLevel="2">
      <c r="B586" s="1" t="s">
        <v>81</v>
      </c>
      <c r="C586" s="70">
        <f>IF(ISERROR(C558/C559),"n.a.",C558/C559)</f>
        <v>16.429752059153873</v>
      </c>
      <c r="D586" s="70">
        <f>IF(ISERROR(D558/D559),"n.a.",D558/D559)</f>
        <v>17.52692352619091</v>
      </c>
      <c r="E586" s="70">
        <f t="shared" ref="E586:J586" si="5589">IF(ISERROR(E558/E559),"n.a.",E558/E559)</f>
        <v>17.83660781411205</v>
      </c>
      <c r="F586" s="70">
        <f t="shared" si="5589"/>
        <v>17.40759172045404</v>
      </c>
      <c r="G586" s="70">
        <f t="shared" si="5589"/>
        <v>22.6968</v>
      </c>
      <c r="H586" s="70">
        <f t="shared" si="5589"/>
        <v>15.589629629629629</v>
      </c>
      <c r="I586" s="70">
        <f t="shared" si="5589"/>
        <v>18.705384615384617</v>
      </c>
      <c r="J586" s="70">
        <f t="shared" si="5589"/>
        <v>16.697307692307692</v>
      </c>
      <c r="K586" s="70">
        <f t="shared" ref="K586:L586" si="5590">IF(ISERROR(K558/K559),"n.a.",K558/K559)</f>
        <v>17.565999999999999</v>
      </c>
      <c r="L586" s="70">
        <f t="shared" si="5590"/>
        <v>17.234999999999999</v>
      </c>
      <c r="M586" s="70">
        <f t="shared" ref="M586" si="5591">IF(ISERROR(M558/M559),"n.a.",M558/M559)</f>
        <v>19.632962962962964</v>
      </c>
      <c r="N586" s="70">
        <f t="shared" ref="N586:O586" si="5592">IF(ISERROR(N558/N559),"n.a.",N558/N559)</f>
        <v>26.782307692307693</v>
      </c>
      <c r="O586" s="70">
        <f t="shared" si="5592"/>
        <v>25.600344827586206</v>
      </c>
      <c r="P586" s="70">
        <f t="shared" ref="P586:Q586" si="5593">IF(ISERROR(P558/P559),"n.a.",P558/P559)</f>
        <v>26.836153846153845</v>
      </c>
      <c r="Q586" s="70">
        <f t="shared" si="5593"/>
        <v>28.941363636363636</v>
      </c>
      <c r="R586" s="72"/>
      <c r="S586" s="72"/>
      <c r="T586" s="72"/>
      <c r="U586" s="72"/>
      <c r="V586" s="72"/>
      <c r="W586" s="72"/>
      <c r="X586" s="72"/>
      <c r="Y586" s="72"/>
      <c r="Z586" s="72"/>
      <c r="AA586" s="72"/>
      <c r="AB586" s="72"/>
      <c r="AC586" s="72"/>
      <c r="AD586" s="72"/>
      <c r="AE586" s="72"/>
      <c r="AF586" s="72"/>
      <c r="AG586" s="72"/>
      <c r="AH586" s="72"/>
      <c r="AI586" s="505"/>
      <c r="AJ586" s="72"/>
      <c r="AK586" s="72"/>
      <c r="AL586" s="72"/>
      <c r="AM586" s="72"/>
      <c r="AN586" s="72"/>
      <c r="AO586" s="72"/>
      <c r="AP586" s="72"/>
      <c r="AQ586" s="72"/>
      <c r="AR586" s="72"/>
      <c r="AS586" s="8"/>
      <c r="AT586" s="70">
        <f t="shared" ref="AT586:AZ586" si="5594">IF(ISERROR(AT558/AT559),"n.a.",AT558/AT559)</f>
        <v>17.52692352619091</v>
      </c>
      <c r="AU586" s="70">
        <f t="shared" si="5594"/>
        <v>17.40759172045404</v>
      </c>
      <c r="AV586" s="70">
        <f t="shared" si="5594"/>
        <v>15.589629629629629</v>
      </c>
      <c r="AW586" s="70">
        <f t="shared" si="5594"/>
        <v>16.697307692307692</v>
      </c>
      <c r="AX586" s="70">
        <f t="shared" si="5594"/>
        <v>17.234999999999999</v>
      </c>
      <c r="AY586" s="70">
        <f t="shared" si="5594"/>
        <v>26.782307692307693</v>
      </c>
      <c r="AZ586" s="70">
        <f t="shared" si="5594"/>
        <v>26.836153846153845</v>
      </c>
      <c r="BA586" s="70"/>
      <c r="BB586" s="70"/>
      <c r="BC586" s="70"/>
      <c r="BD586" s="70"/>
      <c r="BE586" s="70"/>
      <c r="BF586" s="70"/>
      <c r="BG586" s="70"/>
      <c r="BH586" s="70"/>
      <c r="BI586" s="71"/>
      <c r="BJ586" s="70"/>
      <c r="BK586" s="70"/>
      <c r="BL586" s="70"/>
      <c r="BM586" s="70"/>
      <c r="BN586" s="70"/>
    </row>
    <row r="587" spans="1:66" ht="12" hidden="1" customHeight="1" outlineLevel="2">
      <c r="B587" s="1" t="s">
        <v>27</v>
      </c>
      <c r="C587" s="28">
        <f>(261*43%+(15+213)*20%+128*30%)/C541</f>
        <v>0.30423255813953493</v>
      </c>
      <c r="D587" s="28">
        <f>((709-261)*43%+(41-15+267-213)*20%+(383-128)*30%)/D541</f>
        <v>0.35821608040201003</v>
      </c>
      <c r="E587" s="28">
        <f>(239*43%+(34+118)*20%+131*30%)/E541</f>
        <v>0.31415300546448083</v>
      </c>
      <c r="F587" s="28">
        <f>((627-239)*43%+(103-34+327-118)*20%+(304-131)*30%)/F541</f>
        <v>0.31642445213379466</v>
      </c>
      <c r="G587" s="28">
        <f>(169*43%+(23+93)*20%+123*30%)/G541</f>
        <v>0.31992771084337351</v>
      </c>
      <c r="H587" s="28">
        <f>((586-169)*43%+(87-23+324-93)*20%+(351-123)*30%)/H541</f>
        <v>0.32319283456269754</v>
      </c>
      <c r="I587" s="28">
        <f>(322*43%+(69+131)*20%+51*30%)/I541</f>
        <v>0.33522491349480971</v>
      </c>
      <c r="J587" s="28">
        <f>(335*43%+(80+198)*20%+100*30%)/J541</f>
        <v>0.31675862068965516</v>
      </c>
      <c r="K587" s="28">
        <f>(290*43%+(76+190)*20%+92*30%)/K541</f>
        <v>0.31470137825421135</v>
      </c>
      <c r="L587" s="28">
        <f>((879-290)*43%+((138-76)+(509-190))*20%+(166-92)*30%)/L541</f>
        <v>0.34175898931000975</v>
      </c>
      <c r="M587" s="29">
        <f>((217)*43%+((89)+(304))*20%+(116)*30%)/M541</f>
        <v>0.28511724137931038</v>
      </c>
      <c r="N587" s="29">
        <f>((817-217)*43%+((232-89)+(632-304))*20%+(160-116)*30%)/N541</f>
        <v>0.33037974683544302</v>
      </c>
      <c r="O587" s="29">
        <f>((444)*43%+((141+230))*20%+(-6)*30%)/O541</f>
        <v>0.32468557336621456</v>
      </c>
      <c r="P587" s="29">
        <f>((806-444)*43%+((237+522)-(141+230))*20%+(128--6)*30%)/P541</f>
        <v>0.3093438914027149</v>
      </c>
      <c r="Q587" s="29">
        <f>((274)*43%+((115+415))*20%+(192)*30%)/(Q541+Q550)</f>
        <v>0.2825502008032128</v>
      </c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2"/>
      <c r="AJ587" s="36"/>
      <c r="AK587" s="36"/>
      <c r="AL587" s="36"/>
      <c r="AM587" s="36"/>
      <c r="AN587" s="36"/>
      <c r="AO587" s="36"/>
      <c r="AP587" s="36"/>
      <c r="AQ587" s="36"/>
      <c r="AR587" s="36"/>
      <c r="AT587" s="44">
        <f>(C587*C541+D587*D541)/AT541</f>
        <v>0.33405274115197781</v>
      </c>
      <c r="AU587" s="44">
        <f>(E587*E541+F587*F541)/AU541</f>
        <v>0.3155437853107344</v>
      </c>
      <c r="AV587" s="44">
        <f>(G587*G541+H587*H541)/AV541</f>
        <v>0.32219941348973608</v>
      </c>
      <c r="AW587" s="44">
        <f>(I587*I541+J587*J541)/AW541</f>
        <v>0.32495011511895622</v>
      </c>
      <c r="AX587" s="44">
        <f>(K587*K541+L587*L541)/AX541</f>
        <v>0.33125445897740791</v>
      </c>
      <c r="AY587" s="44">
        <f>(M587*M541+N587*N541)/AY541</f>
        <v>0.31245767340251229</v>
      </c>
      <c r="AZ587" s="44">
        <f>(O587*O541+P587*P541)/AZ541</f>
        <v>0.31668436578171089</v>
      </c>
      <c r="BA587" s="44"/>
      <c r="BB587" s="44"/>
      <c r="BC587" s="44"/>
      <c r="BD587" s="44"/>
      <c r="BE587" s="44"/>
      <c r="BF587" s="44"/>
      <c r="BG587" s="44"/>
      <c r="BH587" s="44"/>
      <c r="BI587" s="49"/>
      <c r="BJ587" s="44"/>
      <c r="BK587" s="44"/>
      <c r="BL587" s="44"/>
      <c r="BM587" s="44"/>
      <c r="BN587" s="44"/>
    </row>
    <row r="588" spans="1:66" ht="12" hidden="1" customHeight="1" outlineLevel="2">
      <c r="A588" s="91" t="s">
        <v>1358</v>
      </c>
      <c r="B588" s="1" t="s">
        <v>28</v>
      </c>
      <c r="C588" s="33">
        <f t="shared" ref="C588:Q588" si="5595">C587-C$69</f>
        <v>0.30423255813953493</v>
      </c>
      <c r="D588" s="33">
        <f t="shared" si="5595"/>
        <v>0.35821608040201003</v>
      </c>
      <c r="E588" s="33">
        <f t="shared" si="5595"/>
        <v>0.31415300546448083</v>
      </c>
      <c r="F588" s="33">
        <f t="shared" si="5595"/>
        <v>0.31642445213379466</v>
      </c>
      <c r="G588" s="33">
        <f t="shared" si="5595"/>
        <v>0.25292302334337347</v>
      </c>
      <c r="H588" s="33">
        <f t="shared" si="5595"/>
        <v>0.29281569380694011</v>
      </c>
      <c r="I588" s="33">
        <f t="shared" si="5595"/>
        <v>0.31690930438040987</v>
      </c>
      <c r="J588" s="33">
        <f t="shared" si="5595"/>
        <v>0.42027021322212271</v>
      </c>
      <c r="K588" s="33">
        <f t="shared" si="5595"/>
        <v>1.0007191852717532</v>
      </c>
      <c r="L588" s="33">
        <f t="shared" si="5595"/>
        <v>1.0167820424501042</v>
      </c>
      <c r="M588" s="33">
        <f t="shared" si="5595"/>
        <v>0.35846724137931041</v>
      </c>
      <c r="N588" s="33">
        <f t="shared" si="5595"/>
        <v>0.32273574683544304</v>
      </c>
      <c r="O588" s="33">
        <f t="shared" si="5595"/>
        <v>0.34889057336621454</v>
      </c>
      <c r="P588" s="33">
        <f t="shared" si="5595"/>
        <v>0.30638389140271488</v>
      </c>
      <c r="Q588" s="33">
        <f t="shared" si="5595"/>
        <v>0.2835502008032128</v>
      </c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2"/>
      <c r="AJ588" s="33"/>
      <c r="AK588" s="33"/>
      <c r="AL588" s="33"/>
      <c r="AM588" s="33"/>
      <c r="AN588" s="33"/>
      <c r="AO588" s="33"/>
      <c r="AP588" s="33"/>
      <c r="AQ588" s="33"/>
      <c r="AR588" s="33"/>
      <c r="AT588" s="33">
        <f>-AT553/SUM(AT550:AT552,AT545)</f>
        <v>0</v>
      </c>
      <c r="AU588" s="33">
        <f>-AU553/SUM(AU550:AU552,AU545)</f>
        <v>0</v>
      </c>
      <c r="AV588" s="33">
        <f>-AV553/SUM(AV550:AV552,AV545)</f>
        <v>0.29281569380694017</v>
      </c>
      <c r="AW588" s="33">
        <f>-AW553/SUM(AW550:AW552,AW545)</f>
        <v>0.38190465967903175</v>
      </c>
      <c r="AX588" s="33">
        <f t="shared" ref="AX588:AZ588" si="5596">-AX553/SUM(AX550:AX552,AX545)</f>
        <v>1.0132421799749332</v>
      </c>
      <c r="AY588" s="33">
        <f t="shared" si="5596"/>
        <v>0.33156739634654508</v>
      </c>
      <c r="AZ588" s="33">
        <f t="shared" si="5596"/>
        <v>0.32317330291414359</v>
      </c>
      <c r="BA588" s="33"/>
      <c r="BB588" s="33"/>
      <c r="BC588" s="33"/>
      <c r="BD588" s="33"/>
      <c r="BE588" s="33"/>
      <c r="BF588" s="33"/>
      <c r="BG588" s="33"/>
      <c r="BH588" s="33"/>
      <c r="BI588" s="32"/>
      <c r="BJ588" s="33"/>
      <c r="BK588" s="33"/>
      <c r="BL588" s="33"/>
      <c r="BM588" s="33"/>
      <c r="BN588" s="33"/>
    </row>
    <row r="589" spans="1:66" ht="12" hidden="1" customHeight="1" outlineLevel="2">
      <c r="B589" s="1" t="s">
        <v>70</v>
      </c>
      <c r="C589" s="33">
        <f t="shared" ref="C589:Q589" si="5597">IF(ISERROR(-C552/(C545-((11%/(1-30%))*AVERAGE(B559:C559)/C$5))),"n.a.",-C552/(C545-((11%/(1-30%))*AVERAGE(B559:C559)/C$5)))</f>
        <v>0</v>
      </c>
      <c r="D589" s="33">
        <f t="shared" si="5597"/>
        <v>0</v>
      </c>
      <c r="E589" s="33">
        <f t="shared" si="5597"/>
        <v>0</v>
      </c>
      <c r="F589" s="33">
        <f t="shared" si="5597"/>
        <v>0</v>
      </c>
      <c r="G589" s="33">
        <f t="shared" si="5597"/>
        <v>-0.21164241427579297</v>
      </c>
      <c r="H589" s="33">
        <f t="shared" si="5597"/>
        <v>0.7236467999689421</v>
      </c>
      <c r="I589" s="33">
        <f t="shared" si="5597"/>
        <v>10.336962657369266</v>
      </c>
      <c r="J589" s="33">
        <f t="shared" si="5597"/>
        <v>0.64620447436472839</v>
      </c>
      <c r="K589" s="33">
        <f t="shared" si="5597"/>
        <v>56.97246569166758</v>
      </c>
      <c r="L589" s="33">
        <f t="shared" si="5597"/>
        <v>0.39807427967104025</v>
      </c>
      <c r="M589" s="157">
        <f t="shared" si="5597"/>
        <v>3.2136208052777566</v>
      </c>
      <c r="N589" s="157">
        <f t="shared" si="5597"/>
        <v>0.36644831477483719</v>
      </c>
      <c r="O589" s="157">
        <f t="shared" si="5597"/>
        <v>1.5092328867243849</v>
      </c>
      <c r="P589" s="157">
        <f t="shared" si="5597"/>
        <v>0.28391642749417312</v>
      </c>
      <c r="Q589" s="157">
        <f t="shared" si="5597"/>
        <v>0.43300522750163656</v>
      </c>
      <c r="R589" s="320"/>
      <c r="S589" s="320"/>
      <c r="T589" s="320"/>
      <c r="U589" s="320"/>
      <c r="V589" s="320"/>
      <c r="W589" s="320"/>
      <c r="X589" s="320"/>
      <c r="Y589" s="320"/>
      <c r="Z589" s="320"/>
      <c r="AA589" s="320"/>
      <c r="AB589" s="320"/>
      <c r="AC589" s="320"/>
      <c r="AD589" s="320"/>
      <c r="AE589" s="320"/>
      <c r="AF589" s="320"/>
      <c r="AG589" s="320"/>
      <c r="AH589" s="320"/>
      <c r="AI589" s="353"/>
      <c r="AJ589" s="68"/>
      <c r="AK589" s="68"/>
      <c r="AL589" s="68"/>
      <c r="AM589" s="68"/>
      <c r="AN589" s="68"/>
      <c r="AO589" s="68"/>
      <c r="AP589" s="68"/>
      <c r="AQ589" s="68"/>
      <c r="AR589" s="68"/>
      <c r="AS589" s="8"/>
      <c r="AT589" s="44">
        <f>IF(ISERROR(-AT552/(AT545-((11%/(1-30%))*AVERAGE(T559:AT559)/AT$5))),"n.a.",-AT552/(AT545-((11%/(1-30%))*AVERAGE(T559:AT559)/AT$5)))</f>
        <v>0</v>
      </c>
      <c r="AU589" s="44">
        <f t="shared" ref="AU589:AZ589" si="5598">IF(ISERROR(-AU552/(AU545-((11%/(1-30%))*AVERAGE(AT559:AU559)/AU$5))),"n.a.",-AU552/(AU545-((11%/(1-30%))*AVERAGE(AT559:AU559)/AU$5)))</f>
        <v>0</v>
      </c>
      <c r="AV589" s="44">
        <f t="shared" si="5598"/>
        <v>2.1048606459771477</v>
      </c>
      <c r="AW589" s="44">
        <f t="shared" si="5598"/>
        <v>1.338872624021084</v>
      </c>
      <c r="AX589" s="44">
        <f t="shared" si="5598"/>
        <v>0.78112340882603215</v>
      </c>
      <c r="AY589" s="44">
        <f t="shared" si="5598"/>
        <v>0.63488185158519483</v>
      </c>
      <c r="AZ589" s="44">
        <f t="shared" si="5598"/>
        <v>0.72643975121277715</v>
      </c>
      <c r="BA589" s="44"/>
      <c r="BB589" s="44"/>
      <c r="BC589" s="44"/>
      <c r="BD589" s="44"/>
      <c r="BE589" s="44"/>
      <c r="BF589" s="44"/>
      <c r="BG589" s="44"/>
      <c r="BH589" s="44"/>
      <c r="BI589" s="49"/>
      <c r="BJ589" s="44"/>
      <c r="BK589" s="44"/>
      <c r="BL589" s="44"/>
      <c r="BM589" s="44"/>
      <c r="BN589" s="44"/>
    </row>
    <row r="590" spans="1:66" ht="12" hidden="1" customHeight="1" outlineLevel="2">
      <c r="B590" s="1" t="s">
        <v>69</v>
      </c>
      <c r="C590" s="37">
        <f t="shared" ref="C590:Q590" si="5599">IF(ISERROR(C554/AVERAGE(B558:C558)),"n.a.",C554*C$5/AVERAGE(B558:C558))</f>
        <v>0</v>
      </c>
      <c r="D590" s="37">
        <f t="shared" si="5599"/>
        <v>0</v>
      </c>
      <c r="E590" s="37">
        <f t="shared" si="5599"/>
        <v>0</v>
      </c>
      <c r="F590" s="37">
        <f t="shared" si="5599"/>
        <v>0</v>
      </c>
      <c r="G590" s="37">
        <f t="shared" si="5599"/>
        <v>0</v>
      </c>
      <c r="H590" s="37">
        <f t="shared" si="5599"/>
        <v>1.0480266560043316E-2</v>
      </c>
      <c r="I590" s="37">
        <f t="shared" si="5599"/>
        <v>5.2575887838105942E-3</v>
      </c>
      <c r="J590" s="37">
        <f t="shared" si="5599"/>
        <v>7.4916338129696518E-3</v>
      </c>
      <c r="K590" s="37">
        <f t="shared" si="5599"/>
        <v>-4.3252392084503501E-6</v>
      </c>
      <c r="L590" s="37">
        <f t="shared" si="5599"/>
        <v>-3.5336072848708488E-4</v>
      </c>
      <c r="M590" s="37">
        <f t="shared" si="5599"/>
        <v>4.5240882004023639E-3</v>
      </c>
      <c r="N590" s="37">
        <f t="shared" si="5599"/>
        <v>1.1666562892858704E-2</v>
      </c>
      <c r="O590" s="37">
        <f t="shared" si="5599"/>
        <v>4.209643703355445E-3</v>
      </c>
      <c r="P590" s="37">
        <f t="shared" si="5599"/>
        <v>6.8624237706873302E-3</v>
      </c>
      <c r="Q590" s="37">
        <f t="shared" si="5599"/>
        <v>8.7369511073383203E-3</v>
      </c>
      <c r="R590" s="37"/>
      <c r="S590" s="37"/>
      <c r="T590" s="37"/>
      <c r="U590" s="37"/>
      <c r="V590" s="37"/>
      <c r="W590" s="37"/>
      <c r="X590" s="37"/>
      <c r="Y590" s="37"/>
      <c r="Z590" s="37"/>
      <c r="AA590" s="37"/>
      <c r="AB590" s="37"/>
      <c r="AC590" s="37"/>
      <c r="AD590" s="37"/>
      <c r="AE590" s="37"/>
      <c r="AF590" s="37"/>
      <c r="AG590" s="37"/>
      <c r="AH590" s="37"/>
      <c r="AI590" s="38"/>
      <c r="AJ590" s="37"/>
      <c r="AK590" s="37"/>
      <c r="AL590" s="37"/>
      <c r="AM590" s="37"/>
      <c r="AN590" s="37"/>
      <c r="AO590" s="37"/>
      <c r="AP590" s="37"/>
      <c r="AQ590" s="37"/>
      <c r="AR590" s="37"/>
      <c r="AS590" s="8"/>
      <c r="AT590" s="37">
        <f>IF(ISERROR(AT554/AVERAGE(T558:AT558)),"n.a.",AT554*AT$5/AVERAGE(T558:AT558))</f>
        <v>0</v>
      </c>
      <c r="AU590" s="37">
        <f t="shared" ref="AU590:AZ590" si="5600">IF(ISERROR(AU554/AVERAGE(AT558:AU558)),"n.a.",AU554*AU$5/AVERAGE(AT558:AU558))</f>
        <v>0</v>
      </c>
      <c r="AV590" s="37">
        <f t="shared" si="5600"/>
        <v>6.075397468475476E-3</v>
      </c>
      <c r="AW590" s="37">
        <f t="shared" si="5600"/>
        <v>6.8183147184375211E-3</v>
      </c>
      <c r="AX590" s="37">
        <f t="shared" si="5600"/>
        <v>-1.793453972336149E-4</v>
      </c>
      <c r="AY590" s="37">
        <f t="shared" si="5600"/>
        <v>8.1727509950123567E-3</v>
      </c>
      <c r="AZ590" s="37">
        <f t="shared" si="5600"/>
        <v>5.7168686415263138E-3</v>
      </c>
      <c r="BA590" s="37"/>
      <c r="BB590" s="37"/>
      <c r="BC590" s="37"/>
      <c r="BD590" s="37"/>
      <c r="BE590" s="37"/>
      <c r="BF590" s="37"/>
      <c r="BG590" s="37"/>
      <c r="BH590" s="37"/>
      <c r="BI590" s="38"/>
      <c r="BJ590" s="37"/>
      <c r="BK590" s="37"/>
      <c r="BL590" s="37"/>
      <c r="BM590" s="37"/>
      <c r="BN590" s="37"/>
    </row>
    <row r="591" spans="1:66" ht="12" hidden="1" customHeight="1" outlineLevel="2">
      <c r="A591" s="91" t="s">
        <v>523</v>
      </c>
      <c r="B591" s="1" t="s">
        <v>26</v>
      </c>
      <c r="C591" s="28"/>
      <c r="D591" s="28"/>
      <c r="E591" s="28"/>
      <c r="F591" s="28"/>
      <c r="G591" s="28">
        <v>0</v>
      </c>
      <c r="H591" s="28">
        <f>(10%*AVERAGE(H559,F559)-G554)/AVERAGE(H559,G559)*H$5</f>
        <v>0.19919358946063867</v>
      </c>
      <c r="I591" s="28">
        <v>0.09</v>
      </c>
      <c r="J591" s="28">
        <f>(11%*AVERAGE(J559,H559)-I554)/AVERAGE(J559,I559)*J$5</f>
        <v>0.13261200338123413</v>
      </c>
      <c r="K591" s="44">
        <f t="shared" ref="K591:Q591" si="5601">IF(ISERROR(K554/AVERAGE(J559:K559)),"n.a.",K554*K$5/AVERAGE(J559:K559))</f>
        <v>-7.4061664626578851E-5</v>
      </c>
      <c r="L591" s="44">
        <f t="shared" si="5601"/>
        <v>-6.1475066658323715E-3</v>
      </c>
      <c r="M591" s="44">
        <f t="shared" si="5601"/>
        <v>8.3499303351577223E-2</v>
      </c>
      <c r="N591" s="44">
        <f t="shared" si="5601"/>
        <v>0.26996646657903206</v>
      </c>
      <c r="O591" s="44">
        <f t="shared" si="5601"/>
        <v>0.11012045233095721</v>
      </c>
      <c r="P591" s="44">
        <f t="shared" si="5601"/>
        <v>0.17968944715191562</v>
      </c>
      <c r="Q591" s="44">
        <f t="shared" si="5601"/>
        <v>0.24289634177474212</v>
      </c>
      <c r="R591" s="44"/>
      <c r="S591" s="44"/>
      <c r="T591" s="44"/>
      <c r="U591" s="44"/>
      <c r="V591" s="44"/>
      <c r="W591" s="44"/>
      <c r="X591" s="44"/>
      <c r="Y591" s="44"/>
      <c r="Z591" s="44"/>
      <c r="AA591" s="44"/>
      <c r="AB591" s="44"/>
      <c r="AC591" s="44"/>
      <c r="AD591" s="44"/>
      <c r="AE591" s="44"/>
      <c r="AF591" s="44"/>
      <c r="AG591" s="44"/>
      <c r="AH591" s="44"/>
      <c r="AI591" s="49"/>
      <c r="AJ591" s="47"/>
      <c r="AK591" s="47"/>
      <c r="AL591" s="47"/>
      <c r="AM591" s="47"/>
      <c r="AN591" s="47"/>
      <c r="AO591" s="47"/>
      <c r="AP591" s="47"/>
      <c r="AQ591" s="47"/>
      <c r="AR591" s="47"/>
      <c r="AT591" s="44"/>
      <c r="AU591" s="44"/>
      <c r="AV591" s="44">
        <f>IF(ISERROR(AV554/AVERAGE(AU559:AV559)),"n.a.",AV554*AV$5/AVERAGE(AU559:AV559))</f>
        <v>9.9999999999999978E-2</v>
      </c>
      <c r="AW591" s="44">
        <f>IF(ISERROR(AW554/AVERAGE(AV559:AW559)),"n.a.",AW554*AW$5/AVERAGE(AV559:AW559))</f>
        <v>0.11000000000000004</v>
      </c>
      <c r="AX591" s="44">
        <f>IF(ISERROR(AX554/AVERAGE(AW559:AX559)),"n.a.",AX554*AX$5/AVERAGE(AW559:AX559))</f>
        <v>-3.0428016010650848E-3</v>
      </c>
      <c r="AY591" s="44">
        <f>IF(ISERROR(AY554/AVERAGE(AX559:AY559)),"n.a.",AY554*AY$5/AVERAGE(AX559:AY559))</f>
        <v>0.17987124762003637</v>
      </c>
      <c r="AZ591" s="44">
        <f>IF(ISERROR(AZ554/AVERAGE(AY559:AZ559)),"n.a.",AZ554*AZ$5/AVERAGE(AY559:AZ559))</f>
        <v>0.15326485068805776</v>
      </c>
      <c r="BA591" s="44"/>
      <c r="BB591" s="44"/>
      <c r="BC591" s="44"/>
      <c r="BD591" s="44"/>
      <c r="BE591" s="44"/>
      <c r="BF591" s="44"/>
      <c r="BG591" s="44"/>
      <c r="BH591" s="44"/>
      <c r="BI591" s="49"/>
      <c r="BJ591" s="44"/>
      <c r="BK591" s="44"/>
      <c r="BL591" s="44"/>
      <c r="BM591" s="44"/>
      <c r="BN591" s="44"/>
    </row>
    <row r="592" spans="1:66" ht="12" customHeight="1" outlineLevel="1" collapsed="1"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20"/>
      <c r="AJ592" s="19"/>
      <c r="AK592" s="19"/>
      <c r="AL592" s="19"/>
      <c r="AM592" s="19"/>
      <c r="AN592" s="19"/>
      <c r="AO592" s="19"/>
      <c r="AP592" s="19"/>
      <c r="AQ592" s="19"/>
      <c r="AR592" s="19"/>
      <c r="AY592" s="33"/>
    </row>
    <row r="593" spans="1:66" s="9" customFormat="1" ht="12" customHeight="1" outlineLevel="1">
      <c r="A593" s="91"/>
      <c r="B593" s="2" t="s">
        <v>46</v>
      </c>
      <c r="C593" s="93">
        <f>C617</f>
        <v>319</v>
      </c>
      <c r="D593" s="93">
        <f t="shared" ref="D593:AZ593" si="5602">D617</f>
        <v>261</v>
      </c>
      <c r="E593" s="93">
        <f t="shared" si="5602"/>
        <v>98</v>
      </c>
      <c r="F593" s="93">
        <f t="shared" si="5602"/>
        <v>86</v>
      </c>
      <c r="G593" s="93">
        <f t="shared" si="5602"/>
        <v>-19</v>
      </c>
      <c r="H593" s="93">
        <f t="shared" si="5602"/>
        <v>-175</v>
      </c>
      <c r="I593" s="93">
        <f t="shared" si="5602"/>
        <v>-64</v>
      </c>
      <c r="J593" s="93">
        <f t="shared" si="5602"/>
        <v>14</v>
      </c>
      <c r="K593" s="93">
        <f t="shared" ref="K593" si="5603">K617</f>
        <v>71</v>
      </c>
      <c r="L593" s="93">
        <f t="shared" si="5602"/>
        <v>36</v>
      </c>
      <c r="M593" s="93">
        <f t="shared" ref="M593:N593" si="5604">M617</f>
        <v>17</v>
      </c>
      <c r="N593" s="93">
        <f t="shared" si="5604"/>
        <v>47</v>
      </c>
      <c r="O593" s="93">
        <f t="shared" ref="O593:P593" si="5605">O617</f>
        <v>240</v>
      </c>
      <c r="P593" s="93">
        <f t="shared" si="5605"/>
        <v>28</v>
      </c>
      <c r="Q593" s="93">
        <f t="shared" ref="Q593" si="5606">Q617</f>
        <v>18</v>
      </c>
      <c r="R593" s="93"/>
      <c r="S593" s="93"/>
      <c r="T593" s="93"/>
      <c r="U593" s="93"/>
      <c r="V593" s="93"/>
      <c r="W593" s="93"/>
      <c r="X593" s="93"/>
      <c r="Y593" s="93"/>
      <c r="Z593" s="93"/>
      <c r="AA593" s="93"/>
      <c r="AB593" s="93"/>
      <c r="AC593" s="93"/>
      <c r="AD593" s="93"/>
      <c r="AE593" s="93"/>
      <c r="AF593" s="93"/>
      <c r="AG593" s="93"/>
      <c r="AH593" s="93"/>
      <c r="AI593" s="94"/>
      <c r="AJ593" s="93"/>
      <c r="AK593" s="93"/>
      <c r="AL593" s="93"/>
      <c r="AM593" s="93"/>
      <c r="AN593" s="93"/>
      <c r="AO593" s="93"/>
      <c r="AP593" s="93"/>
      <c r="AQ593" s="93"/>
      <c r="AR593" s="93"/>
      <c r="AS593" s="93"/>
      <c r="AT593" s="93">
        <f t="shared" ref="AT593:AV593" si="5607">AT617</f>
        <v>580</v>
      </c>
      <c r="AU593" s="93">
        <f t="shared" si="5607"/>
        <v>184</v>
      </c>
      <c r="AV593" s="93">
        <f t="shared" si="5607"/>
        <v>-194</v>
      </c>
      <c r="AW593" s="93">
        <f t="shared" si="5602"/>
        <v>-50</v>
      </c>
      <c r="AX593" s="93">
        <f t="shared" si="5602"/>
        <v>107</v>
      </c>
      <c r="AY593" s="93">
        <f t="shared" si="5602"/>
        <v>64</v>
      </c>
      <c r="AZ593" s="93">
        <f t="shared" si="5602"/>
        <v>268</v>
      </c>
      <c r="BA593" s="93"/>
      <c r="BB593" s="93"/>
      <c r="BC593" s="93"/>
      <c r="BD593" s="93"/>
      <c r="BE593" s="93"/>
      <c r="BF593" s="93"/>
      <c r="BG593" s="93"/>
      <c r="BH593" s="93"/>
      <c r="BI593" s="94"/>
      <c r="BJ593" s="93"/>
      <c r="BK593" s="93"/>
      <c r="BL593" s="93"/>
      <c r="BM593" s="93"/>
      <c r="BN593" s="93"/>
    </row>
    <row r="594" spans="1:66" ht="12" hidden="1" customHeight="1" outlineLevel="2"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20"/>
      <c r="AJ594" s="19"/>
      <c r="AK594" s="19"/>
      <c r="AL594" s="19"/>
      <c r="AM594" s="19"/>
      <c r="AN594" s="19"/>
      <c r="AO594" s="19"/>
      <c r="AP594" s="19"/>
      <c r="AQ594" s="19"/>
      <c r="AR594" s="19"/>
      <c r="AY594" s="33"/>
      <c r="AZ594" s="33"/>
      <c r="BA594" s="33"/>
      <c r="BB594" s="33"/>
      <c r="BC594" s="33"/>
      <c r="BD594" s="33"/>
      <c r="BE594" s="33"/>
      <c r="BF594" s="33"/>
      <c r="BG594" s="33"/>
      <c r="BH594" s="33"/>
      <c r="BI594" s="32"/>
      <c r="BJ594" s="33"/>
      <c r="BK594" s="33"/>
      <c r="BL594" s="33"/>
      <c r="BM594" s="33"/>
      <c r="BN594" s="33"/>
    </row>
    <row r="595" spans="1:66" ht="12" hidden="1" customHeight="1" outlineLevel="2">
      <c r="B595" s="9" t="s">
        <v>40</v>
      </c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20"/>
      <c r="AJ595" s="19"/>
      <c r="AK595" s="19"/>
      <c r="AL595" s="19"/>
      <c r="AM595" s="19"/>
      <c r="AN595" s="19"/>
      <c r="AO595" s="19"/>
      <c r="AP595" s="19"/>
      <c r="AQ595" s="19"/>
      <c r="AR595" s="19"/>
    </row>
    <row r="596" spans="1:66" s="9" customFormat="1" ht="12" hidden="1" customHeight="1" outlineLevel="2">
      <c r="A596" s="91" t="s">
        <v>1199</v>
      </c>
      <c r="B596" s="16" t="s">
        <v>6</v>
      </c>
      <c r="C596" s="22">
        <v>0</v>
      </c>
      <c r="D596" s="22">
        <v>0</v>
      </c>
      <c r="E596" s="22">
        <v>0</v>
      </c>
      <c r="F596" s="22">
        <v>0</v>
      </c>
      <c r="G596" s="22">
        <v>0</v>
      </c>
      <c r="H596" s="22">
        <v>0</v>
      </c>
      <c r="I596" s="22">
        <v>0</v>
      </c>
      <c r="J596" s="22">
        <v>0</v>
      </c>
      <c r="K596" s="22">
        <v>0</v>
      </c>
      <c r="L596" s="22">
        <v>0</v>
      </c>
      <c r="M596" s="61">
        <v>0</v>
      </c>
      <c r="N596" s="61">
        <v>0</v>
      </c>
      <c r="O596" s="61">
        <v>0</v>
      </c>
      <c r="P596" s="61">
        <v>0</v>
      </c>
      <c r="Q596" s="61">
        <v>0</v>
      </c>
      <c r="R596" s="39"/>
      <c r="S596" s="39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40"/>
      <c r="AJ596" s="39"/>
      <c r="AK596" s="39"/>
      <c r="AL596" s="39"/>
      <c r="AM596" s="39"/>
      <c r="AN596" s="39"/>
      <c r="AO596" s="39"/>
      <c r="AP596" s="39"/>
      <c r="AQ596" s="39"/>
      <c r="AR596" s="39"/>
      <c r="AS596" s="74"/>
      <c r="AT596" s="63">
        <f>SUMPRODUCT(C596:D596,C$5:D$5)/SUM(C$5:D$5)</f>
        <v>0</v>
      </c>
      <c r="AU596" s="63">
        <f>SUMPRODUCT(E596:F596,E$5:F$5)/SUM(E$5:F$5)</f>
        <v>0</v>
      </c>
      <c r="AV596" s="63">
        <f>SUMPRODUCT(G596:H596,G$5:H$5)/SUM(G$5:H$5)</f>
        <v>0</v>
      </c>
      <c r="AW596" s="63">
        <f>SUMPRODUCT(I596:J596,I$5:J$5)/SUM(I$5:J$5)</f>
        <v>0</v>
      </c>
      <c r="AX596" s="63">
        <f>SUMPRODUCT(K596:L596,K$5:L$5)/SUM(K$5:L$5)</f>
        <v>0</v>
      </c>
      <c r="AY596" s="63">
        <f>SUMPRODUCT(M596:N596,M$5:N$5)/SUM(M$5:N$5)</f>
        <v>0</v>
      </c>
      <c r="AZ596" s="63">
        <f>SUMPRODUCT(O596:P596,O$5:P$5)/SUM(O$5:P$5)</f>
        <v>0</v>
      </c>
      <c r="BA596" s="63"/>
      <c r="BB596" s="63"/>
      <c r="BC596" s="63"/>
      <c r="BD596" s="63"/>
      <c r="BE596" s="63"/>
      <c r="BF596" s="63"/>
      <c r="BG596" s="63"/>
      <c r="BH596" s="63"/>
      <c r="BI596" s="64"/>
      <c r="BJ596" s="63"/>
      <c r="BK596" s="63"/>
      <c r="BL596" s="63"/>
      <c r="BM596" s="63"/>
      <c r="BN596" s="63"/>
    </row>
    <row r="597" spans="1:66" ht="12" hidden="1" customHeight="1" outlineLevel="2">
      <c r="A597" s="91" t="s">
        <v>1200</v>
      </c>
      <c r="B597" s="1" t="s">
        <v>5</v>
      </c>
      <c r="C597" s="37" t="str">
        <f t="shared" ref="C597:Q597" si="5608">IF(ISERROR(C598/C596),"n.a.",C598/C596*C$5)</f>
        <v>n.a.</v>
      </c>
      <c r="D597" s="37" t="str">
        <f t="shared" si="5608"/>
        <v>n.a.</v>
      </c>
      <c r="E597" s="37" t="str">
        <f t="shared" si="5608"/>
        <v>n.a.</v>
      </c>
      <c r="F597" s="37" t="str">
        <f t="shared" si="5608"/>
        <v>n.a.</v>
      </c>
      <c r="G597" s="37" t="str">
        <f t="shared" si="5608"/>
        <v>n.a.</v>
      </c>
      <c r="H597" s="37" t="str">
        <f t="shared" si="5608"/>
        <v>n.a.</v>
      </c>
      <c r="I597" s="37" t="str">
        <f t="shared" si="5608"/>
        <v>n.a.</v>
      </c>
      <c r="J597" s="37" t="str">
        <f t="shared" si="5608"/>
        <v>n.a.</v>
      </c>
      <c r="K597" s="37" t="str">
        <f t="shared" si="5608"/>
        <v>n.a.</v>
      </c>
      <c r="L597" s="37" t="str">
        <f t="shared" si="5608"/>
        <v>n.a.</v>
      </c>
      <c r="M597" s="37" t="str">
        <f t="shared" si="5608"/>
        <v>n.a.</v>
      </c>
      <c r="N597" s="37" t="str">
        <f t="shared" si="5608"/>
        <v>n.a.</v>
      </c>
      <c r="O597" s="37" t="str">
        <f t="shared" si="5608"/>
        <v>n.a.</v>
      </c>
      <c r="P597" s="37" t="str">
        <f t="shared" si="5608"/>
        <v>n.a.</v>
      </c>
      <c r="Q597" s="37" t="str">
        <f t="shared" si="5608"/>
        <v>n.a.</v>
      </c>
      <c r="R597" s="37"/>
      <c r="S597" s="37"/>
      <c r="T597" s="37"/>
      <c r="U597" s="37"/>
      <c r="V597" s="37"/>
      <c r="W597" s="37"/>
      <c r="X597" s="37"/>
      <c r="Y597" s="37"/>
      <c r="Z597" s="37"/>
      <c r="AA597" s="37"/>
      <c r="AB597" s="37"/>
      <c r="AC597" s="37"/>
      <c r="AD597" s="37"/>
      <c r="AE597" s="37"/>
      <c r="AF597" s="37"/>
      <c r="AG597" s="37"/>
      <c r="AH597" s="37"/>
      <c r="AI597" s="38"/>
      <c r="AJ597" s="48"/>
      <c r="AK597" s="48"/>
      <c r="AL597" s="48"/>
      <c r="AM597" s="48"/>
      <c r="AN597" s="48"/>
      <c r="AO597" s="48"/>
      <c r="AP597" s="48"/>
      <c r="AQ597" s="48"/>
      <c r="AR597" s="48"/>
      <c r="AS597" s="8"/>
      <c r="AT597" s="37" t="str">
        <f t="shared" ref="AT597:AZ597" si="5609">IF(ISERROR(AT598/AT596),"n.a.",AT598/AT596*AT$5)</f>
        <v>n.a.</v>
      </c>
      <c r="AU597" s="37" t="str">
        <f t="shared" si="5609"/>
        <v>n.a.</v>
      </c>
      <c r="AV597" s="37" t="str">
        <f t="shared" si="5609"/>
        <v>n.a.</v>
      </c>
      <c r="AW597" s="37" t="str">
        <f t="shared" si="5609"/>
        <v>n.a.</v>
      </c>
      <c r="AX597" s="37" t="str">
        <f t="shared" si="5609"/>
        <v>n.a.</v>
      </c>
      <c r="AY597" s="37" t="str">
        <f t="shared" si="5609"/>
        <v>n.a.</v>
      </c>
      <c r="AZ597" s="37" t="str">
        <f t="shared" si="5609"/>
        <v>n.a.</v>
      </c>
      <c r="BA597" s="37"/>
      <c r="BB597" s="37"/>
      <c r="BC597" s="37"/>
      <c r="BD597" s="37"/>
      <c r="BE597" s="37"/>
      <c r="BF597" s="37"/>
      <c r="BG597" s="37"/>
      <c r="BH597" s="37"/>
      <c r="BI597" s="38"/>
      <c r="BJ597" s="37"/>
      <c r="BK597" s="37"/>
      <c r="BL597" s="37"/>
      <c r="BM597" s="37"/>
      <c r="BN597" s="37"/>
    </row>
    <row r="598" spans="1:66" s="9" customFormat="1" ht="12" hidden="1" customHeight="1" outlineLevel="2">
      <c r="A598" s="91" t="s">
        <v>1201</v>
      </c>
      <c r="B598" s="9" t="s">
        <v>7</v>
      </c>
      <c r="C598" s="22">
        <v>-25</v>
      </c>
      <c r="D598" s="22">
        <v>-21</v>
      </c>
      <c r="E598" s="22">
        <v>-14</v>
      </c>
      <c r="F598" s="22">
        <v>-5</v>
      </c>
      <c r="G598" s="22">
        <v>0</v>
      </c>
      <c r="H598" s="22">
        <v>0</v>
      </c>
      <c r="I598" s="22">
        <v>0</v>
      </c>
      <c r="J598" s="22">
        <v>0</v>
      </c>
      <c r="K598" s="22">
        <v>0</v>
      </c>
      <c r="L598" s="22">
        <v>0</v>
      </c>
      <c r="M598" s="61">
        <v>0</v>
      </c>
      <c r="N598" s="61">
        <v>0</v>
      </c>
      <c r="O598" s="61">
        <v>0</v>
      </c>
      <c r="P598" s="61">
        <v>0</v>
      </c>
      <c r="Q598" s="61">
        <v>0</v>
      </c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40"/>
      <c r="AJ598" s="39"/>
      <c r="AK598" s="39"/>
      <c r="AL598" s="39"/>
      <c r="AM598" s="39"/>
      <c r="AN598" s="39"/>
      <c r="AO598" s="39"/>
      <c r="AP598" s="39"/>
      <c r="AQ598" s="39"/>
      <c r="AR598" s="39"/>
      <c r="AS598" s="74"/>
      <c r="AT598" s="39">
        <f t="shared" ref="AT598:AT605" si="5610">C598+D598</f>
        <v>-46</v>
      </c>
      <c r="AU598" s="39">
        <f t="shared" ref="AU598:AU605" si="5611">E598+F598</f>
        <v>-19</v>
      </c>
      <c r="AV598" s="39">
        <f t="shared" ref="AV598:AV605" si="5612">G598+H598</f>
        <v>0</v>
      </c>
      <c r="AW598" s="39">
        <f t="shared" ref="AW598:AW605" si="5613">I598+J598</f>
        <v>0</v>
      </c>
      <c r="AX598" s="39">
        <f t="shared" ref="AX598:AX605" si="5614">K598+L598</f>
        <v>0</v>
      </c>
      <c r="AY598" s="39">
        <f t="shared" ref="AY598:AY605" si="5615">M598+N598</f>
        <v>0</v>
      </c>
      <c r="AZ598" s="39">
        <f t="shared" ref="AZ598:AZ605" si="5616">O598+P598</f>
        <v>0</v>
      </c>
      <c r="BA598" s="39"/>
      <c r="BB598" s="39"/>
      <c r="BC598" s="39"/>
      <c r="BD598" s="39"/>
      <c r="BE598" s="39"/>
      <c r="BF598" s="39"/>
      <c r="BG598" s="39"/>
      <c r="BH598" s="39"/>
      <c r="BI598" s="40"/>
      <c r="BJ598" s="39"/>
      <c r="BK598" s="39"/>
      <c r="BL598" s="39"/>
      <c r="BM598" s="39"/>
      <c r="BN598" s="39"/>
    </row>
    <row r="599" spans="1:66" ht="12" hidden="1" customHeight="1" outlineLevel="2">
      <c r="A599" s="91" t="s">
        <v>1202</v>
      </c>
      <c r="B599" s="1" t="s">
        <v>31</v>
      </c>
      <c r="C599" s="21">
        <v>0</v>
      </c>
      <c r="D599" s="21">
        <v>0</v>
      </c>
      <c r="E599" s="21">
        <v>0</v>
      </c>
      <c r="F599" s="21">
        <v>0</v>
      </c>
      <c r="G599" s="21">
        <v>0</v>
      </c>
      <c r="H599" s="21">
        <v>0</v>
      </c>
      <c r="I599" s="21">
        <v>0</v>
      </c>
      <c r="J599" s="21">
        <v>0</v>
      </c>
      <c r="K599" s="21">
        <v>0</v>
      </c>
      <c r="L599" s="21">
        <v>0</v>
      </c>
      <c r="M599" s="62">
        <v>0</v>
      </c>
      <c r="N599" s="62">
        <v>0</v>
      </c>
      <c r="O599" s="62">
        <v>0</v>
      </c>
      <c r="P599" s="62">
        <v>0</v>
      </c>
      <c r="Q599" s="62">
        <v>0</v>
      </c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  <c r="AG599" s="58"/>
      <c r="AH599" s="58"/>
      <c r="AI599" s="501"/>
      <c r="AJ599" s="58"/>
      <c r="AK599" s="58"/>
      <c r="AL599" s="58"/>
      <c r="AM599" s="58"/>
      <c r="AN599" s="58"/>
      <c r="AO599" s="58"/>
      <c r="AP599" s="58"/>
      <c r="AQ599" s="58"/>
      <c r="AR599" s="58"/>
      <c r="AS599" s="8"/>
      <c r="AT599" s="41">
        <f t="shared" si="5610"/>
        <v>0</v>
      </c>
      <c r="AU599" s="41">
        <f t="shared" si="5611"/>
        <v>0</v>
      </c>
      <c r="AV599" s="41">
        <f t="shared" si="5612"/>
        <v>0</v>
      </c>
      <c r="AW599" s="41">
        <f t="shared" si="5613"/>
        <v>0</v>
      </c>
      <c r="AX599" s="41">
        <f t="shared" si="5614"/>
        <v>0</v>
      </c>
      <c r="AY599" s="41">
        <f t="shared" si="5615"/>
        <v>0</v>
      </c>
      <c r="AZ599" s="41">
        <f t="shared" si="5616"/>
        <v>0</v>
      </c>
      <c r="BA599" s="41"/>
      <c r="BB599" s="41"/>
      <c r="BC599" s="41"/>
      <c r="BD599" s="41"/>
      <c r="BE599" s="41"/>
      <c r="BF599" s="41"/>
      <c r="BG599" s="41"/>
      <c r="BH599" s="41"/>
      <c r="BI599" s="42"/>
      <c r="BJ599" s="41"/>
      <c r="BK599" s="41"/>
      <c r="BL599" s="41"/>
      <c r="BM599" s="41"/>
      <c r="BN599" s="41"/>
    </row>
    <row r="600" spans="1:66" ht="12" hidden="1" customHeight="1" outlineLevel="2">
      <c r="A600" s="91" t="s">
        <v>1203</v>
      </c>
      <c r="B600" s="1" t="s">
        <v>30</v>
      </c>
      <c r="C600" s="21">
        <v>0</v>
      </c>
      <c r="D600" s="21">
        <v>0</v>
      </c>
      <c r="E600" s="21">
        <v>0</v>
      </c>
      <c r="F600" s="21">
        <v>0</v>
      </c>
      <c r="G600" s="21">
        <v>0</v>
      </c>
      <c r="H600" s="21">
        <v>0</v>
      </c>
      <c r="I600" s="21">
        <v>0</v>
      </c>
      <c r="J600" s="21">
        <v>0</v>
      </c>
      <c r="K600" s="21">
        <v>0</v>
      </c>
      <c r="L600" s="21">
        <v>0</v>
      </c>
      <c r="M600" s="62">
        <v>0</v>
      </c>
      <c r="N600" s="62">
        <v>0</v>
      </c>
      <c r="O600" s="62">
        <v>0</v>
      </c>
      <c r="P600" s="62">
        <v>0</v>
      </c>
      <c r="Q600" s="62">
        <v>0</v>
      </c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  <c r="AG600" s="58"/>
      <c r="AH600" s="58"/>
      <c r="AI600" s="501"/>
      <c r="AJ600" s="58"/>
      <c r="AK600" s="58"/>
      <c r="AL600" s="58"/>
      <c r="AM600" s="58"/>
      <c r="AN600" s="58"/>
      <c r="AO600" s="58"/>
      <c r="AP600" s="58"/>
      <c r="AQ600" s="58"/>
      <c r="AR600" s="58"/>
      <c r="AS600" s="8"/>
      <c r="AT600" s="41">
        <f t="shared" si="5610"/>
        <v>0</v>
      </c>
      <c r="AU600" s="41">
        <f t="shared" si="5611"/>
        <v>0</v>
      </c>
      <c r="AV600" s="41">
        <f t="shared" si="5612"/>
        <v>0</v>
      </c>
      <c r="AW600" s="41">
        <f t="shared" si="5613"/>
        <v>0</v>
      </c>
      <c r="AX600" s="41">
        <f t="shared" si="5614"/>
        <v>0</v>
      </c>
      <c r="AY600" s="41">
        <f t="shared" si="5615"/>
        <v>0</v>
      </c>
      <c r="AZ600" s="41">
        <f t="shared" si="5616"/>
        <v>0</v>
      </c>
      <c r="BA600" s="41"/>
      <c r="BB600" s="41"/>
      <c r="BC600" s="41"/>
      <c r="BD600" s="41"/>
      <c r="BE600" s="41"/>
      <c r="BF600" s="41"/>
      <c r="BG600" s="41"/>
      <c r="BH600" s="41"/>
      <c r="BI600" s="42"/>
      <c r="BJ600" s="41"/>
      <c r="BK600" s="41"/>
      <c r="BL600" s="41"/>
      <c r="BM600" s="41"/>
      <c r="BN600" s="41"/>
    </row>
    <row r="601" spans="1:66" ht="12" hidden="1" customHeight="1" outlineLevel="2">
      <c r="A601" s="91" t="s">
        <v>1204</v>
      </c>
      <c r="B601" s="1" t="s">
        <v>32</v>
      </c>
      <c r="C601" s="21">
        <v>0</v>
      </c>
      <c r="D601" s="21">
        <v>0</v>
      </c>
      <c r="E601" s="21">
        <v>0</v>
      </c>
      <c r="F601" s="21">
        <v>0</v>
      </c>
      <c r="G601" s="21">
        <v>0</v>
      </c>
      <c r="H601" s="21">
        <v>0</v>
      </c>
      <c r="I601" s="21">
        <v>0</v>
      </c>
      <c r="J601" s="21">
        <v>0</v>
      </c>
      <c r="K601" s="21">
        <v>0</v>
      </c>
      <c r="L601" s="21">
        <v>0</v>
      </c>
      <c r="M601" s="62">
        <v>0</v>
      </c>
      <c r="N601" s="62">
        <v>0</v>
      </c>
      <c r="O601" s="62">
        <v>0</v>
      </c>
      <c r="P601" s="62">
        <v>0</v>
      </c>
      <c r="Q601" s="62">
        <v>0</v>
      </c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  <c r="AG601" s="58"/>
      <c r="AH601" s="58"/>
      <c r="AI601" s="501"/>
      <c r="AJ601" s="58"/>
      <c r="AK601" s="58"/>
      <c r="AL601" s="58"/>
      <c r="AM601" s="58"/>
      <c r="AN601" s="58"/>
      <c r="AO601" s="58"/>
      <c r="AP601" s="58"/>
      <c r="AQ601" s="58"/>
      <c r="AR601" s="58"/>
      <c r="AS601" s="8"/>
      <c r="AT601" s="41">
        <f t="shared" si="5610"/>
        <v>0</v>
      </c>
      <c r="AU601" s="41">
        <f t="shared" si="5611"/>
        <v>0</v>
      </c>
      <c r="AV601" s="41">
        <f t="shared" si="5612"/>
        <v>0</v>
      </c>
      <c r="AW601" s="41">
        <f t="shared" si="5613"/>
        <v>0</v>
      </c>
      <c r="AX601" s="41">
        <f t="shared" si="5614"/>
        <v>0</v>
      </c>
      <c r="AY601" s="41">
        <f t="shared" si="5615"/>
        <v>0</v>
      </c>
      <c r="AZ601" s="41">
        <f t="shared" si="5616"/>
        <v>0</v>
      </c>
      <c r="BA601" s="41"/>
      <c r="BB601" s="41"/>
      <c r="BC601" s="41"/>
      <c r="BD601" s="41"/>
      <c r="BE601" s="41"/>
      <c r="BF601" s="41"/>
      <c r="BG601" s="41"/>
      <c r="BH601" s="41"/>
      <c r="BI601" s="42"/>
      <c r="BJ601" s="41"/>
      <c r="BK601" s="41"/>
      <c r="BL601" s="41"/>
      <c r="BM601" s="41"/>
      <c r="BN601" s="41"/>
    </row>
    <row r="602" spans="1:66" ht="12" hidden="1" customHeight="1" outlineLevel="2">
      <c r="A602" s="91" t="s">
        <v>1205</v>
      </c>
      <c r="B602" s="1" t="s">
        <v>33</v>
      </c>
      <c r="C602" s="21">
        <v>0</v>
      </c>
      <c r="D602" s="21">
        <v>0</v>
      </c>
      <c r="E602" s="21">
        <v>0</v>
      </c>
      <c r="F602" s="21">
        <v>0</v>
      </c>
      <c r="G602" s="21">
        <v>0</v>
      </c>
      <c r="H602" s="21">
        <v>0</v>
      </c>
      <c r="I602" s="21">
        <v>0</v>
      </c>
      <c r="J602" s="21">
        <v>0</v>
      </c>
      <c r="K602" s="21">
        <v>0</v>
      </c>
      <c r="L602" s="21">
        <v>0</v>
      </c>
      <c r="M602" s="62">
        <v>0</v>
      </c>
      <c r="N602" s="62">
        <v>0</v>
      </c>
      <c r="O602" s="62">
        <v>0</v>
      </c>
      <c r="P602" s="62">
        <v>0</v>
      </c>
      <c r="Q602" s="62">
        <v>0</v>
      </c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  <c r="AG602" s="58"/>
      <c r="AH602" s="58"/>
      <c r="AI602" s="501"/>
      <c r="AJ602" s="58"/>
      <c r="AK602" s="58"/>
      <c r="AL602" s="58"/>
      <c r="AM602" s="58"/>
      <c r="AN602" s="58"/>
      <c r="AO602" s="58"/>
      <c r="AP602" s="58"/>
      <c r="AQ602" s="58"/>
      <c r="AR602" s="58"/>
      <c r="AS602" s="8"/>
      <c r="AT602" s="41">
        <f t="shared" si="5610"/>
        <v>0</v>
      </c>
      <c r="AU602" s="41">
        <f t="shared" si="5611"/>
        <v>0</v>
      </c>
      <c r="AV602" s="41">
        <f t="shared" si="5612"/>
        <v>0</v>
      </c>
      <c r="AW602" s="41">
        <f t="shared" si="5613"/>
        <v>0</v>
      </c>
      <c r="AX602" s="41">
        <f t="shared" si="5614"/>
        <v>0</v>
      </c>
      <c r="AY602" s="41">
        <f t="shared" si="5615"/>
        <v>0</v>
      </c>
      <c r="AZ602" s="41">
        <f t="shared" si="5616"/>
        <v>0</v>
      </c>
      <c r="BA602" s="41"/>
      <c r="BB602" s="41"/>
      <c r="BC602" s="41"/>
      <c r="BD602" s="41"/>
      <c r="BE602" s="41"/>
      <c r="BF602" s="41"/>
      <c r="BG602" s="41"/>
      <c r="BH602" s="41"/>
      <c r="BI602" s="42"/>
      <c r="BJ602" s="41"/>
      <c r="BK602" s="41"/>
      <c r="BL602" s="41"/>
      <c r="BM602" s="41"/>
      <c r="BN602" s="41"/>
    </row>
    <row r="603" spans="1:66" ht="12" hidden="1" customHeight="1" outlineLevel="2">
      <c r="A603" s="91" t="s">
        <v>1206</v>
      </c>
      <c r="B603" s="1" t="s">
        <v>20</v>
      </c>
      <c r="C603" s="21">
        <v>0</v>
      </c>
      <c r="D603" s="21">
        <v>0</v>
      </c>
      <c r="E603" s="21">
        <v>0</v>
      </c>
      <c r="F603" s="21">
        <v>0</v>
      </c>
      <c r="G603" s="21">
        <v>0</v>
      </c>
      <c r="H603" s="21">
        <v>0</v>
      </c>
      <c r="I603" s="21">
        <v>0</v>
      </c>
      <c r="J603" s="21">
        <v>0</v>
      </c>
      <c r="K603" s="21">
        <v>0</v>
      </c>
      <c r="L603" s="21">
        <v>0</v>
      </c>
      <c r="M603" s="62">
        <v>0</v>
      </c>
      <c r="N603" s="62">
        <v>0</v>
      </c>
      <c r="O603" s="62">
        <v>0</v>
      </c>
      <c r="P603" s="62">
        <v>0</v>
      </c>
      <c r="Q603" s="62">
        <v>0</v>
      </c>
      <c r="R603" s="41"/>
      <c r="S603" s="41"/>
      <c r="T603" s="41"/>
      <c r="U603" s="41"/>
      <c r="V603" s="41"/>
      <c r="W603" s="41"/>
      <c r="X603" s="41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2"/>
      <c r="AJ603" s="41"/>
      <c r="AK603" s="41"/>
      <c r="AL603" s="41"/>
      <c r="AM603" s="41"/>
      <c r="AN603" s="41"/>
      <c r="AO603" s="41"/>
      <c r="AP603" s="41"/>
      <c r="AQ603" s="41"/>
      <c r="AR603" s="41"/>
      <c r="AS603" s="8"/>
      <c r="AT603" s="41">
        <f t="shared" si="5610"/>
        <v>0</v>
      </c>
      <c r="AU603" s="41">
        <f t="shared" si="5611"/>
        <v>0</v>
      </c>
      <c r="AV603" s="41">
        <f t="shared" si="5612"/>
        <v>0</v>
      </c>
      <c r="AW603" s="41">
        <f t="shared" si="5613"/>
        <v>0</v>
      </c>
      <c r="AX603" s="41">
        <f t="shared" si="5614"/>
        <v>0</v>
      </c>
      <c r="AY603" s="41">
        <f t="shared" si="5615"/>
        <v>0</v>
      </c>
      <c r="AZ603" s="41">
        <f t="shared" si="5616"/>
        <v>0</v>
      </c>
      <c r="BA603" s="41"/>
      <c r="BB603" s="41"/>
      <c r="BC603" s="41"/>
      <c r="BD603" s="41"/>
      <c r="BE603" s="41"/>
      <c r="BF603" s="41"/>
      <c r="BG603" s="41"/>
      <c r="BH603" s="41"/>
      <c r="BI603" s="42"/>
      <c r="BJ603" s="41"/>
      <c r="BK603" s="41"/>
      <c r="BL603" s="41"/>
      <c r="BM603" s="41"/>
      <c r="BN603" s="41"/>
    </row>
    <row r="604" spans="1:66" ht="12" hidden="1" customHeight="1" outlineLevel="2">
      <c r="A604" s="91" t="s">
        <v>1207</v>
      </c>
      <c r="B604" s="1" t="s">
        <v>19</v>
      </c>
      <c r="C604" s="21">
        <v>374</v>
      </c>
      <c r="D604" s="21">
        <f>714-C604</f>
        <v>340</v>
      </c>
      <c r="E604" s="21">
        <v>372</v>
      </c>
      <c r="F604" s="21">
        <f>715-E604</f>
        <v>343</v>
      </c>
      <c r="G604" s="21">
        <v>283</v>
      </c>
      <c r="H604" s="21">
        <f>525-G604</f>
        <v>242</v>
      </c>
      <c r="I604" s="21">
        <v>216</v>
      </c>
      <c r="J604" s="21">
        <v>234</v>
      </c>
      <c r="K604" s="21">
        <v>272</v>
      </c>
      <c r="L604" s="21">
        <v>275</v>
      </c>
      <c r="M604" s="62">
        <v>262</v>
      </c>
      <c r="N604" s="62">
        <v>280</v>
      </c>
      <c r="O604" s="62">
        <v>311</v>
      </c>
      <c r="P604" s="62">
        <v>284</v>
      </c>
      <c r="Q604" s="62">
        <v>274</v>
      </c>
      <c r="R604" s="41"/>
      <c r="S604" s="41"/>
      <c r="T604" s="41"/>
      <c r="U604" s="41"/>
      <c r="V604" s="41"/>
      <c r="W604" s="41"/>
      <c r="X604" s="41"/>
      <c r="Y604" s="41"/>
      <c r="Z604" s="41"/>
      <c r="AA604" s="41"/>
      <c r="AB604" s="41"/>
      <c r="AC604" s="41"/>
      <c r="AD604" s="41"/>
      <c r="AE604" s="41"/>
      <c r="AF604" s="41"/>
      <c r="AG604" s="41"/>
      <c r="AH604" s="41"/>
      <c r="AI604" s="42"/>
      <c r="AJ604" s="41"/>
      <c r="AK604" s="41"/>
      <c r="AL604" s="41"/>
      <c r="AM604" s="41"/>
      <c r="AN604" s="41"/>
      <c r="AO604" s="41"/>
      <c r="AP604" s="41"/>
      <c r="AQ604" s="41"/>
      <c r="AR604" s="41"/>
      <c r="AS604" s="8"/>
      <c r="AT604" s="41">
        <f t="shared" si="5610"/>
        <v>714</v>
      </c>
      <c r="AU604" s="41">
        <f t="shared" si="5611"/>
        <v>715</v>
      </c>
      <c r="AV604" s="41">
        <f t="shared" si="5612"/>
        <v>525</v>
      </c>
      <c r="AW604" s="41">
        <f t="shared" si="5613"/>
        <v>450</v>
      </c>
      <c r="AX604" s="41">
        <f t="shared" si="5614"/>
        <v>547</v>
      </c>
      <c r="AY604" s="41">
        <f t="shared" si="5615"/>
        <v>542</v>
      </c>
      <c r="AZ604" s="41">
        <f t="shared" si="5616"/>
        <v>595</v>
      </c>
      <c r="BA604" s="41"/>
      <c r="BB604" s="41"/>
      <c r="BC604" s="41"/>
      <c r="BD604" s="41"/>
      <c r="BE604" s="41"/>
      <c r="BF604" s="41"/>
      <c r="BG604" s="41"/>
      <c r="BH604" s="41"/>
      <c r="BI604" s="42"/>
      <c r="BJ604" s="41"/>
      <c r="BK604" s="41"/>
      <c r="BL604" s="41"/>
      <c r="BM604" s="41"/>
      <c r="BN604" s="41"/>
    </row>
    <row r="605" spans="1:66" ht="12" hidden="1" customHeight="1" outlineLevel="2">
      <c r="A605" s="91" t="s">
        <v>1208</v>
      </c>
      <c r="B605" s="1" t="s">
        <v>29</v>
      </c>
      <c r="C605" s="25">
        <f t="shared" ref="C605:H605" si="5617">C606-C599-C601-C603-C604-C600-C602</f>
        <v>128</v>
      </c>
      <c r="D605" s="25">
        <f t="shared" si="5617"/>
        <v>135</v>
      </c>
      <c r="E605" s="25">
        <f t="shared" si="5617"/>
        <v>91</v>
      </c>
      <c r="F605" s="25">
        <f t="shared" si="5617"/>
        <v>121</v>
      </c>
      <c r="G605" s="25">
        <f t="shared" si="5617"/>
        <v>89</v>
      </c>
      <c r="H605" s="25">
        <f t="shared" si="5617"/>
        <v>51</v>
      </c>
      <c r="I605" s="25">
        <f t="shared" ref="I605:N605" si="5618">I606-I599-I601-I603-I604-I600-I602</f>
        <v>26</v>
      </c>
      <c r="J605" s="25">
        <f t="shared" si="5618"/>
        <v>26</v>
      </c>
      <c r="K605" s="25">
        <f t="shared" si="5618"/>
        <v>43</v>
      </c>
      <c r="L605" s="25">
        <f t="shared" si="5618"/>
        <v>43</v>
      </c>
      <c r="M605" s="41">
        <f t="shared" si="5618"/>
        <v>61</v>
      </c>
      <c r="N605" s="41">
        <f t="shared" si="5618"/>
        <v>49</v>
      </c>
      <c r="O605" s="41">
        <f t="shared" ref="O605:P605" si="5619">O606-O599-O601-O603-O604-O600-O602</f>
        <v>58</v>
      </c>
      <c r="P605" s="41">
        <f t="shared" si="5619"/>
        <v>41</v>
      </c>
      <c r="Q605" s="41">
        <f t="shared" ref="Q605" si="5620">Q606-Q599-Q601-Q603-Q604-Q600-Q602</f>
        <v>39</v>
      </c>
      <c r="R605" s="41"/>
      <c r="S605" s="41"/>
      <c r="T605" s="41"/>
      <c r="U605" s="41"/>
      <c r="V605" s="41"/>
      <c r="W605" s="41"/>
      <c r="X605" s="41"/>
      <c r="Y605" s="41"/>
      <c r="Z605" s="41"/>
      <c r="AA605" s="41"/>
      <c r="AB605" s="41"/>
      <c r="AC605" s="41"/>
      <c r="AD605" s="41"/>
      <c r="AE605" s="41"/>
      <c r="AF605" s="41"/>
      <c r="AG605" s="41"/>
      <c r="AH605" s="41"/>
      <c r="AI605" s="42"/>
      <c r="AJ605" s="41"/>
      <c r="AK605" s="41"/>
      <c r="AL605" s="41"/>
      <c r="AM605" s="41"/>
      <c r="AN605" s="41"/>
      <c r="AO605" s="41"/>
      <c r="AP605" s="41"/>
      <c r="AQ605" s="41"/>
      <c r="AR605" s="41"/>
      <c r="AS605" s="8"/>
      <c r="AT605" s="41">
        <f t="shared" si="5610"/>
        <v>263</v>
      </c>
      <c r="AU605" s="41">
        <f t="shared" si="5611"/>
        <v>212</v>
      </c>
      <c r="AV605" s="41">
        <f t="shared" si="5612"/>
        <v>140</v>
      </c>
      <c r="AW605" s="41">
        <f t="shared" si="5613"/>
        <v>52</v>
      </c>
      <c r="AX605" s="41">
        <f t="shared" si="5614"/>
        <v>86</v>
      </c>
      <c r="AY605" s="41">
        <f t="shared" si="5615"/>
        <v>110</v>
      </c>
      <c r="AZ605" s="41">
        <f t="shared" si="5616"/>
        <v>99</v>
      </c>
      <c r="BA605" s="41"/>
      <c r="BB605" s="41"/>
      <c r="BC605" s="41"/>
      <c r="BD605" s="41"/>
      <c r="BE605" s="41"/>
      <c r="BF605" s="41"/>
      <c r="BG605" s="41"/>
      <c r="BH605" s="41"/>
      <c r="BI605" s="42"/>
      <c r="BJ605" s="41"/>
      <c r="BK605" s="41"/>
      <c r="BL605" s="41"/>
      <c r="BM605" s="41"/>
      <c r="BN605" s="41"/>
    </row>
    <row r="606" spans="1:66" ht="12" hidden="1" customHeight="1" outlineLevel="2">
      <c r="A606" s="91" t="s">
        <v>1209</v>
      </c>
      <c r="B606" s="9" t="s">
        <v>118</v>
      </c>
      <c r="C606" s="22">
        <v>502</v>
      </c>
      <c r="D606" s="22">
        <f>977-C606</f>
        <v>475</v>
      </c>
      <c r="E606" s="22">
        <v>463</v>
      </c>
      <c r="F606" s="22">
        <f>927-E606</f>
        <v>464</v>
      </c>
      <c r="G606" s="22">
        <v>372</v>
      </c>
      <c r="H606" s="22">
        <f>665-G606</f>
        <v>293</v>
      </c>
      <c r="I606" s="22">
        <v>242</v>
      </c>
      <c r="J606" s="22">
        <v>260</v>
      </c>
      <c r="K606" s="22">
        <v>315</v>
      </c>
      <c r="L606" s="22">
        <v>318</v>
      </c>
      <c r="M606" s="61">
        <v>323</v>
      </c>
      <c r="N606" s="61">
        <v>329</v>
      </c>
      <c r="O606" s="61">
        <v>369</v>
      </c>
      <c r="P606" s="61">
        <v>325</v>
      </c>
      <c r="Q606" s="61">
        <v>313</v>
      </c>
      <c r="R606" s="39"/>
      <c r="S606" s="39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40"/>
      <c r="AJ606" s="39"/>
      <c r="AK606" s="39"/>
      <c r="AL606" s="39"/>
      <c r="AM606" s="39"/>
      <c r="AN606" s="39"/>
      <c r="AO606" s="39"/>
      <c r="AP606" s="39"/>
      <c r="AQ606" s="39"/>
      <c r="AR606" s="39"/>
      <c r="AS606" s="8"/>
      <c r="AT606" s="39">
        <f t="shared" ref="AT606:AZ606" si="5621">AT599+AT600+AT601+AT602+AT603+AT604+AT605</f>
        <v>977</v>
      </c>
      <c r="AU606" s="39">
        <f t="shared" si="5621"/>
        <v>927</v>
      </c>
      <c r="AV606" s="39">
        <f t="shared" si="5621"/>
        <v>665</v>
      </c>
      <c r="AW606" s="39">
        <f t="shared" si="5621"/>
        <v>502</v>
      </c>
      <c r="AX606" s="39">
        <f t="shared" si="5621"/>
        <v>633</v>
      </c>
      <c r="AY606" s="39">
        <f t="shared" si="5621"/>
        <v>652</v>
      </c>
      <c r="AZ606" s="39">
        <f t="shared" si="5621"/>
        <v>694</v>
      </c>
      <c r="BA606" s="39"/>
      <c r="BB606" s="39"/>
      <c r="BC606" s="39"/>
      <c r="BD606" s="39"/>
      <c r="BE606" s="39"/>
      <c r="BF606" s="39"/>
      <c r="BG606" s="39"/>
      <c r="BH606" s="39"/>
      <c r="BI606" s="40"/>
      <c r="BJ606" s="39"/>
      <c r="BK606" s="39"/>
      <c r="BL606" s="39"/>
      <c r="BM606" s="39"/>
      <c r="BN606" s="39"/>
    </row>
    <row r="607" spans="1:66" ht="12" hidden="1" customHeight="1" outlineLevel="2">
      <c r="A607" s="91" t="s">
        <v>1210</v>
      </c>
      <c r="B607" s="1" t="s">
        <v>8</v>
      </c>
      <c r="C607" s="21">
        <v>291</v>
      </c>
      <c r="D607" s="21">
        <f>479-C607</f>
        <v>188</v>
      </c>
      <c r="E607" s="21">
        <v>167</v>
      </c>
      <c r="F607" s="21">
        <f>397-E607</f>
        <v>230</v>
      </c>
      <c r="G607" s="21">
        <v>170</v>
      </c>
      <c r="H607" s="21">
        <f>227-G607</f>
        <v>57</v>
      </c>
      <c r="I607" s="21">
        <v>63</v>
      </c>
      <c r="J607" s="21">
        <v>70</v>
      </c>
      <c r="K607" s="21">
        <f>125-K596</f>
        <v>125</v>
      </c>
      <c r="L607" s="21">
        <f>109-L596</f>
        <v>109</v>
      </c>
      <c r="M607" s="62">
        <v>113</v>
      </c>
      <c r="N607" s="62">
        <v>176</v>
      </c>
      <c r="O607" s="62">
        <v>375</v>
      </c>
      <c r="P607" s="62">
        <v>165</v>
      </c>
      <c r="Q607" s="62">
        <f>161-Q598</f>
        <v>161</v>
      </c>
      <c r="R607" s="41"/>
      <c r="S607" s="41"/>
      <c r="T607" s="41"/>
      <c r="U607" s="41"/>
      <c r="V607" s="41"/>
      <c r="W607" s="41"/>
      <c r="X607" s="41"/>
      <c r="Y607" s="41"/>
      <c r="Z607" s="41"/>
      <c r="AA607" s="41"/>
      <c r="AB607" s="41"/>
      <c r="AC607" s="41"/>
      <c r="AD607" s="41"/>
      <c r="AE607" s="41"/>
      <c r="AF607" s="41"/>
      <c r="AG607" s="41"/>
      <c r="AH607" s="41"/>
      <c r="AI607" s="42"/>
      <c r="AJ607" s="41"/>
      <c r="AK607" s="41"/>
      <c r="AL607" s="41"/>
      <c r="AM607" s="41"/>
      <c r="AN607" s="41"/>
      <c r="AO607" s="41"/>
      <c r="AP607" s="41"/>
      <c r="AQ607" s="41"/>
      <c r="AR607" s="41"/>
      <c r="AS607" s="8"/>
      <c r="AT607" s="41">
        <f>C607+D607</f>
        <v>479</v>
      </c>
      <c r="AU607" s="41">
        <f>E607+F607</f>
        <v>397</v>
      </c>
      <c r="AV607" s="41">
        <f>G607+H607</f>
        <v>227</v>
      </c>
      <c r="AW607" s="41">
        <f>I607+J607</f>
        <v>133</v>
      </c>
      <c r="AX607" s="41">
        <f>K607+L607</f>
        <v>234</v>
      </c>
      <c r="AY607" s="41">
        <f>M607+N607</f>
        <v>289</v>
      </c>
      <c r="AZ607" s="41">
        <f>O607+P607</f>
        <v>540</v>
      </c>
      <c r="BA607" s="41"/>
      <c r="BB607" s="41"/>
      <c r="BC607" s="41"/>
      <c r="BD607" s="41"/>
      <c r="BE607" s="41"/>
      <c r="BF607" s="41"/>
      <c r="BG607" s="41"/>
      <c r="BH607" s="41"/>
      <c r="BI607" s="42"/>
      <c r="BJ607" s="41"/>
      <c r="BK607" s="41"/>
      <c r="BL607" s="41"/>
      <c r="BM607" s="41"/>
      <c r="BN607" s="41"/>
    </row>
    <row r="608" spans="1:66" ht="12" hidden="1" customHeight="1" outlineLevel="2">
      <c r="A608" s="91" t="s">
        <v>1211</v>
      </c>
      <c r="B608" s="1" t="s">
        <v>9</v>
      </c>
      <c r="C608" s="21">
        <v>1</v>
      </c>
      <c r="D608" s="21">
        <f>2-C608</f>
        <v>1</v>
      </c>
      <c r="E608" s="21">
        <v>0</v>
      </c>
      <c r="F608" s="21">
        <f>1-E608</f>
        <v>1</v>
      </c>
      <c r="G608" s="21">
        <v>0</v>
      </c>
      <c r="H608" s="21">
        <v>0</v>
      </c>
      <c r="I608" s="21">
        <v>0</v>
      </c>
      <c r="J608" s="21">
        <v>0</v>
      </c>
      <c r="K608" s="21">
        <v>0</v>
      </c>
      <c r="L608" s="21">
        <v>0</v>
      </c>
      <c r="M608" s="62">
        <v>0</v>
      </c>
      <c r="N608" s="62">
        <v>0</v>
      </c>
      <c r="O608" s="62">
        <v>-1</v>
      </c>
      <c r="P608" s="62">
        <v>0</v>
      </c>
      <c r="Q608" s="62">
        <v>0</v>
      </c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  <c r="AG608" s="58"/>
      <c r="AH608" s="58"/>
      <c r="AI608" s="501"/>
      <c r="AJ608" s="58"/>
      <c r="AK608" s="58"/>
      <c r="AL608" s="58"/>
      <c r="AM608" s="58"/>
      <c r="AN608" s="58"/>
      <c r="AO608" s="58"/>
      <c r="AP608" s="58"/>
      <c r="AQ608" s="58"/>
      <c r="AR608" s="58"/>
      <c r="AS608" s="8"/>
      <c r="AT608" s="41">
        <f>C608+D608</f>
        <v>2</v>
      </c>
      <c r="AU608" s="41">
        <f>E608+F608</f>
        <v>1</v>
      </c>
      <c r="AV608" s="41">
        <f>G608+H608</f>
        <v>0</v>
      </c>
      <c r="AW608" s="41">
        <f>I608+J608</f>
        <v>0</v>
      </c>
      <c r="AX608" s="41">
        <f>K608+L608</f>
        <v>0</v>
      </c>
      <c r="AY608" s="41">
        <f>M608+N608</f>
        <v>0</v>
      </c>
      <c r="AZ608" s="41">
        <f>O608+P608</f>
        <v>-1</v>
      </c>
      <c r="BA608" s="41"/>
      <c r="BB608" s="41"/>
      <c r="BC608" s="41"/>
      <c r="BD608" s="41"/>
      <c r="BE608" s="41"/>
      <c r="BF608" s="41"/>
      <c r="BG608" s="41"/>
      <c r="BH608" s="41"/>
      <c r="BI608" s="42"/>
      <c r="BJ608" s="41"/>
      <c r="BK608" s="41"/>
      <c r="BL608" s="41"/>
      <c r="BM608" s="41"/>
      <c r="BN608" s="41"/>
    </row>
    <row r="609" spans="1:66" ht="12" hidden="1" customHeight="1" outlineLevel="2">
      <c r="A609" s="91" t="s">
        <v>1212</v>
      </c>
      <c r="B609" s="1" t="s">
        <v>45</v>
      </c>
      <c r="C609" s="21">
        <v>0</v>
      </c>
      <c r="D609" s="21">
        <v>0</v>
      </c>
      <c r="E609" s="21">
        <v>0</v>
      </c>
      <c r="F609" s="21">
        <v>0</v>
      </c>
      <c r="G609" s="21">
        <v>0</v>
      </c>
      <c r="H609" s="21">
        <v>0</v>
      </c>
      <c r="I609" s="21">
        <v>0</v>
      </c>
      <c r="J609" s="21">
        <v>0</v>
      </c>
      <c r="K609" s="21">
        <v>0</v>
      </c>
      <c r="L609" s="21">
        <v>0</v>
      </c>
      <c r="M609" s="62">
        <v>0</v>
      </c>
      <c r="N609" s="62">
        <v>0</v>
      </c>
      <c r="O609" s="62">
        <v>0</v>
      </c>
      <c r="P609" s="62">
        <v>0</v>
      </c>
      <c r="Q609" s="62">
        <v>0</v>
      </c>
      <c r="R609" s="41"/>
      <c r="S609" s="41"/>
      <c r="T609" s="41"/>
      <c r="U609" s="41"/>
      <c r="V609" s="41"/>
      <c r="W609" s="41"/>
      <c r="X609" s="41"/>
      <c r="Y609" s="41"/>
      <c r="Z609" s="41"/>
      <c r="AA609" s="41"/>
      <c r="AB609" s="41"/>
      <c r="AC609" s="41"/>
      <c r="AD609" s="41"/>
      <c r="AE609" s="41"/>
      <c r="AF609" s="41"/>
      <c r="AG609" s="41"/>
      <c r="AH609" s="41"/>
      <c r="AI609" s="42"/>
      <c r="AJ609" s="41"/>
      <c r="AK609" s="41"/>
      <c r="AL609" s="41"/>
      <c r="AM609" s="41"/>
      <c r="AN609" s="41"/>
      <c r="AO609" s="41"/>
      <c r="AP609" s="41"/>
      <c r="AQ609" s="41"/>
      <c r="AR609" s="41"/>
      <c r="AS609" s="8"/>
      <c r="AT609" s="41">
        <f>C609+D609</f>
        <v>0</v>
      </c>
      <c r="AU609" s="41">
        <f>E609+F609</f>
        <v>0</v>
      </c>
      <c r="AV609" s="41">
        <f>G609+H609</f>
        <v>0</v>
      </c>
      <c r="AW609" s="41">
        <f>I609+J609</f>
        <v>0</v>
      </c>
      <c r="AX609" s="41">
        <f>K609+L609</f>
        <v>0</v>
      </c>
      <c r="AY609" s="41">
        <f>M609+N609</f>
        <v>0</v>
      </c>
      <c r="AZ609" s="41">
        <f>O609+P609</f>
        <v>0</v>
      </c>
      <c r="BA609" s="41"/>
      <c r="BB609" s="41"/>
      <c r="BC609" s="41"/>
      <c r="BD609" s="41"/>
      <c r="BE609" s="41"/>
      <c r="BF609" s="41"/>
      <c r="BG609" s="41"/>
      <c r="BH609" s="41"/>
      <c r="BI609" s="42"/>
      <c r="BJ609" s="41"/>
      <c r="BK609" s="41"/>
      <c r="BL609" s="41"/>
      <c r="BM609" s="41"/>
      <c r="BN609" s="41"/>
    </row>
    <row r="610" spans="1:66" ht="12" hidden="1" customHeight="1" outlineLevel="2">
      <c r="A610" s="91" t="s">
        <v>1213</v>
      </c>
      <c r="B610" s="1" t="s">
        <v>10</v>
      </c>
      <c r="C610" s="19">
        <f t="shared" ref="C610:H610" si="5622">C611-C598-C607-C606-C608-C609</f>
        <v>13</v>
      </c>
      <c r="D610" s="19">
        <f t="shared" si="5622"/>
        <v>55</v>
      </c>
      <c r="E610" s="19">
        <f t="shared" si="5622"/>
        <v>6</v>
      </c>
      <c r="F610" s="19">
        <f t="shared" si="5622"/>
        <v>18</v>
      </c>
      <c r="G610" s="19">
        <f t="shared" si="5622"/>
        <v>-1</v>
      </c>
      <c r="H610" s="19">
        <f t="shared" si="5622"/>
        <v>2</v>
      </c>
      <c r="I610" s="19">
        <f t="shared" ref="I610:N610" si="5623">I611-I598-I607-I606-I608-I609</f>
        <v>3</v>
      </c>
      <c r="J610" s="19">
        <f t="shared" si="5623"/>
        <v>25</v>
      </c>
      <c r="K610" s="19">
        <f t="shared" si="5623"/>
        <v>-4</v>
      </c>
      <c r="L610" s="19">
        <f t="shared" si="5623"/>
        <v>2</v>
      </c>
      <c r="M610" s="41">
        <f t="shared" si="5623"/>
        <v>-5</v>
      </c>
      <c r="N610" s="41">
        <f t="shared" si="5623"/>
        <v>-18</v>
      </c>
      <c r="O610" s="41">
        <f t="shared" ref="O610:P610" si="5624">O611-O598-O607-O606-O608-O609</f>
        <v>-25</v>
      </c>
      <c r="P610" s="41">
        <f t="shared" si="5624"/>
        <v>12</v>
      </c>
      <c r="Q610" s="41">
        <f t="shared" ref="Q610" si="5625">Q611-Q598-Q607-Q606-Q608-Q609</f>
        <v>9</v>
      </c>
      <c r="R610" s="41"/>
      <c r="S610" s="41"/>
      <c r="T610" s="41"/>
      <c r="U610" s="41"/>
      <c r="V610" s="41"/>
      <c r="W610" s="41"/>
      <c r="X610" s="41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2"/>
      <c r="AJ610" s="41"/>
      <c r="AK610" s="41"/>
      <c r="AL610" s="41"/>
      <c r="AM610" s="41"/>
      <c r="AN610" s="41"/>
      <c r="AO610" s="41"/>
      <c r="AP610" s="41"/>
      <c r="AQ610" s="41"/>
      <c r="AR610" s="41"/>
      <c r="AS610" s="8"/>
      <c r="AT610" s="41">
        <f>C610+D610</f>
        <v>68</v>
      </c>
      <c r="AU610" s="41">
        <f>E610+F610</f>
        <v>24</v>
      </c>
      <c r="AV610" s="41">
        <f>G610+H610</f>
        <v>1</v>
      </c>
      <c r="AW610" s="41">
        <f>I610+J610</f>
        <v>28</v>
      </c>
      <c r="AX610" s="41">
        <f>K610+L610</f>
        <v>-2</v>
      </c>
      <c r="AY610" s="41">
        <f>M610+N610</f>
        <v>-23</v>
      </c>
      <c r="AZ610" s="41">
        <f>O610+P610</f>
        <v>-13</v>
      </c>
      <c r="BA610" s="41"/>
      <c r="BB610" s="41"/>
      <c r="BC610" s="41"/>
      <c r="BD610" s="41"/>
      <c r="BE610" s="41"/>
      <c r="BF610" s="41"/>
      <c r="BG610" s="41"/>
      <c r="BH610" s="41"/>
      <c r="BI610" s="42"/>
      <c r="BJ610" s="41"/>
      <c r="BK610" s="41"/>
      <c r="BL610" s="41"/>
      <c r="BM610" s="41"/>
      <c r="BN610" s="41"/>
    </row>
    <row r="611" spans="1:66" s="9" customFormat="1" ht="12" hidden="1" customHeight="1" outlineLevel="2">
      <c r="A611" s="91" t="s">
        <v>1214</v>
      </c>
      <c r="B611" s="9" t="s">
        <v>35</v>
      </c>
      <c r="C611" s="22">
        <v>782</v>
      </c>
      <c r="D611" s="22">
        <f>1480-C611</f>
        <v>698</v>
      </c>
      <c r="E611" s="22">
        <v>622</v>
      </c>
      <c r="F611" s="22">
        <f>1330-E611</f>
        <v>708</v>
      </c>
      <c r="G611" s="22">
        <v>541</v>
      </c>
      <c r="H611" s="22">
        <f>893-G611</f>
        <v>352</v>
      </c>
      <c r="I611" s="22">
        <v>308</v>
      </c>
      <c r="J611" s="22">
        <v>355</v>
      </c>
      <c r="K611" s="22">
        <v>436</v>
      </c>
      <c r="L611" s="22">
        <v>429</v>
      </c>
      <c r="M611" s="61">
        <v>431</v>
      </c>
      <c r="N611" s="61">
        <v>487</v>
      </c>
      <c r="O611" s="61">
        <v>718</v>
      </c>
      <c r="P611" s="61">
        <v>502</v>
      </c>
      <c r="Q611" s="61">
        <v>483</v>
      </c>
      <c r="R611" s="39"/>
      <c r="S611" s="39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40"/>
      <c r="AJ611" s="39"/>
      <c r="AK611" s="39"/>
      <c r="AL611" s="39"/>
      <c r="AM611" s="39"/>
      <c r="AN611" s="39"/>
      <c r="AO611" s="39"/>
      <c r="AP611" s="39"/>
      <c r="AQ611" s="39"/>
      <c r="AR611" s="39"/>
      <c r="AS611" s="74"/>
      <c r="AT611" s="39">
        <f t="shared" ref="AT611:AZ611" si="5626">AT598+AT606+AT607+AT608+AT609+AT610</f>
        <v>1480</v>
      </c>
      <c r="AU611" s="39">
        <f t="shared" si="5626"/>
        <v>1330</v>
      </c>
      <c r="AV611" s="39">
        <f t="shared" si="5626"/>
        <v>893</v>
      </c>
      <c r="AW611" s="39">
        <f t="shared" si="5626"/>
        <v>663</v>
      </c>
      <c r="AX611" s="39">
        <f t="shared" si="5626"/>
        <v>865</v>
      </c>
      <c r="AY611" s="39">
        <f t="shared" si="5626"/>
        <v>918</v>
      </c>
      <c r="AZ611" s="39">
        <f t="shared" si="5626"/>
        <v>1220</v>
      </c>
      <c r="BA611" s="39"/>
      <c r="BB611" s="39"/>
      <c r="BC611" s="39"/>
      <c r="BD611" s="39"/>
      <c r="BE611" s="39"/>
      <c r="BF611" s="39"/>
      <c r="BG611" s="39"/>
      <c r="BH611" s="39"/>
      <c r="BI611" s="40"/>
      <c r="BJ611" s="39"/>
      <c r="BK611" s="39"/>
      <c r="BL611" s="39"/>
      <c r="BM611" s="39"/>
      <c r="BN611" s="39"/>
    </row>
    <row r="612" spans="1:66" ht="12" hidden="1" customHeight="1" outlineLevel="2">
      <c r="A612" s="91" t="s">
        <v>1215</v>
      </c>
      <c r="B612" s="1" t="s">
        <v>14</v>
      </c>
      <c r="C612" s="21">
        <v>-128</v>
      </c>
      <c r="D612" s="21">
        <f>-278-C612</f>
        <v>-150</v>
      </c>
      <c r="E612" s="21">
        <v>-174</v>
      </c>
      <c r="F612" s="21">
        <f>-381-E612</f>
        <v>-207</v>
      </c>
      <c r="G612" s="21">
        <v>-149</v>
      </c>
      <c r="H612" s="21">
        <f>-308-G612</f>
        <v>-159</v>
      </c>
      <c r="I612" s="21">
        <v>-117</v>
      </c>
      <c r="J612" s="21">
        <v>-105</v>
      </c>
      <c r="K612" s="21">
        <v>-117</v>
      </c>
      <c r="L612" s="21">
        <v>-123</v>
      </c>
      <c r="M612" s="62">
        <v>-127</v>
      </c>
      <c r="N612" s="62">
        <v>-124</v>
      </c>
      <c r="O612" s="62">
        <v>-127</v>
      </c>
      <c r="P612" s="62">
        <v>-143</v>
      </c>
      <c r="Q612" s="62">
        <v>-135</v>
      </c>
      <c r="R612" s="41"/>
      <c r="S612" s="41"/>
      <c r="T612" s="41"/>
      <c r="U612" s="41"/>
      <c r="V612" s="41"/>
      <c r="W612" s="41"/>
      <c r="X612" s="41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2"/>
      <c r="AJ612" s="41"/>
      <c r="AK612" s="41"/>
      <c r="AL612" s="41"/>
      <c r="AM612" s="41"/>
      <c r="AN612" s="41"/>
      <c r="AO612" s="41"/>
      <c r="AP612" s="41"/>
      <c r="AQ612" s="41"/>
      <c r="AR612" s="41"/>
      <c r="AS612" s="8"/>
      <c r="AT612" s="41">
        <f>C612+D612</f>
        <v>-278</v>
      </c>
      <c r="AU612" s="41">
        <f>E612+F612</f>
        <v>-381</v>
      </c>
      <c r="AV612" s="41">
        <f>G612+H612</f>
        <v>-308</v>
      </c>
      <c r="AW612" s="41">
        <f>I612+J612</f>
        <v>-222</v>
      </c>
      <c r="AX612" s="41">
        <f>K612+L612</f>
        <v>-240</v>
      </c>
      <c r="AY612" s="41">
        <f>M612+N612</f>
        <v>-251</v>
      </c>
      <c r="AZ612" s="41">
        <f>O612+P612</f>
        <v>-270</v>
      </c>
      <c r="BA612" s="41"/>
      <c r="BB612" s="41"/>
      <c r="BC612" s="41"/>
      <c r="BD612" s="41"/>
      <c r="BE612" s="41"/>
      <c r="BF612" s="41"/>
      <c r="BG612" s="41"/>
      <c r="BH612" s="41"/>
      <c r="BI612" s="42"/>
      <c r="BJ612" s="41"/>
      <c r="BK612" s="41"/>
      <c r="BL612" s="41"/>
      <c r="BM612" s="41"/>
      <c r="BN612" s="41"/>
    </row>
    <row r="613" spans="1:66" ht="12" hidden="1" customHeight="1" outlineLevel="2">
      <c r="A613" s="91" t="s">
        <v>1216</v>
      </c>
      <c r="B613" s="1" t="s">
        <v>21</v>
      </c>
      <c r="C613" s="21">
        <v>-140</v>
      </c>
      <c r="D613" s="21">
        <f>-218-C613</f>
        <v>-78</v>
      </c>
      <c r="E613" s="21">
        <v>-106</v>
      </c>
      <c r="F613" s="21">
        <f>-242-E613</f>
        <v>-136</v>
      </c>
      <c r="G613" s="21">
        <v>-145</v>
      </c>
      <c r="H613" s="21">
        <f>-236-G613</f>
        <v>-91</v>
      </c>
      <c r="I613" s="21">
        <v>-66</v>
      </c>
      <c r="J613" s="21">
        <v>-59</v>
      </c>
      <c r="K613" s="21">
        <v>-66</v>
      </c>
      <c r="L613" s="21">
        <v>-64</v>
      </c>
      <c r="M613" s="62">
        <v>-71</v>
      </c>
      <c r="N613" s="62">
        <v>-87</v>
      </c>
      <c r="O613" s="62">
        <v>-115</v>
      </c>
      <c r="P613" s="62">
        <v>-93</v>
      </c>
      <c r="Q613" s="62">
        <v>-102</v>
      </c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  <c r="AG613" s="58"/>
      <c r="AH613" s="58"/>
      <c r="AI613" s="501"/>
      <c r="AJ613" s="58"/>
      <c r="AK613" s="58"/>
      <c r="AL613" s="58"/>
      <c r="AM613" s="58"/>
      <c r="AN613" s="58"/>
      <c r="AO613" s="58"/>
      <c r="AP613" s="58"/>
      <c r="AQ613" s="58"/>
      <c r="AR613" s="58"/>
      <c r="AS613" s="8"/>
      <c r="AT613" s="41">
        <f>C613+D613</f>
        <v>-218</v>
      </c>
      <c r="AU613" s="41">
        <f>E613+F613</f>
        <v>-242</v>
      </c>
      <c r="AV613" s="41">
        <f>G613+H613</f>
        <v>-236</v>
      </c>
      <c r="AW613" s="41">
        <f>I613+J613</f>
        <v>-125</v>
      </c>
      <c r="AX613" s="41">
        <f>K613+L613</f>
        <v>-130</v>
      </c>
      <c r="AY613" s="41">
        <f>M613+N613</f>
        <v>-158</v>
      </c>
      <c r="AZ613" s="41">
        <f>O613+P613</f>
        <v>-208</v>
      </c>
      <c r="BA613" s="41"/>
      <c r="BB613" s="41"/>
      <c r="BC613" s="41"/>
      <c r="BD613" s="41"/>
      <c r="BE613" s="41"/>
      <c r="BF613" s="41"/>
      <c r="BG613" s="41"/>
      <c r="BH613" s="41"/>
      <c r="BI613" s="42"/>
      <c r="BJ613" s="41"/>
      <c r="BK613" s="41"/>
      <c r="BL613" s="41"/>
      <c r="BM613" s="41"/>
      <c r="BN613" s="41"/>
    </row>
    <row r="614" spans="1:66" ht="12" hidden="1" customHeight="1" outlineLevel="2">
      <c r="A614" s="91" t="s">
        <v>1217</v>
      </c>
      <c r="B614" s="1" t="s">
        <v>11</v>
      </c>
      <c r="C614" s="21">
        <f>-463-C612-C613</f>
        <v>-195</v>
      </c>
      <c r="D614" s="21">
        <f>-900-C612-C613-C614-D612-D613</f>
        <v>-209</v>
      </c>
      <c r="E614" s="21">
        <f>-524-E612-E613</f>
        <v>-244</v>
      </c>
      <c r="F614" s="21">
        <f>-1146-E612-E613-E614-F612-F613</f>
        <v>-279</v>
      </c>
      <c r="G614" s="21">
        <f>-560-G612-G613</f>
        <v>-266</v>
      </c>
      <c r="H614" s="21">
        <f>-1087-G612-G613-G614-H612-H613</f>
        <v>-277</v>
      </c>
      <c r="I614" s="21">
        <f>-372-I612-I613</f>
        <v>-189</v>
      </c>
      <c r="J614" s="21">
        <f>-341-J612-J613</f>
        <v>-177</v>
      </c>
      <c r="K614" s="21">
        <f>-365-K612-K613</f>
        <v>-182</v>
      </c>
      <c r="L614" s="21">
        <v>-206</v>
      </c>
      <c r="M614" s="62">
        <v>-216</v>
      </c>
      <c r="N614" s="62">
        <v>-229</v>
      </c>
      <c r="O614" s="62">
        <v>-236</v>
      </c>
      <c r="P614" s="62">
        <v>-238</v>
      </c>
      <c r="Q614" s="62">
        <v>-228</v>
      </c>
      <c r="R614" s="41"/>
      <c r="S614" s="41"/>
      <c r="T614" s="41"/>
      <c r="U614" s="41"/>
      <c r="V614" s="41"/>
      <c r="W614" s="41"/>
      <c r="X614" s="41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2"/>
      <c r="AJ614" s="41"/>
      <c r="AK614" s="41"/>
      <c r="AL614" s="41"/>
      <c r="AM614" s="41"/>
      <c r="AN614" s="41"/>
      <c r="AO614" s="41"/>
      <c r="AP614" s="41"/>
      <c r="AQ614" s="41"/>
      <c r="AR614" s="41"/>
      <c r="AS614" s="8"/>
      <c r="AT614" s="41">
        <f>C614+D614</f>
        <v>-404</v>
      </c>
      <c r="AU614" s="41">
        <f>E614+F614</f>
        <v>-523</v>
      </c>
      <c r="AV614" s="41">
        <f>G614+H614</f>
        <v>-543</v>
      </c>
      <c r="AW614" s="41">
        <f>I614+J614</f>
        <v>-366</v>
      </c>
      <c r="AX614" s="41">
        <f>K614+L614</f>
        <v>-388</v>
      </c>
      <c r="AY614" s="41">
        <f>M614+N614</f>
        <v>-445</v>
      </c>
      <c r="AZ614" s="41">
        <f>O614+P614</f>
        <v>-474</v>
      </c>
      <c r="BA614" s="41"/>
      <c r="BB614" s="41"/>
      <c r="BC614" s="41"/>
      <c r="BD614" s="41"/>
      <c r="BE614" s="41"/>
      <c r="BF614" s="41"/>
      <c r="BG614" s="41"/>
      <c r="BH614" s="41"/>
      <c r="BI614" s="42"/>
      <c r="BJ614" s="41"/>
      <c r="BK614" s="41"/>
      <c r="BL614" s="41"/>
      <c r="BM614" s="41"/>
      <c r="BN614" s="41"/>
    </row>
    <row r="615" spans="1:66" s="9" customFormat="1" ht="12" hidden="1" customHeight="1" outlineLevel="2">
      <c r="A615" s="91" t="s">
        <v>1218</v>
      </c>
      <c r="B615" s="9" t="s">
        <v>52</v>
      </c>
      <c r="C615" s="17">
        <f t="shared" ref="C615:H615" si="5627">C611+C612+C613+C614</f>
        <v>319</v>
      </c>
      <c r="D615" s="17">
        <f t="shared" si="5627"/>
        <v>261</v>
      </c>
      <c r="E615" s="17">
        <f t="shared" si="5627"/>
        <v>98</v>
      </c>
      <c r="F615" s="17">
        <f t="shared" si="5627"/>
        <v>86</v>
      </c>
      <c r="G615" s="17">
        <f t="shared" si="5627"/>
        <v>-19</v>
      </c>
      <c r="H615" s="17">
        <f t="shared" si="5627"/>
        <v>-175</v>
      </c>
      <c r="I615" s="17">
        <f t="shared" ref="I615:N615" si="5628">I611+I612+I613+I614</f>
        <v>-64</v>
      </c>
      <c r="J615" s="17">
        <f t="shared" si="5628"/>
        <v>14</v>
      </c>
      <c r="K615" s="17">
        <f t="shared" si="5628"/>
        <v>71</v>
      </c>
      <c r="L615" s="17">
        <f t="shared" si="5628"/>
        <v>36</v>
      </c>
      <c r="M615" s="39">
        <f t="shared" si="5628"/>
        <v>17</v>
      </c>
      <c r="N615" s="39">
        <f t="shared" si="5628"/>
        <v>47</v>
      </c>
      <c r="O615" s="39">
        <f t="shared" ref="O615:P615" si="5629">O611+O612+O613+O614</f>
        <v>240</v>
      </c>
      <c r="P615" s="39">
        <f t="shared" si="5629"/>
        <v>28</v>
      </c>
      <c r="Q615" s="39">
        <f t="shared" ref="Q615" si="5630">Q611+Q612+Q613+Q614</f>
        <v>18</v>
      </c>
      <c r="R615" s="39"/>
      <c r="S615" s="39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40"/>
      <c r="AJ615" s="39"/>
      <c r="AK615" s="39"/>
      <c r="AL615" s="39"/>
      <c r="AM615" s="39"/>
      <c r="AN615" s="39"/>
      <c r="AO615" s="39"/>
      <c r="AP615" s="39"/>
      <c r="AQ615" s="39"/>
      <c r="AR615" s="39"/>
      <c r="AS615" s="74"/>
      <c r="AT615" s="39">
        <f t="shared" ref="AT615:AZ615" si="5631">AT611+AT612+AT613+AT614</f>
        <v>580</v>
      </c>
      <c r="AU615" s="39">
        <f t="shared" si="5631"/>
        <v>184</v>
      </c>
      <c r="AV615" s="39">
        <f t="shared" si="5631"/>
        <v>-194</v>
      </c>
      <c r="AW615" s="39">
        <f t="shared" si="5631"/>
        <v>-50</v>
      </c>
      <c r="AX615" s="39">
        <f t="shared" si="5631"/>
        <v>107</v>
      </c>
      <c r="AY615" s="39">
        <f t="shared" si="5631"/>
        <v>64</v>
      </c>
      <c r="AZ615" s="39">
        <f t="shared" si="5631"/>
        <v>268</v>
      </c>
      <c r="BA615" s="39"/>
      <c r="BB615" s="39"/>
      <c r="BC615" s="39"/>
      <c r="BD615" s="39"/>
      <c r="BE615" s="39"/>
      <c r="BF615" s="39"/>
      <c r="BG615" s="39"/>
      <c r="BH615" s="39"/>
      <c r="BI615" s="40"/>
      <c r="BJ615" s="39"/>
      <c r="BK615" s="39"/>
      <c r="BL615" s="39"/>
      <c r="BM615" s="39"/>
      <c r="BN615" s="39"/>
    </row>
    <row r="616" spans="1:66" ht="12" hidden="1" customHeight="1" outlineLevel="2">
      <c r="A616" s="91" t="s">
        <v>1219</v>
      </c>
      <c r="B616" s="1" t="s">
        <v>16</v>
      </c>
      <c r="C616" s="21">
        <v>0</v>
      </c>
      <c r="D616" s="21">
        <v>0</v>
      </c>
      <c r="E616" s="21">
        <v>0</v>
      </c>
      <c r="F616" s="21">
        <v>0</v>
      </c>
      <c r="G616" s="21">
        <v>0</v>
      </c>
      <c r="H616" s="21">
        <v>0</v>
      </c>
      <c r="I616" s="21">
        <v>0</v>
      </c>
      <c r="J616" s="21">
        <v>0</v>
      </c>
      <c r="K616" s="21">
        <v>0</v>
      </c>
      <c r="L616" s="21">
        <v>0</v>
      </c>
      <c r="M616" s="62">
        <v>0</v>
      </c>
      <c r="N616" s="62">
        <v>0</v>
      </c>
      <c r="O616" s="62">
        <v>0</v>
      </c>
      <c r="P616" s="62">
        <v>0</v>
      </c>
      <c r="Q616" s="62">
        <v>0</v>
      </c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  <c r="AG616" s="58"/>
      <c r="AH616" s="58"/>
      <c r="AI616" s="501"/>
      <c r="AJ616" s="58"/>
      <c r="AK616" s="58"/>
      <c r="AL616" s="58"/>
      <c r="AM616" s="58"/>
      <c r="AN616" s="58"/>
      <c r="AO616" s="58"/>
      <c r="AP616" s="58"/>
      <c r="AQ616" s="58"/>
      <c r="AR616" s="58"/>
      <c r="AS616" s="8"/>
      <c r="AT616" s="41">
        <f>C616+D616</f>
        <v>0</v>
      </c>
      <c r="AU616" s="41">
        <f>E616+F616</f>
        <v>0</v>
      </c>
      <c r="AV616" s="41">
        <f>G616+H616</f>
        <v>0</v>
      </c>
      <c r="AW616" s="41">
        <f>I616+J616</f>
        <v>0</v>
      </c>
      <c r="AX616" s="41">
        <f>K616+L616</f>
        <v>0</v>
      </c>
      <c r="AY616" s="41">
        <f>M616+N616</f>
        <v>0</v>
      </c>
      <c r="AZ616" s="41">
        <f>O616+P616</f>
        <v>0</v>
      </c>
      <c r="BA616" s="41"/>
      <c r="BB616" s="41"/>
      <c r="BC616" s="41"/>
      <c r="BD616" s="41"/>
      <c r="BE616" s="41"/>
      <c r="BF616" s="41"/>
      <c r="BG616" s="41"/>
      <c r="BH616" s="41"/>
      <c r="BI616" s="42"/>
      <c r="BJ616" s="41"/>
      <c r="BK616" s="41"/>
      <c r="BL616" s="41"/>
      <c r="BM616" s="41"/>
      <c r="BN616" s="41"/>
    </row>
    <row r="617" spans="1:66" s="9" customFormat="1" ht="12" hidden="1" customHeight="1" outlineLevel="2">
      <c r="A617" s="91" t="s">
        <v>560</v>
      </c>
      <c r="B617" s="16" t="s">
        <v>51</v>
      </c>
      <c r="C617" s="17">
        <f t="shared" ref="C617:H617" si="5632">C615+C616</f>
        <v>319</v>
      </c>
      <c r="D617" s="17">
        <f t="shared" si="5632"/>
        <v>261</v>
      </c>
      <c r="E617" s="17">
        <f t="shared" si="5632"/>
        <v>98</v>
      </c>
      <c r="F617" s="17">
        <f t="shared" si="5632"/>
        <v>86</v>
      </c>
      <c r="G617" s="17">
        <f t="shared" si="5632"/>
        <v>-19</v>
      </c>
      <c r="H617" s="17">
        <f t="shared" si="5632"/>
        <v>-175</v>
      </c>
      <c r="I617" s="17">
        <f>I615+I616</f>
        <v>-64</v>
      </c>
      <c r="J617" s="17">
        <f>J615+J616</f>
        <v>14</v>
      </c>
      <c r="K617" s="17">
        <f>K615+K616</f>
        <v>71</v>
      </c>
      <c r="L617" s="17">
        <f t="shared" ref="L617" si="5633">L615+L616</f>
        <v>36</v>
      </c>
      <c r="M617" s="63">
        <f t="shared" ref="M617:N617" si="5634">M615+M616</f>
        <v>17</v>
      </c>
      <c r="N617" s="63">
        <f t="shared" si="5634"/>
        <v>47</v>
      </c>
      <c r="O617" s="63">
        <f t="shared" ref="O617:P617" si="5635">O615+O616</f>
        <v>240</v>
      </c>
      <c r="P617" s="63">
        <f t="shared" si="5635"/>
        <v>28</v>
      </c>
      <c r="Q617" s="63">
        <f t="shared" ref="Q617" si="5636">Q615+Q616</f>
        <v>18</v>
      </c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4"/>
      <c r="AJ617" s="63"/>
      <c r="AK617" s="63"/>
      <c r="AL617" s="63"/>
      <c r="AM617" s="63"/>
      <c r="AN617" s="63"/>
      <c r="AO617" s="63"/>
      <c r="AP617" s="63"/>
      <c r="AQ617" s="63"/>
      <c r="AR617" s="63"/>
      <c r="AS617" s="75"/>
      <c r="AT617" s="63">
        <f t="shared" ref="AT617:AZ617" si="5637">AT615+AT616</f>
        <v>580</v>
      </c>
      <c r="AU617" s="63">
        <f t="shared" si="5637"/>
        <v>184</v>
      </c>
      <c r="AV617" s="63">
        <f t="shared" si="5637"/>
        <v>-194</v>
      </c>
      <c r="AW617" s="63">
        <f t="shared" si="5637"/>
        <v>-50</v>
      </c>
      <c r="AX617" s="63">
        <f t="shared" si="5637"/>
        <v>107</v>
      </c>
      <c r="AY617" s="63">
        <f t="shared" si="5637"/>
        <v>64</v>
      </c>
      <c r="AZ617" s="63">
        <f t="shared" si="5637"/>
        <v>268</v>
      </c>
      <c r="BA617" s="63"/>
      <c r="BB617" s="63"/>
      <c r="BC617" s="63"/>
      <c r="BD617" s="63"/>
      <c r="BE617" s="63"/>
      <c r="BF617" s="63"/>
      <c r="BG617" s="63"/>
      <c r="BH617" s="63"/>
      <c r="BI617" s="64"/>
      <c r="BJ617" s="63"/>
      <c r="BK617" s="63"/>
      <c r="BL617" s="63"/>
      <c r="BM617" s="63"/>
      <c r="BN617" s="63"/>
    </row>
    <row r="618" spans="1:66" ht="12" hidden="1" customHeight="1" outlineLevel="2">
      <c r="B618" s="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39"/>
      <c r="N618" s="39"/>
      <c r="O618" s="41"/>
      <c r="P618" s="41">
        <f>(O617+P617)</f>
        <v>268</v>
      </c>
      <c r="Q618" s="41"/>
      <c r="R618" s="41"/>
      <c r="S618" s="41"/>
      <c r="T618" s="41"/>
      <c r="U618" s="41"/>
      <c r="V618" s="41"/>
      <c r="W618" s="41"/>
      <c r="X618" s="41"/>
      <c r="Y618" s="41"/>
      <c r="Z618" s="41"/>
      <c r="AA618" s="41"/>
      <c r="AB618" s="41"/>
      <c r="AC618" s="41"/>
      <c r="AD618" s="41"/>
      <c r="AE618" s="41"/>
      <c r="AF618" s="41"/>
      <c r="AG618" s="41"/>
      <c r="AH618" s="41"/>
      <c r="AI618" s="42"/>
      <c r="AJ618" s="41"/>
      <c r="AK618" s="41"/>
      <c r="AL618" s="41"/>
      <c r="AM618" s="41"/>
      <c r="AN618" s="41"/>
      <c r="AO618" s="41"/>
      <c r="AP618" s="41"/>
      <c r="AQ618" s="41"/>
      <c r="AR618" s="41"/>
      <c r="AS618" s="74"/>
      <c r="AT618" s="39"/>
      <c r="AU618" s="39"/>
      <c r="AV618" s="39"/>
      <c r="AW618" s="39"/>
      <c r="AX618" s="39"/>
      <c r="AY618" s="409"/>
      <c r="AZ618" s="270"/>
      <c r="BA618" s="39"/>
      <c r="BB618" s="39"/>
      <c r="BC618" s="270"/>
      <c r="BD618" s="270"/>
      <c r="BE618" s="270"/>
      <c r="BF618" s="270"/>
      <c r="BG618" s="270"/>
      <c r="BH618" s="270"/>
      <c r="BI618" s="398"/>
      <c r="BJ618" s="270"/>
      <c r="BK618" s="270"/>
      <c r="BL618" s="270"/>
      <c r="BM618" s="270"/>
      <c r="BN618" s="270"/>
    </row>
    <row r="619" spans="1:66" s="9" customFormat="1" ht="12" hidden="1" customHeight="1" outlineLevel="2">
      <c r="A619" s="91"/>
      <c r="B619" s="9" t="s">
        <v>50</v>
      </c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39"/>
      <c r="N619" s="39"/>
      <c r="O619" s="39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  <c r="AA619" s="44"/>
      <c r="AB619" s="44"/>
      <c r="AC619" s="44"/>
      <c r="AD619" s="44"/>
      <c r="AE619" s="44"/>
      <c r="AF619" s="44"/>
      <c r="AG619" s="44"/>
      <c r="AH619" s="44"/>
      <c r="AI619" s="49"/>
      <c r="AJ619" s="47"/>
      <c r="AK619" s="269"/>
      <c r="AL619" s="47"/>
      <c r="AM619" s="269"/>
      <c r="AN619" s="47"/>
      <c r="AO619" s="269"/>
      <c r="AP619" s="47"/>
      <c r="AQ619" s="269"/>
      <c r="AR619" s="47"/>
      <c r="AS619" s="74"/>
      <c r="AT619" s="39"/>
      <c r="AU619" s="39"/>
      <c r="AV619" s="39"/>
      <c r="AW619" s="39"/>
      <c r="AX619" s="39"/>
      <c r="AY619" s="39"/>
      <c r="AZ619" s="39"/>
      <c r="BA619" s="39"/>
      <c r="BB619" s="39"/>
      <c r="BC619" s="39"/>
      <c r="BD619" s="39"/>
      <c r="BE619" s="39"/>
      <c r="BF619" s="39"/>
      <c r="BG619" s="39"/>
      <c r="BH619" s="39"/>
      <c r="BI619" s="40"/>
      <c r="BJ619" s="39"/>
      <c r="BK619" s="39"/>
      <c r="BL619" s="39"/>
      <c r="BM619" s="39"/>
      <c r="BN619" s="39"/>
    </row>
    <row r="620" spans="1:66" ht="12" hidden="1" customHeight="1" outlineLevel="2">
      <c r="A620" s="91" t="str">
        <f>LEFT(A617,3)&amp;"_CapEarnings"</f>
        <v>SEC_CapEarnings</v>
      </c>
      <c r="B620" s="1" t="s">
        <v>53</v>
      </c>
      <c r="C620" s="21">
        <f t="shared" ref="C620" si="5638">343-C611</f>
        <v>-439</v>
      </c>
      <c r="D620" s="21">
        <f t="shared" ref="D620" si="5639">746-D611-C611-C620</f>
        <v>-295</v>
      </c>
      <c r="E620" s="21">
        <f t="shared" ref="E620" si="5640">343-E611</f>
        <v>-279</v>
      </c>
      <c r="F620" s="21">
        <f t="shared" ref="F620" si="5641">746-F611-E611-E620</f>
        <v>-305</v>
      </c>
      <c r="G620" s="21">
        <f t="shared" ref="G620" si="5642">343-G611</f>
        <v>-198</v>
      </c>
      <c r="H620" s="21">
        <f t="shared" ref="H620" si="5643">746-H611-G611-G620</f>
        <v>51</v>
      </c>
      <c r="I620" s="21">
        <f>343-I611</f>
        <v>35</v>
      </c>
      <c r="J620" s="21">
        <f>746-J611-I611-I620</f>
        <v>48</v>
      </c>
      <c r="K620" s="21">
        <f>436-K611</f>
        <v>0</v>
      </c>
      <c r="L620" s="21">
        <f>(429-1)-L611</f>
        <v>-1</v>
      </c>
      <c r="M620" s="62">
        <f>(431--5)-M611</f>
        <v>5</v>
      </c>
      <c r="N620" s="62">
        <f>(487--5)-N611</f>
        <v>5</v>
      </c>
      <c r="O620" s="62">
        <v>6</v>
      </c>
      <c r="P620" s="62">
        <v>-1</v>
      </c>
      <c r="Q620" s="62">
        <v>-2</v>
      </c>
      <c r="R620" s="41"/>
      <c r="S620" s="41"/>
      <c r="T620" s="41"/>
      <c r="U620" s="41"/>
      <c r="V620" s="41"/>
      <c r="W620" s="41"/>
      <c r="X620" s="41"/>
      <c r="Y620" s="41"/>
      <c r="Z620" s="41"/>
      <c r="AA620" s="41"/>
      <c r="AB620" s="41"/>
      <c r="AC620" s="41"/>
      <c r="AD620" s="41"/>
      <c r="AE620" s="41"/>
      <c r="AF620" s="41"/>
      <c r="AG620" s="41"/>
      <c r="AH620" s="41"/>
      <c r="AI620" s="42"/>
      <c r="AJ620" s="41"/>
      <c r="AK620" s="41"/>
      <c r="AL620" s="41"/>
      <c r="AM620" s="41"/>
      <c r="AN620" s="41"/>
      <c r="AO620" s="41"/>
      <c r="AP620" s="41"/>
      <c r="AQ620" s="41"/>
      <c r="AR620" s="41"/>
      <c r="AS620" s="8"/>
      <c r="AT620" s="41">
        <f>C620+D620</f>
        <v>-734</v>
      </c>
      <c r="AU620" s="41">
        <f>E620+F620</f>
        <v>-584</v>
      </c>
      <c r="AV620" s="41">
        <f>G620+H620</f>
        <v>-147</v>
      </c>
      <c r="AW620" s="41">
        <f>I620+J620</f>
        <v>83</v>
      </c>
      <c r="AX620" s="41">
        <f>K620+L620</f>
        <v>-1</v>
      </c>
      <c r="AY620" s="41">
        <f>M620+N620</f>
        <v>10</v>
      </c>
      <c r="AZ620" s="41">
        <f>O620+P620</f>
        <v>5</v>
      </c>
      <c r="BA620" s="41"/>
      <c r="BB620" s="41"/>
      <c r="BC620" s="41"/>
      <c r="BD620" s="41"/>
      <c r="BE620" s="41"/>
      <c r="BF620" s="41"/>
      <c r="BG620" s="41"/>
      <c r="BH620" s="41"/>
      <c r="BI620" s="42"/>
      <c r="BJ620" s="41"/>
      <c r="BK620" s="41"/>
      <c r="BL620" s="41"/>
      <c r="BM620" s="41"/>
      <c r="BN620" s="41"/>
    </row>
    <row r="621" spans="1:66" ht="12" hidden="1" customHeight="1" outlineLevel="2">
      <c r="A621" s="91" t="str">
        <f>LEFT(A617,3)&amp;"_CenCosts"</f>
        <v>SEC_CenCosts</v>
      </c>
      <c r="B621" s="1" t="s">
        <v>12</v>
      </c>
      <c r="C621" s="19">
        <f t="shared" ref="C621:Q621" si="5644">C$472*(C611)/(C$28-C$469)</f>
        <v>28.232804232804234</v>
      </c>
      <c r="D621" s="19">
        <f t="shared" si="5644"/>
        <v>25.990409026798307</v>
      </c>
      <c r="E621" s="19">
        <f t="shared" si="5644"/>
        <v>48.064496501369028</v>
      </c>
      <c r="F621" s="19">
        <f t="shared" si="5644"/>
        <v>53.787676317743134</v>
      </c>
      <c r="G621" s="19">
        <f t="shared" si="5644"/>
        <v>53.615622105588145</v>
      </c>
      <c r="H621" s="19">
        <f t="shared" si="5644"/>
        <v>29.690348146051516</v>
      </c>
      <c r="I621" s="19">
        <f t="shared" si="5644"/>
        <v>29.12</v>
      </c>
      <c r="J621" s="19">
        <f t="shared" si="5644"/>
        <v>32.906439503320819</v>
      </c>
      <c r="K621" s="19">
        <f t="shared" si="5644"/>
        <v>35.357874342651535</v>
      </c>
      <c r="L621" s="19">
        <f t="shared" si="5644"/>
        <v>34.781027104136946</v>
      </c>
      <c r="M621" s="41">
        <f t="shared" si="5644"/>
        <v>32.32758207524563</v>
      </c>
      <c r="N621" s="41">
        <f t="shared" si="5644"/>
        <v>31.261785356068206</v>
      </c>
      <c r="O621" s="41">
        <f t="shared" si="5644"/>
        <v>46.082815734989651</v>
      </c>
      <c r="P621" s="41">
        <f t="shared" si="5644"/>
        <v>47.891706059303822</v>
      </c>
      <c r="Q621" s="41">
        <f t="shared" si="5644"/>
        <v>31.276047261009666</v>
      </c>
      <c r="R621" s="41"/>
      <c r="S621" s="41"/>
      <c r="T621" s="41"/>
      <c r="U621" s="41"/>
      <c r="V621" s="41"/>
      <c r="W621" s="41"/>
      <c r="X621" s="41"/>
      <c r="Y621" s="41"/>
      <c r="Z621" s="41"/>
      <c r="AA621" s="41"/>
      <c r="AB621" s="41"/>
      <c r="AC621" s="41"/>
      <c r="AD621" s="41"/>
      <c r="AE621" s="41"/>
      <c r="AF621" s="41"/>
      <c r="AG621" s="41"/>
      <c r="AH621" s="41"/>
      <c r="AI621" s="42"/>
      <c r="AJ621" s="41"/>
      <c r="AK621" s="41"/>
      <c r="AL621" s="41"/>
      <c r="AM621" s="41"/>
      <c r="AN621" s="41"/>
      <c r="AO621" s="41"/>
      <c r="AP621" s="41"/>
      <c r="AQ621" s="41"/>
      <c r="AR621" s="41"/>
      <c r="AS621" s="8"/>
      <c r="AT621" s="41">
        <f>C621+D621</f>
        <v>54.223213259602545</v>
      </c>
      <c r="AU621" s="41">
        <f>E621+F621</f>
        <v>101.85217281911216</v>
      </c>
      <c r="AV621" s="41">
        <f>G621+H621</f>
        <v>83.305970251639664</v>
      </c>
      <c r="AW621" s="41">
        <f>I621+J621</f>
        <v>62.026439503320816</v>
      </c>
      <c r="AX621" s="41">
        <f>K621+L621</f>
        <v>70.138901446788481</v>
      </c>
      <c r="AY621" s="41">
        <f>M621+N621</f>
        <v>63.589367431313832</v>
      </c>
      <c r="AZ621" s="41">
        <f>O621+P621</f>
        <v>93.97452179429348</v>
      </c>
      <c r="BA621" s="41"/>
      <c r="BB621" s="41"/>
      <c r="BC621" s="41"/>
      <c r="BD621" s="41"/>
      <c r="BE621" s="41"/>
      <c r="BF621" s="41"/>
      <c r="BG621" s="41"/>
      <c r="BH621" s="41"/>
      <c r="BI621" s="42"/>
      <c r="BJ621" s="41"/>
      <c r="BK621" s="41"/>
      <c r="BL621" s="41"/>
      <c r="BM621" s="41"/>
      <c r="BN621" s="41"/>
    </row>
    <row r="622" spans="1:66" ht="12" hidden="1" customHeight="1" outlineLevel="2">
      <c r="A622" s="91" t="str">
        <f>LEFT(A617,3)&amp;"_ProfitShare"</f>
        <v>SEC_ProfitShare</v>
      </c>
      <c r="B622" s="1" t="s">
        <v>13</v>
      </c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2"/>
      <c r="AJ622" s="41"/>
      <c r="AK622" s="41"/>
      <c r="AL622" s="41"/>
      <c r="AM622" s="41"/>
      <c r="AN622" s="41"/>
      <c r="AO622" s="41"/>
      <c r="AP622" s="41"/>
      <c r="AQ622" s="41"/>
      <c r="AR622" s="41"/>
      <c r="AS622" s="8"/>
      <c r="AT622" s="41"/>
      <c r="AU622" s="41"/>
      <c r="AV622" s="41"/>
      <c r="AW622" s="41"/>
      <c r="AX622" s="41"/>
      <c r="AY622" s="41"/>
      <c r="AZ622" s="41"/>
      <c r="BA622" s="41"/>
      <c r="BB622" s="41"/>
      <c r="BC622" s="41"/>
      <c r="BD622" s="41"/>
      <c r="BE622" s="41"/>
      <c r="BF622" s="41"/>
      <c r="BG622" s="41"/>
      <c r="BH622" s="41"/>
      <c r="BI622" s="42"/>
      <c r="BJ622" s="41"/>
      <c r="BK622" s="41"/>
      <c r="BL622" s="41"/>
      <c r="BM622" s="41"/>
      <c r="BN622" s="41"/>
    </row>
    <row r="623" spans="1:66" ht="12" hidden="1" customHeight="1" outlineLevel="2">
      <c r="A623" s="91" t="str">
        <f>LEFT(A617,3)&amp;"_Tax"</f>
        <v>SEC_Tax</v>
      </c>
      <c r="B623" s="1" t="s">
        <v>15</v>
      </c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2"/>
      <c r="AJ623" s="41"/>
      <c r="AK623" s="41"/>
      <c r="AL623" s="41"/>
      <c r="AM623" s="41"/>
      <c r="AN623" s="41"/>
      <c r="AO623" s="41"/>
      <c r="AP623" s="41"/>
      <c r="AQ623" s="41"/>
      <c r="AR623" s="41"/>
      <c r="AS623" s="8"/>
      <c r="AT623" s="41"/>
      <c r="AU623" s="41"/>
      <c r="AV623" s="41"/>
      <c r="AW623" s="41"/>
      <c r="AX623" s="41"/>
      <c r="AY623" s="41"/>
      <c r="AZ623" s="41"/>
      <c r="BA623" s="41"/>
      <c r="BB623" s="41"/>
      <c r="BC623" s="41"/>
      <c r="BD623" s="41"/>
      <c r="BE623" s="41"/>
      <c r="BF623" s="41"/>
      <c r="BG623" s="41"/>
      <c r="BH623" s="41"/>
      <c r="BI623" s="42"/>
      <c r="BJ623" s="41"/>
      <c r="BK623" s="41"/>
      <c r="BL623" s="41"/>
      <c r="BM623" s="41"/>
      <c r="BN623" s="41"/>
    </row>
    <row r="624" spans="1:66" s="9" customFormat="1" ht="12" hidden="1" customHeight="1" outlineLevel="2">
      <c r="A624" s="91" t="str">
        <f>LEFT(A617,3)&amp;"_CE"</f>
        <v>SEC_CE</v>
      </c>
      <c r="B624" s="1" t="s">
        <v>54</v>
      </c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41"/>
      <c r="N624" s="41"/>
      <c r="O624" s="41"/>
      <c r="P624" s="41"/>
      <c r="Q624" s="41"/>
      <c r="R624" s="41"/>
      <c r="S624" s="41"/>
      <c r="T624" s="41"/>
      <c r="U624" s="41"/>
      <c r="V624" s="41"/>
      <c r="W624" s="41"/>
      <c r="X624" s="41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2"/>
      <c r="AJ624" s="41"/>
      <c r="AK624" s="41"/>
      <c r="AL624" s="41"/>
      <c r="AM624" s="41"/>
      <c r="AN624" s="41"/>
      <c r="AO624" s="41"/>
      <c r="AP624" s="41"/>
      <c r="AQ624" s="41"/>
      <c r="AR624" s="41"/>
      <c r="AS624" s="8"/>
      <c r="AT624" s="41"/>
      <c r="AU624" s="41"/>
      <c r="AV624" s="41"/>
      <c r="AW624" s="41"/>
      <c r="AX624" s="41"/>
      <c r="AY624" s="41"/>
      <c r="AZ624" s="41"/>
      <c r="BA624" s="41"/>
      <c r="BB624" s="41"/>
      <c r="BC624" s="41"/>
      <c r="BD624" s="41"/>
      <c r="BE624" s="41"/>
      <c r="BF624" s="41"/>
      <c r="BG624" s="41"/>
      <c r="BH624" s="41"/>
      <c r="BI624" s="42"/>
      <c r="BJ624" s="41"/>
      <c r="BK624" s="41"/>
      <c r="BL624" s="41"/>
      <c r="BM624" s="41"/>
      <c r="BN624" s="41"/>
    </row>
    <row r="625" spans="1:66" ht="12" hidden="1" customHeight="1" outlineLevel="2">
      <c r="C625" s="21"/>
      <c r="D625" s="21"/>
      <c r="E625" s="21"/>
      <c r="F625" s="21"/>
      <c r="G625" s="21"/>
      <c r="H625" s="21"/>
      <c r="I625" s="21"/>
      <c r="J625" s="21"/>
      <c r="K625" s="21"/>
      <c r="L625" s="21"/>
      <c r="M625" s="41"/>
      <c r="N625" s="41"/>
      <c r="O625" s="41"/>
      <c r="P625" s="41"/>
      <c r="Q625" s="41"/>
      <c r="R625" s="41"/>
      <c r="S625" s="41"/>
      <c r="T625" s="41"/>
      <c r="U625" s="41"/>
      <c r="V625" s="41"/>
      <c r="W625" s="41"/>
      <c r="X625" s="41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2"/>
      <c r="AJ625" s="41"/>
      <c r="AK625" s="41"/>
      <c r="AL625" s="41"/>
      <c r="AM625" s="41"/>
      <c r="AN625" s="41"/>
      <c r="AO625" s="41"/>
      <c r="AP625" s="41"/>
      <c r="AQ625" s="41"/>
      <c r="AR625" s="41"/>
      <c r="AS625" s="8"/>
      <c r="AT625" s="8"/>
      <c r="AU625" s="8"/>
      <c r="AV625" s="8"/>
      <c r="AW625" s="8"/>
      <c r="AX625" s="8"/>
      <c r="AY625" s="8"/>
      <c r="AZ625" s="8"/>
      <c r="BA625" s="8"/>
      <c r="BB625" s="8"/>
      <c r="BC625" s="8"/>
      <c r="BD625" s="8"/>
      <c r="BE625" s="8"/>
      <c r="BF625" s="8"/>
      <c r="BG625" s="8"/>
      <c r="BH625" s="8"/>
      <c r="BI625" s="43"/>
      <c r="BJ625" s="8"/>
      <c r="BK625" s="8"/>
      <c r="BL625" s="8"/>
      <c r="BM625" s="8"/>
      <c r="BN625" s="8"/>
    </row>
    <row r="626" spans="1:66" ht="12" hidden="1" customHeight="1" outlineLevel="2">
      <c r="B626" s="9" t="s">
        <v>41</v>
      </c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41"/>
      <c r="N626" s="41"/>
      <c r="O626" s="41"/>
      <c r="P626" s="41"/>
      <c r="Q626" s="41"/>
      <c r="R626" s="41"/>
      <c r="S626" s="41"/>
      <c r="T626" s="41"/>
      <c r="U626" s="41"/>
      <c r="V626" s="41"/>
      <c r="W626" s="41"/>
      <c r="X626" s="41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2"/>
      <c r="AJ626" s="41"/>
      <c r="AK626" s="41"/>
      <c r="AL626" s="41"/>
      <c r="AM626" s="41"/>
      <c r="AN626" s="41"/>
      <c r="AO626" s="41"/>
      <c r="AP626" s="41"/>
      <c r="AQ626" s="41"/>
      <c r="AR626" s="41"/>
      <c r="AS626" s="8"/>
      <c r="AT626" s="8"/>
      <c r="AU626" s="8"/>
      <c r="AV626" s="8"/>
      <c r="AW626" s="8"/>
      <c r="AX626" s="8"/>
      <c r="AY626" s="8"/>
      <c r="AZ626" s="8"/>
      <c r="BA626" s="8"/>
      <c r="BB626" s="8"/>
      <c r="BC626" s="8"/>
      <c r="BD626" s="8"/>
      <c r="BE626" s="8"/>
      <c r="BF626" s="8"/>
      <c r="BG626" s="8"/>
      <c r="BH626" s="8"/>
      <c r="BI626" s="43"/>
      <c r="BJ626" s="8"/>
      <c r="BK626" s="8"/>
      <c r="BL626" s="8"/>
      <c r="BM626" s="8"/>
      <c r="BN626" s="8"/>
    </row>
    <row r="627" spans="1:66" ht="12" hidden="1" customHeight="1" outlineLevel="2">
      <c r="B627" s="1" t="s">
        <v>42</v>
      </c>
      <c r="C627" s="21">
        <v>0</v>
      </c>
      <c r="D627" s="21">
        <v>0</v>
      </c>
      <c r="E627" s="21">
        <v>0</v>
      </c>
      <c r="F627" s="21">
        <v>0</v>
      </c>
      <c r="G627" s="21">
        <v>0</v>
      </c>
      <c r="H627" s="21">
        <v>0</v>
      </c>
      <c r="I627" s="21">
        <v>0</v>
      </c>
      <c r="J627" s="21">
        <v>0</v>
      </c>
      <c r="K627" s="21">
        <v>0</v>
      </c>
      <c r="L627" s="21">
        <v>0</v>
      </c>
      <c r="M627" s="62">
        <v>0</v>
      </c>
      <c r="N627" s="62">
        <v>0</v>
      </c>
      <c r="O627" s="62">
        <v>0</v>
      </c>
      <c r="P627" s="62">
        <v>0</v>
      </c>
      <c r="Q627" s="62">
        <v>0</v>
      </c>
      <c r="R627" s="59"/>
      <c r="S627" s="59"/>
      <c r="T627" s="59"/>
      <c r="U627" s="473"/>
      <c r="V627" s="59"/>
      <c r="W627" s="59"/>
      <c r="X627" s="59"/>
      <c r="Y627" s="59"/>
      <c r="Z627" s="59"/>
      <c r="AA627" s="59"/>
      <c r="AB627" s="59"/>
      <c r="AC627" s="59"/>
      <c r="AD627" s="59"/>
      <c r="AE627" s="59"/>
      <c r="AF627" s="59"/>
      <c r="AG627" s="59"/>
      <c r="AH627" s="59"/>
      <c r="AI627" s="60"/>
      <c r="AJ627" s="59"/>
      <c r="AK627" s="59"/>
      <c r="AL627" s="59"/>
      <c r="AM627" s="59"/>
      <c r="AN627" s="59"/>
      <c r="AO627" s="59"/>
      <c r="AP627" s="59"/>
      <c r="AQ627" s="59"/>
      <c r="AR627" s="59"/>
      <c r="AS627" s="8"/>
      <c r="AT627" s="41">
        <f t="shared" ref="AT627:AT634" si="5645">D627</f>
        <v>0</v>
      </c>
      <c r="AU627" s="41">
        <f t="shared" ref="AU627:AU634" si="5646">F627</f>
        <v>0</v>
      </c>
      <c r="AV627" s="41">
        <f t="shared" ref="AV627:AV634" si="5647">H627</f>
        <v>0</v>
      </c>
      <c r="AW627" s="41">
        <f t="shared" ref="AW627:AW634" si="5648">J627</f>
        <v>0</v>
      </c>
      <c r="AX627" s="41">
        <f t="shared" ref="AX627:AX634" si="5649">L627</f>
        <v>0</v>
      </c>
      <c r="AY627" s="41">
        <f t="shared" ref="AY627:AY634" si="5650">N627</f>
        <v>0</v>
      </c>
      <c r="AZ627" s="41">
        <f t="shared" ref="AZ627:AZ634" si="5651">P627</f>
        <v>0</v>
      </c>
      <c r="BA627" s="41"/>
      <c r="BB627" s="41"/>
      <c r="BC627" s="41"/>
      <c r="BD627" s="41"/>
      <c r="BE627" s="41"/>
      <c r="BF627" s="41"/>
      <c r="BG627" s="41"/>
      <c r="BH627" s="41"/>
      <c r="BI627" s="42"/>
      <c r="BJ627" s="41"/>
      <c r="BK627" s="41"/>
      <c r="BL627" s="41"/>
      <c r="BM627" s="41"/>
      <c r="BN627" s="41"/>
    </row>
    <row r="628" spans="1:66" ht="12" hidden="1" customHeight="1" outlineLevel="2">
      <c r="B628" s="1" t="s">
        <v>43</v>
      </c>
      <c r="C628" s="21">
        <v>23899</v>
      </c>
      <c r="D628" s="21">
        <v>20926</v>
      </c>
      <c r="E628" s="21">
        <v>26433</v>
      </c>
      <c r="F628" s="21">
        <v>25583</v>
      </c>
      <c r="G628" s="21">
        <v>26230</v>
      </c>
      <c r="H628" s="21">
        <v>22442</v>
      </c>
      <c r="I628" s="21">
        <v>19513</v>
      </c>
      <c r="J628" s="21">
        <v>20640</v>
      </c>
      <c r="K628" s="21">
        <v>24143</v>
      </c>
      <c r="L628" s="21">
        <v>26015</v>
      </c>
      <c r="M628" s="62">
        <v>26466</v>
      </c>
      <c r="N628" s="62">
        <v>31051</v>
      </c>
      <c r="O628" s="62">
        <v>35843</v>
      </c>
      <c r="P628" s="62">
        <v>22899</v>
      </c>
      <c r="Q628" s="62">
        <v>31671</v>
      </c>
      <c r="R628" s="41"/>
      <c r="S628" s="41"/>
      <c r="T628" s="41"/>
      <c r="U628" s="41"/>
      <c r="V628" s="41"/>
      <c r="W628" s="41"/>
      <c r="X628" s="41"/>
      <c r="Y628" s="41"/>
      <c r="Z628" s="41"/>
      <c r="AA628" s="41"/>
      <c r="AB628" s="41"/>
      <c r="AC628" s="41"/>
      <c r="AD628" s="41"/>
      <c r="AE628" s="41"/>
      <c r="AF628" s="41"/>
      <c r="AG628" s="41"/>
      <c r="AH628" s="41"/>
      <c r="AI628" s="42"/>
      <c r="AJ628" s="41"/>
      <c r="AK628" s="41"/>
      <c r="AL628" s="41"/>
      <c r="AM628" s="41"/>
      <c r="AN628" s="41"/>
      <c r="AO628" s="41"/>
      <c r="AP628" s="41"/>
      <c r="AQ628" s="41"/>
      <c r="AR628" s="41"/>
      <c r="AS628" s="8"/>
      <c r="AT628" s="41">
        <f t="shared" si="5645"/>
        <v>20926</v>
      </c>
      <c r="AU628" s="41">
        <f t="shared" si="5646"/>
        <v>25583</v>
      </c>
      <c r="AV628" s="41">
        <f t="shared" si="5647"/>
        <v>22442</v>
      </c>
      <c r="AW628" s="41">
        <f t="shared" si="5648"/>
        <v>20640</v>
      </c>
      <c r="AX628" s="41">
        <f t="shared" si="5649"/>
        <v>26015</v>
      </c>
      <c r="AY628" s="41">
        <f t="shared" si="5650"/>
        <v>31051</v>
      </c>
      <c r="AZ628" s="41">
        <f t="shared" si="5651"/>
        <v>22899</v>
      </c>
      <c r="BA628" s="41"/>
      <c r="BB628" s="41"/>
      <c r="BC628" s="41"/>
      <c r="BD628" s="41"/>
      <c r="BE628" s="41"/>
      <c r="BF628" s="41"/>
      <c r="BG628" s="41"/>
      <c r="BH628" s="41"/>
      <c r="BI628" s="42"/>
      <c r="BJ628" s="41"/>
      <c r="BK628" s="41"/>
      <c r="BL628" s="41"/>
      <c r="BM628" s="41"/>
      <c r="BN628" s="41"/>
    </row>
    <row r="629" spans="1:66" ht="12" hidden="1" customHeight="1" outlineLevel="2">
      <c r="A629" s="91" t="s">
        <v>1360</v>
      </c>
      <c r="B629" s="1" t="s">
        <v>49</v>
      </c>
      <c r="C629" s="62">
        <f>D629*AVERAGE(B$41:C$41)/AVERAGE(C$41:D$41)</f>
        <v>660.23394394173476</v>
      </c>
      <c r="D629" s="62">
        <f>E629*AVERAGE(C$41:D$41)/AVERAGE(D$41:E$41)</f>
        <v>677.16618847936445</v>
      </c>
      <c r="E629" s="62">
        <f>F629*AVERAGE(D$41:E$41)/AVERAGE(E$41:F$41)</f>
        <v>688.81483116309869</v>
      </c>
      <c r="F629" s="62">
        <f>G629*AVERAGE(E$41:F$41)/AVERAGE(F$41:G$41)</f>
        <v>694.12933127344957</v>
      </c>
      <c r="G629" s="21">
        <v>700</v>
      </c>
      <c r="H629" s="21">
        <v>600</v>
      </c>
      <c r="I629" s="21">
        <v>500</v>
      </c>
      <c r="J629" s="21">
        <v>500</v>
      </c>
      <c r="K629" s="21">
        <v>600</v>
      </c>
      <c r="L629" s="21">
        <v>500</v>
      </c>
      <c r="M629" s="62">
        <v>500</v>
      </c>
      <c r="N629" s="62">
        <v>500</v>
      </c>
      <c r="O629" s="62">
        <v>500</v>
      </c>
      <c r="P629" s="62">
        <v>400</v>
      </c>
      <c r="Q629" s="62">
        <v>600</v>
      </c>
      <c r="R629" s="41"/>
      <c r="S629" s="41"/>
      <c r="T629" s="41"/>
      <c r="U629" s="41"/>
      <c r="V629" s="41"/>
      <c r="W629" s="41"/>
      <c r="X629" s="41"/>
      <c r="Y629" s="41"/>
      <c r="Z629" s="41"/>
      <c r="AA629" s="41"/>
      <c r="AB629" s="41"/>
      <c r="AC629" s="41"/>
      <c r="AD629" s="41"/>
      <c r="AE629" s="41"/>
      <c r="AF629" s="41"/>
      <c r="AG629" s="41"/>
      <c r="AH629" s="41"/>
      <c r="AI629" s="42"/>
      <c r="AJ629" s="41"/>
      <c r="AK629" s="41"/>
      <c r="AL629" s="41"/>
      <c r="AM629" s="41"/>
      <c r="AN629" s="41"/>
      <c r="AO629" s="41"/>
      <c r="AP629" s="41"/>
      <c r="AQ629" s="41"/>
      <c r="AR629" s="41"/>
      <c r="AS629" s="8"/>
      <c r="AT629" s="41">
        <f t="shared" si="5645"/>
        <v>677.16618847936445</v>
      </c>
      <c r="AU629" s="41">
        <f t="shared" si="5646"/>
        <v>694.12933127344957</v>
      </c>
      <c r="AV629" s="41">
        <f t="shared" si="5647"/>
        <v>600</v>
      </c>
      <c r="AW629" s="41">
        <f t="shared" si="5648"/>
        <v>500</v>
      </c>
      <c r="AX629" s="41">
        <f t="shared" si="5649"/>
        <v>500</v>
      </c>
      <c r="AY629" s="41">
        <f t="shared" si="5650"/>
        <v>500</v>
      </c>
      <c r="AZ629" s="41">
        <f t="shared" si="5651"/>
        <v>400</v>
      </c>
      <c r="BA629" s="41"/>
      <c r="BB629" s="41"/>
      <c r="BC629" s="41"/>
      <c r="BD629" s="41"/>
      <c r="BE629" s="41"/>
      <c r="BF629" s="41"/>
      <c r="BG629" s="41"/>
      <c r="BH629" s="41"/>
      <c r="BI629" s="42"/>
      <c r="BJ629" s="41"/>
      <c r="BK629" s="41"/>
      <c r="BL629" s="41"/>
      <c r="BM629" s="41"/>
      <c r="BN629" s="41"/>
    </row>
    <row r="630" spans="1:66" ht="12" hidden="1" customHeight="1" outlineLevel="2">
      <c r="B630" s="1" t="s">
        <v>24</v>
      </c>
      <c r="C630" s="25">
        <f t="shared" ref="C630:H630" si="5652">C632-C631</f>
        <v>0</v>
      </c>
      <c r="D630" s="25">
        <f t="shared" si="5652"/>
        <v>0</v>
      </c>
      <c r="E630" s="25">
        <f t="shared" si="5652"/>
        <v>0</v>
      </c>
      <c r="F630" s="25">
        <f t="shared" si="5652"/>
        <v>0</v>
      </c>
      <c r="G630" s="25">
        <f t="shared" si="5652"/>
        <v>0</v>
      </c>
      <c r="H630" s="25">
        <f t="shared" si="5652"/>
        <v>0</v>
      </c>
      <c r="I630" s="25">
        <f t="shared" ref="I630:N630" si="5653">I632-I631</f>
        <v>0</v>
      </c>
      <c r="J630" s="25">
        <f t="shared" si="5653"/>
        <v>0</v>
      </c>
      <c r="K630" s="25">
        <f t="shared" si="5653"/>
        <v>0</v>
      </c>
      <c r="L630" s="25">
        <f t="shared" si="5653"/>
        <v>0</v>
      </c>
      <c r="M630" s="25">
        <f t="shared" si="5653"/>
        <v>0</v>
      </c>
      <c r="N630" s="25">
        <f t="shared" si="5653"/>
        <v>0</v>
      </c>
      <c r="O630" s="25">
        <f t="shared" ref="O630:P630" si="5654">O632-O631</f>
        <v>0</v>
      </c>
      <c r="P630" s="25">
        <f t="shared" si="5654"/>
        <v>0</v>
      </c>
      <c r="Q630" s="25">
        <f t="shared" ref="Q630" si="5655">Q632-Q631</f>
        <v>0</v>
      </c>
      <c r="R630" s="41"/>
      <c r="S630" s="41"/>
      <c r="T630" s="41"/>
      <c r="U630" s="41"/>
      <c r="V630" s="41"/>
      <c r="W630" s="41"/>
      <c r="X630" s="41"/>
      <c r="Y630" s="41"/>
      <c r="Z630" s="41"/>
      <c r="AA630" s="41"/>
      <c r="AB630" s="41"/>
      <c r="AC630" s="41"/>
      <c r="AD630" s="41"/>
      <c r="AE630" s="41"/>
      <c r="AF630" s="41"/>
      <c r="AG630" s="41"/>
      <c r="AH630" s="41"/>
      <c r="AI630" s="42"/>
      <c r="AJ630" s="41"/>
      <c r="AK630" s="41"/>
      <c r="AL630" s="41"/>
      <c r="AM630" s="41"/>
      <c r="AN630" s="41"/>
      <c r="AO630" s="41"/>
      <c r="AP630" s="41"/>
      <c r="AQ630" s="41"/>
      <c r="AR630" s="41"/>
      <c r="AS630" s="8"/>
      <c r="AT630" s="41">
        <f t="shared" si="5645"/>
        <v>0</v>
      </c>
      <c r="AU630" s="41">
        <f t="shared" si="5646"/>
        <v>0</v>
      </c>
      <c r="AV630" s="41">
        <f t="shared" si="5647"/>
        <v>0</v>
      </c>
      <c r="AW630" s="41">
        <f t="shared" si="5648"/>
        <v>0</v>
      </c>
      <c r="AX630" s="41">
        <f t="shared" si="5649"/>
        <v>0</v>
      </c>
      <c r="AY630" s="41">
        <f t="shared" si="5650"/>
        <v>0</v>
      </c>
      <c r="AZ630" s="41">
        <f t="shared" si="5651"/>
        <v>0</v>
      </c>
      <c r="BA630" s="41"/>
      <c r="BB630" s="41"/>
      <c r="BC630" s="41"/>
      <c r="BD630" s="41"/>
      <c r="BE630" s="41"/>
      <c r="BF630" s="41"/>
      <c r="BG630" s="41"/>
      <c r="BH630" s="41"/>
      <c r="BI630" s="42"/>
      <c r="BJ630" s="41"/>
      <c r="BK630" s="41"/>
      <c r="BL630" s="41"/>
      <c r="BM630" s="41"/>
      <c r="BN630" s="41"/>
    </row>
    <row r="631" spans="1:66" ht="12" hidden="1" customHeight="1" outlineLevel="2">
      <c r="B631" s="1" t="s">
        <v>23</v>
      </c>
      <c r="C631" s="21">
        <v>0</v>
      </c>
      <c r="D631" s="21">
        <v>0</v>
      </c>
      <c r="E631" s="21">
        <v>0</v>
      </c>
      <c r="F631" s="21">
        <v>0</v>
      </c>
      <c r="G631" s="21">
        <v>0</v>
      </c>
      <c r="H631" s="21">
        <v>0</v>
      </c>
      <c r="I631" s="21">
        <v>0</v>
      </c>
      <c r="J631" s="21">
        <v>0</v>
      </c>
      <c r="K631" s="21">
        <v>0</v>
      </c>
      <c r="L631" s="21">
        <v>0</v>
      </c>
      <c r="M631" s="21">
        <v>0</v>
      </c>
      <c r="N631" s="21">
        <v>0</v>
      </c>
      <c r="O631" s="21">
        <v>0</v>
      </c>
      <c r="P631" s="21">
        <v>0</v>
      </c>
      <c r="Q631" s="21">
        <v>0</v>
      </c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  <c r="AG631" s="58"/>
      <c r="AH631" s="58"/>
      <c r="AI631" s="501"/>
      <c r="AJ631" s="58"/>
      <c r="AK631" s="58"/>
      <c r="AL631" s="58"/>
      <c r="AM631" s="58"/>
      <c r="AN631" s="58"/>
      <c r="AO631" s="58"/>
      <c r="AP631" s="58"/>
      <c r="AQ631" s="58"/>
      <c r="AR631" s="58"/>
      <c r="AS631" s="8"/>
      <c r="AT631" s="41">
        <f t="shared" si="5645"/>
        <v>0</v>
      </c>
      <c r="AU631" s="41">
        <f t="shared" si="5646"/>
        <v>0</v>
      </c>
      <c r="AV631" s="41">
        <f t="shared" si="5647"/>
        <v>0</v>
      </c>
      <c r="AW631" s="41">
        <f t="shared" si="5648"/>
        <v>0</v>
      </c>
      <c r="AX631" s="41">
        <f t="shared" si="5649"/>
        <v>0</v>
      </c>
      <c r="AY631" s="41">
        <f t="shared" si="5650"/>
        <v>0</v>
      </c>
      <c r="AZ631" s="41">
        <f t="shared" si="5651"/>
        <v>0</v>
      </c>
      <c r="BA631" s="41"/>
      <c r="BB631" s="41"/>
      <c r="BC631" s="41"/>
      <c r="BD631" s="41"/>
      <c r="BE631" s="41"/>
      <c r="BF631" s="41"/>
      <c r="BG631" s="41"/>
      <c r="BH631" s="41"/>
      <c r="BI631" s="42"/>
      <c r="BJ631" s="41"/>
      <c r="BK631" s="41"/>
      <c r="BL631" s="41"/>
      <c r="BM631" s="41"/>
      <c r="BN631" s="41"/>
    </row>
    <row r="632" spans="1:66" ht="12" hidden="1" customHeight="1" outlineLevel="2">
      <c r="B632" s="1" t="s">
        <v>22</v>
      </c>
      <c r="C632" s="21">
        <v>0</v>
      </c>
      <c r="D632" s="21">
        <v>0</v>
      </c>
      <c r="E632" s="21">
        <v>0</v>
      </c>
      <c r="F632" s="21">
        <v>0</v>
      </c>
      <c r="G632" s="21">
        <v>0</v>
      </c>
      <c r="H632" s="21">
        <v>0</v>
      </c>
      <c r="I632" s="21">
        <v>0</v>
      </c>
      <c r="J632" s="21">
        <v>0</v>
      </c>
      <c r="K632" s="21">
        <v>0</v>
      </c>
      <c r="L632" s="21">
        <v>0</v>
      </c>
      <c r="M632" s="21">
        <v>0</v>
      </c>
      <c r="N632" s="21">
        <v>0</v>
      </c>
      <c r="O632" s="21">
        <v>0</v>
      </c>
      <c r="P632" s="21">
        <v>0</v>
      </c>
      <c r="Q632" s="21">
        <v>0</v>
      </c>
      <c r="R632" s="41"/>
      <c r="S632" s="41"/>
      <c r="T632" s="41"/>
      <c r="U632" s="41"/>
      <c r="V632" s="41"/>
      <c r="W632" s="41"/>
      <c r="X632" s="41"/>
      <c r="Y632" s="41"/>
      <c r="Z632" s="41"/>
      <c r="AA632" s="41"/>
      <c r="AB632" s="41"/>
      <c r="AC632" s="41"/>
      <c r="AD632" s="41"/>
      <c r="AE632" s="41"/>
      <c r="AF632" s="41"/>
      <c r="AG632" s="41"/>
      <c r="AH632" s="41"/>
      <c r="AI632" s="42"/>
      <c r="AJ632" s="41"/>
      <c r="AK632" s="41"/>
      <c r="AL632" s="41"/>
      <c r="AM632" s="41"/>
      <c r="AN632" s="41"/>
      <c r="AO632" s="41"/>
      <c r="AP632" s="41"/>
      <c r="AQ632" s="41"/>
      <c r="AR632" s="41"/>
      <c r="AS632" s="8"/>
      <c r="AT632" s="41">
        <f t="shared" si="5645"/>
        <v>0</v>
      </c>
      <c r="AU632" s="41">
        <f t="shared" si="5646"/>
        <v>0</v>
      </c>
      <c r="AV632" s="41">
        <f t="shared" si="5647"/>
        <v>0</v>
      </c>
      <c r="AW632" s="41">
        <f t="shared" si="5648"/>
        <v>0</v>
      </c>
      <c r="AX632" s="41">
        <f t="shared" si="5649"/>
        <v>0</v>
      </c>
      <c r="AY632" s="41">
        <f t="shared" si="5650"/>
        <v>0</v>
      </c>
      <c r="AZ632" s="41">
        <f t="shared" si="5651"/>
        <v>0</v>
      </c>
      <c r="BA632" s="41"/>
      <c r="BB632" s="41"/>
      <c r="BC632" s="41"/>
      <c r="BD632" s="41"/>
      <c r="BE632" s="41"/>
      <c r="BF632" s="41"/>
      <c r="BG632" s="41"/>
      <c r="BH632" s="41"/>
      <c r="BI632" s="42"/>
      <c r="BJ632" s="41"/>
      <c r="BK632" s="41"/>
      <c r="BL632" s="41"/>
      <c r="BM632" s="41"/>
      <c r="BN632" s="41"/>
    </row>
    <row r="633" spans="1:66" ht="12" hidden="1" customHeight="1" outlineLevel="2">
      <c r="B633" s="1" t="s">
        <v>44</v>
      </c>
      <c r="C633" s="21">
        <v>0</v>
      </c>
      <c r="D633" s="21">
        <v>0</v>
      </c>
      <c r="E633" s="21">
        <v>0</v>
      </c>
      <c r="F633" s="21">
        <v>0</v>
      </c>
      <c r="G633" s="21">
        <v>0</v>
      </c>
      <c r="H633" s="21">
        <v>0</v>
      </c>
      <c r="I633" s="21">
        <v>0</v>
      </c>
      <c r="J633" s="21">
        <v>0</v>
      </c>
      <c r="K633" s="21">
        <v>0</v>
      </c>
      <c r="L633" s="21">
        <v>0</v>
      </c>
      <c r="M633" s="21">
        <v>0</v>
      </c>
      <c r="N633" s="21">
        <v>0</v>
      </c>
      <c r="O633" s="21">
        <v>0</v>
      </c>
      <c r="P633" s="21">
        <v>0</v>
      </c>
      <c r="Q633" s="21">
        <v>0</v>
      </c>
      <c r="R633" s="41"/>
      <c r="S633" s="41"/>
      <c r="T633" s="41"/>
      <c r="U633" s="41"/>
      <c r="V633" s="41"/>
      <c r="W633" s="41"/>
      <c r="X633" s="41"/>
      <c r="Y633" s="41"/>
      <c r="Z633" s="41"/>
      <c r="AA633" s="41"/>
      <c r="AB633" s="41"/>
      <c r="AC633" s="41"/>
      <c r="AD633" s="41"/>
      <c r="AE633" s="41"/>
      <c r="AF633" s="41"/>
      <c r="AG633" s="41"/>
      <c r="AH633" s="41"/>
      <c r="AI633" s="42"/>
      <c r="AJ633" s="41"/>
      <c r="AK633" s="41"/>
      <c r="AL633" s="41"/>
      <c r="AM633" s="41"/>
      <c r="AN633" s="41"/>
      <c r="AO633" s="41"/>
      <c r="AP633" s="41"/>
      <c r="AQ633" s="41"/>
      <c r="AR633" s="41"/>
      <c r="AS633" s="8"/>
      <c r="AT633" s="41">
        <f t="shared" si="5645"/>
        <v>0</v>
      </c>
      <c r="AU633" s="41">
        <f t="shared" si="5646"/>
        <v>0</v>
      </c>
      <c r="AV633" s="41">
        <f t="shared" si="5647"/>
        <v>0</v>
      </c>
      <c r="AW633" s="41">
        <f t="shared" si="5648"/>
        <v>0</v>
      </c>
      <c r="AX633" s="41">
        <f t="shared" si="5649"/>
        <v>0</v>
      </c>
      <c r="AY633" s="41">
        <f t="shared" si="5650"/>
        <v>0</v>
      </c>
      <c r="AZ633" s="41">
        <f t="shared" si="5651"/>
        <v>0</v>
      </c>
      <c r="BA633" s="41"/>
      <c r="BB633" s="41"/>
      <c r="BC633" s="41"/>
      <c r="BD633" s="41"/>
      <c r="BE633" s="41"/>
      <c r="BF633" s="41"/>
      <c r="BG633" s="41"/>
      <c r="BH633" s="41"/>
      <c r="BI633" s="42"/>
      <c r="BJ633" s="41"/>
      <c r="BK633" s="41"/>
      <c r="BL633" s="41"/>
      <c r="BM633" s="41"/>
      <c r="BN633" s="41"/>
    </row>
    <row r="634" spans="1:66" ht="12" hidden="1" customHeight="1" outlineLevel="2">
      <c r="B634" s="1" t="s">
        <v>25</v>
      </c>
      <c r="C634" s="21">
        <v>1512</v>
      </c>
      <c r="D634" s="21">
        <v>1673</v>
      </c>
      <c r="E634" s="21">
        <v>1734</v>
      </c>
      <c r="F634" s="21">
        <v>1768</v>
      </c>
      <c r="G634" s="21">
        <v>1332</v>
      </c>
      <c r="H634" s="21">
        <v>1187</v>
      </c>
      <c r="I634" s="21">
        <v>1037</v>
      </c>
      <c r="J634" s="21">
        <v>1020</v>
      </c>
      <c r="K634" s="21">
        <v>1038</v>
      </c>
      <c r="L634" s="21">
        <v>1050</v>
      </c>
      <c r="M634" s="62">
        <v>1013</v>
      </c>
      <c r="N634" s="62">
        <v>998</v>
      </c>
      <c r="O634" s="62">
        <v>980</v>
      </c>
      <c r="P634" s="62">
        <v>1054</v>
      </c>
      <c r="Q634" s="62">
        <v>979</v>
      </c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  <c r="AG634" s="58"/>
      <c r="AH634" s="58"/>
      <c r="AI634" s="501"/>
      <c r="AJ634" s="58"/>
      <c r="AK634" s="58"/>
      <c r="AL634" s="58"/>
      <c r="AM634" s="58"/>
      <c r="AN634" s="58"/>
      <c r="AO634" s="58"/>
      <c r="AP634" s="58"/>
      <c r="AQ634" s="58"/>
      <c r="AR634" s="58"/>
      <c r="AS634" s="8"/>
      <c r="AT634" s="41">
        <f t="shared" si="5645"/>
        <v>1673</v>
      </c>
      <c r="AU634" s="41">
        <f t="shared" si="5646"/>
        <v>1768</v>
      </c>
      <c r="AV634" s="41">
        <f t="shared" si="5647"/>
        <v>1187</v>
      </c>
      <c r="AW634" s="41">
        <f t="shared" si="5648"/>
        <v>1020</v>
      </c>
      <c r="AX634" s="41">
        <f t="shared" si="5649"/>
        <v>1050</v>
      </c>
      <c r="AY634" s="41">
        <f t="shared" si="5650"/>
        <v>998</v>
      </c>
      <c r="AZ634" s="41">
        <f t="shared" si="5651"/>
        <v>1054</v>
      </c>
      <c r="BA634" s="41"/>
      <c r="BB634" s="41"/>
      <c r="BC634" s="41"/>
      <c r="BD634" s="41"/>
      <c r="BE634" s="41"/>
      <c r="BF634" s="41"/>
      <c r="BG634" s="41"/>
      <c r="BH634" s="41"/>
      <c r="BI634" s="42"/>
      <c r="BJ634" s="41"/>
      <c r="BK634" s="41"/>
      <c r="BL634" s="41"/>
      <c r="BM634" s="41"/>
      <c r="BN634" s="41"/>
    </row>
    <row r="635" spans="1:66" ht="12" hidden="1" customHeight="1" outlineLevel="2">
      <c r="C635" s="21"/>
      <c r="D635" s="21"/>
      <c r="E635" s="21"/>
      <c r="F635" s="21"/>
      <c r="G635" s="21"/>
      <c r="H635" s="21"/>
      <c r="I635" s="21"/>
      <c r="J635" s="21"/>
      <c r="K635" s="21"/>
      <c r="L635" s="21"/>
      <c r="M635" s="41"/>
      <c r="N635" s="41"/>
      <c r="O635" s="41"/>
      <c r="P635" s="41"/>
      <c r="Q635" s="41"/>
      <c r="R635" s="41"/>
      <c r="S635" s="41"/>
      <c r="T635" s="41"/>
      <c r="U635" s="41"/>
      <c r="V635" s="41"/>
      <c r="W635" s="41"/>
      <c r="X635" s="41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2"/>
      <c r="AJ635" s="41"/>
      <c r="AK635" s="41"/>
      <c r="AL635" s="41"/>
      <c r="AM635" s="41"/>
      <c r="AN635" s="41"/>
      <c r="AO635" s="41"/>
      <c r="AP635" s="41"/>
      <c r="AQ635" s="41"/>
      <c r="AR635" s="41"/>
      <c r="AS635" s="8"/>
      <c r="AT635" s="41"/>
      <c r="AU635" s="41"/>
      <c r="AV635" s="41"/>
      <c r="AW635" s="41"/>
      <c r="AX635" s="41"/>
      <c r="AY635" s="41"/>
      <c r="AZ635" s="41"/>
      <c r="BA635" s="41"/>
      <c r="BB635" s="41"/>
      <c r="BC635" s="41"/>
      <c r="BD635" s="41"/>
      <c r="BE635" s="41"/>
      <c r="BF635" s="41"/>
      <c r="BG635" s="41"/>
      <c r="BH635" s="41"/>
      <c r="BI635" s="42"/>
      <c r="BJ635" s="41"/>
      <c r="BK635" s="41"/>
      <c r="BL635" s="41"/>
      <c r="BM635" s="41"/>
      <c r="BN635" s="41"/>
    </row>
    <row r="636" spans="1:66" ht="12" hidden="1" customHeight="1" outlineLevel="2">
      <c r="B636" s="9" t="s">
        <v>158</v>
      </c>
      <c r="C636" s="21"/>
      <c r="D636" s="21"/>
      <c r="E636" s="21"/>
      <c r="F636" s="21"/>
      <c r="G636" s="21"/>
      <c r="H636" s="21"/>
      <c r="I636" s="21"/>
      <c r="J636" s="21"/>
      <c r="K636" s="21"/>
      <c r="L636" s="21"/>
      <c r="M636" s="41"/>
      <c r="N636" s="41"/>
      <c r="O636" s="41"/>
      <c r="P636" s="41"/>
      <c r="Q636" s="41"/>
      <c r="R636" s="41"/>
      <c r="S636" s="41"/>
      <c r="T636" s="41"/>
      <c r="U636" s="41"/>
      <c r="V636" s="41"/>
      <c r="W636" s="41"/>
      <c r="X636" s="41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2"/>
      <c r="AJ636" s="41"/>
      <c r="AK636" s="41"/>
      <c r="AL636" s="41"/>
      <c r="AM636" s="41"/>
      <c r="AN636" s="41"/>
      <c r="AO636" s="41"/>
      <c r="AP636" s="41"/>
      <c r="AQ636" s="41"/>
      <c r="AR636" s="41"/>
      <c r="AS636" s="8"/>
      <c r="AT636" s="41"/>
      <c r="AU636" s="41"/>
      <c r="AV636" s="41"/>
      <c r="AW636" s="41"/>
      <c r="AX636" s="41"/>
      <c r="AY636" s="41"/>
      <c r="AZ636" s="41"/>
      <c r="BA636" s="41"/>
      <c r="BB636" s="41"/>
      <c r="BC636" s="41"/>
      <c r="BD636" s="41"/>
      <c r="BE636" s="41"/>
      <c r="BF636" s="41"/>
      <c r="BG636" s="41"/>
      <c r="BH636" s="41"/>
      <c r="BI636" s="42"/>
      <c r="BJ636" s="41"/>
      <c r="BK636" s="41"/>
      <c r="BL636" s="41"/>
      <c r="BM636" s="41"/>
      <c r="BN636" s="41"/>
    </row>
    <row r="637" spans="1:66" ht="12" hidden="1" customHeight="1" outlineLevel="2">
      <c r="B637" s="1" t="s">
        <v>58</v>
      </c>
      <c r="C637" s="50" t="str">
        <f>IF(ISERROR(C627/B627),"n.a.",C627/B627-1)</f>
        <v>n.a.</v>
      </c>
      <c r="D637" s="50" t="str">
        <f>IF(ISERROR(D627/C627),"n.a.",D627/C627-1)</f>
        <v>n.a.</v>
      </c>
      <c r="E637" s="50" t="str">
        <f t="shared" ref="E637:M637" si="5656">IF(ISERROR(E627/D627),"n.a.",E627/D627-1)</f>
        <v>n.a.</v>
      </c>
      <c r="F637" s="50" t="str">
        <f t="shared" si="5656"/>
        <v>n.a.</v>
      </c>
      <c r="G637" s="50" t="str">
        <f t="shared" si="5656"/>
        <v>n.a.</v>
      </c>
      <c r="H637" s="50" t="str">
        <f t="shared" si="5656"/>
        <v>n.a.</v>
      </c>
      <c r="I637" s="50" t="str">
        <f t="shared" si="5656"/>
        <v>n.a.</v>
      </c>
      <c r="J637" s="50" t="str">
        <f t="shared" si="5656"/>
        <v>n.a.</v>
      </c>
      <c r="K637" s="50" t="str">
        <f t="shared" si="5656"/>
        <v>n.a.</v>
      </c>
      <c r="L637" s="50" t="str">
        <f t="shared" si="5656"/>
        <v>n.a.</v>
      </c>
      <c r="M637" s="69" t="str">
        <f t="shared" si="5656"/>
        <v>n.a.</v>
      </c>
      <c r="N637" s="69" t="str">
        <f t="shared" ref="N637" si="5657">IF(ISERROR(N627/M627),"n.a.",N627/M627-1)</f>
        <v>n.a.</v>
      </c>
      <c r="O637" s="69" t="str">
        <f t="shared" ref="O637:Q637" si="5658">IF(ISERROR(O627/N627),"n.a.",O627/N627-1)</f>
        <v>n.a.</v>
      </c>
      <c r="P637" s="69" t="str">
        <f t="shared" si="5658"/>
        <v>n.a.</v>
      </c>
      <c r="Q637" s="69" t="str">
        <f t="shared" si="5658"/>
        <v>n.a.</v>
      </c>
      <c r="R637" s="337"/>
      <c r="S637" s="337"/>
      <c r="T637" s="337"/>
      <c r="U637" s="337"/>
      <c r="V637" s="337"/>
      <c r="W637" s="337"/>
      <c r="X637" s="337"/>
      <c r="Y637" s="337"/>
      <c r="Z637" s="337"/>
      <c r="AA637" s="337"/>
      <c r="AB637" s="337"/>
      <c r="AC637" s="337"/>
      <c r="AD637" s="337"/>
      <c r="AE637" s="337"/>
      <c r="AF637" s="337"/>
      <c r="AG637" s="337"/>
      <c r="AH637" s="337"/>
      <c r="AI637" s="502"/>
      <c r="AJ637" s="56"/>
      <c r="AK637" s="56"/>
      <c r="AL637" s="56"/>
      <c r="AM637" s="56"/>
      <c r="AN637" s="56"/>
      <c r="AO637" s="56"/>
      <c r="AP637" s="56"/>
      <c r="AQ637" s="56"/>
      <c r="AR637" s="56"/>
      <c r="AS637" s="8"/>
      <c r="AT637" s="50" t="str">
        <f>IF(ISERROR(AT627/T627),"n.a.",AT627/T627-1)</f>
        <v>n.a.</v>
      </c>
      <c r="AU637" s="50" t="str">
        <f>IF(ISERROR(AU627/AT627),"n.a.",AU627/AT627-1)</f>
        <v>n.a.</v>
      </c>
      <c r="AV637" s="50" t="str">
        <f>IF(ISERROR(AV627/AU627),"n.a.",AV627/AU627-1)</f>
        <v>n.a.</v>
      </c>
      <c r="AW637" s="50" t="str">
        <f>IF(ISERROR(AW627/AV627),"n.a.",AW627/AV627-1)</f>
        <v>n.a.</v>
      </c>
      <c r="AX637" s="50" t="str">
        <f t="shared" ref="AX637:AZ637" si="5659">IF(ISERROR(AX627/AW627),"n.a.",AX627/AW627-1)</f>
        <v>n.a.</v>
      </c>
      <c r="AY637" s="50" t="str">
        <f t="shared" si="5659"/>
        <v>n.a.</v>
      </c>
      <c r="AZ637" s="50" t="str">
        <f t="shared" si="5659"/>
        <v>n.a.</v>
      </c>
      <c r="BA637" s="50"/>
      <c r="BB637" s="50"/>
      <c r="BC637" s="50"/>
      <c r="BD637" s="50"/>
      <c r="BE637" s="50"/>
      <c r="BF637" s="50"/>
      <c r="BG637" s="50"/>
      <c r="BH637" s="50"/>
      <c r="BI637" s="51"/>
      <c r="BJ637" s="50"/>
      <c r="BK637" s="50"/>
      <c r="BL637" s="50"/>
      <c r="BM637" s="50"/>
      <c r="BN637" s="50"/>
    </row>
    <row r="638" spans="1:66" ht="12" hidden="1" customHeight="1" outlineLevel="2">
      <c r="B638" s="1" t="s">
        <v>59</v>
      </c>
      <c r="C638" s="37" t="str">
        <f>IF(ISERROR(C597-B597),"n.a.",C597-B597)</f>
        <v>n.a.</v>
      </c>
      <c r="D638" s="37" t="str">
        <f>IF(ISERROR(D597-C597),"n.a.",D597-C597)</f>
        <v>n.a.</v>
      </c>
      <c r="E638" s="37" t="str">
        <f t="shared" ref="E638:M638" si="5660">IF(ISERROR(E597-D597),"n.a.",E597-D597)</f>
        <v>n.a.</v>
      </c>
      <c r="F638" s="37" t="str">
        <f t="shared" si="5660"/>
        <v>n.a.</v>
      </c>
      <c r="G638" s="37" t="str">
        <f t="shared" si="5660"/>
        <v>n.a.</v>
      </c>
      <c r="H638" s="37" t="str">
        <f t="shared" si="5660"/>
        <v>n.a.</v>
      </c>
      <c r="I638" s="37" t="str">
        <f t="shared" si="5660"/>
        <v>n.a.</v>
      </c>
      <c r="J638" s="37" t="str">
        <f t="shared" si="5660"/>
        <v>n.a.</v>
      </c>
      <c r="K638" s="37" t="str">
        <f t="shared" si="5660"/>
        <v>n.a.</v>
      </c>
      <c r="L638" s="37" t="str">
        <f t="shared" si="5660"/>
        <v>n.a.</v>
      </c>
      <c r="M638" s="78" t="str">
        <f t="shared" si="5660"/>
        <v>n.a.</v>
      </c>
      <c r="N638" s="78" t="str">
        <f t="shared" ref="N638" si="5661">IF(ISERROR(N597-M597),"n.a.",N597-M597)</f>
        <v>n.a.</v>
      </c>
      <c r="O638" s="78" t="str">
        <f t="shared" ref="O638:Q638" si="5662">IF(ISERROR(O597-N597),"n.a.",O597-N597)</f>
        <v>n.a.</v>
      </c>
      <c r="P638" s="78" t="str">
        <f t="shared" si="5662"/>
        <v>n.a.</v>
      </c>
      <c r="Q638" s="78" t="str">
        <f t="shared" si="5662"/>
        <v>n.a.</v>
      </c>
      <c r="R638" s="336"/>
      <c r="S638" s="336"/>
      <c r="T638" s="336"/>
      <c r="U638" s="336"/>
      <c r="V638" s="336"/>
      <c r="W638" s="336"/>
      <c r="X638" s="336"/>
      <c r="Y638" s="336"/>
      <c r="Z638" s="336"/>
      <c r="AA638" s="336"/>
      <c r="AB638" s="336"/>
      <c r="AC638" s="336"/>
      <c r="AD638" s="336"/>
      <c r="AE638" s="336"/>
      <c r="AF638" s="336"/>
      <c r="AG638" s="336"/>
      <c r="AH638" s="336"/>
      <c r="AI638" s="503"/>
      <c r="AJ638" s="66"/>
      <c r="AK638" s="66"/>
      <c r="AL638" s="66"/>
      <c r="AM638" s="66"/>
      <c r="AN638" s="66"/>
      <c r="AO638" s="66"/>
      <c r="AP638" s="66"/>
      <c r="AQ638" s="66"/>
      <c r="AR638" s="66"/>
      <c r="AS638" s="8"/>
      <c r="AT638" s="37" t="str">
        <f>IF(ISERROR(AT597-T597),"n.a.",AT597-T597)</f>
        <v>n.a.</v>
      </c>
      <c r="AU638" s="37" t="str">
        <f>IF(ISERROR(AU597-AT597),"n.a.",AU597-AT597)</f>
        <v>n.a.</v>
      </c>
      <c r="AV638" s="37" t="str">
        <f>IF(ISERROR(AV597-AU597),"n.a.",AV597-AU597)</f>
        <v>n.a.</v>
      </c>
      <c r="AW638" s="37" t="str">
        <f>IF(ISERROR(AW597-AV597),"n.a.",AW597-AV597)</f>
        <v>n.a.</v>
      </c>
      <c r="AX638" s="37" t="str">
        <f t="shared" ref="AX638:AZ638" si="5663">IF(ISERROR(AX597-AW597),"n.a.",AX597-AW597)</f>
        <v>n.a.</v>
      </c>
      <c r="AY638" s="37" t="str">
        <f t="shared" si="5663"/>
        <v>n.a.</v>
      </c>
      <c r="AZ638" s="37" t="str">
        <f t="shared" si="5663"/>
        <v>n.a.</v>
      </c>
      <c r="BA638" s="37"/>
      <c r="BB638" s="37"/>
      <c r="BC638" s="37"/>
      <c r="BD638" s="37"/>
      <c r="BE638" s="37"/>
      <c r="BF638" s="37"/>
      <c r="BG638" s="37"/>
      <c r="BH638" s="37"/>
      <c r="BI638" s="38"/>
      <c r="BJ638" s="37"/>
      <c r="BK638" s="37"/>
      <c r="BL638" s="37"/>
      <c r="BM638" s="37"/>
      <c r="BN638" s="37"/>
    </row>
    <row r="639" spans="1:66" ht="12" hidden="1" customHeight="1" outlineLevel="2">
      <c r="B639" s="1" t="s">
        <v>60</v>
      </c>
      <c r="C639" s="50" t="str">
        <f>IF(ISERROR(C630/B630),"n.a.",C630/B630-1)</f>
        <v>n.a.</v>
      </c>
      <c r="D639" s="50" t="str">
        <f>IF(ISERROR(D630/C630),"n.a.",D630/C630-1)</f>
        <v>n.a.</v>
      </c>
      <c r="E639" s="50" t="str">
        <f t="shared" ref="E639:M639" si="5664">IF(ISERROR(E630/D630),"n.a.",E630/D630-1)</f>
        <v>n.a.</v>
      </c>
      <c r="F639" s="50" t="str">
        <f t="shared" si="5664"/>
        <v>n.a.</v>
      </c>
      <c r="G639" s="50" t="str">
        <f t="shared" si="5664"/>
        <v>n.a.</v>
      </c>
      <c r="H639" s="50" t="str">
        <f t="shared" si="5664"/>
        <v>n.a.</v>
      </c>
      <c r="I639" s="50" t="str">
        <f t="shared" si="5664"/>
        <v>n.a.</v>
      </c>
      <c r="J639" s="50" t="str">
        <f t="shared" si="5664"/>
        <v>n.a.</v>
      </c>
      <c r="K639" s="50" t="str">
        <f t="shared" si="5664"/>
        <v>n.a.</v>
      </c>
      <c r="L639" s="50" t="str">
        <f t="shared" si="5664"/>
        <v>n.a.</v>
      </c>
      <c r="M639" s="69" t="str">
        <f t="shared" si="5664"/>
        <v>n.a.</v>
      </c>
      <c r="N639" s="69" t="str">
        <f t="shared" ref="N639" si="5665">IF(ISERROR(N630/M630),"n.a.",N630/M630-1)</f>
        <v>n.a.</v>
      </c>
      <c r="O639" s="69" t="str">
        <f t="shared" ref="O639:Q639" si="5666">IF(ISERROR(O630/N630),"n.a.",O630/N630-1)</f>
        <v>n.a.</v>
      </c>
      <c r="P639" s="69" t="str">
        <f t="shared" si="5666"/>
        <v>n.a.</v>
      </c>
      <c r="Q639" s="69" t="str">
        <f t="shared" si="5666"/>
        <v>n.a.</v>
      </c>
      <c r="R639" s="337"/>
      <c r="S639" s="337"/>
      <c r="T639" s="337"/>
      <c r="U639" s="337"/>
      <c r="V639" s="337"/>
      <c r="W639" s="337"/>
      <c r="X639" s="337"/>
      <c r="Y639" s="337"/>
      <c r="Z639" s="337"/>
      <c r="AA639" s="337"/>
      <c r="AB639" s="337"/>
      <c r="AC639" s="337"/>
      <c r="AD639" s="337"/>
      <c r="AE639" s="337"/>
      <c r="AF639" s="337"/>
      <c r="AG639" s="337"/>
      <c r="AH639" s="337"/>
      <c r="AI639" s="502"/>
      <c r="AJ639" s="56"/>
      <c r="AK639" s="56"/>
      <c r="AL639" s="56"/>
      <c r="AM639" s="56"/>
      <c r="AN639" s="56"/>
      <c r="AO639" s="56"/>
      <c r="AP639" s="56"/>
      <c r="AQ639" s="56"/>
      <c r="AR639" s="56"/>
      <c r="AS639" s="8"/>
      <c r="AT639" s="50" t="str">
        <f>IF(ISERROR(AT630/T630),"n.a.",AT630/T630-1)</f>
        <v>n.a.</v>
      </c>
      <c r="AU639" s="50" t="str">
        <f>IF(ISERROR(AU630/AT630),"n.a.",AU630/AT630-1)</f>
        <v>n.a.</v>
      </c>
      <c r="AV639" s="50" t="str">
        <f>IF(ISERROR(AV630/AU630),"n.a.",AV630/AU630-1)</f>
        <v>n.a.</v>
      </c>
      <c r="AW639" s="50" t="str">
        <f>IF(ISERROR(AW630/AV630),"n.a.",AW630/AV630-1)</f>
        <v>n.a.</v>
      </c>
      <c r="AX639" s="50" t="str">
        <f t="shared" ref="AX639:AZ639" si="5667">IF(ISERROR(AX630/AW630),"n.a.",AX630/AW630-1)</f>
        <v>n.a.</v>
      </c>
      <c r="AY639" s="50" t="str">
        <f t="shared" si="5667"/>
        <v>n.a.</v>
      </c>
      <c r="AZ639" s="50" t="str">
        <f t="shared" si="5667"/>
        <v>n.a.</v>
      </c>
      <c r="BA639" s="50"/>
      <c r="BB639" s="50"/>
      <c r="BC639" s="50"/>
      <c r="BD639" s="50"/>
      <c r="BE639" s="50"/>
      <c r="BF639" s="50"/>
      <c r="BG639" s="50"/>
      <c r="BH639" s="50"/>
      <c r="BI639" s="51"/>
      <c r="BJ639" s="50"/>
      <c r="BK639" s="50"/>
      <c r="BL639" s="50"/>
      <c r="BM639" s="50"/>
      <c r="BN639" s="50"/>
    </row>
    <row r="640" spans="1:66" ht="12" hidden="1" customHeight="1" outlineLevel="2">
      <c r="B640" s="1" t="s">
        <v>61</v>
      </c>
      <c r="C640" s="50" t="str">
        <f>IF(ISERROR(C633/B633),"n.a.",C633/B633-1)</f>
        <v>n.a.</v>
      </c>
      <c r="D640" s="50" t="str">
        <f>IF(ISERROR(D633/C633),"n.a.",D633/C633-1)</f>
        <v>n.a.</v>
      </c>
      <c r="E640" s="50" t="str">
        <f t="shared" ref="E640:M640" si="5668">IF(ISERROR(E633/D633),"n.a.",E633/D633-1)</f>
        <v>n.a.</v>
      </c>
      <c r="F640" s="50" t="str">
        <f t="shared" si="5668"/>
        <v>n.a.</v>
      </c>
      <c r="G640" s="50" t="str">
        <f t="shared" si="5668"/>
        <v>n.a.</v>
      </c>
      <c r="H640" s="50" t="str">
        <f t="shared" si="5668"/>
        <v>n.a.</v>
      </c>
      <c r="I640" s="50" t="str">
        <f t="shared" si="5668"/>
        <v>n.a.</v>
      </c>
      <c r="J640" s="50" t="str">
        <f t="shared" si="5668"/>
        <v>n.a.</v>
      </c>
      <c r="K640" s="50" t="str">
        <f t="shared" si="5668"/>
        <v>n.a.</v>
      </c>
      <c r="L640" s="50" t="str">
        <f t="shared" si="5668"/>
        <v>n.a.</v>
      </c>
      <c r="M640" s="69" t="str">
        <f t="shared" si="5668"/>
        <v>n.a.</v>
      </c>
      <c r="N640" s="69" t="str">
        <f t="shared" ref="N640" si="5669">IF(ISERROR(N633/M633),"n.a.",N633/M633-1)</f>
        <v>n.a.</v>
      </c>
      <c r="O640" s="69" t="str">
        <f t="shared" ref="O640:Q640" si="5670">IF(ISERROR(O633/N633),"n.a.",O633/N633-1)</f>
        <v>n.a.</v>
      </c>
      <c r="P640" s="69" t="str">
        <f t="shared" si="5670"/>
        <v>n.a.</v>
      </c>
      <c r="Q640" s="69" t="str">
        <f t="shared" si="5670"/>
        <v>n.a.</v>
      </c>
      <c r="R640" s="337"/>
      <c r="S640" s="337"/>
      <c r="T640" s="337"/>
      <c r="U640" s="337"/>
      <c r="V640" s="337"/>
      <c r="W640" s="337"/>
      <c r="X640" s="337"/>
      <c r="Y640" s="337"/>
      <c r="Z640" s="337"/>
      <c r="AA640" s="337"/>
      <c r="AB640" s="337"/>
      <c r="AC640" s="337"/>
      <c r="AD640" s="337"/>
      <c r="AE640" s="337"/>
      <c r="AF640" s="337"/>
      <c r="AG640" s="337"/>
      <c r="AH640" s="337"/>
      <c r="AI640" s="502"/>
      <c r="AJ640" s="56"/>
      <c r="AK640" s="56"/>
      <c r="AL640" s="56"/>
      <c r="AM640" s="56"/>
      <c r="AN640" s="56"/>
      <c r="AO640" s="56"/>
      <c r="AP640" s="56"/>
      <c r="AQ640" s="56"/>
      <c r="AR640" s="56"/>
      <c r="AS640" s="8"/>
      <c r="AT640" s="50" t="str">
        <f>IF(ISERROR(AT633/T633),"n.a.",AT633/T633-1)</f>
        <v>n.a.</v>
      </c>
      <c r="AU640" s="50" t="str">
        <f>IF(ISERROR(AU633/AT633),"n.a.",AU633/AT633-1)</f>
        <v>n.a.</v>
      </c>
      <c r="AV640" s="50" t="str">
        <f>IF(ISERROR(AV633/AU633),"n.a.",AV633/AU633-1)</f>
        <v>n.a.</v>
      </c>
      <c r="AW640" s="50" t="str">
        <f>IF(ISERROR(AW633/AV633),"n.a.",AW633/AV633-1)</f>
        <v>n.a.</v>
      </c>
      <c r="AX640" s="50" t="str">
        <f t="shared" ref="AX640:AZ640" si="5671">IF(ISERROR(AX633/AW633),"n.a.",AX633/AW633-1)</f>
        <v>n.a.</v>
      </c>
      <c r="AY640" s="50" t="str">
        <f t="shared" si="5671"/>
        <v>n.a.</v>
      </c>
      <c r="AZ640" s="50" t="str">
        <f t="shared" si="5671"/>
        <v>n.a.</v>
      </c>
      <c r="BA640" s="50"/>
      <c r="BB640" s="50"/>
      <c r="BC640" s="50"/>
      <c r="BD640" s="50"/>
      <c r="BE640" s="50"/>
      <c r="BF640" s="50"/>
      <c r="BG640" s="50"/>
      <c r="BH640" s="50"/>
      <c r="BI640" s="51"/>
      <c r="BJ640" s="50"/>
      <c r="BK640" s="50"/>
      <c r="BL640" s="50"/>
      <c r="BM640" s="50"/>
      <c r="BN640" s="50"/>
    </row>
    <row r="641" spans="2:66" ht="12" hidden="1" customHeight="1" outlineLevel="2">
      <c r="B641" s="1" t="s">
        <v>75</v>
      </c>
      <c r="C641" s="37" t="str">
        <f t="shared" ref="C641:Q641" si="5672">IF(ISERROR(C599/AVERAGE(B630:C630)),"n.a.",C599*C$5/AVERAGE(B630:C630))</f>
        <v>n.a.</v>
      </c>
      <c r="D641" s="37" t="str">
        <f t="shared" si="5672"/>
        <v>n.a.</v>
      </c>
      <c r="E641" s="37" t="str">
        <f t="shared" si="5672"/>
        <v>n.a.</v>
      </c>
      <c r="F641" s="37" t="str">
        <f t="shared" si="5672"/>
        <v>n.a.</v>
      </c>
      <c r="G641" s="37" t="str">
        <f t="shared" si="5672"/>
        <v>n.a.</v>
      </c>
      <c r="H641" s="37" t="str">
        <f t="shared" si="5672"/>
        <v>n.a.</v>
      </c>
      <c r="I641" s="37" t="str">
        <f t="shared" si="5672"/>
        <v>n.a.</v>
      </c>
      <c r="J641" s="37" t="str">
        <f t="shared" si="5672"/>
        <v>n.a.</v>
      </c>
      <c r="K641" s="37" t="str">
        <f t="shared" si="5672"/>
        <v>n.a.</v>
      </c>
      <c r="L641" s="37" t="str">
        <f t="shared" si="5672"/>
        <v>n.a.</v>
      </c>
      <c r="M641" s="78" t="str">
        <f t="shared" si="5672"/>
        <v>n.a.</v>
      </c>
      <c r="N641" s="78" t="str">
        <f t="shared" si="5672"/>
        <v>n.a.</v>
      </c>
      <c r="O641" s="78" t="str">
        <f t="shared" si="5672"/>
        <v>n.a.</v>
      </c>
      <c r="P641" s="78" t="str">
        <f t="shared" si="5672"/>
        <v>n.a.</v>
      </c>
      <c r="Q641" s="78" t="str">
        <f t="shared" si="5672"/>
        <v>n.a.</v>
      </c>
      <c r="R641" s="78"/>
      <c r="S641" s="78"/>
      <c r="T641" s="78"/>
      <c r="U641" s="78"/>
      <c r="V641" s="78"/>
      <c r="W641" s="78"/>
      <c r="X641" s="78"/>
      <c r="Y641" s="78"/>
      <c r="Z641" s="78"/>
      <c r="AA641" s="78"/>
      <c r="AB641" s="78"/>
      <c r="AC641" s="78"/>
      <c r="AD641" s="78"/>
      <c r="AE641" s="78"/>
      <c r="AF641" s="78"/>
      <c r="AG641" s="78"/>
      <c r="AH641" s="78"/>
      <c r="AI641" s="88"/>
      <c r="AJ641" s="77"/>
      <c r="AK641" s="77"/>
      <c r="AL641" s="77"/>
      <c r="AM641" s="77"/>
      <c r="AN641" s="77"/>
      <c r="AO641" s="77"/>
      <c r="AP641" s="77"/>
      <c r="AQ641" s="77"/>
      <c r="AR641" s="77"/>
      <c r="AS641" s="8"/>
      <c r="AT641" s="37" t="str">
        <f>IF(ISERROR(AT599/AVERAGE(T630:AT630)),"n.a.",AT599*AT$5/AVERAGE(T630:AT630))</f>
        <v>n.a.</v>
      </c>
      <c r="AU641" s="37" t="str">
        <f t="shared" ref="AU641:AZ641" si="5673">IF(ISERROR(AU599/AVERAGE(AT630:AU630)),"n.a.",AU599*AU$5/AVERAGE(AT630:AU630))</f>
        <v>n.a.</v>
      </c>
      <c r="AV641" s="37" t="str">
        <f t="shared" si="5673"/>
        <v>n.a.</v>
      </c>
      <c r="AW641" s="37" t="str">
        <f t="shared" si="5673"/>
        <v>n.a.</v>
      </c>
      <c r="AX641" s="37" t="str">
        <f t="shared" si="5673"/>
        <v>n.a.</v>
      </c>
      <c r="AY641" s="37" t="str">
        <f t="shared" si="5673"/>
        <v>n.a.</v>
      </c>
      <c r="AZ641" s="37" t="str">
        <f t="shared" si="5673"/>
        <v>n.a.</v>
      </c>
      <c r="BA641" s="37"/>
      <c r="BB641" s="37"/>
      <c r="BC641" s="37"/>
      <c r="BD641" s="37"/>
      <c r="BE641" s="37"/>
      <c r="BF641" s="37"/>
      <c r="BG641" s="37"/>
      <c r="BH641" s="37"/>
      <c r="BI641" s="38"/>
      <c r="BJ641" s="37"/>
      <c r="BK641" s="37"/>
      <c r="BL641" s="37"/>
      <c r="BM641" s="37"/>
      <c r="BN641" s="37"/>
    </row>
    <row r="642" spans="2:66" ht="12" hidden="1" customHeight="1" outlineLevel="2">
      <c r="B642" s="1" t="s">
        <v>76</v>
      </c>
      <c r="C642" s="37" t="str">
        <f t="shared" ref="C642:Q642" si="5674">IF(ISERROR(C600/AVERAGE(B633:C633)),"n.a.",C600*C$5/AVERAGE(B633:C633))</f>
        <v>n.a.</v>
      </c>
      <c r="D642" s="37" t="str">
        <f t="shared" si="5674"/>
        <v>n.a.</v>
      </c>
      <c r="E642" s="37" t="str">
        <f t="shared" si="5674"/>
        <v>n.a.</v>
      </c>
      <c r="F642" s="37" t="str">
        <f t="shared" si="5674"/>
        <v>n.a.</v>
      </c>
      <c r="G642" s="37" t="str">
        <f t="shared" si="5674"/>
        <v>n.a.</v>
      </c>
      <c r="H642" s="37" t="str">
        <f t="shared" si="5674"/>
        <v>n.a.</v>
      </c>
      <c r="I642" s="37" t="str">
        <f t="shared" si="5674"/>
        <v>n.a.</v>
      </c>
      <c r="J642" s="37" t="str">
        <f t="shared" si="5674"/>
        <v>n.a.</v>
      </c>
      <c r="K642" s="37" t="str">
        <f t="shared" si="5674"/>
        <v>n.a.</v>
      </c>
      <c r="L642" s="37" t="str">
        <f t="shared" si="5674"/>
        <v>n.a.</v>
      </c>
      <c r="M642" s="78" t="str">
        <f t="shared" si="5674"/>
        <v>n.a.</v>
      </c>
      <c r="N642" s="78" t="str">
        <f t="shared" si="5674"/>
        <v>n.a.</v>
      </c>
      <c r="O642" s="78" t="str">
        <f t="shared" si="5674"/>
        <v>n.a.</v>
      </c>
      <c r="P642" s="78" t="str">
        <f t="shared" si="5674"/>
        <v>n.a.</v>
      </c>
      <c r="Q642" s="78" t="str">
        <f t="shared" si="5674"/>
        <v>n.a.</v>
      </c>
      <c r="R642" s="78"/>
      <c r="S642" s="78"/>
      <c r="T642" s="78"/>
      <c r="U642" s="78"/>
      <c r="V642" s="78"/>
      <c r="W642" s="78"/>
      <c r="X642" s="78"/>
      <c r="Y642" s="78"/>
      <c r="Z642" s="78"/>
      <c r="AA642" s="78"/>
      <c r="AB642" s="78"/>
      <c r="AC642" s="78"/>
      <c r="AD642" s="78"/>
      <c r="AE642" s="78"/>
      <c r="AF642" s="78"/>
      <c r="AG642" s="78"/>
      <c r="AH642" s="78"/>
      <c r="AI642" s="88"/>
      <c r="AJ642" s="77"/>
      <c r="AK642" s="77"/>
      <c r="AL642" s="77"/>
      <c r="AM642" s="77"/>
      <c r="AN642" s="77"/>
      <c r="AO642" s="77"/>
      <c r="AP642" s="77"/>
      <c r="AQ642" s="77"/>
      <c r="AR642" s="77"/>
      <c r="AS642" s="8"/>
      <c r="AT642" s="37" t="str">
        <f>IF(ISERROR(AT600/AVERAGE(T633:AT633)),"n.a.",AT600*AT$5/AVERAGE(T633:AT633))</f>
        <v>n.a.</v>
      </c>
      <c r="AU642" s="37" t="str">
        <f t="shared" ref="AU642:AZ642" si="5675">IF(ISERROR(AU600/AVERAGE(AT633:AU633)),"n.a.",AU600*AU$5/AVERAGE(AT633:AU633))</f>
        <v>n.a.</v>
      </c>
      <c r="AV642" s="37" t="str">
        <f t="shared" si="5675"/>
        <v>n.a.</v>
      </c>
      <c r="AW642" s="37" t="str">
        <f t="shared" si="5675"/>
        <v>n.a.</v>
      </c>
      <c r="AX642" s="37" t="str">
        <f t="shared" si="5675"/>
        <v>n.a.</v>
      </c>
      <c r="AY642" s="37" t="str">
        <f t="shared" si="5675"/>
        <v>n.a.</v>
      </c>
      <c r="AZ642" s="37" t="str">
        <f t="shared" si="5675"/>
        <v>n.a.</v>
      </c>
      <c r="BA642" s="37"/>
      <c r="BB642" s="37"/>
      <c r="BC642" s="37"/>
      <c r="BD642" s="37"/>
      <c r="BE642" s="37"/>
      <c r="BF642" s="37"/>
      <c r="BG642" s="37"/>
      <c r="BH642" s="37"/>
      <c r="BI642" s="38"/>
      <c r="BJ642" s="37"/>
      <c r="BK642" s="37"/>
      <c r="BL642" s="37"/>
      <c r="BM642" s="37"/>
      <c r="BN642" s="37"/>
    </row>
    <row r="643" spans="2:66" ht="12" hidden="1" customHeight="1" outlineLevel="2">
      <c r="B643" s="1" t="s">
        <v>62</v>
      </c>
      <c r="C643" s="50" t="str">
        <f t="shared" ref="C643:I645" si="5676">IF(ISERROR(C603/B603),"n.a.",C603/B603-1)</f>
        <v>n.a.</v>
      </c>
      <c r="D643" s="50" t="str">
        <f t="shared" si="5676"/>
        <v>n.a.</v>
      </c>
      <c r="E643" s="50" t="str">
        <f t="shared" si="5676"/>
        <v>n.a.</v>
      </c>
      <c r="F643" s="50" t="str">
        <f t="shared" si="5676"/>
        <v>n.a.</v>
      </c>
      <c r="G643" s="50" t="str">
        <f t="shared" si="5676"/>
        <v>n.a.</v>
      </c>
      <c r="H643" s="50" t="str">
        <f t="shared" si="5676"/>
        <v>n.a.</v>
      </c>
      <c r="I643" s="50" t="str">
        <f t="shared" si="5676"/>
        <v>n.a.</v>
      </c>
      <c r="J643" s="50" t="str">
        <f t="shared" ref="J643:M645" si="5677">IF(ISERROR(J603/I603),"n.a.",J603/I603-1)</f>
        <v>n.a.</v>
      </c>
      <c r="K643" s="50" t="str">
        <f t="shared" si="5677"/>
        <v>n.a.</v>
      </c>
      <c r="L643" s="50" t="str">
        <f t="shared" si="5677"/>
        <v>n.a.</v>
      </c>
      <c r="M643" s="69" t="str">
        <f t="shared" si="5677"/>
        <v>n.a.</v>
      </c>
      <c r="N643" s="69" t="str">
        <f t="shared" ref="N643:N645" si="5678">IF(ISERROR(N603/M603),"n.a.",N603/M603-1)</f>
        <v>n.a.</v>
      </c>
      <c r="O643" s="69" t="str">
        <f t="shared" ref="O643:Q645" si="5679">IF(ISERROR(O603/N603),"n.a.",O603/N603-1)</f>
        <v>n.a.</v>
      </c>
      <c r="P643" s="69" t="str">
        <f t="shared" si="5679"/>
        <v>n.a.</v>
      </c>
      <c r="Q643" s="69" t="str">
        <f t="shared" si="5679"/>
        <v>n.a.</v>
      </c>
      <c r="R643" s="337"/>
      <c r="S643" s="337"/>
      <c r="T643" s="337"/>
      <c r="U643" s="337"/>
      <c r="V643" s="337"/>
      <c r="W643" s="337"/>
      <c r="X643" s="337"/>
      <c r="Y643" s="337"/>
      <c r="Z643" s="337"/>
      <c r="AA643" s="337"/>
      <c r="AB643" s="337"/>
      <c r="AC643" s="337"/>
      <c r="AD643" s="337"/>
      <c r="AE643" s="337"/>
      <c r="AF643" s="337"/>
      <c r="AG643" s="337"/>
      <c r="AH643" s="337"/>
      <c r="AI643" s="502"/>
      <c r="AJ643" s="56"/>
      <c r="AK643" s="56"/>
      <c r="AL643" s="56"/>
      <c r="AM643" s="56"/>
      <c r="AN643" s="56"/>
      <c r="AO643" s="56"/>
      <c r="AP643" s="56"/>
      <c r="AQ643" s="56"/>
      <c r="AR643" s="56"/>
      <c r="AS643" s="8"/>
      <c r="AT643" s="50" t="str">
        <f>IF(ISERROR(AT603/T603),"n.a.",AT603/T603-1)</f>
        <v>n.a.</v>
      </c>
      <c r="AU643" s="50" t="str">
        <f t="shared" ref="AU643:AZ645" si="5680">IF(ISERROR(AU603/AT603),"n.a.",AU603/AT603-1)</f>
        <v>n.a.</v>
      </c>
      <c r="AV643" s="50" t="str">
        <f t="shared" si="5680"/>
        <v>n.a.</v>
      </c>
      <c r="AW643" s="50" t="str">
        <f t="shared" si="5680"/>
        <v>n.a.</v>
      </c>
      <c r="AX643" s="50" t="str">
        <f t="shared" si="5680"/>
        <v>n.a.</v>
      </c>
      <c r="AY643" s="50" t="str">
        <f t="shared" si="5680"/>
        <v>n.a.</v>
      </c>
      <c r="AZ643" s="50" t="str">
        <f t="shared" si="5680"/>
        <v>n.a.</v>
      </c>
      <c r="BA643" s="50"/>
      <c r="BB643" s="50"/>
      <c r="BC643" s="50"/>
      <c r="BD643" s="50"/>
      <c r="BE643" s="50"/>
      <c r="BF643" s="50"/>
      <c r="BG643" s="50"/>
      <c r="BH643" s="50"/>
      <c r="BI643" s="51"/>
      <c r="BJ643" s="50"/>
      <c r="BK643" s="50"/>
      <c r="BL643" s="50"/>
      <c r="BM643" s="50"/>
      <c r="BN643" s="50"/>
    </row>
    <row r="644" spans="2:66" ht="12" hidden="1" customHeight="1" outlineLevel="2">
      <c r="B644" s="1" t="s">
        <v>1485</v>
      </c>
      <c r="C644" s="50" t="str">
        <f t="shared" ref="C644:P644" si="5681">IF(ISERROR(C604/A604),"n.a.",C604/A604-1)</f>
        <v>n.a.</v>
      </c>
      <c r="D644" s="50" t="str">
        <f t="shared" si="5681"/>
        <v>n.a.</v>
      </c>
      <c r="E644" s="50">
        <f t="shared" si="5681"/>
        <v>-5.3475935828877219E-3</v>
      </c>
      <c r="F644" s="50">
        <f t="shared" si="5681"/>
        <v>8.8235294117646745E-3</v>
      </c>
      <c r="G644" s="50">
        <f t="shared" si="5681"/>
        <v>-0.239247311827957</v>
      </c>
      <c r="H644" s="50">
        <f t="shared" si="5681"/>
        <v>-0.29446064139941686</v>
      </c>
      <c r="I644" s="50">
        <f t="shared" si="5681"/>
        <v>-0.23674911660777387</v>
      </c>
      <c r="J644" s="50">
        <f t="shared" si="5681"/>
        <v>-3.3057851239669422E-2</v>
      </c>
      <c r="K644" s="50">
        <f t="shared" si="5681"/>
        <v>0.2592592592592593</v>
      </c>
      <c r="L644" s="50">
        <f t="shared" si="5681"/>
        <v>0.17521367521367526</v>
      </c>
      <c r="M644" s="69">
        <f t="shared" si="5681"/>
        <v>-3.6764705882352922E-2</v>
      </c>
      <c r="N644" s="69">
        <f t="shared" si="5681"/>
        <v>1.8181818181818077E-2</v>
      </c>
      <c r="O644" s="69">
        <f t="shared" si="5681"/>
        <v>0.18702290076335881</v>
      </c>
      <c r="P644" s="69">
        <f t="shared" si="5681"/>
        <v>1.4285714285714235E-2</v>
      </c>
      <c r="Q644" s="69">
        <f>IF(ISERROR(Q604/O604),"n.a.",Q604/O604-1)</f>
        <v>-0.11897106109324762</v>
      </c>
      <c r="R644" s="337"/>
      <c r="S644" s="337"/>
      <c r="T644" s="337"/>
      <c r="U644" s="337"/>
      <c r="V644" s="337"/>
      <c r="W644" s="337"/>
      <c r="X644" s="337"/>
      <c r="Y644" s="337"/>
      <c r="Z644" s="337"/>
      <c r="AA644" s="337"/>
      <c r="AB644" s="337"/>
      <c r="AC644" s="337"/>
      <c r="AD644" s="337"/>
      <c r="AE644" s="337"/>
      <c r="AF644" s="337"/>
      <c r="AG644" s="337"/>
      <c r="AH644" s="337"/>
      <c r="AI644" s="502"/>
      <c r="AJ644" s="56"/>
      <c r="AK644" s="56"/>
      <c r="AL644" s="56"/>
      <c r="AM644" s="56"/>
      <c r="AN644" s="56"/>
      <c r="AO644" s="56"/>
      <c r="AP644" s="56"/>
      <c r="AQ644" s="56"/>
      <c r="AR644" s="56"/>
      <c r="AS644" s="8"/>
      <c r="AT644" s="50" t="str">
        <f>IF(ISERROR(AT604/T604),"n.a.",AT604/T604-1)</f>
        <v>n.a.</v>
      </c>
      <c r="AU644" s="50">
        <f t="shared" si="5680"/>
        <v>1.4005602240896309E-3</v>
      </c>
      <c r="AV644" s="50">
        <f t="shared" si="5680"/>
        <v>-0.26573426573426573</v>
      </c>
      <c r="AW644" s="50">
        <f t="shared" si="5680"/>
        <v>-0.1428571428571429</v>
      </c>
      <c r="AX644" s="50">
        <f t="shared" si="5680"/>
        <v>0.2155555555555555</v>
      </c>
      <c r="AY644" s="50">
        <f t="shared" si="5680"/>
        <v>-9.1407678244972423E-3</v>
      </c>
      <c r="AZ644" s="50">
        <f t="shared" si="5680"/>
        <v>9.7785977859778495E-2</v>
      </c>
      <c r="BA644" s="50"/>
      <c r="BB644" s="50"/>
      <c r="BC644" s="50"/>
      <c r="BD644" s="50"/>
      <c r="BE644" s="50"/>
      <c r="BF644" s="50"/>
      <c r="BG644" s="50"/>
      <c r="BH644" s="50"/>
      <c r="BI644" s="51"/>
      <c r="BJ644" s="50"/>
      <c r="BK644" s="50"/>
      <c r="BL644" s="50"/>
      <c r="BM644" s="50"/>
      <c r="BN644" s="50"/>
    </row>
    <row r="645" spans="2:66" ht="12" hidden="1" customHeight="1" outlineLevel="2">
      <c r="B645" s="1" t="s">
        <v>1486</v>
      </c>
      <c r="C645" s="50" t="str">
        <f t="shared" si="5676"/>
        <v>n.a.</v>
      </c>
      <c r="D645" s="50">
        <f t="shared" si="5676"/>
        <v>5.46875E-2</v>
      </c>
      <c r="E645" s="50">
        <f t="shared" si="5676"/>
        <v>-0.32592592592592595</v>
      </c>
      <c r="F645" s="50">
        <f t="shared" si="5676"/>
        <v>0.32967032967032961</v>
      </c>
      <c r="G645" s="50">
        <f t="shared" si="5676"/>
        <v>-0.26446280991735538</v>
      </c>
      <c r="H645" s="50">
        <f t="shared" si="5676"/>
        <v>-0.4269662921348315</v>
      </c>
      <c r="I645" s="50">
        <f t="shared" si="5676"/>
        <v>-0.49019607843137258</v>
      </c>
      <c r="J645" s="50">
        <f t="shared" si="5677"/>
        <v>0</v>
      </c>
      <c r="K645" s="50">
        <f t="shared" si="5677"/>
        <v>0.65384615384615374</v>
      </c>
      <c r="L645" s="50">
        <f t="shared" si="5677"/>
        <v>0</v>
      </c>
      <c r="M645" s="69">
        <f t="shared" si="5677"/>
        <v>0.41860465116279078</v>
      </c>
      <c r="N645" s="69">
        <f t="shared" si="5678"/>
        <v>-0.19672131147540983</v>
      </c>
      <c r="O645" s="69">
        <f t="shared" si="5679"/>
        <v>0.18367346938775508</v>
      </c>
      <c r="P645" s="69">
        <f t="shared" si="5679"/>
        <v>-0.2931034482758621</v>
      </c>
      <c r="Q645" s="69">
        <f t="shared" si="5679"/>
        <v>-4.8780487804878092E-2</v>
      </c>
      <c r="R645" s="337"/>
      <c r="S645" s="337"/>
      <c r="T645" s="337"/>
      <c r="U645" s="337"/>
      <c r="V645" s="337"/>
      <c r="W645" s="337"/>
      <c r="X645" s="337"/>
      <c r="Y645" s="337"/>
      <c r="Z645" s="337"/>
      <c r="AA645" s="337"/>
      <c r="AB645" s="337"/>
      <c r="AC645" s="337"/>
      <c r="AD645" s="337"/>
      <c r="AE645" s="337"/>
      <c r="AF645" s="337"/>
      <c r="AG645" s="337"/>
      <c r="AH645" s="337"/>
      <c r="AI645" s="502"/>
      <c r="AJ645" s="56"/>
      <c r="AK645" s="56"/>
      <c r="AL645" s="56"/>
      <c r="AM645" s="56"/>
      <c r="AN645" s="56"/>
      <c r="AO645" s="56"/>
      <c r="AP645" s="56"/>
      <c r="AQ645" s="56"/>
      <c r="AR645" s="56"/>
      <c r="AS645" s="8"/>
      <c r="AT645" s="50" t="str">
        <f>IF(ISERROR(AT605/T605),"n.a.",AT605/T605-1)</f>
        <v>n.a.</v>
      </c>
      <c r="AU645" s="50">
        <f t="shared" si="5680"/>
        <v>-0.19391634980988592</v>
      </c>
      <c r="AV645" s="50">
        <f t="shared" si="5680"/>
        <v>-0.339622641509434</v>
      </c>
      <c r="AW645" s="50">
        <f t="shared" si="5680"/>
        <v>-0.62857142857142856</v>
      </c>
      <c r="AX645" s="50">
        <f t="shared" si="5680"/>
        <v>0.65384615384615374</v>
      </c>
      <c r="AY645" s="50">
        <f t="shared" si="5680"/>
        <v>0.27906976744186052</v>
      </c>
      <c r="AZ645" s="50">
        <f t="shared" si="5680"/>
        <v>-9.9999999999999978E-2</v>
      </c>
      <c r="BA645" s="50"/>
      <c r="BB645" s="50"/>
      <c r="BC645" s="50"/>
      <c r="BD645" s="50"/>
      <c r="BE645" s="50"/>
      <c r="BF645" s="50"/>
      <c r="BG645" s="50"/>
      <c r="BH645" s="50"/>
      <c r="BI645" s="51"/>
      <c r="BJ645" s="50"/>
      <c r="BK645" s="50"/>
      <c r="BL645" s="50"/>
      <c r="BM645" s="50"/>
      <c r="BN645" s="50"/>
    </row>
    <row r="646" spans="2:66" ht="12" hidden="1" customHeight="1" outlineLevel="2">
      <c r="B646" s="1" t="s">
        <v>1487</v>
      </c>
      <c r="C646" s="50" t="str">
        <f t="shared" ref="C646:P646" si="5682">IF(ISERROR(C607/A607),"n.a.",C607/A607-1)</f>
        <v>n.a.</v>
      </c>
      <c r="D646" s="50" t="str">
        <f t="shared" si="5682"/>
        <v>n.a.</v>
      </c>
      <c r="E646" s="50">
        <f t="shared" si="5682"/>
        <v>-0.42611683848797255</v>
      </c>
      <c r="F646" s="50">
        <f t="shared" si="5682"/>
        <v>0.22340425531914887</v>
      </c>
      <c r="G646" s="50">
        <f t="shared" si="5682"/>
        <v>1.7964071856287456E-2</v>
      </c>
      <c r="H646" s="50">
        <f t="shared" si="5682"/>
        <v>-0.75217391304347825</v>
      </c>
      <c r="I646" s="50">
        <f t="shared" si="5682"/>
        <v>-0.62941176470588234</v>
      </c>
      <c r="J646" s="50">
        <f t="shared" si="5682"/>
        <v>0.22807017543859653</v>
      </c>
      <c r="K646" s="50">
        <f t="shared" si="5682"/>
        <v>0.98412698412698418</v>
      </c>
      <c r="L646" s="50">
        <f t="shared" si="5682"/>
        <v>0.55714285714285716</v>
      </c>
      <c r="M646" s="69">
        <f t="shared" si="5682"/>
        <v>-9.5999999999999974E-2</v>
      </c>
      <c r="N646" s="69">
        <f t="shared" si="5682"/>
        <v>0.6146788990825689</v>
      </c>
      <c r="O646" s="69">
        <f t="shared" si="5682"/>
        <v>2.3185840707964602</v>
      </c>
      <c r="P646" s="69">
        <f t="shared" si="5682"/>
        <v>-6.25E-2</v>
      </c>
      <c r="Q646" s="69">
        <f>IF(ISERROR(Q607/O607),"n.a.",Q607/O607-1)</f>
        <v>-0.57066666666666666</v>
      </c>
      <c r="R646" s="337"/>
      <c r="S646" s="337"/>
      <c r="T646" s="337"/>
      <c r="U646" s="337"/>
      <c r="V646" s="337"/>
      <c r="W646" s="337"/>
      <c r="X646" s="337"/>
      <c r="Y646" s="337"/>
      <c r="Z646" s="337"/>
      <c r="AA646" s="337"/>
      <c r="AB646" s="337"/>
      <c r="AC646" s="337"/>
      <c r="AD646" s="337"/>
      <c r="AE646" s="337"/>
      <c r="AF646" s="337"/>
      <c r="AG646" s="337"/>
      <c r="AH646" s="337"/>
      <c r="AI646" s="502"/>
      <c r="AJ646" s="56"/>
      <c r="AK646" s="56"/>
      <c r="AL646" s="56"/>
      <c r="AM646" s="56"/>
      <c r="AN646" s="56"/>
      <c r="AO646" s="56"/>
      <c r="AP646" s="56"/>
      <c r="AQ646" s="56"/>
      <c r="AR646" s="56"/>
      <c r="AS646" s="8"/>
      <c r="AT646" s="50" t="str">
        <f>IF(ISERROR(AT607/T607),"n.a.",AT607/T607-1)</f>
        <v>n.a.</v>
      </c>
      <c r="AU646" s="50">
        <f>IF(ISERROR(AU607/AT607),"n.a.",AU607/AT607-1)</f>
        <v>-0.17118997912317324</v>
      </c>
      <c r="AV646" s="50">
        <f>IF(ISERROR(AV607/AU607),"n.a.",AV607/AU607-1)</f>
        <v>-0.4282115869017632</v>
      </c>
      <c r="AW646" s="50">
        <f>IF(ISERROR(AW607/AV607),"n.a.",AW607/AV607-1)</f>
        <v>-0.41409691629955947</v>
      </c>
      <c r="AX646" s="50">
        <f t="shared" ref="AX646:AZ646" si="5683">IF(ISERROR(AX607/AW607),"n.a.",AX607/AW607-1)</f>
        <v>0.75939849624060152</v>
      </c>
      <c r="AY646" s="50">
        <f t="shared" si="5683"/>
        <v>0.2350427350427351</v>
      </c>
      <c r="AZ646" s="50">
        <f t="shared" si="5683"/>
        <v>0.86851211072664358</v>
      </c>
      <c r="BA646" s="50"/>
      <c r="BB646" s="50"/>
      <c r="BC646" s="50"/>
      <c r="BD646" s="50"/>
      <c r="BE646" s="50"/>
      <c r="BF646" s="50"/>
      <c r="BG646" s="50"/>
      <c r="BH646" s="50"/>
      <c r="BI646" s="51"/>
      <c r="BJ646" s="50"/>
      <c r="BK646" s="50"/>
      <c r="BL646" s="50"/>
      <c r="BM646" s="50"/>
      <c r="BN646" s="50"/>
    </row>
    <row r="647" spans="2:66" ht="12" hidden="1" customHeight="1" outlineLevel="2">
      <c r="B647" s="1" t="s">
        <v>77</v>
      </c>
      <c r="C647" s="37" t="str">
        <f t="shared" ref="C647:I647" si="5684">IF(ISERROR(-C609/AVERAGE(B627:C627)),"n.a.",-C609/AVERAGE(B627:C627))</f>
        <v>n.a.</v>
      </c>
      <c r="D647" s="37" t="str">
        <f t="shared" si="5684"/>
        <v>n.a.</v>
      </c>
      <c r="E647" s="37" t="str">
        <f t="shared" si="5684"/>
        <v>n.a.</v>
      </c>
      <c r="F647" s="37" t="str">
        <f t="shared" si="5684"/>
        <v>n.a.</v>
      </c>
      <c r="G647" s="37" t="str">
        <f t="shared" si="5684"/>
        <v>n.a.</v>
      </c>
      <c r="H647" s="37" t="str">
        <f t="shared" si="5684"/>
        <v>n.a.</v>
      </c>
      <c r="I647" s="37" t="str">
        <f t="shared" si="5684"/>
        <v>n.a.</v>
      </c>
      <c r="J647" s="37" t="str">
        <f t="shared" ref="J647:Q647" si="5685">IF(ISERROR(-J609/AVERAGE(I627:J627)),"n.a.",-J609/AVERAGE(I627:J627))</f>
        <v>n.a.</v>
      </c>
      <c r="K647" s="37" t="str">
        <f t="shared" si="5685"/>
        <v>n.a.</v>
      </c>
      <c r="L647" s="37" t="str">
        <f t="shared" si="5685"/>
        <v>n.a.</v>
      </c>
      <c r="M647" s="78" t="str">
        <f t="shared" si="5685"/>
        <v>n.a.</v>
      </c>
      <c r="N647" s="78" t="str">
        <f t="shared" si="5685"/>
        <v>n.a.</v>
      </c>
      <c r="O647" s="78" t="str">
        <f t="shared" si="5685"/>
        <v>n.a.</v>
      </c>
      <c r="P647" s="78" t="str">
        <f t="shared" si="5685"/>
        <v>n.a.</v>
      </c>
      <c r="Q647" s="78" t="str">
        <f t="shared" si="5685"/>
        <v>n.a.</v>
      </c>
      <c r="R647" s="37"/>
      <c r="S647" s="37"/>
      <c r="T647" s="37"/>
      <c r="U647" s="37"/>
      <c r="V647" s="37"/>
      <c r="W647" s="37"/>
      <c r="X647" s="37"/>
      <c r="Y647" s="37"/>
      <c r="Z647" s="37"/>
      <c r="AA647" s="37"/>
      <c r="AB647" s="37"/>
      <c r="AC647" s="37"/>
      <c r="AD647" s="37"/>
      <c r="AE647" s="37"/>
      <c r="AF647" s="37"/>
      <c r="AG647" s="37"/>
      <c r="AH647" s="37"/>
      <c r="AI647" s="38"/>
      <c r="AJ647" s="37"/>
      <c r="AK647" s="37"/>
      <c r="AL647" s="37"/>
      <c r="AM647" s="37"/>
      <c r="AN647" s="37"/>
      <c r="AO647" s="37"/>
      <c r="AP647" s="37"/>
      <c r="AQ647" s="37"/>
      <c r="AR647" s="37"/>
      <c r="AS647" s="8"/>
      <c r="AT647" s="44" t="str">
        <f>IF(ISERROR(-AT609/AVERAGE(T627:AT627)),"n.a.",-AT609/AVERAGE(T627:AT627))</f>
        <v>n.a.</v>
      </c>
      <c r="AU647" s="44" t="str">
        <f>IF(ISERROR(-AU609/AVERAGE(AT627:AU627)),"n.a.",-AU609/AVERAGE(AT627:AU627))</f>
        <v>n.a.</v>
      </c>
      <c r="AV647" s="44" t="str">
        <f>IF(ISERROR(-AV609/AVERAGE(AU627:AV627)),"n.a.",-AV609/AVERAGE(AU627:AV627))</f>
        <v>n.a.</v>
      </c>
      <c r="AW647" s="44" t="str">
        <f>IF(ISERROR(-AW609/AVERAGE(AV627:AW627)),"n.a.",-AW609/AVERAGE(AV627:AW627))</f>
        <v>n.a.</v>
      </c>
      <c r="AX647" s="44" t="str">
        <f t="shared" ref="AX647:AZ647" si="5686">IF(ISERROR(-AX609/AVERAGE(AW627:AX627)),"n.a.",-AX609/AVERAGE(AW627:AX627))</f>
        <v>n.a.</v>
      </c>
      <c r="AY647" s="44" t="str">
        <f t="shared" si="5686"/>
        <v>n.a.</v>
      </c>
      <c r="AZ647" s="44" t="str">
        <f t="shared" si="5686"/>
        <v>n.a.</v>
      </c>
      <c r="BA647" s="44"/>
      <c r="BB647" s="44"/>
      <c r="BC647" s="44"/>
      <c r="BD647" s="44"/>
      <c r="BE647" s="44"/>
      <c r="BF647" s="44"/>
      <c r="BG647" s="44"/>
      <c r="BH647" s="44"/>
      <c r="BI647" s="49"/>
      <c r="BJ647" s="44"/>
      <c r="BK647" s="44"/>
      <c r="BL647" s="44"/>
      <c r="BM647" s="44"/>
      <c r="BN647" s="44"/>
    </row>
    <row r="648" spans="2:66" ht="12" hidden="1" customHeight="1" outlineLevel="2">
      <c r="B648" s="1" t="s">
        <v>66</v>
      </c>
      <c r="C648" s="50" t="str">
        <f t="shared" ref="C648:M648" si="5687">IF(ISERROR(C610/B610),"n.a.",C610/B610-1)</f>
        <v>n.a.</v>
      </c>
      <c r="D648" s="50">
        <f t="shared" si="5687"/>
        <v>3.2307692307692308</v>
      </c>
      <c r="E648" s="50">
        <f t="shared" si="5687"/>
        <v>-0.89090909090909087</v>
      </c>
      <c r="F648" s="50">
        <f t="shared" si="5687"/>
        <v>2</v>
      </c>
      <c r="G648" s="50">
        <f t="shared" si="5687"/>
        <v>-1.0555555555555556</v>
      </c>
      <c r="H648" s="50">
        <f t="shared" si="5687"/>
        <v>-3</v>
      </c>
      <c r="I648" s="50">
        <f t="shared" si="5687"/>
        <v>0.5</v>
      </c>
      <c r="J648" s="50">
        <f t="shared" si="5687"/>
        <v>7.3333333333333339</v>
      </c>
      <c r="K648" s="50">
        <f t="shared" si="5687"/>
        <v>-1.1599999999999999</v>
      </c>
      <c r="L648" s="50">
        <f t="shared" si="5687"/>
        <v>-1.5</v>
      </c>
      <c r="M648" s="69">
        <f t="shared" si="5687"/>
        <v>-3.5</v>
      </c>
      <c r="N648" s="69">
        <f t="shared" ref="N648" si="5688">IF(ISERROR(N610/M610),"n.a.",N610/M610-1)</f>
        <v>2.6</v>
      </c>
      <c r="O648" s="69">
        <f t="shared" ref="O648:Q648" si="5689">IF(ISERROR(O610/N610),"n.a.",O610/N610-1)</f>
        <v>0.38888888888888884</v>
      </c>
      <c r="P648" s="69">
        <f t="shared" si="5689"/>
        <v>-1.48</v>
      </c>
      <c r="Q648" s="69">
        <f t="shared" si="5689"/>
        <v>-0.25</v>
      </c>
      <c r="R648" s="337"/>
      <c r="S648" s="337"/>
      <c r="T648" s="337"/>
      <c r="U648" s="337"/>
      <c r="V648" s="337"/>
      <c r="W648" s="337"/>
      <c r="X648" s="337"/>
      <c r="Y648" s="337"/>
      <c r="Z648" s="337"/>
      <c r="AA648" s="337"/>
      <c r="AB648" s="337"/>
      <c r="AC648" s="337"/>
      <c r="AD648" s="337"/>
      <c r="AE648" s="337"/>
      <c r="AF648" s="337"/>
      <c r="AG648" s="337"/>
      <c r="AH648" s="337"/>
      <c r="AI648" s="502"/>
      <c r="AJ648" s="56"/>
      <c r="AK648" s="56"/>
      <c r="AL648" s="56"/>
      <c r="AM648" s="56"/>
      <c r="AN648" s="56"/>
      <c r="AO648" s="56"/>
      <c r="AP648" s="56"/>
      <c r="AQ648" s="56"/>
      <c r="AR648" s="56"/>
      <c r="AS648" s="8"/>
      <c r="AT648" s="50" t="str">
        <f>IF(ISERROR(AT610/T610),"n.a.",AT610/T610-1)</f>
        <v>n.a.</v>
      </c>
      <c r="AU648" s="50">
        <f>IF(ISERROR(AU610/AT610),"n.a.",AU610/AT610-1)</f>
        <v>-0.64705882352941169</v>
      </c>
      <c r="AV648" s="50">
        <f>IF(ISERROR(AV610/AU610),"n.a.",AV610/AU610-1)</f>
        <v>-0.95833333333333337</v>
      </c>
      <c r="AW648" s="50">
        <f>IF(ISERROR(AW610/AV610),"n.a.",AW610/AV610-1)</f>
        <v>27</v>
      </c>
      <c r="AX648" s="50">
        <f t="shared" ref="AX648:AZ648" si="5690">IF(ISERROR(AX610/AW610),"n.a.",AX610/AW610-1)</f>
        <v>-1.0714285714285714</v>
      </c>
      <c r="AY648" s="50">
        <f t="shared" si="5690"/>
        <v>10.5</v>
      </c>
      <c r="AZ648" s="50">
        <f t="shared" si="5690"/>
        <v>-0.43478260869565222</v>
      </c>
      <c r="BA648" s="50"/>
      <c r="BB648" s="50"/>
      <c r="BC648" s="50"/>
      <c r="BD648" s="50"/>
      <c r="BE648" s="50"/>
      <c r="BF648" s="50"/>
      <c r="BG648" s="50"/>
      <c r="BH648" s="50"/>
      <c r="BI648" s="51"/>
      <c r="BJ648" s="50"/>
      <c r="BK648" s="50"/>
      <c r="BL648" s="50"/>
      <c r="BM648" s="50"/>
      <c r="BN648" s="50"/>
    </row>
    <row r="649" spans="2:66" ht="12" hidden="1" customHeight="1" outlineLevel="2">
      <c r="B649" s="1" t="s">
        <v>67</v>
      </c>
      <c r="C649" s="54">
        <f t="shared" ref="C649:Q649" si="5691">IF(ISERROR(-C612/AVERAGE(B634:C634)*1000000),"n.a.",-C612*C$5/AVERAGE(B634:C634)*1000000)</f>
        <v>168849.5677566716</v>
      </c>
      <c r="D649" s="54">
        <f t="shared" si="5691"/>
        <v>188900.58136525957</v>
      </c>
      <c r="E649" s="54">
        <f t="shared" si="5691"/>
        <v>203727.13843725791</v>
      </c>
      <c r="F649" s="54">
        <f t="shared" si="5691"/>
        <v>237085.8724371003</v>
      </c>
      <c r="G649" s="54">
        <f t="shared" si="5691"/>
        <v>192258.06451612903</v>
      </c>
      <c r="H649" s="54">
        <f t="shared" si="5691"/>
        <v>252481.14331083765</v>
      </c>
      <c r="I649" s="54">
        <f t="shared" si="5691"/>
        <v>209856.70480009436</v>
      </c>
      <c r="J649" s="54">
        <f t="shared" si="5691"/>
        <v>204741.78228188923</v>
      </c>
      <c r="K649" s="54">
        <f t="shared" si="5691"/>
        <v>226783.92199971323</v>
      </c>
      <c r="L649" s="54">
        <f t="shared" si="5691"/>
        <v>236279.52507262854</v>
      </c>
      <c r="M649" s="79">
        <f t="shared" si="5691"/>
        <v>245570.53895197454</v>
      </c>
      <c r="N649" s="79">
        <f t="shared" si="5691"/>
        <v>247321.05289042136</v>
      </c>
      <c r="O649" s="79">
        <f t="shared" si="5691"/>
        <v>256825.07583417592</v>
      </c>
      <c r="P649" s="79">
        <f t="shared" si="5691"/>
        <v>281219.27236971486</v>
      </c>
      <c r="Q649" s="79">
        <f t="shared" si="5691"/>
        <v>264891.58394684433</v>
      </c>
      <c r="R649" s="55"/>
      <c r="S649" s="55"/>
      <c r="T649" s="55"/>
      <c r="U649" s="55"/>
      <c r="V649" s="55"/>
      <c r="W649" s="55"/>
      <c r="X649" s="55"/>
      <c r="Y649" s="55"/>
      <c r="Z649" s="55"/>
      <c r="AA649" s="55"/>
      <c r="AB649" s="55"/>
      <c r="AC649" s="55"/>
      <c r="AD649" s="55"/>
      <c r="AE649" s="55"/>
      <c r="AF649" s="55"/>
      <c r="AG649" s="55"/>
      <c r="AH649" s="55"/>
      <c r="AI649" s="504"/>
      <c r="AJ649" s="55"/>
      <c r="AK649" s="55"/>
      <c r="AL649" s="55"/>
      <c r="AM649" s="55"/>
      <c r="AN649" s="55"/>
      <c r="AO649" s="55"/>
      <c r="AP649" s="55"/>
      <c r="AQ649" s="55"/>
      <c r="AR649" s="55"/>
      <c r="AS649" s="8"/>
      <c r="AT649" s="54">
        <f>IF(ISERROR(-AT612/AVERAGE(T634:AT634)*1000000),"n.a.",-AT612*AT$5/AVERAGE(T634:AT634)*1000000)</f>
        <v>166168.55947399882</v>
      </c>
      <c r="AU649" s="54">
        <f t="shared" ref="AU649:AZ649" si="5692">IF(ISERROR(-AU612/AVERAGE(AT634:AU634)*1000000),"n.a.",-AU612*AU$5/AVERAGE(AT634:AU634)*1000000)</f>
        <v>221447.25370531823</v>
      </c>
      <c r="AV649" s="54">
        <f t="shared" si="5692"/>
        <v>208460.2368866328</v>
      </c>
      <c r="AW649" s="54">
        <f t="shared" si="5692"/>
        <v>201178.06977797917</v>
      </c>
      <c r="AX649" s="54">
        <f t="shared" si="5692"/>
        <v>231884.0579710145</v>
      </c>
      <c r="AY649" s="54">
        <f t="shared" si="5692"/>
        <v>245117.1875</v>
      </c>
      <c r="AZ649" s="54">
        <f t="shared" si="5692"/>
        <v>263157.89473684208</v>
      </c>
      <c r="BA649" s="54"/>
      <c r="BB649" s="54"/>
      <c r="BC649" s="54"/>
      <c r="BD649" s="54"/>
      <c r="BE649" s="54"/>
      <c r="BF649" s="54"/>
      <c r="BG649" s="54"/>
      <c r="BH649" s="54"/>
      <c r="BI649" s="53"/>
      <c r="BJ649" s="54"/>
      <c r="BK649" s="54"/>
      <c r="BL649" s="54"/>
      <c r="BM649" s="54"/>
      <c r="BN649" s="54"/>
    </row>
    <row r="650" spans="2:66" ht="12" hidden="1" customHeight="1" outlineLevel="2">
      <c r="B650" s="1" t="s">
        <v>78</v>
      </c>
      <c r="C650" s="50">
        <f>IF(ISERROR(-C612/C611),"n.a.",-C612/C611)</f>
        <v>0.16368286445012789</v>
      </c>
      <c r="D650" s="50">
        <f>IF(ISERROR(-D612/D611),"n.a.",-D612/D611)</f>
        <v>0.2148997134670487</v>
      </c>
      <c r="E650" s="50">
        <f t="shared" ref="E650:O650" si="5693">IF(ISERROR(-E612/E611),"n.a.",-E612/E611)</f>
        <v>0.27974276527331188</v>
      </c>
      <c r="F650" s="50">
        <f t="shared" si="5693"/>
        <v>0.2923728813559322</v>
      </c>
      <c r="G650" s="50">
        <f t="shared" si="5693"/>
        <v>0.2754158964879852</v>
      </c>
      <c r="H650" s="50">
        <f t="shared" si="5693"/>
        <v>0.45170454545454547</v>
      </c>
      <c r="I650" s="50">
        <f t="shared" si="5693"/>
        <v>0.37987012987012986</v>
      </c>
      <c r="J650" s="50">
        <f t="shared" si="5693"/>
        <v>0.29577464788732394</v>
      </c>
      <c r="K650" s="50">
        <f t="shared" ref="K650:L650" si="5694">IF(ISERROR(-K612/K611),"n.a.",-K612/K611)</f>
        <v>0.26834862385321101</v>
      </c>
      <c r="L650" s="50">
        <f t="shared" si="5694"/>
        <v>0.28671328671328672</v>
      </c>
      <c r="M650" s="69">
        <f t="shared" ref="M650" si="5695">IF(ISERROR(-M612/M611),"n.a.",-M612/M611)</f>
        <v>0.29466357308584684</v>
      </c>
      <c r="N650" s="69">
        <f t="shared" si="5693"/>
        <v>0.25462012320328542</v>
      </c>
      <c r="O650" s="69">
        <f t="shared" si="5693"/>
        <v>0.17688022284122562</v>
      </c>
      <c r="P650" s="69">
        <f t="shared" ref="P650:Q650" si="5696">IF(ISERROR(-P612/P611),"n.a.",-P612/P611)</f>
        <v>0.28486055776892433</v>
      </c>
      <c r="Q650" s="69">
        <f t="shared" si="5696"/>
        <v>0.27950310559006208</v>
      </c>
      <c r="R650" s="50"/>
      <c r="S650" s="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D650" s="50"/>
      <c r="AE650" s="50"/>
      <c r="AF650" s="50"/>
      <c r="AG650" s="50"/>
      <c r="AH650" s="50"/>
      <c r="AI650" s="51"/>
      <c r="AJ650" s="50"/>
      <c r="AK650" s="50"/>
      <c r="AL650" s="50"/>
      <c r="AM650" s="50"/>
      <c r="AN650" s="50"/>
      <c r="AO650" s="50"/>
      <c r="AP650" s="50"/>
      <c r="AQ650" s="50"/>
      <c r="AR650" s="50"/>
      <c r="AS650" s="8"/>
      <c r="AT650" s="50">
        <f t="shared" ref="AT650:AZ650" si="5697">IF(ISERROR(-AT612/AT611),"n.a.",-AT612/AT611)</f>
        <v>0.18783783783783783</v>
      </c>
      <c r="AU650" s="50">
        <f t="shared" si="5697"/>
        <v>0.28646616541353381</v>
      </c>
      <c r="AV650" s="50">
        <f t="shared" si="5697"/>
        <v>0.34490481522956329</v>
      </c>
      <c r="AW650" s="50">
        <f t="shared" si="5697"/>
        <v>0.33484162895927599</v>
      </c>
      <c r="AX650" s="50">
        <f t="shared" si="5697"/>
        <v>0.2774566473988439</v>
      </c>
      <c r="AY650" s="50">
        <f t="shared" si="5697"/>
        <v>0.27342047930283225</v>
      </c>
      <c r="AZ650" s="50">
        <f t="shared" si="5697"/>
        <v>0.22131147540983606</v>
      </c>
      <c r="BA650" s="50"/>
      <c r="BB650" s="50"/>
      <c r="BC650" s="50"/>
      <c r="BD650" s="50"/>
      <c r="BE650" s="50"/>
      <c r="BF650" s="50"/>
      <c r="BG650" s="50"/>
      <c r="BH650" s="50"/>
      <c r="BI650" s="51"/>
      <c r="BJ650" s="50"/>
      <c r="BK650" s="50"/>
      <c r="BL650" s="50"/>
      <c r="BM650" s="50"/>
      <c r="BN650" s="50"/>
    </row>
    <row r="651" spans="2:66" ht="12" hidden="1" customHeight="1" outlineLevel="2">
      <c r="B651" s="1" t="s">
        <v>79</v>
      </c>
      <c r="C651" s="37">
        <f t="shared" ref="C651:Q651" si="5698">IF(ISERROR(-C614*C$5/AVERAGE(B628:C628)),"n.a.",-C614*C$5/AVERAGE(B628:C628))</f>
        <v>1.62740878793886E-2</v>
      </c>
      <c r="D651" s="37">
        <f t="shared" si="5698"/>
        <v>1.8701543854918089E-2</v>
      </c>
      <c r="E651" s="37">
        <f t="shared" si="5698"/>
        <v>2.0552235759482534E-2</v>
      </c>
      <c r="F651" s="37">
        <f t="shared" si="5698"/>
        <v>2.1513879076936596E-2</v>
      </c>
      <c r="G651" s="37">
        <f t="shared" si="5698"/>
        <v>2.0535386872020535E-2</v>
      </c>
      <c r="H651" s="37">
        <f t="shared" si="5698"/>
        <v>2.2764628533859303E-2</v>
      </c>
      <c r="I651" s="37">
        <f t="shared" si="5698"/>
        <v>1.7970073322119133E-2</v>
      </c>
      <c r="J651" s="37">
        <f t="shared" si="5698"/>
        <v>1.7680996561777573E-2</v>
      </c>
      <c r="K651" s="37">
        <f t="shared" si="5698"/>
        <v>1.621175287412073E-2</v>
      </c>
      <c r="L651" s="37">
        <f t="shared" si="5698"/>
        <v>1.647321935212202E-2</v>
      </c>
      <c r="M651" s="78">
        <f t="shared" si="5698"/>
        <v>1.6418119781678991E-2</v>
      </c>
      <c r="N651" s="78">
        <f t="shared" si="5698"/>
        <v>1.59694783023538E-2</v>
      </c>
      <c r="O651" s="78">
        <f t="shared" si="5698"/>
        <v>1.411187849433432E-2</v>
      </c>
      <c r="P651" s="78">
        <f t="shared" si="5698"/>
        <v>1.6206462156548977E-2</v>
      </c>
      <c r="Q651" s="78">
        <f t="shared" si="5698"/>
        <v>1.6666816872298176E-2</v>
      </c>
      <c r="R651" s="336"/>
      <c r="S651" s="336"/>
      <c r="T651" s="336"/>
      <c r="U651" s="336"/>
      <c r="V651" s="336"/>
      <c r="W651" s="336"/>
      <c r="X651" s="336"/>
      <c r="Y651" s="336"/>
      <c r="Z651" s="336"/>
      <c r="AA651" s="336"/>
      <c r="AB651" s="336"/>
      <c r="AC651" s="336"/>
      <c r="AD651" s="336"/>
      <c r="AE651" s="336"/>
      <c r="AF651" s="336"/>
      <c r="AG651" s="336"/>
      <c r="AH651" s="336"/>
      <c r="AI651" s="503"/>
      <c r="AJ651" s="336"/>
      <c r="AK651" s="336"/>
      <c r="AL651" s="336"/>
      <c r="AM651" s="336"/>
      <c r="AN651" s="336"/>
      <c r="AO651" s="336"/>
      <c r="AP651" s="336"/>
      <c r="AQ651" s="336"/>
      <c r="AR651" s="336"/>
      <c r="AS651" s="8"/>
      <c r="AT651" s="37">
        <f>IF(ISERROR(-AT614*AT$5/AVERAGE(T628:AT628)),"n.a.",-AT614*AT$5/AVERAGE(T628:AT628))</f>
        <v>1.930612634999522E-2</v>
      </c>
      <c r="AU651" s="37">
        <f t="shared" ref="AU651:AZ651" si="5699">IF(ISERROR(-AU614*AU$5/AVERAGE(AT628:AU628)),"n.a.",-AU614*AU$5/AVERAGE(AT628:AU628))</f>
        <v>2.2490270700294565E-2</v>
      </c>
      <c r="AV651" s="37">
        <f t="shared" si="5699"/>
        <v>2.2613222280062469E-2</v>
      </c>
      <c r="AW651" s="37">
        <f t="shared" si="5699"/>
        <v>1.6990854649273478E-2</v>
      </c>
      <c r="AX651" s="37">
        <f t="shared" si="5699"/>
        <v>1.6632729610974173E-2</v>
      </c>
      <c r="AY651" s="37">
        <f t="shared" si="5699"/>
        <v>1.5595976588511548E-2</v>
      </c>
      <c r="AZ651" s="37">
        <f t="shared" si="5699"/>
        <v>1.757182576459685E-2</v>
      </c>
      <c r="BA651" s="37"/>
      <c r="BB651" s="37"/>
      <c r="BC651" s="37"/>
      <c r="BD651" s="37"/>
      <c r="BE651" s="37"/>
      <c r="BF651" s="37"/>
      <c r="BG651" s="37"/>
      <c r="BH651" s="37"/>
      <c r="BI651" s="38"/>
      <c r="BJ651" s="37"/>
      <c r="BK651" s="37"/>
      <c r="BL651" s="37"/>
      <c r="BM651" s="37"/>
      <c r="BN651" s="37"/>
    </row>
    <row r="652" spans="2:66" ht="12" hidden="1" customHeight="1" outlineLevel="2">
      <c r="B652" s="1" t="s">
        <v>68</v>
      </c>
      <c r="C652" s="50" t="str">
        <f>IF(ISERROR(C614/B614),"n.a.",C614/B614-1)</f>
        <v>n.a.</v>
      </c>
      <c r="D652" s="50">
        <f>IF(ISERROR(D614/C614),"n.a.",D614/C614-1)</f>
        <v>7.1794871794871762E-2</v>
      </c>
      <c r="E652" s="50">
        <f t="shared" ref="E652:M652" si="5700">IF(ISERROR(E614/D614),"n.a.",E614/D614-1)</f>
        <v>0.16746411483253598</v>
      </c>
      <c r="F652" s="50">
        <f t="shared" si="5700"/>
        <v>0.14344262295081966</v>
      </c>
      <c r="G652" s="50">
        <f t="shared" si="5700"/>
        <v>-4.6594982078853042E-2</v>
      </c>
      <c r="H652" s="50">
        <f t="shared" si="5700"/>
        <v>4.1353383458646586E-2</v>
      </c>
      <c r="I652" s="50">
        <f t="shared" si="5700"/>
        <v>-0.31768953068592054</v>
      </c>
      <c r="J652" s="50">
        <f t="shared" si="5700"/>
        <v>-6.3492063492063489E-2</v>
      </c>
      <c r="K652" s="50">
        <f t="shared" si="5700"/>
        <v>2.8248587570621542E-2</v>
      </c>
      <c r="L652" s="50">
        <f t="shared" si="5700"/>
        <v>0.13186813186813184</v>
      </c>
      <c r="M652" s="69">
        <f t="shared" si="5700"/>
        <v>4.8543689320388328E-2</v>
      </c>
      <c r="N652" s="69">
        <f t="shared" ref="N652" si="5701">IF(ISERROR(N614/M614),"n.a.",N614/M614-1)</f>
        <v>6.0185185185185119E-2</v>
      </c>
      <c r="O652" s="69">
        <f t="shared" ref="O652:Q652" si="5702">IF(ISERROR(O614/N614),"n.a.",O614/N614-1)</f>
        <v>3.0567685589519611E-2</v>
      </c>
      <c r="P652" s="69">
        <f t="shared" si="5702"/>
        <v>8.4745762711864181E-3</v>
      </c>
      <c r="Q652" s="69">
        <f t="shared" si="5702"/>
        <v>-4.2016806722689037E-2</v>
      </c>
      <c r="R652" s="50"/>
      <c r="S652" s="50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D652" s="50"/>
      <c r="AE652" s="50"/>
      <c r="AF652" s="50"/>
      <c r="AG652" s="50"/>
      <c r="AH652" s="50"/>
      <c r="AI652" s="51"/>
      <c r="AJ652" s="50"/>
      <c r="AK652" s="50"/>
      <c r="AL652" s="50"/>
      <c r="AM652" s="50"/>
      <c r="AN652" s="50"/>
      <c r="AO652" s="50"/>
      <c r="AP652" s="50"/>
      <c r="AQ652" s="50"/>
      <c r="AR652" s="50"/>
      <c r="AS652" s="8"/>
      <c r="AT652" s="50" t="str">
        <f>IF(ISERROR(AT614/T614),"n.a.",AT614/T614-1)</f>
        <v>n.a.</v>
      </c>
      <c r="AU652" s="50">
        <f>IF(ISERROR(AU614/AT614),"n.a.",AU614/AT614-1)</f>
        <v>0.29455445544554459</v>
      </c>
      <c r="AV652" s="50">
        <f>IF(ISERROR(AV614/AU614),"n.a.",AV614/AU614-1)</f>
        <v>3.8240917782026873E-2</v>
      </c>
      <c r="AW652" s="50">
        <f>IF(ISERROR(AW614/AV614),"n.a.",AW614/AV614-1)</f>
        <v>-0.32596685082872923</v>
      </c>
      <c r="AX652" s="50">
        <f t="shared" ref="AX652:AZ652" si="5703">IF(ISERROR(AX614/AW614),"n.a.",AX614/AW614-1)</f>
        <v>6.0109289617486406E-2</v>
      </c>
      <c r="AY652" s="50">
        <f t="shared" si="5703"/>
        <v>0.14690721649484528</v>
      </c>
      <c r="AZ652" s="50">
        <f t="shared" si="5703"/>
        <v>6.5168539325842767E-2</v>
      </c>
      <c r="BA652" s="50"/>
      <c r="BB652" s="50"/>
      <c r="BC652" s="50"/>
      <c r="BD652" s="50"/>
      <c r="BE652" s="50"/>
      <c r="BF652" s="50"/>
      <c r="BG652" s="50"/>
      <c r="BH652" s="50"/>
      <c r="BI652" s="51"/>
      <c r="BJ652" s="50"/>
      <c r="BK652" s="50"/>
      <c r="BL652" s="50"/>
      <c r="BM652" s="50"/>
      <c r="BN652" s="50"/>
    </row>
    <row r="653" spans="2:66" ht="12" hidden="1" customHeight="1" outlineLevel="2">
      <c r="B653" s="1" t="s">
        <v>80</v>
      </c>
      <c r="C653" s="50">
        <f>IF(ISERROR(-SUM(C612:C614)/C611),"n.a.",-SUM(C612:C614)/C611)</f>
        <v>0.59207161125319696</v>
      </c>
      <c r="D653" s="50">
        <f>IF(ISERROR(-SUM(D612:D614)/D611),"n.a.",-SUM(D612:D614)/D611)</f>
        <v>0.62607449856733521</v>
      </c>
      <c r="E653" s="50">
        <f t="shared" ref="E653:J653" si="5704">IF(ISERROR(-SUM(E612:E614)/E611),"n.a.",-SUM(E612:E614)/E611)</f>
        <v>0.842443729903537</v>
      </c>
      <c r="F653" s="50">
        <f t="shared" si="5704"/>
        <v>0.87853107344632764</v>
      </c>
      <c r="G653" s="50">
        <f t="shared" si="5704"/>
        <v>1.0351201478743068</v>
      </c>
      <c r="H653" s="50">
        <f t="shared" si="5704"/>
        <v>1.4971590909090908</v>
      </c>
      <c r="I653" s="50">
        <f t="shared" si="5704"/>
        <v>1.2077922077922079</v>
      </c>
      <c r="J653" s="50">
        <f t="shared" si="5704"/>
        <v>0.96056338028169019</v>
      </c>
      <c r="K653" s="50">
        <f t="shared" ref="K653:L653" si="5705">IF(ISERROR(-SUM(K612:K614)/K611),"n.a.",-SUM(K612:K614)/K611)</f>
        <v>0.83715596330275233</v>
      </c>
      <c r="L653" s="50">
        <f t="shared" si="5705"/>
        <v>0.91608391608391604</v>
      </c>
      <c r="M653" s="69">
        <f t="shared" ref="M653" si="5706">IF(ISERROR(-SUM(M612:M614)/M611),"n.a.",-SUM(M612:M614)/M611)</f>
        <v>0.96055684454756385</v>
      </c>
      <c r="N653" s="69">
        <f t="shared" ref="N653:O653" si="5707">IF(ISERROR(-SUM(N612:N614)/N611),"n.a.",-SUM(N612:N614)/N611)</f>
        <v>0.90349075975359339</v>
      </c>
      <c r="O653" s="69">
        <f t="shared" si="5707"/>
        <v>0.66573816155988863</v>
      </c>
      <c r="P653" s="69">
        <f t="shared" ref="P653:Q653" si="5708">IF(ISERROR(-SUM(P612:P614)/P611),"n.a.",-SUM(P612:P614)/P611)</f>
        <v>0.94422310756972117</v>
      </c>
      <c r="Q653" s="69">
        <f t="shared" si="5708"/>
        <v>0.96273291925465843</v>
      </c>
      <c r="R653" s="69"/>
      <c r="S653" s="69"/>
      <c r="T653" s="69"/>
      <c r="U653" s="69"/>
      <c r="V653" s="69"/>
      <c r="W653" s="69"/>
      <c r="X653" s="69"/>
      <c r="Y653" s="69"/>
      <c r="Z653" s="69"/>
      <c r="AA653" s="69"/>
      <c r="AB653" s="69"/>
      <c r="AC653" s="69"/>
      <c r="AD653" s="69"/>
      <c r="AE653" s="69"/>
      <c r="AF653" s="69"/>
      <c r="AG653" s="69"/>
      <c r="AH653" s="69"/>
      <c r="AI653" s="89"/>
      <c r="AJ653" s="69"/>
      <c r="AK653" s="69"/>
      <c r="AL653" s="69"/>
      <c r="AM653" s="69"/>
      <c r="AN653" s="69"/>
      <c r="AO653" s="69"/>
      <c r="AP653" s="69"/>
      <c r="AQ653" s="69"/>
      <c r="AR653" s="69"/>
      <c r="AS653" s="8"/>
      <c r="AT653" s="50">
        <f t="shared" ref="AT653:AZ653" si="5709">IF(ISERROR(-SUM(AT612:AT614)/AT611),"n.a.",-SUM(AT612:AT614)/AT611)</f>
        <v>0.60810810810810811</v>
      </c>
      <c r="AU653" s="50">
        <f t="shared" si="5709"/>
        <v>0.86165413533834589</v>
      </c>
      <c r="AV653" s="50">
        <f t="shared" si="5709"/>
        <v>1.2172452407614782</v>
      </c>
      <c r="AW653" s="50">
        <f t="shared" si="5709"/>
        <v>1.0754147812971342</v>
      </c>
      <c r="AX653" s="50">
        <f t="shared" si="5709"/>
        <v>0.87630057803468209</v>
      </c>
      <c r="AY653" s="50">
        <f t="shared" si="5709"/>
        <v>0.93028322440087141</v>
      </c>
      <c r="AZ653" s="50">
        <f t="shared" si="5709"/>
        <v>0.78032786885245897</v>
      </c>
      <c r="BA653" s="50"/>
      <c r="BB653" s="50"/>
      <c r="BC653" s="50"/>
      <c r="BD653" s="50"/>
      <c r="BE653" s="50"/>
      <c r="BF653" s="50"/>
      <c r="BG653" s="50"/>
      <c r="BH653" s="50"/>
      <c r="BI653" s="51"/>
      <c r="BJ653" s="50"/>
      <c r="BK653" s="50"/>
      <c r="BL653" s="50"/>
      <c r="BM653" s="50"/>
      <c r="BN653" s="50"/>
    </row>
    <row r="654" spans="2:66" ht="12" hidden="1" customHeight="1" outlineLevel="2">
      <c r="B654" s="1" t="s">
        <v>81</v>
      </c>
      <c r="C654" s="70">
        <f>IF(ISERROR(C628/C629),"n.a.",C628/C629)</f>
        <v>36.197775378402952</v>
      </c>
      <c r="D654" s="70">
        <f>IF(ISERROR(D628/D629),"n.a.",D628/D629)</f>
        <v>30.902310770995747</v>
      </c>
      <c r="E654" s="70">
        <f t="shared" ref="E654:J654" si="5710">IF(ISERROR(E628/E629),"n.a.",E628/E629)</f>
        <v>38.374609262356536</v>
      </c>
      <c r="F654" s="70">
        <f t="shared" si="5710"/>
        <v>36.856243998601002</v>
      </c>
      <c r="G654" s="70">
        <f t="shared" si="5710"/>
        <v>37.471428571428568</v>
      </c>
      <c r="H654" s="70">
        <f t="shared" si="5710"/>
        <v>37.403333333333336</v>
      </c>
      <c r="I654" s="70">
        <f t="shared" si="5710"/>
        <v>39.026000000000003</v>
      </c>
      <c r="J654" s="70">
        <f t="shared" si="5710"/>
        <v>41.28</v>
      </c>
      <c r="K654" s="70">
        <f t="shared" ref="K654:L654" si="5711">IF(ISERROR(K628/K629),"n.a.",K628/K629)</f>
        <v>40.238333333333337</v>
      </c>
      <c r="L654" s="70">
        <f t="shared" si="5711"/>
        <v>52.03</v>
      </c>
      <c r="M654" s="70">
        <f t="shared" ref="M654" si="5712">IF(ISERROR(M628/M629),"n.a.",M628/M629)</f>
        <v>52.932000000000002</v>
      </c>
      <c r="N654" s="70">
        <f t="shared" ref="N654:O654" si="5713">IF(ISERROR(N628/N629),"n.a.",N628/N629)</f>
        <v>62.101999999999997</v>
      </c>
      <c r="O654" s="70">
        <f t="shared" si="5713"/>
        <v>71.686000000000007</v>
      </c>
      <c r="P654" s="70">
        <f t="shared" ref="P654:Q654" si="5714">IF(ISERROR(P628/P629),"n.a.",P628/P629)</f>
        <v>57.247500000000002</v>
      </c>
      <c r="Q654" s="70">
        <f t="shared" si="5714"/>
        <v>52.784999999999997</v>
      </c>
      <c r="R654" s="72"/>
      <c r="S654" s="72"/>
      <c r="T654" s="72"/>
      <c r="U654" s="72"/>
      <c r="V654" s="72"/>
      <c r="W654" s="72"/>
      <c r="X654" s="72"/>
      <c r="Y654" s="72"/>
      <c r="Z654" s="72"/>
      <c r="AA654" s="72"/>
      <c r="AB654" s="72"/>
      <c r="AC654" s="72"/>
      <c r="AD654" s="72"/>
      <c r="AE654" s="72"/>
      <c r="AF654" s="72"/>
      <c r="AG654" s="72"/>
      <c r="AH654" s="72"/>
      <c r="AI654" s="505"/>
      <c r="AJ654" s="72"/>
      <c r="AK654" s="72"/>
      <c r="AL654" s="72"/>
      <c r="AM654" s="72"/>
      <c r="AN654" s="72"/>
      <c r="AO654" s="72"/>
      <c r="AP654" s="72"/>
      <c r="AQ654" s="72"/>
      <c r="AR654" s="72"/>
      <c r="AS654" s="8"/>
      <c r="AT654" s="70">
        <f t="shared" ref="AT654:AZ654" si="5715">IF(ISERROR(AT628/AT629),"n.a.",AT628/AT629)</f>
        <v>30.902310770995747</v>
      </c>
      <c r="AU654" s="70">
        <f t="shared" si="5715"/>
        <v>36.856243998601002</v>
      </c>
      <c r="AV654" s="70">
        <f t="shared" si="5715"/>
        <v>37.403333333333336</v>
      </c>
      <c r="AW654" s="70">
        <f t="shared" si="5715"/>
        <v>41.28</v>
      </c>
      <c r="AX654" s="70">
        <f t="shared" si="5715"/>
        <v>52.03</v>
      </c>
      <c r="AY654" s="70">
        <f t="shared" si="5715"/>
        <v>62.101999999999997</v>
      </c>
      <c r="AZ654" s="70">
        <f t="shared" si="5715"/>
        <v>57.247500000000002</v>
      </c>
      <c r="BA654" s="70"/>
      <c r="BB654" s="70"/>
      <c r="BC654" s="70"/>
      <c r="BD654" s="70"/>
      <c r="BE654" s="70"/>
      <c r="BF654" s="70"/>
      <c r="BG654" s="70"/>
      <c r="BH654" s="70"/>
      <c r="BI654" s="71"/>
      <c r="BJ654" s="70"/>
      <c r="BK654" s="70"/>
      <c r="BL654" s="70"/>
      <c r="BM654" s="70"/>
      <c r="BN654" s="70"/>
    </row>
    <row r="655" spans="2:66" ht="12" hidden="1" customHeight="1" outlineLevel="2">
      <c r="B655" s="1" t="s">
        <v>27</v>
      </c>
      <c r="C655" s="28">
        <f>(80*43%+(415+110)*20%+166*30%)/C611</f>
        <v>0.24194373401534525</v>
      </c>
      <c r="D655" s="28">
        <f>((158-80)*43%+(799-415+191-110)*20%+(310-166)*30%)/D611</f>
        <v>0.24318051575931229</v>
      </c>
      <c r="E655" s="28">
        <f>(91*43%+(338+96)*20%+99*30%)/E611</f>
        <v>0.2502090032154341</v>
      </c>
      <c r="F655" s="28">
        <f>((190-91)*43%+(737-338+193-96)*20%+(185-99)*30%)/F611</f>
        <v>0.236680790960452</v>
      </c>
      <c r="G655" s="28">
        <f>(62*43%+(272+131)*20%+76*30%)/G611</f>
        <v>0.24040665434380776</v>
      </c>
      <c r="H655" s="28">
        <f>((131-62)*43%+(440-272+175-131)*20%+(145-76)*30%)/H611</f>
        <v>0.26355113636363642</v>
      </c>
      <c r="I655" s="28">
        <f>(49*43%+(183+37)*20%+74*30%)/I611</f>
        <v>0.28334415584415584</v>
      </c>
      <c r="J655" s="28">
        <f>(58*43%+(232+37)*20%+76*30%)/J611</f>
        <v>0.28602816901408451</v>
      </c>
      <c r="K655" s="28">
        <f>(58*43%+(257+39)*20%+82*30%)/K611</f>
        <v>0.24940366972477063</v>
      </c>
      <c r="L655" s="28">
        <f>((116-58)*43%+((492-257)+(81-39))*20%+(175-82)*30%)/L611</f>
        <v>0.25230769230769234</v>
      </c>
      <c r="M655" s="163">
        <f>(53*43%+(245+42)*20%+96*30%)/M611</f>
        <v>0.25287703016241297</v>
      </c>
      <c r="N655" s="163">
        <f>(53*43%+(245+42)*20%+96*30%)/N611</f>
        <v>0.22379876796714579</v>
      </c>
      <c r="O655" s="163">
        <f>((57)*43%+((514+44))*20%+(109)*30%)/O611</f>
        <v>0.23511142061281337</v>
      </c>
      <c r="P655" s="163">
        <f>((111-57)*43%+((810+90)-(514+44))*20%+(214-109)*30%)/P611</f>
        <v>0.24525896414342629</v>
      </c>
      <c r="Q655" s="163">
        <f>((42)*43%+((293+47))*20%+(99)*30%)/(Q611+Q620)</f>
        <v>0.24066528066528067</v>
      </c>
      <c r="R655" s="320"/>
      <c r="S655" s="320"/>
      <c r="T655" s="320"/>
      <c r="U655" s="320"/>
      <c r="V655" s="320"/>
      <c r="W655" s="320"/>
      <c r="X655" s="320"/>
      <c r="Y655" s="320"/>
      <c r="Z655" s="320"/>
      <c r="AA655" s="320"/>
      <c r="AB655" s="320"/>
      <c r="AC655" s="320"/>
      <c r="AD655" s="320"/>
      <c r="AE655" s="320"/>
      <c r="AF655" s="320"/>
      <c r="AG655" s="320"/>
      <c r="AH655" s="320"/>
      <c r="AI655" s="353"/>
      <c r="AJ655" s="68"/>
      <c r="AK655" s="68"/>
      <c r="AL655" s="68"/>
      <c r="AM655" s="68"/>
      <c r="AN655" s="68"/>
      <c r="AO655" s="68"/>
      <c r="AP655" s="68"/>
      <c r="AQ655" s="68"/>
      <c r="AR655" s="68"/>
      <c r="AS655" s="8"/>
      <c r="AT655" s="44">
        <f>(C655*C611+D655*D611)/AT611</f>
        <v>0.242527027027027</v>
      </c>
      <c r="AU655" s="44">
        <f>(E655*E611+F655*F611)/AU611</f>
        <v>0.24300751879699251</v>
      </c>
      <c r="AV655" s="44">
        <f>(G655*G611+H655*H611)/AV611</f>
        <v>0.24952967525195974</v>
      </c>
      <c r="AW655" s="44">
        <f>(I655*I611+J655*J611)/AW611</f>
        <v>0.28478129713423833</v>
      </c>
      <c r="AX655" s="44">
        <f>(K655*K611+L655*L611)/AX611</f>
        <v>0.25084393063583815</v>
      </c>
      <c r="AY655" s="44">
        <f>(M655*M611+N655*N611)/AY611</f>
        <v>0.23745098039215684</v>
      </c>
      <c r="AZ655" s="44">
        <f>(O655*O611+P655*P611)/AZ611</f>
        <v>0.23928688524590164</v>
      </c>
      <c r="BA655" s="44"/>
      <c r="BB655" s="44"/>
      <c r="BC655" s="44"/>
      <c r="BD655" s="44"/>
      <c r="BE655" s="44"/>
      <c r="BF655" s="44"/>
      <c r="BG655" s="44"/>
      <c r="BH655" s="44"/>
      <c r="BI655" s="49"/>
      <c r="BJ655" s="44"/>
      <c r="BK655" s="44"/>
      <c r="BL655" s="44"/>
      <c r="BM655" s="44"/>
      <c r="BN655" s="44"/>
    </row>
    <row r="656" spans="2:66" ht="12" hidden="1" customHeight="1" outlineLevel="2">
      <c r="B656" s="1" t="s">
        <v>28</v>
      </c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320"/>
      <c r="N656" s="320"/>
      <c r="O656" s="320"/>
      <c r="P656" s="320"/>
      <c r="Q656" s="320"/>
      <c r="R656" s="320"/>
      <c r="S656" s="320"/>
      <c r="T656" s="320"/>
      <c r="U656" s="320"/>
      <c r="V656" s="320"/>
      <c r="W656" s="320"/>
      <c r="X656" s="320"/>
      <c r="Y656" s="320"/>
      <c r="Z656" s="320"/>
      <c r="AA656" s="320"/>
      <c r="AB656" s="320"/>
      <c r="AC656" s="320"/>
      <c r="AD656" s="320"/>
      <c r="AE656" s="320"/>
      <c r="AF656" s="320"/>
      <c r="AG656" s="320"/>
      <c r="AH656" s="320"/>
      <c r="AI656" s="353"/>
      <c r="AJ656" s="68"/>
      <c r="AK656" s="68"/>
      <c r="AL656" s="68"/>
      <c r="AM656" s="68"/>
      <c r="AN656" s="68"/>
      <c r="AO656" s="68"/>
      <c r="AP656" s="68"/>
      <c r="AQ656" s="68"/>
      <c r="AR656" s="68"/>
      <c r="AS656" s="8"/>
      <c r="AT656" s="44"/>
      <c r="AU656" s="44"/>
      <c r="AV656" s="44"/>
      <c r="AW656" s="44"/>
      <c r="AX656" s="44"/>
      <c r="AY656" s="44"/>
      <c r="AZ656" s="44"/>
      <c r="BA656" s="44"/>
      <c r="BB656" s="44"/>
      <c r="BC656" s="44"/>
      <c r="BD656" s="44"/>
      <c r="BE656" s="44"/>
      <c r="BF656" s="44"/>
      <c r="BG656" s="44"/>
      <c r="BH656" s="44"/>
      <c r="BI656" s="49"/>
      <c r="BJ656" s="44"/>
      <c r="BK656" s="44"/>
      <c r="BL656" s="44"/>
      <c r="BM656" s="44"/>
      <c r="BN656" s="44"/>
    </row>
    <row r="657" spans="1:66" ht="12" hidden="1" customHeight="1" outlineLevel="2">
      <c r="B657" s="1" t="s">
        <v>70</v>
      </c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20"/>
      <c r="N657" s="320"/>
      <c r="O657" s="320"/>
      <c r="P657" s="320"/>
      <c r="Q657" s="320"/>
      <c r="R657" s="320"/>
      <c r="S657" s="320"/>
      <c r="T657" s="320"/>
      <c r="U657" s="320"/>
      <c r="V657" s="320"/>
      <c r="W657" s="320"/>
      <c r="X657" s="320"/>
      <c r="Y657" s="320"/>
      <c r="Z657" s="320"/>
      <c r="AA657" s="320"/>
      <c r="AB657" s="320"/>
      <c r="AC657" s="320"/>
      <c r="AD657" s="320"/>
      <c r="AE657" s="320"/>
      <c r="AF657" s="320"/>
      <c r="AG657" s="320"/>
      <c r="AH657" s="320"/>
      <c r="AI657" s="353"/>
      <c r="AJ657" s="68"/>
      <c r="AK657" s="68"/>
      <c r="AL657" s="68"/>
      <c r="AM657" s="68"/>
      <c r="AN657" s="68"/>
      <c r="AO657" s="68"/>
      <c r="AP657" s="68"/>
      <c r="AQ657" s="68"/>
      <c r="AR657" s="68"/>
      <c r="AS657" s="8"/>
      <c r="AT657" s="44"/>
      <c r="AU657" s="44"/>
      <c r="AV657" s="44"/>
      <c r="AW657" s="44"/>
      <c r="AX657" s="44"/>
      <c r="AY657" s="44"/>
      <c r="AZ657" s="44"/>
      <c r="BA657" s="44"/>
      <c r="BB657" s="44"/>
      <c r="BC657" s="44"/>
      <c r="BD657" s="44"/>
      <c r="BE657" s="44"/>
      <c r="BF657" s="44"/>
      <c r="BG657" s="44"/>
      <c r="BH657" s="44"/>
      <c r="BI657" s="49"/>
      <c r="BJ657" s="44"/>
      <c r="BK657" s="44"/>
      <c r="BL657" s="44"/>
      <c r="BM657" s="44"/>
      <c r="BN657" s="44"/>
    </row>
    <row r="658" spans="1:66" ht="12" hidden="1" customHeight="1" outlineLevel="2">
      <c r="B658" s="1" t="s">
        <v>69</v>
      </c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  <c r="AA658" s="37"/>
      <c r="AB658" s="37"/>
      <c r="AC658" s="37"/>
      <c r="AD658" s="37"/>
      <c r="AE658" s="37"/>
      <c r="AF658" s="37"/>
      <c r="AG658" s="37"/>
      <c r="AH658" s="37"/>
      <c r="AI658" s="38"/>
      <c r="AJ658" s="37"/>
      <c r="AK658" s="37"/>
      <c r="AL658" s="37"/>
      <c r="AM658" s="37"/>
      <c r="AN658" s="37"/>
      <c r="AO658" s="37"/>
      <c r="AP658" s="37"/>
      <c r="AQ658" s="37"/>
      <c r="AR658" s="37"/>
      <c r="AS658" s="8"/>
      <c r="AT658" s="37"/>
      <c r="AU658" s="37"/>
      <c r="AV658" s="37"/>
      <c r="AW658" s="37"/>
      <c r="AX658" s="37"/>
      <c r="AY658" s="37"/>
      <c r="AZ658" s="37"/>
      <c r="BA658" s="37"/>
      <c r="BB658" s="37"/>
      <c r="BC658" s="37"/>
      <c r="BD658" s="37"/>
      <c r="BE658" s="37"/>
      <c r="BF658" s="37"/>
      <c r="BG658" s="37"/>
      <c r="BH658" s="37"/>
      <c r="BI658" s="38"/>
      <c r="BJ658" s="37"/>
      <c r="BK658" s="37"/>
      <c r="BL658" s="37"/>
      <c r="BM658" s="37"/>
      <c r="BN658" s="37"/>
    </row>
    <row r="659" spans="1:66" ht="12" hidden="1" customHeight="1" outlineLevel="2">
      <c r="B659" s="1" t="s">
        <v>26</v>
      </c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  <c r="AA659" s="44"/>
      <c r="AB659" s="44"/>
      <c r="AC659" s="44"/>
      <c r="AD659" s="44"/>
      <c r="AE659" s="44"/>
      <c r="AF659" s="44"/>
      <c r="AG659" s="44"/>
      <c r="AH659" s="44"/>
      <c r="AI659" s="49"/>
      <c r="AJ659" s="47"/>
      <c r="AK659" s="47"/>
      <c r="AL659" s="47"/>
      <c r="AM659" s="47"/>
      <c r="AN659" s="47"/>
      <c r="AO659" s="47"/>
      <c r="AP659" s="47"/>
      <c r="AQ659" s="47"/>
      <c r="AR659" s="47"/>
      <c r="AS659" s="8"/>
      <c r="AT659" s="154"/>
      <c r="AU659" s="154"/>
      <c r="AV659" s="154"/>
      <c r="AW659" s="154"/>
      <c r="AX659" s="154"/>
      <c r="AY659" s="154"/>
      <c r="AZ659" s="154"/>
      <c r="BA659" s="154"/>
      <c r="BB659" s="154"/>
      <c r="BC659" s="154"/>
      <c r="BD659" s="154"/>
      <c r="BE659" s="154"/>
      <c r="BF659" s="154"/>
      <c r="BG659" s="154"/>
      <c r="BH659" s="154"/>
      <c r="BI659" s="76"/>
      <c r="BJ659" s="154"/>
      <c r="BK659" s="154"/>
      <c r="BL659" s="154"/>
      <c r="BM659" s="154"/>
      <c r="BN659" s="154"/>
    </row>
    <row r="660" spans="1:66" ht="12" customHeight="1" outlineLevel="1" collapsed="1">
      <c r="C660" s="285"/>
      <c r="D660" s="285"/>
      <c r="E660" s="285"/>
      <c r="F660" s="285"/>
      <c r="G660" s="285"/>
      <c r="H660" s="285"/>
      <c r="I660" s="285"/>
      <c r="J660" s="285"/>
      <c r="K660" s="285"/>
      <c r="L660" s="285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19"/>
      <c r="AH660" s="19"/>
      <c r="AI660" s="20"/>
      <c r="AJ660" s="19"/>
      <c r="AK660" s="19"/>
      <c r="AL660" s="19"/>
      <c r="AM660" s="19"/>
      <c r="AN660" s="19"/>
      <c r="AO660" s="19"/>
      <c r="AP660" s="19"/>
      <c r="AQ660" s="19"/>
      <c r="AR660" s="19"/>
      <c r="AY660" s="33"/>
    </row>
    <row r="661" spans="1:66" s="9" customFormat="1" ht="12" customHeight="1" outlineLevel="1">
      <c r="A661" s="91"/>
      <c r="B661" s="2" t="s">
        <v>36</v>
      </c>
      <c r="C661" s="93">
        <f>C688</f>
        <v>129</v>
      </c>
      <c r="D661" s="93">
        <f t="shared" ref="D661:BB661" si="5716">D688</f>
        <v>126</v>
      </c>
      <c r="E661" s="93">
        <f t="shared" si="5716"/>
        <v>246</v>
      </c>
      <c r="F661" s="93">
        <f t="shared" si="5716"/>
        <v>328</v>
      </c>
      <c r="G661" s="93">
        <f t="shared" si="5716"/>
        <v>358</v>
      </c>
      <c r="H661" s="93">
        <f t="shared" si="5716"/>
        <v>340</v>
      </c>
      <c r="I661" s="93">
        <f t="shared" si="5716"/>
        <v>335</v>
      </c>
      <c r="J661" s="93">
        <f t="shared" si="5716"/>
        <v>359</v>
      </c>
      <c r="K661" s="93">
        <f t="shared" ref="K661" si="5717">K688</f>
        <v>396</v>
      </c>
      <c r="L661" s="93">
        <f t="shared" si="5716"/>
        <v>430</v>
      </c>
      <c r="M661" s="93">
        <f t="shared" ref="M661" si="5718">M688</f>
        <v>468</v>
      </c>
      <c r="N661" s="93">
        <f t="shared" si="5716"/>
        <v>644</v>
      </c>
      <c r="O661" s="93">
        <f t="shared" ref="O661:P661" si="5719">O688</f>
        <v>611</v>
      </c>
      <c r="P661" s="93">
        <f t="shared" si="5719"/>
        <v>519</v>
      </c>
      <c r="Q661" s="93">
        <f t="shared" ref="Q661:R661" si="5720">Q688</f>
        <v>521</v>
      </c>
      <c r="R661" s="93">
        <f t="shared" si="5720"/>
        <v>677</v>
      </c>
      <c r="S661" s="93">
        <f t="shared" ref="S661" si="5721">S688</f>
        <v>565</v>
      </c>
      <c r="T661" s="93">
        <f t="shared" ref="T661" si="5722">T688</f>
        <v>575</v>
      </c>
      <c r="U661" s="93"/>
      <c r="V661" s="93"/>
      <c r="W661" s="93"/>
      <c r="X661" s="93"/>
      <c r="Y661" s="93"/>
      <c r="Z661" s="93"/>
      <c r="AA661" s="93"/>
      <c r="AB661" s="93"/>
      <c r="AC661" s="93"/>
      <c r="AD661" s="93"/>
      <c r="AE661" s="93"/>
      <c r="AF661" s="93"/>
      <c r="AG661" s="93"/>
      <c r="AH661" s="93"/>
      <c r="AI661" s="94"/>
      <c r="AJ661" s="93"/>
      <c r="AK661" s="93"/>
      <c r="AL661" s="93"/>
      <c r="AM661" s="93"/>
      <c r="AN661" s="93"/>
      <c r="AO661" s="93"/>
      <c r="AP661" s="93"/>
      <c r="AQ661" s="93"/>
      <c r="AR661" s="93"/>
      <c r="AS661" s="93"/>
      <c r="AT661" s="93">
        <f t="shared" ref="AT661:AV661" si="5723">AT688</f>
        <v>255</v>
      </c>
      <c r="AU661" s="93">
        <f t="shared" si="5723"/>
        <v>574</v>
      </c>
      <c r="AV661" s="93">
        <f t="shared" si="5723"/>
        <v>698</v>
      </c>
      <c r="AW661" s="93">
        <f t="shared" si="5716"/>
        <v>694</v>
      </c>
      <c r="AX661" s="93">
        <f t="shared" si="5716"/>
        <v>826</v>
      </c>
      <c r="AY661" s="93">
        <f t="shared" si="5716"/>
        <v>1112</v>
      </c>
      <c r="AZ661" s="93">
        <f t="shared" si="5716"/>
        <v>1130</v>
      </c>
      <c r="BA661" s="93">
        <f t="shared" si="5716"/>
        <v>1198</v>
      </c>
      <c r="BB661" s="93">
        <f t="shared" si="5716"/>
        <v>1140</v>
      </c>
      <c r="BC661" s="93">
        <f t="shared" ref="BC661" si="5724">BC688</f>
        <v>0</v>
      </c>
      <c r="BD661" s="93">
        <f t="shared" ref="BD661:BI661" si="5725">BD688</f>
        <v>0</v>
      </c>
      <c r="BE661" s="93">
        <f t="shared" si="5725"/>
        <v>0</v>
      </c>
      <c r="BF661" s="93">
        <f t="shared" si="5725"/>
        <v>0</v>
      </c>
      <c r="BG661" s="93">
        <f t="shared" si="5725"/>
        <v>0</v>
      </c>
      <c r="BH661" s="93">
        <f t="shared" si="5725"/>
        <v>0</v>
      </c>
      <c r="BI661" s="94">
        <f t="shared" si="5725"/>
        <v>0</v>
      </c>
      <c r="BJ661" s="93">
        <f t="shared" ref="BJ661:BK661" si="5726">BJ688</f>
        <v>0</v>
      </c>
      <c r="BK661" s="93">
        <f t="shared" si="5726"/>
        <v>0</v>
      </c>
      <c r="BL661" s="93">
        <f t="shared" ref="BL661" si="5727">BL688</f>
        <v>0</v>
      </c>
      <c r="BM661" s="93">
        <f t="shared" ref="BM661" si="5728">BM688</f>
        <v>0</v>
      </c>
      <c r="BN661" s="93">
        <f t="shared" ref="BN661" si="5729">BN688</f>
        <v>0</v>
      </c>
    </row>
    <row r="662" spans="1:66" ht="12" hidden="1" customHeight="1" outlineLevel="2"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19"/>
      <c r="AH662" s="19"/>
      <c r="AI662" s="20"/>
      <c r="AJ662" s="19"/>
      <c r="AK662" s="19"/>
      <c r="AL662" s="19"/>
      <c r="AM662" s="19"/>
      <c r="AN662" s="19"/>
      <c r="AO662" s="19"/>
      <c r="AP662" s="19"/>
      <c r="AQ662" s="19"/>
      <c r="AR662" s="19"/>
      <c r="AY662" s="33"/>
      <c r="AZ662" s="33"/>
      <c r="BA662" s="33"/>
      <c r="BB662" s="33"/>
      <c r="BC662" s="33"/>
      <c r="BD662" s="33"/>
      <c r="BE662" s="33"/>
      <c r="BF662" s="33"/>
      <c r="BG662" s="33"/>
      <c r="BH662" s="33"/>
      <c r="BI662" s="32"/>
      <c r="BJ662" s="33"/>
      <c r="BK662" s="33"/>
      <c r="BL662" s="33"/>
      <c r="BM662" s="33"/>
      <c r="BN662" s="33"/>
    </row>
    <row r="663" spans="1:66" ht="12" hidden="1" customHeight="1" outlineLevel="2">
      <c r="B663" s="9" t="s">
        <v>40</v>
      </c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20"/>
      <c r="AJ663" s="19"/>
      <c r="AK663" s="19"/>
      <c r="AL663" s="19"/>
      <c r="AM663" s="19"/>
      <c r="AN663" s="19"/>
      <c r="AO663" s="19"/>
      <c r="AP663" s="19"/>
      <c r="AQ663" s="19"/>
      <c r="AR663" s="19"/>
    </row>
    <row r="664" spans="1:66" s="9" customFormat="1" ht="12" hidden="1" customHeight="1" outlineLevel="2">
      <c r="A664" s="91" t="s">
        <v>1136</v>
      </c>
      <c r="B664" s="16" t="s">
        <v>6</v>
      </c>
      <c r="C664" s="17">
        <f t="shared" ref="C664:H664" si="5730">AVERAGE(B698:C698)</f>
        <v>12200</v>
      </c>
      <c r="D664" s="17">
        <f t="shared" si="5730"/>
        <v>13200</v>
      </c>
      <c r="E664" s="17">
        <f t="shared" si="5730"/>
        <v>14250</v>
      </c>
      <c r="F664" s="17">
        <f t="shared" si="5730"/>
        <v>14750</v>
      </c>
      <c r="G664" s="17">
        <f t="shared" si="5730"/>
        <v>15650</v>
      </c>
      <c r="H664" s="17">
        <f t="shared" si="5730"/>
        <v>16000</v>
      </c>
      <c r="I664" s="17">
        <f t="shared" ref="I664:AD664" si="5731">AVERAGE(H698:I698)</f>
        <v>16400</v>
      </c>
      <c r="J664" s="17">
        <f t="shared" si="5731"/>
        <v>17100</v>
      </c>
      <c r="K664" s="17">
        <f t="shared" si="5731"/>
        <v>18100</v>
      </c>
      <c r="L664" s="17">
        <f t="shared" si="5731"/>
        <v>19350</v>
      </c>
      <c r="M664" s="39">
        <f t="shared" si="5731"/>
        <v>20700</v>
      </c>
      <c r="N664" s="39">
        <f t="shared" si="5731"/>
        <v>22050</v>
      </c>
      <c r="O664" s="39">
        <f t="shared" si="5731"/>
        <v>22900</v>
      </c>
      <c r="P664" s="39">
        <f t="shared" si="5731"/>
        <v>26050</v>
      </c>
      <c r="Q664" s="39">
        <f t="shared" si="5731"/>
        <v>28450</v>
      </c>
      <c r="R664" s="39">
        <f t="shared" si="5731"/>
        <v>27300</v>
      </c>
      <c r="S664" s="39">
        <f t="shared" si="5731"/>
        <v>26050</v>
      </c>
      <c r="T664" s="39">
        <f t="shared" si="5731"/>
        <v>18300</v>
      </c>
      <c r="U664" s="61">
        <v>0</v>
      </c>
      <c r="V664" s="39">
        <f t="shared" si="5731"/>
        <v>0</v>
      </c>
      <c r="W664" s="39">
        <f t="shared" si="5731"/>
        <v>0</v>
      </c>
      <c r="X664" s="39">
        <f t="shared" si="5731"/>
        <v>0</v>
      </c>
      <c r="Y664" s="39">
        <f t="shared" si="5731"/>
        <v>0</v>
      </c>
      <c r="Z664" s="39">
        <f t="shared" si="5731"/>
        <v>0</v>
      </c>
      <c r="AA664" s="39">
        <f t="shared" si="5731"/>
        <v>0</v>
      </c>
      <c r="AB664" s="39">
        <f t="shared" si="5731"/>
        <v>0</v>
      </c>
      <c r="AC664" s="39">
        <f t="shared" si="5731"/>
        <v>0</v>
      </c>
      <c r="AD664" s="39">
        <f t="shared" si="5731"/>
        <v>0</v>
      </c>
      <c r="AE664" s="39">
        <f t="shared" ref="AE664" si="5732">AVERAGE(AD698:AE698)</f>
        <v>0</v>
      </c>
      <c r="AF664" s="39">
        <f t="shared" ref="AF664:AH664" si="5733">AVERAGE(AE698:AF698)</f>
        <v>0</v>
      </c>
      <c r="AG664" s="39">
        <f t="shared" si="5733"/>
        <v>0</v>
      </c>
      <c r="AH664" s="39">
        <f t="shared" si="5733"/>
        <v>0</v>
      </c>
      <c r="AI664" s="40">
        <f t="shared" ref="AI664" si="5734">IF(ISERROR(AH664/AVERAGE(AG698:AH698)*AVERAGE(AH698:AI698)),0,AH664/AVERAGE(AG698:AH698)*AVERAGE(AH698:AI698))</f>
        <v>0</v>
      </c>
      <c r="AJ664" s="39">
        <f t="shared" ref="AJ664" si="5735">IF(ISERROR(AI664/AVERAGE(AH698:AI698)*AVERAGE(AI698:AJ698)),0,AI664/AVERAGE(AH698:AI698)*AVERAGE(AI698:AJ698))</f>
        <v>0</v>
      </c>
      <c r="AK664" s="39">
        <f t="shared" ref="AK664" si="5736">IF(ISERROR(AJ664/AVERAGE(AI698:AJ698)*AVERAGE(AJ698:AK698)),0,AJ664/AVERAGE(AI698:AJ698)*AVERAGE(AJ698:AK698))</f>
        <v>0</v>
      </c>
      <c r="AL664" s="39">
        <f t="shared" ref="AL664" si="5737">IF(ISERROR(AK664/AVERAGE(AJ698:AK698)*AVERAGE(AK698:AL698)),0,AK664/AVERAGE(AJ698:AK698)*AVERAGE(AK698:AL698))</f>
        <v>0</v>
      </c>
      <c r="AM664" s="39">
        <f t="shared" ref="AM664" si="5738">IF(ISERROR(AL664/AVERAGE(AK698:AL698)*AVERAGE(AL698:AM698)),0,AL664/AVERAGE(AK698:AL698)*AVERAGE(AL698:AM698))</f>
        <v>0</v>
      </c>
      <c r="AN664" s="39">
        <f t="shared" ref="AN664" si="5739">IF(ISERROR(AM664/AVERAGE(AL698:AM698)*AVERAGE(AM698:AN698)),0,AM664/AVERAGE(AL698:AM698)*AVERAGE(AM698:AN698))</f>
        <v>0</v>
      </c>
      <c r="AO664" s="39">
        <f t="shared" ref="AO664" si="5740">IF(ISERROR(AN664/AVERAGE(AM698:AN698)*AVERAGE(AN698:AO698)),0,AN664/AVERAGE(AM698:AN698)*AVERAGE(AN698:AO698))</f>
        <v>0</v>
      </c>
      <c r="AP664" s="39">
        <f t="shared" ref="AP664" si="5741">IF(ISERROR(AO664/AVERAGE(AN698:AO698)*AVERAGE(AO698:AP698)),0,AO664/AVERAGE(AN698:AO698)*AVERAGE(AO698:AP698))</f>
        <v>0</v>
      </c>
      <c r="AQ664" s="39">
        <f t="shared" ref="AQ664" si="5742">IF(ISERROR(AP664/AVERAGE(AO698:AP698)*AVERAGE(AP698:AQ698)),0,AP664/AVERAGE(AO698:AP698)*AVERAGE(AP698:AQ698))</f>
        <v>0</v>
      </c>
      <c r="AR664" s="39">
        <f t="shared" ref="AR664" si="5743">IF(ISERROR(AQ664/AVERAGE(AP698:AQ698)*AVERAGE(AQ698:AR698)),0,AQ664/AVERAGE(AP698:AQ698)*AVERAGE(AQ698:AR698))</f>
        <v>0</v>
      </c>
      <c r="AT664" s="30">
        <f>SUMPRODUCT(C664:D664,C$5:D$5)/SUM(C$5:D$5)</f>
        <v>12701.369863013701</v>
      </c>
      <c r="AU664" s="30">
        <f>SUMPRODUCT(E664:F664,E$5:F$5)/SUM(E$5:F$5)</f>
        <v>14500.68493150685</v>
      </c>
      <c r="AV664" s="30">
        <f>SUMPRODUCT(G664:H664,G$5:H$5)/SUM(G$5:H$5)</f>
        <v>15825</v>
      </c>
      <c r="AW664" s="30">
        <f>SUMPRODUCT(I664:J664,I$5:J$5)/SUM(I$5:J$5)</f>
        <v>16750.95890410959</v>
      </c>
      <c r="AX664" s="30">
        <f>SUMPRODUCT(K664:L664,K$5:L$5)/SUM(K$5:L$5)</f>
        <v>18726.712328767124</v>
      </c>
      <c r="AY664" s="30">
        <f>SUMPRODUCT(M664:N664,M$5:N$5)/SUM(M$5:N$5)</f>
        <v>21376.849315068495</v>
      </c>
      <c r="AZ664" s="30">
        <f>SUMPRODUCT(O664:P664,O$5:P$5)/SUM(O$5:P$5)</f>
        <v>24475</v>
      </c>
      <c r="BA664" s="30">
        <f>SUMPRODUCT(Q664:R664,Q$5:R$5)/SUM(Q$5:R$5)</f>
        <v>27873.424657534248</v>
      </c>
      <c r="BB664" s="30">
        <f>SUMPRODUCT(S664:T664,S$5:T$5)/SUM(S$5:T$5)</f>
        <v>22164.383561643837</v>
      </c>
      <c r="BC664" s="30">
        <f>SUMPRODUCT(U664:V664,U$5:V$5)/SUM(U$5:V$5)</f>
        <v>0</v>
      </c>
      <c r="BD664" s="30">
        <f>SUMPRODUCT(W664:X664,W$5:X$5)/SUM(W$5:X$5)</f>
        <v>0</v>
      </c>
      <c r="BE664" s="30">
        <f>SUMPRODUCT(Y664:Z664,Y$5:Z$5)/SUM(Y$5:Z$5)</f>
        <v>0</v>
      </c>
      <c r="BF664" s="30">
        <f>SUMPRODUCT(AA664:AB664,AA$5:AB$5)/SUM(AA$5:AB$5)</f>
        <v>0</v>
      </c>
      <c r="BG664" s="30">
        <f>SUMPRODUCT(AC664:AD664,AC$5:AD$5)/SUM(AC$5:AD$5)</f>
        <v>0</v>
      </c>
      <c r="BH664" s="30">
        <f>SUMPRODUCT(AE664:AF664,AE$5:AF$5)/SUM(AE$5:AF$5)</f>
        <v>0</v>
      </c>
      <c r="BI664" s="27">
        <f>SUMPRODUCT(AG664:AH664,AG$5:AH$5)/SUM(AG$5:AH$5)</f>
        <v>0</v>
      </c>
      <c r="BJ664" s="30">
        <f>SUMPRODUCT(AI664:AJ664,AI$5:AJ$5)/SUM(AI$5:AJ$5)</f>
        <v>0</v>
      </c>
      <c r="BK664" s="30">
        <f>SUMPRODUCT(AK664:AL664,AK$5:AL$5)/SUM(AK$5:AL$5)</f>
        <v>0</v>
      </c>
      <c r="BL664" s="30">
        <f>SUMPRODUCT(AL664:AM664,AL$5:AM$5)/SUM(AL$5:AM$5)</f>
        <v>0</v>
      </c>
      <c r="BM664" s="30">
        <f>SUMPRODUCT(AM664:AN664,AM$5:AN$5)/SUM(AM$5:AN$5)</f>
        <v>0</v>
      </c>
      <c r="BN664" s="30">
        <f>SUMPRODUCT(AO664:AP664,AO$5:AP$5)/SUM(AO$5:AP$5)</f>
        <v>0</v>
      </c>
    </row>
    <row r="665" spans="1:66" ht="12" hidden="1" customHeight="1" outlineLevel="2">
      <c r="A665" s="91" t="s">
        <v>1137</v>
      </c>
      <c r="B665" s="1" t="s">
        <v>5</v>
      </c>
      <c r="C665" s="37">
        <f t="shared" ref="C665:V665" si="5744">IF(ISERROR(C666/C664),"n.a.",C666/C664*C$5)</f>
        <v>2.6157842873779449E-2</v>
      </c>
      <c r="D665" s="37">
        <f t="shared" si="5744"/>
        <v>3.3728771228771229E-2</v>
      </c>
      <c r="E665" s="37">
        <f t="shared" si="5744"/>
        <v>3.8770971143706263E-2</v>
      </c>
      <c r="F665" s="37">
        <f t="shared" si="5744"/>
        <v>3.8614267088843357E-2</v>
      </c>
      <c r="G665" s="37">
        <f t="shared" si="5744"/>
        <v>3.7444089456869008E-2</v>
      </c>
      <c r="H665" s="37">
        <f t="shared" si="5744"/>
        <v>3.6624999999999998E-2</v>
      </c>
      <c r="I665" s="37">
        <f t="shared" si="5744"/>
        <v>3.0526122884179659E-2</v>
      </c>
      <c r="J665" s="37">
        <f t="shared" si="5744"/>
        <v>3.8467964783754256E-2</v>
      </c>
      <c r="K665" s="37">
        <f t="shared" si="5744"/>
        <v>3.0524107115901335E-2</v>
      </c>
      <c r="L665" s="37">
        <f t="shared" si="5744"/>
        <v>4.000624698299117E-2</v>
      </c>
      <c r="M665" s="37">
        <f t="shared" si="5744"/>
        <v>3.1411525566906892E-2</v>
      </c>
      <c r="N665" s="37">
        <f t="shared" si="5744"/>
        <v>3.7381326156836363E-2</v>
      </c>
      <c r="O665" s="37">
        <f t="shared" si="5744"/>
        <v>4.017467248908297E-2</v>
      </c>
      <c r="P665" s="37">
        <f t="shared" si="5744"/>
        <v>2.9788867562380038E-2</v>
      </c>
      <c r="Q665" s="37">
        <f t="shared" si="5744"/>
        <v>2.4817770607047165E-2</v>
      </c>
      <c r="R665" s="37">
        <f t="shared" si="5744"/>
        <v>2.6299158716741135E-2</v>
      </c>
      <c r="S665" s="37">
        <f t="shared" si="5744"/>
        <v>1.4853738606924472E-2</v>
      </c>
      <c r="T665" s="37">
        <f t="shared" si="5744"/>
        <v>1.0411037050381313E-2</v>
      </c>
      <c r="U665" s="37" t="str">
        <f t="shared" si="5744"/>
        <v>n.a.</v>
      </c>
      <c r="V665" s="37" t="str">
        <f t="shared" si="5744"/>
        <v>n.a.</v>
      </c>
      <c r="W665" s="37" t="str">
        <f t="shared" ref="W665:X665" si="5745">IF(ISERROR(W666/W664),"n.a.",W666/W664*W$5)</f>
        <v>n.a.</v>
      </c>
      <c r="X665" s="37" t="str">
        <f t="shared" si="5745"/>
        <v>n.a.</v>
      </c>
      <c r="Y665" s="37" t="str">
        <f t="shared" ref="Y665:Z665" si="5746">IF(ISERROR(Y666/Y664),"n.a.",Y666/Y664*Y$5)</f>
        <v>n.a.</v>
      </c>
      <c r="Z665" s="37" t="str">
        <f t="shared" si="5746"/>
        <v>n.a.</v>
      </c>
      <c r="AA665" s="37" t="str">
        <f t="shared" ref="AA665:AB665" si="5747">IF(ISERROR(AA666/AA664),"n.a.",AA666/AA664*AA$5)</f>
        <v>n.a.</v>
      </c>
      <c r="AB665" s="37" t="str">
        <f t="shared" si="5747"/>
        <v>n.a.</v>
      </c>
      <c r="AC665" s="37" t="str">
        <f t="shared" ref="AC665:AD665" si="5748">IF(ISERROR(AC666/AC664),"n.a.",AC666/AC664*AC$5)</f>
        <v>n.a.</v>
      </c>
      <c r="AD665" s="37" t="str">
        <f t="shared" si="5748"/>
        <v>n.a.</v>
      </c>
      <c r="AE665" s="37" t="str">
        <f t="shared" ref="AE665:AF665" si="5749">IF(ISERROR(AE666/AE664),"n.a.",AE666/AE664*AE$5)</f>
        <v>n.a.</v>
      </c>
      <c r="AF665" s="37" t="str">
        <f t="shared" si="5749"/>
        <v>n.a.</v>
      </c>
      <c r="AG665" s="37" t="str">
        <f t="shared" ref="AG665:AH665" si="5750">IF(ISERROR(AG666/AG664),"n.a.",AG666/AG664*AG$5)</f>
        <v>n.a.</v>
      </c>
      <c r="AH665" s="37" t="str">
        <f t="shared" si="5750"/>
        <v>n.a.</v>
      </c>
      <c r="AI665" s="38" t="str">
        <f t="shared" ref="AI665" si="5751">IF(ISERROR(AH665+AI710),"n.a.",AH665+AI710)</f>
        <v>n.a.</v>
      </c>
      <c r="AJ665" s="48" t="str">
        <f t="shared" ref="AJ665" si="5752">IF(ISERROR(AI665+AJ710),"n.a.",AI665+AJ710)</f>
        <v>n.a.</v>
      </c>
      <c r="AK665" s="48" t="str">
        <f t="shared" ref="AK665" si="5753">IF(ISERROR(AJ665+AK710),"n.a.",AJ665+AK710)</f>
        <v>n.a.</v>
      </c>
      <c r="AL665" s="48" t="str">
        <f t="shared" ref="AL665" si="5754">IF(ISERROR(AK665+AL710),"n.a.",AK665+AL710)</f>
        <v>n.a.</v>
      </c>
      <c r="AM665" s="48" t="str">
        <f t="shared" ref="AM665" si="5755">IF(ISERROR(AL665+AM710),"n.a.",AL665+AM710)</f>
        <v>n.a.</v>
      </c>
      <c r="AN665" s="48" t="str">
        <f t="shared" ref="AN665" si="5756">IF(ISERROR(AM665+AN710),"n.a.",AM665+AN710)</f>
        <v>n.a.</v>
      </c>
      <c r="AO665" s="48" t="str">
        <f t="shared" ref="AO665" si="5757">IF(ISERROR(AN665+AO710),"n.a.",AN665+AO710)</f>
        <v>n.a.</v>
      </c>
      <c r="AP665" s="48" t="str">
        <f t="shared" ref="AP665" si="5758">IF(ISERROR(AO665+AP710),"n.a.",AO665+AP710)</f>
        <v>n.a.</v>
      </c>
      <c r="AQ665" s="48" t="str">
        <f t="shared" ref="AQ665" si="5759">IF(ISERROR(AP665+AQ710),"n.a.",AP665+AQ710)</f>
        <v>n.a.</v>
      </c>
      <c r="AR665" s="48" t="str">
        <f t="shared" ref="AR665" si="5760">IF(ISERROR(AQ665+AR710),"n.a.",AQ665+AR710)</f>
        <v>n.a.</v>
      </c>
      <c r="AT665" s="37">
        <f t="shared" ref="AT665:BF665" si="5761">IF(ISERROR(AT666/AT664),"n.a.",AT666/AT664*AT$5)</f>
        <v>3.0075496117342532E-2</v>
      </c>
      <c r="AU665" s="37">
        <f t="shared" si="5761"/>
        <v>3.8687827688819607E-2</v>
      </c>
      <c r="AV665" s="37">
        <f t="shared" si="5761"/>
        <v>3.7030015797788307E-2</v>
      </c>
      <c r="AW665" s="37">
        <f t="shared" si="5761"/>
        <v>3.4565185391145059E-2</v>
      </c>
      <c r="AX665" s="37">
        <f t="shared" si="5761"/>
        <v>3.5403972056618264E-2</v>
      </c>
      <c r="AY665" s="37">
        <f t="shared" si="5761"/>
        <v>3.4476549333230799E-2</v>
      </c>
      <c r="AZ665" s="37">
        <f t="shared" si="5761"/>
        <v>3.4647599591419817E-2</v>
      </c>
      <c r="BA665" s="37">
        <f t="shared" si="5761"/>
        <v>2.5544044506477421E-2</v>
      </c>
      <c r="BB665" s="37">
        <f t="shared" si="5761"/>
        <v>1.3038936959208899E-2</v>
      </c>
      <c r="BC665" s="37" t="str">
        <f t="shared" si="5761"/>
        <v>n.a.</v>
      </c>
      <c r="BD665" s="37" t="str">
        <f t="shared" si="5761"/>
        <v>n.a.</v>
      </c>
      <c r="BE665" s="37" t="str">
        <f t="shared" si="5761"/>
        <v>n.a.</v>
      </c>
      <c r="BF665" s="37" t="str">
        <f t="shared" si="5761"/>
        <v>n.a.</v>
      </c>
      <c r="BG665" s="37" t="str">
        <f>IF(ISERROR(#REF!/BG664),"n.a.",#REF!/BG664*BG$5)</f>
        <v>n.a.</v>
      </c>
      <c r="BH665" s="37" t="str">
        <f>IF(ISERROR(#REF!/BH664),"n.a.",#REF!/BH664*BH$5)</f>
        <v>n.a.</v>
      </c>
      <c r="BI665" s="38" t="str">
        <f>IF(ISERROR(#REF!/BI664),"n.a.",#REF!/BI664*BI$5)</f>
        <v>n.a.</v>
      </c>
      <c r="BJ665" s="37" t="str">
        <f>IF(ISERROR(#REF!/BJ664),"n.a.",#REF!/BJ664*BJ$5)</f>
        <v>n.a.</v>
      </c>
      <c r="BK665" s="37" t="str">
        <f>IF(ISERROR(#REF!/BK664),"n.a.",#REF!/BK664*BK$5)</f>
        <v>n.a.</v>
      </c>
      <c r="BL665" s="37" t="str">
        <f>IF(ISERROR(#REF!/BL664),"n.a.",#REF!/BL664*BL$5)</f>
        <v>n.a.</v>
      </c>
      <c r="BM665" s="37" t="str">
        <f>IF(ISERROR(#REF!/BM664),"n.a.",#REF!/BM664*BM$5)</f>
        <v>n.a.</v>
      </c>
      <c r="BN665" s="37" t="str">
        <f>IF(ISERROR(#REF!/BN664),"n.a.",#REF!/BN664*BO$5)</f>
        <v>n.a.</v>
      </c>
    </row>
    <row r="666" spans="1:66" s="9" customFormat="1" ht="12" hidden="1" customHeight="1" outlineLevel="2">
      <c r="A666" s="91" t="s">
        <v>1138</v>
      </c>
      <c r="B666" s="9" t="s">
        <v>7</v>
      </c>
      <c r="C666" s="22">
        <v>160</v>
      </c>
      <c r="D666" s="22">
        <f>382-C666</f>
        <v>222</v>
      </c>
      <c r="E666" s="22">
        <v>277</v>
      </c>
      <c r="F666" s="22">
        <f>561-E666</f>
        <v>284</v>
      </c>
      <c r="G666" s="22">
        <v>293</v>
      </c>
      <c r="H666" s="22">
        <f>586-G666</f>
        <v>293</v>
      </c>
      <c r="I666" s="22">
        <v>251</v>
      </c>
      <c r="J666" s="22">
        <v>328</v>
      </c>
      <c r="K666" s="22">
        <v>277</v>
      </c>
      <c r="L666" s="22">
        <v>386</v>
      </c>
      <c r="M666" s="61">
        <v>326</v>
      </c>
      <c r="N666" s="61">
        <v>411</v>
      </c>
      <c r="O666" s="61">
        <v>460</v>
      </c>
      <c r="P666" s="61">
        <v>388</v>
      </c>
      <c r="Q666" s="61">
        <f>354-Q675</f>
        <v>354</v>
      </c>
      <c r="R666" s="61">
        <v>358</v>
      </c>
      <c r="S666" s="61">
        <v>194</v>
      </c>
      <c r="T666" s="61">
        <v>95</v>
      </c>
      <c r="U666" s="61">
        <v>0</v>
      </c>
      <c r="V666" s="61">
        <v>0</v>
      </c>
      <c r="W666" s="61">
        <v>0</v>
      </c>
      <c r="X666" s="61">
        <v>0</v>
      </c>
      <c r="Y666" s="61">
        <v>0</v>
      </c>
      <c r="Z666" s="61">
        <v>0</v>
      </c>
      <c r="AA666" s="61">
        <v>0</v>
      </c>
      <c r="AB666" s="61">
        <v>0</v>
      </c>
      <c r="AC666" s="61">
        <v>0</v>
      </c>
      <c r="AD666" s="61">
        <v>0</v>
      </c>
      <c r="AE666" s="61">
        <v>0</v>
      </c>
      <c r="AF666" s="61">
        <v>0</v>
      </c>
      <c r="AG666" s="61">
        <v>0</v>
      </c>
      <c r="AH666" s="61">
        <v>0</v>
      </c>
      <c r="AI666" s="338">
        <f t="shared" ref="AI666:AJ666" si="5762">IF(ISERROR(AI664*AI665),0,AI664*AI665/AI$5)</f>
        <v>0</v>
      </c>
      <c r="AJ666" s="39">
        <f t="shared" si="5762"/>
        <v>0</v>
      </c>
      <c r="AK666" s="39">
        <f t="shared" ref="AK666:AL666" si="5763">IF(ISERROR(AK664*AK665),0,AK664*AK665/AK$5)</f>
        <v>0</v>
      </c>
      <c r="AL666" s="39">
        <f t="shared" si="5763"/>
        <v>0</v>
      </c>
      <c r="AM666" s="39">
        <f t="shared" ref="AM666:AN666" si="5764">IF(ISERROR(AM664*AM665),0,AM664*AM665/AM$5)</f>
        <v>0</v>
      </c>
      <c r="AN666" s="39">
        <f t="shared" si="5764"/>
        <v>0</v>
      </c>
      <c r="AO666" s="39">
        <f t="shared" ref="AO666:AP666" si="5765">IF(ISERROR(AO664*AO665),0,AO664*AO665/AO$5)</f>
        <v>0</v>
      </c>
      <c r="AP666" s="39">
        <f t="shared" si="5765"/>
        <v>0</v>
      </c>
      <c r="AQ666" s="39">
        <f t="shared" ref="AQ666:AR666" si="5766">IF(ISERROR(AQ664*AQ665),0,AQ664*AQ665/AQ$5)</f>
        <v>0</v>
      </c>
      <c r="AR666" s="39">
        <f t="shared" si="5766"/>
        <v>0</v>
      </c>
      <c r="AT666" s="17">
        <f t="shared" ref="AT666:AT673" si="5767">C666+D666</f>
        <v>382</v>
      </c>
      <c r="AU666" s="17">
        <f t="shared" ref="AU666:AU673" si="5768">E666+F666</f>
        <v>561</v>
      </c>
      <c r="AV666" s="17">
        <f t="shared" ref="AV666:AV673" si="5769">G666+H666</f>
        <v>586</v>
      </c>
      <c r="AW666" s="17">
        <f t="shared" ref="AW666:AW673" si="5770">I666+J666</f>
        <v>579</v>
      </c>
      <c r="AX666" s="17">
        <f t="shared" ref="AX666:AX673" si="5771">K666+L666</f>
        <v>663</v>
      </c>
      <c r="AY666" s="17">
        <f t="shared" ref="AY666:AY673" si="5772">M666+N666</f>
        <v>737</v>
      </c>
      <c r="AZ666" s="17">
        <f t="shared" ref="AZ666:AZ673" si="5773">O666+P666</f>
        <v>848</v>
      </c>
      <c r="BA666" s="17">
        <f t="shared" ref="BA666:BA673" si="5774">Q666+R666</f>
        <v>712</v>
      </c>
      <c r="BB666" s="17">
        <f t="shared" ref="BB666:BB673" si="5775">S666+T666</f>
        <v>289</v>
      </c>
      <c r="BC666" s="17">
        <f t="shared" ref="BC666:BC673" si="5776">U666+V666</f>
        <v>0</v>
      </c>
      <c r="BD666" s="17">
        <f t="shared" ref="BD666:BD673" si="5777">W666+X666</f>
        <v>0</v>
      </c>
      <c r="BE666" s="17">
        <f t="shared" ref="BE666:BE673" si="5778">Y666+Z666</f>
        <v>0</v>
      </c>
      <c r="BF666" s="17">
        <f t="shared" ref="BF666:BF673" si="5779">AA666+AB666</f>
        <v>0</v>
      </c>
      <c r="BG666" s="17">
        <f t="shared" ref="BG666:BG673" si="5780">AC666+AD666</f>
        <v>0</v>
      </c>
      <c r="BH666" s="17">
        <f t="shared" ref="BH666:BH673" si="5781">AE666+AF666</f>
        <v>0</v>
      </c>
      <c r="BI666" s="18">
        <f t="shared" ref="BI666:BI673" si="5782">AG666+AH666</f>
        <v>0</v>
      </c>
      <c r="BJ666" s="17">
        <f t="shared" ref="BJ666:BJ673" si="5783">AI666+AJ666</f>
        <v>0</v>
      </c>
      <c r="BK666" s="17">
        <f t="shared" ref="BK666:BM673" si="5784">AK666+AL666</f>
        <v>0</v>
      </c>
      <c r="BL666" s="17">
        <f t="shared" si="5784"/>
        <v>0</v>
      </c>
      <c r="BM666" s="17">
        <f t="shared" si="5784"/>
        <v>0</v>
      </c>
      <c r="BN666" s="17">
        <f t="shared" ref="BN666:BN673" si="5785">AO666+AP666</f>
        <v>0</v>
      </c>
    </row>
    <row r="667" spans="1:66" ht="12" hidden="1" customHeight="1" outlineLevel="2">
      <c r="A667" s="91" t="s">
        <v>1139</v>
      </c>
      <c r="B667" s="1" t="s">
        <v>31</v>
      </c>
      <c r="C667" s="21">
        <v>0</v>
      </c>
      <c r="D667" s="21">
        <v>0</v>
      </c>
      <c r="E667" s="21">
        <v>0</v>
      </c>
      <c r="F667" s="21">
        <v>0</v>
      </c>
      <c r="G667" s="21">
        <v>0</v>
      </c>
      <c r="H667" s="21">
        <v>0</v>
      </c>
      <c r="I667" s="21">
        <v>0</v>
      </c>
      <c r="J667" s="21">
        <v>0</v>
      </c>
      <c r="K667" s="21">
        <v>0</v>
      </c>
      <c r="L667" s="21">
        <v>0</v>
      </c>
      <c r="M667" s="62">
        <v>0</v>
      </c>
      <c r="N667" s="62">
        <v>0</v>
      </c>
      <c r="O667" s="62">
        <v>0</v>
      </c>
      <c r="P667" s="62">
        <v>0</v>
      </c>
      <c r="Q667" s="62">
        <v>0</v>
      </c>
      <c r="R667" s="62">
        <v>0</v>
      </c>
      <c r="S667" s="62">
        <v>0</v>
      </c>
      <c r="T667" s="62">
        <v>0</v>
      </c>
      <c r="U667" s="62">
        <v>0</v>
      </c>
      <c r="V667" s="62">
        <v>0</v>
      </c>
      <c r="W667" s="62">
        <v>0</v>
      </c>
      <c r="X667" s="62">
        <v>0</v>
      </c>
      <c r="Y667" s="62">
        <v>0</v>
      </c>
      <c r="Z667" s="62">
        <v>0</v>
      </c>
      <c r="AA667" s="62">
        <v>0</v>
      </c>
      <c r="AB667" s="62">
        <v>0</v>
      </c>
      <c r="AC667" s="62">
        <v>0</v>
      </c>
      <c r="AD667" s="62">
        <v>0</v>
      </c>
      <c r="AE667" s="62">
        <v>0</v>
      </c>
      <c r="AF667" s="62">
        <v>0</v>
      </c>
      <c r="AG667" s="62">
        <v>0</v>
      </c>
      <c r="AH667" s="62">
        <v>0</v>
      </c>
      <c r="AI667" s="57">
        <f t="shared" ref="AI667" si="5786">IF(ISERROR(AI713*AVERAGE(AH702:AI702)/AI$5),0,AI713*AVERAGE(AH702:AI702)/AI$5)</f>
        <v>0</v>
      </c>
      <c r="AJ667" s="41">
        <f t="shared" ref="AJ667" si="5787">IF(ISERROR(AJ713*AVERAGE(AI702:AJ702)/AJ$5),0,AJ713*AVERAGE(AI702:AJ702)/AJ$5)</f>
        <v>0</v>
      </c>
      <c r="AK667" s="41">
        <f t="shared" ref="AK667" si="5788">IF(ISERROR(AK713*AVERAGE(AJ702:AK702)/AK$5),0,AK713*AVERAGE(AJ702:AK702)/AK$5)</f>
        <v>0</v>
      </c>
      <c r="AL667" s="41">
        <f t="shared" ref="AL667" si="5789">IF(ISERROR(AL713*AVERAGE(AK702:AL702)/AL$5),0,AL713*AVERAGE(AK702:AL702)/AL$5)</f>
        <v>0</v>
      </c>
      <c r="AM667" s="41">
        <f t="shared" ref="AM667" si="5790">IF(ISERROR(AM713*AVERAGE(AL702:AM702)/AM$5),0,AM713*AVERAGE(AL702:AM702)/AM$5)</f>
        <v>0</v>
      </c>
      <c r="AN667" s="41">
        <f t="shared" ref="AN667" si="5791">IF(ISERROR(AN713*AVERAGE(AM702:AN702)/AN$5),0,AN713*AVERAGE(AM702:AN702)/AN$5)</f>
        <v>0</v>
      </c>
      <c r="AO667" s="41">
        <f t="shared" ref="AO667" si="5792">IF(ISERROR(AO713*AVERAGE(AN702:AO702)/AO$5),0,AO713*AVERAGE(AN702:AO702)/AO$5)</f>
        <v>0</v>
      </c>
      <c r="AP667" s="41">
        <f t="shared" ref="AP667" si="5793">IF(ISERROR(AP713*AVERAGE(AO702:AP702)/AP$5),0,AP713*AVERAGE(AO702:AP702)/AP$5)</f>
        <v>0</v>
      </c>
      <c r="AQ667" s="41">
        <f t="shared" ref="AQ667" si="5794">IF(ISERROR(AQ713*AVERAGE(AP702:AQ702)/AQ$5),0,AQ713*AVERAGE(AP702:AQ702)/AQ$5)</f>
        <v>0</v>
      </c>
      <c r="AR667" s="41">
        <f t="shared" ref="AR667" si="5795">IF(ISERROR(AR713*AVERAGE(AQ702:AR702)/AR$5),0,AR713*AVERAGE(AQ702:AR702)/AR$5)</f>
        <v>0</v>
      </c>
      <c r="AT667" s="19">
        <f t="shared" si="5767"/>
        <v>0</v>
      </c>
      <c r="AU667" s="19">
        <f t="shared" si="5768"/>
        <v>0</v>
      </c>
      <c r="AV667" s="19">
        <f t="shared" si="5769"/>
        <v>0</v>
      </c>
      <c r="AW667" s="19">
        <f t="shared" si="5770"/>
        <v>0</v>
      </c>
      <c r="AX667" s="19">
        <f t="shared" si="5771"/>
        <v>0</v>
      </c>
      <c r="AY667" s="19">
        <f t="shared" si="5772"/>
        <v>0</v>
      </c>
      <c r="AZ667" s="19">
        <f t="shared" si="5773"/>
        <v>0</v>
      </c>
      <c r="BA667" s="19">
        <f t="shared" si="5774"/>
        <v>0</v>
      </c>
      <c r="BB667" s="19">
        <f t="shared" si="5775"/>
        <v>0</v>
      </c>
      <c r="BC667" s="19">
        <f t="shared" si="5776"/>
        <v>0</v>
      </c>
      <c r="BD667" s="19">
        <f t="shared" si="5777"/>
        <v>0</v>
      </c>
      <c r="BE667" s="19">
        <f t="shared" si="5778"/>
        <v>0</v>
      </c>
      <c r="BF667" s="19">
        <f t="shared" si="5779"/>
        <v>0</v>
      </c>
      <c r="BG667" s="19">
        <f t="shared" si="5780"/>
        <v>0</v>
      </c>
      <c r="BH667" s="19">
        <f t="shared" si="5781"/>
        <v>0</v>
      </c>
      <c r="BI667" s="20">
        <f t="shared" si="5782"/>
        <v>0</v>
      </c>
      <c r="BJ667" s="19">
        <f t="shared" si="5783"/>
        <v>0</v>
      </c>
      <c r="BK667" s="19">
        <f t="shared" si="5784"/>
        <v>0</v>
      </c>
      <c r="BL667" s="19">
        <f t="shared" si="5784"/>
        <v>0</v>
      </c>
      <c r="BM667" s="19">
        <f t="shared" si="5784"/>
        <v>0</v>
      </c>
      <c r="BN667" s="19">
        <f t="shared" si="5785"/>
        <v>0</v>
      </c>
    </row>
    <row r="668" spans="1:66" ht="12" hidden="1" customHeight="1" outlineLevel="2">
      <c r="A668" s="91" t="s">
        <v>1140</v>
      </c>
      <c r="B668" s="1" t="s">
        <v>30</v>
      </c>
      <c r="C668" s="21">
        <v>0</v>
      </c>
      <c r="D668" s="21">
        <v>0</v>
      </c>
      <c r="E668" s="21">
        <v>0</v>
      </c>
      <c r="F668" s="21">
        <v>0</v>
      </c>
      <c r="G668" s="21">
        <v>0</v>
      </c>
      <c r="H668" s="21">
        <v>0</v>
      </c>
      <c r="I668" s="21">
        <v>0</v>
      </c>
      <c r="J668" s="21">
        <v>0</v>
      </c>
      <c r="K668" s="21">
        <v>0</v>
      </c>
      <c r="L668" s="21">
        <v>0</v>
      </c>
      <c r="M668" s="62">
        <v>0</v>
      </c>
      <c r="N668" s="62">
        <v>0</v>
      </c>
      <c r="O668" s="62">
        <v>0</v>
      </c>
      <c r="P668" s="62">
        <v>0</v>
      </c>
      <c r="Q668" s="62">
        <v>0</v>
      </c>
      <c r="R668" s="62">
        <v>0</v>
      </c>
      <c r="S668" s="62">
        <v>0</v>
      </c>
      <c r="T668" s="62">
        <v>0</v>
      </c>
      <c r="U668" s="62">
        <v>0</v>
      </c>
      <c r="V668" s="62">
        <v>0</v>
      </c>
      <c r="W668" s="62">
        <v>0</v>
      </c>
      <c r="X668" s="62">
        <v>0</v>
      </c>
      <c r="Y668" s="62">
        <v>0</v>
      </c>
      <c r="Z668" s="62">
        <v>0</v>
      </c>
      <c r="AA668" s="62">
        <v>0</v>
      </c>
      <c r="AB668" s="62">
        <v>0</v>
      </c>
      <c r="AC668" s="62">
        <v>0</v>
      </c>
      <c r="AD668" s="62">
        <v>0</v>
      </c>
      <c r="AE668" s="62">
        <v>0</v>
      </c>
      <c r="AF668" s="62">
        <v>0</v>
      </c>
      <c r="AG668" s="62">
        <v>0</v>
      </c>
      <c r="AH668" s="62">
        <v>0</v>
      </c>
      <c r="AI668" s="57">
        <f t="shared" ref="AI668" si="5796">IF(ISERROR(AI714*AVERAGE(AH705:AI705)/AI$5),0,AI714*AVERAGE(AH705:AI705)/AI$5)</f>
        <v>0</v>
      </c>
      <c r="AJ668" s="41">
        <f t="shared" ref="AJ668" si="5797">IF(ISERROR(AJ714*AVERAGE(AI705:AJ705)/AJ$5),0,AJ714*AVERAGE(AI705:AJ705)/AJ$5)</f>
        <v>0</v>
      </c>
      <c r="AK668" s="41">
        <f t="shared" ref="AK668" si="5798">IF(ISERROR(AK714*AVERAGE(AJ705:AK705)/AK$5),0,AK714*AVERAGE(AJ705:AK705)/AK$5)</f>
        <v>0</v>
      </c>
      <c r="AL668" s="41">
        <f t="shared" ref="AL668" si="5799">IF(ISERROR(AL714*AVERAGE(AK705:AL705)/AL$5),0,AL714*AVERAGE(AK705:AL705)/AL$5)</f>
        <v>0</v>
      </c>
      <c r="AM668" s="41">
        <f t="shared" ref="AM668" si="5800">IF(ISERROR(AM714*AVERAGE(AL705:AM705)/AM$5),0,AM714*AVERAGE(AL705:AM705)/AM$5)</f>
        <v>0</v>
      </c>
      <c r="AN668" s="41">
        <f t="shared" ref="AN668" si="5801">IF(ISERROR(AN714*AVERAGE(AM705:AN705)/AN$5),0,AN714*AVERAGE(AM705:AN705)/AN$5)</f>
        <v>0</v>
      </c>
      <c r="AO668" s="41">
        <f t="shared" ref="AO668" si="5802">IF(ISERROR(AO714*AVERAGE(AN705:AO705)/AO$5),0,AO714*AVERAGE(AN705:AO705)/AO$5)</f>
        <v>0</v>
      </c>
      <c r="AP668" s="41">
        <f t="shared" ref="AP668" si="5803">IF(ISERROR(AP714*AVERAGE(AO705:AP705)/AP$5),0,AP714*AVERAGE(AO705:AP705)/AP$5)</f>
        <v>0</v>
      </c>
      <c r="AQ668" s="41">
        <f t="shared" ref="AQ668" si="5804">IF(ISERROR(AQ714*AVERAGE(AP705:AQ705)/AQ$5),0,AQ714*AVERAGE(AP705:AQ705)/AQ$5)</f>
        <v>0</v>
      </c>
      <c r="AR668" s="41">
        <f t="shared" ref="AR668" si="5805">IF(ISERROR(AR714*AVERAGE(AQ705:AR705)/AR$5),0,AR714*AVERAGE(AQ705:AR705)/AR$5)</f>
        <v>0</v>
      </c>
      <c r="AT668" s="19">
        <f t="shared" si="5767"/>
        <v>0</v>
      </c>
      <c r="AU668" s="19">
        <f t="shared" si="5768"/>
        <v>0</v>
      </c>
      <c r="AV668" s="19">
        <f t="shared" si="5769"/>
        <v>0</v>
      </c>
      <c r="AW668" s="19">
        <f t="shared" si="5770"/>
        <v>0</v>
      </c>
      <c r="AX668" s="19">
        <f t="shared" si="5771"/>
        <v>0</v>
      </c>
      <c r="AY668" s="19">
        <f t="shared" si="5772"/>
        <v>0</v>
      </c>
      <c r="AZ668" s="19">
        <f t="shared" si="5773"/>
        <v>0</v>
      </c>
      <c r="BA668" s="19">
        <f t="shared" si="5774"/>
        <v>0</v>
      </c>
      <c r="BB668" s="19">
        <f t="shared" si="5775"/>
        <v>0</v>
      </c>
      <c r="BC668" s="19">
        <f t="shared" si="5776"/>
        <v>0</v>
      </c>
      <c r="BD668" s="19">
        <f t="shared" si="5777"/>
        <v>0</v>
      </c>
      <c r="BE668" s="19">
        <f t="shared" si="5778"/>
        <v>0</v>
      </c>
      <c r="BF668" s="19">
        <f t="shared" si="5779"/>
        <v>0</v>
      </c>
      <c r="BG668" s="19">
        <f t="shared" si="5780"/>
        <v>0</v>
      </c>
      <c r="BH668" s="19">
        <f t="shared" si="5781"/>
        <v>0</v>
      </c>
      <c r="BI668" s="20">
        <f t="shared" si="5782"/>
        <v>0</v>
      </c>
      <c r="BJ668" s="19">
        <f t="shared" si="5783"/>
        <v>0</v>
      </c>
      <c r="BK668" s="19">
        <f t="shared" si="5784"/>
        <v>0</v>
      </c>
      <c r="BL668" s="19">
        <f t="shared" si="5784"/>
        <v>0</v>
      </c>
      <c r="BM668" s="19">
        <f t="shared" si="5784"/>
        <v>0</v>
      </c>
      <c r="BN668" s="19">
        <f t="shared" si="5785"/>
        <v>0</v>
      </c>
    </row>
    <row r="669" spans="1:66" ht="12" hidden="1" customHeight="1" outlineLevel="2">
      <c r="A669" s="91" t="s">
        <v>1141</v>
      </c>
      <c r="B669" s="1" t="s">
        <v>32</v>
      </c>
      <c r="C669" s="21">
        <v>0</v>
      </c>
      <c r="D669" s="21">
        <v>0</v>
      </c>
      <c r="E669" s="21">
        <v>0</v>
      </c>
      <c r="F669" s="21">
        <v>0</v>
      </c>
      <c r="G669" s="21">
        <v>0</v>
      </c>
      <c r="H669" s="21">
        <v>0</v>
      </c>
      <c r="I669" s="21">
        <v>0</v>
      </c>
      <c r="J669" s="21">
        <v>0</v>
      </c>
      <c r="K669" s="21">
        <v>0</v>
      </c>
      <c r="L669" s="21">
        <v>0</v>
      </c>
      <c r="M669" s="62">
        <v>0</v>
      </c>
      <c r="N669" s="62">
        <v>0</v>
      </c>
      <c r="O669" s="62">
        <v>0</v>
      </c>
      <c r="P669" s="62">
        <v>0</v>
      </c>
      <c r="Q669" s="62">
        <v>0</v>
      </c>
      <c r="R669" s="62">
        <v>0</v>
      </c>
      <c r="S669" s="62">
        <v>0</v>
      </c>
      <c r="T669" s="62">
        <v>0</v>
      </c>
      <c r="U669" s="62">
        <v>0</v>
      </c>
      <c r="V669" s="62">
        <v>0</v>
      </c>
      <c r="W669" s="62">
        <v>0</v>
      </c>
      <c r="X669" s="62">
        <v>0</v>
      </c>
      <c r="Y669" s="62">
        <v>0</v>
      </c>
      <c r="Z669" s="62">
        <v>0</v>
      </c>
      <c r="AA669" s="62">
        <v>0</v>
      </c>
      <c r="AB669" s="62">
        <v>0</v>
      </c>
      <c r="AC669" s="62">
        <v>0</v>
      </c>
      <c r="AD669" s="62">
        <v>0</v>
      </c>
      <c r="AE669" s="62">
        <v>0</v>
      </c>
      <c r="AF669" s="62">
        <v>0</v>
      </c>
      <c r="AG669" s="62">
        <v>0</v>
      </c>
      <c r="AH669" s="62">
        <v>0</v>
      </c>
      <c r="AI669" s="57">
        <v>0</v>
      </c>
      <c r="AJ669" s="58">
        <v>0</v>
      </c>
      <c r="AK669" s="58">
        <v>0</v>
      </c>
      <c r="AL669" s="58">
        <v>0</v>
      </c>
      <c r="AM669" s="58">
        <v>0</v>
      </c>
      <c r="AN669" s="58">
        <v>0</v>
      </c>
      <c r="AO669" s="58">
        <v>0</v>
      </c>
      <c r="AP669" s="58">
        <v>0</v>
      </c>
      <c r="AQ669" s="58">
        <v>0</v>
      </c>
      <c r="AR669" s="58">
        <v>0</v>
      </c>
      <c r="AT669" s="19">
        <f t="shared" si="5767"/>
        <v>0</v>
      </c>
      <c r="AU669" s="19">
        <f t="shared" si="5768"/>
        <v>0</v>
      </c>
      <c r="AV669" s="19">
        <f t="shared" si="5769"/>
        <v>0</v>
      </c>
      <c r="AW669" s="19">
        <f t="shared" si="5770"/>
        <v>0</v>
      </c>
      <c r="AX669" s="19">
        <f t="shared" si="5771"/>
        <v>0</v>
      </c>
      <c r="AY669" s="19">
        <f t="shared" si="5772"/>
        <v>0</v>
      </c>
      <c r="AZ669" s="19">
        <f t="shared" si="5773"/>
        <v>0</v>
      </c>
      <c r="BA669" s="19">
        <f t="shared" si="5774"/>
        <v>0</v>
      </c>
      <c r="BB669" s="19">
        <f t="shared" si="5775"/>
        <v>0</v>
      </c>
      <c r="BC669" s="19">
        <f t="shared" si="5776"/>
        <v>0</v>
      </c>
      <c r="BD669" s="19">
        <f t="shared" si="5777"/>
        <v>0</v>
      </c>
      <c r="BE669" s="19">
        <f t="shared" si="5778"/>
        <v>0</v>
      </c>
      <c r="BF669" s="19">
        <f t="shared" si="5779"/>
        <v>0</v>
      </c>
      <c r="BG669" s="19">
        <f t="shared" si="5780"/>
        <v>0</v>
      </c>
      <c r="BH669" s="19">
        <f t="shared" si="5781"/>
        <v>0</v>
      </c>
      <c r="BI669" s="20">
        <f t="shared" si="5782"/>
        <v>0</v>
      </c>
      <c r="BJ669" s="19">
        <f t="shared" si="5783"/>
        <v>0</v>
      </c>
      <c r="BK669" s="19">
        <f t="shared" si="5784"/>
        <v>0</v>
      </c>
      <c r="BL669" s="19">
        <f t="shared" si="5784"/>
        <v>0</v>
      </c>
      <c r="BM669" s="19">
        <f t="shared" si="5784"/>
        <v>0</v>
      </c>
      <c r="BN669" s="19">
        <f t="shared" si="5785"/>
        <v>0</v>
      </c>
    </row>
    <row r="670" spans="1:66" ht="12" hidden="1" customHeight="1" outlineLevel="2">
      <c r="A670" s="91" t="s">
        <v>1142</v>
      </c>
      <c r="B670" s="1" t="s">
        <v>33</v>
      </c>
      <c r="C670" s="21">
        <v>0</v>
      </c>
      <c r="D670" s="21">
        <v>0</v>
      </c>
      <c r="E670" s="21">
        <v>0</v>
      </c>
      <c r="F670" s="21">
        <v>0</v>
      </c>
      <c r="G670" s="21">
        <v>0</v>
      </c>
      <c r="H670" s="21">
        <v>0</v>
      </c>
      <c r="I670" s="21">
        <v>0</v>
      </c>
      <c r="J670" s="21">
        <v>0</v>
      </c>
      <c r="K670" s="21">
        <v>0</v>
      </c>
      <c r="L670" s="21">
        <v>0</v>
      </c>
      <c r="M670" s="62">
        <v>0</v>
      </c>
      <c r="N670" s="62">
        <v>0</v>
      </c>
      <c r="O670" s="62">
        <v>0</v>
      </c>
      <c r="P670" s="62">
        <v>0</v>
      </c>
      <c r="Q670" s="62">
        <v>0</v>
      </c>
      <c r="R670" s="62">
        <v>0</v>
      </c>
      <c r="S670" s="62">
        <v>0</v>
      </c>
      <c r="T670" s="62">
        <v>0</v>
      </c>
      <c r="U670" s="62">
        <v>0</v>
      </c>
      <c r="V670" s="62">
        <v>0</v>
      </c>
      <c r="W670" s="62">
        <v>0</v>
      </c>
      <c r="X670" s="62">
        <v>0</v>
      </c>
      <c r="Y670" s="62">
        <v>0</v>
      </c>
      <c r="Z670" s="62">
        <v>0</v>
      </c>
      <c r="AA670" s="62">
        <v>0</v>
      </c>
      <c r="AB670" s="62">
        <v>0</v>
      </c>
      <c r="AC670" s="62">
        <v>0</v>
      </c>
      <c r="AD670" s="62">
        <v>0</v>
      </c>
      <c r="AE670" s="62">
        <v>0</v>
      </c>
      <c r="AF670" s="62">
        <v>0</v>
      </c>
      <c r="AG670" s="62">
        <v>0</v>
      </c>
      <c r="AH670" s="62">
        <v>0</v>
      </c>
      <c r="AI670" s="57">
        <v>0</v>
      </c>
      <c r="AJ670" s="58">
        <v>0</v>
      </c>
      <c r="AK670" s="58">
        <v>0</v>
      </c>
      <c r="AL670" s="58">
        <v>0</v>
      </c>
      <c r="AM670" s="58">
        <v>0</v>
      </c>
      <c r="AN670" s="58">
        <v>0</v>
      </c>
      <c r="AO670" s="58">
        <v>0</v>
      </c>
      <c r="AP670" s="58">
        <v>0</v>
      </c>
      <c r="AQ670" s="58">
        <v>0</v>
      </c>
      <c r="AR670" s="58">
        <v>0</v>
      </c>
      <c r="AT670" s="19">
        <f t="shared" si="5767"/>
        <v>0</v>
      </c>
      <c r="AU670" s="19">
        <f t="shared" si="5768"/>
        <v>0</v>
      </c>
      <c r="AV670" s="19">
        <f t="shared" si="5769"/>
        <v>0</v>
      </c>
      <c r="AW670" s="19">
        <f t="shared" si="5770"/>
        <v>0</v>
      </c>
      <c r="AX670" s="19">
        <f t="shared" si="5771"/>
        <v>0</v>
      </c>
      <c r="AY670" s="19">
        <f t="shared" si="5772"/>
        <v>0</v>
      </c>
      <c r="AZ670" s="19">
        <f t="shared" si="5773"/>
        <v>0</v>
      </c>
      <c r="BA670" s="19">
        <f t="shared" si="5774"/>
        <v>0</v>
      </c>
      <c r="BB670" s="19">
        <f t="shared" si="5775"/>
        <v>0</v>
      </c>
      <c r="BC670" s="19">
        <f t="shared" si="5776"/>
        <v>0</v>
      </c>
      <c r="BD670" s="19">
        <f t="shared" si="5777"/>
        <v>0</v>
      </c>
      <c r="BE670" s="19">
        <f t="shared" si="5778"/>
        <v>0</v>
      </c>
      <c r="BF670" s="19">
        <f t="shared" si="5779"/>
        <v>0</v>
      </c>
      <c r="BG670" s="19">
        <f t="shared" si="5780"/>
        <v>0</v>
      </c>
      <c r="BH670" s="19">
        <f t="shared" si="5781"/>
        <v>0</v>
      </c>
      <c r="BI670" s="20">
        <f t="shared" si="5782"/>
        <v>0</v>
      </c>
      <c r="BJ670" s="19">
        <f t="shared" si="5783"/>
        <v>0</v>
      </c>
      <c r="BK670" s="19">
        <f t="shared" si="5784"/>
        <v>0</v>
      </c>
      <c r="BL670" s="19">
        <f t="shared" si="5784"/>
        <v>0</v>
      </c>
      <c r="BM670" s="19">
        <f t="shared" si="5784"/>
        <v>0</v>
      </c>
      <c r="BN670" s="19">
        <f t="shared" si="5785"/>
        <v>0</v>
      </c>
    </row>
    <row r="671" spans="1:66" ht="12" hidden="1" customHeight="1" outlineLevel="2">
      <c r="A671" s="91" t="s">
        <v>1143</v>
      </c>
      <c r="B671" s="1" t="s">
        <v>20</v>
      </c>
      <c r="C671" s="21">
        <v>0</v>
      </c>
      <c r="D671" s="21">
        <v>0</v>
      </c>
      <c r="E671" s="21">
        <v>0</v>
      </c>
      <c r="F671" s="21">
        <v>0</v>
      </c>
      <c r="G671" s="21">
        <v>0</v>
      </c>
      <c r="H671" s="21">
        <v>0</v>
      </c>
      <c r="I671" s="21">
        <v>0</v>
      </c>
      <c r="J671" s="21">
        <v>0</v>
      </c>
      <c r="K671" s="21">
        <v>0</v>
      </c>
      <c r="L671" s="21">
        <v>0</v>
      </c>
      <c r="M671" s="62">
        <v>0</v>
      </c>
      <c r="N671" s="62">
        <v>0</v>
      </c>
      <c r="O671" s="62">
        <v>0</v>
      </c>
      <c r="P671" s="62">
        <v>0</v>
      </c>
      <c r="Q671" s="62">
        <v>0</v>
      </c>
      <c r="R671" s="62">
        <v>0</v>
      </c>
      <c r="S671" s="62">
        <v>0</v>
      </c>
      <c r="T671" s="62">
        <v>0</v>
      </c>
      <c r="U671" s="62">
        <v>0</v>
      </c>
      <c r="V671" s="62">
        <v>0</v>
      </c>
      <c r="W671" s="62">
        <v>0</v>
      </c>
      <c r="X671" s="62">
        <v>0</v>
      </c>
      <c r="Y671" s="62">
        <v>0</v>
      </c>
      <c r="Z671" s="62">
        <v>0</v>
      </c>
      <c r="AA671" s="62">
        <v>0</v>
      </c>
      <c r="AB671" s="62">
        <v>0</v>
      </c>
      <c r="AC671" s="62">
        <v>0</v>
      </c>
      <c r="AD671" s="62">
        <v>0</v>
      </c>
      <c r="AE671" s="62">
        <v>0</v>
      </c>
      <c r="AF671" s="62">
        <v>0</v>
      </c>
      <c r="AG671" s="62">
        <v>0</v>
      </c>
      <c r="AH671" s="62">
        <v>0</v>
      </c>
      <c r="AI671" s="57">
        <f t="shared" ref="AI671:AR671" si="5806">IF(ISERROR(AH671*(1+AI715)),0,AH671*(1+AI715))</f>
        <v>0</v>
      </c>
      <c r="AJ671" s="41">
        <f t="shared" si="5806"/>
        <v>0</v>
      </c>
      <c r="AK671" s="41">
        <f t="shared" si="5806"/>
        <v>0</v>
      </c>
      <c r="AL671" s="41">
        <f t="shared" si="5806"/>
        <v>0</v>
      </c>
      <c r="AM671" s="41">
        <f t="shared" si="5806"/>
        <v>0</v>
      </c>
      <c r="AN671" s="41">
        <f t="shared" si="5806"/>
        <v>0</v>
      </c>
      <c r="AO671" s="41">
        <f t="shared" si="5806"/>
        <v>0</v>
      </c>
      <c r="AP671" s="41">
        <f t="shared" si="5806"/>
        <v>0</v>
      </c>
      <c r="AQ671" s="41">
        <f t="shared" si="5806"/>
        <v>0</v>
      </c>
      <c r="AR671" s="41">
        <f t="shared" si="5806"/>
        <v>0</v>
      </c>
      <c r="AT671" s="19">
        <f t="shared" si="5767"/>
        <v>0</v>
      </c>
      <c r="AU671" s="19">
        <f t="shared" si="5768"/>
        <v>0</v>
      </c>
      <c r="AV671" s="19">
        <f t="shared" si="5769"/>
        <v>0</v>
      </c>
      <c r="AW671" s="19">
        <f t="shared" si="5770"/>
        <v>0</v>
      </c>
      <c r="AX671" s="19">
        <f t="shared" si="5771"/>
        <v>0</v>
      </c>
      <c r="AY671" s="19">
        <f t="shared" si="5772"/>
        <v>0</v>
      </c>
      <c r="AZ671" s="19">
        <f t="shared" si="5773"/>
        <v>0</v>
      </c>
      <c r="BA671" s="19">
        <f t="shared" si="5774"/>
        <v>0</v>
      </c>
      <c r="BB671" s="19">
        <f t="shared" si="5775"/>
        <v>0</v>
      </c>
      <c r="BC671" s="19">
        <f t="shared" si="5776"/>
        <v>0</v>
      </c>
      <c r="BD671" s="19">
        <f t="shared" si="5777"/>
        <v>0</v>
      </c>
      <c r="BE671" s="19">
        <f t="shared" si="5778"/>
        <v>0</v>
      </c>
      <c r="BF671" s="19">
        <f t="shared" si="5779"/>
        <v>0</v>
      </c>
      <c r="BG671" s="19">
        <f t="shared" si="5780"/>
        <v>0</v>
      </c>
      <c r="BH671" s="19">
        <f t="shared" si="5781"/>
        <v>0</v>
      </c>
      <c r="BI671" s="20">
        <f t="shared" si="5782"/>
        <v>0</v>
      </c>
      <c r="BJ671" s="19">
        <f t="shared" si="5783"/>
        <v>0</v>
      </c>
      <c r="BK671" s="19">
        <f t="shared" si="5784"/>
        <v>0</v>
      </c>
      <c r="BL671" s="19">
        <f t="shared" si="5784"/>
        <v>0</v>
      </c>
      <c r="BM671" s="19">
        <f t="shared" si="5784"/>
        <v>0</v>
      </c>
      <c r="BN671" s="19">
        <f t="shared" si="5785"/>
        <v>0</v>
      </c>
    </row>
    <row r="672" spans="1:66" ht="12" hidden="1" customHeight="1" outlineLevel="2">
      <c r="A672" s="91" t="s">
        <v>1144</v>
      </c>
      <c r="B672" s="1" t="s">
        <v>19</v>
      </c>
      <c r="C672" s="21">
        <v>0</v>
      </c>
      <c r="D672" s="21">
        <v>0</v>
      </c>
      <c r="E672" s="21">
        <v>0</v>
      </c>
      <c r="F672" s="21">
        <v>0</v>
      </c>
      <c r="G672" s="21">
        <v>0</v>
      </c>
      <c r="H672" s="21">
        <v>0</v>
      </c>
      <c r="I672" s="21">
        <v>0</v>
      </c>
      <c r="J672" s="21">
        <v>0</v>
      </c>
      <c r="K672" s="21">
        <v>0</v>
      </c>
      <c r="L672" s="21">
        <v>0</v>
      </c>
      <c r="M672" s="62">
        <v>0</v>
      </c>
      <c r="N672" s="62">
        <v>0</v>
      </c>
      <c r="O672" s="62">
        <v>0</v>
      </c>
      <c r="P672" s="62">
        <v>0</v>
      </c>
      <c r="Q672" s="62">
        <v>0</v>
      </c>
      <c r="R672" s="62">
        <v>0</v>
      </c>
      <c r="S672" s="62">
        <v>0</v>
      </c>
      <c r="T672" s="62">
        <v>0</v>
      </c>
      <c r="U672" s="62">
        <v>0</v>
      </c>
      <c r="V672" s="62">
        <v>0</v>
      </c>
      <c r="W672" s="62">
        <v>0</v>
      </c>
      <c r="X672" s="62">
        <v>0</v>
      </c>
      <c r="Y672" s="62">
        <v>0</v>
      </c>
      <c r="Z672" s="62">
        <v>0</v>
      </c>
      <c r="AA672" s="62">
        <v>0</v>
      </c>
      <c r="AB672" s="62">
        <v>0</v>
      </c>
      <c r="AC672" s="62">
        <v>0</v>
      </c>
      <c r="AD672" s="62">
        <v>0</v>
      </c>
      <c r="AE672" s="62">
        <v>0</v>
      </c>
      <c r="AF672" s="62">
        <v>0</v>
      </c>
      <c r="AG672" s="62">
        <v>0</v>
      </c>
      <c r="AH672" s="62">
        <v>0</v>
      </c>
      <c r="AI672" s="57">
        <f t="shared" ref="AI672:AR672" si="5807">IF(ISERROR(AH672*(1+AI716)),0,AH672*(1+AI716))</f>
        <v>0</v>
      </c>
      <c r="AJ672" s="41">
        <f t="shared" si="5807"/>
        <v>0</v>
      </c>
      <c r="AK672" s="41">
        <f t="shared" si="5807"/>
        <v>0</v>
      </c>
      <c r="AL672" s="41">
        <f t="shared" si="5807"/>
        <v>0</v>
      </c>
      <c r="AM672" s="41">
        <f t="shared" si="5807"/>
        <v>0</v>
      </c>
      <c r="AN672" s="41">
        <f t="shared" si="5807"/>
        <v>0</v>
      </c>
      <c r="AO672" s="41">
        <f t="shared" si="5807"/>
        <v>0</v>
      </c>
      <c r="AP672" s="41">
        <f t="shared" si="5807"/>
        <v>0</v>
      </c>
      <c r="AQ672" s="41">
        <f t="shared" si="5807"/>
        <v>0</v>
      </c>
      <c r="AR672" s="41">
        <f t="shared" si="5807"/>
        <v>0</v>
      </c>
      <c r="AT672" s="19">
        <f t="shared" si="5767"/>
        <v>0</v>
      </c>
      <c r="AU672" s="19">
        <f t="shared" si="5768"/>
        <v>0</v>
      </c>
      <c r="AV672" s="19">
        <f t="shared" si="5769"/>
        <v>0</v>
      </c>
      <c r="AW672" s="19">
        <f t="shared" si="5770"/>
        <v>0</v>
      </c>
      <c r="AX672" s="19">
        <f t="shared" si="5771"/>
        <v>0</v>
      </c>
      <c r="AY672" s="19">
        <f t="shared" si="5772"/>
        <v>0</v>
      </c>
      <c r="AZ672" s="19">
        <f t="shared" si="5773"/>
        <v>0</v>
      </c>
      <c r="BA672" s="19">
        <f t="shared" si="5774"/>
        <v>0</v>
      </c>
      <c r="BB672" s="19">
        <f t="shared" si="5775"/>
        <v>0</v>
      </c>
      <c r="BC672" s="19">
        <f t="shared" si="5776"/>
        <v>0</v>
      </c>
      <c r="BD672" s="19">
        <f t="shared" si="5777"/>
        <v>0</v>
      </c>
      <c r="BE672" s="19">
        <f t="shared" si="5778"/>
        <v>0</v>
      </c>
      <c r="BF672" s="19">
        <f t="shared" si="5779"/>
        <v>0</v>
      </c>
      <c r="BG672" s="19">
        <f t="shared" si="5780"/>
        <v>0</v>
      </c>
      <c r="BH672" s="19">
        <f t="shared" si="5781"/>
        <v>0</v>
      </c>
      <c r="BI672" s="20">
        <f t="shared" si="5782"/>
        <v>0</v>
      </c>
      <c r="BJ672" s="19">
        <f t="shared" si="5783"/>
        <v>0</v>
      </c>
      <c r="BK672" s="19">
        <f t="shared" si="5784"/>
        <v>0</v>
      </c>
      <c r="BL672" s="19">
        <f t="shared" si="5784"/>
        <v>0</v>
      </c>
      <c r="BM672" s="19">
        <f t="shared" si="5784"/>
        <v>0</v>
      </c>
      <c r="BN672" s="19">
        <f t="shared" si="5785"/>
        <v>0</v>
      </c>
    </row>
    <row r="673" spans="1:66" ht="12" hidden="1" customHeight="1" outlineLevel="2">
      <c r="A673" s="91" t="s">
        <v>1145</v>
      </c>
      <c r="B673" s="1" t="s">
        <v>29</v>
      </c>
      <c r="C673" s="25">
        <f t="shared" ref="C673:H673" si="5808">C674-C667-C669-C671-C672-C668-C670</f>
        <v>7</v>
      </c>
      <c r="D673" s="25">
        <f t="shared" si="5808"/>
        <v>1</v>
      </c>
      <c r="E673" s="25">
        <f t="shared" si="5808"/>
        <v>16</v>
      </c>
      <c r="F673" s="25">
        <f t="shared" si="5808"/>
        <v>23</v>
      </c>
      <c r="G673" s="25">
        <f t="shared" si="5808"/>
        <v>15</v>
      </c>
      <c r="H673" s="25">
        <f t="shared" si="5808"/>
        <v>18</v>
      </c>
      <c r="I673" s="25">
        <f t="shared" ref="I673:N673" si="5809">I674-I667-I669-I671-I672-I668-I670</f>
        <v>16</v>
      </c>
      <c r="J673" s="25">
        <f t="shared" si="5809"/>
        <v>21</v>
      </c>
      <c r="K673" s="25">
        <f t="shared" si="5809"/>
        <v>7</v>
      </c>
      <c r="L673" s="25">
        <f t="shared" si="5809"/>
        <v>29</v>
      </c>
      <c r="M673" s="41">
        <f t="shared" si="5809"/>
        <v>21</v>
      </c>
      <c r="N673" s="41">
        <f t="shared" si="5809"/>
        <v>12</v>
      </c>
      <c r="O673" s="41">
        <f t="shared" ref="O673:P673" si="5810">O674-O667-O669-O671-O672-O668-O670</f>
        <v>13</v>
      </c>
      <c r="P673" s="41">
        <f t="shared" si="5810"/>
        <v>30</v>
      </c>
      <c r="Q673" s="41">
        <f t="shared" ref="Q673:R673" si="5811">Q674-Q667-Q669-Q671-Q672-Q668-Q670</f>
        <v>21</v>
      </c>
      <c r="R673" s="41">
        <f t="shared" si="5811"/>
        <v>32</v>
      </c>
      <c r="S673" s="41">
        <f t="shared" ref="S673" si="5812">S674-S667-S669-S671-S672-S668-S670</f>
        <v>52</v>
      </c>
      <c r="T673" s="41">
        <f t="shared" ref="T673" si="5813">T674-T667-T669-T671-T672-T668-T670</f>
        <v>28</v>
      </c>
      <c r="U673" s="41">
        <f t="shared" ref="U673:V673" si="5814">U674-U667-U669-U671-U672-U668-U670</f>
        <v>0</v>
      </c>
      <c r="V673" s="41">
        <f t="shared" si="5814"/>
        <v>0</v>
      </c>
      <c r="W673" s="41">
        <f t="shared" ref="W673:X673" si="5815">W674-W667-W669-W671-W672-W668-W670</f>
        <v>0</v>
      </c>
      <c r="X673" s="41">
        <f t="shared" si="5815"/>
        <v>0</v>
      </c>
      <c r="Y673" s="41">
        <f t="shared" ref="Y673:Z673" si="5816">Y674-Y667-Y669-Y671-Y672-Y668-Y670</f>
        <v>0</v>
      </c>
      <c r="Z673" s="41">
        <f t="shared" si="5816"/>
        <v>0</v>
      </c>
      <c r="AA673" s="41">
        <f t="shared" ref="AA673:AB673" si="5817">AA674-AA667-AA669-AA671-AA672-AA668-AA670</f>
        <v>0</v>
      </c>
      <c r="AB673" s="41">
        <f t="shared" si="5817"/>
        <v>0</v>
      </c>
      <c r="AC673" s="41">
        <f t="shared" ref="AC673:AD673" si="5818">AC674-AC667-AC669-AC671-AC672-AC668-AC670</f>
        <v>0</v>
      </c>
      <c r="AD673" s="41">
        <f t="shared" si="5818"/>
        <v>0</v>
      </c>
      <c r="AE673" s="41">
        <f t="shared" ref="AE673:AF673" si="5819">AE674-AE667-AE669-AE671-AE672-AE668-AE670</f>
        <v>0</v>
      </c>
      <c r="AF673" s="41">
        <f t="shared" si="5819"/>
        <v>0</v>
      </c>
      <c r="AG673" s="41">
        <f t="shared" ref="AG673:AH673" si="5820">AG674-AG667-AG669-AG671-AG672-AG668-AG670</f>
        <v>0</v>
      </c>
      <c r="AH673" s="41">
        <f t="shared" si="5820"/>
        <v>0</v>
      </c>
      <c r="AI673" s="42">
        <f t="shared" ref="AI673:AR673" si="5821">IF(ISERROR(AH673*(1+AI717)),0,AH673*(1+AI717))</f>
        <v>0</v>
      </c>
      <c r="AJ673" s="41">
        <f t="shared" si="5821"/>
        <v>0</v>
      </c>
      <c r="AK673" s="41">
        <f t="shared" si="5821"/>
        <v>0</v>
      </c>
      <c r="AL673" s="41">
        <f t="shared" si="5821"/>
        <v>0</v>
      </c>
      <c r="AM673" s="41">
        <f t="shared" si="5821"/>
        <v>0</v>
      </c>
      <c r="AN673" s="41">
        <f t="shared" si="5821"/>
        <v>0</v>
      </c>
      <c r="AO673" s="41">
        <f t="shared" si="5821"/>
        <v>0</v>
      </c>
      <c r="AP673" s="41">
        <f t="shared" si="5821"/>
        <v>0</v>
      </c>
      <c r="AQ673" s="41">
        <f t="shared" si="5821"/>
        <v>0</v>
      </c>
      <c r="AR673" s="41">
        <f t="shared" si="5821"/>
        <v>0</v>
      </c>
      <c r="AT673" s="19">
        <f t="shared" si="5767"/>
        <v>8</v>
      </c>
      <c r="AU673" s="19">
        <f t="shared" si="5768"/>
        <v>39</v>
      </c>
      <c r="AV673" s="19">
        <f t="shared" si="5769"/>
        <v>33</v>
      </c>
      <c r="AW673" s="19">
        <f t="shared" si="5770"/>
        <v>37</v>
      </c>
      <c r="AX673" s="19">
        <f t="shared" si="5771"/>
        <v>36</v>
      </c>
      <c r="AY673" s="19">
        <f t="shared" si="5772"/>
        <v>33</v>
      </c>
      <c r="AZ673" s="19">
        <f t="shared" si="5773"/>
        <v>43</v>
      </c>
      <c r="BA673" s="19">
        <f t="shared" si="5774"/>
        <v>53</v>
      </c>
      <c r="BB673" s="19">
        <f t="shared" si="5775"/>
        <v>80</v>
      </c>
      <c r="BC673" s="19">
        <f t="shared" si="5776"/>
        <v>0</v>
      </c>
      <c r="BD673" s="19">
        <f t="shared" si="5777"/>
        <v>0</v>
      </c>
      <c r="BE673" s="19">
        <f t="shared" si="5778"/>
        <v>0</v>
      </c>
      <c r="BF673" s="19">
        <f t="shared" si="5779"/>
        <v>0</v>
      </c>
      <c r="BG673" s="19">
        <f t="shared" si="5780"/>
        <v>0</v>
      </c>
      <c r="BH673" s="19">
        <f t="shared" si="5781"/>
        <v>0</v>
      </c>
      <c r="BI673" s="20">
        <f t="shared" si="5782"/>
        <v>0</v>
      </c>
      <c r="BJ673" s="19">
        <f t="shared" si="5783"/>
        <v>0</v>
      </c>
      <c r="BK673" s="19">
        <f t="shared" si="5784"/>
        <v>0</v>
      </c>
      <c r="BL673" s="19">
        <f t="shared" si="5784"/>
        <v>0</v>
      </c>
      <c r="BM673" s="19">
        <f t="shared" si="5784"/>
        <v>0</v>
      </c>
      <c r="BN673" s="19">
        <f t="shared" si="5785"/>
        <v>0</v>
      </c>
    </row>
    <row r="674" spans="1:66" ht="12" hidden="1" customHeight="1" outlineLevel="2">
      <c r="A674" s="91" t="s">
        <v>1146</v>
      </c>
      <c r="B674" s="9" t="s">
        <v>118</v>
      </c>
      <c r="C674" s="22">
        <v>7</v>
      </c>
      <c r="D674" s="22">
        <f>8-C674</f>
        <v>1</v>
      </c>
      <c r="E674" s="22">
        <v>16</v>
      </c>
      <c r="F674" s="22">
        <f>39-E674</f>
        <v>23</v>
      </c>
      <c r="G674" s="22">
        <v>15</v>
      </c>
      <c r="H674" s="22">
        <f>33-G674</f>
        <v>18</v>
      </c>
      <c r="I674" s="22">
        <v>16</v>
      </c>
      <c r="J674" s="22">
        <v>21</v>
      </c>
      <c r="K674" s="22">
        <v>7</v>
      </c>
      <c r="L674" s="22">
        <v>29</v>
      </c>
      <c r="M674" s="61">
        <v>21</v>
      </c>
      <c r="N674" s="61">
        <v>12</v>
      </c>
      <c r="O674" s="61">
        <v>13</v>
      </c>
      <c r="P674" s="61">
        <v>30</v>
      </c>
      <c r="Q674" s="61">
        <v>21</v>
      </c>
      <c r="R674" s="61">
        <v>32</v>
      </c>
      <c r="S674" s="61">
        <v>52</v>
      </c>
      <c r="T674" s="61">
        <v>28</v>
      </c>
      <c r="U674" s="61">
        <v>0</v>
      </c>
      <c r="V674" s="61">
        <v>0</v>
      </c>
      <c r="W674" s="61">
        <v>0</v>
      </c>
      <c r="X674" s="61">
        <v>0</v>
      </c>
      <c r="Y674" s="61">
        <v>0</v>
      </c>
      <c r="Z674" s="61">
        <v>0</v>
      </c>
      <c r="AA674" s="61">
        <v>0</v>
      </c>
      <c r="AB674" s="61">
        <v>0</v>
      </c>
      <c r="AC674" s="61">
        <v>0</v>
      </c>
      <c r="AD674" s="61">
        <v>0</v>
      </c>
      <c r="AE674" s="61">
        <v>0</v>
      </c>
      <c r="AF674" s="61">
        <v>0</v>
      </c>
      <c r="AG674" s="61">
        <v>0</v>
      </c>
      <c r="AH674" s="61">
        <v>0</v>
      </c>
      <c r="AI674" s="338">
        <f t="shared" ref="AI674:AJ674" si="5822">AI667+AI668+AI669+AI670+AI671+AI672+AI673</f>
        <v>0</v>
      </c>
      <c r="AJ674" s="39">
        <f t="shared" si="5822"/>
        <v>0</v>
      </c>
      <c r="AK674" s="39">
        <f t="shared" ref="AK674:AL674" si="5823">AK667+AK668+AK669+AK670+AK671+AK672+AK673</f>
        <v>0</v>
      </c>
      <c r="AL674" s="39">
        <f t="shared" si="5823"/>
        <v>0</v>
      </c>
      <c r="AM674" s="39">
        <f t="shared" ref="AM674:AN674" si="5824">AM667+AM668+AM669+AM670+AM671+AM672+AM673</f>
        <v>0</v>
      </c>
      <c r="AN674" s="39">
        <f t="shared" si="5824"/>
        <v>0</v>
      </c>
      <c r="AO674" s="39">
        <f t="shared" ref="AO674:AP674" si="5825">AO667+AO668+AO669+AO670+AO671+AO672+AO673</f>
        <v>0</v>
      </c>
      <c r="AP674" s="39">
        <f t="shared" si="5825"/>
        <v>0</v>
      </c>
      <c r="AQ674" s="39">
        <f t="shared" ref="AQ674:AR674" si="5826">AQ667+AQ668+AQ669+AQ670+AQ671+AQ672+AQ673</f>
        <v>0</v>
      </c>
      <c r="AR674" s="39">
        <f t="shared" si="5826"/>
        <v>0</v>
      </c>
      <c r="AT674" s="39">
        <f t="shared" ref="AT674:BB674" si="5827">AT667+AT668+AT669+AT670+AT671+AT672+AT673</f>
        <v>8</v>
      </c>
      <c r="AU674" s="39">
        <f t="shared" si="5827"/>
        <v>39</v>
      </c>
      <c r="AV674" s="39">
        <f t="shared" si="5827"/>
        <v>33</v>
      </c>
      <c r="AW674" s="39">
        <f t="shared" si="5827"/>
        <v>37</v>
      </c>
      <c r="AX674" s="39">
        <f t="shared" si="5827"/>
        <v>36</v>
      </c>
      <c r="AY674" s="39">
        <f t="shared" si="5827"/>
        <v>33</v>
      </c>
      <c r="AZ674" s="39">
        <f t="shared" si="5827"/>
        <v>43</v>
      </c>
      <c r="BA674" s="39">
        <f t="shared" si="5827"/>
        <v>53</v>
      </c>
      <c r="BB674" s="39">
        <f t="shared" si="5827"/>
        <v>80</v>
      </c>
      <c r="BC674" s="39">
        <f t="shared" ref="BC674" si="5828">BC667+BC668+BC669+BC670+BC671+BC672+BC673</f>
        <v>0</v>
      </c>
      <c r="BD674" s="39">
        <f t="shared" ref="BD674:BI674" si="5829">BD667+BD668+BD669+BD670+BD671+BD672+BD673</f>
        <v>0</v>
      </c>
      <c r="BE674" s="39">
        <f t="shared" si="5829"/>
        <v>0</v>
      </c>
      <c r="BF674" s="39">
        <f t="shared" si="5829"/>
        <v>0</v>
      </c>
      <c r="BG674" s="39">
        <f t="shared" si="5829"/>
        <v>0</v>
      </c>
      <c r="BH674" s="39">
        <f t="shared" si="5829"/>
        <v>0</v>
      </c>
      <c r="BI674" s="40">
        <f t="shared" si="5829"/>
        <v>0</v>
      </c>
      <c r="BJ674" s="39">
        <f t="shared" ref="BJ674:BK674" si="5830">BJ667+BJ668+BJ669+BJ670+BJ671+BJ672+BJ673</f>
        <v>0</v>
      </c>
      <c r="BK674" s="39">
        <f t="shared" si="5830"/>
        <v>0</v>
      </c>
      <c r="BL674" s="39">
        <f t="shared" ref="BL674" si="5831">BL667+BL668+BL669+BL670+BL671+BL672+BL673</f>
        <v>0</v>
      </c>
      <c r="BM674" s="39">
        <f t="shared" ref="BM674" si="5832">BM667+BM668+BM669+BM670+BM671+BM672+BM673</f>
        <v>0</v>
      </c>
      <c r="BN674" s="39">
        <f t="shared" ref="BN674" si="5833">BN667+BN668+BN669+BN670+BN671+BN672+BN673</f>
        <v>0</v>
      </c>
    </row>
    <row r="675" spans="1:66" ht="12" hidden="1" customHeight="1" outlineLevel="2">
      <c r="A675" s="91" t="s">
        <v>1147</v>
      </c>
      <c r="B675" s="1" t="s">
        <v>8</v>
      </c>
      <c r="C675" s="21">
        <v>0</v>
      </c>
      <c r="D675" s="21">
        <v>0</v>
      </c>
      <c r="E675" s="21">
        <v>0</v>
      </c>
      <c r="F675" s="21">
        <v>0</v>
      </c>
      <c r="G675" s="21">
        <v>0</v>
      </c>
      <c r="H675" s="21">
        <v>0</v>
      </c>
      <c r="I675" s="21">
        <v>0</v>
      </c>
      <c r="J675" s="21">
        <v>0</v>
      </c>
      <c r="K675" s="21">
        <v>0</v>
      </c>
      <c r="L675" s="21">
        <v>0</v>
      </c>
      <c r="M675" s="62">
        <v>0</v>
      </c>
      <c r="N675" s="62">
        <v>0</v>
      </c>
      <c r="O675" s="62">
        <v>0</v>
      </c>
      <c r="P675" s="62">
        <v>0</v>
      </c>
      <c r="Q675" s="62">
        <v>0</v>
      </c>
      <c r="R675" s="62">
        <v>0</v>
      </c>
      <c r="S675" s="62">
        <v>0</v>
      </c>
      <c r="T675" s="62">
        <v>0</v>
      </c>
      <c r="U675" s="62">
        <v>0</v>
      </c>
      <c r="V675" s="62">
        <v>0</v>
      </c>
      <c r="W675" s="62">
        <v>0</v>
      </c>
      <c r="X675" s="62">
        <v>0</v>
      </c>
      <c r="Y675" s="62">
        <v>0</v>
      </c>
      <c r="Z675" s="62">
        <v>0</v>
      </c>
      <c r="AA675" s="62">
        <v>0</v>
      </c>
      <c r="AB675" s="62">
        <v>0</v>
      </c>
      <c r="AC675" s="62">
        <v>0</v>
      </c>
      <c r="AD675" s="62">
        <v>0</v>
      </c>
      <c r="AE675" s="62">
        <v>0</v>
      </c>
      <c r="AF675" s="62">
        <v>0</v>
      </c>
      <c r="AG675" s="62">
        <v>0</v>
      </c>
      <c r="AH675" s="62">
        <v>0</v>
      </c>
      <c r="AI675" s="57">
        <f t="shared" ref="AI675" si="5834">IF(ISERROR(AH675*(1+AI718)),0,AH675*(1+AI718))</f>
        <v>0</v>
      </c>
      <c r="AJ675" s="41">
        <f t="shared" ref="AJ675" si="5835">IF(ISERROR(AI675*(1+AJ718)),0,AI675*(1+AJ718))</f>
        <v>0</v>
      </c>
      <c r="AK675" s="41">
        <f t="shared" ref="AK675" si="5836">IF(ISERROR(AJ675*(1+AK718)),0,AJ675*(1+AK718))</f>
        <v>0</v>
      </c>
      <c r="AL675" s="41">
        <f t="shared" ref="AL675" si="5837">IF(ISERROR(AK675*(1+AL718)),0,AK675*(1+AL718))</f>
        <v>0</v>
      </c>
      <c r="AM675" s="41">
        <f t="shared" ref="AM675" si="5838">IF(ISERROR(AL675*(1+AM718)),0,AL675*(1+AM718))</f>
        <v>0</v>
      </c>
      <c r="AN675" s="41">
        <f t="shared" ref="AN675" si="5839">IF(ISERROR(AM675*(1+AN718)),0,AM675*(1+AN718))</f>
        <v>0</v>
      </c>
      <c r="AO675" s="41">
        <f t="shared" ref="AO675" si="5840">IF(ISERROR(AN675*(1+AO718)),0,AN675*(1+AO718))</f>
        <v>0</v>
      </c>
      <c r="AP675" s="41">
        <f t="shared" ref="AP675" si="5841">IF(ISERROR(AO675*(1+AP718)),0,AO675*(1+AP718))</f>
        <v>0</v>
      </c>
      <c r="AQ675" s="41">
        <f t="shared" ref="AQ675" si="5842">IF(ISERROR(AP675*(1+AQ718)),0,AP675*(1+AQ718))</f>
        <v>0</v>
      </c>
      <c r="AR675" s="41">
        <f t="shared" ref="AR675" si="5843">IF(ISERROR(AQ675*(1+AR718)),0,AQ675*(1+AR718))</f>
        <v>0</v>
      </c>
      <c r="AT675" s="19">
        <f>C675+D675</f>
        <v>0</v>
      </c>
      <c r="AU675" s="19">
        <f>E675+F675</f>
        <v>0</v>
      </c>
      <c r="AV675" s="19">
        <f>G675+H675</f>
        <v>0</v>
      </c>
      <c r="AW675" s="19">
        <f>I675+J675</f>
        <v>0</v>
      </c>
      <c r="AX675" s="19">
        <f>K675+L675</f>
        <v>0</v>
      </c>
      <c r="AY675" s="19">
        <f>M675+N675</f>
        <v>0</v>
      </c>
      <c r="AZ675" s="19">
        <f>O675+P675</f>
        <v>0</v>
      </c>
      <c r="BA675" s="19">
        <f>Q675+R675</f>
        <v>0</v>
      </c>
      <c r="BB675" s="19">
        <f>S675+T675</f>
        <v>0</v>
      </c>
      <c r="BC675" s="19">
        <f>U675+V675</f>
        <v>0</v>
      </c>
      <c r="BD675" s="19">
        <f>W675+X675</f>
        <v>0</v>
      </c>
      <c r="BE675" s="19">
        <f>Y675+Z675</f>
        <v>0</v>
      </c>
      <c r="BF675" s="19">
        <f>AA675+AB675</f>
        <v>0</v>
      </c>
      <c r="BG675" s="19">
        <f>AC675+AD675</f>
        <v>0</v>
      </c>
      <c r="BH675" s="19">
        <f>AE675+AF675</f>
        <v>0</v>
      </c>
      <c r="BI675" s="20">
        <f>AG675+AH675</f>
        <v>0</v>
      </c>
      <c r="BJ675" s="19">
        <f>AI675+AJ675</f>
        <v>0</v>
      </c>
      <c r="BK675" s="19">
        <f t="shared" ref="BK675:BM681" si="5844">AK675+AL675</f>
        <v>0</v>
      </c>
      <c r="BL675" s="19">
        <f t="shared" si="5844"/>
        <v>0</v>
      </c>
      <c r="BM675" s="19">
        <f t="shared" si="5844"/>
        <v>0</v>
      </c>
      <c r="BN675" s="19">
        <f>AO675+AP675</f>
        <v>0</v>
      </c>
    </row>
    <row r="676" spans="1:66" ht="12" hidden="1" customHeight="1" outlineLevel="2">
      <c r="A676" s="91" t="s">
        <v>1148</v>
      </c>
      <c r="B676" s="1" t="s">
        <v>9</v>
      </c>
      <c r="C676" s="21">
        <v>1</v>
      </c>
      <c r="D676" s="21">
        <f>-5-C676</f>
        <v>-6</v>
      </c>
      <c r="E676" s="21">
        <v>19</v>
      </c>
      <c r="F676" s="21">
        <f>24-E676</f>
        <v>5</v>
      </c>
      <c r="G676" s="21">
        <v>2</v>
      </c>
      <c r="H676" s="21">
        <f>5-G676</f>
        <v>3</v>
      </c>
      <c r="I676" s="21">
        <v>1</v>
      </c>
      <c r="J676" s="21">
        <v>-4</v>
      </c>
      <c r="K676" s="21">
        <v>4</v>
      </c>
      <c r="L676" s="21">
        <v>-2</v>
      </c>
      <c r="M676" s="62">
        <v>1</v>
      </c>
      <c r="N676" s="62">
        <v>2</v>
      </c>
      <c r="O676" s="62">
        <v>2</v>
      </c>
      <c r="P676" s="62">
        <v>5</v>
      </c>
      <c r="Q676" s="62">
        <v>0</v>
      </c>
      <c r="R676" s="62">
        <v>0</v>
      </c>
      <c r="S676" s="62">
        <v>0</v>
      </c>
      <c r="T676" s="62">
        <v>-3</v>
      </c>
      <c r="U676" s="62">
        <v>0</v>
      </c>
      <c r="V676" s="62">
        <v>0</v>
      </c>
      <c r="W676" s="62">
        <v>0</v>
      </c>
      <c r="X676" s="62">
        <v>0</v>
      </c>
      <c r="Y676" s="62">
        <v>0</v>
      </c>
      <c r="Z676" s="62">
        <v>0</v>
      </c>
      <c r="AA676" s="62">
        <v>0</v>
      </c>
      <c r="AB676" s="62">
        <v>0</v>
      </c>
      <c r="AC676" s="62">
        <v>0</v>
      </c>
      <c r="AD676" s="62">
        <v>0</v>
      </c>
      <c r="AE676" s="62">
        <v>0</v>
      </c>
      <c r="AF676" s="62">
        <v>0</v>
      </c>
      <c r="AG676" s="62">
        <v>0</v>
      </c>
      <c r="AH676" s="62">
        <v>0</v>
      </c>
      <c r="AI676" s="57">
        <f t="shared" ref="AI676:AI681" si="5845">AH676</f>
        <v>0</v>
      </c>
      <c r="AJ676" s="58">
        <f t="shared" ref="AJ676:AJ681" si="5846">AI676</f>
        <v>0</v>
      </c>
      <c r="AK676" s="58">
        <f t="shared" ref="AK676:AK681" si="5847">AJ676</f>
        <v>0</v>
      </c>
      <c r="AL676" s="58">
        <f t="shared" ref="AL676:AL681" si="5848">AK676</f>
        <v>0</v>
      </c>
      <c r="AM676" s="58">
        <f t="shared" ref="AM676:AM681" si="5849">AL676</f>
        <v>0</v>
      </c>
      <c r="AN676" s="58">
        <f t="shared" ref="AN676:AN681" si="5850">AM676</f>
        <v>0</v>
      </c>
      <c r="AO676" s="58">
        <f t="shared" ref="AO676:AO681" si="5851">AN676</f>
        <v>0</v>
      </c>
      <c r="AP676" s="58">
        <f t="shared" ref="AP676:AP681" si="5852">AO676</f>
        <v>0</v>
      </c>
      <c r="AQ676" s="58">
        <f t="shared" ref="AQ676:AQ681" si="5853">AP676</f>
        <v>0</v>
      </c>
      <c r="AR676" s="58">
        <f t="shared" ref="AR676:AR681" si="5854">AQ676</f>
        <v>0</v>
      </c>
      <c r="AT676" s="19">
        <f>C676+D676</f>
        <v>-5</v>
      </c>
      <c r="AU676" s="19">
        <f>E676+F676</f>
        <v>24</v>
      </c>
      <c r="AV676" s="19">
        <f>G676+H676</f>
        <v>5</v>
      </c>
      <c r="AW676" s="19">
        <f>I676+J676</f>
        <v>-3</v>
      </c>
      <c r="AX676" s="19">
        <f>K676+L676</f>
        <v>2</v>
      </c>
      <c r="AY676" s="19">
        <f>M676+N676</f>
        <v>3</v>
      </c>
      <c r="AZ676" s="19">
        <f>O676+P676</f>
        <v>7</v>
      </c>
      <c r="BA676" s="19">
        <f>Q676+R676</f>
        <v>0</v>
      </c>
      <c r="BB676" s="19">
        <f>S676+T676</f>
        <v>-3</v>
      </c>
      <c r="BC676" s="19">
        <f>U676+V676</f>
        <v>0</v>
      </c>
      <c r="BD676" s="19">
        <f>W676+X676</f>
        <v>0</v>
      </c>
      <c r="BE676" s="19">
        <f>Y676+Z676</f>
        <v>0</v>
      </c>
      <c r="BF676" s="19">
        <f>AA676+AB676</f>
        <v>0</v>
      </c>
      <c r="BG676" s="19">
        <f>AC676+AD676</f>
        <v>0</v>
      </c>
      <c r="BH676" s="19">
        <f>AE676+AF676</f>
        <v>0</v>
      </c>
      <c r="BI676" s="20">
        <f>AG676+AH676</f>
        <v>0</v>
      </c>
      <c r="BJ676" s="19">
        <f>AI676+AJ676</f>
        <v>0</v>
      </c>
      <c r="BK676" s="19">
        <f t="shared" si="5844"/>
        <v>0</v>
      </c>
      <c r="BL676" s="19">
        <f t="shared" si="5844"/>
        <v>0</v>
      </c>
      <c r="BM676" s="19">
        <f t="shared" si="5844"/>
        <v>0</v>
      </c>
      <c r="BN676" s="19">
        <f>AO676+AP676</f>
        <v>0</v>
      </c>
    </row>
    <row r="677" spans="1:66" ht="12" hidden="1" customHeight="1" outlineLevel="2">
      <c r="A677" s="91" t="s">
        <v>1149</v>
      </c>
      <c r="B677" s="1" t="s">
        <v>45</v>
      </c>
      <c r="C677" s="21">
        <v>-24</v>
      </c>
      <c r="D677" s="21">
        <f>-86-C677</f>
        <v>-62</v>
      </c>
      <c r="E677" s="21">
        <v>-19</v>
      </c>
      <c r="F677" s="21">
        <f>-40-E677</f>
        <v>-21</v>
      </c>
      <c r="G677" s="21">
        <v>-18</v>
      </c>
      <c r="H677" s="21">
        <f>-50-G677</f>
        <v>-32</v>
      </c>
      <c r="I677" s="21">
        <v>-18</v>
      </c>
      <c r="J677" s="21">
        <v>-29</v>
      </c>
      <c r="K677" s="21">
        <v>-27</v>
      </c>
      <c r="L677" s="21">
        <v>-42</v>
      </c>
      <c r="M677" s="62">
        <v>-19</v>
      </c>
      <c r="N677" s="62">
        <v>-85</v>
      </c>
      <c r="O677" s="62">
        <v>-19</v>
      </c>
      <c r="P677" s="62">
        <v>-103</v>
      </c>
      <c r="Q677" s="62">
        <v>-44</v>
      </c>
      <c r="R677" s="62">
        <v>-39</v>
      </c>
      <c r="S677" s="62">
        <v>28</v>
      </c>
      <c r="T677" s="62">
        <v>6</v>
      </c>
      <c r="U677" s="62">
        <v>0</v>
      </c>
      <c r="V677" s="62">
        <v>0</v>
      </c>
      <c r="W677" s="62">
        <v>0</v>
      </c>
      <c r="X677" s="62">
        <v>0</v>
      </c>
      <c r="Y677" s="62">
        <v>0</v>
      </c>
      <c r="Z677" s="62">
        <v>0</v>
      </c>
      <c r="AA677" s="62">
        <v>0</v>
      </c>
      <c r="AB677" s="62">
        <v>0</v>
      </c>
      <c r="AC677" s="62">
        <v>0</v>
      </c>
      <c r="AD677" s="62">
        <v>0</v>
      </c>
      <c r="AE677" s="62">
        <v>0</v>
      </c>
      <c r="AF677" s="62">
        <v>0</v>
      </c>
      <c r="AG677" s="62">
        <v>0</v>
      </c>
      <c r="AH677" s="62">
        <v>0</v>
      </c>
      <c r="AI677" s="57">
        <f t="shared" si="5845"/>
        <v>0</v>
      </c>
      <c r="AJ677" s="58">
        <f t="shared" si="5846"/>
        <v>0</v>
      </c>
      <c r="AK677" s="58">
        <f t="shared" si="5847"/>
        <v>0</v>
      </c>
      <c r="AL677" s="58">
        <f t="shared" si="5848"/>
        <v>0</v>
      </c>
      <c r="AM677" s="58">
        <f t="shared" si="5849"/>
        <v>0</v>
      </c>
      <c r="AN677" s="58">
        <f t="shared" si="5850"/>
        <v>0</v>
      </c>
      <c r="AO677" s="58">
        <f t="shared" si="5851"/>
        <v>0</v>
      </c>
      <c r="AP677" s="58">
        <f t="shared" si="5852"/>
        <v>0</v>
      </c>
      <c r="AQ677" s="58">
        <f t="shared" si="5853"/>
        <v>0</v>
      </c>
      <c r="AR677" s="58">
        <f t="shared" si="5854"/>
        <v>0</v>
      </c>
      <c r="AT677" s="19">
        <f>C677+D677</f>
        <v>-86</v>
      </c>
      <c r="AU677" s="19">
        <f>E677+F677</f>
        <v>-40</v>
      </c>
      <c r="AV677" s="19">
        <f>G677+H677</f>
        <v>-50</v>
      </c>
      <c r="AW677" s="19">
        <f>I677+J677</f>
        <v>-47</v>
      </c>
      <c r="AX677" s="19">
        <f>K677+L677</f>
        <v>-69</v>
      </c>
      <c r="AY677" s="19">
        <f>M677+N677</f>
        <v>-104</v>
      </c>
      <c r="AZ677" s="19">
        <f>O677+P677</f>
        <v>-122</v>
      </c>
      <c r="BA677" s="19">
        <f>Q677+R677</f>
        <v>-83</v>
      </c>
      <c r="BB677" s="19">
        <f>S677+T677</f>
        <v>34</v>
      </c>
      <c r="BC677" s="19">
        <f>U677+V677</f>
        <v>0</v>
      </c>
      <c r="BD677" s="19">
        <f>W677+X677</f>
        <v>0</v>
      </c>
      <c r="BE677" s="19">
        <f>Y677+Z677</f>
        <v>0</v>
      </c>
      <c r="BF677" s="19">
        <f>AA677+AB677</f>
        <v>0</v>
      </c>
      <c r="BG677" s="19">
        <f>AC677+AD677</f>
        <v>0</v>
      </c>
      <c r="BH677" s="19">
        <f>AE677+AF677</f>
        <v>0</v>
      </c>
      <c r="BI677" s="20">
        <f>AG677+AH677</f>
        <v>0</v>
      </c>
      <c r="BJ677" s="19">
        <f>AI677+AJ677</f>
        <v>0</v>
      </c>
      <c r="BK677" s="19">
        <f t="shared" si="5844"/>
        <v>0</v>
      </c>
      <c r="BL677" s="19">
        <f t="shared" si="5844"/>
        <v>0</v>
      </c>
      <c r="BM677" s="19">
        <f t="shared" si="5844"/>
        <v>0</v>
      </c>
      <c r="BN677" s="19">
        <f>AO677+AP677</f>
        <v>0</v>
      </c>
    </row>
    <row r="678" spans="1:66" ht="12" hidden="1" customHeight="1" outlineLevel="2">
      <c r="A678" s="91" t="s">
        <v>1149</v>
      </c>
      <c r="B678" s="1" t="s">
        <v>1844</v>
      </c>
      <c r="C678" s="21"/>
      <c r="D678" s="21"/>
      <c r="E678" s="21"/>
      <c r="F678" s="21"/>
      <c r="G678" s="21"/>
      <c r="H678" s="21"/>
      <c r="I678" s="21"/>
      <c r="J678" s="21"/>
      <c r="K678" s="21"/>
      <c r="L678" s="21"/>
      <c r="M678" s="62"/>
      <c r="N678" s="62"/>
      <c r="O678" s="62"/>
      <c r="P678" s="62"/>
      <c r="Q678" s="62"/>
      <c r="R678" s="62"/>
      <c r="S678" s="62"/>
      <c r="T678" s="62"/>
      <c r="U678" s="62">
        <v>0</v>
      </c>
      <c r="V678" s="62">
        <v>0</v>
      </c>
      <c r="W678" s="62">
        <v>0</v>
      </c>
      <c r="X678" s="62">
        <v>0</v>
      </c>
      <c r="Y678" s="62">
        <v>0</v>
      </c>
      <c r="Z678" s="62">
        <v>0</v>
      </c>
      <c r="AA678" s="62">
        <v>0</v>
      </c>
      <c r="AB678" s="62">
        <v>0</v>
      </c>
      <c r="AC678" s="62">
        <v>0</v>
      </c>
      <c r="AD678" s="62">
        <v>0</v>
      </c>
      <c r="AE678" s="62">
        <v>0</v>
      </c>
      <c r="AF678" s="62">
        <v>0</v>
      </c>
      <c r="AG678" s="62">
        <v>0</v>
      </c>
      <c r="AH678" s="62">
        <v>0</v>
      </c>
      <c r="AI678" s="57">
        <f t="shared" ref="AI678:AI680" si="5855">AH678</f>
        <v>0</v>
      </c>
      <c r="AJ678" s="58">
        <f t="shared" ref="AJ678:AJ680" si="5856">AI678</f>
        <v>0</v>
      </c>
      <c r="AK678" s="58">
        <f t="shared" ref="AK678:AK680" si="5857">AJ678</f>
        <v>0</v>
      </c>
      <c r="AL678" s="58">
        <f t="shared" ref="AL678:AL680" si="5858">AK678</f>
        <v>0</v>
      </c>
      <c r="AM678" s="58">
        <f t="shared" ref="AM678:AM680" si="5859">AL678</f>
        <v>0</v>
      </c>
      <c r="AN678" s="58">
        <f t="shared" ref="AN678:AN680" si="5860">AM678</f>
        <v>0</v>
      </c>
      <c r="AO678" s="58">
        <f t="shared" ref="AO678:AO680" si="5861">AN678</f>
        <v>0</v>
      </c>
      <c r="AP678" s="58">
        <f t="shared" ref="AP678:AP680" si="5862">AO678</f>
        <v>0</v>
      </c>
      <c r="AQ678" s="58">
        <f t="shared" ref="AQ678:AQ680" si="5863">AP678</f>
        <v>0</v>
      </c>
      <c r="AR678" s="58">
        <f t="shared" ref="AR678:AR680" si="5864">AQ678</f>
        <v>0</v>
      </c>
      <c r="AT678" s="19">
        <f t="shared" ref="AT678:AT681" si="5865">C678+D678</f>
        <v>0</v>
      </c>
      <c r="AU678" s="19">
        <f t="shared" ref="AU678:AU681" si="5866">E678+F678</f>
        <v>0</v>
      </c>
      <c r="AV678" s="19">
        <f t="shared" ref="AV678:AV681" si="5867">G678+H678</f>
        <v>0</v>
      </c>
      <c r="AW678" s="19">
        <f t="shared" ref="AW678:AW681" si="5868">I678+J678</f>
        <v>0</v>
      </c>
      <c r="AX678" s="19">
        <f t="shared" ref="AX678:AX681" si="5869">K678+L678</f>
        <v>0</v>
      </c>
      <c r="AY678" s="19">
        <f t="shared" ref="AY678:AY681" si="5870">M678+N678</f>
        <v>0</v>
      </c>
      <c r="AZ678" s="19">
        <f t="shared" ref="AZ678:AZ681" si="5871">O678+P678</f>
        <v>0</v>
      </c>
      <c r="BA678" s="19">
        <f t="shared" ref="BA678:BA681" si="5872">Q678+R678</f>
        <v>0</v>
      </c>
      <c r="BB678" s="19">
        <f t="shared" ref="BB678:BB681" si="5873">S678+T678</f>
        <v>0</v>
      </c>
      <c r="BC678" s="19">
        <f t="shared" ref="BC678:BC681" si="5874">U678+V678</f>
        <v>0</v>
      </c>
      <c r="BD678" s="19">
        <f t="shared" ref="BD678:BD681" si="5875">W678+X678</f>
        <v>0</v>
      </c>
      <c r="BE678" s="19">
        <f t="shared" ref="BE678:BE681" si="5876">Y678+Z678</f>
        <v>0</v>
      </c>
      <c r="BF678" s="19">
        <f t="shared" ref="BF678:BF681" si="5877">AA678+AB678</f>
        <v>0</v>
      </c>
      <c r="BG678" s="19">
        <f t="shared" ref="BG678:BG681" si="5878">AC678+AD678</f>
        <v>0</v>
      </c>
      <c r="BH678" s="19">
        <f t="shared" ref="BH678:BH681" si="5879">AE678+AF678</f>
        <v>0</v>
      </c>
      <c r="BI678" s="20">
        <f t="shared" ref="BI678:BI681" si="5880">AG678+AH678</f>
        <v>0</v>
      </c>
      <c r="BJ678" s="19">
        <f t="shared" ref="BJ678:BJ680" si="5881">AI678+AJ678</f>
        <v>0</v>
      </c>
      <c r="BK678" s="19">
        <f t="shared" ref="BK678:BK680" si="5882">AK678+AL678</f>
        <v>0</v>
      </c>
      <c r="BL678" s="19">
        <f t="shared" ref="BL678:BL680" si="5883">AL678+AM678</f>
        <v>0</v>
      </c>
      <c r="BM678" s="19">
        <f t="shared" ref="BM678:BM680" si="5884">AM678+AN678</f>
        <v>0</v>
      </c>
      <c r="BN678" s="19">
        <f t="shared" ref="BN678:BN680" si="5885">AO678+AP678</f>
        <v>0</v>
      </c>
    </row>
    <row r="679" spans="1:66" ht="12" hidden="1" customHeight="1" outlineLevel="2">
      <c r="A679" s="91" t="s">
        <v>1862</v>
      </c>
      <c r="B679" s="1" t="s">
        <v>1842</v>
      </c>
      <c r="C679" s="21"/>
      <c r="D679" s="21"/>
      <c r="E679" s="21"/>
      <c r="F679" s="21"/>
      <c r="G679" s="21"/>
      <c r="H679" s="21"/>
      <c r="I679" s="21"/>
      <c r="J679" s="21"/>
      <c r="K679" s="21"/>
      <c r="L679" s="21"/>
      <c r="M679" s="62"/>
      <c r="N679" s="62"/>
      <c r="O679" s="62"/>
      <c r="P679" s="62"/>
      <c r="Q679" s="62"/>
      <c r="R679" s="62"/>
      <c r="S679" s="62"/>
      <c r="T679" s="62"/>
      <c r="U679" s="62">
        <v>0</v>
      </c>
      <c r="V679" s="62">
        <v>0</v>
      </c>
      <c r="W679" s="62">
        <v>0</v>
      </c>
      <c r="X679" s="62">
        <v>0</v>
      </c>
      <c r="Y679" s="62">
        <v>0</v>
      </c>
      <c r="Z679" s="62">
        <v>0</v>
      </c>
      <c r="AA679" s="62">
        <v>0</v>
      </c>
      <c r="AB679" s="62">
        <v>0</v>
      </c>
      <c r="AC679" s="62">
        <v>0</v>
      </c>
      <c r="AD679" s="62">
        <v>0</v>
      </c>
      <c r="AE679" s="62">
        <v>0</v>
      </c>
      <c r="AF679" s="62">
        <v>0</v>
      </c>
      <c r="AG679" s="62">
        <v>0</v>
      </c>
      <c r="AH679" s="62">
        <v>0</v>
      </c>
      <c r="AI679" s="57">
        <f t="shared" si="5855"/>
        <v>0</v>
      </c>
      <c r="AJ679" s="58">
        <f t="shared" si="5856"/>
        <v>0</v>
      </c>
      <c r="AK679" s="58">
        <f t="shared" si="5857"/>
        <v>0</v>
      </c>
      <c r="AL679" s="58">
        <f t="shared" si="5858"/>
        <v>0</v>
      </c>
      <c r="AM679" s="58">
        <f t="shared" si="5859"/>
        <v>0</v>
      </c>
      <c r="AN679" s="58">
        <f t="shared" si="5860"/>
        <v>0</v>
      </c>
      <c r="AO679" s="58">
        <f t="shared" si="5861"/>
        <v>0</v>
      </c>
      <c r="AP679" s="58">
        <f t="shared" si="5862"/>
        <v>0</v>
      </c>
      <c r="AQ679" s="58">
        <f t="shared" si="5863"/>
        <v>0</v>
      </c>
      <c r="AR679" s="58">
        <f t="shared" si="5864"/>
        <v>0</v>
      </c>
      <c r="AT679" s="19">
        <f t="shared" si="5865"/>
        <v>0</v>
      </c>
      <c r="AU679" s="19">
        <f t="shared" si="5866"/>
        <v>0</v>
      </c>
      <c r="AV679" s="19">
        <f t="shared" si="5867"/>
        <v>0</v>
      </c>
      <c r="AW679" s="19">
        <f t="shared" si="5868"/>
        <v>0</v>
      </c>
      <c r="AX679" s="19">
        <f t="shared" si="5869"/>
        <v>0</v>
      </c>
      <c r="AY679" s="19">
        <f t="shared" si="5870"/>
        <v>0</v>
      </c>
      <c r="AZ679" s="19">
        <f t="shared" si="5871"/>
        <v>0</v>
      </c>
      <c r="BA679" s="19">
        <f t="shared" si="5872"/>
        <v>0</v>
      </c>
      <c r="BB679" s="19">
        <f t="shared" si="5873"/>
        <v>0</v>
      </c>
      <c r="BC679" s="19">
        <f t="shared" si="5874"/>
        <v>0</v>
      </c>
      <c r="BD679" s="19">
        <f t="shared" si="5875"/>
        <v>0</v>
      </c>
      <c r="BE679" s="19">
        <f t="shared" si="5876"/>
        <v>0</v>
      </c>
      <c r="BF679" s="19">
        <f t="shared" si="5877"/>
        <v>0</v>
      </c>
      <c r="BG679" s="19">
        <f t="shared" si="5878"/>
        <v>0</v>
      </c>
      <c r="BH679" s="19">
        <f t="shared" si="5879"/>
        <v>0</v>
      </c>
      <c r="BI679" s="20">
        <f t="shared" si="5880"/>
        <v>0</v>
      </c>
      <c r="BJ679" s="19">
        <f t="shared" si="5881"/>
        <v>0</v>
      </c>
      <c r="BK679" s="19">
        <f t="shared" si="5882"/>
        <v>0</v>
      </c>
      <c r="BL679" s="19">
        <f t="shared" si="5883"/>
        <v>0</v>
      </c>
      <c r="BM679" s="19">
        <f t="shared" si="5884"/>
        <v>0</v>
      </c>
      <c r="BN679" s="19">
        <f t="shared" si="5885"/>
        <v>0</v>
      </c>
    </row>
    <row r="680" spans="1:66" ht="12" hidden="1" customHeight="1" outlineLevel="2">
      <c r="A680" s="91" t="s">
        <v>1863</v>
      </c>
      <c r="B680" s="1" t="s">
        <v>1838</v>
      </c>
      <c r="C680" s="21"/>
      <c r="D680" s="21"/>
      <c r="E680" s="21"/>
      <c r="F680" s="21"/>
      <c r="G680" s="21"/>
      <c r="H680" s="21"/>
      <c r="I680" s="21"/>
      <c r="J680" s="21"/>
      <c r="K680" s="21"/>
      <c r="L680" s="21"/>
      <c r="M680" s="62"/>
      <c r="N680" s="62"/>
      <c r="O680" s="62"/>
      <c r="P680" s="62"/>
      <c r="Q680" s="62"/>
      <c r="R680" s="62"/>
      <c r="S680" s="62"/>
      <c r="T680" s="62"/>
      <c r="U680" s="62">
        <v>0</v>
      </c>
      <c r="V680" s="62">
        <v>0</v>
      </c>
      <c r="W680" s="62">
        <v>0</v>
      </c>
      <c r="X680" s="62">
        <v>0</v>
      </c>
      <c r="Y680" s="62">
        <v>0</v>
      </c>
      <c r="Z680" s="62">
        <v>0</v>
      </c>
      <c r="AA680" s="62">
        <v>0</v>
      </c>
      <c r="AB680" s="62">
        <v>0</v>
      </c>
      <c r="AC680" s="62">
        <v>0</v>
      </c>
      <c r="AD680" s="62">
        <v>0</v>
      </c>
      <c r="AE680" s="62">
        <v>0</v>
      </c>
      <c r="AF680" s="62">
        <v>0</v>
      </c>
      <c r="AG680" s="62">
        <v>0</v>
      </c>
      <c r="AH680" s="62">
        <v>0</v>
      </c>
      <c r="AI680" s="57">
        <f t="shared" si="5855"/>
        <v>0</v>
      </c>
      <c r="AJ680" s="58">
        <f t="shared" si="5856"/>
        <v>0</v>
      </c>
      <c r="AK680" s="58">
        <f t="shared" si="5857"/>
        <v>0</v>
      </c>
      <c r="AL680" s="58">
        <f t="shared" si="5858"/>
        <v>0</v>
      </c>
      <c r="AM680" s="58">
        <f t="shared" si="5859"/>
        <v>0</v>
      </c>
      <c r="AN680" s="58">
        <f t="shared" si="5860"/>
        <v>0</v>
      </c>
      <c r="AO680" s="58">
        <f t="shared" si="5861"/>
        <v>0</v>
      </c>
      <c r="AP680" s="58">
        <f t="shared" si="5862"/>
        <v>0</v>
      </c>
      <c r="AQ680" s="58">
        <f t="shared" si="5863"/>
        <v>0</v>
      </c>
      <c r="AR680" s="58">
        <f t="shared" si="5864"/>
        <v>0</v>
      </c>
      <c r="AT680" s="19">
        <f t="shared" si="5865"/>
        <v>0</v>
      </c>
      <c r="AU680" s="19">
        <f t="shared" si="5866"/>
        <v>0</v>
      </c>
      <c r="AV680" s="19">
        <f t="shared" si="5867"/>
        <v>0</v>
      </c>
      <c r="AW680" s="19">
        <f t="shared" si="5868"/>
        <v>0</v>
      </c>
      <c r="AX680" s="19">
        <f t="shared" si="5869"/>
        <v>0</v>
      </c>
      <c r="AY680" s="19">
        <f t="shared" si="5870"/>
        <v>0</v>
      </c>
      <c r="AZ680" s="19">
        <f t="shared" si="5871"/>
        <v>0</v>
      </c>
      <c r="BA680" s="19">
        <f t="shared" si="5872"/>
        <v>0</v>
      </c>
      <c r="BB680" s="19">
        <f t="shared" si="5873"/>
        <v>0</v>
      </c>
      <c r="BC680" s="19">
        <f t="shared" si="5874"/>
        <v>0</v>
      </c>
      <c r="BD680" s="19">
        <f t="shared" si="5875"/>
        <v>0</v>
      </c>
      <c r="BE680" s="19">
        <f t="shared" si="5876"/>
        <v>0</v>
      </c>
      <c r="BF680" s="19">
        <f t="shared" si="5877"/>
        <v>0</v>
      </c>
      <c r="BG680" s="19">
        <f t="shared" si="5878"/>
        <v>0</v>
      </c>
      <c r="BH680" s="19">
        <f t="shared" si="5879"/>
        <v>0</v>
      </c>
      <c r="BI680" s="20">
        <f t="shared" si="5880"/>
        <v>0</v>
      </c>
      <c r="BJ680" s="19">
        <f t="shared" si="5881"/>
        <v>0</v>
      </c>
      <c r="BK680" s="19">
        <f t="shared" si="5882"/>
        <v>0</v>
      </c>
      <c r="BL680" s="19">
        <f t="shared" si="5883"/>
        <v>0</v>
      </c>
      <c r="BM680" s="19">
        <f t="shared" si="5884"/>
        <v>0</v>
      </c>
      <c r="BN680" s="19">
        <f t="shared" si="5885"/>
        <v>0</v>
      </c>
    </row>
    <row r="681" spans="1:66" ht="12" hidden="1" customHeight="1" outlineLevel="2">
      <c r="A681" s="91" t="s">
        <v>1864</v>
      </c>
      <c r="B681" s="1" t="s">
        <v>1839</v>
      </c>
      <c r="C681" s="19">
        <f t="shared" ref="C681:H681" si="5886">C682-C666-C675-C674-C676-C677</f>
        <v>91</v>
      </c>
      <c r="D681" s="19">
        <f t="shared" si="5886"/>
        <v>75</v>
      </c>
      <c r="E681" s="19">
        <f t="shared" si="5886"/>
        <v>90</v>
      </c>
      <c r="F681" s="19">
        <f t="shared" si="5886"/>
        <v>202</v>
      </c>
      <c r="G681" s="19">
        <f t="shared" si="5886"/>
        <v>236</v>
      </c>
      <c r="H681" s="19">
        <f t="shared" si="5886"/>
        <v>267</v>
      </c>
      <c r="I681" s="19">
        <f t="shared" ref="I681:N681" si="5887">I682-I666-I675-I674-I676-I677</f>
        <v>257</v>
      </c>
      <c r="J681" s="19">
        <f t="shared" si="5887"/>
        <v>229</v>
      </c>
      <c r="K681" s="19">
        <f t="shared" si="5887"/>
        <v>317</v>
      </c>
      <c r="L681" s="19">
        <f t="shared" si="5887"/>
        <v>258</v>
      </c>
      <c r="M681" s="41">
        <f t="shared" si="5887"/>
        <v>359</v>
      </c>
      <c r="N681" s="41">
        <f t="shared" si="5887"/>
        <v>566</v>
      </c>
      <c r="O681" s="41">
        <f t="shared" ref="O681:P681" si="5888">O682-O666-O675-O674-O676-O677</f>
        <v>407</v>
      </c>
      <c r="P681" s="41">
        <f t="shared" si="5888"/>
        <v>540</v>
      </c>
      <c r="Q681" s="41">
        <f t="shared" ref="Q681:R681" si="5889">Q682-Q666-Q675-Q674-Q676-Q677</f>
        <v>504</v>
      </c>
      <c r="R681" s="41">
        <f t="shared" si="5889"/>
        <v>645</v>
      </c>
      <c r="S681" s="41">
        <f t="shared" ref="S681" si="5890">S682-S666-S675-S674-S676-S677</f>
        <v>588</v>
      </c>
      <c r="T681" s="41">
        <f t="shared" ref="T681" si="5891">T682-T666-T675-T674-T676-T677</f>
        <v>782</v>
      </c>
      <c r="U681" s="41">
        <f t="shared" ref="U681:V681" si="5892">U682-U666-U675-U674-U676-U677</f>
        <v>0</v>
      </c>
      <c r="V681" s="41">
        <f t="shared" si="5892"/>
        <v>0</v>
      </c>
      <c r="W681" s="41">
        <f t="shared" ref="W681:X681" si="5893">W682-W666-W675-W674-W676-W677</f>
        <v>0</v>
      </c>
      <c r="X681" s="41">
        <f t="shared" si="5893"/>
        <v>0</v>
      </c>
      <c r="Y681" s="41">
        <f t="shared" ref="Y681:Z681" si="5894">Y682-Y666-Y675-Y674-Y676-Y677</f>
        <v>0</v>
      </c>
      <c r="Z681" s="41">
        <f t="shared" si="5894"/>
        <v>0</v>
      </c>
      <c r="AA681" s="41">
        <f t="shared" ref="AA681:AB681" si="5895">AA682-AA666-AA675-AA674-AA676-AA677</f>
        <v>0</v>
      </c>
      <c r="AB681" s="41">
        <f t="shared" si="5895"/>
        <v>0</v>
      </c>
      <c r="AC681" s="41">
        <f t="shared" ref="AC681:AD681" si="5896">AC682-AC666-AC675-AC674-AC676-AC677</f>
        <v>0</v>
      </c>
      <c r="AD681" s="41">
        <f t="shared" si="5896"/>
        <v>0</v>
      </c>
      <c r="AE681" s="41">
        <f t="shared" ref="AE681:AF681" si="5897">AE682-AE666-AE675-AE674-AE676-AE677</f>
        <v>0</v>
      </c>
      <c r="AF681" s="41">
        <f t="shared" si="5897"/>
        <v>0</v>
      </c>
      <c r="AG681" s="41">
        <f t="shared" ref="AG681:AH681" si="5898">AG682-AG666-AG675-AG674-AG676-AG677</f>
        <v>0</v>
      </c>
      <c r="AH681" s="41">
        <f t="shared" si="5898"/>
        <v>0</v>
      </c>
      <c r="AI681" s="42">
        <f t="shared" si="5845"/>
        <v>0</v>
      </c>
      <c r="AJ681" s="58">
        <f t="shared" si="5846"/>
        <v>0</v>
      </c>
      <c r="AK681" s="58">
        <f t="shared" si="5847"/>
        <v>0</v>
      </c>
      <c r="AL681" s="58">
        <f t="shared" si="5848"/>
        <v>0</v>
      </c>
      <c r="AM681" s="58">
        <f t="shared" si="5849"/>
        <v>0</v>
      </c>
      <c r="AN681" s="58">
        <f t="shared" si="5850"/>
        <v>0</v>
      </c>
      <c r="AO681" s="58">
        <f t="shared" si="5851"/>
        <v>0</v>
      </c>
      <c r="AP681" s="58">
        <f t="shared" si="5852"/>
        <v>0</v>
      </c>
      <c r="AQ681" s="58">
        <f t="shared" si="5853"/>
        <v>0</v>
      </c>
      <c r="AR681" s="58">
        <f t="shared" si="5854"/>
        <v>0</v>
      </c>
      <c r="AT681" s="19">
        <f t="shared" si="5865"/>
        <v>166</v>
      </c>
      <c r="AU681" s="19">
        <f t="shared" si="5866"/>
        <v>292</v>
      </c>
      <c r="AV681" s="19">
        <f t="shared" si="5867"/>
        <v>503</v>
      </c>
      <c r="AW681" s="19">
        <f t="shared" si="5868"/>
        <v>486</v>
      </c>
      <c r="AX681" s="19">
        <f t="shared" si="5869"/>
        <v>575</v>
      </c>
      <c r="AY681" s="19">
        <f t="shared" si="5870"/>
        <v>925</v>
      </c>
      <c r="AZ681" s="19">
        <f t="shared" si="5871"/>
        <v>947</v>
      </c>
      <c r="BA681" s="19">
        <f t="shared" si="5872"/>
        <v>1149</v>
      </c>
      <c r="BB681" s="19">
        <f t="shared" si="5873"/>
        <v>1370</v>
      </c>
      <c r="BC681" s="19">
        <f t="shared" si="5874"/>
        <v>0</v>
      </c>
      <c r="BD681" s="19">
        <f t="shared" si="5875"/>
        <v>0</v>
      </c>
      <c r="BE681" s="19">
        <f t="shared" si="5876"/>
        <v>0</v>
      </c>
      <c r="BF681" s="19">
        <f t="shared" si="5877"/>
        <v>0</v>
      </c>
      <c r="BG681" s="19">
        <f t="shared" si="5878"/>
        <v>0</v>
      </c>
      <c r="BH681" s="19">
        <f t="shared" si="5879"/>
        <v>0</v>
      </c>
      <c r="BI681" s="20">
        <f t="shared" si="5880"/>
        <v>0</v>
      </c>
      <c r="BJ681" s="19">
        <f>AI681+AJ681</f>
        <v>0</v>
      </c>
      <c r="BK681" s="19">
        <f t="shared" si="5844"/>
        <v>0</v>
      </c>
      <c r="BL681" s="19">
        <f t="shared" si="5844"/>
        <v>0</v>
      </c>
      <c r="BM681" s="19">
        <f t="shared" si="5844"/>
        <v>0</v>
      </c>
      <c r="BN681" s="19">
        <f>AO681+AP681</f>
        <v>0</v>
      </c>
    </row>
    <row r="682" spans="1:66" s="9" customFormat="1" ht="12" hidden="1" customHeight="1" outlineLevel="2">
      <c r="A682" s="91" t="s">
        <v>1150</v>
      </c>
      <c r="B682" s="9" t="s">
        <v>35</v>
      </c>
      <c r="C682" s="22">
        <v>235</v>
      </c>
      <c r="D682" s="22">
        <f>465-C682</f>
        <v>230</v>
      </c>
      <c r="E682" s="22">
        <v>383</v>
      </c>
      <c r="F682" s="22">
        <f>876-E682</f>
        <v>493</v>
      </c>
      <c r="G682" s="22">
        <v>528</v>
      </c>
      <c r="H682" s="22">
        <f>1077-G682</f>
        <v>549</v>
      </c>
      <c r="I682" s="22">
        <v>507</v>
      </c>
      <c r="J682" s="22">
        <v>545</v>
      </c>
      <c r="K682" s="22">
        <v>578</v>
      </c>
      <c r="L682" s="22">
        <v>629</v>
      </c>
      <c r="M682" s="61">
        <v>688</v>
      </c>
      <c r="N682" s="61">
        <v>906</v>
      </c>
      <c r="O682" s="61">
        <v>863</v>
      </c>
      <c r="P682" s="61">
        <v>860</v>
      </c>
      <c r="Q682" s="61">
        <v>835</v>
      </c>
      <c r="R682" s="61">
        <v>996</v>
      </c>
      <c r="S682" s="61">
        <v>862</v>
      </c>
      <c r="T682" s="61">
        <v>908</v>
      </c>
      <c r="U682" s="61">
        <v>0</v>
      </c>
      <c r="V682" s="61">
        <v>0</v>
      </c>
      <c r="W682" s="61">
        <v>0</v>
      </c>
      <c r="X682" s="61">
        <v>0</v>
      </c>
      <c r="Y682" s="61">
        <v>0</v>
      </c>
      <c r="Z682" s="61">
        <v>0</v>
      </c>
      <c r="AA682" s="61">
        <v>0</v>
      </c>
      <c r="AB682" s="61">
        <v>0</v>
      </c>
      <c r="AC682" s="61">
        <v>0</v>
      </c>
      <c r="AD682" s="61">
        <v>0</v>
      </c>
      <c r="AE682" s="61">
        <v>0</v>
      </c>
      <c r="AF682" s="61">
        <v>0</v>
      </c>
      <c r="AG682" s="61">
        <v>0</v>
      </c>
      <c r="AH682" s="61">
        <v>0</v>
      </c>
      <c r="AI682" s="338">
        <f t="shared" ref="AI682:AJ682" si="5899">AI666+AI674+AI675+AI676+AI677+AI681</f>
        <v>0</v>
      </c>
      <c r="AJ682" s="39">
        <f t="shared" si="5899"/>
        <v>0</v>
      </c>
      <c r="AK682" s="39">
        <f t="shared" ref="AK682:AL682" si="5900">AK666+AK674+AK675+AK676+AK677+AK681</f>
        <v>0</v>
      </c>
      <c r="AL682" s="39">
        <f t="shared" si="5900"/>
        <v>0</v>
      </c>
      <c r="AM682" s="39">
        <f t="shared" ref="AM682:AN682" si="5901">AM666+AM674+AM675+AM676+AM677+AM681</f>
        <v>0</v>
      </c>
      <c r="AN682" s="39">
        <f t="shared" si="5901"/>
        <v>0</v>
      </c>
      <c r="AO682" s="39">
        <f t="shared" ref="AO682:AP682" si="5902">AO666+AO674+AO675+AO676+AO677+AO681</f>
        <v>0</v>
      </c>
      <c r="AP682" s="39">
        <f t="shared" si="5902"/>
        <v>0</v>
      </c>
      <c r="AQ682" s="39">
        <f t="shared" ref="AQ682:AR682" si="5903">AQ666+AQ674+AQ675+AQ676+AQ677+AQ681</f>
        <v>0</v>
      </c>
      <c r="AR682" s="39">
        <f t="shared" si="5903"/>
        <v>0</v>
      </c>
      <c r="AT682" s="30">
        <f>AT674+AT675+AT676+AT677+AT681+AT666</f>
        <v>465</v>
      </c>
      <c r="AU682" s="30">
        <f t="shared" ref="AU682:BB682" si="5904">AU674+AU675+AU676+AU677+AU681+AU666</f>
        <v>876</v>
      </c>
      <c r="AV682" s="30">
        <f t="shared" si="5904"/>
        <v>1077</v>
      </c>
      <c r="AW682" s="30">
        <f t="shared" si="5904"/>
        <v>1052</v>
      </c>
      <c r="AX682" s="30">
        <f t="shared" si="5904"/>
        <v>1207</v>
      </c>
      <c r="AY682" s="30">
        <f t="shared" si="5904"/>
        <v>1594</v>
      </c>
      <c r="AZ682" s="30">
        <f t="shared" si="5904"/>
        <v>1723</v>
      </c>
      <c r="BA682" s="30">
        <f t="shared" si="5904"/>
        <v>1831</v>
      </c>
      <c r="BB682" s="30">
        <f t="shared" si="5904"/>
        <v>1770</v>
      </c>
      <c r="BC682" s="30">
        <f t="shared" ref="BC682" si="5905">BC674+BC675+BC676+BC677+BC681+BC666</f>
        <v>0</v>
      </c>
      <c r="BD682" s="30">
        <f t="shared" ref="BD682:BI682" si="5906">BD674+BD675+BD676+BD677+BD681+BD666</f>
        <v>0</v>
      </c>
      <c r="BE682" s="30">
        <f t="shared" si="5906"/>
        <v>0</v>
      </c>
      <c r="BF682" s="30">
        <f t="shared" si="5906"/>
        <v>0</v>
      </c>
      <c r="BG682" s="30">
        <f t="shared" si="5906"/>
        <v>0</v>
      </c>
      <c r="BH682" s="30">
        <f t="shared" si="5906"/>
        <v>0</v>
      </c>
      <c r="BI682" s="27">
        <f t="shared" si="5906"/>
        <v>0</v>
      </c>
      <c r="BJ682" s="30">
        <f t="shared" ref="BJ682:BK682" si="5907">BJ674+BJ675+BJ676+BJ677+BJ681+BJ666</f>
        <v>0</v>
      </c>
      <c r="BK682" s="30">
        <f t="shared" si="5907"/>
        <v>0</v>
      </c>
      <c r="BL682" s="30">
        <f t="shared" ref="BL682" si="5908">BL674+BL675+BL676+BL677+BL681+BL666</f>
        <v>0</v>
      </c>
      <c r="BM682" s="30">
        <f t="shared" ref="BM682" si="5909">BM674+BM675+BM676+BM677+BM681+BM666</f>
        <v>0</v>
      </c>
      <c r="BN682" s="30">
        <f t="shared" ref="BN682" si="5910">BN674+BN675+BN676+BN677+BN681+BN666</f>
        <v>0</v>
      </c>
    </row>
    <row r="683" spans="1:66" ht="12" hidden="1" customHeight="1" outlineLevel="2">
      <c r="A683" s="91" t="s">
        <v>1151</v>
      </c>
      <c r="B683" s="1" t="s">
        <v>14</v>
      </c>
      <c r="C683" s="21">
        <v>-44</v>
      </c>
      <c r="D683" s="21">
        <f>-99-C683</f>
        <v>-55</v>
      </c>
      <c r="E683" s="21">
        <v>-72</v>
      </c>
      <c r="F683" s="21">
        <f>-149-E683</f>
        <v>-77</v>
      </c>
      <c r="G683" s="21">
        <v>-70</v>
      </c>
      <c r="H683" s="21">
        <f>-165-G683</f>
        <v>-95</v>
      </c>
      <c r="I683" s="21">
        <v>-77</v>
      </c>
      <c r="J683" s="21">
        <v>-75</v>
      </c>
      <c r="K683" s="21">
        <v>-82</v>
      </c>
      <c r="L683" s="21">
        <v>-94</v>
      </c>
      <c r="M683" s="62">
        <v>-97</v>
      </c>
      <c r="N683" s="62">
        <v>-116</v>
      </c>
      <c r="O683" s="62">
        <v>-108</v>
      </c>
      <c r="P683" s="62">
        <v>-131</v>
      </c>
      <c r="Q683" s="62">
        <v>-135</v>
      </c>
      <c r="R683" s="62">
        <v>-132</v>
      </c>
      <c r="S683" s="62">
        <v>-102</v>
      </c>
      <c r="T683" s="62">
        <v>-115</v>
      </c>
      <c r="U683" s="62">
        <v>0</v>
      </c>
      <c r="V683" s="62">
        <v>0</v>
      </c>
      <c r="W683" s="62">
        <v>0</v>
      </c>
      <c r="X683" s="62">
        <v>0</v>
      </c>
      <c r="Y683" s="62">
        <v>0</v>
      </c>
      <c r="Z683" s="62">
        <v>0</v>
      </c>
      <c r="AA683" s="62">
        <v>0</v>
      </c>
      <c r="AB683" s="62">
        <v>0</v>
      </c>
      <c r="AC683" s="62">
        <v>0</v>
      </c>
      <c r="AD683" s="62">
        <v>0</v>
      </c>
      <c r="AE683" s="62">
        <v>0</v>
      </c>
      <c r="AF683" s="62">
        <v>0</v>
      </c>
      <c r="AG683" s="62">
        <v>0</v>
      </c>
      <c r="AH683" s="62">
        <v>0</v>
      </c>
      <c r="AI683" s="57">
        <f t="shared" ref="AI683:AI685" si="5911">AH683</f>
        <v>0</v>
      </c>
      <c r="AJ683" s="58">
        <f t="shared" ref="AJ683:AJ685" si="5912">AI683</f>
        <v>0</v>
      </c>
      <c r="AK683" s="58">
        <f t="shared" ref="AK683:AK685" si="5913">AJ683</f>
        <v>0</v>
      </c>
      <c r="AL683" s="58">
        <f t="shared" ref="AL683:AL685" si="5914">AK683</f>
        <v>0</v>
      </c>
      <c r="AM683" s="58">
        <f t="shared" ref="AM683:AM685" si="5915">AL683</f>
        <v>0</v>
      </c>
      <c r="AN683" s="58">
        <f t="shared" ref="AN683:AN685" si="5916">AM683</f>
        <v>0</v>
      </c>
      <c r="AO683" s="58">
        <f t="shared" ref="AO683:AO685" si="5917">AN683</f>
        <v>0</v>
      </c>
      <c r="AP683" s="58">
        <f t="shared" ref="AP683:AP685" si="5918">AO683</f>
        <v>0</v>
      </c>
      <c r="AQ683" s="58">
        <f t="shared" ref="AQ683:AQ685" si="5919">AP683</f>
        <v>0</v>
      </c>
      <c r="AR683" s="58">
        <f t="shared" ref="AR683:AR685" si="5920">AQ683</f>
        <v>0</v>
      </c>
      <c r="AT683" s="19">
        <f>C683+D683</f>
        <v>-99</v>
      </c>
      <c r="AU683" s="19">
        <f>E683+F683</f>
        <v>-149</v>
      </c>
      <c r="AV683" s="19">
        <f>G683+H683</f>
        <v>-165</v>
      </c>
      <c r="AW683" s="19">
        <f>I683+J683</f>
        <v>-152</v>
      </c>
      <c r="AX683" s="19">
        <f>K683+L683</f>
        <v>-176</v>
      </c>
      <c r="AY683" s="19">
        <f>M683+N683</f>
        <v>-213</v>
      </c>
      <c r="AZ683" s="19">
        <f>O683+P683</f>
        <v>-239</v>
      </c>
      <c r="BA683" s="19">
        <f>Q683+R683</f>
        <v>-267</v>
      </c>
      <c r="BB683" s="19">
        <f>S683+T683</f>
        <v>-217</v>
      </c>
      <c r="BC683" s="19">
        <f>U683+V683</f>
        <v>0</v>
      </c>
      <c r="BD683" s="19">
        <f>W683+X683</f>
        <v>0</v>
      </c>
      <c r="BE683" s="19">
        <f>Y683+Z683</f>
        <v>0</v>
      </c>
      <c r="BF683" s="19">
        <f>AA683+AB683</f>
        <v>0</v>
      </c>
      <c r="BG683" s="19">
        <f>AC683+AD683</f>
        <v>0</v>
      </c>
      <c r="BH683" s="19">
        <f>AE683+AF683</f>
        <v>0</v>
      </c>
      <c r="BI683" s="20">
        <f>AG683+AH683</f>
        <v>0</v>
      </c>
      <c r="BJ683" s="19">
        <f>AI683+AJ683</f>
        <v>0</v>
      </c>
      <c r="BK683" s="19">
        <f t="shared" ref="BK683:BM685" si="5921">AK683+AL683</f>
        <v>0</v>
      </c>
      <c r="BL683" s="19">
        <f t="shared" si="5921"/>
        <v>0</v>
      </c>
      <c r="BM683" s="19">
        <f t="shared" si="5921"/>
        <v>0</v>
      </c>
      <c r="BN683" s="19">
        <f>AO683+AP683</f>
        <v>0</v>
      </c>
    </row>
    <row r="684" spans="1:66" ht="12" hidden="1" customHeight="1" outlineLevel="2">
      <c r="A684" s="91" t="s">
        <v>1152</v>
      </c>
      <c r="B684" s="1" t="s">
        <v>21</v>
      </c>
      <c r="C684" s="21">
        <v>0</v>
      </c>
      <c r="D684" s="21">
        <v>0</v>
      </c>
      <c r="E684" s="21">
        <v>0</v>
      </c>
      <c r="F684" s="21">
        <v>0</v>
      </c>
      <c r="G684" s="21">
        <v>-11</v>
      </c>
      <c r="H684" s="21">
        <f>-16-G684</f>
        <v>-5</v>
      </c>
      <c r="I684" s="21">
        <v>-4</v>
      </c>
      <c r="J684" s="21">
        <v>-10</v>
      </c>
      <c r="K684" s="21">
        <v>-6</v>
      </c>
      <c r="L684" s="21">
        <v>-7</v>
      </c>
      <c r="M684" s="62">
        <v>-4</v>
      </c>
      <c r="N684" s="62">
        <v>-7</v>
      </c>
      <c r="O684" s="62">
        <v>-3</v>
      </c>
      <c r="P684" s="62">
        <v>-4</v>
      </c>
      <c r="Q684" s="62">
        <v>-4</v>
      </c>
      <c r="R684" s="62">
        <v>-5</v>
      </c>
      <c r="S684" s="62">
        <v>-41</v>
      </c>
      <c r="T684" s="62">
        <v>-17</v>
      </c>
      <c r="U684" s="62">
        <v>0</v>
      </c>
      <c r="V684" s="62">
        <v>0</v>
      </c>
      <c r="W684" s="62">
        <v>0</v>
      </c>
      <c r="X684" s="62">
        <v>0</v>
      </c>
      <c r="Y684" s="62">
        <v>0</v>
      </c>
      <c r="Z684" s="62">
        <v>0</v>
      </c>
      <c r="AA684" s="62">
        <v>0</v>
      </c>
      <c r="AB684" s="62">
        <v>0</v>
      </c>
      <c r="AC684" s="62">
        <v>0</v>
      </c>
      <c r="AD684" s="62">
        <v>0</v>
      </c>
      <c r="AE684" s="62">
        <v>0</v>
      </c>
      <c r="AF684" s="62">
        <v>0</v>
      </c>
      <c r="AG684" s="62">
        <v>0</v>
      </c>
      <c r="AH684" s="62">
        <v>0</v>
      </c>
      <c r="AI684" s="57">
        <f t="shared" si="5911"/>
        <v>0</v>
      </c>
      <c r="AJ684" s="58">
        <f t="shared" si="5912"/>
        <v>0</v>
      </c>
      <c r="AK684" s="58">
        <f t="shared" si="5913"/>
        <v>0</v>
      </c>
      <c r="AL684" s="58">
        <f t="shared" si="5914"/>
        <v>0</v>
      </c>
      <c r="AM684" s="58">
        <f t="shared" si="5915"/>
        <v>0</v>
      </c>
      <c r="AN684" s="58">
        <f t="shared" si="5916"/>
        <v>0</v>
      </c>
      <c r="AO684" s="58">
        <f t="shared" si="5917"/>
        <v>0</v>
      </c>
      <c r="AP684" s="58">
        <f t="shared" si="5918"/>
        <v>0</v>
      </c>
      <c r="AQ684" s="58">
        <f t="shared" si="5919"/>
        <v>0</v>
      </c>
      <c r="AR684" s="58">
        <f t="shared" si="5920"/>
        <v>0</v>
      </c>
      <c r="AT684" s="19">
        <f>C684+D684</f>
        <v>0</v>
      </c>
      <c r="AU684" s="19">
        <f>E684+F684</f>
        <v>0</v>
      </c>
      <c r="AV684" s="19">
        <f>G684+H684</f>
        <v>-16</v>
      </c>
      <c r="AW684" s="19">
        <f>I684+J684</f>
        <v>-14</v>
      </c>
      <c r="AX684" s="19">
        <f>K684+L684</f>
        <v>-13</v>
      </c>
      <c r="AY684" s="19">
        <f>M684+N684</f>
        <v>-11</v>
      </c>
      <c r="AZ684" s="19">
        <f>O684+P684</f>
        <v>-7</v>
      </c>
      <c r="BA684" s="19">
        <f>Q684+R684</f>
        <v>-9</v>
      </c>
      <c r="BB684" s="19">
        <f>S684+T684</f>
        <v>-58</v>
      </c>
      <c r="BC684" s="19">
        <f>U684+V684</f>
        <v>0</v>
      </c>
      <c r="BD684" s="19">
        <f>W684+X684</f>
        <v>0</v>
      </c>
      <c r="BE684" s="19">
        <f>Y684+Z684</f>
        <v>0</v>
      </c>
      <c r="BF684" s="19">
        <f>AA684+AB684</f>
        <v>0</v>
      </c>
      <c r="BG684" s="19">
        <f>AC684+AD684</f>
        <v>0</v>
      </c>
      <c r="BH684" s="19">
        <f>AE684+AF684</f>
        <v>0</v>
      </c>
      <c r="BI684" s="20">
        <f>AG684+AH684</f>
        <v>0</v>
      </c>
      <c r="BJ684" s="19">
        <f>AI684+AJ684</f>
        <v>0</v>
      </c>
      <c r="BK684" s="19">
        <f t="shared" si="5921"/>
        <v>0</v>
      </c>
      <c r="BL684" s="19">
        <f t="shared" si="5921"/>
        <v>0</v>
      </c>
      <c r="BM684" s="19">
        <f t="shared" si="5921"/>
        <v>0</v>
      </c>
      <c r="BN684" s="19">
        <f>AO684+AP684</f>
        <v>0</v>
      </c>
    </row>
    <row r="685" spans="1:66" ht="12" hidden="1" customHeight="1" outlineLevel="2">
      <c r="A685" s="91" t="s">
        <v>1153</v>
      </c>
      <c r="B685" s="1" t="s">
        <v>11</v>
      </c>
      <c r="C685" s="21">
        <f>-105-C683-C684</f>
        <v>-61</v>
      </c>
      <c r="D685" s="21">
        <f>-208-C683-C684-C685-D683-D684</f>
        <v>-48</v>
      </c>
      <c r="E685" s="21">
        <f>-137-E683-E684</f>
        <v>-65</v>
      </c>
      <c r="F685" s="21">
        <f>-302-E683-E684-E685-F683-F684</f>
        <v>-88</v>
      </c>
      <c r="G685" s="21">
        <f>-167-G683-G684</f>
        <v>-86</v>
      </c>
      <c r="H685" s="21">
        <f>-376-G683-G684-G685-H683-H684</f>
        <v>-109</v>
      </c>
      <c r="I685" s="21">
        <f>-172-I683-I684</f>
        <v>-91</v>
      </c>
      <c r="J685" s="21">
        <f>-186-J683-J684</f>
        <v>-101</v>
      </c>
      <c r="K685" s="21">
        <f>-182-K683-K684</f>
        <v>-94</v>
      </c>
      <c r="L685" s="21">
        <v>-98</v>
      </c>
      <c r="M685" s="62">
        <v>-119</v>
      </c>
      <c r="N685" s="62">
        <v>-139</v>
      </c>
      <c r="O685" s="62">
        <v>-141</v>
      </c>
      <c r="P685" s="62">
        <v>-207</v>
      </c>
      <c r="Q685" s="62">
        <v>-176</v>
      </c>
      <c r="R685" s="62">
        <v>-182</v>
      </c>
      <c r="S685" s="62">
        <v>-154</v>
      </c>
      <c r="T685" s="62">
        <v>-197</v>
      </c>
      <c r="U685" s="62">
        <v>0</v>
      </c>
      <c r="V685" s="62">
        <v>0</v>
      </c>
      <c r="W685" s="62">
        <v>0</v>
      </c>
      <c r="X685" s="62">
        <v>0</v>
      </c>
      <c r="Y685" s="62">
        <v>0</v>
      </c>
      <c r="Z685" s="62">
        <v>0</v>
      </c>
      <c r="AA685" s="62">
        <v>0</v>
      </c>
      <c r="AB685" s="62">
        <v>0</v>
      </c>
      <c r="AC685" s="62">
        <v>0</v>
      </c>
      <c r="AD685" s="62">
        <v>0</v>
      </c>
      <c r="AE685" s="62">
        <v>0</v>
      </c>
      <c r="AF685" s="62">
        <v>0</v>
      </c>
      <c r="AG685" s="62">
        <v>0</v>
      </c>
      <c r="AH685" s="62">
        <v>0</v>
      </c>
      <c r="AI685" s="57">
        <f t="shared" si="5911"/>
        <v>0</v>
      </c>
      <c r="AJ685" s="58">
        <f t="shared" si="5912"/>
        <v>0</v>
      </c>
      <c r="AK685" s="58">
        <f t="shared" si="5913"/>
        <v>0</v>
      </c>
      <c r="AL685" s="58">
        <f t="shared" si="5914"/>
        <v>0</v>
      </c>
      <c r="AM685" s="58">
        <f t="shared" si="5915"/>
        <v>0</v>
      </c>
      <c r="AN685" s="58">
        <f t="shared" si="5916"/>
        <v>0</v>
      </c>
      <c r="AO685" s="58">
        <f t="shared" si="5917"/>
        <v>0</v>
      </c>
      <c r="AP685" s="58">
        <f t="shared" si="5918"/>
        <v>0</v>
      </c>
      <c r="AQ685" s="58">
        <f t="shared" si="5919"/>
        <v>0</v>
      </c>
      <c r="AR685" s="58">
        <f t="shared" si="5920"/>
        <v>0</v>
      </c>
      <c r="AT685" s="19">
        <f>C685+D685</f>
        <v>-109</v>
      </c>
      <c r="AU685" s="19">
        <f>E685+F685</f>
        <v>-153</v>
      </c>
      <c r="AV685" s="19">
        <f>G685+H685</f>
        <v>-195</v>
      </c>
      <c r="AW685" s="19">
        <f>I685+J685</f>
        <v>-192</v>
      </c>
      <c r="AX685" s="19">
        <f>K685+L685</f>
        <v>-192</v>
      </c>
      <c r="AY685" s="19">
        <f>M685+N685</f>
        <v>-258</v>
      </c>
      <c r="AZ685" s="19">
        <f>O685+P685</f>
        <v>-348</v>
      </c>
      <c r="BA685" s="19">
        <f>Q685+R685</f>
        <v>-358</v>
      </c>
      <c r="BB685" s="19">
        <f>S685+T685</f>
        <v>-351</v>
      </c>
      <c r="BC685" s="19">
        <f>U685+V685</f>
        <v>0</v>
      </c>
      <c r="BD685" s="19">
        <f>W685+X685</f>
        <v>0</v>
      </c>
      <c r="BE685" s="19">
        <f>Y685+Z685</f>
        <v>0</v>
      </c>
      <c r="BF685" s="19">
        <f>AA685+AB685</f>
        <v>0</v>
      </c>
      <c r="BG685" s="19">
        <f>AC685+AD685</f>
        <v>0</v>
      </c>
      <c r="BH685" s="19">
        <f>AE685+AF685</f>
        <v>0</v>
      </c>
      <c r="BI685" s="20">
        <f>AG685+AH685</f>
        <v>0</v>
      </c>
      <c r="BJ685" s="19">
        <f>AI685+AJ685</f>
        <v>0</v>
      </c>
      <c r="BK685" s="19">
        <f t="shared" si="5921"/>
        <v>0</v>
      </c>
      <c r="BL685" s="19">
        <f t="shared" si="5921"/>
        <v>0</v>
      </c>
      <c r="BM685" s="19">
        <f t="shared" si="5921"/>
        <v>0</v>
      </c>
      <c r="BN685" s="19">
        <f>AO685+AP685</f>
        <v>0</v>
      </c>
    </row>
    <row r="686" spans="1:66" s="9" customFormat="1" ht="12" hidden="1" customHeight="1" outlineLevel="2">
      <c r="A686" s="91" t="s">
        <v>1154</v>
      </c>
      <c r="B686" s="9" t="s">
        <v>52</v>
      </c>
      <c r="C686" s="17">
        <f t="shared" ref="C686:H686" si="5922">C682+C683+C684+C685</f>
        <v>130</v>
      </c>
      <c r="D686" s="17">
        <f t="shared" si="5922"/>
        <v>127</v>
      </c>
      <c r="E686" s="17">
        <f t="shared" si="5922"/>
        <v>246</v>
      </c>
      <c r="F686" s="17">
        <f t="shared" si="5922"/>
        <v>328</v>
      </c>
      <c r="G686" s="17">
        <f t="shared" si="5922"/>
        <v>361</v>
      </c>
      <c r="H686" s="17">
        <f t="shared" si="5922"/>
        <v>340</v>
      </c>
      <c r="I686" s="17">
        <f>I682+I683+I684+I685</f>
        <v>335</v>
      </c>
      <c r="J686" s="17">
        <f>J682+J683+J684+J685</f>
        <v>359</v>
      </c>
      <c r="K686" s="17">
        <f>K682+K683+K684+K685</f>
        <v>396</v>
      </c>
      <c r="L686" s="17">
        <f>L682+L683+L684+L685</f>
        <v>430</v>
      </c>
      <c r="M686" s="39">
        <f>M682+M683+M684+M685</f>
        <v>468</v>
      </c>
      <c r="N686" s="39">
        <f t="shared" ref="N686" si="5923">N682+N683+N684+N685</f>
        <v>644</v>
      </c>
      <c r="O686" s="39">
        <f t="shared" ref="O686:P686" si="5924">O682+O683+O684+O685</f>
        <v>611</v>
      </c>
      <c r="P686" s="39">
        <f t="shared" si="5924"/>
        <v>518</v>
      </c>
      <c r="Q686" s="39">
        <f t="shared" ref="Q686:R686" si="5925">Q682+Q683+Q684+Q685</f>
        <v>520</v>
      </c>
      <c r="R686" s="39">
        <f t="shared" si="5925"/>
        <v>677</v>
      </c>
      <c r="S686" s="39">
        <f t="shared" ref="S686" si="5926">S682+S683+S684+S685</f>
        <v>565</v>
      </c>
      <c r="T686" s="39">
        <f t="shared" ref="T686" si="5927">T682+T683+T684+T685</f>
        <v>579</v>
      </c>
      <c r="U686" s="39">
        <f t="shared" ref="U686:V686" si="5928">U682+U683+U684+U685</f>
        <v>0</v>
      </c>
      <c r="V686" s="39">
        <f t="shared" si="5928"/>
        <v>0</v>
      </c>
      <c r="W686" s="39">
        <f t="shared" ref="W686:X686" si="5929">W682+W683+W684+W685</f>
        <v>0</v>
      </c>
      <c r="X686" s="39">
        <f t="shared" si="5929"/>
        <v>0</v>
      </c>
      <c r="Y686" s="39">
        <f t="shared" ref="Y686:Z686" si="5930">Y682+Y683+Y684+Y685</f>
        <v>0</v>
      </c>
      <c r="Z686" s="39">
        <f t="shared" si="5930"/>
        <v>0</v>
      </c>
      <c r="AA686" s="39">
        <f t="shared" ref="AA686:AB686" si="5931">AA682+AA683+AA684+AA685</f>
        <v>0</v>
      </c>
      <c r="AB686" s="39">
        <f t="shared" si="5931"/>
        <v>0</v>
      </c>
      <c r="AC686" s="39">
        <f t="shared" ref="AC686:AD686" si="5932">AC682+AC683+AC684+AC685</f>
        <v>0</v>
      </c>
      <c r="AD686" s="39">
        <f t="shared" si="5932"/>
        <v>0</v>
      </c>
      <c r="AE686" s="39">
        <f t="shared" ref="AE686:AF686" si="5933">AE682+AE683+AE684+AE685</f>
        <v>0</v>
      </c>
      <c r="AF686" s="39">
        <f t="shared" si="5933"/>
        <v>0</v>
      </c>
      <c r="AG686" s="39">
        <f t="shared" ref="AG686:AH686" si="5934">AG682+AG683+AG684+AG685</f>
        <v>0</v>
      </c>
      <c r="AH686" s="39">
        <f t="shared" si="5934"/>
        <v>0</v>
      </c>
      <c r="AI686" s="40">
        <f t="shared" ref="AI686:AJ686" si="5935">AI682+AI683+AI684+AI685</f>
        <v>0</v>
      </c>
      <c r="AJ686" s="39">
        <f t="shared" si="5935"/>
        <v>0</v>
      </c>
      <c r="AK686" s="39">
        <f t="shared" ref="AK686:AL686" si="5936">AK682+AK683+AK684+AK685</f>
        <v>0</v>
      </c>
      <c r="AL686" s="39">
        <f t="shared" si="5936"/>
        <v>0</v>
      </c>
      <c r="AM686" s="39">
        <f t="shared" ref="AM686:AN686" si="5937">AM682+AM683+AM684+AM685</f>
        <v>0</v>
      </c>
      <c r="AN686" s="39">
        <f t="shared" si="5937"/>
        <v>0</v>
      </c>
      <c r="AO686" s="39">
        <f t="shared" ref="AO686:AP686" si="5938">AO682+AO683+AO684+AO685</f>
        <v>0</v>
      </c>
      <c r="AP686" s="39">
        <f t="shared" si="5938"/>
        <v>0</v>
      </c>
      <c r="AQ686" s="39">
        <f t="shared" ref="AQ686:AR686" si="5939">AQ682+AQ683+AQ684+AQ685</f>
        <v>0</v>
      </c>
      <c r="AR686" s="39">
        <f t="shared" si="5939"/>
        <v>0</v>
      </c>
      <c r="AT686" s="39">
        <f t="shared" ref="AT686:BB686" si="5940">AT682+AT683+AT684+AT685</f>
        <v>257</v>
      </c>
      <c r="AU686" s="39">
        <f t="shared" si="5940"/>
        <v>574</v>
      </c>
      <c r="AV686" s="39">
        <f t="shared" si="5940"/>
        <v>701</v>
      </c>
      <c r="AW686" s="39">
        <f t="shared" si="5940"/>
        <v>694</v>
      </c>
      <c r="AX686" s="39">
        <f t="shared" si="5940"/>
        <v>826</v>
      </c>
      <c r="AY686" s="39">
        <f t="shared" si="5940"/>
        <v>1112</v>
      </c>
      <c r="AZ686" s="39">
        <f t="shared" si="5940"/>
        <v>1129</v>
      </c>
      <c r="BA686" s="39">
        <f t="shared" si="5940"/>
        <v>1197</v>
      </c>
      <c r="BB686" s="39">
        <f t="shared" si="5940"/>
        <v>1144</v>
      </c>
      <c r="BC686" s="39">
        <f t="shared" ref="BC686" si="5941">BC682+BC683+BC684+BC685</f>
        <v>0</v>
      </c>
      <c r="BD686" s="39">
        <f t="shared" ref="BD686:BI686" si="5942">BD682+BD683+BD684+BD685</f>
        <v>0</v>
      </c>
      <c r="BE686" s="39">
        <f t="shared" si="5942"/>
        <v>0</v>
      </c>
      <c r="BF686" s="39">
        <f t="shared" si="5942"/>
        <v>0</v>
      </c>
      <c r="BG686" s="39">
        <f t="shared" si="5942"/>
        <v>0</v>
      </c>
      <c r="BH686" s="39">
        <f t="shared" si="5942"/>
        <v>0</v>
      </c>
      <c r="BI686" s="40">
        <f t="shared" si="5942"/>
        <v>0</v>
      </c>
      <c r="BJ686" s="39">
        <f t="shared" ref="BJ686:BK686" si="5943">BJ682+BJ683+BJ684+BJ685</f>
        <v>0</v>
      </c>
      <c r="BK686" s="39">
        <f t="shared" si="5943"/>
        <v>0</v>
      </c>
      <c r="BL686" s="39">
        <f t="shared" ref="BL686" si="5944">BL682+BL683+BL684+BL685</f>
        <v>0</v>
      </c>
      <c r="BM686" s="39">
        <f t="shared" ref="BM686" si="5945">BM682+BM683+BM684+BM685</f>
        <v>0</v>
      </c>
      <c r="BN686" s="39">
        <f t="shared" ref="BN686" si="5946">BN682+BN683+BN684+BN685</f>
        <v>0</v>
      </c>
    </row>
    <row r="687" spans="1:66" ht="12" hidden="1" customHeight="1" outlineLevel="2">
      <c r="A687" s="91" t="s">
        <v>1155</v>
      </c>
      <c r="B687" s="1" t="s">
        <v>16</v>
      </c>
      <c r="C687" s="21">
        <v>-1</v>
      </c>
      <c r="D687" s="21">
        <f>-2-C687</f>
        <v>-1</v>
      </c>
      <c r="E687" s="21">
        <v>0</v>
      </c>
      <c r="F687" s="21">
        <v>0</v>
      </c>
      <c r="G687" s="21">
        <v>-3</v>
      </c>
      <c r="H687" s="21">
        <f>-3-G687</f>
        <v>0</v>
      </c>
      <c r="I687" s="21">
        <v>0</v>
      </c>
      <c r="J687" s="21">
        <v>0</v>
      </c>
      <c r="K687" s="21">
        <v>0</v>
      </c>
      <c r="L687" s="21">
        <v>0</v>
      </c>
      <c r="M687" s="62">
        <v>0</v>
      </c>
      <c r="N687" s="62">
        <v>0</v>
      </c>
      <c r="O687" s="62">
        <v>0</v>
      </c>
      <c r="P687" s="62">
        <v>1</v>
      </c>
      <c r="Q687" s="62">
        <v>1</v>
      </c>
      <c r="R687" s="62">
        <v>0</v>
      </c>
      <c r="S687" s="62">
        <v>0</v>
      </c>
      <c r="T687" s="62">
        <v>-4</v>
      </c>
      <c r="U687" s="62">
        <v>0</v>
      </c>
      <c r="V687" s="62">
        <v>0</v>
      </c>
      <c r="W687" s="62">
        <v>0</v>
      </c>
      <c r="X687" s="62">
        <v>0</v>
      </c>
      <c r="Y687" s="62">
        <v>0</v>
      </c>
      <c r="Z687" s="62">
        <v>0</v>
      </c>
      <c r="AA687" s="62">
        <v>0</v>
      </c>
      <c r="AB687" s="62">
        <v>0</v>
      </c>
      <c r="AC687" s="62">
        <v>0</v>
      </c>
      <c r="AD687" s="62">
        <v>0</v>
      </c>
      <c r="AE687" s="62">
        <v>0</v>
      </c>
      <c r="AF687" s="62">
        <v>0</v>
      </c>
      <c r="AG687" s="62">
        <v>0</v>
      </c>
      <c r="AH687" s="62">
        <v>0</v>
      </c>
      <c r="AI687" s="57">
        <f t="shared" ref="AI687" si="5947">AH687</f>
        <v>0</v>
      </c>
      <c r="AJ687" s="58">
        <f t="shared" ref="AJ687" si="5948">AI687</f>
        <v>0</v>
      </c>
      <c r="AK687" s="58">
        <f t="shared" ref="AK687" si="5949">AJ687</f>
        <v>0</v>
      </c>
      <c r="AL687" s="58">
        <f t="shared" ref="AL687" si="5950">AK687</f>
        <v>0</v>
      </c>
      <c r="AM687" s="58">
        <f t="shared" ref="AM687" si="5951">AL687</f>
        <v>0</v>
      </c>
      <c r="AN687" s="58">
        <f t="shared" ref="AN687" si="5952">AM687</f>
        <v>0</v>
      </c>
      <c r="AO687" s="58">
        <f t="shared" ref="AO687" si="5953">AN687</f>
        <v>0</v>
      </c>
      <c r="AP687" s="58">
        <f t="shared" ref="AP687" si="5954">AO687</f>
        <v>0</v>
      </c>
      <c r="AQ687" s="58">
        <f t="shared" ref="AQ687" si="5955">AP687</f>
        <v>0</v>
      </c>
      <c r="AR687" s="58">
        <f t="shared" ref="AR687" si="5956">AQ687</f>
        <v>0</v>
      </c>
      <c r="AT687" s="19">
        <f>C687+D687</f>
        <v>-2</v>
      </c>
      <c r="AU687" s="19">
        <f>E687+F687</f>
        <v>0</v>
      </c>
      <c r="AV687" s="19">
        <f>G687+H687</f>
        <v>-3</v>
      </c>
      <c r="AW687" s="19">
        <f>I687+J687</f>
        <v>0</v>
      </c>
      <c r="AX687" s="19">
        <f>K687+L687</f>
        <v>0</v>
      </c>
      <c r="AY687" s="19">
        <f>M687+N687</f>
        <v>0</v>
      </c>
      <c r="AZ687" s="19">
        <f>O687+P687</f>
        <v>1</v>
      </c>
      <c r="BA687" s="19">
        <f>Q687+R687</f>
        <v>1</v>
      </c>
      <c r="BB687" s="19">
        <f>S687+T687</f>
        <v>-4</v>
      </c>
      <c r="BC687" s="19">
        <f>U687+V687</f>
        <v>0</v>
      </c>
      <c r="BD687" s="19">
        <f>W687+X687</f>
        <v>0</v>
      </c>
      <c r="BE687" s="19">
        <f>Y687+Z687</f>
        <v>0</v>
      </c>
      <c r="BF687" s="19">
        <f>AA687+AB687</f>
        <v>0</v>
      </c>
      <c r="BG687" s="19">
        <f>AC687+AD687</f>
        <v>0</v>
      </c>
      <c r="BH687" s="19">
        <f>AE687+AF687</f>
        <v>0</v>
      </c>
      <c r="BI687" s="20">
        <f>AG687+AH687</f>
        <v>0</v>
      </c>
      <c r="BJ687" s="19">
        <f>AI687+AJ687</f>
        <v>0</v>
      </c>
      <c r="BK687" s="19">
        <f>AK687+AL687</f>
        <v>0</v>
      </c>
      <c r="BL687" s="19">
        <f>AL687+AM687</f>
        <v>0</v>
      </c>
      <c r="BM687" s="19">
        <f>AM687+AN687</f>
        <v>0</v>
      </c>
      <c r="BN687" s="19">
        <f>AO687+AP687</f>
        <v>0</v>
      </c>
    </row>
    <row r="688" spans="1:66" ht="12" hidden="1" customHeight="1" outlineLevel="2">
      <c r="A688" s="91" t="s">
        <v>557</v>
      </c>
      <c r="B688" s="16" t="s">
        <v>51</v>
      </c>
      <c r="C688" s="30">
        <f t="shared" ref="C688:H688" si="5957">C686+C687</f>
        <v>129</v>
      </c>
      <c r="D688" s="30">
        <f t="shared" si="5957"/>
        <v>126</v>
      </c>
      <c r="E688" s="30">
        <f t="shared" si="5957"/>
        <v>246</v>
      </c>
      <c r="F688" s="30">
        <f t="shared" si="5957"/>
        <v>328</v>
      </c>
      <c r="G688" s="30">
        <f t="shared" si="5957"/>
        <v>358</v>
      </c>
      <c r="H688" s="30">
        <f t="shared" si="5957"/>
        <v>340</v>
      </c>
      <c r="I688" s="30">
        <f>I686+I687</f>
        <v>335</v>
      </c>
      <c r="J688" s="30">
        <f>J686+J687</f>
        <v>359</v>
      </c>
      <c r="K688" s="30">
        <f>K686+K687</f>
        <v>396</v>
      </c>
      <c r="L688" s="30">
        <f t="shared" ref="L688:N688" si="5958">L686+L687</f>
        <v>430</v>
      </c>
      <c r="M688" s="63">
        <f t="shared" ref="M688" si="5959">M686+M687</f>
        <v>468</v>
      </c>
      <c r="N688" s="63">
        <f t="shared" si="5958"/>
        <v>644</v>
      </c>
      <c r="O688" s="63">
        <f t="shared" ref="O688:P688" si="5960">O686+O687</f>
        <v>611</v>
      </c>
      <c r="P688" s="63">
        <f t="shared" si="5960"/>
        <v>519</v>
      </c>
      <c r="Q688" s="63">
        <f t="shared" ref="Q688:R688" si="5961">Q686+Q687</f>
        <v>521</v>
      </c>
      <c r="R688" s="63">
        <f t="shared" si="5961"/>
        <v>677</v>
      </c>
      <c r="S688" s="63">
        <f t="shared" ref="S688" si="5962">S686+S687</f>
        <v>565</v>
      </c>
      <c r="T688" s="63">
        <f t="shared" ref="T688" si="5963">T686+T687</f>
        <v>575</v>
      </c>
      <c r="U688" s="63">
        <f t="shared" ref="U688:V688" si="5964">U686+U687</f>
        <v>0</v>
      </c>
      <c r="V688" s="63">
        <f t="shared" si="5964"/>
        <v>0</v>
      </c>
      <c r="W688" s="63">
        <f t="shared" ref="W688:X688" si="5965">W686+W687</f>
        <v>0</v>
      </c>
      <c r="X688" s="63">
        <f t="shared" si="5965"/>
        <v>0</v>
      </c>
      <c r="Y688" s="63">
        <f t="shared" ref="Y688:Z688" si="5966">Y686+Y687</f>
        <v>0</v>
      </c>
      <c r="Z688" s="63">
        <f t="shared" si="5966"/>
        <v>0</v>
      </c>
      <c r="AA688" s="63">
        <f t="shared" ref="AA688:AB688" si="5967">AA686+AA687</f>
        <v>0</v>
      </c>
      <c r="AB688" s="63">
        <f t="shared" si="5967"/>
        <v>0</v>
      </c>
      <c r="AC688" s="63">
        <f t="shared" ref="AC688:AD688" si="5968">AC686+AC687</f>
        <v>0</v>
      </c>
      <c r="AD688" s="63">
        <f t="shared" si="5968"/>
        <v>0</v>
      </c>
      <c r="AE688" s="63">
        <f t="shared" ref="AE688:AF688" si="5969">AE686+AE687</f>
        <v>0</v>
      </c>
      <c r="AF688" s="63">
        <f t="shared" si="5969"/>
        <v>0</v>
      </c>
      <c r="AG688" s="63">
        <f t="shared" ref="AG688:AH688" si="5970">AG686+AG687</f>
        <v>0</v>
      </c>
      <c r="AH688" s="63">
        <f t="shared" si="5970"/>
        <v>0</v>
      </c>
      <c r="AI688" s="64">
        <f t="shared" ref="AI688:AJ688" si="5971">AI686+AI687</f>
        <v>0</v>
      </c>
      <c r="AJ688" s="63">
        <f t="shared" si="5971"/>
        <v>0</v>
      </c>
      <c r="AK688" s="63">
        <f t="shared" ref="AK688:AL688" si="5972">AK686+AK687</f>
        <v>0</v>
      </c>
      <c r="AL688" s="63">
        <f t="shared" si="5972"/>
        <v>0</v>
      </c>
      <c r="AM688" s="63">
        <f t="shared" ref="AM688:AN688" si="5973">AM686+AM687</f>
        <v>0</v>
      </c>
      <c r="AN688" s="63">
        <f t="shared" si="5973"/>
        <v>0</v>
      </c>
      <c r="AO688" s="63">
        <f t="shared" ref="AO688:AP688" si="5974">AO686+AO687</f>
        <v>0</v>
      </c>
      <c r="AP688" s="63">
        <f t="shared" si="5974"/>
        <v>0</v>
      </c>
      <c r="AQ688" s="63">
        <f t="shared" ref="AQ688:AR688" si="5975">AQ686+AQ687</f>
        <v>0</v>
      </c>
      <c r="AR688" s="63">
        <f t="shared" si="5975"/>
        <v>0</v>
      </c>
      <c r="AT688" s="63">
        <f t="shared" ref="AT688:BB688" si="5976">AT686+AT687</f>
        <v>255</v>
      </c>
      <c r="AU688" s="63">
        <f t="shared" si="5976"/>
        <v>574</v>
      </c>
      <c r="AV688" s="63">
        <f t="shared" si="5976"/>
        <v>698</v>
      </c>
      <c r="AW688" s="63">
        <f t="shared" si="5976"/>
        <v>694</v>
      </c>
      <c r="AX688" s="63">
        <f t="shared" si="5976"/>
        <v>826</v>
      </c>
      <c r="AY688" s="63">
        <f t="shared" si="5976"/>
        <v>1112</v>
      </c>
      <c r="AZ688" s="63">
        <f t="shared" si="5976"/>
        <v>1130</v>
      </c>
      <c r="BA688" s="63">
        <f t="shared" si="5976"/>
        <v>1198</v>
      </c>
      <c r="BB688" s="63">
        <f t="shared" si="5976"/>
        <v>1140</v>
      </c>
      <c r="BC688" s="63">
        <f t="shared" ref="BC688" si="5977">BC686+BC687</f>
        <v>0</v>
      </c>
      <c r="BD688" s="63">
        <f t="shared" ref="BD688:BI688" si="5978">BD686+BD687</f>
        <v>0</v>
      </c>
      <c r="BE688" s="63">
        <f t="shared" si="5978"/>
        <v>0</v>
      </c>
      <c r="BF688" s="63">
        <f t="shared" si="5978"/>
        <v>0</v>
      </c>
      <c r="BG688" s="63">
        <f t="shared" si="5978"/>
        <v>0</v>
      </c>
      <c r="BH688" s="63">
        <f t="shared" si="5978"/>
        <v>0</v>
      </c>
      <c r="BI688" s="64">
        <f t="shared" si="5978"/>
        <v>0</v>
      </c>
      <c r="BJ688" s="63">
        <f t="shared" ref="BJ688:BK688" si="5979">BJ686+BJ687</f>
        <v>0</v>
      </c>
      <c r="BK688" s="63">
        <f t="shared" si="5979"/>
        <v>0</v>
      </c>
      <c r="BL688" s="63">
        <f t="shared" ref="BL688" si="5980">BL686+BL687</f>
        <v>0</v>
      </c>
      <c r="BM688" s="63">
        <f t="shared" ref="BM688" si="5981">BM686+BM687</f>
        <v>0</v>
      </c>
      <c r="BN688" s="63">
        <f t="shared" ref="BN688" si="5982">BN686+BN687</f>
        <v>0</v>
      </c>
    </row>
    <row r="689" spans="1:66" ht="12" hidden="1" customHeight="1" outlineLevel="2">
      <c r="B689" s="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41"/>
      <c r="N689" s="41"/>
      <c r="O689" s="41"/>
      <c r="P689" s="41">
        <f>(O688+P688)</f>
        <v>1130</v>
      </c>
      <c r="Q689" s="41"/>
      <c r="R689" s="41">
        <f>(Q688+R688)</f>
        <v>1198</v>
      </c>
      <c r="S689" s="41"/>
      <c r="T689" s="41">
        <f>(S688+T688)</f>
        <v>1140</v>
      </c>
      <c r="U689" s="41"/>
      <c r="V689" s="41">
        <f t="shared" ref="V689:AD689" si="5983">(U688+V688)</f>
        <v>0</v>
      </c>
      <c r="W689" s="41">
        <f t="shared" si="5983"/>
        <v>0</v>
      </c>
      <c r="X689" s="41">
        <f t="shared" si="5983"/>
        <v>0</v>
      </c>
      <c r="Y689" s="41">
        <f t="shared" si="5983"/>
        <v>0</v>
      </c>
      <c r="Z689" s="41">
        <f t="shared" si="5983"/>
        <v>0</v>
      </c>
      <c r="AA689" s="41">
        <f t="shared" si="5983"/>
        <v>0</v>
      </c>
      <c r="AB689" s="41">
        <f t="shared" si="5983"/>
        <v>0</v>
      </c>
      <c r="AC689" s="41">
        <f t="shared" si="5983"/>
        <v>0</v>
      </c>
      <c r="AD689" s="41">
        <f t="shared" si="5983"/>
        <v>0</v>
      </c>
      <c r="AE689" s="41">
        <f t="shared" ref="AE689" si="5984">(AD688+AE688)</f>
        <v>0</v>
      </c>
      <c r="AF689" s="41">
        <f t="shared" ref="AF689:AH689" si="5985">(AE688+AF688)</f>
        <v>0</v>
      </c>
      <c r="AG689" s="41">
        <f t="shared" si="5985"/>
        <v>0</v>
      </c>
      <c r="AH689" s="41">
        <f t="shared" si="5985"/>
        <v>0</v>
      </c>
      <c r="AI689" s="42"/>
      <c r="AJ689" s="41">
        <f>(AI688+AJ688)</f>
        <v>0</v>
      </c>
      <c r="AK689" s="41"/>
      <c r="AL689" s="41">
        <f>(AK688+AL688)</f>
        <v>0</v>
      </c>
      <c r="AM689" s="41"/>
      <c r="AN689" s="41">
        <f>(AM688+AN688)</f>
        <v>0</v>
      </c>
      <c r="AO689" s="41"/>
      <c r="AP689" s="41">
        <f>(AO688+AP688)</f>
        <v>0</v>
      </c>
      <c r="AQ689" s="41"/>
      <c r="AR689" s="41">
        <f>(AQ688+AR688)</f>
        <v>0</v>
      </c>
      <c r="AT689" s="17"/>
      <c r="AU689" s="17"/>
      <c r="AV689" s="17"/>
      <c r="AW689" s="17"/>
      <c r="AX689" s="17"/>
      <c r="AY689" s="272"/>
      <c r="AZ689" s="272"/>
      <c r="BA689" s="63"/>
      <c r="BB689" s="272"/>
      <c r="BC689" s="272"/>
      <c r="BD689" s="272"/>
      <c r="BE689" s="272"/>
      <c r="BF689" s="272"/>
      <c r="BG689" s="272"/>
      <c r="BH689" s="272"/>
      <c r="BI689" s="461"/>
      <c r="BJ689" s="272"/>
      <c r="BK689" s="272"/>
      <c r="BL689" s="272"/>
      <c r="BM689" s="272"/>
      <c r="BN689" s="272"/>
    </row>
    <row r="690" spans="1:66" s="9" customFormat="1" ht="12" hidden="1" customHeight="1" outlineLevel="2">
      <c r="A690" s="91"/>
      <c r="B690" s="9" t="s">
        <v>50</v>
      </c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39"/>
      <c r="N690" s="39"/>
      <c r="O690" s="39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  <c r="AA690" s="44"/>
      <c r="AB690" s="44"/>
      <c r="AC690" s="44"/>
      <c r="AD690" s="44"/>
      <c r="AE690" s="44"/>
      <c r="AF690" s="44"/>
      <c r="AG690" s="44"/>
      <c r="AH690" s="44"/>
      <c r="AI690" s="49"/>
      <c r="AJ690" s="47"/>
      <c r="AK690" s="269"/>
      <c r="AL690" s="47"/>
      <c r="AM690" s="269"/>
      <c r="AN690" s="47"/>
      <c r="AO690" s="269"/>
      <c r="AP690" s="47"/>
      <c r="AQ690" s="269"/>
      <c r="AR690" s="47"/>
      <c r="AT690" s="17"/>
      <c r="AU690" s="17"/>
      <c r="AV690" s="17"/>
      <c r="AW690" s="17"/>
      <c r="AX690" s="17"/>
      <c r="AY690" s="17"/>
      <c r="AZ690" s="17"/>
      <c r="BA690" s="17"/>
      <c r="BB690" s="17"/>
      <c r="BC690" s="17"/>
      <c r="BD690" s="17"/>
      <c r="BE690" s="17"/>
      <c r="BF690" s="17"/>
      <c r="BG690" s="17"/>
      <c r="BH690" s="17"/>
      <c r="BI690" s="18"/>
      <c r="BJ690" s="17"/>
      <c r="BK690" s="17"/>
      <c r="BL690" s="17"/>
      <c r="BM690" s="17"/>
      <c r="BN690" s="17"/>
    </row>
    <row r="691" spans="1:66" ht="12" hidden="1" customHeight="1" outlineLevel="2">
      <c r="A691" s="91" t="str">
        <f>LEFT(A688,3)&amp;"_CapEarnings"</f>
        <v>CAF_CapEarnings</v>
      </c>
      <c r="B691" s="1" t="s">
        <v>53</v>
      </c>
      <c r="C691" s="21">
        <f>162-C682</f>
        <v>-73</v>
      </c>
      <c r="D691" s="21">
        <f>423-D682-C682-C691</f>
        <v>31</v>
      </c>
      <c r="E691" s="21">
        <f>769-E682</f>
        <v>386</v>
      </c>
      <c r="F691" s="21">
        <f>1378-F682-E682-E691</f>
        <v>116</v>
      </c>
      <c r="G691" s="21">
        <f>750-G682</f>
        <v>222</v>
      </c>
      <c r="H691" s="21">
        <f>1345-H682-G682-G691</f>
        <v>46</v>
      </c>
      <c r="I691" s="21">
        <f>503-I682</f>
        <v>-4</v>
      </c>
      <c r="J691" s="21">
        <f>1044-J682-I682-I691</f>
        <v>-4</v>
      </c>
      <c r="K691" s="21">
        <f>570-K682</f>
        <v>-8</v>
      </c>
      <c r="L691" s="21">
        <f>(629-7)-L682</f>
        <v>-7</v>
      </c>
      <c r="M691" s="62">
        <f>(688-4)-M682</f>
        <v>-4</v>
      </c>
      <c r="N691" s="62">
        <f>(906--7)-N682</f>
        <v>7</v>
      </c>
      <c r="O691" s="62">
        <f>(863-2)-O682</f>
        <v>-2</v>
      </c>
      <c r="P691" s="62">
        <f>-60-O691</f>
        <v>-58</v>
      </c>
      <c r="Q691" s="62">
        <v>-3</v>
      </c>
      <c r="R691" s="62">
        <v>-37</v>
      </c>
      <c r="S691" s="62">
        <v>-1</v>
      </c>
      <c r="T691" s="62">
        <v>-10</v>
      </c>
      <c r="U691" s="62">
        <v>0</v>
      </c>
      <c r="V691" s="62">
        <v>0</v>
      </c>
      <c r="W691" s="62">
        <v>0</v>
      </c>
      <c r="X691" s="62">
        <v>0</v>
      </c>
      <c r="Y691" s="62">
        <v>0</v>
      </c>
      <c r="Z691" s="62">
        <v>0</v>
      </c>
      <c r="AA691" s="62">
        <v>0</v>
      </c>
      <c r="AB691" s="62">
        <v>0</v>
      </c>
      <c r="AC691" s="62">
        <v>0</v>
      </c>
      <c r="AD691" s="62">
        <v>0</v>
      </c>
      <c r="AE691" s="62">
        <v>0</v>
      </c>
      <c r="AF691" s="62">
        <v>0</v>
      </c>
      <c r="AG691" s="62">
        <v>0</v>
      </c>
      <c r="AH691" s="62">
        <v>0</v>
      </c>
      <c r="AI691" s="57">
        <v>0</v>
      </c>
      <c r="AJ691" s="41">
        <f t="shared" ref="AJ691" si="5986">AI691*AJ$480/AI$480</f>
        <v>0</v>
      </c>
      <c r="AK691" s="41">
        <f t="shared" ref="AK691" si="5987">AJ691*AK$480/AJ$480</f>
        <v>0</v>
      </c>
      <c r="AL691" s="41">
        <f t="shared" ref="AL691" si="5988">AK691*AL$480/AK$480</f>
        <v>0</v>
      </c>
      <c r="AM691" s="41">
        <f t="shared" ref="AM691" si="5989">AL691*AM$480/AL$480</f>
        <v>0</v>
      </c>
      <c r="AN691" s="41">
        <f t="shared" ref="AN691" si="5990">AM691*AN$480/AM$480</f>
        <v>0</v>
      </c>
      <c r="AO691" s="41">
        <f t="shared" ref="AO691" si="5991">AN691*AO$480/AN$480</f>
        <v>0</v>
      </c>
      <c r="AP691" s="41">
        <f t="shared" ref="AP691" si="5992">AO691*AP$480/AO$480</f>
        <v>0</v>
      </c>
      <c r="AQ691" s="41">
        <f t="shared" ref="AQ691" si="5993">AP691*AQ$480/AP$480</f>
        <v>0</v>
      </c>
      <c r="AR691" s="41">
        <f t="shared" ref="AR691" si="5994">AQ691*AR$480/AQ$480</f>
        <v>0</v>
      </c>
      <c r="AT691" s="19">
        <f>C691+D691</f>
        <v>-42</v>
      </c>
      <c r="AU691" s="19">
        <f>E691+F691</f>
        <v>502</v>
      </c>
      <c r="AV691" s="19">
        <f>G691+H691</f>
        <v>268</v>
      </c>
      <c r="AW691" s="19">
        <f>I691+J691</f>
        <v>-8</v>
      </c>
      <c r="AX691" s="19">
        <f>K691+L691</f>
        <v>-15</v>
      </c>
      <c r="AY691" s="19">
        <f>M691+N691</f>
        <v>3</v>
      </c>
      <c r="AZ691" s="19">
        <f>O691+P691</f>
        <v>-60</v>
      </c>
      <c r="BA691" s="19">
        <f>Q691+R691</f>
        <v>-40</v>
      </c>
      <c r="BB691" s="19">
        <f>S691+T691</f>
        <v>-11</v>
      </c>
      <c r="BC691" s="19">
        <f>U691+V691</f>
        <v>0</v>
      </c>
      <c r="BD691" s="19">
        <f>W691+X691</f>
        <v>0</v>
      </c>
      <c r="BE691" s="19">
        <f>Y691+Z691</f>
        <v>0</v>
      </c>
      <c r="BF691" s="19">
        <f>AA691+AB691</f>
        <v>0</v>
      </c>
      <c r="BG691" s="19">
        <f>AC691+AD691</f>
        <v>0</v>
      </c>
      <c r="BH691" s="19">
        <f>AE691+AF691</f>
        <v>0</v>
      </c>
      <c r="BI691" s="20">
        <f>AG691+AH691</f>
        <v>0</v>
      </c>
      <c r="BJ691" s="19">
        <f>AI691+AJ691</f>
        <v>0</v>
      </c>
      <c r="BK691" s="19">
        <f t="shared" ref="BK691:BM694" si="5995">AK691+AL691</f>
        <v>0</v>
      </c>
      <c r="BL691" s="19">
        <f t="shared" si="5995"/>
        <v>0</v>
      </c>
      <c r="BM691" s="19">
        <f t="shared" si="5995"/>
        <v>0</v>
      </c>
      <c r="BN691" s="19">
        <f>AO691+AP691</f>
        <v>0</v>
      </c>
    </row>
    <row r="692" spans="1:66" ht="12" hidden="1" customHeight="1" outlineLevel="2">
      <c r="A692" s="91" t="str">
        <f>LEFT(A688,3)&amp;"_CenCosts"</f>
        <v>CAF_CenCosts</v>
      </c>
      <c r="B692" s="1" t="s">
        <v>12</v>
      </c>
      <c r="C692" s="19"/>
      <c r="D692" s="19"/>
      <c r="E692" s="19"/>
      <c r="F692" s="19"/>
      <c r="G692" s="19">
        <f t="shared" ref="G692:AH692" si="5996">G$472*(G682)/(G$28-G$469)</f>
        <v>52.327261500463109</v>
      </c>
      <c r="H692" s="19">
        <f t="shared" si="5996"/>
        <v>46.30682139824512</v>
      </c>
      <c r="I692" s="19">
        <f t="shared" si="5996"/>
        <v>47.934545454545457</v>
      </c>
      <c r="J692" s="19">
        <f t="shared" si="5996"/>
        <v>50.51833670228126</v>
      </c>
      <c r="K692" s="19">
        <f t="shared" si="5996"/>
        <v>46.873512316634375</v>
      </c>
      <c r="L692" s="19">
        <f t="shared" si="5996"/>
        <v>50.995958155016645</v>
      </c>
      <c r="M692" s="41">
        <f t="shared" si="5996"/>
        <v>51.60412173496286</v>
      </c>
      <c r="N692" s="41">
        <f t="shared" si="5996"/>
        <v>58.158475426278834</v>
      </c>
      <c r="O692" s="41">
        <f t="shared" si="5996"/>
        <v>55.389233954451349</v>
      </c>
      <c r="P692" s="41">
        <f t="shared" si="5996"/>
        <v>82.045552213149975</v>
      </c>
      <c r="Q692" s="41">
        <f t="shared" si="5996"/>
        <v>54.069357066134728</v>
      </c>
      <c r="R692" s="41">
        <f t="shared" si="5996"/>
        <v>60.134609039920818</v>
      </c>
      <c r="S692" s="41">
        <f t="shared" si="5996"/>
        <v>49.796540231709251</v>
      </c>
      <c r="T692" s="41">
        <f t="shared" si="5996"/>
        <v>53.03094660194175</v>
      </c>
      <c r="U692" s="41">
        <f t="shared" si="5996"/>
        <v>0</v>
      </c>
      <c r="V692" s="41">
        <f t="shared" si="5996"/>
        <v>0</v>
      </c>
      <c r="W692" s="41">
        <f t="shared" si="5996"/>
        <v>0</v>
      </c>
      <c r="X692" s="41">
        <f t="shared" si="5996"/>
        <v>0</v>
      </c>
      <c r="Y692" s="41">
        <f t="shared" si="5996"/>
        <v>0</v>
      </c>
      <c r="Z692" s="41">
        <f t="shared" si="5996"/>
        <v>0</v>
      </c>
      <c r="AA692" s="41">
        <f t="shared" si="5996"/>
        <v>0</v>
      </c>
      <c r="AB692" s="41">
        <f t="shared" si="5996"/>
        <v>0</v>
      </c>
      <c r="AC692" s="41">
        <f t="shared" si="5996"/>
        <v>0</v>
      </c>
      <c r="AD692" s="41">
        <f t="shared" si="5996"/>
        <v>0</v>
      </c>
      <c r="AE692" s="41">
        <f t="shared" si="5996"/>
        <v>0</v>
      </c>
      <c r="AF692" s="41">
        <f t="shared" si="5996"/>
        <v>0</v>
      </c>
      <c r="AG692" s="41">
        <f t="shared" si="5996"/>
        <v>0</v>
      </c>
      <c r="AH692" s="41">
        <f t="shared" si="5996"/>
        <v>0</v>
      </c>
      <c r="AI692" s="42">
        <f>AH692</f>
        <v>0</v>
      </c>
      <c r="AJ692" s="41">
        <f t="shared" ref="AJ692:AR692" si="5997">AI692</f>
        <v>0</v>
      </c>
      <c r="AK692" s="41">
        <f t="shared" si="5997"/>
        <v>0</v>
      </c>
      <c r="AL692" s="41">
        <f t="shared" si="5997"/>
        <v>0</v>
      </c>
      <c r="AM692" s="41">
        <f t="shared" si="5997"/>
        <v>0</v>
      </c>
      <c r="AN692" s="41">
        <f t="shared" si="5997"/>
        <v>0</v>
      </c>
      <c r="AO692" s="41">
        <f t="shared" si="5997"/>
        <v>0</v>
      </c>
      <c r="AP692" s="41">
        <f t="shared" si="5997"/>
        <v>0</v>
      </c>
      <c r="AQ692" s="41">
        <f t="shared" si="5997"/>
        <v>0</v>
      </c>
      <c r="AR692" s="41">
        <f t="shared" si="5997"/>
        <v>0</v>
      </c>
      <c r="AS692" s="41"/>
      <c r="AT692" s="19"/>
      <c r="AU692" s="19"/>
      <c r="AV692" s="19">
        <f>G692+H692</f>
        <v>98.634082898708229</v>
      </c>
      <c r="AW692" s="19">
        <f>I692+J692</f>
        <v>98.452882156826718</v>
      </c>
      <c r="AX692" s="19">
        <f>K692+L692</f>
        <v>97.869470471651027</v>
      </c>
      <c r="AY692" s="19">
        <f>M692+N692</f>
        <v>109.7625971612417</v>
      </c>
      <c r="AZ692" s="19">
        <f>O692+P692</f>
        <v>137.43478616760132</v>
      </c>
      <c r="BA692" s="19">
        <f>Q692+R692</f>
        <v>114.20396610605555</v>
      </c>
      <c r="BB692" s="19">
        <f>S692+T692</f>
        <v>102.82748683365099</v>
      </c>
      <c r="BC692" s="19">
        <f>U692+V692</f>
        <v>0</v>
      </c>
      <c r="BD692" s="19">
        <f>W692+X692</f>
        <v>0</v>
      </c>
      <c r="BE692" s="19">
        <f>Y692+Z692</f>
        <v>0</v>
      </c>
      <c r="BF692" s="19">
        <f>AA692+AB692</f>
        <v>0</v>
      </c>
      <c r="BG692" s="19">
        <f>AC692+AD692</f>
        <v>0</v>
      </c>
      <c r="BH692" s="19">
        <f>AE692+AF692</f>
        <v>0</v>
      </c>
      <c r="BI692" s="20">
        <f>AG692+AH692</f>
        <v>0</v>
      </c>
      <c r="BJ692" s="19">
        <f>AI692+AJ692</f>
        <v>0</v>
      </c>
      <c r="BK692" s="19">
        <f t="shared" si="5995"/>
        <v>0</v>
      </c>
      <c r="BL692" s="19">
        <f t="shared" si="5995"/>
        <v>0</v>
      </c>
      <c r="BM692" s="19">
        <f t="shared" si="5995"/>
        <v>0</v>
      </c>
      <c r="BN692" s="19">
        <f>AO692+AP692</f>
        <v>0</v>
      </c>
    </row>
    <row r="693" spans="1:66" ht="12" hidden="1" customHeight="1" outlineLevel="2">
      <c r="A693" s="91" t="str">
        <f>LEFT(A688,3)&amp;"_ProfitShare"</f>
        <v>CAF_ProfitShare</v>
      </c>
      <c r="B693" s="1" t="s">
        <v>13</v>
      </c>
      <c r="C693" s="19"/>
      <c r="D693" s="19"/>
      <c r="E693" s="19"/>
      <c r="F693" s="19"/>
      <c r="G693" s="19">
        <f t="shared" ref="G693:H693" si="5998">(G695-(G686+G692+G691)*(1-G729)-G687)/(1-G729)</f>
        <v>-394.4429486988148</v>
      </c>
      <c r="H693" s="19">
        <f t="shared" si="5998"/>
        <v>-120.73690948357874</v>
      </c>
      <c r="I693" s="19">
        <f t="shared" ref="I693:O693" si="5999">(I695-(I686+I692+I691)*(1-I729)-I687)/(1-I729)</f>
        <v>-54.7453184930852</v>
      </c>
      <c r="J693" s="19">
        <f t="shared" si="5999"/>
        <v>-81.837609757730306</v>
      </c>
      <c r="K693" s="19">
        <f t="shared" si="5999"/>
        <v>4705.2596535978273</v>
      </c>
      <c r="L693" s="19">
        <f t="shared" si="5999"/>
        <v>5140.6253507752344</v>
      </c>
      <c r="M693" s="41">
        <f t="shared" si="5999"/>
        <v>-83.400757117116427</v>
      </c>
      <c r="N693" s="41">
        <f t="shared" si="5999"/>
        <v>-175.59249930469659</v>
      </c>
      <c r="O693" s="41">
        <f t="shared" si="5999"/>
        <v>-79.796986158129201</v>
      </c>
      <c r="P693" s="41">
        <f t="shared" ref="P693:Q693" si="6000">(P695-(P686+P692+P691)*(1-P729)-P687)/(1-P729)</f>
        <v>-78.073721998045698</v>
      </c>
      <c r="Q693" s="41">
        <f t="shared" si="6000"/>
        <v>-64.884907272951679</v>
      </c>
      <c r="R693" s="41">
        <f t="shared" ref="R693" si="6001">(R695-(R686+R692+R691)*(1-R729)-R687)/(1-R729)</f>
        <v>-129.11005438382057</v>
      </c>
      <c r="S693" s="41">
        <f t="shared" ref="S693" si="6002">(S695-(S686+S692+S691)*(1-S729)-S687)/(1-S729)</f>
        <v>23.179478361804151</v>
      </c>
      <c r="T693" s="41">
        <f t="shared" ref="T693" si="6003">(T695-(T686+T692+T691)*(1-T729)-T687)/(1-T729)</f>
        <v>-20.170326085473324</v>
      </c>
      <c r="U693" s="62">
        <v>0</v>
      </c>
      <c r="V693" s="62">
        <v>0</v>
      </c>
      <c r="W693" s="62">
        <v>0</v>
      </c>
      <c r="X693" s="62">
        <v>0</v>
      </c>
      <c r="Y693" s="62">
        <v>0</v>
      </c>
      <c r="Z693" s="62">
        <v>0</v>
      </c>
      <c r="AA693" s="62">
        <v>0</v>
      </c>
      <c r="AB693" s="62">
        <v>0</v>
      </c>
      <c r="AC693" s="62">
        <v>0</v>
      </c>
      <c r="AD693" s="62">
        <v>0</v>
      </c>
      <c r="AE693" s="62">
        <v>0</v>
      </c>
      <c r="AF693" s="62">
        <v>0</v>
      </c>
      <c r="AG693" s="62">
        <v>0</v>
      </c>
      <c r="AH693" s="62">
        <v>0</v>
      </c>
      <c r="AI693" s="57">
        <f t="shared" ref="AI693:AI694" si="6004">AH693</f>
        <v>0</v>
      </c>
      <c r="AJ693" s="58">
        <f t="shared" ref="AJ693:AJ694" si="6005">AI693</f>
        <v>0</v>
      </c>
      <c r="AK693" s="58">
        <f t="shared" ref="AK693:AK694" si="6006">AJ693</f>
        <v>0</v>
      </c>
      <c r="AL693" s="58">
        <f t="shared" ref="AL693:AL694" si="6007">AK693</f>
        <v>0</v>
      </c>
      <c r="AM693" s="58">
        <f t="shared" ref="AM693:AM694" si="6008">AL693</f>
        <v>0</v>
      </c>
      <c r="AN693" s="58">
        <f t="shared" ref="AN693:AN694" si="6009">AM693</f>
        <v>0</v>
      </c>
      <c r="AO693" s="58">
        <f t="shared" ref="AO693:AO694" si="6010">AN693</f>
        <v>0</v>
      </c>
      <c r="AP693" s="58">
        <f t="shared" ref="AP693:AP694" si="6011">AO693</f>
        <v>0</v>
      </c>
      <c r="AQ693" s="58">
        <f t="shared" ref="AQ693:AQ694" si="6012">AP693</f>
        <v>0</v>
      </c>
      <c r="AR693" s="58">
        <f t="shared" ref="AR693:AR694" si="6013">AQ693</f>
        <v>0</v>
      </c>
      <c r="AT693" s="19"/>
      <c r="AU693" s="19"/>
      <c r="AV693" s="19">
        <f>G693+H693</f>
        <v>-515.17985818239356</v>
      </c>
      <c r="AW693" s="19">
        <f>I693+J693</f>
        <v>-136.58292825081551</v>
      </c>
      <c r="AX693" s="19">
        <f>K693+L693</f>
        <v>9845.8850043730617</v>
      </c>
      <c r="AY693" s="19">
        <f>M693+N693</f>
        <v>-258.99325642181304</v>
      </c>
      <c r="AZ693" s="19">
        <f>O693+P693</f>
        <v>-157.87070815617489</v>
      </c>
      <c r="BA693" s="19">
        <f>Q693+R693</f>
        <v>-193.99496165677226</v>
      </c>
      <c r="BB693" s="19">
        <f>S693+T693</f>
        <v>3.0091522763308269</v>
      </c>
      <c r="BC693" s="19">
        <f>U693+V693</f>
        <v>0</v>
      </c>
      <c r="BD693" s="19">
        <f>W693+X693</f>
        <v>0</v>
      </c>
      <c r="BE693" s="19">
        <f>Y693+Z693</f>
        <v>0</v>
      </c>
      <c r="BF693" s="19">
        <f>AA693+AB693</f>
        <v>0</v>
      </c>
      <c r="BG693" s="19">
        <f>AC693+AD693</f>
        <v>0</v>
      </c>
      <c r="BH693" s="19">
        <f>AE693+AF693</f>
        <v>0</v>
      </c>
      <c r="BI693" s="20">
        <f>AG693+AH693</f>
        <v>0</v>
      </c>
      <c r="BJ693" s="19">
        <f>AI693+AJ693</f>
        <v>0</v>
      </c>
      <c r="BK693" s="19">
        <f t="shared" si="5995"/>
        <v>0</v>
      </c>
      <c r="BL693" s="19">
        <f t="shared" si="5995"/>
        <v>0</v>
      </c>
      <c r="BM693" s="19">
        <f t="shared" si="5995"/>
        <v>0</v>
      </c>
      <c r="BN693" s="19">
        <f>AO693+AP693</f>
        <v>0</v>
      </c>
    </row>
    <row r="694" spans="1:66" ht="12" hidden="1" customHeight="1" outlineLevel="2">
      <c r="A694" s="91" t="str">
        <f>LEFT(A688,3)&amp;"_Tax"</f>
        <v>CAF_Tax</v>
      </c>
      <c r="B694" s="1" t="s">
        <v>15</v>
      </c>
      <c r="C694" s="19"/>
      <c r="D694" s="19"/>
      <c r="E694" s="19"/>
      <c r="F694" s="19"/>
      <c r="G694" s="19">
        <f t="shared" ref="G694:H694" si="6014">G695-(G688+G691+G692+G693)</f>
        <v>-54.655886405709225</v>
      </c>
      <c r="H694" s="19">
        <f t="shared" si="6014"/>
        <v>-78.274392161852404</v>
      </c>
      <c r="I694" s="19">
        <f t="shared" ref="I694:O694" si="6015">I695-(I688+I691+I692+I693)</f>
        <v>-87.041281755980776</v>
      </c>
      <c r="J694" s="19">
        <f t="shared" si="6015"/>
        <v>-130.8286721500304</v>
      </c>
      <c r="K694" s="19">
        <f t="shared" si="6015"/>
        <v>-4925.7975494761058</v>
      </c>
      <c r="L694" s="19">
        <f t="shared" si="6015"/>
        <v>-5365.3062404371003</v>
      </c>
      <c r="M694" s="41">
        <f t="shared" si="6015"/>
        <v>-161.46363859044919</v>
      </c>
      <c r="N694" s="41">
        <f t="shared" si="6015"/>
        <v>-166.57419529966444</v>
      </c>
      <c r="O694" s="41">
        <f t="shared" si="6015"/>
        <v>-180.34224779632211</v>
      </c>
      <c r="P694" s="41">
        <f t="shared" ref="P694:Q694" si="6016">P695-(P688+P691+P692+P693)</f>
        <v>-116.97183021510432</v>
      </c>
      <c r="Q694" s="41">
        <f t="shared" si="6016"/>
        <v>-138.17623061510079</v>
      </c>
      <c r="R694" s="41">
        <f t="shared" ref="R694" si="6017">R695-(R688+R691+R692+R693)</f>
        <v>-144.69578753281257</v>
      </c>
      <c r="S694" s="41">
        <f t="shared" ref="S694" si="6018">S695-(S688+S691+S692+S693)</f>
        <v>-162.68012818255454</v>
      </c>
      <c r="T694" s="41">
        <f t="shared" ref="T694" si="6019">T695-(T688+T691+T692+T693)</f>
        <v>-158.0688396945506</v>
      </c>
      <c r="U694" s="41">
        <f t="shared" ref="U694:V694" si="6020">U695-(U688+U691+U692+U693)</f>
        <v>0</v>
      </c>
      <c r="V694" s="41">
        <f t="shared" si="6020"/>
        <v>0</v>
      </c>
      <c r="W694" s="41">
        <f t="shared" ref="W694:X694" si="6021">W695-(W688+W691+W692+W693)</f>
        <v>0</v>
      </c>
      <c r="X694" s="41">
        <f t="shared" si="6021"/>
        <v>0</v>
      </c>
      <c r="Y694" s="41">
        <f t="shared" ref="Y694:Z694" si="6022">Y695-(Y688+Y691+Y692+Y693)</f>
        <v>0</v>
      </c>
      <c r="Z694" s="41">
        <f t="shared" si="6022"/>
        <v>0</v>
      </c>
      <c r="AA694" s="41">
        <f t="shared" ref="AA694:AB694" si="6023">AA695-(AA688+AA691+AA692+AA693)</f>
        <v>0</v>
      </c>
      <c r="AB694" s="41">
        <f t="shared" si="6023"/>
        <v>0</v>
      </c>
      <c r="AC694" s="41">
        <f t="shared" ref="AC694:AD694" si="6024">AC695-(AC688+AC691+AC692+AC693)</f>
        <v>0</v>
      </c>
      <c r="AD694" s="41">
        <f t="shared" si="6024"/>
        <v>0</v>
      </c>
      <c r="AE694" s="41">
        <f t="shared" ref="AE694:AF694" si="6025">AE695-(AE688+AE691+AE692+AE693)</f>
        <v>0</v>
      </c>
      <c r="AF694" s="41">
        <f t="shared" si="6025"/>
        <v>0</v>
      </c>
      <c r="AG694" s="41">
        <f t="shared" ref="AG694:AH694" si="6026">AG695-(AG688+AG691+AG692+AG693)</f>
        <v>0</v>
      </c>
      <c r="AH694" s="41">
        <f t="shared" si="6026"/>
        <v>0</v>
      </c>
      <c r="AI694" s="42">
        <f t="shared" si="6004"/>
        <v>0</v>
      </c>
      <c r="AJ694" s="58">
        <f t="shared" si="6005"/>
        <v>0</v>
      </c>
      <c r="AK694" s="58">
        <f t="shared" si="6006"/>
        <v>0</v>
      </c>
      <c r="AL694" s="58">
        <f t="shared" si="6007"/>
        <v>0</v>
      </c>
      <c r="AM694" s="58">
        <f t="shared" si="6008"/>
        <v>0</v>
      </c>
      <c r="AN694" s="58">
        <f t="shared" si="6009"/>
        <v>0</v>
      </c>
      <c r="AO694" s="58">
        <f t="shared" si="6010"/>
        <v>0</v>
      </c>
      <c r="AP694" s="58">
        <f t="shared" si="6011"/>
        <v>0</v>
      </c>
      <c r="AQ694" s="58">
        <f t="shared" si="6012"/>
        <v>0</v>
      </c>
      <c r="AR694" s="58">
        <f t="shared" si="6013"/>
        <v>0</v>
      </c>
      <c r="AT694" s="19"/>
      <c r="AU694" s="19"/>
      <c r="AV694" s="19">
        <f>G694+H694</f>
        <v>-132.93027856756163</v>
      </c>
      <c r="AW694" s="19">
        <f>I694+J694</f>
        <v>-217.86995390601118</v>
      </c>
      <c r="AX694" s="19">
        <f>K694+L694</f>
        <v>-10291.103789913206</v>
      </c>
      <c r="AY694" s="19">
        <f>M694+N694</f>
        <v>-328.03783389011363</v>
      </c>
      <c r="AZ694" s="19">
        <f>O694+P694</f>
        <v>-297.31407801142643</v>
      </c>
      <c r="BA694" s="19">
        <f>Q694+R694</f>
        <v>-282.87201814791337</v>
      </c>
      <c r="BB694" s="19">
        <f>S694+T694</f>
        <v>-320.74896787710514</v>
      </c>
      <c r="BC694" s="19">
        <f>U694+V694</f>
        <v>0</v>
      </c>
      <c r="BD694" s="19">
        <f>W694+X694</f>
        <v>0</v>
      </c>
      <c r="BE694" s="19">
        <f>Y694+Z694</f>
        <v>0</v>
      </c>
      <c r="BF694" s="19">
        <f>AA694+AB694</f>
        <v>0</v>
      </c>
      <c r="BG694" s="19">
        <f>AC694+AD694</f>
        <v>0</v>
      </c>
      <c r="BH694" s="19">
        <f>AE694+AF694</f>
        <v>0</v>
      </c>
      <c r="BI694" s="20">
        <f>AG694+AH694</f>
        <v>0</v>
      </c>
      <c r="BJ694" s="19">
        <f>AI694+AJ694</f>
        <v>0</v>
      </c>
      <c r="BK694" s="19">
        <f t="shared" si="5995"/>
        <v>0</v>
      </c>
      <c r="BL694" s="19">
        <f t="shared" si="5995"/>
        <v>0</v>
      </c>
      <c r="BM694" s="19">
        <f t="shared" si="5995"/>
        <v>0</v>
      </c>
      <c r="BN694" s="19">
        <f>AO694+AP694</f>
        <v>0</v>
      </c>
    </row>
    <row r="695" spans="1:66" s="9" customFormat="1" ht="12" hidden="1" customHeight="1" outlineLevel="2">
      <c r="A695" s="91" t="str">
        <f>LEFT(A688,3)&amp;"_CE"</f>
        <v>CAF_CE</v>
      </c>
      <c r="B695" s="1" t="s">
        <v>54</v>
      </c>
      <c r="C695" s="19"/>
      <c r="D695" s="19"/>
      <c r="E695" s="19"/>
      <c r="F695" s="19"/>
      <c r="G695" s="19">
        <f t="shared" ref="G695:T695" si="6027">AVERAGE(F701:G701)*G732/G$5</f>
        <v>183.2284263959391</v>
      </c>
      <c r="H695" s="19">
        <f t="shared" si="6027"/>
        <v>233.29551975281396</v>
      </c>
      <c r="I695" s="19">
        <f t="shared" si="6027"/>
        <v>237.14794520547946</v>
      </c>
      <c r="J695" s="19">
        <f t="shared" si="6027"/>
        <v>192.85205479452054</v>
      </c>
      <c r="K695" s="19">
        <f t="shared" si="6027"/>
        <v>214.33561643835617</v>
      </c>
      <c r="L695" s="19">
        <f t="shared" si="6027"/>
        <v>249.31506849315068</v>
      </c>
      <c r="M695" s="41">
        <f t="shared" si="6027"/>
        <v>270.73972602739724</v>
      </c>
      <c r="N695" s="41">
        <f t="shared" si="6027"/>
        <v>366.99178082191781</v>
      </c>
      <c r="O695" s="41">
        <f t="shared" si="6027"/>
        <v>404.25</v>
      </c>
      <c r="P695" s="41">
        <f t="shared" si="6027"/>
        <v>348</v>
      </c>
      <c r="Q695" s="41">
        <f t="shared" si="6027"/>
        <v>369.00821917808219</v>
      </c>
      <c r="R695" s="41">
        <f t="shared" si="6027"/>
        <v>426.32876712328766</v>
      </c>
      <c r="S695" s="41">
        <f t="shared" si="6027"/>
        <v>474.29589041095892</v>
      </c>
      <c r="T695" s="41">
        <f t="shared" si="6027"/>
        <v>439.79178082191783</v>
      </c>
      <c r="U695" s="62">
        <v>0</v>
      </c>
      <c r="V695" s="62">
        <v>0</v>
      </c>
      <c r="W695" s="62">
        <v>0</v>
      </c>
      <c r="X695" s="62">
        <v>0</v>
      </c>
      <c r="Y695" s="62">
        <v>0</v>
      </c>
      <c r="Z695" s="62">
        <v>0</v>
      </c>
      <c r="AA695" s="62">
        <v>0</v>
      </c>
      <c r="AB695" s="62">
        <v>0</v>
      </c>
      <c r="AC695" s="62">
        <v>0</v>
      </c>
      <c r="AD695" s="62">
        <v>0</v>
      </c>
      <c r="AE695" s="62">
        <v>0</v>
      </c>
      <c r="AF695" s="62">
        <v>0</v>
      </c>
      <c r="AG695" s="62">
        <v>0</v>
      </c>
      <c r="AH695" s="62">
        <v>0</v>
      </c>
      <c r="AI695" s="57">
        <f t="shared" ref="AI695:AJ695" si="6028">AI688+AI691+AI692+AI693+AI694</f>
        <v>0</v>
      </c>
      <c r="AJ695" s="41">
        <f t="shared" si="6028"/>
        <v>0</v>
      </c>
      <c r="AK695" s="41">
        <f t="shared" ref="AK695:AL695" si="6029">AK688+AK691+AK692+AK693+AK694</f>
        <v>0</v>
      </c>
      <c r="AL695" s="41">
        <f t="shared" si="6029"/>
        <v>0</v>
      </c>
      <c r="AM695" s="41">
        <f t="shared" ref="AM695:AN695" si="6030">AM688+AM691+AM692+AM693+AM694</f>
        <v>0</v>
      </c>
      <c r="AN695" s="41">
        <f t="shared" si="6030"/>
        <v>0</v>
      </c>
      <c r="AO695" s="41">
        <f t="shared" ref="AO695:AP695" si="6031">AO688+AO691+AO692+AO693+AO694</f>
        <v>0</v>
      </c>
      <c r="AP695" s="41">
        <f t="shared" si="6031"/>
        <v>0</v>
      </c>
      <c r="AQ695" s="41">
        <f t="shared" ref="AQ695:AR695" si="6032">AQ688+AQ691+AQ692+AQ693+AQ694</f>
        <v>0</v>
      </c>
      <c r="AR695" s="41">
        <f t="shared" si="6032"/>
        <v>0</v>
      </c>
      <c r="AT695" s="41"/>
      <c r="AU695" s="41"/>
      <c r="AV695" s="41">
        <f t="shared" ref="AV695:BB695" si="6033">AV688+AV691+AV692+AV693+AV694</f>
        <v>416.52394614875294</v>
      </c>
      <c r="AW695" s="41">
        <f t="shared" si="6033"/>
        <v>430.00000000000006</v>
      </c>
      <c r="AX695" s="41">
        <f t="shared" si="6033"/>
        <v>463.65068493150648</v>
      </c>
      <c r="AY695" s="41">
        <f t="shared" si="6033"/>
        <v>637.73150684931511</v>
      </c>
      <c r="AZ695" s="41">
        <f t="shared" si="6033"/>
        <v>752.24999999999989</v>
      </c>
      <c r="BA695" s="41">
        <f t="shared" si="6033"/>
        <v>795.33698630136996</v>
      </c>
      <c r="BB695" s="41">
        <f t="shared" si="6033"/>
        <v>914.08767123287657</v>
      </c>
      <c r="BC695" s="41">
        <f t="shared" ref="BC695" si="6034">BC688+BC691+BC692+BC693+BC694</f>
        <v>0</v>
      </c>
      <c r="BD695" s="41">
        <f t="shared" ref="BD695:BI695" si="6035">BD688+BD691+BD692+BD693+BD694</f>
        <v>0</v>
      </c>
      <c r="BE695" s="41">
        <f t="shared" si="6035"/>
        <v>0</v>
      </c>
      <c r="BF695" s="41">
        <f t="shared" si="6035"/>
        <v>0</v>
      </c>
      <c r="BG695" s="41">
        <f t="shared" si="6035"/>
        <v>0</v>
      </c>
      <c r="BH695" s="41">
        <f t="shared" si="6035"/>
        <v>0</v>
      </c>
      <c r="BI695" s="42">
        <f t="shared" si="6035"/>
        <v>0</v>
      </c>
      <c r="BJ695" s="41">
        <f t="shared" ref="BJ695:BK695" si="6036">BJ688+BJ691+BJ692+BJ693+BJ694</f>
        <v>0</v>
      </c>
      <c r="BK695" s="41">
        <f t="shared" si="6036"/>
        <v>0</v>
      </c>
      <c r="BL695" s="41">
        <f t="shared" ref="BL695" si="6037">BL688+BL691+BL692+BL693+BL694</f>
        <v>0</v>
      </c>
      <c r="BM695" s="41">
        <f t="shared" ref="BM695" si="6038">BM688+BM691+BM692+BM693+BM694</f>
        <v>0</v>
      </c>
      <c r="BN695" s="41">
        <f t="shared" ref="BN695" si="6039">BN688+BN691+BN692+BN693+BN694</f>
        <v>0</v>
      </c>
    </row>
    <row r="696" spans="1:66" ht="12" hidden="1" customHeight="1" outlineLevel="2">
      <c r="C696" s="41"/>
      <c r="D696" s="41"/>
      <c r="E696" s="41"/>
      <c r="F696" s="41"/>
      <c r="G696" s="41"/>
      <c r="H696" s="41"/>
      <c r="I696" s="41"/>
      <c r="J696" s="41"/>
      <c r="K696" s="41"/>
      <c r="L696" s="41"/>
      <c r="M696" s="41"/>
      <c r="N696" s="41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  <c r="AA696" s="44"/>
      <c r="AB696" s="44"/>
      <c r="AC696" s="44"/>
      <c r="AD696" s="44"/>
      <c r="AE696" s="44"/>
      <c r="AF696" s="44"/>
      <c r="AG696" s="44"/>
      <c r="AH696" s="44"/>
      <c r="AI696" s="49"/>
      <c r="AJ696" s="41"/>
      <c r="AK696" s="41"/>
      <c r="AL696" s="41"/>
      <c r="AM696" s="41"/>
      <c r="AN696" s="41"/>
      <c r="AO696" s="41"/>
      <c r="AP696" s="41"/>
      <c r="AQ696" s="41"/>
      <c r="AR696" s="41"/>
      <c r="BA696" s="19"/>
    </row>
    <row r="697" spans="1:66" ht="12" hidden="1" customHeight="1" outlineLevel="2">
      <c r="B697" s="9" t="s">
        <v>41</v>
      </c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41"/>
      <c r="N697" s="41"/>
      <c r="O697" s="41"/>
      <c r="P697" s="41"/>
      <c r="Q697" s="41"/>
      <c r="R697" s="41"/>
      <c r="S697" s="41"/>
      <c r="T697" s="466"/>
      <c r="U697" s="466"/>
      <c r="V697" s="466"/>
      <c r="W697" s="466"/>
      <c r="X697" s="466"/>
      <c r="Y697" s="466"/>
      <c r="Z697" s="466"/>
      <c r="AA697" s="466"/>
      <c r="AB697" s="466"/>
      <c r="AC697" s="466"/>
      <c r="AD697" s="466"/>
      <c r="AE697" s="466"/>
      <c r="AF697" s="466"/>
      <c r="AG697" s="466"/>
      <c r="AH697" s="466"/>
      <c r="AI697" s="506"/>
      <c r="AJ697" s="41"/>
      <c r="AK697" s="41"/>
      <c r="AL697" s="41"/>
      <c r="AM697" s="41"/>
      <c r="AN697" s="41"/>
      <c r="AO697" s="41"/>
      <c r="AP697" s="41"/>
      <c r="AQ697" s="41"/>
      <c r="AR697" s="41"/>
    </row>
    <row r="698" spans="1:66" ht="12" hidden="1" customHeight="1" outlineLevel="2">
      <c r="A698" s="91" t="s">
        <v>1509</v>
      </c>
      <c r="B698" s="1" t="s">
        <v>42</v>
      </c>
      <c r="C698" s="21">
        <v>12200</v>
      </c>
      <c r="D698" s="21">
        <v>14200</v>
      </c>
      <c r="E698" s="21">
        <v>14300</v>
      </c>
      <c r="F698" s="21">
        <v>15200</v>
      </c>
      <c r="G698" s="21">
        <v>16100</v>
      </c>
      <c r="H698" s="21">
        <v>15900</v>
      </c>
      <c r="I698" s="21">
        <v>16900</v>
      </c>
      <c r="J698" s="21">
        <v>17300</v>
      </c>
      <c r="K698" s="21">
        <v>18900</v>
      </c>
      <c r="L698" s="21">
        <v>19800</v>
      </c>
      <c r="M698" s="62">
        <v>21600</v>
      </c>
      <c r="N698" s="62">
        <v>22500</v>
      </c>
      <c r="O698" s="62">
        <v>23300</v>
      </c>
      <c r="P698" s="62">
        <v>28800</v>
      </c>
      <c r="Q698" s="62">
        <v>28100</v>
      </c>
      <c r="R698" s="62">
        <v>26500</v>
      </c>
      <c r="S698" s="62">
        <v>25600</v>
      </c>
      <c r="T698" s="62">
        <v>11000</v>
      </c>
      <c r="U698" s="472">
        <v>0</v>
      </c>
      <c r="V698" s="62">
        <v>0</v>
      </c>
      <c r="W698" s="62">
        <v>0</v>
      </c>
      <c r="X698" s="62">
        <v>0</v>
      </c>
      <c r="Y698" s="62">
        <v>0</v>
      </c>
      <c r="Z698" s="62">
        <v>0</v>
      </c>
      <c r="AA698" s="62">
        <v>0</v>
      </c>
      <c r="AB698" s="62">
        <v>0</v>
      </c>
      <c r="AC698" s="62">
        <v>0</v>
      </c>
      <c r="AD698" s="62">
        <v>0</v>
      </c>
      <c r="AE698" s="62">
        <v>0</v>
      </c>
      <c r="AF698" s="62">
        <v>0</v>
      </c>
      <c r="AG698" s="62">
        <v>0</v>
      </c>
      <c r="AH698" s="62">
        <v>0</v>
      </c>
      <c r="AI698" s="57">
        <f t="shared" ref="AI698:AI701" si="6040">AH698</f>
        <v>0</v>
      </c>
      <c r="AJ698" s="58">
        <f t="shared" ref="AJ698:AJ701" si="6041">AI698</f>
        <v>0</v>
      </c>
      <c r="AK698" s="58">
        <f t="shared" ref="AK698:AK701" si="6042">AJ698</f>
        <v>0</v>
      </c>
      <c r="AL698" s="58">
        <f t="shared" ref="AL698:AL701" si="6043">AK698</f>
        <v>0</v>
      </c>
      <c r="AM698" s="58">
        <f t="shared" ref="AM698:AM701" si="6044">AL698</f>
        <v>0</v>
      </c>
      <c r="AN698" s="58">
        <f t="shared" ref="AN698:AN701" si="6045">AM698</f>
        <v>0</v>
      </c>
      <c r="AO698" s="58">
        <f t="shared" ref="AO698:AO701" si="6046">AN698</f>
        <v>0</v>
      </c>
      <c r="AP698" s="58">
        <f t="shared" ref="AP698:AP701" si="6047">AO698</f>
        <v>0</v>
      </c>
      <c r="AQ698" s="58">
        <f t="shared" ref="AQ698:AQ701" si="6048">AP698</f>
        <v>0</v>
      </c>
      <c r="AR698" s="58">
        <f t="shared" ref="AR698:AR701" si="6049">AQ698</f>
        <v>0</v>
      </c>
      <c r="AT698" s="19">
        <f t="shared" ref="AT698:AT706" si="6050">D698</f>
        <v>14200</v>
      </c>
      <c r="AU698" s="19">
        <f t="shared" ref="AU698:AU706" si="6051">F698</f>
        <v>15200</v>
      </c>
      <c r="AV698" s="19">
        <f t="shared" ref="AV698:AV706" si="6052">H698</f>
        <v>15900</v>
      </c>
      <c r="AW698" s="19">
        <f t="shared" ref="AW698:AW706" si="6053">J698</f>
        <v>17300</v>
      </c>
      <c r="AX698" s="19">
        <f t="shared" ref="AX698:AX706" si="6054">L698</f>
        <v>19800</v>
      </c>
      <c r="AY698" s="19">
        <f t="shared" ref="AY698:AY706" si="6055">N698</f>
        <v>22500</v>
      </c>
      <c r="AZ698" s="19">
        <f t="shared" ref="AZ698:AZ706" si="6056">P698</f>
        <v>28800</v>
      </c>
      <c r="BA698" s="19">
        <f t="shared" ref="BA698:BA706" si="6057">R698</f>
        <v>26500</v>
      </c>
      <c r="BB698" s="19">
        <f t="shared" ref="BB698:BB706" si="6058">T698</f>
        <v>11000</v>
      </c>
      <c r="BC698" s="19">
        <f t="shared" ref="BC698:BC706" si="6059">V698</f>
        <v>0</v>
      </c>
      <c r="BD698" s="19">
        <f t="shared" ref="BD698:BD706" si="6060">X698</f>
        <v>0</v>
      </c>
      <c r="BE698" s="19">
        <f t="shared" ref="BE698:BE706" si="6061">Z698</f>
        <v>0</v>
      </c>
      <c r="BF698" s="19">
        <f t="shared" ref="BF698:BF706" si="6062">AB698</f>
        <v>0</v>
      </c>
      <c r="BG698" s="19">
        <f t="shared" ref="BG698:BG706" si="6063">AD698</f>
        <v>0</v>
      </c>
      <c r="BH698" s="19">
        <f t="shared" ref="BH698:BH706" si="6064">AF698</f>
        <v>0</v>
      </c>
      <c r="BI698" s="20">
        <f t="shared" ref="BI698:BI706" si="6065">AH698</f>
        <v>0</v>
      </c>
      <c r="BJ698" s="19">
        <f t="shared" ref="BJ698:BJ706" si="6066">AJ698</f>
        <v>0</v>
      </c>
      <c r="BK698" s="19">
        <f t="shared" ref="BK698:BK706" si="6067">AL698</f>
        <v>0</v>
      </c>
      <c r="BL698" s="19">
        <f t="shared" ref="BL698:BL706" si="6068">AM698</f>
        <v>0</v>
      </c>
      <c r="BM698" s="19">
        <f t="shared" ref="BM698:BM706" si="6069">AN698</f>
        <v>0</v>
      </c>
      <c r="BN698" s="19">
        <f t="shared" ref="BN698:BN706" si="6070">AP698</f>
        <v>0</v>
      </c>
    </row>
    <row r="699" spans="1:66" ht="12" hidden="1" customHeight="1" outlineLevel="2">
      <c r="A699" s="91" t="s">
        <v>1510</v>
      </c>
      <c r="B699" s="1" t="s">
        <v>1382</v>
      </c>
      <c r="C699" s="62" t="s">
        <v>55</v>
      </c>
      <c r="D699" s="21">
        <v>692</v>
      </c>
      <c r="E699" s="21">
        <v>1600</v>
      </c>
      <c r="F699" s="21">
        <v>4300</v>
      </c>
      <c r="G699" s="21">
        <v>4400</v>
      </c>
      <c r="H699" s="21">
        <v>4700</v>
      </c>
      <c r="I699" s="21">
        <v>4500</v>
      </c>
      <c r="J699" s="21">
        <v>5100</v>
      </c>
      <c r="K699" s="21">
        <v>5700</v>
      </c>
      <c r="L699" s="21">
        <v>5700</v>
      </c>
      <c r="M699" s="62">
        <v>5900</v>
      </c>
      <c r="N699" s="62">
        <v>6300</v>
      </c>
      <c r="O699" s="62">
        <v>9200</v>
      </c>
      <c r="P699" s="62">
        <v>10600</v>
      </c>
      <c r="Q699" s="62">
        <v>10000</v>
      </c>
      <c r="R699" s="62">
        <v>10000</v>
      </c>
      <c r="S699" s="62">
        <v>9900</v>
      </c>
      <c r="T699" s="62">
        <v>10200</v>
      </c>
      <c r="U699" s="62">
        <v>0</v>
      </c>
      <c r="V699" s="62">
        <v>0</v>
      </c>
      <c r="W699" s="62">
        <v>0</v>
      </c>
      <c r="X699" s="62">
        <v>0</v>
      </c>
      <c r="Y699" s="62">
        <v>0</v>
      </c>
      <c r="Z699" s="62">
        <v>0</v>
      </c>
      <c r="AA699" s="62">
        <v>0</v>
      </c>
      <c r="AB699" s="62">
        <v>0</v>
      </c>
      <c r="AC699" s="62">
        <v>0</v>
      </c>
      <c r="AD699" s="62">
        <v>0</v>
      </c>
      <c r="AE699" s="62">
        <v>0</v>
      </c>
      <c r="AF699" s="62">
        <v>0</v>
      </c>
      <c r="AG699" s="62">
        <v>0</v>
      </c>
      <c r="AH699" s="62">
        <v>0</v>
      </c>
      <c r="AI699" s="57">
        <f t="shared" si="6040"/>
        <v>0</v>
      </c>
      <c r="AJ699" s="58">
        <f t="shared" si="6041"/>
        <v>0</v>
      </c>
      <c r="AK699" s="58">
        <f t="shared" si="6042"/>
        <v>0</v>
      </c>
      <c r="AL699" s="58">
        <f t="shared" si="6043"/>
        <v>0</v>
      </c>
      <c r="AM699" s="58">
        <f t="shared" si="6044"/>
        <v>0</v>
      </c>
      <c r="AN699" s="58">
        <f t="shared" si="6045"/>
        <v>0</v>
      </c>
      <c r="AO699" s="58">
        <f t="shared" si="6046"/>
        <v>0</v>
      </c>
      <c r="AP699" s="58">
        <f t="shared" si="6047"/>
        <v>0</v>
      </c>
      <c r="AQ699" s="58">
        <f t="shared" si="6048"/>
        <v>0</v>
      </c>
      <c r="AR699" s="58">
        <f t="shared" si="6049"/>
        <v>0</v>
      </c>
      <c r="AT699" s="19">
        <f t="shared" ref="AT699" si="6071">D699</f>
        <v>692</v>
      </c>
      <c r="AU699" s="19">
        <f t="shared" ref="AU699" si="6072">F699</f>
        <v>4300</v>
      </c>
      <c r="AV699" s="19">
        <f t="shared" ref="AV699" si="6073">H699</f>
        <v>4700</v>
      </c>
      <c r="AW699" s="19">
        <f t="shared" ref="AW699" si="6074">J699</f>
        <v>5100</v>
      </c>
      <c r="AX699" s="19">
        <f t="shared" ref="AX699" si="6075">L699</f>
        <v>5700</v>
      </c>
      <c r="AY699" s="19">
        <f t="shared" ref="AY699" si="6076">N699</f>
        <v>6300</v>
      </c>
      <c r="AZ699" s="19">
        <f t="shared" ref="AZ699" si="6077">P699</f>
        <v>10600</v>
      </c>
      <c r="BA699" s="19">
        <f t="shared" ref="BA699" si="6078">R699</f>
        <v>10000</v>
      </c>
      <c r="BB699" s="19">
        <f t="shared" ref="BB699" si="6079">T699</f>
        <v>10200</v>
      </c>
      <c r="BC699" s="19">
        <f t="shared" ref="BC699" si="6080">V699</f>
        <v>0</v>
      </c>
      <c r="BD699" s="19">
        <f t="shared" ref="BD699" si="6081">X699</f>
        <v>0</v>
      </c>
      <c r="BE699" s="19">
        <f t="shared" si="6061"/>
        <v>0</v>
      </c>
      <c r="BF699" s="19">
        <f t="shared" si="6062"/>
        <v>0</v>
      </c>
      <c r="BG699" s="19">
        <f t="shared" si="6063"/>
        <v>0</v>
      </c>
      <c r="BH699" s="19">
        <f t="shared" si="6064"/>
        <v>0</v>
      </c>
      <c r="BI699" s="20">
        <f t="shared" si="6065"/>
        <v>0</v>
      </c>
      <c r="BJ699" s="19">
        <f t="shared" si="6066"/>
        <v>0</v>
      </c>
      <c r="BK699" s="19">
        <f t="shared" si="6067"/>
        <v>0</v>
      </c>
      <c r="BL699" s="19">
        <f t="shared" si="6068"/>
        <v>0</v>
      </c>
      <c r="BM699" s="19">
        <f t="shared" si="6069"/>
        <v>0</v>
      </c>
      <c r="BN699" s="19">
        <f t="shared" si="6070"/>
        <v>0</v>
      </c>
    </row>
    <row r="700" spans="1:66" ht="12" hidden="1" customHeight="1" outlineLevel="2">
      <c r="A700" s="91" t="str">
        <f>LEFT(A701,3)&amp;"_PEAssetsTotal"</f>
        <v>CAF_PEAssetsTotal</v>
      </c>
      <c r="B700" s="1" t="s">
        <v>43</v>
      </c>
      <c r="C700" s="21">
        <v>13433</v>
      </c>
      <c r="D700" s="21">
        <v>15539</v>
      </c>
      <c r="E700" s="21">
        <v>17367</v>
      </c>
      <c r="F700" s="21">
        <v>20662</v>
      </c>
      <c r="G700" s="21">
        <v>21706</v>
      </c>
      <c r="H700" s="21">
        <v>21768</v>
      </c>
      <c r="I700" s="21">
        <v>22435</v>
      </c>
      <c r="J700" s="21">
        <v>23405</v>
      </c>
      <c r="K700" s="21">
        <v>25799</v>
      </c>
      <c r="L700" s="21">
        <v>26543</v>
      </c>
      <c r="M700" s="62">
        <v>28717</v>
      </c>
      <c r="N700" s="62">
        <v>30091</v>
      </c>
      <c r="O700" s="62">
        <v>34764</v>
      </c>
      <c r="P700" s="62">
        <v>41005</v>
      </c>
      <c r="Q700" s="62">
        <v>39726</v>
      </c>
      <c r="R700" s="62">
        <v>38159</v>
      </c>
      <c r="S700" s="62">
        <v>37457</v>
      </c>
      <c r="T700" s="62">
        <v>23900</v>
      </c>
      <c r="U700" s="62">
        <v>0</v>
      </c>
      <c r="V700" s="62">
        <v>0</v>
      </c>
      <c r="W700" s="62">
        <v>0</v>
      </c>
      <c r="X700" s="62">
        <v>0</v>
      </c>
      <c r="Y700" s="62">
        <v>0</v>
      </c>
      <c r="Z700" s="62">
        <v>0</v>
      </c>
      <c r="AA700" s="62">
        <v>0</v>
      </c>
      <c r="AB700" s="62">
        <v>0</v>
      </c>
      <c r="AC700" s="62">
        <v>0</v>
      </c>
      <c r="AD700" s="62">
        <v>0</v>
      </c>
      <c r="AE700" s="62">
        <v>0</v>
      </c>
      <c r="AF700" s="62">
        <v>0</v>
      </c>
      <c r="AG700" s="62">
        <v>0</v>
      </c>
      <c r="AH700" s="62">
        <v>0</v>
      </c>
      <c r="AI700" s="57">
        <f t="shared" si="6040"/>
        <v>0</v>
      </c>
      <c r="AJ700" s="58">
        <f t="shared" si="6041"/>
        <v>0</v>
      </c>
      <c r="AK700" s="58">
        <f t="shared" si="6042"/>
        <v>0</v>
      </c>
      <c r="AL700" s="58">
        <f t="shared" si="6043"/>
        <v>0</v>
      </c>
      <c r="AM700" s="58">
        <f t="shared" si="6044"/>
        <v>0</v>
      </c>
      <c r="AN700" s="58">
        <f t="shared" si="6045"/>
        <v>0</v>
      </c>
      <c r="AO700" s="58">
        <f t="shared" si="6046"/>
        <v>0</v>
      </c>
      <c r="AP700" s="58">
        <f t="shared" si="6047"/>
        <v>0</v>
      </c>
      <c r="AQ700" s="58">
        <f t="shared" si="6048"/>
        <v>0</v>
      </c>
      <c r="AR700" s="58">
        <f t="shared" si="6049"/>
        <v>0</v>
      </c>
      <c r="AT700" s="19">
        <f t="shared" si="6050"/>
        <v>15539</v>
      </c>
      <c r="AU700" s="19">
        <f t="shared" si="6051"/>
        <v>20662</v>
      </c>
      <c r="AV700" s="19">
        <f t="shared" si="6052"/>
        <v>21768</v>
      </c>
      <c r="AW700" s="19">
        <f t="shared" si="6053"/>
        <v>23405</v>
      </c>
      <c r="AX700" s="19">
        <f t="shared" si="6054"/>
        <v>26543</v>
      </c>
      <c r="AY700" s="19">
        <f t="shared" si="6055"/>
        <v>30091</v>
      </c>
      <c r="AZ700" s="19">
        <f t="shared" si="6056"/>
        <v>41005</v>
      </c>
      <c r="BA700" s="19">
        <f t="shared" si="6057"/>
        <v>38159</v>
      </c>
      <c r="BB700" s="19">
        <f t="shared" si="6058"/>
        <v>23900</v>
      </c>
      <c r="BC700" s="19">
        <f t="shared" si="6059"/>
        <v>0</v>
      </c>
      <c r="BD700" s="19">
        <f t="shared" si="6060"/>
        <v>0</v>
      </c>
      <c r="BE700" s="19">
        <f t="shared" si="6061"/>
        <v>0</v>
      </c>
      <c r="BF700" s="19">
        <f t="shared" si="6062"/>
        <v>0</v>
      </c>
      <c r="BG700" s="19">
        <f t="shared" si="6063"/>
        <v>0</v>
      </c>
      <c r="BH700" s="19">
        <f t="shared" si="6064"/>
        <v>0</v>
      </c>
      <c r="BI700" s="20">
        <f t="shared" si="6065"/>
        <v>0</v>
      </c>
      <c r="BJ700" s="19">
        <f t="shared" si="6066"/>
        <v>0</v>
      </c>
      <c r="BK700" s="19">
        <f t="shared" si="6067"/>
        <v>0</v>
      </c>
      <c r="BL700" s="19">
        <f t="shared" si="6068"/>
        <v>0</v>
      </c>
      <c r="BM700" s="19">
        <f t="shared" si="6069"/>
        <v>0</v>
      </c>
      <c r="BN700" s="19">
        <f t="shared" si="6070"/>
        <v>0</v>
      </c>
    </row>
    <row r="701" spans="1:66" ht="12" hidden="1" customHeight="1" outlineLevel="2">
      <c r="A701" s="91" t="s">
        <v>511</v>
      </c>
      <c r="B701" s="1" t="s">
        <v>49</v>
      </c>
      <c r="C701" s="62">
        <f>D701*AVERAGE(B$41:C$41)/AVERAGE(C$41:D$41)</f>
        <v>1509.1061575811077</v>
      </c>
      <c r="D701" s="62">
        <f>E701*AVERAGE(C$41:D$41)/AVERAGE(D$41:E$41)</f>
        <v>1547.8084308099756</v>
      </c>
      <c r="E701" s="62">
        <f>F701*AVERAGE(D$41:E$41)/AVERAGE(E$41:F$41)</f>
        <v>1574.4338998013682</v>
      </c>
      <c r="F701" s="62">
        <f>G701*AVERAGE(E$41:F$41)/AVERAGE(F$41:G$41)</f>
        <v>1586.5813286250275</v>
      </c>
      <c r="G701" s="21">
        <v>1600</v>
      </c>
      <c r="H701" s="21">
        <v>2200</v>
      </c>
      <c r="I701" s="21">
        <v>2100</v>
      </c>
      <c r="J701" s="21">
        <v>2100</v>
      </c>
      <c r="K701" s="21">
        <v>2400</v>
      </c>
      <c r="L701" s="21">
        <v>2600</v>
      </c>
      <c r="M701" s="62">
        <v>2800</v>
      </c>
      <c r="N701" s="62">
        <v>3600</v>
      </c>
      <c r="O701" s="62">
        <v>4100</v>
      </c>
      <c r="P701" s="62">
        <v>4600</v>
      </c>
      <c r="Q701" s="62">
        <v>4600</v>
      </c>
      <c r="R701" s="62">
        <v>4400</v>
      </c>
      <c r="S701" s="62">
        <v>4200</v>
      </c>
      <c r="T701" s="62">
        <v>4200</v>
      </c>
      <c r="U701" s="62">
        <v>0</v>
      </c>
      <c r="V701" s="62">
        <v>0</v>
      </c>
      <c r="W701" s="62">
        <v>0</v>
      </c>
      <c r="X701" s="62">
        <v>0</v>
      </c>
      <c r="Y701" s="62">
        <v>0</v>
      </c>
      <c r="Z701" s="62">
        <v>0</v>
      </c>
      <c r="AA701" s="62">
        <v>0</v>
      </c>
      <c r="AB701" s="62">
        <v>0</v>
      </c>
      <c r="AC701" s="62">
        <v>0</v>
      </c>
      <c r="AD701" s="62">
        <v>0</v>
      </c>
      <c r="AE701" s="62">
        <v>0</v>
      </c>
      <c r="AF701" s="62">
        <v>0</v>
      </c>
      <c r="AG701" s="62">
        <v>0</v>
      </c>
      <c r="AH701" s="62">
        <v>0</v>
      </c>
      <c r="AI701" s="57">
        <f t="shared" si="6040"/>
        <v>0</v>
      </c>
      <c r="AJ701" s="58">
        <f t="shared" si="6041"/>
        <v>0</v>
      </c>
      <c r="AK701" s="58">
        <f t="shared" si="6042"/>
        <v>0</v>
      </c>
      <c r="AL701" s="58">
        <f t="shared" si="6043"/>
        <v>0</v>
      </c>
      <c r="AM701" s="58">
        <f t="shared" si="6044"/>
        <v>0</v>
      </c>
      <c r="AN701" s="58">
        <f t="shared" si="6045"/>
        <v>0</v>
      </c>
      <c r="AO701" s="58">
        <f t="shared" si="6046"/>
        <v>0</v>
      </c>
      <c r="AP701" s="58">
        <f t="shared" si="6047"/>
        <v>0</v>
      </c>
      <c r="AQ701" s="58">
        <f t="shared" si="6048"/>
        <v>0</v>
      </c>
      <c r="AR701" s="58">
        <f t="shared" si="6049"/>
        <v>0</v>
      </c>
      <c r="AT701" s="19">
        <f t="shared" si="6050"/>
        <v>1547.8084308099756</v>
      </c>
      <c r="AU701" s="19">
        <f t="shared" si="6051"/>
        <v>1586.5813286250275</v>
      </c>
      <c r="AV701" s="19">
        <f t="shared" si="6052"/>
        <v>2200</v>
      </c>
      <c r="AW701" s="19">
        <f t="shared" si="6053"/>
        <v>2100</v>
      </c>
      <c r="AX701" s="19">
        <f t="shared" si="6054"/>
        <v>2600</v>
      </c>
      <c r="AY701" s="19">
        <f t="shared" si="6055"/>
        <v>3600</v>
      </c>
      <c r="AZ701" s="19">
        <f t="shared" si="6056"/>
        <v>4600</v>
      </c>
      <c r="BA701" s="19">
        <f t="shared" si="6057"/>
        <v>4400</v>
      </c>
      <c r="BB701" s="19">
        <f t="shared" si="6058"/>
        <v>4200</v>
      </c>
      <c r="BC701" s="19">
        <f t="shared" si="6059"/>
        <v>0</v>
      </c>
      <c r="BD701" s="19">
        <f t="shared" si="6060"/>
        <v>0</v>
      </c>
      <c r="BE701" s="19">
        <f t="shared" si="6061"/>
        <v>0</v>
      </c>
      <c r="BF701" s="19">
        <f t="shared" si="6062"/>
        <v>0</v>
      </c>
      <c r="BG701" s="19">
        <f t="shared" si="6063"/>
        <v>0</v>
      </c>
      <c r="BH701" s="19">
        <f t="shared" si="6064"/>
        <v>0</v>
      </c>
      <c r="BI701" s="20">
        <f t="shared" si="6065"/>
        <v>0</v>
      </c>
      <c r="BJ701" s="19">
        <f t="shared" si="6066"/>
        <v>0</v>
      </c>
      <c r="BK701" s="19">
        <f t="shared" si="6067"/>
        <v>0</v>
      </c>
      <c r="BL701" s="19">
        <f t="shared" si="6068"/>
        <v>0</v>
      </c>
      <c r="BM701" s="19">
        <f t="shared" si="6069"/>
        <v>0</v>
      </c>
      <c r="BN701" s="19">
        <f t="shared" si="6070"/>
        <v>0</v>
      </c>
    </row>
    <row r="702" spans="1:66" ht="12" hidden="1" customHeight="1" outlineLevel="2">
      <c r="B702" s="1" t="s">
        <v>24</v>
      </c>
      <c r="C702" s="25">
        <f t="shared" ref="C702:H702" si="6082">C704-C703</f>
        <v>0</v>
      </c>
      <c r="D702" s="25">
        <f t="shared" si="6082"/>
        <v>0</v>
      </c>
      <c r="E702" s="25">
        <f t="shared" si="6082"/>
        <v>0</v>
      </c>
      <c r="F702" s="25">
        <f t="shared" si="6082"/>
        <v>0</v>
      </c>
      <c r="G702" s="25">
        <f t="shared" si="6082"/>
        <v>0</v>
      </c>
      <c r="H702" s="25">
        <f t="shared" si="6082"/>
        <v>0</v>
      </c>
      <c r="I702" s="25">
        <f t="shared" ref="I702:N702" si="6083">I704-I703</f>
        <v>0</v>
      </c>
      <c r="J702" s="25">
        <f t="shared" si="6083"/>
        <v>0</v>
      </c>
      <c r="K702" s="25">
        <f t="shared" si="6083"/>
        <v>0</v>
      </c>
      <c r="L702" s="25">
        <f t="shared" si="6083"/>
        <v>0</v>
      </c>
      <c r="M702" s="41">
        <f t="shared" si="6083"/>
        <v>0</v>
      </c>
      <c r="N702" s="41">
        <f t="shared" si="6083"/>
        <v>0</v>
      </c>
      <c r="O702" s="41">
        <f t="shared" ref="O702:P702" si="6084">O704-O703</f>
        <v>0</v>
      </c>
      <c r="P702" s="41">
        <f t="shared" si="6084"/>
        <v>0</v>
      </c>
      <c r="Q702" s="41">
        <f t="shared" ref="Q702:R702" si="6085">Q704-Q703</f>
        <v>0</v>
      </c>
      <c r="R702" s="41">
        <f t="shared" si="6085"/>
        <v>0</v>
      </c>
      <c r="S702" s="41">
        <f t="shared" ref="S702" si="6086">S704-S703</f>
        <v>0</v>
      </c>
      <c r="T702" s="41">
        <f t="shared" ref="T702:U702" si="6087">T704-T703</f>
        <v>0</v>
      </c>
      <c r="U702" s="41">
        <f t="shared" si="6087"/>
        <v>0</v>
      </c>
      <c r="V702" s="41">
        <f t="shared" ref="V702:W702" si="6088">V704-V703</f>
        <v>0</v>
      </c>
      <c r="W702" s="41">
        <f t="shared" si="6088"/>
        <v>0</v>
      </c>
      <c r="X702" s="41">
        <f t="shared" ref="X702:Y702" si="6089">X704-X703</f>
        <v>0</v>
      </c>
      <c r="Y702" s="41">
        <f t="shared" si="6089"/>
        <v>0</v>
      </c>
      <c r="Z702" s="41">
        <f t="shared" ref="Z702:AA702" si="6090">Z704-Z703</f>
        <v>0</v>
      </c>
      <c r="AA702" s="41">
        <f t="shared" si="6090"/>
        <v>0</v>
      </c>
      <c r="AB702" s="41">
        <f t="shared" ref="AB702:AC702" si="6091">AB704-AB703</f>
        <v>0</v>
      </c>
      <c r="AC702" s="41">
        <f t="shared" si="6091"/>
        <v>0</v>
      </c>
      <c r="AD702" s="41">
        <f t="shared" ref="AD702:AF702" si="6092">AD704-AD703</f>
        <v>0</v>
      </c>
      <c r="AE702" s="41">
        <f t="shared" si="6092"/>
        <v>0</v>
      </c>
      <c r="AF702" s="41">
        <f t="shared" si="6092"/>
        <v>0</v>
      </c>
      <c r="AG702" s="41">
        <f t="shared" ref="AG702:AH702" si="6093">AG704-AG703</f>
        <v>0</v>
      </c>
      <c r="AH702" s="41">
        <f t="shared" si="6093"/>
        <v>0</v>
      </c>
      <c r="AI702" s="42">
        <f>IF(ISERROR(50%*AH702*(1+AI711)+50%*AH702*(1+AI711)/'Group Model'!AT80*'Group Model'!AI80),AH702,50%*AH702*(1+AI711)+50%*AH702*(1+AI711)/'Group Model'!AT80*'Group Model'!AI80)</f>
        <v>0</v>
      </c>
      <c r="AJ702" s="41">
        <f>IF(ISERROR(50%*AI702*(1+AJ711)+50%*AI702*(1+AJ711)/'Group Model'!AU80*'Group Model'!AT80),AI702,50%*AI702*(1+AJ711)+50%*AI702*(1+AJ711)/'Group Model'!AU80*'Group Model'!AT80)</f>
        <v>0</v>
      </c>
      <c r="AK702" s="41">
        <f>IF(ISERROR(50%*AJ702*(1+AK711)+50%*AJ702*(1+AK711)/'Group Model'!AV80*'Group Model'!AK80),AJ702,50%*AJ702*(1+AK711)+50%*AJ702*(1+AK711)/'Group Model'!AV80*'Group Model'!AK80)</f>
        <v>0</v>
      </c>
      <c r="AL702" s="41">
        <f>IF(ISERROR(50%*AK702*(1+AL711)+50%*AK702*(1+AL711)/'Group Model'!AW80*'Group Model'!AV80),AK702,50%*AK702*(1+AL711)+50%*AK702*(1+AL711)/'Group Model'!AW80*'Group Model'!AV80)</f>
        <v>0</v>
      </c>
      <c r="AM702" s="41">
        <f>IF(ISERROR(50%*AL702*(1+AM711)+50%*AL702*(1+AM711)/'Group Model'!AX80*'Group Model'!AM80),AL702,50%*AL702*(1+AM711)+50%*AL702*(1+AM711)/'Group Model'!AX80*'Group Model'!AM80)</f>
        <v>0</v>
      </c>
      <c r="AN702" s="41">
        <f>IF(ISERROR(50%*AM702*(1+AN711)+50%*AM702*(1+AN711)/'Group Model'!AY80*'Group Model'!AX80),AM702,50%*AM702*(1+AN711)+50%*AM702*(1+AN711)/'Group Model'!AY80*'Group Model'!AX80)</f>
        <v>0</v>
      </c>
      <c r="AO702" s="41">
        <f>IF(ISERROR(50%*AN702*(1+AO711)+50%*AN702*(1+AO711)/'Group Model'!AZ80*'Group Model'!AO80),AN702,50%*AN702*(1+AO711)+50%*AN702*(1+AO711)/'Group Model'!AZ80*'Group Model'!AO80)</f>
        <v>0</v>
      </c>
      <c r="AP702" s="41">
        <f>IF(ISERROR(50%*AO702*(1+AP711)+50%*AO702*(1+AP711)/'Group Model'!BA80*'Group Model'!AZ80),AO702,50%*AO702*(1+AP711)+50%*AO702*(1+AP711)/'Group Model'!BA80*'Group Model'!AZ80)</f>
        <v>0</v>
      </c>
      <c r="AQ702" s="41">
        <f>IF(ISERROR(50%*AP702*(1+AQ711)+50%*AP702*(1+AQ711)/'Group Model'!BB80*'Group Model'!AQ80),AP702,50%*AP702*(1+AQ711)+50%*AP702*(1+AQ711)/'Group Model'!BB80*'Group Model'!AQ80)</f>
        <v>0</v>
      </c>
      <c r="AR702" s="41">
        <f>IF(ISERROR(50%*AQ702*(1+AR711)+50%*AQ702*(1+AR711)/'Group Model'!BC80*'Group Model'!BB80),AQ702,50%*AQ702*(1+AR711)+50%*AQ702*(1+AR711)/'Group Model'!BC80*'Group Model'!BB80)</f>
        <v>0</v>
      </c>
      <c r="AT702" s="19">
        <f t="shared" si="6050"/>
        <v>0</v>
      </c>
      <c r="AU702" s="19">
        <f t="shared" si="6051"/>
        <v>0</v>
      </c>
      <c r="AV702" s="19">
        <f t="shared" si="6052"/>
        <v>0</v>
      </c>
      <c r="AW702" s="19">
        <f t="shared" si="6053"/>
        <v>0</v>
      </c>
      <c r="AX702" s="19">
        <f t="shared" si="6054"/>
        <v>0</v>
      </c>
      <c r="AY702" s="19">
        <f t="shared" si="6055"/>
        <v>0</v>
      </c>
      <c r="AZ702" s="19">
        <f t="shared" si="6056"/>
        <v>0</v>
      </c>
      <c r="BA702" s="19">
        <f t="shared" si="6057"/>
        <v>0</v>
      </c>
      <c r="BB702" s="19">
        <f t="shared" si="6058"/>
        <v>0</v>
      </c>
      <c r="BC702" s="19">
        <f t="shared" si="6059"/>
        <v>0</v>
      </c>
      <c r="BD702" s="19">
        <f t="shared" si="6060"/>
        <v>0</v>
      </c>
      <c r="BE702" s="19">
        <f t="shared" si="6061"/>
        <v>0</v>
      </c>
      <c r="BF702" s="19">
        <f t="shared" si="6062"/>
        <v>0</v>
      </c>
      <c r="BG702" s="19">
        <f t="shared" si="6063"/>
        <v>0</v>
      </c>
      <c r="BH702" s="19">
        <f t="shared" si="6064"/>
        <v>0</v>
      </c>
      <c r="BI702" s="20">
        <f t="shared" si="6065"/>
        <v>0</v>
      </c>
      <c r="BJ702" s="19">
        <f t="shared" si="6066"/>
        <v>0</v>
      </c>
      <c r="BK702" s="19">
        <f t="shared" si="6067"/>
        <v>0</v>
      </c>
      <c r="BL702" s="19">
        <f t="shared" si="6068"/>
        <v>0</v>
      </c>
      <c r="BM702" s="19">
        <f t="shared" si="6069"/>
        <v>0</v>
      </c>
      <c r="BN702" s="19">
        <f t="shared" si="6070"/>
        <v>0</v>
      </c>
    </row>
    <row r="703" spans="1:66" ht="12" hidden="1" customHeight="1" outlineLevel="2">
      <c r="B703" s="1" t="s">
        <v>23</v>
      </c>
      <c r="C703" s="21">
        <v>0</v>
      </c>
      <c r="D703" s="21">
        <v>0</v>
      </c>
      <c r="E703" s="21">
        <v>0</v>
      </c>
      <c r="F703" s="21">
        <v>0</v>
      </c>
      <c r="G703" s="21">
        <v>0</v>
      </c>
      <c r="H703" s="21">
        <v>0</v>
      </c>
      <c r="I703" s="21">
        <v>0</v>
      </c>
      <c r="J703" s="21">
        <v>0</v>
      </c>
      <c r="K703" s="21">
        <v>0</v>
      </c>
      <c r="L703" s="21">
        <v>0</v>
      </c>
      <c r="M703" s="62">
        <v>0</v>
      </c>
      <c r="N703" s="62">
        <v>0</v>
      </c>
      <c r="O703" s="62">
        <v>0</v>
      </c>
      <c r="P703" s="62">
        <v>0</v>
      </c>
      <c r="Q703" s="62">
        <v>0</v>
      </c>
      <c r="R703" s="62">
        <v>0</v>
      </c>
      <c r="S703" s="62">
        <v>0</v>
      </c>
      <c r="T703" s="62">
        <v>0</v>
      </c>
      <c r="U703" s="62">
        <v>0</v>
      </c>
      <c r="V703" s="62">
        <v>0</v>
      </c>
      <c r="W703" s="62">
        <v>0</v>
      </c>
      <c r="X703" s="62">
        <v>0</v>
      </c>
      <c r="Y703" s="62">
        <v>0</v>
      </c>
      <c r="Z703" s="62">
        <v>0</v>
      </c>
      <c r="AA703" s="62">
        <v>0</v>
      </c>
      <c r="AB703" s="62">
        <v>0</v>
      </c>
      <c r="AC703" s="62">
        <v>0</v>
      </c>
      <c r="AD703" s="62">
        <v>0</v>
      </c>
      <c r="AE703" s="62">
        <v>0</v>
      </c>
      <c r="AF703" s="62">
        <v>0</v>
      </c>
      <c r="AG703" s="62">
        <v>0</v>
      </c>
      <c r="AH703" s="62">
        <v>0</v>
      </c>
      <c r="AI703" s="57">
        <f t="shared" ref="AI703" si="6094">IF(ISERROR(AI705/AH705*AH703),AH703,AI705/AH705*AH703)</f>
        <v>0</v>
      </c>
      <c r="AJ703" s="58">
        <f t="shared" ref="AJ703" si="6095">IF(ISERROR(AJ705/AI705*AI703),AI703,AJ705/AI705*AI703)</f>
        <v>0</v>
      </c>
      <c r="AK703" s="58">
        <f t="shared" ref="AK703" si="6096">IF(ISERROR(AK705/AJ705*AJ703),AJ703,AK705/AJ705*AJ703)</f>
        <v>0</v>
      </c>
      <c r="AL703" s="58">
        <f t="shared" ref="AL703" si="6097">IF(ISERROR(AL705/AK705*AK703),AK703,AL705/AK705*AK703)</f>
        <v>0</v>
      </c>
      <c r="AM703" s="58">
        <f t="shared" ref="AM703" si="6098">IF(ISERROR(AM705/AL705*AL703),AL703,AM705/AL705*AL703)</f>
        <v>0</v>
      </c>
      <c r="AN703" s="58">
        <f t="shared" ref="AN703" si="6099">IF(ISERROR(AN705/AM705*AM703),AM703,AN705/AM705*AM703)</f>
        <v>0</v>
      </c>
      <c r="AO703" s="58">
        <f t="shared" ref="AO703" si="6100">IF(ISERROR(AO705/AN705*AN703),AN703,AO705/AN705*AN703)</f>
        <v>0</v>
      </c>
      <c r="AP703" s="58">
        <f t="shared" ref="AP703" si="6101">IF(ISERROR(AP705/AO705*AO703),AO703,AP705/AO705*AO703)</f>
        <v>0</v>
      </c>
      <c r="AQ703" s="58">
        <f t="shared" ref="AQ703" si="6102">IF(ISERROR(AQ705/AP705*AP703),AP703,AQ705/AP705*AP703)</f>
        <v>0</v>
      </c>
      <c r="AR703" s="58">
        <f t="shared" ref="AR703" si="6103">IF(ISERROR(AR705/AQ705*AQ703),AQ703,AR705/AQ705*AQ703)</f>
        <v>0</v>
      </c>
      <c r="AT703" s="19">
        <f t="shared" si="6050"/>
        <v>0</v>
      </c>
      <c r="AU703" s="19">
        <f t="shared" si="6051"/>
        <v>0</v>
      </c>
      <c r="AV703" s="19">
        <f t="shared" si="6052"/>
        <v>0</v>
      </c>
      <c r="AW703" s="19">
        <f t="shared" si="6053"/>
        <v>0</v>
      </c>
      <c r="AX703" s="19">
        <f t="shared" si="6054"/>
        <v>0</v>
      </c>
      <c r="AY703" s="19">
        <f t="shared" si="6055"/>
        <v>0</v>
      </c>
      <c r="AZ703" s="19">
        <f t="shared" si="6056"/>
        <v>0</v>
      </c>
      <c r="BA703" s="19">
        <f t="shared" si="6057"/>
        <v>0</v>
      </c>
      <c r="BB703" s="19">
        <f t="shared" si="6058"/>
        <v>0</v>
      </c>
      <c r="BC703" s="19">
        <f t="shared" si="6059"/>
        <v>0</v>
      </c>
      <c r="BD703" s="19">
        <f t="shared" si="6060"/>
        <v>0</v>
      </c>
      <c r="BE703" s="19">
        <f t="shared" si="6061"/>
        <v>0</v>
      </c>
      <c r="BF703" s="19">
        <f t="shared" si="6062"/>
        <v>0</v>
      </c>
      <c r="BG703" s="19">
        <f t="shared" si="6063"/>
        <v>0</v>
      </c>
      <c r="BH703" s="19">
        <f t="shared" si="6064"/>
        <v>0</v>
      </c>
      <c r="BI703" s="20">
        <f t="shared" si="6065"/>
        <v>0</v>
      </c>
      <c r="BJ703" s="19">
        <f t="shared" si="6066"/>
        <v>0</v>
      </c>
      <c r="BK703" s="19">
        <f t="shared" si="6067"/>
        <v>0</v>
      </c>
      <c r="BL703" s="19">
        <f t="shared" si="6068"/>
        <v>0</v>
      </c>
      <c r="BM703" s="19">
        <f t="shared" si="6069"/>
        <v>0</v>
      </c>
      <c r="BN703" s="19">
        <f t="shared" si="6070"/>
        <v>0</v>
      </c>
    </row>
    <row r="704" spans="1:66" ht="12" hidden="1" customHeight="1" outlineLevel="2">
      <c r="B704" s="1" t="s">
        <v>22</v>
      </c>
      <c r="C704" s="21">
        <v>0</v>
      </c>
      <c r="D704" s="21">
        <v>0</v>
      </c>
      <c r="E704" s="21">
        <v>0</v>
      </c>
      <c r="F704" s="21">
        <v>0</v>
      </c>
      <c r="G704" s="21">
        <v>0</v>
      </c>
      <c r="H704" s="21">
        <v>0</v>
      </c>
      <c r="I704" s="21">
        <v>0</v>
      </c>
      <c r="J704" s="21">
        <v>0</v>
      </c>
      <c r="K704" s="21">
        <v>0</v>
      </c>
      <c r="L704" s="21">
        <v>0</v>
      </c>
      <c r="M704" s="62">
        <v>0</v>
      </c>
      <c r="N704" s="62">
        <v>0</v>
      </c>
      <c r="O704" s="62">
        <v>0</v>
      </c>
      <c r="P704" s="62">
        <v>0</v>
      </c>
      <c r="Q704" s="62">
        <v>0</v>
      </c>
      <c r="R704" s="62">
        <v>0</v>
      </c>
      <c r="S704" s="62">
        <v>0</v>
      </c>
      <c r="T704" s="62">
        <v>0</v>
      </c>
      <c r="U704" s="62">
        <v>0</v>
      </c>
      <c r="V704" s="62">
        <v>0</v>
      </c>
      <c r="W704" s="62">
        <v>0</v>
      </c>
      <c r="X704" s="62">
        <v>0</v>
      </c>
      <c r="Y704" s="62">
        <v>0</v>
      </c>
      <c r="Z704" s="62">
        <v>0</v>
      </c>
      <c r="AA704" s="62">
        <v>0</v>
      </c>
      <c r="AB704" s="62">
        <v>0</v>
      </c>
      <c r="AC704" s="62">
        <v>0</v>
      </c>
      <c r="AD704" s="62">
        <v>0</v>
      </c>
      <c r="AE704" s="62">
        <v>0</v>
      </c>
      <c r="AF704" s="62">
        <v>0</v>
      </c>
      <c r="AG704" s="62">
        <v>0</v>
      </c>
      <c r="AH704" s="62">
        <v>0</v>
      </c>
      <c r="AI704" s="57">
        <f t="shared" ref="AI704:AJ704" si="6104">AI702+AI703</f>
        <v>0</v>
      </c>
      <c r="AJ704" s="41">
        <f t="shared" si="6104"/>
        <v>0</v>
      </c>
      <c r="AK704" s="41">
        <f t="shared" ref="AK704:AL704" si="6105">AK702+AK703</f>
        <v>0</v>
      </c>
      <c r="AL704" s="41">
        <f t="shared" si="6105"/>
        <v>0</v>
      </c>
      <c r="AM704" s="41">
        <f t="shared" ref="AM704:AN704" si="6106">AM702+AM703</f>
        <v>0</v>
      </c>
      <c r="AN704" s="41">
        <f t="shared" si="6106"/>
        <v>0</v>
      </c>
      <c r="AO704" s="41">
        <f t="shared" ref="AO704:AP704" si="6107">AO702+AO703</f>
        <v>0</v>
      </c>
      <c r="AP704" s="41">
        <f t="shared" si="6107"/>
        <v>0</v>
      </c>
      <c r="AQ704" s="41">
        <f t="shared" ref="AQ704:AR704" si="6108">AQ702+AQ703</f>
        <v>0</v>
      </c>
      <c r="AR704" s="41">
        <f t="shared" si="6108"/>
        <v>0</v>
      </c>
      <c r="AT704" s="19">
        <f t="shared" si="6050"/>
        <v>0</v>
      </c>
      <c r="AU704" s="19">
        <f t="shared" si="6051"/>
        <v>0</v>
      </c>
      <c r="AV704" s="19">
        <f t="shared" si="6052"/>
        <v>0</v>
      </c>
      <c r="AW704" s="19">
        <f t="shared" si="6053"/>
        <v>0</v>
      </c>
      <c r="AX704" s="19">
        <f t="shared" si="6054"/>
        <v>0</v>
      </c>
      <c r="AY704" s="19">
        <f t="shared" si="6055"/>
        <v>0</v>
      </c>
      <c r="AZ704" s="19">
        <f t="shared" si="6056"/>
        <v>0</v>
      </c>
      <c r="BA704" s="19">
        <f t="shared" si="6057"/>
        <v>0</v>
      </c>
      <c r="BB704" s="19">
        <f t="shared" si="6058"/>
        <v>0</v>
      </c>
      <c r="BC704" s="19">
        <f t="shared" si="6059"/>
        <v>0</v>
      </c>
      <c r="BD704" s="19">
        <f t="shared" si="6060"/>
        <v>0</v>
      </c>
      <c r="BE704" s="19">
        <f t="shared" si="6061"/>
        <v>0</v>
      </c>
      <c r="BF704" s="19">
        <f t="shared" si="6062"/>
        <v>0</v>
      </c>
      <c r="BG704" s="19">
        <f t="shared" si="6063"/>
        <v>0</v>
      </c>
      <c r="BH704" s="19">
        <f t="shared" si="6064"/>
        <v>0</v>
      </c>
      <c r="BI704" s="20">
        <f t="shared" si="6065"/>
        <v>0</v>
      </c>
      <c r="BJ704" s="19">
        <f t="shared" si="6066"/>
        <v>0</v>
      </c>
      <c r="BK704" s="19">
        <f t="shared" si="6067"/>
        <v>0</v>
      </c>
      <c r="BL704" s="19">
        <f t="shared" si="6068"/>
        <v>0</v>
      </c>
      <c r="BM704" s="19">
        <f t="shared" si="6069"/>
        <v>0</v>
      </c>
      <c r="BN704" s="19">
        <f t="shared" si="6070"/>
        <v>0</v>
      </c>
    </row>
    <row r="705" spans="1:66" ht="12" hidden="1" customHeight="1" outlineLevel="2">
      <c r="B705" s="1" t="s">
        <v>44</v>
      </c>
      <c r="C705" s="21">
        <v>0</v>
      </c>
      <c r="D705" s="21">
        <v>0</v>
      </c>
      <c r="E705" s="21">
        <v>0</v>
      </c>
      <c r="F705" s="21">
        <v>0</v>
      </c>
      <c r="G705" s="21">
        <v>0</v>
      </c>
      <c r="H705" s="21">
        <v>0</v>
      </c>
      <c r="I705" s="21">
        <v>0</v>
      </c>
      <c r="J705" s="21">
        <v>0</v>
      </c>
      <c r="K705" s="21">
        <v>0</v>
      </c>
      <c r="L705" s="21">
        <v>0</v>
      </c>
      <c r="M705" s="62">
        <v>0</v>
      </c>
      <c r="N705" s="62">
        <v>0</v>
      </c>
      <c r="O705" s="62">
        <v>0</v>
      </c>
      <c r="P705" s="62">
        <v>0</v>
      </c>
      <c r="Q705" s="62">
        <v>0</v>
      </c>
      <c r="R705" s="62">
        <v>0</v>
      </c>
      <c r="S705" s="62">
        <v>0</v>
      </c>
      <c r="T705" s="62">
        <v>0</v>
      </c>
      <c r="U705" s="62">
        <v>0</v>
      </c>
      <c r="V705" s="62">
        <v>0</v>
      </c>
      <c r="W705" s="62">
        <v>0</v>
      </c>
      <c r="X705" s="62">
        <v>0</v>
      </c>
      <c r="Y705" s="62">
        <v>0</v>
      </c>
      <c r="Z705" s="62">
        <v>0</v>
      </c>
      <c r="AA705" s="62">
        <v>0</v>
      </c>
      <c r="AB705" s="62">
        <v>0</v>
      </c>
      <c r="AC705" s="62">
        <v>0</v>
      </c>
      <c r="AD705" s="62">
        <v>0</v>
      </c>
      <c r="AE705" s="62">
        <v>0</v>
      </c>
      <c r="AF705" s="62">
        <v>0</v>
      </c>
      <c r="AG705" s="62">
        <v>0</v>
      </c>
      <c r="AH705" s="62">
        <v>0</v>
      </c>
      <c r="AI705" s="57">
        <f t="shared" ref="AI705" si="6109">AH705</f>
        <v>0</v>
      </c>
      <c r="AJ705" s="58">
        <f t="shared" ref="AJ705" si="6110">AI705</f>
        <v>0</v>
      </c>
      <c r="AK705" s="58">
        <f t="shared" ref="AK705" si="6111">AJ705</f>
        <v>0</v>
      </c>
      <c r="AL705" s="58">
        <f t="shared" ref="AL705" si="6112">AK705</f>
        <v>0</v>
      </c>
      <c r="AM705" s="58">
        <f t="shared" ref="AM705" si="6113">AL705</f>
        <v>0</v>
      </c>
      <c r="AN705" s="58">
        <f t="shared" ref="AN705" si="6114">AM705</f>
        <v>0</v>
      </c>
      <c r="AO705" s="58">
        <f t="shared" ref="AO705" si="6115">AN705</f>
        <v>0</v>
      </c>
      <c r="AP705" s="58">
        <f t="shared" ref="AP705" si="6116">AO705</f>
        <v>0</v>
      </c>
      <c r="AQ705" s="58">
        <f t="shared" ref="AQ705" si="6117">AP705</f>
        <v>0</v>
      </c>
      <c r="AR705" s="58">
        <f t="shared" ref="AR705" si="6118">AQ705</f>
        <v>0</v>
      </c>
      <c r="AT705" s="19">
        <f t="shared" si="6050"/>
        <v>0</v>
      </c>
      <c r="AU705" s="19">
        <f t="shared" si="6051"/>
        <v>0</v>
      </c>
      <c r="AV705" s="19">
        <f t="shared" si="6052"/>
        <v>0</v>
      </c>
      <c r="AW705" s="19">
        <f t="shared" si="6053"/>
        <v>0</v>
      </c>
      <c r="AX705" s="19">
        <f t="shared" si="6054"/>
        <v>0</v>
      </c>
      <c r="AY705" s="19">
        <f t="shared" si="6055"/>
        <v>0</v>
      </c>
      <c r="AZ705" s="19">
        <f t="shared" si="6056"/>
        <v>0</v>
      </c>
      <c r="BA705" s="19">
        <f t="shared" si="6057"/>
        <v>0</v>
      </c>
      <c r="BB705" s="19">
        <f t="shared" si="6058"/>
        <v>0</v>
      </c>
      <c r="BC705" s="19">
        <f t="shared" si="6059"/>
        <v>0</v>
      </c>
      <c r="BD705" s="19">
        <f t="shared" si="6060"/>
        <v>0</v>
      </c>
      <c r="BE705" s="19">
        <f t="shared" si="6061"/>
        <v>0</v>
      </c>
      <c r="BF705" s="19">
        <f t="shared" si="6062"/>
        <v>0</v>
      </c>
      <c r="BG705" s="19">
        <f t="shared" si="6063"/>
        <v>0</v>
      </c>
      <c r="BH705" s="19">
        <f t="shared" si="6064"/>
        <v>0</v>
      </c>
      <c r="BI705" s="20">
        <f t="shared" si="6065"/>
        <v>0</v>
      </c>
      <c r="BJ705" s="19">
        <f t="shared" si="6066"/>
        <v>0</v>
      </c>
      <c r="BK705" s="19">
        <f t="shared" si="6067"/>
        <v>0</v>
      </c>
      <c r="BL705" s="19">
        <f t="shared" si="6068"/>
        <v>0</v>
      </c>
      <c r="BM705" s="19">
        <f t="shared" si="6069"/>
        <v>0</v>
      </c>
      <c r="BN705" s="19">
        <f t="shared" si="6070"/>
        <v>0</v>
      </c>
    </row>
    <row r="706" spans="1:66" ht="12" hidden="1" customHeight="1" outlineLevel="2">
      <c r="A706" s="91" t="s">
        <v>1562</v>
      </c>
      <c r="B706" s="1" t="s">
        <v>25</v>
      </c>
      <c r="C706" s="21">
        <v>614</v>
      </c>
      <c r="D706" s="21">
        <v>717</v>
      </c>
      <c r="E706" s="21">
        <v>844</v>
      </c>
      <c r="F706" s="21">
        <v>888</v>
      </c>
      <c r="G706" s="21">
        <v>948</v>
      </c>
      <c r="H706" s="21">
        <v>953</v>
      </c>
      <c r="I706" s="21">
        <v>928</v>
      </c>
      <c r="J706" s="21">
        <v>957</v>
      </c>
      <c r="K706" s="21">
        <v>976</v>
      </c>
      <c r="L706" s="21">
        <v>1039</v>
      </c>
      <c r="M706" s="62">
        <v>1063</v>
      </c>
      <c r="N706" s="62">
        <v>1033</v>
      </c>
      <c r="O706" s="62">
        <v>903</v>
      </c>
      <c r="P706" s="62">
        <v>1353</v>
      </c>
      <c r="Q706" s="62">
        <v>1347</v>
      </c>
      <c r="R706" s="62">
        <v>1258</v>
      </c>
      <c r="S706" s="62">
        <v>648</v>
      </c>
      <c r="T706" s="62">
        <v>795</v>
      </c>
      <c r="U706" s="62">
        <v>0</v>
      </c>
      <c r="V706" s="62">
        <v>0</v>
      </c>
      <c r="W706" s="62">
        <v>0</v>
      </c>
      <c r="X706" s="62">
        <v>0</v>
      </c>
      <c r="Y706" s="62">
        <v>0</v>
      </c>
      <c r="Z706" s="62">
        <v>0</v>
      </c>
      <c r="AA706" s="62">
        <v>0</v>
      </c>
      <c r="AB706" s="62">
        <v>0</v>
      </c>
      <c r="AC706" s="62">
        <v>0</v>
      </c>
      <c r="AD706" s="62">
        <v>0</v>
      </c>
      <c r="AE706" s="62">
        <v>0</v>
      </c>
      <c r="AF706" s="62">
        <v>0</v>
      </c>
      <c r="AG706" s="62">
        <v>0</v>
      </c>
      <c r="AH706" s="62">
        <v>0</v>
      </c>
      <c r="AI706" s="57">
        <v>0</v>
      </c>
      <c r="AJ706" s="58">
        <v>0</v>
      </c>
      <c r="AK706" s="58">
        <v>0</v>
      </c>
      <c r="AL706" s="58">
        <v>0</v>
      </c>
      <c r="AM706" s="58">
        <v>0</v>
      </c>
      <c r="AN706" s="58">
        <v>0</v>
      </c>
      <c r="AO706" s="58">
        <v>0</v>
      </c>
      <c r="AP706" s="58">
        <v>0</v>
      </c>
      <c r="AQ706" s="58">
        <v>0</v>
      </c>
      <c r="AR706" s="58">
        <v>0</v>
      </c>
      <c r="AT706" s="19">
        <f t="shared" si="6050"/>
        <v>717</v>
      </c>
      <c r="AU706" s="19">
        <f t="shared" si="6051"/>
        <v>888</v>
      </c>
      <c r="AV706" s="19">
        <f t="shared" si="6052"/>
        <v>953</v>
      </c>
      <c r="AW706" s="19">
        <f t="shared" si="6053"/>
        <v>957</v>
      </c>
      <c r="AX706" s="19">
        <f t="shared" si="6054"/>
        <v>1039</v>
      </c>
      <c r="AY706" s="19">
        <f t="shared" si="6055"/>
        <v>1033</v>
      </c>
      <c r="AZ706" s="19">
        <f t="shared" si="6056"/>
        <v>1353</v>
      </c>
      <c r="BA706" s="19">
        <f t="shared" si="6057"/>
        <v>1258</v>
      </c>
      <c r="BB706" s="19">
        <f t="shared" si="6058"/>
        <v>795</v>
      </c>
      <c r="BC706" s="19">
        <f t="shared" si="6059"/>
        <v>0</v>
      </c>
      <c r="BD706" s="19">
        <f t="shared" si="6060"/>
        <v>0</v>
      </c>
      <c r="BE706" s="19">
        <f t="shared" si="6061"/>
        <v>0</v>
      </c>
      <c r="BF706" s="19">
        <f t="shared" si="6062"/>
        <v>0</v>
      </c>
      <c r="BG706" s="19">
        <f t="shared" si="6063"/>
        <v>0</v>
      </c>
      <c r="BH706" s="19">
        <f t="shared" si="6064"/>
        <v>0</v>
      </c>
      <c r="BI706" s="20">
        <f t="shared" si="6065"/>
        <v>0</v>
      </c>
      <c r="BJ706" s="19">
        <f t="shared" si="6066"/>
        <v>0</v>
      </c>
      <c r="BK706" s="19">
        <f t="shared" si="6067"/>
        <v>0</v>
      </c>
      <c r="BL706" s="19">
        <f t="shared" si="6068"/>
        <v>0</v>
      </c>
      <c r="BM706" s="19">
        <f t="shared" si="6069"/>
        <v>0</v>
      </c>
      <c r="BN706" s="19">
        <f t="shared" si="6070"/>
        <v>0</v>
      </c>
    </row>
    <row r="707" spans="1:66" ht="12" hidden="1" customHeight="1" outlineLevel="2">
      <c r="C707" s="21"/>
      <c r="D707" s="21"/>
      <c r="E707" s="21"/>
      <c r="F707" s="21"/>
      <c r="G707" s="21"/>
      <c r="H707" s="21"/>
      <c r="I707" s="21"/>
      <c r="J707" s="21"/>
      <c r="K707" s="21"/>
      <c r="L707" s="21"/>
      <c r="M707" s="41"/>
      <c r="N707" s="41"/>
      <c r="O707" s="41"/>
      <c r="P707" s="41"/>
      <c r="Q707" s="41"/>
      <c r="R707" s="41"/>
      <c r="S707" s="41"/>
      <c r="T707" s="41"/>
      <c r="U707" s="41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1"/>
      <c r="AH707" s="41"/>
      <c r="AI707" s="42"/>
      <c r="AJ707" s="41"/>
      <c r="AK707" s="41"/>
      <c r="AL707" s="41"/>
      <c r="AM707" s="41"/>
      <c r="AN707" s="41"/>
      <c r="AO707" s="41"/>
      <c r="AP707" s="41"/>
      <c r="AQ707" s="41"/>
      <c r="AR707" s="41"/>
      <c r="AT707" s="19"/>
      <c r="AU707" s="19"/>
      <c r="AV707" s="19"/>
      <c r="AW707" s="19"/>
      <c r="AX707" s="19"/>
      <c r="AY707" s="19"/>
      <c r="AZ707" s="19"/>
      <c r="BA707" s="19"/>
      <c r="BB707" s="19"/>
      <c r="BC707" s="19"/>
      <c r="BD707" s="19"/>
      <c r="BE707" s="19"/>
      <c r="BF707" s="19"/>
      <c r="BG707" s="19"/>
      <c r="BH707" s="19"/>
      <c r="BI707" s="20"/>
      <c r="BJ707" s="19"/>
      <c r="BK707" s="19"/>
      <c r="BL707" s="19"/>
      <c r="BM707" s="19"/>
      <c r="BN707" s="19"/>
    </row>
    <row r="708" spans="1:66" ht="12" hidden="1" customHeight="1" outlineLevel="2">
      <c r="B708" s="9" t="s">
        <v>158</v>
      </c>
      <c r="C708" s="21"/>
      <c r="D708" s="21"/>
      <c r="E708" s="21"/>
      <c r="F708" s="21"/>
      <c r="G708" s="21"/>
      <c r="H708" s="21"/>
      <c r="I708" s="21"/>
      <c r="J708" s="21"/>
      <c r="K708" s="21"/>
      <c r="L708" s="21"/>
      <c r="M708" s="41"/>
      <c r="N708" s="41"/>
      <c r="O708" s="41"/>
      <c r="P708" s="41"/>
      <c r="Q708" s="41"/>
      <c r="R708" s="41"/>
      <c r="S708" s="41"/>
      <c r="T708" s="41"/>
      <c r="U708" s="41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1"/>
      <c r="AH708" s="41"/>
      <c r="AI708" s="42"/>
      <c r="AJ708" s="41"/>
      <c r="AK708" s="41"/>
      <c r="AL708" s="41"/>
      <c r="AM708" s="41"/>
      <c r="AN708" s="41"/>
      <c r="AO708" s="41"/>
      <c r="AP708" s="41"/>
      <c r="AQ708" s="41"/>
      <c r="AR708" s="41"/>
      <c r="AT708" s="19"/>
      <c r="AU708" s="19"/>
      <c r="AV708" s="19"/>
      <c r="AW708" s="19"/>
      <c r="AX708" s="19"/>
      <c r="AY708" s="19"/>
      <c r="AZ708" s="19"/>
      <c r="BA708" s="19"/>
      <c r="BB708" s="19"/>
      <c r="BC708" s="19"/>
      <c r="BD708" s="19"/>
      <c r="BE708" s="19"/>
      <c r="BF708" s="19"/>
      <c r="BG708" s="19"/>
      <c r="BH708" s="19"/>
      <c r="BI708" s="20"/>
      <c r="BJ708" s="19"/>
      <c r="BK708" s="19"/>
      <c r="BL708" s="19"/>
      <c r="BM708" s="19"/>
      <c r="BN708" s="19"/>
    </row>
    <row r="709" spans="1:66" ht="12" hidden="1" customHeight="1" outlineLevel="2">
      <c r="B709" s="1" t="s">
        <v>58</v>
      </c>
      <c r="C709" s="50" t="str">
        <f>IF(ISERROR(C698/B698),"n.a.",C698/B698-1)</f>
        <v>n.a.</v>
      </c>
      <c r="D709" s="50">
        <f>IF(ISERROR(D698/C698),"n.a.",D698/C698-1)</f>
        <v>0.16393442622950816</v>
      </c>
      <c r="E709" s="50">
        <f t="shared" ref="E709:M709" si="6119">IF(ISERROR(E698/D698),"n.a.",E698/D698-1)</f>
        <v>7.0422535211267512E-3</v>
      </c>
      <c r="F709" s="50">
        <f t="shared" si="6119"/>
        <v>6.2937062937062915E-2</v>
      </c>
      <c r="G709" s="50">
        <f t="shared" si="6119"/>
        <v>5.921052631578938E-2</v>
      </c>
      <c r="H709" s="50">
        <f t="shared" si="6119"/>
        <v>-1.2422360248447228E-2</v>
      </c>
      <c r="I709" s="50">
        <f t="shared" si="6119"/>
        <v>6.2893081761006275E-2</v>
      </c>
      <c r="J709" s="50">
        <f t="shared" si="6119"/>
        <v>2.3668639053254337E-2</v>
      </c>
      <c r="K709" s="50">
        <f t="shared" si="6119"/>
        <v>9.2485549132947931E-2</v>
      </c>
      <c r="L709" s="50">
        <f t="shared" si="6119"/>
        <v>4.7619047619047672E-2</v>
      </c>
      <c r="M709" s="69">
        <f t="shared" si="6119"/>
        <v>9.0909090909090828E-2</v>
      </c>
      <c r="N709" s="69">
        <f t="shared" ref="N709" si="6120">IF(ISERROR(N698/M698),"n.a.",N698/M698-1)</f>
        <v>4.1666666666666741E-2</v>
      </c>
      <c r="O709" s="69">
        <f t="shared" ref="O709:AD709" si="6121">IF(ISERROR(O698/N698),"n.a.",O698/N698-1)</f>
        <v>3.5555555555555562E-2</v>
      </c>
      <c r="P709" s="69">
        <f t="shared" si="6121"/>
        <v>0.23605150214592285</v>
      </c>
      <c r="Q709" s="69">
        <f t="shared" si="6121"/>
        <v>-2.430555555555558E-2</v>
      </c>
      <c r="R709" s="69">
        <f t="shared" si="6121"/>
        <v>-5.6939501779359469E-2</v>
      </c>
      <c r="S709" s="69">
        <f t="shared" si="6121"/>
        <v>-3.3962264150943389E-2</v>
      </c>
      <c r="T709" s="69">
        <f t="shared" si="6121"/>
        <v>-0.5703125</v>
      </c>
      <c r="U709" s="69">
        <f t="shared" si="6121"/>
        <v>-1</v>
      </c>
      <c r="V709" s="69" t="str">
        <f t="shared" si="6121"/>
        <v>n.a.</v>
      </c>
      <c r="W709" s="69" t="str">
        <f t="shared" si="6121"/>
        <v>n.a.</v>
      </c>
      <c r="X709" s="69" t="str">
        <f t="shared" si="6121"/>
        <v>n.a.</v>
      </c>
      <c r="Y709" s="69" t="str">
        <f t="shared" si="6121"/>
        <v>n.a.</v>
      </c>
      <c r="Z709" s="69" t="str">
        <f t="shared" si="6121"/>
        <v>n.a.</v>
      </c>
      <c r="AA709" s="69" t="str">
        <f t="shared" si="6121"/>
        <v>n.a.</v>
      </c>
      <c r="AB709" s="69" t="str">
        <f t="shared" si="6121"/>
        <v>n.a.</v>
      </c>
      <c r="AC709" s="69" t="str">
        <f t="shared" si="6121"/>
        <v>n.a.</v>
      </c>
      <c r="AD709" s="69" t="str">
        <f t="shared" si="6121"/>
        <v>n.a.</v>
      </c>
      <c r="AE709" s="69" t="str">
        <f t="shared" ref="AE709" si="6122">IF(ISERROR(AE698/AD698),"n.a.",AE698/AD698-1)</f>
        <v>n.a.</v>
      </c>
      <c r="AF709" s="69" t="str">
        <f t="shared" ref="AF709:AH709" si="6123">IF(ISERROR(AF698/AE698),"n.a.",AF698/AE698-1)</f>
        <v>n.a.</v>
      </c>
      <c r="AG709" s="69" t="str">
        <f t="shared" si="6123"/>
        <v>n.a.</v>
      </c>
      <c r="AH709" s="69" t="str">
        <f t="shared" si="6123"/>
        <v>n.a.</v>
      </c>
      <c r="AI709" s="89" t="s">
        <v>55</v>
      </c>
      <c r="AJ709" s="56" t="s">
        <v>55</v>
      </c>
      <c r="AK709" s="56" t="s">
        <v>55</v>
      </c>
      <c r="AL709" s="56" t="s">
        <v>55</v>
      </c>
      <c r="AM709" s="56" t="s">
        <v>55</v>
      </c>
      <c r="AN709" s="56" t="s">
        <v>55</v>
      </c>
      <c r="AO709" s="56" t="s">
        <v>55</v>
      </c>
      <c r="AP709" s="56" t="s">
        <v>55</v>
      </c>
      <c r="AQ709" s="56" t="s">
        <v>55</v>
      </c>
      <c r="AR709" s="56" t="s">
        <v>55</v>
      </c>
      <c r="AT709" s="50">
        <f>IF(ISERROR(AT698/T698),"n.a.",AT698/T698-1)</f>
        <v>0.29090909090909101</v>
      </c>
      <c r="AU709" s="50">
        <f>IF(ISERROR(AU698/AT698),"n.a.",AU698/AT698-1)</f>
        <v>7.0422535211267512E-2</v>
      </c>
      <c r="AV709" s="50">
        <f>IF(ISERROR(AV698/AU698),"n.a.",AV698/AU698-1)</f>
        <v>4.6052631578947345E-2</v>
      </c>
      <c r="AW709" s="50">
        <f>IF(ISERROR(AW698/AV698),"n.a.",AW698/AV698-1)</f>
        <v>8.8050314465408785E-2</v>
      </c>
      <c r="AX709" s="50">
        <f t="shared" ref="AX709:BB709" si="6124">IF(ISERROR(AX698/AW698),"n.a.",AX698/AW698-1)</f>
        <v>0.1445086705202312</v>
      </c>
      <c r="AY709" s="50">
        <f t="shared" si="6124"/>
        <v>0.13636363636363646</v>
      </c>
      <c r="AZ709" s="50">
        <f t="shared" si="6124"/>
        <v>0.28000000000000003</v>
      </c>
      <c r="BA709" s="50">
        <f t="shared" si="6124"/>
        <v>-7.986111111111116E-2</v>
      </c>
      <c r="BB709" s="50">
        <f t="shared" si="6124"/>
        <v>-0.58490566037735847</v>
      </c>
      <c r="BC709" s="50">
        <f t="shared" ref="BC709" si="6125">IF(ISERROR(BC698/BB698),"n.a.",BC698/BB698-1)</f>
        <v>-1</v>
      </c>
      <c r="BD709" s="50" t="str">
        <f t="shared" ref="BD709" si="6126">IF(ISERROR(BD698/BC698),"n.a.",BD698/BC698-1)</f>
        <v>n.a.</v>
      </c>
      <c r="BE709" s="50" t="str">
        <f t="shared" ref="BE709" si="6127">IF(ISERROR(BE698/BD698),"n.a.",BE698/BD698-1)</f>
        <v>n.a.</v>
      </c>
      <c r="BF709" s="50" t="str">
        <f t="shared" ref="BF709" si="6128">IF(ISERROR(BF698/BE698),"n.a.",BF698/BE698-1)</f>
        <v>n.a.</v>
      </c>
      <c r="BG709" s="50" t="str">
        <f t="shared" ref="BG709" si="6129">IF(ISERROR(BG698/BF698),"n.a.",BG698/BF698-1)</f>
        <v>n.a.</v>
      </c>
      <c r="BH709" s="50" t="str">
        <f t="shared" ref="BH709" si="6130">IF(ISERROR(BH698/BG698),"n.a.",BH698/BG698-1)</f>
        <v>n.a.</v>
      </c>
      <c r="BI709" s="51" t="str">
        <f>IF(ISERROR(BI698/#REF!),"n.a.",BI698/#REF!-1)</f>
        <v>n.a.</v>
      </c>
      <c r="BJ709" s="50" t="str">
        <f>IF(ISERROR(BJ698/#REF!),"n.a.",BJ698/#REF!-1)</f>
        <v>n.a.</v>
      </c>
      <c r="BK709" s="50" t="str">
        <f>IF(ISERROR(BK698/#REF!),"n.a.",BK698/#REF!-1)</f>
        <v>n.a.</v>
      </c>
      <c r="BL709" s="50" t="str">
        <f>IF(ISERROR(BL698/#REF!),"n.a.",BL698/#REF!-1)</f>
        <v>n.a.</v>
      </c>
      <c r="BM709" s="50" t="str">
        <f>IF(ISERROR(BM698/#REF!),"n.a.",BM698/#REF!-1)</f>
        <v>n.a.</v>
      </c>
      <c r="BN709" s="50" t="str">
        <f>IF(ISERROR(BN698/#REF!),"n.a.",BN698/#REF!-1)</f>
        <v>n.a.</v>
      </c>
    </row>
    <row r="710" spans="1:66" ht="12" hidden="1" customHeight="1" outlineLevel="2">
      <c r="B710" s="1" t="s">
        <v>59</v>
      </c>
      <c r="C710" s="37" t="str">
        <f>IF(ISERROR(C665-B665),"n.a.",C665-B665)</f>
        <v>n.a.</v>
      </c>
      <c r="D710" s="37">
        <f>IF(ISERROR(D665-C665),"n.a.",D665-C665)</f>
        <v>7.5709283549917801E-3</v>
      </c>
      <c r="E710" s="37">
        <f t="shared" ref="E710:M710" si="6131">IF(ISERROR(E665-D665),"n.a.",E665-D665)</f>
        <v>5.0421999149350347E-3</v>
      </c>
      <c r="F710" s="37">
        <f t="shared" si="6131"/>
        <v>-1.5670405486290645E-4</v>
      </c>
      <c r="G710" s="37">
        <f t="shared" si="6131"/>
        <v>-1.1701776319743493E-3</v>
      </c>
      <c r="H710" s="37">
        <f t="shared" si="6131"/>
        <v>-8.1908945686900991E-4</v>
      </c>
      <c r="I710" s="37">
        <f t="shared" si="6131"/>
        <v>-6.0988771158203385E-3</v>
      </c>
      <c r="J710" s="37">
        <f t="shared" si="6131"/>
        <v>7.9418418995745969E-3</v>
      </c>
      <c r="K710" s="37">
        <f t="shared" si="6131"/>
        <v>-7.9438576678529209E-3</v>
      </c>
      <c r="L710" s="37">
        <f t="shared" si="6131"/>
        <v>9.4821398670898345E-3</v>
      </c>
      <c r="M710" s="78">
        <f t="shared" si="6131"/>
        <v>-8.5947214160842778E-3</v>
      </c>
      <c r="N710" s="78">
        <f t="shared" ref="N710" si="6132">IF(ISERROR(N665-M665),"n.a.",N665-M665)</f>
        <v>5.9698005899294707E-3</v>
      </c>
      <c r="O710" s="78">
        <f t="shared" ref="O710:AD710" si="6133">IF(ISERROR(O665-N665),"n.a.",O665-N665)</f>
        <v>2.7933463322466073E-3</v>
      </c>
      <c r="P710" s="78">
        <f t="shared" si="6133"/>
        <v>-1.0385804926702932E-2</v>
      </c>
      <c r="Q710" s="78">
        <f t="shared" si="6133"/>
        <v>-4.9710969553328731E-3</v>
      </c>
      <c r="R710" s="78">
        <f t="shared" si="6133"/>
        <v>1.4813881096939693E-3</v>
      </c>
      <c r="S710" s="78">
        <f t="shared" si="6133"/>
        <v>-1.1445420109816662E-2</v>
      </c>
      <c r="T710" s="78">
        <f t="shared" si="6133"/>
        <v>-4.4427015565431591E-3</v>
      </c>
      <c r="U710" s="78" t="str">
        <f t="shared" si="6133"/>
        <v>n.a.</v>
      </c>
      <c r="V710" s="78" t="str">
        <f t="shared" si="6133"/>
        <v>n.a.</v>
      </c>
      <c r="W710" s="78" t="str">
        <f t="shared" si="6133"/>
        <v>n.a.</v>
      </c>
      <c r="X710" s="78" t="str">
        <f t="shared" si="6133"/>
        <v>n.a.</v>
      </c>
      <c r="Y710" s="78" t="str">
        <f t="shared" si="6133"/>
        <v>n.a.</v>
      </c>
      <c r="Z710" s="78" t="str">
        <f t="shared" si="6133"/>
        <v>n.a.</v>
      </c>
      <c r="AA710" s="78" t="str">
        <f t="shared" si="6133"/>
        <v>n.a.</v>
      </c>
      <c r="AB710" s="78" t="str">
        <f t="shared" si="6133"/>
        <v>n.a.</v>
      </c>
      <c r="AC710" s="78" t="str">
        <f t="shared" si="6133"/>
        <v>n.a.</v>
      </c>
      <c r="AD710" s="78" t="str">
        <f t="shared" si="6133"/>
        <v>n.a.</v>
      </c>
      <c r="AE710" s="78" t="str">
        <f t="shared" ref="AE710" si="6134">IF(ISERROR(AE665-AD665),"n.a.",AE665-AD665)</f>
        <v>n.a.</v>
      </c>
      <c r="AF710" s="78" t="str">
        <f t="shared" ref="AF710:AH710" si="6135">IF(ISERROR(AF665-AE665),"n.a.",AF665-AE665)</f>
        <v>n.a.</v>
      </c>
      <c r="AG710" s="78" t="str">
        <f t="shared" si="6135"/>
        <v>n.a.</v>
      </c>
      <c r="AH710" s="78" t="str">
        <f t="shared" si="6135"/>
        <v>n.a.</v>
      </c>
      <c r="AI710" s="88" t="s">
        <v>55</v>
      </c>
      <c r="AJ710" s="66" t="s">
        <v>55</v>
      </c>
      <c r="AK710" s="66" t="s">
        <v>55</v>
      </c>
      <c r="AL710" s="66" t="s">
        <v>55</v>
      </c>
      <c r="AM710" s="66" t="s">
        <v>55</v>
      </c>
      <c r="AN710" s="66" t="s">
        <v>55</v>
      </c>
      <c r="AO710" s="66" t="s">
        <v>55</v>
      </c>
      <c r="AP710" s="66" t="s">
        <v>55</v>
      </c>
      <c r="AQ710" s="66" t="s">
        <v>55</v>
      </c>
      <c r="AR710" s="66" t="s">
        <v>55</v>
      </c>
      <c r="AT710" s="37">
        <f>IF(ISERROR(AT665-T665),"n.a.",AT665-T665)</f>
        <v>1.9664459066961217E-2</v>
      </c>
      <c r="AU710" s="37">
        <f>IF(ISERROR(AU665-AT665),"n.a.",AU665-AT665)</f>
        <v>8.6123315714770748E-3</v>
      </c>
      <c r="AV710" s="37">
        <f>IF(ISERROR(AV665-AU665),"n.a.",AV665-AU665)</f>
        <v>-1.6578118910312994E-3</v>
      </c>
      <c r="AW710" s="37">
        <f>IF(ISERROR(AW665-AV665),"n.a.",AW665-AV665)</f>
        <v>-2.464830406643248E-3</v>
      </c>
      <c r="AX710" s="37">
        <f t="shared" ref="AX710:BB710" si="6136">IF(ISERROR(AX665-AW665),"n.a.",AX665-AW665)</f>
        <v>8.3878666547320541E-4</v>
      </c>
      <c r="AY710" s="37">
        <f t="shared" si="6136"/>
        <v>-9.2742272338746518E-4</v>
      </c>
      <c r="AZ710" s="37">
        <f t="shared" si="6136"/>
        <v>1.7105025818901776E-4</v>
      </c>
      <c r="BA710" s="37">
        <f t="shared" si="6136"/>
        <v>-9.1035550849423962E-3</v>
      </c>
      <c r="BB710" s="37">
        <f t="shared" si="6136"/>
        <v>-1.2505107547268522E-2</v>
      </c>
      <c r="BC710" s="37" t="str">
        <f t="shared" ref="BC710" si="6137">IF(ISERROR(BC665-BB665),"n.a.",BC665-BB665)</f>
        <v>n.a.</v>
      </c>
      <c r="BD710" s="37" t="str">
        <f t="shared" ref="BD710" si="6138">IF(ISERROR(BD665-BC665),"n.a.",BD665-BC665)</f>
        <v>n.a.</v>
      </c>
      <c r="BE710" s="37" t="str">
        <f t="shared" ref="BE710" si="6139">IF(ISERROR(BE665-BD665),"n.a.",BE665-BD665)</f>
        <v>n.a.</v>
      </c>
      <c r="BF710" s="37" t="str">
        <f t="shared" ref="BF710" si="6140">IF(ISERROR(BF665-BE665),"n.a.",BF665-BE665)</f>
        <v>n.a.</v>
      </c>
      <c r="BG710" s="37" t="str">
        <f t="shared" ref="BG710" si="6141">IF(ISERROR(BG665-BF665),"n.a.",BG665-BF665)</f>
        <v>n.a.</v>
      </c>
      <c r="BH710" s="37" t="str">
        <f t="shared" ref="BH710" si="6142">IF(ISERROR(BH665-BG665),"n.a.",BH665-BG665)</f>
        <v>n.a.</v>
      </c>
      <c r="BI710" s="38" t="str">
        <f>IF(ISERROR(BI665-#REF!),"n.a.",BI665-#REF!)</f>
        <v>n.a.</v>
      </c>
      <c r="BJ710" s="37" t="str">
        <f>IF(ISERROR(BJ665-#REF!),"n.a.",BJ665-#REF!)</f>
        <v>n.a.</v>
      </c>
      <c r="BK710" s="37" t="str">
        <f>IF(ISERROR(BK665-#REF!),"n.a.",BK665-#REF!)</f>
        <v>n.a.</v>
      </c>
      <c r="BL710" s="37" t="str">
        <f>IF(ISERROR(BL665-#REF!),"n.a.",BL665-#REF!)</f>
        <v>n.a.</v>
      </c>
      <c r="BM710" s="37" t="str">
        <f>IF(ISERROR(BM665-#REF!),"n.a.",BM665-#REF!)</f>
        <v>n.a.</v>
      </c>
      <c r="BN710" s="37" t="str">
        <f>IF(ISERROR(BN665-#REF!),"n.a.",BN665-#REF!)</f>
        <v>n.a.</v>
      </c>
    </row>
    <row r="711" spans="1:66" ht="12" hidden="1" customHeight="1" outlineLevel="2">
      <c r="B711" s="1" t="s">
        <v>60</v>
      </c>
      <c r="C711" s="50" t="str">
        <f>IF(ISERROR(C702/B702),"n.a.",C702/B702-1)</f>
        <v>n.a.</v>
      </c>
      <c r="D711" s="50" t="str">
        <f>IF(ISERROR(D702/C702),"n.a.",D702/C702-1)</f>
        <v>n.a.</v>
      </c>
      <c r="E711" s="50" t="str">
        <f t="shared" ref="E711:M711" si="6143">IF(ISERROR(E702/D702),"n.a.",E702/D702-1)</f>
        <v>n.a.</v>
      </c>
      <c r="F711" s="50" t="str">
        <f t="shared" si="6143"/>
        <v>n.a.</v>
      </c>
      <c r="G711" s="50" t="str">
        <f t="shared" si="6143"/>
        <v>n.a.</v>
      </c>
      <c r="H711" s="50" t="str">
        <f t="shared" si="6143"/>
        <v>n.a.</v>
      </c>
      <c r="I711" s="50" t="str">
        <f t="shared" si="6143"/>
        <v>n.a.</v>
      </c>
      <c r="J711" s="50" t="str">
        <f t="shared" si="6143"/>
        <v>n.a.</v>
      </c>
      <c r="K711" s="50" t="str">
        <f t="shared" si="6143"/>
        <v>n.a.</v>
      </c>
      <c r="L711" s="50" t="str">
        <f t="shared" si="6143"/>
        <v>n.a.</v>
      </c>
      <c r="M711" s="69" t="str">
        <f t="shared" si="6143"/>
        <v>n.a.</v>
      </c>
      <c r="N711" s="69" t="str">
        <f t="shared" ref="N711" si="6144">IF(ISERROR(N702/M702),"n.a.",N702/M702-1)</f>
        <v>n.a.</v>
      </c>
      <c r="O711" s="69" t="str">
        <f t="shared" ref="O711:AD711" si="6145">IF(ISERROR(O702/N702),"n.a.",O702/N702-1)</f>
        <v>n.a.</v>
      </c>
      <c r="P711" s="69" t="str">
        <f t="shared" si="6145"/>
        <v>n.a.</v>
      </c>
      <c r="Q711" s="69" t="str">
        <f t="shared" si="6145"/>
        <v>n.a.</v>
      </c>
      <c r="R711" s="69" t="str">
        <f t="shared" si="6145"/>
        <v>n.a.</v>
      </c>
      <c r="S711" s="69" t="str">
        <f t="shared" si="6145"/>
        <v>n.a.</v>
      </c>
      <c r="T711" s="69" t="str">
        <f t="shared" si="6145"/>
        <v>n.a.</v>
      </c>
      <c r="U711" s="69" t="str">
        <f t="shared" si="6145"/>
        <v>n.a.</v>
      </c>
      <c r="V711" s="69" t="str">
        <f t="shared" si="6145"/>
        <v>n.a.</v>
      </c>
      <c r="W711" s="69" t="str">
        <f t="shared" si="6145"/>
        <v>n.a.</v>
      </c>
      <c r="X711" s="69" t="str">
        <f t="shared" si="6145"/>
        <v>n.a.</v>
      </c>
      <c r="Y711" s="69" t="str">
        <f t="shared" si="6145"/>
        <v>n.a.</v>
      </c>
      <c r="Z711" s="69" t="str">
        <f t="shared" si="6145"/>
        <v>n.a.</v>
      </c>
      <c r="AA711" s="69" t="str">
        <f t="shared" si="6145"/>
        <v>n.a.</v>
      </c>
      <c r="AB711" s="69" t="str">
        <f t="shared" si="6145"/>
        <v>n.a.</v>
      </c>
      <c r="AC711" s="69" t="str">
        <f t="shared" si="6145"/>
        <v>n.a.</v>
      </c>
      <c r="AD711" s="69" t="str">
        <f t="shared" si="6145"/>
        <v>n.a.</v>
      </c>
      <c r="AE711" s="69" t="str">
        <f t="shared" ref="AE711" si="6146">IF(ISERROR(AE702/AD702),"n.a.",AE702/AD702-1)</f>
        <v>n.a.</v>
      </c>
      <c r="AF711" s="69" t="str">
        <f t="shared" ref="AF711:AH711" si="6147">IF(ISERROR(AF702/AE702),"n.a.",AF702/AE702-1)</f>
        <v>n.a.</v>
      </c>
      <c r="AG711" s="69" t="str">
        <f t="shared" si="6147"/>
        <v>n.a.</v>
      </c>
      <c r="AH711" s="69" t="str">
        <f t="shared" si="6147"/>
        <v>n.a.</v>
      </c>
      <c r="AI711" s="89" t="s">
        <v>55</v>
      </c>
      <c r="AJ711" s="56" t="s">
        <v>55</v>
      </c>
      <c r="AK711" s="56" t="s">
        <v>55</v>
      </c>
      <c r="AL711" s="56" t="s">
        <v>55</v>
      </c>
      <c r="AM711" s="56" t="s">
        <v>55</v>
      </c>
      <c r="AN711" s="56" t="s">
        <v>55</v>
      </c>
      <c r="AO711" s="56" t="s">
        <v>55</v>
      </c>
      <c r="AP711" s="56" t="s">
        <v>55</v>
      </c>
      <c r="AQ711" s="56" t="s">
        <v>55</v>
      </c>
      <c r="AR711" s="56" t="s">
        <v>55</v>
      </c>
      <c r="AT711" s="50" t="str">
        <f>IF(ISERROR(AT702/T702),"n.a.",AT702/T702-1)</f>
        <v>n.a.</v>
      </c>
      <c r="AU711" s="50" t="str">
        <f>IF(ISERROR(AU702/AT702),"n.a.",AU702/AT702-1)</f>
        <v>n.a.</v>
      </c>
      <c r="AV711" s="50" t="str">
        <f>IF(ISERROR(AV702/AU702),"n.a.",AV702/AU702-1)</f>
        <v>n.a.</v>
      </c>
      <c r="AW711" s="50" t="str">
        <f>IF(ISERROR(AW702/AV702),"n.a.",AW702/AV702-1)</f>
        <v>n.a.</v>
      </c>
      <c r="AX711" s="50" t="str">
        <f t="shared" ref="AX711:BB711" si="6148">IF(ISERROR(AX702/AW702),"n.a.",AX702/AW702-1)</f>
        <v>n.a.</v>
      </c>
      <c r="AY711" s="50" t="str">
        <f t="shared" si="6148"/>
        <v>n.a.</v>
      </c>
      <c r="AZ711" s="50" t="str">
        <f t="shared" si="6148"/>
        <v>n.a.</v>
      </c>
      <c r="BA711" s="50" t="str">
        <f t="shared" si="6148"/>
        <v>n.a.</v>
      </c>
      <c r="BB711" s="50" t="str">
        <f t="shared" si="6148"/>
        <v>n.a.</v>
      </c>
      <c r="BC711" s="50" t="str">
        <f t="shared" ref="BC711" si="6149">IF(ISERROR(BC702/BB702),"n.a.",BC702/BB702-1)</f>
        <v>n.a.</v>
      </c>
      <c r="BD711" s="50" t="str">
        <f t="shared" ref="BD711" si="6150">IF(ISERROR(BD702/BC702),"n.a.",BD702/BC702-1)</f>
        <v>n.a.</v>
      </c>
      <c r="BE711" s="50" t="str">
        <f t="shared" ref="BE711" si="6151">IF(ISERROR(BE702/BD702),"n.a.",BE702/BD702-1)</f>
        <v>n.a.</v>
      </c>
      <c r="BF711" s="50" t="str">
        <f t="shared" ref="BF711" si="6152">IF(ISERROR(BF702/BE702),"n.a.",BF702/BE702-1)</f>
        <v>n.a.</v>
      </c>
      <c r="BG711" s="50" t="str">
        <f t="shared" ref="BG711" si="6153">IF(ISERROR(BG702/BF702),"n.a.",BG702/BF702-1)</f>
        <v>n.a.</v>
      </c>
      <c r="BH711" s="50" t="str">
        <f t="shared" ref="BH711" si="6154">IF(ISERROR(BH702/BG702),"n.a.",BH702/BG702-1)</f>
        <v>n.a.</v>
      </c>
      <c r="BI711" s="51" t="str">
        <f>IF(ISERROR(BI702/#REF!),"n.a.",BI702/#REF!-1)</f>
        <v>n.a.</v>
      </c>
      <c r="BJ711" s="50" t="str">
        <f>IF(ISERROR(BJ702/#REF!),"n.a.",BJ702/#REF!-1)</f>
        <v>n.a.</v>
      </c>
      <c r="BK711" s="50" t="str">
        <f>IF(ISERROR(BK702/#REF!),"n.a.",BK702/#REF!-1)</f>
        <v>n.a.</v>
      </c>
      <c r="BL711" s="50" t="str">
        <f>IF(ISERROR(BL702/#REF!),"n.a.",BL702/#REF!-1)</f>
        <v>n.a.</v>
      </c>
      <c r="BM711" s="50" t="str">
        <f>IF(ISERROR(BM702/#REF!),"n.a.",BM702/#REF!-1)</f>
        <v>n.a.</v>
      </c>
      <c r="BN711" s="50" t="str">
        <f>IF(ISERROR(BN702/#REF!),"n.a.",BN702/#REF!-1)</f>
        <v>n.a.</v>
      </c>
    </row>
    <row r="712" spans="1:66" ht="12" hidden="1" customHeight="1" outlineLevel="2">
      <c r="B712" s="1" t="s">
        <v>61</v>
      </c>
      <c r="C712" s="50" t="str">
        <f>IF(ISERROR(C705/B705),"n.a.",C705/B705-1)</f>
        <v>n.a.</v>
      </c>
      <c r="D712" s="50" t="str">
        <f>IF(ISERROR(D705/C705),"n.a.",D705/C705-1)</f>
        <v>n.a.</v>
      </c>
      <c r="E712" s="50" t="str">
        <f t="shared" ref="E712:M712" si="6155">IF(ISERROR(E705/D705),"n.a.",E705/D705-1)</f>
        <v>n.a.</v>
      </c>
      <c r="F712" s="50" t="str">
        <f t="shared" si="6155"/>
        <v>n.a.</v>
      </c>
      <c r="G712" s="50" t="str">
        <f t="shared" si="6155"/>
        <v>n.a.</v>
      </c>
      <c r="H712" s="50" t="str">
        <f t="shared" si="6155"/>
        <v>n.a.</v>
      </c>
      <c r="I712" s="50" t="str">
        <f t="shared" si="6155"/>
        <v>n.a.</v>
      </c>
      <c r="J712" s="50" t="str">
        <f t="shared" si="6155"/>
        <v>n.a.</v>
      </c>
      <c r="K712" s="50" t="str">
        <f t="shared" si="6155"/>
        <v>n.a.</v>
      </c>
      <c r="L712" s="50" t="str">
        <f t="shared" si="6155"/>
        <v>n.a.</v>
      </c>
      <c r="M712" s="69" t="str">
        <f t="shared" si="6155"/>
        <v>n.a.</v>
      </c>
      <c r="N712" s="69" t="str">
        <f t="shared" ref="N712" si="6156">IF(ISERROR(N705/M705),"n.a.",N705/M705-1)</f>
        <v>n.a.</v>
      </c>
      <c r="O712" s="69" t="str">
        <f t="shared" ref="O712:AD712" si="6157">IF(ISERROR(O705/N705),"n.a.",O705/N705-1)</f>
        <v>n.a.</v>
      </c>
      <c r="P712" s="69" t="str">
        <f t="shared" si="6157"/>
        <v>n.a.</v>
      </c>
      <c r="Q712" s="69" t="str">
        <f t="shared" si="6157"/>
        <v>n.a.</v>
      </c>
      <c r="R712" s="69" t="str">
        <f t="shared" si="6157"/>
        <v>n.a.</v>
      </c>
      <c r="S712" s="69" t="str">
        <f t="shared" si="6157"/>
        <v>n.a.</v>
      </c>
      <c r="T712" s="69" t="str">
        <f t="shared" si="6157"/>
        <v>n.a.</v>
      </c>
      <c r="U712" s="69" t="str">
        <f t="shared" si="6157"/>
        <v>n.a.</v>
      </c>
      <c r="V712" s="69" t="str">
        <f t="shared" si="6157"/>
        <v>n.a.</v>
      </c>
      <c r="W712" s="69" t="str">
        <f t="shared" si="6157"/>
        <v>n.a.</v>
      </c>
      <c r="X712" s="69" t="str">
        <f t="shared" si="6157"/>
        <v>n.a.</v>
      </c>
      <c r="Y712" s="69" t="str">
        <f t="shared" si="6157"/>
        <v>n.a.</v>
      </c>
      <c r="Z712" s="69" t="str">
        <f t="shared" si="6157"/>
        <v>n.a.</v>
      </c>
      <c r="AA712" s="69" t="str">
        <f t="shared" si="6157"/>
        <v>n.a.</v>
      </c>
      <c r="AB712" s="69" t="str">
        <f t="shared" si="6157"/>
        <v>n.a.</v>
      </c>
      <c r="AC712" s="69" t="str">
        <f t="shared" si="6157"/>
        <v>n.a.</v>
      </c>
      <c r="AD712" s="69" t="str">
        <f t="shared" si="6157"/>
        <v>n.a.</v>
      </c>
      <c r="AE712" s="69" t="str">
        <f t="shared" ref="AE712" si="6158">IF(ISERROR(AE705/AD705),"n.a.",AE705/AD705-1)</f>
        <v>n.a.</v>
      </c>
      <c r="AF712" s="69" t="str">
        <f t="shared" ref="AF712:AH712" si="6159">IF(ISERROR(AF705/AE705),"n.a.",AF705/AE705-1)</f>
        <v>n.a.</v>
      </c>
      <c r="AG712" s="69" t="str">
        <f t="shared" si="6159"/>
        <v>n.a.</v>
      </c>
      <c r="AH712" s="69" t="str">
        <f t="shared" si="6159"/>
        <v>n.a.</v>
      </c>
      <c r="AI712" s="89" t="s">
        <v>55</v>
      </c>
      <c r="AJ712" s="56" t="s">
        <v>55</v>
      </c>
      <c r="AK712" s="56" t="s">
        <v>55</v>
      </c>
      <c r="AL712" s="56" t="s">
        <v>55</v>
      </c>
      <c r="AM712" s="56" t="s">
        <v>55</v>
      </c>
      <c r="AN712" s="56" t="s">
        <v>55</v>
      </c>
      <c r="AO712" s="56" t="s">
        <v>55</v>
      </c>
      <c r="AP712" s="56" t="s">
        <v>55</v>
      </c>
      <c r="AQ712" s="56" t="s">
        <v>55</v>
      </c>
      <c r="AR712" s="56" t="s">
        <v>55</v>
      </c>
      <c r="AT712" s="50" t="str">
        <f>IF(ISERROR(AT705/T705),"n.a.",AT705/T705-1)</f>
        <v>n.a.</v>
      </c>
      <c r="AU712" s="50" t="str">
        <f>IF(ISERROR(AU705/AT705),"n.a.",AU705/AT705-1)</f>
        <v>n.a.</v>
      </c>
      <c r="AV712" s="50" t="str">
        <f>IF(ISERROR(AV705/AU705),"n.a.",AV705/AU705-1)</f>
        <v>n.a.</v>
      </c>
      <c r="AW712" s="50" t="str">
        <f>IF(ISERROR(AW705/AV705),"n.a.",AW705/AV705-1)</f>
        <v>n.a.</v>
      </c>
      <c r="AX712" s="50" t="str">
        <f t="shared" ref="AX712:BB712" si="6160">IF(ISERROR(AX705/AW705),"n.a.",AX705/AW705-1)</f>
        <v>n.a.</v>
      </c>
      <c r="AY712" s="50" t="str">
        <f t="shared" si="6160"/>
        <v>n.a.</v>
      </c>
      <c r="AZ712" s="50" t="str">
        <f t="shared" si="6160"/>
        <v>n.a.</v>
      </c>
      <c r="BA712" s="50" t="str">
        <f t="shared" si="6160"/>
        <v>n.a.</v>
      </c>
      <c r="BB712" s="50" t="str">
        <f t="shared" si="6160"/>
        <v>n.a.</v>
      </c>
      <c r="BC712" s="50" t="str">
        <f t="shared" ref="BC712" si="6161">IF(ISERROR(BC705/BB705),"n.a.",BC705/BB705-1)</f>
        <v>n.a.</v>
      </c>
      <c r="BD712" s="50" t="str">
        <f t="shared" ref="BD712" si="6162">IF(ISERROR(BD705/BC705),"n.a.",BD705/BC705-1)</f>
        <v>n.a.</v>
      </c>
      <c r="BE712" s="50" t="str">
        <f t="shared" ref="BE712" si="6163">IF(ISERROR(BE705/BD705),"n.a.",BE705/BD705-1)</f>
        <v>n.a.</v>
      </c>
      <c r="BF712" s="50" t="str">
        <f t="shared" ref="BF712" si="6164">IF(ISERROR(BF705/BE705),"n.a.",BF705/BE705-1)</f>
        <v>n.a.</v>
      </c>
      <c r="BG712" s="50" t="str">
        <f t="shared" ref="BG712" si="6165">IF(ISERROR(BG705/BF705),"n.a.",BG705/BF705-1)</f>
        <v>n.a.</v>
      </c>
      <c r="BH712" s="50" t="str">
        <f t="shared" ref="BH712" si="6166">IF(ISERROR(BH705/BG705),"n.a.",BH705/BG705-1)</f>
        <v>n.a.</v>
      </c>
      <c r="BI712" s="51" t="str">
        <f>IF(ISERROR(BI705/#REF!),"n.a.",BI705/#REF!-1)</f>
        <v>n.a.</v>
      </c>
      <c r="BJ712" s="50" t="str">
        <f>IF(ISERROR(BJ705/#REF!),"n.a.",BJ705/#REF!-1)</f>
        <v>n.a.</v>
      </c>
      <c r="BK712" s="50" t="str">
        <f>IF(ISERROR(BK705/#REF!),"n.a.",BK705/#REF!-1)</f>
        <v>n.a.</v>
      </c>
      <c r="BL712" s="50" t="str">
        <f>IF(ISERROR(BL705/#REF!),"n.a.",BL705/#REF!-1)</f>
        <v>n.a.</v>
      </c>
      <c r="BM712" s="50" t="str">
        <f>IF(ISERROR(BM705/#REF!),"n.a.",BM705/#REF!-1)</f>
        <v>n.a.</v>
      </c>
      <c r="BN712" s="50" t="str">
        <f>IF(ISERROR(BN705/#REF!),"n.a.",BN705/#REF!-1)</f>
        <v>n.a.</v>
      </c>
    </row>
    <row r="713" spans="1:66" ht="12" hidden="1" customHeight="1" outlineLevel="2">
      <c r="B713" s="1" t="s">
        <v>75</v>
      </c>
      <c r="C713" s="37" t="str">
        <f t="shared" ref="C713:AD713" si="6167">IF(ISERROR(C667/AVERAGE(B702:C702)),"n.a.",C667*C$5/AVERAGE(B702:C702))</f>
        <v>n.a.</v>
      </c>
      <c r="D713" s="37" t="str">
        <f t="shared" si="6167"/>
        <v>n.a.</v>
      </c>
      <c r="E713" s="37" t="str">
        <f t="shared" si="6167"/>
        <v>n.a.</v>
      </c>
      <c r="F713" s="37" t="str">
        <f t="shared" si="6167"/>
        <v>n.a.</v>
      </c>
      <c r="G713" s="37" t="str">
        <f t="shared" si="6167"/>
        <v>n.a.</v>
      </c>
      <c r="H713" s="37" t="str">
        <f t="shared" si="6167"/>
        <v>n.a.</v>
      </c>
      <c r="I713" s="37" t="str">
        <f t="shared" si="6167"/>
        <v>n.a.</v>
      </c>
      <c r="J713" s="37" t="str">
        <f t="shared" si="6167"/>
        <v>n.a.</v>
      </c>
      <c r="K713" s="37" t="str">
        <f t="shared" si="6167"/>
        <v>n.a.</v>
      </c>
      <c r="L713" s="37" t="str">
        <f t="shared" si="6167"/>
        <v>n.a.</v>
      </c>
      <c r="M713" s="78" t="str">
        <f t="shared" si="6167"/>
        <v>n.a.</v>
      </c>
      <c r="N713" s="78" t="str">
        <f t="shared" si="6167"/>
        <v>n.a.</v>
      </c>
      <c r="O713" s="78" t="str">
        <f t="shared" si="6167"/>
        <v>n.a.</v>
      </c>
      <c r="P713" s="78" t="str">
        <f t="shared" si="6167"/>
        <v>n.a.</v>
      </c>
      <c r="Q713" s="78" t="str">
        <f t="shared" si="6167"/>
        <v>n.a.</v>
      </c>
      <c r="R713" s="78" t="str">
        <f t="shared" si="6167"/>
        <v>n.a.</v>
      </c>
      <c r="S713" s="78" t="str">
        <f t="shared" si="6167"/>
        <v>n.a.</v>
      </c>
      <c r="T713" s="78" t="str">
        <f t="shared" si="6167"/>
        <v>n.a.</v>
      </c>
      <c r="U713" s="78" t="str">
        <f t="shared" si="6167"/>
        <v>n.a.</v>
      </c>
      <c r="V713" s="78" t="str">
        <f t="shared" si="6167"/>
        <v>n.a.</v>
      </c>
      <c r="W713" s="78" t="str">
        <f t="shared" si="6167"/>
        <v>n.a.</v>
      </c>
      <c r="X713" s="78" t="str">
        <f t="shared" si="6167"/>
        <v>n.a.</v>
      </c>
      <c r="Y713" s="78" t="str">
        <f t="shared" si="6167"/>
        <v>n.a.</v>
      </c>
      <c r="Z713" s="78" t="str">
        <f t="shared" si="6167"/>
        <v>n.a.</v>
      </c>
      <c r="AA713" s="78" t="str">
        <f t="shared" si="6167"/>
        <v>n.a.</v>
      </c>
      <c r="AB713" s="78" t="str">
        <f t="shared" si="6167"/>
        <v>n.a.</v>
      </c>
      <c r="AC713" s="78" t="str">
        <f t="shared" si="6167"/>
        <v>n.a.</v>
      </c>
      <c r="AD713" s="78" t="str">
        <f t="shared" si="6167"/>
        <v>n.a.</v>
      </c>
      <c r="AE713" s="78" t="str">
        <f t="shared" ref="AE713" si="6168">IF(ISERROR(AE667/AVERAGE(AD702:AE702)),"n.a.",AE667*AE$5/AVERAGE(AD702:AE702))</f>
        <v>n.a.</v>
      </c>
      <c r="AF713" s="78" t="str">
        <f t="shared" ref="AF713:AH713" si="6169">IF(ISERROR(AF667/AVERAGE(AE702:AF702)),"n.a.",AF667*AF$5/AVERAGE(AE702:AF702))</f>
        <v>n.a.</v>
      </c>
      <c r="AG713" s="78" t="str">
        <f t="shared" si="6169"/>
        <v>n.a.</v>
      </c>
      <c r="AH713" s="78" t="str">
        <f t="shared" si="6169"/>
        <v>n.a.</v>
      </c>
      <c r="AI713" s="88" t="s">
        <v>55</v>
      </c>
      <c r="AJ713" s="66" t="s">
        <v>55</v>
      </c>
      <c r="AK713" s="66" t="s">
        <v>55</v>
      </c>
      <c r="AL713" s="66" t="s">
        <v>55</v>
      </c>
      <c r="AM713" s="66" t="s">
        <v>55</v>
      </c>
      <c r="AN713" s="66" t="s">
        <v>55</v>
      </c>
      <c r="AO713" s="66" t="s">
        <v>55</v>
      </c>
      <c r="AP713" s="66" t="s">
        <v>55</v>
      </c>
      <c r="AQ713" s="66" t="s">
        <v>55</v>
      </c>
      <c r="AR713" s="66" t="s">
        <v>55</v>
      </c>
      <c r="AT713" s="37" t="str">
        <f>IF(ISERROR(AT667/AVERAGE(T702:AT702)),"n.a.",AT667*AT$5/AVERAGE(T702:AT702))</f>
        <v>n.a.</v>
      </c>
      <c r="AU713" s="37" t="str">
        <f t="shared" ref="AU713:BH713" si="6170">IF(ISERROR(AU667/AVERAGE(AT702:AU702)),"n.a.",AU667*AU$5/AVERAGE(AT702:AU702))</f>
        <v>n.a.</v>
      </c>
      <c r="AV713" s="37" t="str">
        <f t="shared" si="6170"/>
        <v>n.a.</v>
      </c>
      <c r="AW713" s="37" t="str">
        <f t="shared" si="6170"/>
        <v>n.a.</v>
      </c>
      <c r="AX713" s="37" t="str">
        <f t="shared" si="6170"/>
        <v>n.a.</v>
      </c>
      <c r="AY713" s="37" t="str">
        <f t="shared" si="6170"/>
        <v>n.a.</v>
      </c>
      <c r="AZ713" s="37" t="str">
        <f t="shared" si="6170"/>
        <v>n.a.</v>
      </c>
      <c r="BA713" s="37" t="str">
        <f t="shared" si="6170"/>
        <v>n.a.</v>
      </c>
      <c r="BB713" s="37" t="str">
        <f t="shared" si="6170"/>
        <v>n.a.</v>
      </c>
      <c r="BC713" s="37" t="str">
        <f t="shared" si="6170"/>
        <v>n.a.</v>
      </c>
      <c r="BD713" s="37" t="str">
        <f t="shared" si="6170"/>
        <v>n.a.</v>
      </c>
      <c r="BE713" s="37" t="str">
        <f t="shared" si="6170"/>
        <v>n.a.</v>
      </c>
      <c r="BF713" s="37" t="str">
        <f t="shared" si="6170"/>
        <v>n.a.</v>
      </c>
      <c r="BG713" s="37" t="str">
        <f t="shared" si="6170"/>
        <v>n.a.</v>
      </c>
      <c r="BH713" s="37" t="str">
        <f t="shared" si="6170"/>
        <v>n.a.</v>
      </c>
      <c r="BI713" s="38" t="str">
        <f>IF(ISERROR(BI667/AVERAGE(BI702:BI702)),"n.a.",BI667*BI$5/AVERAGE(BI702:BI702))</f>
        <v>n.a.</v>
      </c>
      <c r="BJ713" s="37" t="str">
        <f>IF(ISERROR(BJ667/AVERAGE(BJ702:BJ702)),"n.a.",BJ667*BJ$5/AVERAGE(BJ702:BJ702))</f>
        <v>n.a.</v>
      </c>
      <c r="BK713" s="37" t="str">
        <f>IF(ISERROR(BK667/AVERAGE(BK702:BK702)),"n.a.",BK667*BK$5/AVERAGE(BK702:BK702))</f>
        <v>n.a.</v>
      </c>
      <c r="BL713" s="37" t="str">
        <f>IF(ISERROR(BL667/AVERAGE(BL702:BL702)),"n.a.",BL667*BL$5/AVERAGE(BL702:BL702))</f>
        <v>n.a.</v>
      </c>
      <c r="BM713" s="37" t="str">
        <f>IF(ISERROR(BM667/AVERAGE(BM702:BM702)),"n.a.",BM667*BM$5/AVERAGE(BM702:BM702))</f>
        <v>n.a.</v>
      </c>
      <c r="BN713" s="37" t="str">
        <f>IF(ISERROR(BN667/AVERAGE(BN702:BN702)),"n.a.",BN667*BO$5/AVERAGE(BN702:BN702))</f>
        <v>n.a.</v>
      </c>
    </row>
    <row r="714" spans="1:66" ht="12" hidden="1" customHeight="1" outlineLevel="2">
      <c r="B714" s="1" t="s">
        <v>76</v>
      </c>
      <c r="C714" s="37" t="str">
        <f t="shared" ref="C714:AD714" si="6171">IF(ISERROR(C668/AVERAGE(B705:C705)),"n.a.",C668*C$5/AVERAGE(B705:C705))</f>
        <v>n.a.</v>
      </c>
      <c r="D714" s="37" t="str">
        <f t="shared" si="6171"/>
        <v>n.a.</v>
      </c>
      <c r="E714" s="37" t="str">
        <f t="shared" si="6171"/>
        <v>n.a.</v>
      </c>
      <c r="F714" s="37" t="str">
        <f t="shared" si="6171"/>
        <v>n.a.</v>
      </c>
      <c r="G714" s="37" t="str">
        <f t="shared" si="6171"/>
        <v>n.a.</v>
      </c>
      <c r="H714" s="37" t="str">
        <f t="shared" si="6171"/>
        <v>n.a.</v>
      </c>
      <c r="I714" s="37" t="str">
        <f t="shared" si="6171"/>
        <v>n.a.</v>
      </c>
      <c r="J714" s="37" t="str">
        <f t="shared" si="6171"/>
        <v>n.a.</v>
      </c>
      <c r="K714" s="37" t="str">
        <f t="shared" si="6171"/>
        <v>n.a.</v>
      </c>
      <c r="L714" s="37" t="str">
        <f t="shared" si="6171"/>
        <v>n.a.</v>
      </c>
      <c r="M714" s="78" t="str">
        <f t="shared" si="6171"/>
        <v>n.a.</v>
      </c>
      <c r="N714" s="78" t="str">
        <f t="shared" si="6171"/>
        <v>n.a.</v>
      </c>
      <c r="O714" s="78" t="str">
        <f t="shared" si="6171"/>
        <v>n.a.</v>
      </c>
      <c r="P714" s="78" t="str">
        <f t="shared" si="6171"/>
        <v>n.a.</v>
      </c>
      <c r="Q714" s="78" t="str">
        <f t="shared" si="6171"/>
        <v>n.a.</v>
      </c>
      <c r="R714" s="78" t="str">
        <f t="shared" si="6171"/>
        <v>n.a.</v>
      </c>
      <c r="S714" s="78" t="str">
        <f t="shared" si="6171"/>
        <v>n.a.</v>
      </c>
      <c r="T714" s="78" t="str">
        <f t="shared" si="6171"/>
        <v>n.a.</v>
      </c>
      <c r="U714" s="78" t="str">
        <f t="shared" si="6171"/>
        <v>n.a.</v>
      </c>
      <c r="V714" s="78" t="str">
        <f t="shared" si="6171"/>
        <v>n.a.</v>
      </c>
      <c r="W714" s="78" t="str">
        <f t="shared" si="6171"/>
        <v>n.a.</v>
      </c>
      <c r="X714" s="78" t="str">
        <f t="shared" si="6171"/>
        <v>n.a.</v>
      </c>
      <c r="Y714" s="78" t="str">
        <f t="shared" si="6171"/>
        <v>n.a.</v>
      </c>
      <c r="Z714" s="78" t="str">
        <f t="shared" si="6171"/>
        <v>n.a.</v>
      </c>
      <c r="AA714" s="78" t="str">
        <f t="shared" si="6171"/>
        <v>n.a.</v>
      </c>
      <c r="AB714" s="78" t="str">
        <f t="shared" si="6171"/>
        <v>n.a.</v>
      </c>
      <c r="AC714" s="78" t="str">
        <f t="shared" si="6171"/>
        <v>n.a.</v>
      </c>
      <c r="AD714" s="78" t="str">
        <f t="shared" si="6171"/>
        <v>n.a.</v>
      </c>
      <c r="AE714" s="78" t="str">
        <f t="shared" ref="AE714" si="6172">IF(ISERROR(AE668/AVERAGE(AD705:AE705)),"n.a.",AE668*AE$5/AVERAGE(AD705:AE705))</f>
        <v>n.a.</v>
      </c>
      <c r="AF714" s="78" t="str">
        <f t="shared" ref="AF714:AH714" si="6173">IF(ISERROR(AF668/AVERAGE(AE705:AF705)),"n.a.",AF668*AF$5/AVERAGE(AE705:AF705))</f>
        <v>n.a.</v>
      </c>
      <c r="AG714" s="78" t="str">
        <f t="shared" si="6173"/>
        <v>n.a.</v>
      </c>
      <c r="AH714" s="78" t="str">
        <f t="shared" si="6173"/>
        <v>n.a.</v>
      </c>
      <c r="AI714" s="88" t="s">
        <v>55</v>
      </c>
      <c r="AJ714" s="66" t="s">
        <v>55</v>
      </c>
      <c r="AK714" s="66" t="s">
        <v>55</v>
      </c>
      <c r="AL714" s="66" t="s">
        <v>55</v>
      </c>
      <c r="AM714" s="66" t="s">
        <v>55</v>
      </c>
      <c r="AN714" s="66" t="s">
        <v>55</v>
      </c>
      <c r="AO714" s="66" t="s">
        <v>55</v>
      </c>
      <c r="AP714" s="66" t="s">
        <v>55</v>
      </c>
      <c r="AQ714" s="66" t="s">
        <v>55</v>
      </c>
      <c r="AR714" s="66" t="s">
        <v>55</v>
      </c>
      <c r="AT714" s="37" t="str">
        <f>IF(ISERROR(AT668/AVERAGE(T705:AT705)),"n.a.",AT668*AT$5/AVERAGE(T705:AT705))</f>
        <v>n.a.</v>
      </c>
      <c r="AU714" s="37" t="str">
        <f t="shared" ref="AU714:BH714" si="6174">IF(ISERROR(AU668/AVERAGE(AT705:AU705)),"n.a.",AU668*AU$5/AVERAGE(AT705:AU705))</f>
        <v>n.a.</v>
      </c>
      <c r="AV714" s="37" t="str">
        <f t="shared" si="6174"/>
        <v>n.a.</v>
      </c>
      <c r="AW714" s="37" t="str">
        <f t="shared" si="6174"/>
        <v>n.a.</v>
      </c>
      <c r="AX714" s="37" t="str">
        <f t="shared" si="6174"/>
        <v>n.a.</v>
      </c>
      <c r="AY714" s="37" t="str">
        <f t="shared" si="6174"/>
        <v>n.a.</v>
      </c>
      <c r="AZ714" s="37" t="str">
        <f t="shared" si="6174"/>
        <v>n.a.</v>
      </c>
      <c r="BA714" s="37" t="str">
        <f t="shared" si="6174"/>
        <v>n.a.</v>
      </c>
      <c r="BB714" s="37" t="str">
        <f t="shared" si="6174"/>
        <v>n.a.</v>
      </c>
      <c r="BC714" s="37" t="str">
        <f t="shared" si="6174"/>
        <v>n.a.</v>
      </c>
      <c r="BD714" s="37" t="str">
        <f t="shared" si="6174"/>
        <v>n.a.</v>
      </c>
      <c r="BE714" s="37" t="str">
        <f t="shared" si="6174"/>
        <v>n.a.</v>
      </c>
      <c r="BF714" s="37" t="str">
        <f t="shared" si="6174"/>
        <v>n.a.</v>
      </c>
      <c r="BG714" s="37" t="str">
        <f t="shared" si="6174"/>
        <v>n.a.</v>
      </c>
      <c r="BH714" s="37" t="str">
        <f t="shared" si="6174"/>
        <v>n.a.</v>
      </c>
      <c r="BI714" s="38" t="str">
        <f>IF(ISERROR(BI668/AVERAGE(BI705:BI705)),"n.a.",BI668*BI$5/AVERAGE(BI705:BI705))</f>
        <v>n.a.</v>
      </c>
      <c r="BJ714" s="37" t="str">
        <f>IF(ISERROR(BJ668/AVERAGE(BJ705:BJ705)),"n.a.",BJ668*BJ$5/AVERAGE(BJ705:BJ705))</f>
        <v>n.a.</v>
      </c>
      <c r="BK714" s="37" t="str">
        <f>IF(ISERROR(BK668/AVERAGE(BK705:BK705)),"n.a.",BK668*BK$5/AVERAGE(BK705:BK705))</f>
        <v>n.a.</v>
      </c>
      <c r="BL714" s="37" t="str">
        <f>IF(ISERROR(BL668/AVERAGE(BL705:BL705)),"n.a.",BL668*BL$5/AVERAGE(BL705:BL705))</f>
        <v>n.a.</v>
      </c>
      <c r="BM714" s="37" t="str">
        <f>IF(ISERROR(BM668/AVERAGE(BM705:BM705)),"n.a.",BM668*BM$5/AVERAGE(BM705:BM705))</f>
        <v>n.a.</v>
      </c>
      <c r="BN714" s="37" t="str">
        <f>IF(ISERROR(BN668/AVERAGE(BN705:BN705)),"n.a.",BN668*BO$5/AVERAGE(BN705:BN705))</f>
        <v>n.a.</v>
      </c>
    </row>
    <row r="715" spans="1:66" ht="12" hidden="1" customHeight="1" outlineLevel="2">
      <c r="B715" s="1" t="s">
        <v>62</v>
      </c>
      <c r="C715" s="50" t="str">
        <f t="shared" ref="C715:AD715" si="6175">IF(ISERROR(C671/B671),"n.a.",C671/B671-1)</f>
        <v>n.a.</v>
      </c>
      <c r="D715" s="50" t="str">
        <f t="shared" si="6175"/>
        <v>n.a.</v>
      </c>
      <c r="E715" s="50" t="str">
        <f t="shared" si="6175"/>
        <v>n.a.</v>
      </c>
      <c r="F715" s="50" t="str">
        <f t="shared" si="6175"/>
        <v>n.a.</v>
      </c>
      <c r="G715" s="50" t="str">
        <f t="shared" si="6175"/>
        <v>n.a.</v>
      </c>
      <c r="H715" s="50" t="str">
        <f t="shared" si="6175"/>
        <v>n.a.</v>
      </c>
      <c r="I715" s="50" t="str">
        <f t="shared" si="6175"/>
        <v>n.a.</v>
      </c>
      <c r="J715" s="50" t="str">
        <f t="shared" si="6175"/>
        <v>n.a.</v>
      </c>
      <c r="K715" s="50" t="str">
        <f t="shared" si="6175"/>
        <v>n.a.</v>
      </c>
      <c r="L715" s="50" t="str">
        <f t="shared" si="6175"/>
        <v>n.a.</v>
      </c>
      <c r="M715" s="69" t="str">
        <f t="shared" si="6175"/>
        <v>n.a.</v>
      </c>
      <c r="N715" s="69" t="str">
        <f t="shared" si="6175"/>
        <v>n.a.</v>
      </c>
      <c r="O715" s="69" t="str">
        <f t="shared" si="6175"/>
        <v>n.a.</v>
      </c>
      <c r="P715" s="69" t="str">
        <f t="shared" si="6175"/>
        <v>n.a.</v>
      </c>
      <c r="Q715" s="69" t="str">
        <f t="shared" si="6175"/>
        <v>n.a.</v>
      </c>
      <c r="R715" s="69" t="str">
        <f t="shared" si="6175"/>
        <v>n.a.</v>
      </c>
      <c r="S715" s="69" t="str">
        <f t="shared" si="6175"/>
        <v>n.a.</v>
      </c>
      <c r="T715" s="69" t="str">
        <f t="shared" si="6175"/>
        <v>n.a.</v>
      </c>
      <c r="U715" s="69" t="str">
        <f t="shared" si="6175"/>
        <v>n.a.</v>
      </c>
      <c r="V715" s="69" t="str">
        <f t="shared" si="6175"/>
        <v>n.a.</v>
      </c>
      <c r="W715" s="69" t="str">
        <f t="shared" si="6175"/>
        <v>n.a.</v>
      </c>
      <c r="X715" s="69" t="str">
        <f t="shared" si="6175"/>
        <v>n.a.</v>
      </c>
      <c r="Y715" s="69" t="str">
        <f t="shared" si="6175"/>
        <v>n.a.</v>
      </c>
      <c r="Z715" s="69" t="str">
        <f t="shared" si="6175"/>
        <v>n.a.</v>
      </c>
      <c r="AA715" s="69" t="str">
        <f t="shared" si="6175"/>
        <v>n.a.</v>
      </c>
      <c r="AB715" s="69" t="str">
        <f t="shared" si="6175"/>
        <v>n.a.</v>
      </c>
      <c r="AC715" s="69" t="str">
        <f t="shared" si="6175"/>
        <v>n.a.</v>
      </c>
      <c r="AD715" s="69" t="str">
        <f t="shared" si="6175"/>
        <v>n.a.</v>
      </c>
      <c r="AE715" s="69" t="str">
        <f t="shared" ref="AE715:AH717" si="6176">IF(ISERROR(AE671/AD671),"n.a.",AE671/AD671-1)</f>
        <v>n.a.</v>
      </c>
      <c r="AF715" s="69" t="str">
        <f t="shared" si="6176"/>
        <v>n.a.</v>
      </c>
      <c r="AG715" s="69" t="str">
        <f t="shared" si="6176"/>
        <v>n.a.</v>
      </c>
      <c r="AH715" s="69" t="str">
        <f t="shared" si="6176"/>
        <v>n.a.</v>
      </c>
      <c r="AI715" s="89" t="s">
        <v>55</v>
      </c>
      <c r="AJ715" s="56" t="s">
        <v>55</v>
      </c>
      <c r="AK715" s="56" t="s">
        <v>55</v>
      </c>
      <c r="AL715" s="56" t="s">
        <v>55</v>
      </c>
      <c r="AM715" s="56" t="s">
        <v>55</v>
      </c>
      <c r="AN715" s="56" t="s">
        <v>55</v>
      </c>
      <c r="AO715" s="56" t="s">
        <v>55</v>
      </c>
      <c r="AP715" s="56" t="s">
        <v>55</v>
      </c>
      <c r="AQ715" s="56" t="s">
        <v>55</v>
      </c>
      <c r="AR715" s="56" t="s">
        <v>55</v>
      </c>
      <c r="AT715" s="50" t="str">
        <f>IF(ISERROR(AT671/T671),"n.a.",AT671/T671-1)</f>
        <v>n.a.</v>
      </c>
      <c r="AU715" s="50" t="str">
        <f t="shared" ref="AU715:BB715" si="6177">IF(ISERROR(AU671/AT671),"n.a.",AU671/AT671-1)</f>
        <v>n.a.</v>
      </c>
      <c r="AV715" s="50" t="str">
        <f t="shared" si="6177"/>
        <v>n.a.</v>
      </c>
      <c r="AW715" s="50" t="str">
        <f t="shared" si="6177"/>
        <v>n.a.</v>
      </c>
      <c r="AX715" s="50" t="str">
        <f t="shared" si="6177"/>
        <v>n.a.</v>
      </c>
      <c r="AY715" s="50" t="str">
        <f t="shared" si="6177"/>
        <v>n.a.</v>
      </c>
      <c r="AZ715" s="50" t="str">
        <f t="shared" si="6177"/>
        <v>n.a.</v>
      </c>
      <c r="BA715" s="50" t="str">
        <f t="shared" si="6177"/>
        <v>n.a.</v>
      </c>
      <c r="BB715" s="50" t="str">
        <f t="shared" si="6177"/>
        <v>n.a.</v>
      </c>
      <c r="BC715" s="50" t="str">
        <f t="shared" ref="BC715:BH717" si="6178">IF(ISERROR(BC671/BB671),"n.a.",BC671/BB671-1)</f>
        <v>n.a.</v>
      </c>
      <c r="BD715" s="50" t="str">
        <f t="shared" si="6178"/>
        <v>n.a.</v>
      </c>
      <c r="BE715" s="50" t="str">
        <f t="shared" si="6178"/>
        <v>n.a.</v>
      </c>
      <c r="BF715" s="50" t="str">
        <f t="shared" si="6178"/>
        <v>n.a.</v>
      </c>
      <c r="BG715" s="50" t="str">
        <f t="shared" si="6178"/>
        <v>n.a.</v>
      </c>
      <c r="BH715" s="50" t="str">
        <f t="shared" si="6178"/>
        <v>n.a.</v>
      </c>
      <c r="BI715" s="51" t="str">
        <f>IF(ISERROR(BI671/#REF!),"n.a.",BI671/#REF!-1)</f>
        <v>n.a.</v>
      </c>
      <c r="BJ715" s="50" t="str">
        <f>IF(ISERROR(BJ671/#REF!),"n.a.",BJ671/#REF!-1)</f>
        <v>n.a.</v>
      </c>
      <c r="BK715" s="50" t="str">
        <f>IF(ISERROR(BK671/#REF!),"n.a.",BK671/#REF!-1)</f>
        <v>n.a.</v>
      </c>
      <c r="BL715" s="50" t="str">
        <f>IF(ISERROR(BL671/#REF!),"n.a.",BL671/#REF!-1)</f>
        <v>n.a.</v>
      </c>
      <c r="BM715" s="50" t="str">
        <f>IF(ISERROR(BM671/#REF!),"n.a.",BM671/#REF!-1)</f>
        <v>n.a.</v>
      </c>
      <c r="BN715" s="50" t="str">
        <f>IF(ISERROR(BN671/#REF!),"n.a.",BN671/#REF!-1)</f>
        <v>n.a.</v>
      </c>
    </row>
    <row r="716" spans="1:66" ht="12" hidden="1" customHeight="1" outlineLevel="2">
      <c r="B716" s="1" t="s">
        <v>63</v>
      </c>
      <c r="C716" s="50" t="str">
        <f t="shared" ref="C716:AD716" si="6179">IF(ISERROR(C672/B672),"n.a.",C672/B672-1)</f>
        <v>n.a.</v>
      </c>
      <c r="D716" s="50" t="str">
        <f t="shared" si="6179"/>
        <v>n.a.</v>
      </c>
      <c r="E716" s="50" t="str">
        <f t="shared" si="6179"/>
        <v>n.a.</v>
      </c>
      <c r="F716" s="50" t="str">
        <f t="shared" si="6179"/>
        <v>n.a.</v>
      </c>
      <c r="G716" s="50" t="str">
        <f t="shared" si="6179"/>
        <v>n.a.</v>
      </c>
      <c r="H716" s="50" t="str">
        <f t="shared" si="6179"/>
        <v>n.a.</v>
      </c>
      <c r="I716" s="50" t="str">
        <f t="shared" si="6179"/>
        <v>n.a.</v>
      </c>
      <c r="J716" s="50" t="str">
        <f t="shared" si="6179"/>
        <v>n.a.</v>
      </c>
      <c r="K716" s="50" t="str">
        <f t="shared" si="6179"/>
        <v>n.a.</v>
      </c>
      <c r="L716" s="50" t="str">
        <f t="shared" si="6179"/>
        <v>n.a.</v>
      </c>
      <c r="M716" s="69" t="str">
        <f t="shared" si="6179"/>
        <v>n.a.</v>
      </c>
      <c r="N716" s="69" t="str">
        <f t="shared" si="6179"/>
        <v>n.a.</v>
      </c>
      <c r="O716" s="69" t="str">
        <f t="shared" si="6179"/>
        <v>n.a.</v>
      </c>
      <c r="P716" s="69" t="str">
        <f t="shared" si="6179"/>
        <v>n.a.</v>
      </c>
      <c r="Q716" s="69" t="str">
        <f t="shared" si="6179"/>
        <v>n.a.</v>
      </c>
      <c r="R716" s="69" t="str">
        <f t="shared" si="6179"/>
        <v>n.a.</v>
      </c>
      <c r="S716" s="69" t="str">
        <f t="shared" si="6179"/>
        <v>n.a.</v>
      </c>
      <c r="T716" s="69" t="str">
        <f t="shared" si="6179"/>
        <v>n.a.</v>
      </c>
      <c r="U716" s="69" t="str">
        <f t="shared" si="6179"/>
        <v>n.a.</v>
      </c>
      <c r="V716" s="69" t="str">
        <f t="shared" si="6179"/>
        <v>n.a.</v>
      </c>
      <c r="W716" s="69" t="str">
        <f t="shared" si="6179"/>
        <v>n.a.</v>
      </c>
      <c r="X716" s="69" t="str">
        <f t="shared" si="6179"/>
        <v>n.a.</v>
      </c>
      <c r="Y716" s="69" t="str">
        <f t="shared" si="6179"/>
        <v>n.a.</v>
      </c>
      <c r="Z716" s="69" t="str">
        <f t="shared" si="6179"/>
        <v>n.a.</v>
      </c>
      <c r="AA716" s="69" t="str">
        <f t="shared" si="6179"/>
        <v>n.a.</v>
      </c>
      <c r="AB716" s="69" t="str">
        <f t="shared" si="6179"/>
        <v>n.a.</v>
      </c>
      <c r="AC716" s="69" t="str">
        <f t="shared" si="6179"/>
        <v>n.a.</v>
      </c>
      <c r="AD716" s="69" t="str">
        <f t="shared" si="6179"/>
        <v>n.a.</v>
      </c>
      <c r="AE716" s="69" t="str">
        <f t="shared" si="6176"/>
        <v>n.a.</v>
      </c>
      <c r="AF716" s="69" t="str">
        <f t="shared" si="6176"/>
        <v>n.a.</v>
      </c>
      <c r="AG716" s="69" t="str">
        <f t="shared" si="6176"/>
        <v>n.a.</v>
      </c>
      <c r="AH716" s="69" t="str">
        <f t="shared" si="6176"/>
        <v>n.a.</v>
      </c>
      <c r="AI716" s="89" t="s">
        <v>55</v>
      </c>
      <c r="AJ716" s="56" t="s">
        <v>55</v>
      </c>
      <c r="AK716" s="56" t="s">
        <v>55</v>
      </c>
      <c r="AL716" s="56" t="s">
        <v>55</v>
      </c>
      <c r="AM716" s="56" t="s">
        <v>55</v>
      </c>
      <c r="AN716" s="56" t="s">
        <v>55</v>
      </c>
      <c r="AO716" s="56" t="s">
        <v>55</v>
      </c>
      <c r="AP716" s="56" t="s">
        <v>55</v>
      </c>
      <c r="AQ716" s="56" t="s">
        <v>55</v>
      </c>
      <c r="AR716" s="56" t="s">
        <v>55</v>
      </c>
      <c r="AT716" s="50" t="str">
        <f>IF(ISERROR(AT672/T672),"n.a.",AT672/T672-1)</f>
        <v>n.a.</v>
      </c>
      <c r="AU716" s="50" t="str">
        <f t="shared" ref="AU716:BB716" si="6180">IF(ISERROR(AU672/AT672),"n.a.",AU672/AT672-1)</f>
        <v>n.a.</v>
      </c>
      <c r="AV716" s="50" t="str">
        <f t="shared" si="6180"/>
        <v>n.a.</v>
      </c>
      <c r="AW716" s="50" t="str">
        <f t="shared" si="6180"/>
        <v>n.a.</v>
      </c>
      <c r="AX716" s="50" t="str">
        <f t="shared" si="6180"/>
        <v>n.a.</v>
      </c>
      <c r="AY716" s="50" t="str">
        <f t="shared" si="6180"/>
        <v>n.a.</v>
      </c>
      <c r="AZ716" s="50" t="str">
        <f t="shared" si="6180"/>
        <v>n.a.</v>
      </c>
      <c r="BA716" s="50" t="str">
        <f t="shared" si="6180"/>
        <v>n.a.</v>
      </c>
      <c r="BB716" s="50" t="str">
        <f t="shared" si="6180"/>
        <v>n.a.</v>
      </c>
      <c r="BC716" s="50" t="str">
        <f t="shared" si="6178"/>
        <v>n.a.</v>
      </c>
      <c r="BD716" s="50" t="str">
        <f t="shared" si="6178"/>
        <v>n.a.</v>
      </c>
      <c r="BE716" s="50" t="str">
        <f t="shared" si="6178"/>
        <v>n.a.</v>
      </c>
      <c r="BF716" s="50" t="str">
        <f t="shared" si="6178"/>
        <v>n.a.</v>
      </c>
      <c r="BG716" s="50" t="str">
        <f t="shared" si="6178"/>
        <v>n.a.</v>
      </c>
      <c r="BH716" s="50" t="str">
        <f t="shared" si="6178"/>
        <v>n.a.</v>
      </c>
      <c r="BI716" s="51" t="str">
        <f>IF(ISERROR(BI672/#REF!),"n.a.",BI672/#REF!-1)</f>
        <v>n.a.</v>
      </c>
      <c r="BJ716" s="50" t="str">
        <f>IF(ISERROR(BJ672/#REF!),"n.a.",BJ672/#REF!-1)</f>
        <v>n.a.</v>
      </c>
      <c r="BK716" s="50" t="str">
        <f>IF(ISERROR(BK672/#REF!),"n.a.",BK672/#REF!-1)</f>
        <v>n.a.</v>
      </c>
      <c r="BL716" s="50" t="str">
        <f>IF(ISERROR(BL672/#REF!),"n.a.",BL672/#REF!-1)</f>
        <v>n.a.</v>
      </c>
      <c r="BM716" s="50" t="str">
        <f>IF(ISERROR(BM672/#REF!),"n.a.",BM672/#REF!-1)</f>
        <v>n.a.</v>
      </c>
      <c r="BN716" s="50" t="str">
        <f>IF(ISERROR(BN672/#REF!),"n.a.",BN672/#REF!-1)</f>
        <v>n.a.</v>
      </c>
    </row>
    <row r="717" spans="1:66" ht="12" hidden="1" customHeight="1" outlineLevel="2">
      <c r="B717" s="1" t="s">
        <v>64</v>
      </c>
      <c r="C717" s="50" t="str">
        <f t="shared" ref="C717:AD717" si="6181">IF(ISERROR(C673/B673),"n.a.",C673/B673-1)</f>
        <v>n.a.</v>
      </c>
      <c r="D717" s="50">
        <f t="shared" si="6181"/>
        <v>-0.85714285714285721</v>
      </c>
      <c r="E717" s="50">
        <f t="shared" si="6181"/>
        <v>15</v>
      </c>
      <c r="F717" s="50">
        <f t="shared" si="6181"/>
        <v>0.4375</v>
      </c>
      <c r="G717" s="50">
        <f t="shared" si="6181"/>
        <v>-0.34782608695652173</v>
      </c>
      <c r="H717" s="50">
        <f t="shared" si="6181"/>
        <v>0.19999999999999996</v>
      </c>
      <c r="I717" s="50">
        <f t="shared" si="6181"/>
        <v>-0.11111111111111116</v>
      </c>
      <c r="J717" s="50">
        <f t="shared" si="6181"/>
        <v>0.3125</v>
      </c>
      <c r="K717" s="50">
        <f t="shared" si="6181"/>
        <v>-0.66666666666666674</v>
      </c>
      <c r="L717" s="50">
        <f t="shared" si="6181"/>
        <v>3.1428571428571432</v>
      </c>
      <c r="M717" s="69">
        <f t="shared" si="6181"/>
        <v>-0.27586206896551724</v>
      </c>
      <c r="N717" s="69">
        <f t="shared" si="6181"/>
        <v>-0.4285714285714286</v>
      </c>
      <c r="O717" s="69">
        <f t="shared" si="6181"/>
        <v>8.3333333333333259E-2</v>
      </c>
      <c r="P717" s="69">
        <f t="shared" si="6181"/>
        <v>1.3076923076923075</v>
      </c>
      <c r="Q717" s="69">
        <f t="shared" si="6181"/>
        <v>-0.30000000000000004</v>
      </c>
      <c r="R717" s="69">
        <f t="shared" si="6181"/>
        <v>0.52380952380952372</v>
      </c>
      <c r="S717" s="69">
        <f t="shared" si="6181"/>
        <v>0.625</v>
      </c>
      <c r="T717" s="69">
        <f t="shared" si="6181"/>
        <v>-0.46153846153846156</v>
      </c>
      <c r="U717" s="69">
        <f t="shared" si="6181"/>
        <v>-1</v>
      </c>
      <c r="V717" s="69" t="str">
        <f t="shared" si="6181"/>
        <v>n.a.</v>
      </c>
      <c r="W717" s="69" t="str">
        <f t="shared" si="6181"/>
        <v>n.a.</v>
      </c>
      <c r="X717" s="69" t="str">
        <f t="shared" si="6181"/>
        <v>n.a.</v>
      </c>
      <c r="Y717" s="69" t="str">
        <f t="shared" si="6181"/>
        <v>n.a.</v>
      </c>
      <c r="Z717" s="69" t="str">
        <f t="shared" si="6181"/>
        <v>n.a.</v>
      </c>
      <c r="AA717" s="69" t="str">
        <f t="shared" si="6181"/>
        <v>n.a.</v>
      </c>
      <c r="AB717" s="69" t="str">
        <f t="shared" si="6181"/>
        <v>n.a.</v>
      </c>
      <c r="AC717" s="69" t="str">
        <f t="shared" si="6181"/>
        <v>n.a.</v>
      </c>
      <c r="AD717" s="69" t="str">
        <f t="shared" si="6181"/>
        <v>n.a.</v>
      </c>
      <c r="AE717" s="69" t="str">
        <f t="shared" si="6176"/>
        <v>n.a.</v>
      </c>
      <c r="AF717" s="69" t="str">
        <f t="shared" si="6176"/>
        <v>n.a.</v>
      </c>
      <c r="AG717" s="69" t="str">
        <f t="shared" si="6176"/>
        <v>n.a.</v>
      </c>
      <c r="AH717" s="69" t="str">
        <f t="shared" si="6176"/>
        <v>n.a.</v>
      </c>
      <c r="AI717" s="89" t="s">
        <v>55</v>
      </c>
      <c r="AJ717" s="56" t="s">
        <v>55</v>
      </c>
      <c r="AK717" s="56" t="s">
        <v>55</v>
      </c>
      <c r="AL717" s="56" t="s">
        <v>55</v>
      </c>
      <c r="AM717" s="56" t="s">
        <v>55</v>
      </c>
      <c r="AN717" s="56" t="s">
        <v>55</v>
      </c>
      <c r="AO717" s="56" t="s">
        <v>55</v>
      </c>
      <c r="AP717" s="56" t="s">
        <v>55</v>
      </c>
      <c r="AQ717" s="56" t="s">
        <v>55</v>
      </c>
      <c r="AR717" s="56" t="s">
        <v>55</v>
      </c>
      <c r="AT717" s="50">
        <f>IF(ISERROR(AT673/T673),"n.a.",AT673/T673-1)</f>
        <v>-0.7142857142857143</v>
      </c>
      <c r="AU717" s="50">
        <f t="shared" ref="AU717:BB717" si="6182">IF(ISERROR(AU673/AT673),"n.a.",AU673/AT673-1)</f>
        <v>3.875</v>
      </c>
      <c r="AV717" s="50">
        <f t="shared" si="6182"/>
        <v>-0.15384615384615385</v>
      </c>
      <c r="AW717" s="50">
        <f t="shared" si="6182"/>
        <v>0.1212121212121211</v>
      </c>
      <c r="AX717" s="50">
        <f t="shared" si="6182"/>
        <v>-2.7027027027026973E-2</v>
      </c>
      <c r="AY717" s="50">
        <f t="shared" si="6182"/>
        <v>-8.333333333333337E-2</v>
      </c>
      <c r="AZ717" s="50">
        <f t="shared" si="6182"/>
        <v>0.30303030303030298</v>
      </c>
      <c r="BA717" s="50">
        <f t="shared" si="6182"/>
        <v>0.23255813953488369</v>
      </c>
      <c r="BB717" s="50">
        <f t="shared" si="6182"/>
        <v>0.50943396226415105</v>
      </c>
      <c r="BC717" s="50">
        <f t="shared" si="6178"/>
        <v>-1</v>
      </c>
      <c r="BD717" s="50" t="str">
        <f t="shared" si="6178"/>
        <v>n.a.</v>
      </c>
      <c r="BE717" s="50" t="str">
        <f t="shared" si="6178"/>
        <v>n.a.</v>
      </c>
      <c r="BF717" s="50" t="str">
        <f t="shared" si="6178"/>
        <v>n.a.</v>
      </c>
      <c r="BG717" s="50" t="str">
        <f t="shared" si="6178"/>
        <v>n.a.</v>
      </c>
      <c r="BH717" s="50" t="str">
        <f t="shared" si="6178"/>
        <v>n.a.</v>
      </c>
      <c r="BI717" s="51" t="str">
        <f>IF(ISERROR(BI673/#REF!),"n.a.",BI673/#REF!-1)</f>
        <v>n.a.</v>
      </c>
      <c r="BJ717" s="50" t="str">
        <f>IF(ISERROR(BJ673/#REF!),"n.a.",BJ673/#REF!-1)</f>
        <v>n.a.</v>
      </c>
      <c r="BK717" s="50" t="str">
        <f>IF(ISERROR(BK673/#REF!),"n.a.",BK673/#REF!-1)</f>
        <v>n.a.</v>
      </c>
      <c r="BL717" s="50" t="str">
        <f>IF(ISERROR(BL673/#REF!),"n.a.",BL673/#REF!-1)</f>
        <v>n.a.</v>
      </c>
      <c r="BM717" s="50" t="str">
        <f>IF(ISERROR(BM673/#REF!),"n.a.",BM673/#REF!-1)</f>
        <v>n.a.</v>
      </c>
      <c r="BN717" s="50" t="str">
        <f>IF(ISERROR(BN673/#REF!),"n.a.",BN673/#REF!-1)</f>
        <v>n.a.</v>
      </c>
    </row>
    <row r="718" spans="1:66" ht="12" hidden="1" customHeight="1" outlineLevel="2">
      <c r="B718" s="1" t="s">
        <v>65</v>
      </c>
      <c r="C718" s="50" t="str">
        <f t="shared" ref="C718:M718" si="6183">IF(ISERROR(C675/B675),"n.a.",C675/B675-1)</f>
        <v>n.a.</v>
      </c>
      <c r="D718" s="50" t="str">
        <f t="shared" si="6183"/>
        <v>n.a.</v>
      </c>
      <c r="E718" s="50" t="str">
        <f t="shared" si="6183"/>
        <v>n.a.</v>
      </c>
      <c r="F718" s="50" t="str">
        <f t="shared" si="6183"/>
        <v>n.a.</v>
      </c>
      <c r="G718" s="50" t="str">
        <f t="shared" si="6183"/>
        <v>n.a.</v>
      </c>
      <c r="H718" s="50" t="str">
        <f t="shared" si="6183"/>
        <v>n.a.</v>
      </c>
      <c r="I718" s="50" t="str">
        <f t="shared" si="6183"/>
        <v>n.a.</v>
      </c>
      <c r="J718" s="50" t="str">
        <f t="shared" si="6183"/>
        <v>n.a.</v>
      </c>
      <c r="K718" s="50" t="str">
        <f t="shared" si="6183"/>
        <v>n.a.</v>
      </c>
      <c r="L718" s="50" t="str">
        <f t="shared" si="6183"/>
        <v>n.a.</v>
      </c>
      <c r="M718" s="69" t="str">
        <f t="shared" si="6183"/>
        <v>n.a.</v>
      </c>
      <c r="N718" s="69" t="str">
        <f t="shared" ref="N718" si="6184">IF(ISERROR(N675/M675),"n.a.",N675/M675-1)</f>
        <v>n.a.</v>
      </c>
      <c r="O718" s="69" t="str">
        <f t="shared" ref="O718:AD718" si="6185">IF(ISERROR(O675/N675),"n.a.",O675/N675-1)</f>
        <v>n.a.</v>
      </c>
      <c r="P718" s="69" t="str">
        <f t="shared" si="6185"/>
        <v>n.a.</v>
      </c>
      <c r="Q718" s="69" t="str">
        <f t="shared" si="6185"/>
        <v>n.a.</v>
      </c>
      <c r="R718" s="69" t="str">
        <f t="shared" si="6185"/>
        <v>n.a.</v>
      </c>
      <c r="S718" s="69" t="str">
        <f t="shared" si="6185"/>
        <v>n.a.</v>
      </c>
      <c r="T718" s="69" t="str">
        <f t="shared" si="6185"/>
        <v>n.a.</v>
      </c>
      <c r="U718" s="69" t="str">
        <f t="shared" si="6185"/>
        <v>n.a.</v>
      </c>
      <c r="V718" s="69" t="str">
        <f t="shared" si="6185"/>
        <v>n.a.</v>
      </c>
      <c r="W718" s="69" t="str">
        <f t="shared" si="6185"/>
        <v>n.a.</v>
      </c>
      <c r="X718" s="69" t="str">
        <f t="shared" si="6185"/>
        <v>n.a.</v>
      </c>
      <c r="Y718" s="69" t="str">
        <f t="shared" si="6185"/>
        <v>n.a.</v>
      </c>
      <c r="Z718" s="69" t="str">
        <f t="shared" si="6185"/>
        <v>n.a.</v>
      </c>
      <c r="AA718" s="69" t="str">
        <f t="shared" si="6185"/>
        <v>n.a.</v>
      </c>
      <c r="AB718" s="69" t="str">
        <f t="shared" si="6185"/>
        <v>n.a.</v>
      </c>
      <c r="AC718" s="69" t="str">
        <f t="shared" si="6185"/>
        <v>n.a.</v>
      </c>
      <c r="AD718" s="69" t="str">
        <f t="shared" si="6185"/>
        <v>n.a.</v>
      </c>
      <c r="AE718" s="69" t="str">
        <f t="shared" ref="AE718" si="6186">IF(ISERROR(AE675/AD675),"n.a.",AE675/AD675-1)</f>
        <v>n.a.</v>
      </c>
      <c r="AF718" s="69" t="str">
        <f t="shared" ref="AF718:AH718" si="6187">IF(ISERROR(AF675/AE675),"n.a.",AF675/AE675-1)</f>
        <v>n.a.</v>
      </c>
      <c r="AG718" s="69" t="str">
        <f t="shared" si="6187"/>
        <v>n.a.</v>
      </c>
      <c r="AH718" s="69" t="str">
        <f t="shared" si="6187"/>
        <v>n.a.</v>
      </c>
      <c r="AI718" s="89" t="s">
        <v>55</v>
      </c>
      <c r="AJ718" s="56" t="s">
        <v>55</v>
      </c>
      <c r="AK718" s="56" t="s">
        <v>55</v>
      </c>
      <c r="AL718" s="56" t="s">
        <v>55</v>
      </c>
      <c r="AM718" s="56" t="s">
        <v>55</v>
      </c>
      <c r="AN718" s="56" t="s">
        <v>55</v>
      </c>
      <c r="AO718" s="56" t="s">
        <v>55</v>
      </c>
      <c r="AP718" s="56" t="s">
        <v>55</v>
      </c>
      <c r="AQ718" s="56" t="s">
        <v>55</v>
      </c>
      <c r="AR718" s="56" t="s">
        <v>55</v>
      </c>
      <c r="AT718" s="50" t="str">
        <f>IF(ISERROR(AT675/T675),"n.a.",AT675/T675-1)</f>
        <v>n.a.</v>
      </c>
      <c r="AU718" s="50" t="str">
        <f>IF(ISERROR(AU675/AT675),"n.a.",AU675/AT675-1)</f>
        <v>n.a.</v>
      </c>
      <c r="AV718" s="50" t="str">
        <f>IF(ISERROR(AV675/AU675),"n.a.",AV675/AU675-1)</f>
        <v>n.a.</v>
      </c>
      <c r="AW718" s="50" t="str">
        <f>IF(ISERROR(AW675/AV675),"n.a.",AW675/AV675-1)</f>
        <v>n.a.</v>
      </c>
      <c r="AX718" s="50" t="str">
        <f t="shared" ref="AX718:BB718" si="6188">IF(ISERROR(AX675/AW675),"n.a.",AX675/AW675-1)</f>
        <v>n.a.</v>
      </c>
      <c r="AY718" s="50" t="str">
        <f t="shared" si="6188"/>
        <v>n.a.</v>
      </c>
      <c r="AZ718" s="50" t="str">
        <f t="shared" si="6188"/>
        <v>n.a.</v>
      </c>
      <c r="BA718" s="50" t="str">
        <f t="shared" si="6188"/>
        <v>n.a.</v>
      </c>
      <c r="BB718" s="50" t="str">
        <f t="shared" si="6188"/>
        <v>n.a.</v>
      </c>
      <c r="BC718" s="50" t="str">
        <f t="shared" ref="BC718" si="6189">IF(ISERROR(BC675/BB675),"n.a.",BC675/BB675-1)</f>
        <v>n.a.</v>
      </c>
      <c r="BD718" s="50" t="str">
        <f t="shared" ref="BD718" si="6190">IF(ISERROR(BD675/BC675),"n.a.",BD675/BC675-1)</f>
        <v>n.a.</v>
      </c>
      <c r="BE718" s="50" t="str">
        <f t="shared" ref="BE718" si="6191">IF(ISERROR(BE675/BD675),"n.a.",BE675/BD675-1)</f>
        <v>n.a.</v>
      </c>
      <c r="BF718" s="50" t="str">
        <f t="shared" ref="BF718" si="6192">IF(ISERROR(BF675/BE675),"n.a.",BF675/BE675-1)</f>
        <v>n.a.</v>
      </c>
      <c r="BG718" s="50" t="str">
        <f t="shared" ref="BG718" si="6193">IF(ISERROR(BG675/BF675),"n.a.",BG675/BF675-1)</f>
        <v>n.a.</v>
      </c>
      <c r="BH718" s="50" t="str">
        <f t="shared" ref="BH718" si="6194">IF(ISERROR(BH675/BG675),"n.a.",BH675/BG675-1)</f>
        <v>n.a.</v>
      </c>
      <c r="BI718" s="51" t="str">
        <f>IF(ISERROR(BI675/#REF!),"n.a.",BI675/#REF!-1)</f>
        <v>n.a.</v>
      </c>
      <c r="BJ718" s="50" t="str">
        <f>IF(ISERROR(BJ675/#REF!),"n.a.",BJ675/#REF!-1)</f>
        <v>n.a.</v>
      </c>
      <c r="BK718" s="50" t="str">
        <f>IF(ISERROR(BK675/#REF!),"n.a.",BK675/#REF!-1)</f>
        <v>n.a.</v>
      </c>
      <c r="BL718" s="50" t="str">
        <f>IF(ISERROR(BL675/#REF!),"n.a.",BL675/#REF!-1)</f>
        <v>n.a.</v>
      </c>
      <c r="BM718" s="50" t="str">
        <f>IF(ISERROR(BM675/#REF!),"n.a.",BM675/#REF!-1)</f>
        <v>n.a.</v>
      </c>
      <c r="BN718" s="50" t="str">
        <f>IF(ISERROR(BN675/#REF!),"n.a.",BN675/#REF!-1)</f>
        <v>n.a.</v>
      </c>
    </row>
    <row r="719" spans="1:66" ht="12" hidden="1" customHeight="1" outlineLevel="2">
      <c r="B719" s="1" t="s">
        <v>77</v>
      </c>
      <c r="C719" s="37">
        <f t="shared" ref="C719:AD719" si="6195">IF(ISERROR(-C677/AVERAGE(SUM(C698:C699),SUM(B698:B699))),"n.a.",-C677*C$5/AVERAGE(SUM(C698:C699),SUM(B698:B699)))</f>
        <v>7.847352862133835E-3</v>
      </c>
      <c r="D719" s="37">
        <f t="shared" si="6195"/>
        <v>9.1791421335198093E-3</v>
      </c>
      <c r="E719" s="37">
        <f t="shared" si="6195"/>
        <v>2.4614299079883072E-3</v>
      </c>
      <c r="F719" s="37">
        <f t="shared" si="6195"/>
        <v>2.3794002607561929E-3</v>
      </c>
      <c r="G719" s="37">
        <f t="shared" si="6195"/>
        <v>1.8E-3</v>
      </c>
      <c r="H719" s="37">
        <f t="shared" si="6195"/>
        <v>3.1143552311435523E-3</v>
      </c>
      <c r="I719" s="37">
        <f t="shared" si="6195"/>
        <v>1.7096018735362995E-3</v>
      </c>
      <c r="J719" s="37">
        <f t="shared" si="6195"/>
        <v>2.6556776556776558E-3</v>
      </c>
      <c r="K719" s="37">
        <f t="shared" si="6195"/>
        <v>2.2915940006975931E-3</v>
      </c>
      <c r="L719" s="37">
        <f t="shared" si="6195"/>
        <v>3.3625057577153384E-3</v>
      </c>
      <c r="M719" s="78">
        <f t="shared" si="6195"/>
        <v>1.4300443344674708E-3</v>
      </c>
      <c r="N719" s="78">
        <f t="shared" si="6195"/>
        <v>6.0556672457205314E-3</v>
      </c>
      <c r="O719" s="78">
        <f t="shared" si="6195"/>
        <v>1.2398042414355629E-3</v>
      </c>
      <c r="P719" s="78">
        <f t="shared" si="6195"/>
        <v>5.7301808066759392E-3</v>
      </c>
      <c r="Q719" s="78">
        <f t="shared" si="6195"/>
        <v>2.2647629120394852E-3</v>
      </c>
      <c r="R719" s="78">
        <f t="shared" si="6195"/>
        <v>2.0968977403293754E-3</v>
      </c>
      <c r="S719" s="78">
        <f t="shared" si="6195"/>
        <v>-1.5513054037644201E-3</v>
      </c>
      <c r="T719" s="78">
        <f t="shared" si="6195"/>
        <v>-4.2444328158613873E-4</v>
      </c>
      <c r="U719" s="78">
        <f t="shared" si="6195"/>
        <v>0</v>
      </c>
      <c r="V719" s="78" t="str">
        <f t="shared" si="6195"/>
        <v>n.a.</v>
      </c>
      <c r="W719" s="78" t="str">
        <f t="shared" si="6195"/>
        <v>n.a.</v>
      </c>
      <c r="X719" s="78" t="str">
        <f t="shared" si="6195"/>
        <v>n.a.</v>
      </c>
      <c r="Y719" s="78" t="str">
        <f t="shared" si="6195"/>
        <v>n.a.</v>
      </c>
      <c r="Z719" s="78" t="str">
        <f t="shared" si="6195"/>
        <v>n.a.</v>
      </c>
      <c r="AA719" s="78" t="str">
        <f t="shared" si="6195"/>
        <v>n.a.</v>
      </c>
      <c r="AB719" s="78" t="str">
        <f t="shared" si="6195"/>
        <v>n.a.</v>
      </c>
      <c r="AC719" s="78" t="str">
        <f t="shared" si="6195"/>
        <v>n.a.</v>
      </c>
      <c r="AD719" s="78" t="str">
        <f t="shared" si="6195"/>
        <v>n.a.</v>
      </c>
      <c r="AE719" s="78" t="str">
        <f t="shared" ref="AE719" si="6196">IF(ISERROR(-AE677/AVERAGE(SUM(AE698:AE699),SUM(AD698:AD699))),"n.a.",-AE677*AE$5/AVERAGE(SUM(AE698:AE699),SUM(AD698:AD699)))</f>
        <v>n.a.</v>
      </c>
      <c r="AF719" s="78" t="str">
        <f t="shared" ref="AF719:AH719" si="6197">IF(ISERROR(-AF677/AVERAGE(SUM(AF698:AF699),SUM(AE698:AE699))),"n.a.",-AF677*AF$5/AVERAGE(SUM(AF698:AF699),SUM(AE698:AE699)))</f>
        <v>n.a.</v>
      </c>
      <c r="AG719" s="78" t="str">
        <f t="shared" si="6197"/>
        <v>n.a.</v>
      </c>
      <c r="AH719" s="78" t="str">
        <f t="shared" si="6197"/>
        <v>n.a.</v>
      </c>
      <c r="AI719" s="88" t="str">
        <f t="shared" ref="AI719" si="6198">IF(ISERROR(-AI677/AVERAGE(SUM(AI698:AI699),SUM(AH698:AH699))),"n.a.",-AI677*AI$5/AVERAGE(SUM(AI698:AI699),SUM(AH698:AH699)))</f>
        <v>n.a.</v>
      </c>
      <c r="AJ719" s="37" t="str">
        <f t="shared" ref="AJ719" si="6199">IF(ISERROR(-AJ677/AVERAGE(SUM(AJ698:AJ699),SUM(AI698:AI699))),"n.a.",-AJ677*AJ$5/AVERAGE(SUM(AJ698:AJ699),SUM(AI698:AI699)))</f>
        <v>n.a.</v>
      </c>
      <c r="AK719" s="37" t="str">
        <f t="shared" ref="AK719" si="6200">IF(ISERROR(-AK677/AVERAGE(SUM(AK698:AK699),SUM(AJ698:AJ699))),"n.a.",-AK677*AK$5/AVERAGE(SUM(AK698:AK699),SUM(AJ698:AJ699)))</f>
        <v>n.a.</v>
      </c>
      <c r="AL719" s="37" t="str">
        <f t="shared" ref="AL719" si="6201">IF(ISERROR(-AL677/AVERAGE(SUM(AL698:AL699),SUM(AK698:AK699))),"n.a.",-AL677*AL$5/AVERAGE(SUM(AL698:AL699),SUM(AK698:AK699)))</f>
        <v>n.a.</v>
      </c>
      <c r="AM719" s="37" t="str">
        <f t="shared" ref="AM719" si="6202">IF(ISERROR(-AM677/AVERAGE(SUM(AM698:AM699),SUM(AL698:AL699))),"n.a.",-AM677*AM$5/AVERAGE(SUM(AM698:AM699),SUM(AL698:AL699)))</f>
        <v>n.a.</v>
      </c>
      <c r="AN719" s="37" t="str">
        <f t="shared" ref="AN719" si="6203">IF(ISERROR(-AN677/AVERAGE(SUM(AN698:AN699),SUM(AM698:AM699))),"n.a.",-AN677*AN$5/AVERAGE(SUM(AN698:AN699),SUM(AM698:AM699)))</f>
        <v>n.a.</v>
      </c>
      <c r="AO719" s="37" t="str">
        <f t="shared" ref="AO719" si="6204">IF(ISERROR(-AO677/AVERAGE(SUM(AO698:AO699),SUM(AN698:AN699))),"n.a.",-AO677*AO$5/AVERAGE(SUM(AO698:AO699),SUM(AN698:AN699)))</f>
        <v>n.a.</v>
      </c>
      <c r="AP719" s="37" t="str">
        <f t="shared" ref="AP719" si="6205">IF(ISERROR(-AP677/AVERAGE(SUM(AP698:AP699),SUM(AO698:AO699))),"n.a.",-AP677*AP$5/AVERAGE(SUM(AP698:AP699),SUM(AO698:AO699)))</f>
        <v>n.a.</v>
      </c>
      <c r="AQ719" s="37" t="str">
        <f t="shared" ref="AQ719" si="6206">IF(ISERROR(-AQ677/AVERAGE(SUM(AQ698:AQ699),SUM(AP698:AP699))),"n.a.",-AQ677*AQ$5/AVERAGE(SUM(AQ698:AQ699),SUM(AP698:AP699)))</f>
        <v>n.a.</v>
      </c>
      <c r="AR719" s="37" t="str">
        <f t="shared" ref="AR719" si="6207">IF(ISERROR(-AR677/AVERAGE(SUM(AR698:AR699),SUM(AQ698:AQ699))),"n.a.",-AR677*AR$5/AVERAGE(SUM(AR698:AR699),SUM(AQ698:AQ699)))</f>
        <v>n.a.</v>
      </c>
      <c r="AT719" s="37">
        <f t="shared" ref="AT719:BH719" si="6208">IF(ISERROR(-AT677/AVERAGE(SUM(AT698:AT699),SUM(AS698:AS699))),"n.a.",-AT677*AT$5/AVERAGE(SUM(AT698:AT699),SUM(AS698:AS699)))</f>
        <v>1.1549825409615902E-2</v>
      </c>
      <c r="AU719" s="37">
        <f t="shared" si="6208"/>
        <v>2.3261223540358223E-3</v>
      </c>
      <c r="AV719" s="37">
        <f t="shared" si="6208"/>
        <v>2.4937655860349127E-3</v>
      </c>
      <c r="AW719" s="37">
        <f t="shared" si="6208"/>
        <v>2.1860465116279068E-3</v>
      </c>
      <c r="AX719" s="37">
        <f t="shared" si="6208"/>
        <v>2.8810020876826724E-3</v>
      </c>
      <c r="AY719" s="37">
        <f t="shared" si="6208"/>
        <v>3.8305709023941066E-3</v>
      </c>
      <c r="AZ719" s="37">
        <f t="shared" si="6208"/>
        <v>3.5777126099706745E-3</v>
      </c>
      <c r="BA719" s="37">
        <f t="shared" si="6208"/>
        <v>2.1870882740447958E-3</v>
      </c>
      <c r="BB719" s="37">
        <f t="shared" si="6208"/>
        <v>-1.1785095320623917E-3</v>
      </c>
      <c r="BC719" s="37">
        <f t="shared" si="6208"/>
        <v>0</v>
      </c>
      <c r="BD719" s="37" t="str">
        <f t="shared" si="6208"/>
        <v>n.a.</v>
      </c>
      <c r="BE719" s="37" t="str">
        <f t="shared" si="6208"/>
        <v>n.a.</v>
      </c>
      <c r="BF719" s="37" t="str">
        <f t="shared" si="6208"/>
        <v>n.a.</v>
      </c>
      <c r="BG719" s="37" t="str">
        <f t="shared" si="6208"/>
        <v>n.a.</v>
      </c>
      <c r="BH719" s="37" t="str">
        <f t="shared" si="6208"/>
        <v>n.a.</v>
      </c>
      <c r="BI719" s="38" t="str">
        <f>IF(ISERROR(-BI677/AVERAGE(SUM(BI698:BI699),SUM(#REF!))),"n.a.",-BI677*BI$5/AVERAGE(SUM(BI698:BI699),SUM(#REF!)))</f>
        <v>n.a.</v>
      </c>
      <c r="BJ719" s="37" t="str">
        <f>IF(ISERROR(-BJ677/AVERAGE(SUM(BJ698:BJ699),SUM(#REF!))),"n.a.",-BJ677*BJ$5/AVERAGE(SUM(BJ698:BJ699),SUM(#REF!)))</f>
        <v>n.a.</v>
      </c>
      <c r="BK719" s="37" t="str">
        <f>IF(ISERROR(-BK677/AVERAGE(SUM(BK698:BK699),SUM(#REF!))),"n.a.",-BK677*BK$5/AVERAGE(SUM(BK698:BK699),SUM(#REF!)))</f>
        <v>n.a.</v>
      </c>
      <c r="BL719" s="37" t="str">
        <f>IF(ISERROR(-BL677/AVERAGE(SUM(BL698:BL699),SUM(#REF!))),"n.a.",-BL677*BL$5/AVERAGE(SUM(BL698:BL699),SUM(#REF!)))</f>
        <v>n.a.</v>
      </c>
      <c r="BM719" s="37" t="str">
        <f>IF(ISERROR(-BM677/AVERAGE(SUM(BM698:BM699),SUM(#REF!))),"n.a.",-BM677*BM$5/AVERAGE(SUM(BM698:BM699),SUM(#REF!)))</f>
        <v>n.a.</v>
      </c>
      <c r="BN719" s="37" t="str">
        <f>IF(ISERROR(-BN677/AVERAGE(SUM(BN698:BN699),SUM(#REF!))),"n.a.",-BN677*BO$5/AVERAGE(SUM(BN698:BN699),SUM(#REF!)))</f>
        <v>n.a.</v>
      </c>
    </row>
    <row r="720" spans="1:66" ht="12" hidden="1" customHeight="1" outlineLevel="2">
      <c r="B720" s="1" t="s">
        <v>82</v>
      </c>
      <c r="C720" s="50" t="str">
        <f t="shared" ref="C720:AD720" si="6209">IF(ISERROR(C681*C$5/(AVERAGE(B699:C699))),"n.a.",C681*C$5/(AVERAGE(B699:C699)))</f>
        <v>n.a.</v>
      </c>
      <c r="D720" s="50">
        <f t="shared" si="6209"/>
        <v>0.21735850854347966</v>
      </c>
      <c r="E720" s="50">
        <f t="shared" si="6209"/>
        <v>0.15663891511458242</v>
      </c>
      <c r="F720" s="50">
        <f t="shared" si="6209"/>
        <v>0.13732538647792886</v>
      </c>
      <c r="G720" s="50">
        <f t="shared" si="6209"/>
        <v>0.10850574712643678</v>
      </c>
      <c r="H720" s="50">
        <f t="shared" si="6209"/>
        <v>0.11736263736263736</v>
      </c>
      <c r="I720" s="50">
        <f t="shared" si="6209"/>
        <v>0.11143383226419577</v>
      </c>
      <c r="J720" s="50">
        <f t="shared" si="6209"/>
        <v>9.5678800366300359E-2</v>
      </c>
      <c r="K720" s="50">
        <f t="shared" si="6209"/>
        <v>0.11708662214126696</v>
      </c>
      <c r="L720" s="50">
        <f t="shared" si="6209"/>
        <v>9.0775014459224979E-2</v>
      </c>
      <c r="M720" s="50">
        <f t="shared" si="6209"/>
        <v>0.12345487092519314</v>
      </c>
      <c r="N720" s="50">
        <f t="shared" si="6209"/>
        <v>0.18608358854260493</v>
      </c>
      <c r="O720" s="50">
        <f t="shared" si="6209"/>
        <v>0.10503225806451613</v>
      </c>
      <c r="P720" s="50">
        <f t="shared" si="6209"/>
        <v>0.10909090909090909</v>
      </c>
      <c r="Q720" s="50">
        <f t="shared" si="6209"/>
        <v>9.7596689479547985E-2</v>
      </c>
      <c r="R720" s="50">
        <f t="shared" si="6209"/>
        <v>0.1293543956043956</v>
      </c>
      <c r="S720" s="50">
        <f t="shared" si="6209"/>
        <v>0.11786802866792981</v>
      </c>
      <c r="T720" s="50">
        <f t="shared" si="6209"/>
        <v>0.15604942321360232</v>
      </c>
      <c r="U720" s="50">
        <f t="shared" si="6209"/>
        <v>0</v>
      </c>
      <c r="V720" s="50" t="str">
        <f t="shared" si="6209"/>
        <v>n.a.</v>
      </c>
      <c r="W720" s="50" t="str">
        <f t="shared" si="6209"/>
        <v>n.a.</v>
      </c>
      <c r="X720" s="50" t="str">
        <f t="shared" si="6209"/>
        <v>n.a.</v>
      </c>
      <c r="Y720" s="50" t="str">
        <f t="shared" si="6209"/>
        <v>n.a.</v>
      </c>
      <c r="Z720" s="50" t="str">
        <f t="shared" si="6209"/>
        <v>n.a.</v>
      </c>
      <c r="AA720" s="50" t="str">
        <f t="shared" si="6209"/>
        <v>n.a.</v>
      </c>
      <c r="AB720" s="50" t="str">
        <f t="shared" si="6209"/>
        <v>n.a.</v>
      </c>
      <c r="AC720" s="50" t="str">
        <f t="shared" si="6209"/>
        <v>n.a.</v>
      </c>
      <c r="AD720" s="50" t="str">
        <f t="shared" si="6209"/>
        <v>n.a.</v>
      </c>
      <c r="AE720" s="50" t="str">
        <f t="shared" ref="AE720" si="6210">IF(ISERROR(AE681*AE$5/(AVERAGE(AD699:AE699))),"n.a.",AE681*AE$5/(AVERAGE(AD699:AE699)))</f>
        <v>n.a.</v>
      </c>
      <c r="AF720" s="50" t="str">
        <f t="shared" ref="AF720:AH720" si="6211">IF(ISERROR(AF681*AF$5/(AVERAGE(AE699:AF699))),"n.a.",AF681*AF$5/(AVERAGE(AE699:AF699)))</f>
        <v>n.a.</v>
      </c>
      <c r="AG720" s="50" t="str">
        <f t="shared" si="6211"/>
        <v>n.a.</v>
      </c>
      <c r="AH720" s="50" t="str">
        <f t="shared" si="6211"/>
        <v>n.a.</v>
      </c>
      <c r="AI720" s="51" t="s">
        <v>55</v>
      </c>
      <c r="AJ720" s="56" t="s">
        <v>55</v>
      </c>
      <c r="AK720" s="56" t="s">
        <v>55</v>
      </c>
      <c r="AL720" s="56" t="s">
        <v>55</v>
      </c>
      <c r="AM720" s="56" t="s">
        <v>55</v>
      </c>
      <c r="AN720" s="56" t="s">
        <v>55</v>
      </c>
      <c r="AO720" s="56" t="s">
        <v>55</v>
      </c>
      <c r="AP720" s="56" t="s">
        <v>55</v>
      </c>
      <c r="AQ720" s="56" t="s">
        <v>55</v>
      </c>
      <c r="AR720" s="56" t="s">
        <v>55</v>
      </c>
      <c r="AT720" s="50">
        <f t="shared" ref="AT720:BH720" si="6212">IF(ISERROR(AT681*AT$5/(AVERAGE(AS699:AT699))),"n.a.",AT681*AT$5/(AVERAGE(AS699:AT699)))</f>
        <v>0.23988439306358381</v>
      </c>
      <c r="AU720" s="50">
        <f t="shared" si="6212"/>
        <v>0.11698717948717949</v>
      </c>
      <c r="AV720" s="50">
        <f t="shared" si="6212"/>
        <v>0.11177777777777778</v>
      </c>
      <c r="AW720" s="50">
        <f t="shared" si="6212"/>
        <v>9.9183673469387751E-2</v>
      </c>
      <c r="AX720" s="50">
        <f t="shared" si="6212"/>
        <v>0.10648148148148148</v>
      </c>
      <c r="AY720" s="50">
        <f t="shared" si="6212"/>
        <v>0.15416666666666667</v>
      </c>
      <c r="AZ720" s="50">
        <f t="shared" si="6212"/>
        <v>0.11207100591715977</v>
      </c>
      <c r="BA720" s="50">
        <f t="shared" si="6212"/>
        <v>0.11155339805825243</v>
      </c>
      <c r="BB720" s="50">
        <f t="shared" si="6212"/>
        <v>0.13564356435643565</v>
      </c>
      <c r="BC720" s="50">
        <f t="shared" si="6212"/>
        <v>0</v>
      </c>
      <c r="BD720" s="50" t="str">
        <f t="shared" si="6212"/>
        <v>n.a.</v>
      </c>
      <c r="BE720" s="50" t="str">
        <f t="shared" si="6212"/>
        <v>n.a.</v>
      </c>
      <c r="BF720" s="50" t="str">
        <f t="shared" si="6212"/>
        <v>n.a.</v>
      </c>
      <c r="BG720" s="50" t="str">
        <f t="shared" si="6212"/>
        <v>n.a.</v>
      </c>
      <c r="BH720" s="50" t="str">
        <f t="shared" si="6212"/>
        <v>n.a.</v>
      </c>
      <c r="BI720" s="51" t="str">
        <f>IF(ISERROR(BI681*BI$5/(AVERAGE(BI699:BI699))),"n.a.",BI681*BI$5/(AVERAGE(BI699:BI699)))</f>
        <v>n.a.</v>
      </c>
      <c r="BJ720" s="50" t="str">
        <f>IF(ISERROR(BJ681*BJ$5/(AVERAGE(BJ699:BJ699))),"n.a.",BJ681*BJ$5/(AVERAGE(BJ699:BJ699)))</f>
        <v>n.a.</v>
      </c>
      <c r="BK720" s="50" t="str">
        <f>IF(ISERROR(BK681*BK$5/(AVERAGE(BK699:BK699))),"n.a.",BK681*BK$5/(AVERAGE(BK699:BK699)))</f>
        <v>n.a.</v>
      </c>
      <c r="BL720" s="50" t="str">
        <f>IF(ISERROR(BL681*BL$5/(AVERAGE(BL699:BL699))),"n.a.",BL681*BL$5/(AVERAGE(BL699:BL699)))</f>
        <v>n.a.</v>
      </c>
      <c r="BM720" s="50" t="str">
        <f>IF(ISERROR(BM681*BM$5/(AVERAGE(BM699:BM699))),"n.a.",BM681*BM$5/(AVERAGE(BM699:BM699)))</f>
        <v>n.a.</v>
      </c>
      <c r="BN720" s="50" t="str">
        <f>IF(ISERROR(BN681*BO$5/(AVERAGE(BN699:BN699))),"n.a.",BN681*BO$5/(AVERAGE(BN699:BN699)))</f>
        <v>n.a.</v>
      </c>
    </row>
    <row r="721" spans="1:66" ht="12" hidden="1" customHeight="1" outlineLevel="2">
      <c r="B721" s="1" t="s">
        <v>67</v>
      </c>
      <c r="C721" s="54">
        <f t="shared" ref="C721:AD721" si="6213">IF(ISERROR(-C683/AVERAGE(B706:C706)*1000000),"n.a.",-C683*C$5/AVERAGE(B706:C706)*1000000)</f>
        <v>142930.88410672647</v>
      </c>
      <c r="D721" s="54">
        <f t="shared" si="6213"/>
        <v>165743.34756152937</v>
      </c>
      <c r="E721" s="54">
        <f t="shared" si="6213"/>
        <v>183993.02674830132</v>
      </c>
      <c r="F721" s="54">
        <f t="shared" si="6213"/>
        <v>178317.64078877243</v>
      </c>
      <c r="G721" s="54">
        <f t="shared" si="6213"/>
        <v>152505.44662309368</v>
      </c>
      <c r="H721" s="54">
        <f t="shared" si="6213"/>
        <v>199894.79221462389</v>
      </c>
      <c r="I721" s="54">
        <f t="shared" si="6213"/>
        <v>163295.30565941264</v>
      </c>
      <c r="J721" s="54">
        <f t="shared" si="6213"/>
        <v>159588.42218789167</v>
      </c>
      <c r="K721" s="54">
        <f t="shared" si="6213"/>
        <v>169220.80969302228</v>
      </c>
      <c r="L721" s="54">
        <f t="shared" si="6213"/>
        <v>187113.13500395385</v>
      </c>
      <c r="M721" s="79">
        <f t="shared" si="6213"/>
        <v>184081.77483843124</v>
      </c>
      <c r="N721" s="79">
        <f t="shared" si="6213"/>
        <v>221982.2162570254</v>
      </c>
      <c r="O721" s="79">
        <f t="shared" si="6213"/>
        <v>223140.49586776859</v>
      </c>
      <c r="P721" s="79">
        <f t="shared" si="6213"/>
        <v>232269.50354609929</v>
      </c>
      <c r="Q721" s="79">
        <f t="shared" si="6213"/>
        <v>199453.55191256833</v>
      </c>
      <c r="R721" s="79">
        <f t="shared" si="6213"/>
        <v>203243.97291767734</v>
      </c>
      <c r="S721" s="79">
        <f t="shared" si="6213"/>
        <v>213475.99470180448</v>
      </c>
      <c r="T721" s="79">
        <f t="shared" si="6213"/>
        <v>319656.08888685808</v>
      </c>
      <c r="U721" s="79">
        <f t="shared" si="6213"/>
        <v>0</v>
      </c>
      <c r="V721" s="79" t="str">
        <f t="shared" si="6213"/>
        <v>n.a.</v>
      </c>
      <c r="W721" s="79" t="str">
        <f t="shared" si="6213"/>
        <v>n.a.</v>
      </c>
      <c r="X721" s="79" t="str">
        <f t="shared" si="6213"/>
        <v>n.a.</v>
      </c>
      <c r="Y721" s="79" t="str">
        <f t="shared" si="6213"/>
        <v>n.a.</v>
      </c>
      <c r="Z721" s="79" t="str">
        <f t="shared" si="6213"/>
        <v>n.a.</v>
      </c>
      <c r="AA721" s="79" t="str">
        <f t="shared" si="6213"/>
        <v>n.a.</v>
      </c>
      <c r="AB721" s="79" t="str">
        <f t="shared" si="6213"/>
        <v>n.a.</v>
      </c>
      <c r="AC721" s="79" t="str">
        <f t="shared" si="6213"/>
        <v>n.a.</v>
      </c>
      <c r="AD721" s="79" t="str">
        <f t="shared" si="6213"/>
        <v>n.a.</v>
      </c>
      <c r="AE721" s="79" t="str">
        <f t="shared" ref="AE721" si="6214">IF(ISERROR(-AE683/AVERAGE(AD706:AE706)*1000000),"n.a.",-AE683*AE$5/AVERAGE(AD706:AE706)*1000000)</f>
        <v>n.a.</v>
      </c>
      <c r="AF721" s="79" t="str">
        <f t="shared" ref="AF721:AH721" si="6215">IF(ISERROR(-AF683/AVERAGE(AE706:AF706)*1000000),"n.a.",-AF683*AF$5/AVERAGE(AE706:AF706)*1000000)</f>
        <v>n.a.</v>
      </c>
      <c r="AG721" s="79" t="str">
        <f t="shared" si="6215"/>
        <v>n.a.</v>
      </c>
      <c r="AH721" s="79" t="str">
        <f t="shared" si="6215"/>
        <v>n.a.</v>
      </c>
      <c r="AI721" s="90" t="s">
        <v>55</v>
      </c>
      <c r="AJ721" s="56" t="s">
        <v>55</v>
      </c>
      <c r="AK721" s="56" t="s">
        <v>55</v>
      </c>
      <c r="AL721" s="56" t="s">
        <v>55</v>
      </c>
      <c r="AM721" s="56" t="s">
        <v>55</v>
      </c>
      <c r="AN721" s="56" t="s">
        <v>55</v>
      </c>
      <c r="AO721" s="56" t="s">
        <v>55</v>
      </c>
      <c r="AP721" s="56" t="s">
        <v>55</v>
      </c>
      <c r="AQ721" s="56" t="s">
        <v>55</v>
      </c>
      <c r="AR721" s="56" t="s">
        <v>55</v>
      </c>
      <c r="AT721" s="54">
        <f>IF(ISERROR(-AT683/AVERAGE(T706:AT706)*1000000),"n.a.",-AT683*AT$5/AVERAGE(T706:AT706)*1000000)</f>
        <v>1702380.9523809524</v>
      </c>
      <c r="AU721" s="54">
        <f t="shared" ref="AU721:BH721" si="6216">IF(ISERROR(-AU683/AVERAGE(AT706:AU706)*1000000),"n.a.",-AU683*AU$5/AVERAGE(AT706:AU706)*1000000)</f>
        <v>185669.78193146415</v>
      </c>
      <c r="AV721" s="54">
        <f t="shared" si="6216"/>
        <v>179250.40738728951</v>
      </c>
      <c r="AW721" s="54">
        <f t="shared" si="6216"/>
        <v>159162.30366492146</v>
      </c>
      <c r="AX721" s="54">
        <f t="shared" si="6216"/>
        <v>176352.70541082165</v>
      </c>
      <c r="AY721" s="54">
        <f t="shared" si="6216"/>
        <v>205598.45559845559</v>
      </c>
      <c r="AZ721" s="54">
        <f t="shared" si="6216"/>
        <v>200335.28918692374</v>
      </c>
      <c r="BA721" s="54">
        <f t="shared" si="6216"/>
        <v>204519.34124856378</v>
      </c>
      <c r="BB721" s="54">
        <f t="shared" si="6216"/>
        <v>211397.95421334633</v>
      </c>
      <c r="BC721" s="54">
        <f t="shared" si="6216"/>
        <v>0</v>
      </c>
      <c r="BD721" s="54" t="str">
        <f t="shared" si="6216"/>
        <v>n.a.</v>
      </c>
      <c r="BE721" s="54" t="str">
        <f t="shared" si="6216"/>
        <v>n.a.</v>
      </c>
      <c r="BF721" s="54" t="str">
        <f t="shared" si="6216"/>
        <v>n.a.</v>
      </c>
      <c r="BG721" s="54" t="str">
        <f t="shared" si="6216"/>
        <v>n.a.</v>
      </c>
      <c r="BH721" s="54" t="str">
        <f t="shared" si="6216"/>
        <v>n.a.</v>
      </c>
      <c r="BI721" s="53" t="str">
        <f>IF(ISERROR(-BI683/AVERAGE(BI706:BI706)*1000000),"n.a.",-BI683*BI$5/AVERAGE(BI706:BI706)*1000000)</f>
        <v>n.a.</v>
      </c>
      <c r="BJ721" s="54" t="str">
        <f>IF(ISERROR(-BJ683/AVERAGE(BJ706:BJ706)*1000000),"n.a.",-BJ683*BJ$5/AVERAGE(BJ706:BJ706)*1000000)</f>
        <v>n.a.</v>
      </c>
      <c r="BK721" s="54" t="str">
        <f>IF(ISERROR(-BK683/AVERAGE(BK706:BK706)*1000000),"n.a.",-BK683*BK$5/AVERAGE(BK706:BK706)*1000000)</f>
        <v>n.a.</v>
      </c>
      <c r="BL721" s="54" t="str">
        <f>IF(ISERROR(-BL683/AVERAGE(BL706:BL706)*1000000),"n.a.",-BL683*BL$5/AVERAGE(BL706:BL706)*1000000)</f>
        <v>n.a.</v>
      </c>
      <c r="BM721" s="54" t="str">
        <f>IF(ISERROR(-BM683/AVERAGE(BM706:BM706)*1000000),"n.a.",-BM683*BM$5/AVERAGE(BM706:BM706)*1000000)</f>
        <v>n.a.</v>
      </c>
      <c r="BN721" s="54" t="str">
        <f>IF(ISERROR(-BN683/AVERAGE(BN706:BN706)*1000000),"n.a.",-BN683*BO$5/AVERAGE(BN706:BN706)*1000000)</f>
        <v>n.a.</v>
      </c>
    </row>
    <row r="722" spans="1:66" ht="12" hidden="1" customHeight="1" outlineLevel="2">
      <c r="B722" s="1" t="s">
        <v>78</v>
      </c>
      <c r="C722" s="50">
        <f>IF(ISERROR(-C683/C682),"n.a.",-C683/C682)</f>
        <v>0.18723404255319148</v>
      </c>
      <c r="D722" s="50">
        <f>IF(ISERROR(-D683/D682),"n.a.",-D683/D682)</f>
        <v>0.2391304347826087</v>
      </c>
      <c r="E722" s="50">
        <f t="shared" ref="E722:O722" si="6217">IF(ISERROR(-E683/E682),"n.a.",-E683/E682)</f>
        <v>0.18798955613577023</v>
      </c>
      <c r="F722" s="50">
        <f t="shared" si="6217"/>
        <v>0.15618661257606492</v>
      </c>
      <c r="G722" s="50">
        <f t="shared" si="6217"/>
        <v>0.13257575757575757</v>
      </c>
      <c r="H722" s="50">
        <f t="shared" si="6217"/>
        <v>0.17304189435336975</v>
      </c>
      <c r="I722" s="50">
        <f t="shared" si="6217"/>
        <v>0.15187376725838264</v>
      </c>
      <c r="J722" s="50">
        <f t="shared" si="6217"/>
        <v>0.13761467889908258</v>
      </c>
      <c r="K722" s="50">
        <f t="shared" ref="K722:L722" si="6218">IF(ISERROR(-K683/K682),"n.a.",-K683/K682)</f>
        <v>0.14186851211072665</v>
      </c>
      <c r="L722" s="50">
        <f t="shared" si="6218"/>
        <v>0.1494435612082671</v>
      </c>
      <c r="M722" s="69">
        <f t="shared" ref="M722" si="6219">IF(ISERROR(-M683/M682),"n.a.",-M683/M682)</f>
        <v>0.14098837209302326</v>
      </c>
      <c r="N722" s="69">
        <f t="shared" si="6217"/>
        <v>0.12803532008830021</v>
      </c>
      <c r="O722" s="69">
        <f t="shared" si="6217"/>
        <v>0.12514484356894554</v>
      </c>
      <c r="P722" s="69">
        <f t="shared" ref="P722:Q722" si="6220">IF(ISERROR(-P683/P682),"n.a.",-P683/P682)</f>
        <v>0.15232558139534882</v>
      </c>
      <c r="Q722" s="69">
        <f t="shared" si="6220"/>
        <v>0.16167664670658682</v>
      </c>
      <c r="R722" s="69">
        <f t="shared" ref="R722:S722" si="6221">IF(ISERROR(-R683/R682),"n.a.",-R683/R682)</f>
        <v>0.13253012048192772</v>
      </c>
      <c r="S722" s="69">
        <f t="shared" si="6221"/>
        <v>0.11832946635730858</v>
      </c>
      <c r="T722" s="69">
        <f t="shared" ref="T722:U722" si="6222">IF(ISERROR(-T683/T682),"n.a.",-T683/T682)</f>
        <v>0.12665198237885464</v>
      </c>
      <c r="U722" s="69" t="str">
        <f t="shared" si="6222"/>
        <v>n.a.</v>
      </c>
      <c r="V722" s="69" t="str">
        <f t="shared" ref="V722:W722" si="6223">IF(ISERROR(-V683/V682),"n.a.",-V683/V682)</f>
        <v>n.a.</v>
      </c>
      <c r="W722" s="69" t="str">
        <f t="shared" si="6223"/>
        <v>n.a.</v>
      </c>
      <c r="X722" s="69" t="str">
        <f t="shared" ref="X722:Y722" si="6224">IF(ISERROR(-X683/X682),"n.a.",-X683/X682)</f>
        <v>n.a.</v>
      </c>
      <c r="Y722" s="69" t="str">
        <f t="shared" si="6224"/>
        <v>n.a.</v>
      </c>
      <c r="Z722" s="69" t="str">
        <f t="shared" ref="Z722:AA722" si="6225">IF(ISERROR(-Z683/Z682),"n.a.",-Z683/Z682)</f>
        <v>n.a.</v>
      </c>
      <c r="AA722" s="69" t="str">
        <f t="shared" si="6225"/>
        <v>n.a.</v>
      </c>
      <c r="AB722" s="69" t="str">
        <f t="shared" ref="AB722:AC722" si="6226">IF(ISERROR(-AB683/AB682),"n.a.",-AB683/AB682)</f>
        <v>n.a.</v>
      </c>
      <c r="AC722" s="69" t="str">
        <f t="shared" si="6226"/>
        <v>n.a.</v>
      </c>
      <c r="AD722" s="69" t="str">
        <f t="shared" ref="AD722:AF722" si="6227">IF(ISERROR(-AD683/AD682),"n.a.",-AD683/AD682)</f>
        <v>n.a.</v>
      </c>
      <c r="AE722" s="69" t="str">
        <f t="shared" si="6227"/>
        <v>n.a.</v>
      </c>
      <c r="AF722" s="69" t="str">
        <f t="shared" si="6227"/>
        <v>n.a.</v>
      </c>
      <c r="AG722" s="69" t="str">
        <f t="shared" ref="AG722:AH722" si="6228">IF(ISERROR(-AG683/AG682),"n.a.",-AG683/AG682)</f>
        <v>n.a.</v>
      </c>
      <c r="AH722" s="69" t="str">
        <f t="shared" si="6228"/>
        <v>n.a.</v>
      </c>
      <c r="AI722" s="89" t="str">
        <f t="shared" ref="AI722:AJ722" si="6229">IF(ISERROR(-AI683/AI682),"n.a.",-AI683/AI682)</f>
        <v>n.a.</v>
      </c>
      <c r="AJ722" s="50" t="str">
        <f t="shared" si="6229"/>
        <v>n.a.</v>
      </c>
      <c r="AK722" s="50" t="str">
        <f t="shared" ref="AK722:AL722" si="6230">IF(ISERROR(-AK683/AK682),"n.a.",-AK683/AK682)</f>
        <v>n.a.</v>
      </c>
      <c r="AL722" s="50" t="str">
        <f t="shared" si="6230"/>
        <v>n.a.</v>
      </c>
      <c r="AM722" s="50" t="str">
        <f t="shared" ref="AM722:AN722" si="6231">IF(ISERROR(-AM683/AM682),"n.a.",-AM683/AM682)</f>
        <v>n.a.</v>
      </c>
      <c r="AN722" s="50" t="str">
        <f t="shared" si="6231"/>
        <v>n.a.</v>
      </c>
      <c r="AO722" s="50" t="str">
        <f t="shared" ref="AO722:AP722" si="6232">IF(ISERROR(-AO683/AO682),"n.a.",-AO683/AO682)</f>
        <v>n.a.</v>
      </c>
      <c r="AP722" s="50" t="str">
        <f t="shared" si="6232"/>
        <v>n.a.</v>
      </c>
      <c r="AQ722" s="50" t="str">
        <f t="shared" ref="AQ722:AR722" si="6233">IF(ISERROR(-AQ683/AQ682),"n.a.",-AQ683/AQ682)</f>
        <v>n.a.</v>
      </c>
      <c r="AR722" s="50" t="str">
        <f t="shared" si="6233"/>
        <v>n.a.</v>
      </c>
      <c r="AT722" s="50">
        <f t="shared" ref="AT722:BB722" si="6234">IF(ISERROR(-AT683/AT682),"n.a.",-AT683/AT682)</f>
        <v>0.2129032258064516</v>
      </c>
      <c r="AU722" s="50">
        <f t="shared" si="6234"/>
        <v>0.17009132420091325</v>
      </c>
      <c r="AV722" s="50">
        <f t="shared" si="6234"/>
        <v>0.15320334261838439</v>
      </c>
      <c r="AW722" s="50">
        <f t="shared" si="6234"/>
        <v>0.14448669201520911</v>
      </c>
      <c r="AX722" s="50">
        <f t="shared" si="6234"/>
        <v>0.14581607290803644</v>
      </c>
      <c r="AY722" s="50">
        <f t="shared" si="6234"/>
        <v>0.13362609786700125</v>
      </c>
      <c r="AZ722" s="50">
        <f t="shared" si="6234"/>
        <v>0.13871154962275101</v>
      </c>
      <c r="BA722" s="50">
        <f t="shared" si="6234"/>
        <v>0.1458219552157291</v>
      </c>
      <c r="BB722" s="50">
        <f t="shared" si="6234"/>
        <v>0.12259887005649718</v>
      </c>
      <c r="BC722" s="50" t="str">
        <f t="shared" ref="BC722:BH722" si="6235">IF(ISERROR(-BC683/BC682),"n.a.",-BC683/BC682)</f>
        <v>n.a.</v>
      </c>
      <c r="BD722" s="50" t="str">
        <f t="shared" si="6235"/>
        <v>n.a.</v>
      </c>
      <c r="BE722" s="50" t="str">
        <f t="shared" si="6235"/>
        <v>n.a.</v>
      </c>
      <c r="BF722" s="50" t="str">
        <f t="shared" si="6235"/>
        <v>n.a.</v>
      </c>
      <c r="BG722" s="50" t="str">
        <f t="shared" si="6235"/>
        <v>n.a.</v>
      </c>
      <c r="BH722" s="50" t="str">
        <f t="shared" si="6235"/>
        <v>n.a.</v>
      </c>
      <c r="BI722" s="51" t="str">
        <f t="shared" ref="BI722:BJ722" si="6236">IF(ISERROR(-BI683/BI682),"n.a.",-BI683/BI682)</f>
        <v>n.a.</v>
      </c>
      <c r="BJ722" s="50" t="str">
        <f t="shared" si="6236"/>
        <v>n.a.</v>
      </c>
      <c r="BK722" s="50" t="str">
        <f t="shared" ref="BK722" si="6237">IF(ISERROR(-BK683/BK682),"n.a.",-BK683/BK682)</f>
        <v>n.a.</v>
      </c>
      <c r="BL722" s="50" t="str">
        <f t="shared" ref="BL722" si="6238">IF(ISERROR(-BL683/BL682),"n.a.",-BL683/BL682)</f>
        <v>n.a.</v>
      </c>
      <c r="BM722" s="50" t="str">
        <f t="shared" ref="BM722" si="6239">IF(ISERROR(-BM683/BM682),"n.a.",-BM683/BM682)</f>
        <v>n.a.</v>
      </c>
      <c r="BN722" s="50" t="str">
        <f t="shared" ref="BN722" si="6240">IF(ISERROR(-BN683/BN682),"n.a.",-BN683/BN682)</f>
        <v>n.a.</v>
      </c>
    </row>
    <row r="723" spans="1:66" ht="12" hidden="1" customHeight="1" outlineLevel="2">
      <c r="B723" s="1" t="s">
        <v>1110</v>
      </c>
      <c r="C723" s="69" t="str">
        <f t="shared" ref="C723:BB723" si="6241">IF(OR(ISERROR(-(C683+C693)/C682),C693=""),"n.a.",-(C683+C693)/C682)</f>
        <v>n.a.</v>
      </c>
      <c r="D723" s="69" t="str">
        <f t="shared" si="6241"/>
        <v>n.a.</v>
      </c>
      <c r="E723" s="69" t="str">
        <f t="shared" si="6241"/>
        <v>n.a.</v>
      </c>
      <c r="F723" s="69" t="str">
        <f t="shared" si="6241"/>
        <v>n.a.</v>
      </c>
      <c r="G723" s="69">
        <f t="shared" si="6241"/>
        <v>0.87962679677805833</v>
      </c>
      <c r="H723" s="69">
        <f t="shared" si="6241"/>
        <v>0.39296340525242029</v>
      </c>
      <c r="I723" s="69">
        <f t="shared" si="6241"/>
        <v>0.25985269919740667</v>
      </c>
      <c r="J723" s="69">
        <f t="shared" si="6241"/>
        <v>0.287775430748129</v>
      </c>
      <c r="K723" s="69">
        <f t="shared" si="6241"/>
        <v>-7.9987191238716733</v>
      </c>
      <c r="L723" s="69">
        <f t="shared" ref="L723:M723" si="6242">IF(OR(ISERROR(-(L683+L693)/L682),L693=""),"n.a.",-(L683+L693)/L682)</f>
        <v>-8.023251750040119</v>
      </c>
      <c r="M723" s="69">
        <f t="shared" si="6242"/>
        <v>0.26221040278650642</v>
      </c>
      <c r="N723" s="69">
        <f t="shared" ref="N723:O723" si="6243">IF(OR(ISERROR(-(N683+N693)/N682),N693=""),"n.a.",-(N683+N693)/N682)</f>
        <v>0.32184602572262322</v>
      </c>
      <c r="O723" s="69">
        <f t="shared" si="6243"/>
        <v>0.21760948569887506</v>
      </c>
      <c r="P723" s="69">
        <f t="shared" ref="P723:Q723" si="6244">IF(OR(ISERROR(-(P683+P693)/P682),P693=""),"n.a.",-(P683+P693)/P682)</f>
        <v>0.24310897906749498</v>
      </c>
      <c r="Q723" s="69">
        <f t="shared" si="6244"/>
        <v>0.23938312248257687</v>
      </c>
      <c r="R723" s="69">
        <f t="shared" ref="R723:S723" si="6245">IF(OR(ISERROR(-(R683+R693)/R682),R693=""),"n.a.",-(R683+R693)/R682)</f>
        <v>0.2621586891403821</v>
      </c>
      <c r="S723" s="69">
        <f t="shared" si="6245"/>
        <v>9.1439120229925591E-2</v>
      </c>
      <c r="T723" s="69">
        <f t="shared" ref="T723:U723" si="6246">IF(OR(ISERROR(-(T683+T693)/T682),T693=""),"n.a.",-(T683+T693)/T682)</f>
        <v>0.14886599789149046</v>
      </c>
      <c r="U723" s="69" t="str">
        <f t="shared" si="6246"/>
        <v>n.a.</v>
      </c>
      <c r="V723" s="69" t="str">
        <f t="shared" ref="V723:W723" si="6247">IF(OR(ISERROR(-(V683+V693)/V682),V693=""),"n.a.",-(V683+V693)/V682)</f>
        <v>n.a.</v>
      </c>
      <c r="W723" s="69" t="str">
        <f t="shared" si="6247"/>
        <v>n.a.</v>
      </c>
      <c r="X723" s="69" t="str">
        <f t="shared" ref="X723:Y723" si="6248">IF(OR(ISERROR(-(X683+X693)/X682),X693=""),"n.a.",-(X683+X693)/X682)</f>
        <v>n.a.</v>
      </c>
      <c r="Y723" s="69" t="str">
        <f t="shared" si="6248"/>
        <v>n.a.</v>
      </c>
      <c r="Z723" s="69" t="str">
        <f t="shared" ref="Z723:AA723" si="6249">IF(OR(ISERROR(-(Z683+Z693)/Z682),Z693=""),"n.a.",-(Z683+Z693)/Z682)</f>
        <v>n.a.</v>
      </c>
      <c r="AA723" s="69" t="str">
        <f t="shared" si="6249"/>
        <v>n.a.</v>
      </c>
      <c r="AB723" s="69" t="str">
        <f t="shared" ref="AB723:AC723" si="6250">IF(OR(ISERROR(-(AB683+AB693)/AB682),AB693=""),"n.a.",-(AB683+AB693)/AB682)</f>
        <v>n.a.</v>
      </c>
      <c r="AC723" s="69" t="str">
        <f t="shared" si="6250"/>
        <v>n.a.</v>
      </c>
      <c r="AD723" s="69" t="str">
        <f t="shared" ref="AD723:AF723" si="6251">IF(OR(ISERROR(-(AD683+AD693)/AD682),AD693=""),"n.a.",-(AD683+AD693)/AD682)</f>
        <v>n.a.</v>
      </c>
      <c r="AE723" s="69" t="str">
        <f t="shared" si="6251"/>
        <v>n.a.</v>
      </c>
      <c r="AF723" s="69" t="str">
        <f t="shared" si="6251"/>
        <v>n.a.</v>
      </c>
      <c r="AG723" s="69" t="str">
        <f t="shared" ref="AG723:AH723" si="6252">IF(OR(ISERROR(-(AG683+AG693)/AG682),AG693=""),"n.a.",-(AG683+AG693)/AG682)</f>
        <v>n.a.</v>
      </c>
      <c r="AH723" s="69" t="str">
        <f t="shared" si="6252"/>
        <v>n.a.</v>
      </c>
      <c r="AI723" s="89" t="s">
        <v>55</v>
      </c>
      <c r="AJ723" s="56" t="s">
        <v>55</v>
      </c>
      <c r="AK723" s="56" t="s">
        <v>55</v>
      </c>
      <c r="AL723" s="56" t="s">
        <v>55</v>
      </c>
      <c r="AM723" s="56" t="s">
        <v>55</v>
      </c>
      <c r="AN723" s="56" t="s">
        <v>55</v>
      </c>
      <c r="AO723" s="56" t="s">
        <v>55</v>
      </c>
      <c r="AP723" s="56" t="s">
        <v>55</v>
      </c>
      <c r="AQ723" s="56" t="s">
        <v>55</v>
      </c>
      <c r="AR723" s="56" t="s">
        <v>55</v>
      </c>
      <c r="AT723" s="69" t="str">
        <f t="shared" si="6241"/>
        <v>n.a.</v>
      </c>
      <c r="AU723" s="69" t="str">
        <f t="shared" si="6241"/>
        <v>n.a.</v>
      </c>
      <c r="AV723" s="69">
        <f t="shared" si="6241"/>
        <v>0.63155047184994761</v>
      </c>
      <c r="AW723" s="69">
        <f t="shared" si="6241"/>
        <v>0.2743183728619919</v>
      </c>
      <c r="AX723" s="69">
        <f t="shared" si="6241"/>
        <v>-8.0115037318749476</v>
      </c>
      <c r="AY723" s="69">
        <f t="shared" si="6241"/>
        <v>0.29610618345157658</v>
      </c>
      <c r="AZ723" s="69">
        <f t="shared" si="6241"/>
        <v>0.23033703317247528</v>
      </c>
      <c r="BA723" s="69">
        <f t="shared" si="6241"/>
        <v>0.25177223465689363</v>
      </c>
      <c r="BB723" s="69">
        <f t="shared" si="6241"/>
        <v>0.12089878402467184</v>
      </c>
      <c r="BC723" s="69" t="str">
        <f t="shared" ref="BC723:BH723" si="6253">IF(OR(ISERROR(-(BC683+BC693)/BC682),BC693=""),"n.a.",-(BC683+BC693)/BC682)</f>
        <v>n.a.</v>
      </c>
      <c r="BD723" s="69" t="str">
        <f t="shared" si="6253"/>
        <v>n.a.</v>
      </c>
      <c r="BE723" s="69" t="str">
        <f t="shared" si="6253"/>
        <v>n.a.</v>
      </c>
      <c r="BF723" s="69" t="str">
        <f t="shared" si="6253"/>
        <v>n.a.</v>
      </c>
      <c r="BG723" s="69" t="str">
        <f t="shared" si="6253"/>
        <v>n.a.</v>
      </c>
      <c r="BH723" s="69" t="str">
        <f t="shared" si="6253"/>
        <v>n.a.</v>
      </c>
      <c r="BI723" s="89" t="str">
        <f t="shared" ref="BI723:BJ723" si="6254">IF(OR(ISERROR(-(BI683+BI693)/BI682),BI693=""),"n.a.",-(BI683+BI693)/BI682)</f>
        <v>n.a.</v>
      </c>
      <c r="BJ723" s="69" t="str">
        <f t="shared" si="6254"/>
        <v>n.a.</v>
      </c>
      <c r="BK723" s="69" t="str">
        <f t="shared" ref="BK723" si="6255">IF(OR(ISERROR(-(BK683+BK693)/BK682),BK693=""),"n.a.",-(BK683+BK693)/BK682)</f>
        <v>n.a.</v>
      </c>
      <c r="BL723" s="69" t="str">
        <f t="shared" ref="BL723" si="6256">IF(OR(ISERROR(-(BL683+BL693)/BL682),BL693=""),"n.a.",-(BL683+BL693)/BL682)</f>
        <v>n.a.</v>
      </c>
      <c r="BM723" s="69" t="str">
        <f t="shared" ref="BM723" si="6257">IF(OR(ISERROR(-(BM683+BM693)/BM682),BM693=""),"n.a.",-(BM683+BM693)/BM682)</f>
        <v>n.a.</v>
      </c>
      <c r="BN723" s="69" t="str">
        <f t="shared" ref="BN723" si="6258">IF(OR(ISERROR(-(BN683+BN693)/BN682),BN693=""),"n.a.",-(BN683+BN693)/BN682)</f>
        <v>n.a.</v>
      </c>
    </row>
    <row r="724" spans="1:66" ht="12" hidden="1" customHeight="1" outlineLevel="2">
      <c r="B724" s="1" t="s">
        <v>79</v>
      </c>
      <c r="C724" s="37">
        <f t="shared" ref="C724:AD724" si="6259">IF(ISERROR(-C685*C$5/AVERAGE(B700:C700)),"n.a.",-C685*C$5/AVERAGE(B700:C700))</f>
        <v>9.0572967071143214E-3</v>
      </c>
      <c r="D724" s="37">
        <f t="shared" si="6259"/>
        <v>6.6452945094392004E-3</v>
      </c>
      <c r="E724" s="37">
        <f t="shared" si="6259"/>
        <v>7.8797063601269909E-3</v>
      </c>
      <c r="F724" s="37">
        <f t="shared" si="6259"/>
        <v>9.2815228632631142E-3</v>
      </c>
      <c r="G724" s="37">
        <f t="shared" si="6259"/>
        <v>8.1193353474320242E-3</v>
      </c>
      <c r="H724" s="37">
        <f t="shared" si="6259"/>
        <v>1.0028982840318352E-2</v>
      </c>
      <c r="I724" s="37">
        <f t="shared" si="6259"/>
        <v>8.2122359224684818E-3</v>
      </c>
      <c r="J724" s="37">
        <f t="shared" si="6259"/>
        <v>8.837475787737567E-3</v>
      </c>
      <c r="K724" s="37">
        <f t="shared" si="6259"/>
        <v>7.6207763107801882E-3</v>
      </c>
      <c r="L724" s="37">
        <f t="shared" si="6259"/>
        <v>7.509780349946947E-3</v>
      </c>
      <c r="M724" s="78">
        <f t="shared" si="6259"/>
        <v>8.5902905094446709E-3</v>
      </c>
      <c r="N724" s="78">
        <f t="shared" si="6259"/>
        <v>9.4804698770145635E-3</v>
      </c>
      <c r="O724" s="78">
        <f t="shared" si="6259"/>
        <v>8.6963225657235368E-3</v>
      </c>
      <c r="P724" s="78">
        <f t="shared" si="6259"/>
        <v>1.0927952064828625E-2</v>
      </c>
      <c r="Q724" s="78">
        <f t="shared" si="6259"/>
        <v>8.6964920877016325E-3</v>
      </c>
      <c r="R724" s="78">
        <f t="shared" si="6259"/>
        <v>9.3727932207742191E-3</v>
      </c>
      <c r="S724" s="78">
        <f t="shared" si="6259"/>
        <v>8.1241660480680065E-3</v>
      </c>
      <c r="T724" s="78">
        <f t="shared" si="6259"/>
        <v>1.2878153025161517E-2</v>
      </c>
      <c r="U724" s="78">
        <f t="shared" si="6259"/>
        <v>0</v>
      </c>
      <c r="V724" s="78" t="str">
        <f t="shared" si="6259"/>
        <v>n.a.</v>
      </c>
      <c r="W724" s="78" t="str">
        <f t="shared" si="6259"/>
        <v>n.a.</v>
      </c>
      <c r="X724" s="78" t="str">
        <f t="shared" si="6259"/>
        <v>n.a.</v>
      </c>
      <c r="Y724" s="78" t="str">
        <f t="shared" si="6259"/>
        <v>n.a.</v>
      </c>
      <c r="Z724" s="78" t="str">
        <f t="shared" si="6259"/>
        <v>n.a.</v>
      </c>
      <c r="AA724" s="78" t="str">
        <f t="shared" si="6259"/>
        <v>n.a.</v>
      </c>
      <c r="AB724" s="78" t="str">
        <f t="shared" si="6259"/>
        <v>n.a.</v>
      </c>
      <c r="AC724" s="78" t="str">
        <f t="shared" si="6259"/>
        <v>n.a.</v>
      </c>
      <c r="AD724" s="78" t="str">
        <f t="shared" si="6259"/>
        <v>n.a.</v>
      </c>
      <c r="AE724" s="78" t="str">
        <f t="shared" ref="AE724" si="6260">IF(ISERROR(-AE685*AE$5/AVERAGE(AD700:AE700)),"n.a.",-AE685*AE$5/AVERAGE(AD700:AE700))</f>
        <v>n.a.</v>
      </c>
      <c r="AF724" s="78" t="str">
        <f t="shared" ref="AF724:AH724" si="6261">IF(ISERROR(-AF685*AF$5/AVERAGE(AE700:AF700)),"n.a.",-AF685*AF$5/AVERAGE(AE700:AF700))</f>
        <v>n.a.</v>
      </c>
      <c r="AG724" s="78" t="str">
        <f t="shared" si="6261"/>
        <v>n.a.</v>
      </c>
      <c r="AH724" s="78" t="str">
        <f t="shared" si="6261"/>
        <v>n.a.</v>
      </c>
      <c r="AI724" s="88" t="s">
        <v>55</v>
      </c>
      <c r="AJ724" s="56" t="s">
        <v>55</v>
      </c>
      <c r="AK724" s="56" t="s">
        <v>55</v>
      </c>
      <c r="AL724" s="56" t="s">
        <v>55</v>
      </c>
      <c r="AM724" s="56" t="s">
        <v>55</v>
      </c>
      <c r="AN724" s="56" t="s">
        <v>55</v>
      </c>
      <c r="AO724" s="56" t="s">
        <v>55</v>
      </c>
      <c r="AP724" s="56" t="s">
        <v>55</v>
      </c>
      <c r="AQ724" s="56" t="s">
        <v>55</v>
      </c>
      <c r="AR724" s="56" t="s">
        <v>55</v>
      </c>
      <c r="AT724" s="37">
        <f>IF(ISERROR(-AT685*AT$5/AVERAGE(T700:AT700)),"n.a.",-AT685*AT$5/AVERAGE(T700:AT700))</f>
        <v>7.1857805725297291E-2</v>
      </c>
      <c r="AU724" s="37">
        <f t="shared" ref="AU724:BH724" si="6262">IF(ISERROR(-AU685*AU$5/AVERAGE(AT700:AU700)),"n.a.",-AU685*AU$5/AVERAGE(AT700:AU700))</f>
        <v>8.4528051711278696E-3</v>
      </c>
      <c r="AV724" s="37">
        <f t="shared" si="6262"/>
        <v>9.1916097101107704E-3</v>
      </c>
      <c r="AW724" s="37">
        <f t="shared" si="6262"/>
        <v>8.5006530449604854E-3</v>
      </c>
      <c r="AX724" s="37">
        <f t="shared" si="6262"/>
        <v>7.6879955153359497E-3</v>
      </c>
      <c r="AY724" s="37">
        <f t="shared" si="6262"/>
        <v>9.1111346540947141E-3</v>
      </c>
      <c r="AZ724" s="37">
        <f t="shared" si="6262"/>
        <v>9.7895802858107353E-3</v>
      </c>
      <c r="BA724" s="37">
        <f t="shared" si="6262"/>
        <v>9.0445151836693449E-3</v>
      </c>
      <c r="BB724" s="37">
        <f t="shared" si="6262"/>
        <v>1.1311816174930309E-2</v>
      </c>
      <c r="BC724" s="37">
        <f t="shared" si="6262"/>
        <v>0</v>
      </c>
      <c r="BD724" s="37" t="str">
        <f t="shared" si="6262"/>
        <v>n.a.</v>
      </c>
      <c r="BE724" s="37" t="str">
        <f t="shared" si="6262"/>
        <v>n.a.</v>
      </c>
      <c r="BF724" s="37" t="str">
        <f t="shared" si="6262"/>
        <v>n.a.</v>
      </c>
      <c r="BG724" s="37" t="str">
        <f t="shared" si="6262"/>
        <v>n.a.</v>
      </c>
      <c r="BH724" s="37" t="str">
        <f t="shared" si="6262"/>
        <v>n.a.</v>
      </c>
      <c r="BI724" s="38" t="str">
        <f>IF(ISERROR(-BI685*BI$5/AVERAGE(BI700:BI700)),"n.a.",-BI685*BI$5/AVERAGE(BI700:BI700))</f>
        <v>n.a.</v>
      </c>
      <c r="BJ724" s="37" t="str">
        <f>IF(ISERROR(-BJ685*BJ$5/AVERAGE(BJ700:BJ700)),"n.a.",-BJ685*BJ$5/AVERAGE(BJ700:BJ700))</f>
        <v>n.a.</v>
      </c>
      <c r="BK724" s="37" t="str">
        <f>IF(ISERROR(-BK685*BK$5/AVERAGE(BK700:BK700)),"n.a.",-BK685*BK$5/AVERAGE(BK700:BK700))</f>
        <v>n.a.</v>
      </c>
      <c r="BL724" s="37" t="str">
        <f>IF(ISERROR(-BL685*BL$5/AVERAGE(BL700:BL700)),"n.a.",-BL685*BL$5/AVERAGE(BL700:BL700))</f>
        <v>n.a.</v>
      </c>
      <c r="BM724" s="37" t="str">
        <f>IF(ISERROR(-BM685*BM$5/AVERAGE(BM700:BM700)),"n.a.",-BM685*BM$5/AVERAGE(BM700:BM700))</f>
        <v>n.a.</v>
      </c>
      <c r="BN724" s="37" t="str">
        <f>IF(ISERROR(-BN685*BO$5/AVERAGE(BN700:BN700)),"n.a.",-BN685*BO$5/AVERAGE(BN700:BN700))</f>
        <v>n.a.</v>
      </c>
    </row>
    <row r="725" spans="1:66" ht="12" hidden="1" customHeight="1" outlineLevel="2">
      <c r="B725" s="1" t="s">
        <v>68</v>
      </c>
      <c r="C725" s="50" t="str">
        <f>IF(ISERROR(C685/B685),"n.a.",C685/B685-1)</f>
        <v>n.a.</v>
      </c>
      <c r="D725" s="50">
        <f>IF(ISERROR(D685/C685),"n.a.",D685/C685-1)</f>
        <v>-0.21311475409836067</v>
      </c>
      <c r="E725" s="50">
        <f t="shared" ref="E725:M725" si="6263">IF(ISERROR(E685/D685),"n.a.",E685/D685-1)</f>
        <v>0.35416666666666674</v>
      </c>
      <c r="F725" s="50">
        <f t="shared" si="6263"/>
        <v>0.35384615384615392</v>
      </c>
      <c r="G725" s="50">
        <f t="shared" si="6263"/>
        <v>-2.2727272727272707E-2</v>
      </c>
      <c r="H725" s="50">
        <f t="shared" si="6263"/>
        <v>0.26744186046511631</v>
      </c>
      <c r="I725" s="50">
        <f t="shared" si="6263"/>
        <v>-0.16513761467889909</v>
      </c>
      <c r="J725" s="50">
        <f t="shared" si="6263"/>
        <v>0.10989010989010994</v>
      </c>
      <c r="K725" s="50">
        <f t="shared" si="6263"/>
        <v>-6.9306930693069257E-2</v>
      </c>
      <c r="L725" s="50">
        <f t="shared" si="6263"/>
        <v>4.2553191489361764E-2</v>
      </c>
      <c r="M725" s="69">
        <f t="shared" si="6263"/>
        <v>0.21428571428571419</v>
      </c>
      <c r="N725" s="69">
        <f t="shared" ref="N725" si="6264">IF(ISERROR(N685/M685),"n.a.",N685/M685-1)</f>
        <v>0.16806722689075637</v>
      </c>
      <c r="O725" s="69">
        <f t="shared" ref="O725:AD725" si="6265">IF(ISERROR(O685/N685),"n.a.",O685/N685-1)</f>
        <v>1.4388489208633004E-2</v>
      </c>
      <c r="P725" s="69">
        <f t="shared" si="6265"/>
        <v>0.46808510638297873</v>
      </c>
      <c r="Q725" s="69">
        <f t="shared" si="6265"/>
        <v>-0.14975845410628019</v>
      </c>
      <c r="R725" s="69">
        <f t="shared" si="6265"/>
        <v>3.4090909090909172E-2</v>
      </c>
      <c r="S725" s="69">
        <f t="shared" si="6265"/>
        <v>-0.15384615384615385</v>
      </c>
      <c r="T725" s="69">
        <f t="shared" si="6265"/>
        <v>0.27922077922077926</v>
      </c>
      <c r="U725" s="69">
        <f t="shared" si="6265"/>
        <v>-1</v>
      </c>
      <c r="V725" s="69" t="str">
        <f t="shared" si="6265"/>
        <v>n.a.</v>
      </c>
      <c r="W725" s="69" t="str">
        <f t="shared" si="6265"/>
        <v>n.a.</v>
      </c>
      <c r="X725" s="69" t="str">
        <f t="shared" si="6265"/>
        <v>n.a.</v>
      </c>
      <c r="Y725" s="69" t="str">
        <f t="shared" si="6265"/>
        <v>n.a.</v>
      </c>
      <c r="Z725" s="69" t="str">
        <f t="shared" si="6265"/>
        <v>n.a.</v>
      </c>
      <c r="AA725" s="69" t="str">
        <f t="shared" si="6265"/>
        <v>n.a.</v>
      </c>
      <c r="AB725" s="69" t="str">
        <f t="shared" si="6265"/>
        <v>n.a.</v>
      </c>
      <c r="AC725" s="69" t="str">
        <f t="shared" si="6265"/>
        <v>n.a.</v>
      </c>
      <c r="AD725" s="69" t="str">
        <f t="shared" si="6265"/>
        <v>n.a.</v>
      </c>
      <c r="AE725" s="69" t="str">
        <f t="shared" ref="AE725" si="6266">IF(ISERROR(AE685/AD685),"n.a.",AE685/AD685-1)</f>
        <v>n.a.</v>
      </c>
      <c r="AF725" s="69" t="str">
        <f t="shared" ref="AF725:AH725" si="6267">IF(ISERROR(AF685/AE685),"n.a.",AF685/AE685-1)</f>
        <v>n.a.</v>
      </c>
      <c r="AG725" s="69" t="str">
        <f t="shared" si="6267"/>
        <v>n.a.</v>
      </c>
      <c r="AH725" s="69" t="str">
        <f t="shared" si="6267"/>
        <v>n.a.</v>
      </c>
      <c r="AI725" s="89" t="str">
        <f t="shared" ref="AI725" si="6268">IF(ISERROR(AI685/AH685),"n.a.",AI685/AH685-1)</f>
        <v>n.a.</v>
      </c>
      <c r="AJ725" s="50" t="str">
        <f t="shared" ref="AJ725" si="6269">IF(ISERROR(AJ685/AI685),"n.a.",AJ685/AI685-1)</f>
        <v>n.a.</v>
      </c>
      <c r="AK725" s="50" t="str">
        <f t="shared" ref="AK725" si="6270">IF(ISERROR(AK685/AJ685),"n.a.",AK685/AJ685-1)</f>
        <v>n.a.</v>
      </c>
      <c r="AL725" s="50" t="str">
        <f t="shared" ref="AL725" si="6271">IF(ISERROR(AL685/AK685),"n.a.",AL685/AK685-1)</f>
        <v>n.a.</v>
      </c>
      <c r="AM725" s="50" t="str">
        <f t="shared" ref="AM725" si="6272">IF(ISERROR(AM685/AL685),"n.a.",AM685/AL685-1)</f>
        <v>n.a.</v>
      </c>
      <c r="AN725" s="50" t="str">
        <f t="shared" ref="AN725" si="6273">IF(ISERROR(AN685/AM685),"n.a.",AN685/AM685-1)</f>
        <v>n.a.</v>
      </c>
      <c r="AO725" s="50" t="str">
        <f t="shared" ref="AO725" si="6274">IF(ISERROR(AO685/AN685),"n.a.",AO685/AN685-1)</f>
        <v>n.a.</v>
      </c>
      <c r="AP725" s="50" t="str">
        <f t="shared" ref="AP725" si="6275">IF(ISERROR(AP685/AO685),"n.a.",AP685/AO685-1)</f>
        <v>n.a.</v>
      </c>
      <c r="AQ725" s="50" t="str">
        <f t="shared" ref="AQ725" si="6276">IF(ISERROR(AQ685/AP685),"n.a.",AQ685/AP685-1)</f>
        <v>n.a.</v>
      </c>
      <c r="AR725" s="50" t="str">
        <f t="shared" ref="AR725" si="6277">IF(ISERROR(AR685/AQ685),"n.a.",AR685/AQ685-1)</f>
        <v>n.a.</v>
      </c>
      <c r="AT725" s="50">
        <f>IF(ISERROR(AT685/T685),"n.a.",AT685/T685-1)</f>
        <v>-0.4467005076142132</v>
      </c>
      <c r="AU725" s="50">
        <f>IF(ISERROR(AU685/AT685),"n.a.",AU685/AT685-1)</f>
        <v>0.40366972477064222</v>
      </c>
      <c r="AV725" s="50">
        <f>IF(ISERROR(AV685/AU685),"n.a.",AV685/AU685-1)</f>
        <v>0.27450980392156854</v>
      </c>
      <c r="AW725" s="50">
        <f>IF(ISERROR(AW685/AV685),"n.a.",AW685/AV685-1)</f>
        <v>-1.538461538461533E-2</v>
      </c>
      <c r="AX725" s="50">
        <f t="shared" ref="AX725:BB725" si="6278">IF(ISERROR(AX685/AW685),"n.a.",AX685/AW685-1)</f>
        <v>0</v>
      </c>
      <c r="AY725" s="50">
        <f t="shared" si="6278"/>
        <v>0.34375</v>
      </c>
      <c r="AZ725" s="50">
        <f t="shared" si="6278"/>
        <v>0.34883720930232553</v>
      </c>
      <c r="BA725" s="50">
        <f t="shared" si="6278"/>
        <v>2.8735632183908066E-2</v>
      </c>
      <c r="BB725" s="50">
        <f t="shared" si="6278"/>
        <v>-1.9553072625698276E-2</v>
      </c>
      <c r="BC725" s="50">
        <f t="shared" ref="BC725" si="6279">IF(ISERROR(BC685/BB685),"n.a.",BC685/BB685-1)</f>
        <v>-1</v>
      </c>
      <c r="BD725" s="50" t="str">
        <f t="shared" ref="BD725" si="6280">IF(ISERROR(BD685/BC685),"n.a.",BD685/BC685-1)</f>
        <v>n.a.</v>
      </c>
      <c r="BE725" s="50" t="str">
        <f t="shared" ref="BE725" si="6281">IF(ISERROR(BE685/BD685),"n.a.",BE685/BD685-1)</f>
        <v>n.a.</v>
      </c>
      <c r="BF725" s="50" t="str">
        <f t="shared" ref="BF725" si="6282">IF(ISERROR(BF685/BE685),"n.a.",BF685/BE685-1)</f>
        <v>n.a.</v>
      </c>
      <c r="BG725" s="50" t="str">
        <f t="shared" ref="BG725" si="6283">IF(ISERROR(BG685/BF685),"n.a.",BG685/BF685-1)</f>
        <v>n.a.</v>
      </c>
      <c r="BH725" s="50" t="str">
        <f t="shared" ref="BH725" si="6284">IF(ISERROR(BH685/BG685),"n.a.",BH685/BG685-1)</f>
        <v>n.a.</v>
      </c>
      <c r="BI725" s="51" t="str">
        <f>IF(ISERROR(BI685/#REF!),"n.a.",BI685/#REF!-1)</f>
        <v>n.a.</v>
      </c>
      <c r="BJ725" s="50" t="str">
        <f>IF(ISERROR(BJ685/#REF!),"n.a.",BJ685/#REF!-1)</f>
        <v>n.a.</v>
      </c>
      <c r="BK725" s="50" t="str">
        <f>IF(ISERROR(BK685/#REF!),"n.a.",BK685/#REF!-1)</f>
        <v>n.a.</v>
      </c>
      <c r="BL725" s="50" t="str">
        <f>IF(ISERROR(BL685/#REF!),"n.a.",BL685/#REF!-1)</f>
        <v>n.a.</v>
      </c>
      <c r="BM725" s="50" t="str">
        <f>IF(ISERROR(BM685/#REF!),"n.a.",BM685/#REF!-1)</f>
        <v>n.a.</v>
      </c>
      <c r="BN725" s="50" t="str">
        <f>IF(ISERROR(BN685/#REF!),"n.a.",BN685/#REF!-1)</f>
        <v>n.a.</v>
      </c>
    </row>
    <row r="726" spans="1:66" ht="12" hidden="1" customHeight="1" outlineLevel="2">
      <c r="B726" s="1" t="s">
        <v>80</v>
      </c>
      <c r="C726" s="50">
        <f>IF(ISERROR(-SUM(C683:C685)/C682),"n.a.",-SUM(C683:C685)/C682)</f>
        <v>0.44680851063829785</v>
      </c>
      <c r="D726" s="50">
        <f>IF(ISERROR(-SUM(D683:D685)/D682),"n.a.",-SUM(D683:D685)/D682)</f>
        <v>0.44782608695652176</v>
      </c>
      <c r="E726" s="50">
        <f t="shared" ref="E726:J726" si="6285">IF(ISERROR(-SUM(E683:E685)/E682),"n.a.",-SUM(E683:E685)/E682)</f>
        <v>0.35770234986945171</v>
      </c>
      <c r="F726" s="50">
        <f t="shared" si="6285"/>
        <v>0.33468559837728196</v>
      </c>
      <c r="G726" s="50">
        <f t="shared" si="6285"/>
        <v>0.31628787878787878</v>
      </c>
      <c r="H726" s="50">
        <f t="shared" si="6285"/>
        <v>0.38069216757741348</v>
      </c>
      <c r="I726" s="50">
        <f t="shared" si="6285"/>
        <v>0.33925049309664695</v>
      </c>
      <c r="J726" s="50">
        <f t="shared" si="6285"/>
        <v>0.34128440366972479</v>
      </c>
      <c r="K726" s="50">
        <f t="shared" ref="K726:L726" si="6286">IF(ISERROR(-SUM(K683:K685)/K682),"n.a.",-SUM(K683:K685)/K682)</f>
        <v>0.31487889273356401</v>
      </c>
      <c r="L726" s="50">
        <f t="shared" si="6286"/>
        <v>0.31637519872813991</v>
      </c>
      <c r="M726" s="69">
        <f t="shared" ref="M726" si="6287">IF(ISERROR(-SUM(M683:M685)/M682),"n.a.",-SUM(M683:M685)/M682)</f>
        <v>0.31976744186046513</v>
      </c>
      <c r="N726" s="69">
        <f t="shared" ref="N726:O726" si="6288">IF(ISERROR(-SUM(N683:N685)/N682),"n.a.",-SUM(N683:N685)/N682)</f>
        <v>0.28918322295805737</v>
      </c>
      <c r="O726" s="69">
        <f t="shared" si="6288"/>
        <v>0.29200463499420626</v>
      </c>
      <c r="P726" s="69">
        <f t="shared" ref="P726:Q726" si="6289">IF(ISERROR(-SUM(P683:P685)/P682),"n.a.",-SUM(P683:P685)/P682)</f>
        <v>0.39767441860465114</v>
      </c>
      <c r="Q726" s="69">
        <f t="shared" si="6289"/>
        <v>0.3772455089820359</v>
      </c>
      <c r="R726" s="69">
        <f t="shared" ref="R726:S726" si="6290">IF(ISERROR(-SUM(R683:R685)/R682),"n.a.",-SUM(R683:R685)/R682)</f>
        <v>0.32028112449799195</v>
      </c>
      <c r="S726" s="69">
        <f t="shared" si="6290"/>
        <v>0.34454756380510443</v>
      </c>
      <c r="T726" s="69">
        <f t="shared" ref="T726:U726" si="6291">IF(ISERROR(-SUM(T683:T685)/T682),"n.a.",-SUM(T683:T685)/T682)</f>
        <v>0.36233480176211452</v>
      </c>
      <c r="U726" s="69" t="str">
        <f t="shared" si="6291"/>
        <v>n.a.</v>
      </c>
      <c r="V726" s="69" t="str">
        <f t="shared" ref="V726:W726" si="6292">IF(ISERROR(-SUM(V683:V685)/V682),"n.a.",-SUM(V683:V685)/V682)</f>
        <v>n.a.</v>
      </c>
      <c r="W726" s="69" t="str">
        <f t="shared" si="6292"/>
        <v>n.a.</v>
      </c>
      <c r="X726" s="69" t="str">
        <f t="shared" ref="X726:Y726" si="6293">IF(ISERROR(-SUM(X683:X685)/X682),"n.a.",-SUM(X683:X685)/X682)</f>
        <v>n.a.</v>
      </c>
      <c r="Y726" s="69" t="str">
        <f t="shared" si="6293"/>
        <v>n.a.</v>
      </c>
      <c r="Z726" s="69" t="str">
        <f t="shared" ref="Z726:AA726" si="6294">IF(ISERROR(-SUM(Z683:Z685)/Z682),"n.a.",-SUM(Z683:Z685)/Z682)</f>
        <v>n.a.</v>
      </c>
      <c r="AA726" s="69" t="str">
        <f t="shared" si="6294"/>
        <v>n.a.</v>
      </c>
      <c r="AB726" s="69" t="str">
        <f t="shared" ref="AB726:AC726" si="6295">IF(ISERROR(-SUM(AB683:AB685)/AB682),"n.a.",-SUM(AB683:AB685)/AB682)</f>
        <v>n.a.</v>
      </c>
      <c r="AC726" s="69" t="str">
        <f t="shared" si="6295"/>
        <v>n.a.</v>
      </c>
      <c r="AD726" s="69" t="str">
        <f t="shared" ref="AD726:AF726" si="6296">IF(ISERROR(-SUM(AD683:AD685)/AD682),"n.a.",-SUM(AD683:AD685)/AD682)</f>
        <v>n.a.</v>
      </c>
      <c r="AE726" s="69" t="str">
        <f t="shared" si="6296"/>
        <v>n.a.</v>
      </c>
      <c r="AF726" s="69" t="str">
        <f t="shared" si="6296"/>
        <v>n.a.</v>
      </c>
      <c r="AG726" s="69" t="str">
        <f t="shared" ref="AG726:AH726" si="6297">IF(ISERROR(-SUM(AG683:AG685)/AG682),"n.a.",-SUM(AG683:AG685)/AG682)</f>
        <v>n.a.</v>
      </c>
      <c r="AH726" s="69" t="str">
        <f t="shared" si="6297"/>
        <v>n.a.</v>
      </c>
      <c r="AI726" s="89" t="str">
        <f t="shared" ref="AI726:AJ726" si="6298">IF(ISERROR(-SUM(AI683:AI685)/AI682),"n.a.",-SUM(AI683:AI685)/AI682)</f>
        <v>n.a.</v>
      </c>
      <c r="AJ726" s="69" t="str">
        <f t="shared" si="6298"/>
        <v>n.a.</v>
      </c>
      <c r="AK726" s="69" t="str">
        <f t="shared" ref="AK726:AL726" si="6299">IF(ISERROR(-SUM(AK683:AK685)/AK682),"n.a.",-SUM(AK683:AK685)/AK682)</f>
        <v>n.a.</v>
      </c>
      <c r="AL726" s="69" t="str">
        <f t="shared" si="6299"/>
        <v>n.a.</v>
      </c>
      <c r="AM726" s="69" t="str">
        <f t="shared" ref="AM726:AN726" si="6300">IF(ISERROR(-SUM(AM683:AM685)/AM682),"n.a.",-SUM(AM683:AM685)/AM682)</f>
        <v>n.a.</v>
      </c>
      <c r="AN726" s="69" t="str">
        <f t="shared" si="6300"/>
        <v>n.a.</v>
      </c>
      <c r="AO726" s="69" t="str">
        <f t="shared" ref="AO726:AP726" si="6301">IF(ISERROR(-SUM(AO683:AO685)/AO682),"n.a.",-SUM(AO683:AO685)/AO682)</f>
        <v>n.a.</v>
      </c>
      <c r="AP726" s="69" t="str">
        <f t="shared" si="6301"/>
        <v>n.a.</v>
      </c>
      <c r="AQ726" s="69" t="str">
        <f t="shared" ref="AQ726:AR726" si="6302">IF(ISERROR(-SUM(AQ683:AQ685)/AQ682),"n.a.",-SUM(AQ683:AQ685)/AQ682)</f>
        <v>n.a.</v>
      </c>
      <c r="AR726" s="69" t="str">
        <f t="shared" si="6302"/>
        <v>n.a.</v>
      </c>
      <c r="AT726" s="50">
        <f t="shared" ref="AT726:BB726" si="6303">IF(ISERROR(-SUM(AT683:AT685)/AT682),"n.a.",-SUM(AT683:AT685)/AT682)</f>
        <v>0.44731182795698926</v>
      </c>
      <c r="AU726" s="50">
        <f t="shared" si="6303"/>
        <v>0.34474885844748859</v>
      </c>
      <c r="AV726" s="50">
        <f t="shared" si="6303"/>
        <v>0.3491179201485608</v>
      </c>
      <c r="AW726" s="50">
        <f t="shared" si="6303"/>
        <v>0.34030418250950573</v>
      </c>
      <c r="AX726" s="50">
        <f t="shared" si="6303"/>
        <v>0.31565865782932889</v>
      </c>
      <c r="AY726" s="50">
        <f t="shared" si="6303"/>
        <v>0.30238393977415307</v>
      </c>
      <c r="AZ726" s="50">
        <f t="shared" si="6303"/>
        <v>0.34474753337202552</v>
      </c>
      <c r="BA726" s="50">
        <f t="shared" si="6303"/>
        <v>0.3462588749317313</v>
      </c>
      <c r="BB726" s="50">
        <f t="shared" si="6303"/>
        <v>0.35367231638418078</v>
      </c>
      <c r="BC726" s="50" t="str">
        <f t="shared" ref="BC726:BH726" si="6304">IF(ISERROR(-SUM(BC683:BC685)/BC682),"n.a.",-SUM(BC683:BC685)/BC682)</f>
        <v>n.a.</v>
      </c>
      <c r="BD726" s="50" t="str">
        <f t="shared" si="6304"/>
        <v>n.a.</v>
      </c>
      <c r="BE726" s="50" t="str">
        <f t="shared" si="6304"/>
        <v>n.a.</v>
      </c>
      <c r="BF726" s="50" t="str">
        <f t="shared" si="6304"/>
        <v>n.a.</v>
      </c>
      <c r="BG726" s="50" t="str">
        <f t="shared" si="6304"/>
        <v>n.a.</v>
      </c>
      <c r="BH726" s="50" t="str">
        <f t="shared" si="6304"/>
        <v>n.a.</v>
      </c>
      <c r="BI726" s="51" t="str">
        <f t="shared" ref="BI726:BJ726" si="6305">IF(ISERROR(-SUM(BI683:BI685)/BI682),"n.a.",-SUM(BI683:BI685)/BI682)</f>
        <v>n.a.</v>
      </c>
      <c r="BJ726" s="50" t="str">
        <f t="shared" si="6305"/>
        <v>n.a.</v>
      </c>
      <c r="BK726" s="50" t="str">
        <f t="shared" ref="BK726" si="6306">IF(ISERROR(-SUM(BK683:BK685)/BK682),"n.a.",-SUM(BK683:BK685)/BK682)</f>
        <v>n.a.</v>
      </c>
      <c r="BL726" s="50" t="str">
        <f t="shared" ref="BL726" si="6307">IF(ISERROR(-SUM(BL683:BL685)/BL682),"n.a.",-SUM(BL683:BL685)/BL682)</f>
        <v>n.a.</v>
      </c>
      <c r="BM726" s="50" t="str">
        <f t="shared" ref="BM726" si="6308">IF(ISERROR(-SUM(BM683:BM685)/BM682),"n.a.",-SUM(BM683:BM685)/BM682)</f>
        <v>n.a.</v>
      </c>
      <c r="BN726" s="50" t="str">
        <f t="shared" ref="BN726" si="6309">IF(ISERROR(-SUM(BN683:BN685)/BN682),"n.a.",-SUM(BN683:BN685)/BN682)</f>
        <v>n.a.</v>
      </c>
    </row>
    <row r="727" spans="1:66" ht="12" hidden="1" customHeight="1" outlineLevel="2">
      <c r="B727" s="1" t="s">
        <v>81</v>
      </c>
      <c r="C727" s="70">
        <f>IF(ISERROR(C700/C701),"n.a.",C700/C701)</f>
        <v>8.9012955997285665</v>
      </c>
      <c r="D727" s="70">
        <f>IF(ISERROR(D700/D701),"n.a.",D700/D701)</f>
        <v>10.039356092580764</v>
      </c>
      <c r="E727" s="70">
        <f t="shared" ref="E727:J727" si="6310">IF(ISERROR(E700/E701),"n.a.",E700/E701)</f>
        <v>11.030631392141032</v>
      </c>
      <c r="F727" s="70">
        <f t="shared" si="6310"/>
        <v>13.022969341197419</v>
      </c>
      <c r="G727" s="70">
        <f t="shared" si="6310"/>
        <v>13.56625</v>
      </c>
      <c r="H727" s="70">
        <f t="shared" si="6310"/>
        <v>9.8945454545454545</v>
      </c>
      <c r="I727" s="70">
        <f t="shared" si="6310"/>
        <v>10.683333333333334</v>
      </c>
      <c r="J727" s="70">
        <f t="shared" si="6310"/>
        <v>11.145238095238096</v>
      </c>
      <c r="K727" s="70">
        <f t="shared" ref="K727:L727" si="6311">IF(ISERROR(K700/K701),"n.a.",K700/K701)</f>
        <v>10.749583333333334</v>
      </c>
      <c r="L727" s="70">
        <f t="shared" si="6311"/>
        <v>10.208846153846153</v>
      </c>
      <c r="M727" s="70">
        <f t="shared" ref="M727" si="6312">IF(ISERROR(M700/M701),"n.a.",M700/M701)</f>
        <v>10.256071428571429</v>
      </c>
      <c r="N727" s="70">
        <f t="shared" ref="N727:O727" si="6313">IF(ISERROR(N700/N701),"n.a.",N700/N701)</f>
        <v>8.3586111111111112</v>
      </c>
      <c r="O727" s="70">
        <f t="shared" si="6313"/>
        <v>8.479024390243902</v>
      </c>
      <c r="P727" s="70">
        <f t="shared" ref="P727:Q727" si="6314">IF(ISERROR(P700/P701),"n.a.",P700/P701)</f>
        <v>8.9141304347826082</v>
      </c>
      <c r="Q727" s="70">
        <f t="shared" si="6314"/>
        <v>8.6360869565217389</v>
      </c>
      <c r="R727" s="70">
        <f t="shared" ref="R727:S727" si="6315">IF(ISERROR(R700/R701),"n.a.",R700/R701)</f>
        <v>8.6724999999999994</v>
      </c>
      <c r="S727" s="70">
        <f t="shared" si="6315"/>
        <v>8.918333333333333</v>
      </c>
      <c r="T727" s="70">
        <f t="shared" ref="T727:U727" si="6316">IF(ISERROR(T700/T701),"n.a.",T700/T701)</f>
        <v>5.6904761904761907</v>
      </c>
      <c r="U727" s="70" t="str">
        <f t="shared" si="6316"/>
        <v>n.a.</v>
      </c>
      <c r="V727" s="70" t="str">
        <f t="shared" ref="V727:W727" si="6317">IF(ISERROR(V700/V701),"n.a.",V700/V701)</f>
        <v>n.a.</v>
      </c>
      <c r="W727" s="70" t="str">
        <f t="shared" si="6317"/>
        <v>n.a.</v>
      </c>
      <c r="X727" s="70" t="str">
        <f t="shared" ref="X727:Y727" si="6318">IF(ISERROR(X700/X701),"n.a.",X700/X701)</f>
        <v>n.a.</v>
      </c>
      <c r="Y727" s="70" t="str">
        <f t="shared" si="6318"/>
        <v>n.a.</v>
      </c>
      <c r="Z727" s="70" t="str">
        <f t="shared" ref="Z727:AA727" si="6319">IF(ISERROR(Z700/Z701),"n.a.",Z700/Z701)</f>
        <v>n.a.</v>
      </c>
      <c r="AA727" s="70" t="str">
        <f t="shared" si="6319"/>
        <v>n.a.</v>
      </c>
      <c r="AB727" s="70" t="str">
        <f t="shared" ref="AB727:AC727" si="6320">IF(ISERROR(AB700/AB701),"n.a.",AB700/AB701)</f>
        <v>n.a.</v>
      </c>
      <c r="AC727" s="70" t="str">
        <f t="shared" si="6320"/>
        <v>n.a.</v>
      </c>
      <c r="AD727" s="70" t="str">
        <f t="shared" ref="AD727:AF727" si="6321">IF(ISERROR(AD700/AD701),"n.a.",AD700/AD701)</f>
        <v>n.a.</v>
      </c>
      <c r="AE727" s="70" t="str">
        <f t="shared" si="6321"/>
        <v>n.a.</v>
      </c>
      <c r="AF727" s="70" t="str">
        <f t="shared" si="6321"/>
        <v>n.a.</v>
      </c>
      <c r="AG727" s="70" t="str">
        <f t="shared" ref="AG727:AH727" si="6322">IF(ISERROR(AG700/AG701),"n.a.",AG700/AG701)</f>
        <v>n.a.</v>
      </c>
      <c r="AH727" s="70" t="str">
        <f t="shared" si="6322"/>
        <v>n.a.</v>
      </c>
      <c r="AI727" s="71" t="str">
        <f t="shared" ref="AI727" si="6323">AH727</f>
        <v>n.a.</v>
      </c>
      <c r="AJ727" s="72" t="str">
        <f t="shared" ref="AJ727" si="6324">AI727</f>
        <v>n.a.</v>
      </c>
      <c r="AK727" s="72" t="str">
        <f t="shared" ref="AK727" si="6325">AJ727</f>
        <v>n.a.</v>
      </c>
      <c r="AL727" s="72" t="str">
        <f t="shared" ref="AL727" si="6326">AK727</f>
        <v>n.a.</v>
      </c>
      <c r="AM727" s="72" t="str">
        <f t="shared" ref="AM727" si="6327">AL727</f>
        <v>n.a.</v>
      </c>
      <c r="AN727" s="72" t="str">
        <f t="shared" ref="AN727" si="6328">AM727</f>
        <v>n.a.</v>
      </c>
      <c r="AO727" s="72" t="str">
        <f t="shared" ref="AO727" si="6329">AN727</f>
        <v>n.a.</v>
      </c>
      <c r="AP727" s="72" t="str">
        <f t="shared" ref="AP727" si="6330">AO727</f>
        <v>n.a.</v>
      </c>
      <c r="AQ727" s="72" t="str">
        <f t="shared" ref="AQ727" si="6331">AP727</f>
        <v>n.a.</v>
      </c>
      <c r="AR727" s="72" t="str">
        <f t="shared" ref="AR727" si="6332">AQ727</f>
        <v>n.a.</v>
      </c>
      <c r="AT727" s="70">
        <f t="shared" ref="AT727:BB727" si="6333">IF(ISERROR(AT700/AT701),"n.a.",AT700/AT701)</f>
        <v>10.039356092580764</v>
      </c>
      <c r="AU727" s="70">
        <f t="shared" si="6333"/>
        <v>13.022969341197419</v>
      </c>
      <c r="AV727" s="70">
        <f t="shared" si="6333"/>
        <v>9.8945454545454545</v>
      </c>
      <c r="AW727" s="70">
        <f t="shared" si="6333"/>
        <v>11.145238095238096</v>
      </c>
      <c r="AX727" s="70">
        <f t="shared" si="6333"/>
        <v>10.208846153846153</v>
      </c>
      <c r="AY727" s="70">
        <f t="shared" si="6333"/>
        <v>8.3586111111111112</v>
      </c>
      <c r="AZ727" s="70">
        <f t="shared" si="6333"/>
        <v>8.9141304347826082</v>
      </c>
      <c r="BA727" s="70">
        <f t="shared" si="6333"/>
        <v>8.6724999999999994</v>
      </c>
      <c r="BB727" s="70">
        <f t="shared" si="6333"/>
        <v>5.6904761904761907</v>
      </c>
      <c r="BC727" s="70" t="str">
        <f t="shared" ref="BC727:BH727" si="6334">IF(ISERROR(BC700/BC701),"n.a.",BC700/BC701)</f>
        <v>n.a.</v>
      </c>
      <c r="BD727" s="70" t="str">
        <f t="shared" si="6334"/>
        <v>n.a.</v>
      </c>
      <c r="BE727" s="70" t="str">
        <f t="shared" si="6334"/>
        <v>n.a.</v>
      </c>
      <c r="BF727" s="70" t="str">
        <f t="shared" si="6334"/>
        <v>n.a.</v>
      </c>
      <c r="BG727" s="70" t="str">
        <f t="shared" si="6334"/>
        <v>n.a.</v>
      </c>
      <c r="BH727" s="70" t="str">
        <f t="shared" si="6334"/>
        <v>n.a.</v>
      </c>
      <c r="BI727" s="71" t="str">
        <f t="shared" ref="BI727:BJ727" si="6335">IF(ISERROR(BI700/BI701),"n.a.",BI700/BI701)</f>
        <v>n.a.</v>
      </c>
      <c r="BJ727" s="70" t="str">
        <f t="shared" si="6335"/>
        <v>n.a.</v>
      </c>
      <c r="BK727" s="70" t="str">
        <f t="shared" ref="BK727" si="6336">IF(ISERROR(BK700/BK701),"n.a.",BK700/BK701)</f>
        <v>n.a.</v>
      </c>
      <c r="BL727" s="70" t="str">
        <f t="shared" ref="BL727" si="6337">IF(ISERROR(BL700/BL701),"n.a.",BL700/BL701)</f>
        <v>n.a.</v>
      </c>
      <c r="BM727" s="70" t="str">
        <f t="shared" ref="BM727" si="6338">IF(ISERROR(BM700/BM701),"n.a.",BM700/BM701)</f>
        <v>n.a.</v>
      </c>
      <c r="BN727" s="70" t="str">
        <f t="shared" ref="BN727" si="6339">IF(ISERROR(BN700/BN701),"n.a.",BN700/BN701)</f>
        <v>n.a.</v>
      </c>
    </row>
    <row r="728" spans="1:66" ht="12" hidden="1" customHeight="1" outlineLevel="2">
      <c r="B728" s="1" t="s">
        <v>27</v>
      </c>
      <c r="C728" s="28">
        <f>(50*43%+(14+26)*20%+118*30%)/C682</f>
        <v>0.27617021276595749</v>
      </c>
      <c r="D728" s="28">
        <f>((111-50)*43%+((-2)-14+57-26)*20%+(262-118)*30%)/D682</f>
        <v>0.31491304347826082</v>
      </c>
      <c r="E728" s="28">
        <f>(96*43%+(20+63)*20%+177*30%)/E682</f>
        <v>0.28976501305483032</v>
      </c>
      <c r="F728" s="28">
        <f>((242-96)*43%+(30-20+169-63)*20%+(324-177)*30%)/F682</f>
        <v>0.26385395537525358</v>
      </c>
      <c r="G728" s="28">
        <f>(156*43%+(26+194)*20%+147*30%)/G682</f>
        <v>0.29390151515151519</v>
      </c>
      <c r="H728" s="28">
        <f>((286-156)*43%+(15-26+412-194)*20%+(338-147)*30%)/H682</f>
        <v>0.28160291438979967</v>
      </c>
      <c r="I728" s="28">
        <f>(137*43%+(10+223)*20%+133*30%)/I682</f>
        <v>0.28680473372781062</v>
      </c>
      <c r="J728" s="28">
        <f>(159*43%+(-12+203)*20%+191*30%)/J682</f>
        <v>0.30067889908256884</v>
      </c>
      <c r="K728" s="28">
        <f>(116*43%+(6+281)*20%+167*30%)/K682</f>
        <v>0.27228373702422143</v>
      </c>
      <c r="L728" s="28">
        <f>((262-116)*43%+((14-6)+(564-281))*20%+(352-167)*30%)/L682</f>
        <v>0.28057233704292528</v>
      </c>
      <c r="M728" s="29">
        <f>((232)*43%+((11)+(277))*20%+(164)*30%)/M682</f>
        <v>0.30023255813953487</v>
      </c>
      <c r="N728" s="29">
        <f>((631-232)*43%+((38-11)+(610-277))*20%+(318-164)*30%)/N682</f>
        <v>0.31983443708609272</v>
      </c>
      <c r="O728" s="29">
        <f>((228)*43%+(13+413)*20%+(207)*30%)/O682</f>
        <v>0.28428736964078793</v>
      </c>
      <c r="P728" s="29">
        <f>((380-228)*43%+((23+813)-(13+413))*20%+(447-207)*30%)/P682</f>
        <v>0.2550697674418605</v>
      </c>
      <c r="Q728" s="29">
        <f>((160)*43%+(8+425)*20%+(239)*30%)/Q682</f>
        <v>0.27197604790419166</v>
      </c>
      <c r="R728" s="29">
        <f>((475-160)*43%+((15+849)-(8+425))*20%+(452-239)*30%)/R682</f>
        <v>0.28669678714859431</v>
      </c>
      <c r="S728" s="29">
        <f>((174)*43%+(8+505)*20%+(243)*30%)/S682</f>
        <v>0.29039443155452438</v>
      </c>
      <c r="T728" s="29">
        <f>((448-174)*(43%+(21%-35%)/2)+(16+921-(8+505))*20%+(500-243)*30%)/(T682+T691)</f>
        <v>0.29013363028953226</v>
      </c>
      <c r="U728" s="29" t="e">
        <f>((164)*(43%+(21%-35%))+(10+390)*20%+(88)*30%)/U682</f>
        <v>#DIV/0!</v>
      </c>
      <c r="V728" s="29" t="e">
        <f t="shared" ref="V728:AA728" si="6340">((241-164)*(43%+(21%-35%))+((19+1140)-(10+390))*20%+(154-88)*30%)/V682</f>
        <v>#DIV/0!</v>
      </c>
      <c r="W728" s="29" t="e">
        <f t="shared" si="6340"/>
        <v>#DIV/0!</v>
      </c>
      <c r="X728" s="29" t="e">
        <f t="shared" si="6340"/>
        <v>#DIV/0!</v>
      </c>
      <c r="Y728" s="29" t="e">
        <f t="shared" si="6340"/>
        <v>#DIV/0!</v>
      </c>
      <c r="Z728" s="29" t="e">
        <f t="shared" si="6340"/>
        <v>#DIV/0!</v>
      </c>
      <c r="AA728" s="29" t="e">
        <f t="shared" si="6340"/>
        <v>#DIV/0!</v>
      </c>
      <c r="AB728" s="29" t="e">
        <f t="shared" ref="AB728:AC728" si="6341">((241-164)*(43%+(21%-35%))+((19+1140)-(10+390))*20%+(154-88)*30%)/AB682</f>
        <v>#DIV/0!</v>
      </c>
      <c r="AC728" s="29" t="e">
        <f t="shared" si="6341"/>
        <v>#DIV/0!</v>
      </c>
      <c r="AD728" s="29">
        <v>0</v>
      </c>
      <c r="AE728" s="29">
        <v>0</v>
      </c>
      <c r="AF728" s="29">
        <v>0</v>
      </c>
      <c r="AG728" s="29">
        <v>0</v>
      </c>
      <c r="AH728" s="28">
        <v>0</v>
      </c>
      <c r="AI728" s="411">
        <v>0</v>
      </c>
      <c r="AJ728" s="56" t="s">
        <v>55</v>
      </c>
      <c r="AK728" s="56" t="s">
        <v>55</v>
      </c>
      <c r="AL728" s="56" t="s">
        <v>55</v>
      </c>
      <c r="AM728" s="56" t="s">
        <v>55</v>
      </c>
      <c r="AN728" s="56" t="s">
        <v>55</v>
      </c>
      <c r="AO728" s="56" t="s">
        <v>55</v>
      </c>
      <c r="AP728" s="56" t="s">
        <v>55</v>
      </c>
      <c r="AQ728" s="56" t="s">
        <v>55</v>
      </c>
      <c r="AR728" s="56" t="s">
        <v>55</v>
      </c>
      <c r="AT728" s="33">
        <f>(C728*C682+D728*D682)/AT682</f>
        <v>0.29533333333333328</v>
      </c>
      <c r="AU728" s="33">
        <f>(E728*E682+F728*F682)/AU682</f>
        <v>0.27518264840182655</v>
      </c>
      <c r="AV728" s="33">
        <f>(G728*G682+H728*H682)/AV682</f>
        <v>0.28763231197771588</v>
      </c>
      <c r="AW728" s="33">
        <f>(I728*I682+J728*J682)/AW682</f>
        <v>0.29399239543726235</v>
      </c>
      <c r="AX728" s="44">
        <f>(K728*K682+L728*L682)/AX682</f>
        <v>0.27660314830157418</v>
      </c>
      <c r="AY728" s="44">
        <f>(M728*M682+N728*N682)/AY682</f>
        <v>0.31137390213299876</v>
      </c>
      <c r="AZ728" s="44">
        <f>(O728*O682+P728*P682)/AZ682</f>
        <v>0.26970400464306443</v>
      </c>
      <c r="BA728" s="44">
        <f>(Q728*Q682+R728*R682)/BA682</f>
        <v>0.27998361551064993</v>
      </c>
      <c r="BB728" s="44">
        <f>(S728*S682+T728*T682)/BB682</f>
        <v>0.29026064197903689</v>
      </c>
      <c r="BC728" s="44" t="e">
        <f>(U728*U682+V728*V682)/BC682</f>
        <v>#DIV/0!</v>
      </c>
      <c r="BD728" s="44" t="e">
        <f>(W728*W682+X728*X682)/BD682</f>
        <v>#DIV/0!</v>
      </c>
      <c r="BE728" s="44" t="e">
        <f>(Y728*Y682+Z728*Z682)/BE682</f>
        <v>#DIV/0!</v>
      </c>
      <c r="BF728" s="44" t="e">
        <f>(AA728*AA682+AB728*AB682)/BF682</f>
        <v>#DIV/0!</v>
      </c>
      <c r="BG728" s="44">
        <v>0</v>
      </c>
      <c r="BH728" s="44">
        <v>0</v>
      </c>
      <c r="BI728" s="49">
        <v>0</v>
      </c>
      <c r="BJ728" s="44">
        <v>0</v>
      </c>
      <c r="BK728" s="44">
        <v>0</v>
      </c>
      <c r="BL728" s="44">
        <v>0</v>
      </c>
      <c r="BM728" s="44">
        <v>0</v>
      </c>
      <c r="BN728" s="44">
        <v>0</v>
      </c>
    </row>
    <row r="729" spans="1:66" ht="12" hidden="1" customHeight="1" outlineLevel="2">
      <c r="A729" s="91" t="s">
        <v>1356</v>
      </c>
      <c r="B729" s="1" t="s">
        <v>28</v>
      </c>
      <c r="C729" s="33">
        <f t="shared" ref="C729:V729" si="6342">C728-C$69</f>
        <v>0.27617021276595749</v>
      </c>
      <c r="D729" s="33">
        <f t="shared" si="6342"/>
        <v>0.31491304347826082</v>
      </c>
      <c r="E729" s="33">
        <f t="shared" si="6342"/>
        <v>0.28976501305483032</v>
      </c>
      <c r="F729" s="33">
        <f t="shared" si="6342"/>
        <v>0.26385395537525358</v>
      </c>
      <c r="G729" s="33">
        <f t="shared" si="6342"/>
        <v>0.22689682765151514</v>
      </c>
      <c r="H729" s="33">
        <f t="shared" si="6342"/>
        <v>0.25122577363404225</v>
      </c>
      <c r="I729" s="33">
        <f t="shared" si="6342"/>
        <v>0.26848912461341079</v>
      </c>
      <c r="J729" s="33">
        <f t="shared" si="6342"/>
        <v>0.4041904916150364</v>
      </c>
      <c r="K729" s="33">
        <f t="shared" si="6342"/>
        <v>0.95830154404176326</v>
      </c>
      <c r="L729" s="33">
        <f t="shared" si="6342"/>
        <v>0.95559539018301975</v>
      </c>
      <c r="M729" s="33">
        <f t="shared" si="6342"/>
        <v>0.37358255813953489</v>
      </c>
      <c r="N729" s="33">
        <f t="shared" si="6342"/>
        <v>0.31219043708609273</v>
      </c>
      <c r="O729" s="33">
        <f t="shared" si="6342"/>
        <v>0.30849236964078791</v>
      </c>
      <c r="P729" s="33">
        <f t="shared" si="6342"/>
        <v>0.25210976744186048</v>
      </c>
      <c r="Q729" s="33">
        <f t="shared" si="6342"/>
        <v>0.27297604790419167</v>
      </c>
      <c r="R729" s="33">
        <f t="shared" si="6342"/>
        <v>0.25339678714859432</v>
      </c>
      <c r="S729" s="33">
        <f t="shared" si="6342"/>
        <v>0.25539443155452435</v>
      </c>
      <c r="T729" s="33">
        <f t="shared" si="6342"/>
        <v>0.26263363028953224</v>
      </c>
      <c r="U729" s="33" t="e">
        <f t="shared" si="6342"/>
        <v>#DIV/0!</v>
      </c>
      <c r="V729" s="33" t="e">
        <f t="shared" si="6342"/>
        <v>#DIV/0!</v>
      </c>
      <c r="W729" s="33" t="e">
        <f t="shared" ref="W729:X729" si="6343">W728-W$69</f>
        <v>#DIV/0!</v>
      </c>
      <c r="X729" s="33" t="e">
        <f t="shared" si="6343"/>
        <v>#DIV/0!</v>
      </c>
      <c r="Y729" s="33" t="e">
        <f t="shared" ref="Y729:Z729" si="6344">Y728-Y$69</f>
        <v>#DIV/0!</v>
      </c>
      <c r="Z729" s="33" t="e">
        <f t="shared" si="6344"/>
        <v>#DIV/0!</v>
      </c>
      <c r="AA729" s="33" t="e">
        <f t="shared" ref="AA729:AB729" si="6345">AA728-AA$69</f>
        <v>#DIV/0!</v>
      </c>
      <c r="AB729" s="33" t="e">
        <f t="shared" si="6345"/>
        <v>#DIV/0!</v>
      </c>
      <c r="AC729" s="33" t="e">
        <f t="shared" ref="AC729:AD729" si="6346">AC728-AC$69</f>
        <v>#DIV/0!</v>
      </c>
      <c r="AD729" s="33">
        <f t="shared" si="6346"/>
        <v>1.2999999999999999E-2</v>
      </c>
      <c r="AE729" s="33">
        <f t="shared" ref="AE729:AF729" si="6347">AE728-AE$69</f>
        <v>0.03</v>
      </c>
      <c r="AF729" s="33">
        <f t="shared" si="6347"/>
        <v>-1.44E-2</v>
      </c>
      <c r="AG729" s="33">
        <f t="shared" ref="AG729:AH729" si="6348">AG728-AG$69</f>
        <v>-1.44E-2</v>
      </c>
      <c r="AH729" s="33">
        <f t="shared" si="6348"/>
        <v>-1.44E-2</v>
      </c>
      <c r="AI729" s="32" t="s">
        <v>55</v>
      </c>
      <c r="AJ729" s="56" t="s">
        <v>55</v>
      </c>
      <c r="AK729" s="56" t="s">
        <v>55</v>
      </c>
      <c r="AL729" s="56" t="s">
        <v>55</v>
      </c>
      <c r="AM729" s="56" t="s">
        <v>55</v>
      </c>
      <c r="AN729" s="56" t="s">
        <v>55</v>
      </c>
      <c r="AO729" s="56" t="s">
        <v>55</v>
      </c>
      <c r="AP729" s="56" t="s">
        <v>55</v>
      </c>
      <c r="AQ729" s="56" t="s">
        <v>55</v>
      </c>
      <c r="AR729" s="56" t="s">
        <v>55</v>
      </c>
      <c r="AT729" s="33">
        <f>-AT694/SUM(AT691:AT693,AT686)</f>
        <v>0</v>
      </c>
      <c r="AU729" s="33">
        <f>-AU694/SUM(AU691:AU693,AU686)</f>
        <v>0</v>
      </c>
      <c r="AV729" s="33">
        <f>-AV694/SUM(AV691:AV693,AV686)</f>
        <v>0.24061772472791088</v>
      </c>
      <c r="AW729" s="33">
        <f>-AW694/SUM(AW691:AW693,AW686)</f>
        <v>0.33628655348572983</v>
      </c>
      <c r="AX729" s="33">
        <f t="shared" ref="AX729:BB729" si="6349">-AX694/SUM(AX691:AX693,AX686)</f>
        <v>0.95688877082075818</v>
      </c>
      <c r="AY729" s="33">
        <f t="shared" si="6349"/>
        <v>0.33966478335184647</v>
      </c>
      <c r="AZ729" s="33">
        <f t="shared" si="6349"/>
        <v>0.283544023914375</v>
      </c>
      <c r="BA729" s="33">
        <f t="shared" si="6349"/>
        <v>0.26259715336535827</v>
      </c>
      <c r="BB729" s="33">
        <f t="shared" si="6349"/>
        <v>0.25891143170219844</v>
      </c>
      <c r="BC729" s="33" t="e">
        <f t="shared" ref="BC729:BF729" si="6350">-BC694/SUM(BC691:BC693,BC686)</f>
        <v>#DIV/0!</v>
      </c>
      <c r="BD729" s="33" t="e">
        <f t="shared" si="6350"/>
        <v>#DIV/0!</v>
      </c>
      <c r="BE729" s="33" t="e">
        <f t="shared" si="6350"/>
        <v>#DIV/0!</v>
      </c>
      <c r="BF729" s="33" t="e">
        <f t="shared" si="6350"/>
        <v>#DIV/0!</v>
      </c>
      <c r="BG729" s="33">
        <v>0</v>
      </c>
      <c r="BH729" s="33">
        <v>0</v>
      </c>
      <c r="BI729" s="33">
        <v>0</v>
      </c>
      <c r="BJ729" s="33">
        <v>0</v>
      </c>
      <c r="BK729" s="33">
        <v>0</v>
      </c>
      <c r="BL729" s="33">
        <v>0</v>
      </c>
      <c r="BM729" s="33">
        <v>0</v>
      </c>
      <c r="BN729" s="33">
        <v>0</v>
      </c>
    </row>
    <row r="730" spans="1:66" ht="12" hidden="1" customHeight="1" outlineLevel="2">
      <c r="B730" s="1" t="s">
        <v>70</v>
      </c>
      <c r="C730" s="33">
        <f t="shared" ref="C730:AD730" si="6351">IF(ISERROR(-C693/(C686-((11%/(1-30%))*AVERAGE(B701:C701)/C$5))),"n.a.",-C693/(C686-((11%/(1-30%))*AVERAGE(B701:C701)/C$5)))</f>
        <v>0</v>
      </c>
      <c r="D730" s="33">
        <f t="shared" si="6351"/>
        <v>0</v>
      </c>
      <c r="E730" s="33">
        <f t="shared" si="6351"/>
        <v>0</v>
      </c>
      <c r="F730" s="33">
        <f t="shared" si="6351"/>
        <v>0</v>
      </c>
      <c r="G730" s="33">
        <f t="shared" si="6351"/>
        <v>1.6726947008220594</v>
      </c>
      <c r="H730" s="33">
        <f t="shared" si="6351"/>
        <v>0.63307742800378375</v>
      </c>
      <c r="I730" s="33">
        <f t="shared" si="6351"/>
        <v>0.33057048365710939</v>
      </c>
      <c r="J730" s="33">
        <f t="shared" si="6351"/>
        <v>0.42086266377698583</v>
      </c>
      <c r="K730" s="33">
        <f t="shared" si="6351"/>
        <v>-21.511730976626225</v>
      </c>
      <c r="L730" s="33">
        <f t="shared" si="6351"/>
        <v>-21.958200737658995</v>
      </c>
      <c r="M730" s="157">
        <f t="shared" si="6351"/>
        <v>0.32670826922133678</v>
      </c>
      <c r="N730" s="157">
        <f t="shared" si="6351"/>
        <v>0.44650454400316469</v>
      </c>
      <c r="O730" s="157">
        <f t="shared" si="6351"/>
        <v>0.25866121931322272</v>
      </c>
      <c r="P730" s="157">
        <f t="shared" si="6351"/>
        <v>0.44306125171164978</v>
      </c>
      <c r="Q730" s="157">
        <f t="shared" si="6351"/>
        <v>0.41175534767868371</v>
      </c>
      <c r="R730" s="157">
        <f t="shared" si="6351"/>
        <v>0.39799982982217402</v>
      </c>
      <c r="S730" s="157">
        <f t="shared" si="6351"/>
        <v>-0.1024655781973747</v>
      </c>
      <c r="T730" s="157">
        <f t="shared" si="6351"/>
        <v>8.0712262469963991E-2</v>
      </c>
      <c r="U730" s="157">
        <f t="shared" si="6351"/>
        <v>0</v>
      </c>
      <c r="V730" s="157" t="str">
        <f t="shared" si="6351"/>
        <v>n.a.</v>
      </c>
      <c r="W730" s="157" t="str">
        <f t="shared" si="6351"/>
        <v>n.a.</v>
      </c>
      <c r="X730" s="157" t="str">
        <f t="shared" si="6351"/>
        <v>n.a.</v>
      </c>
      <c r="Y730" s="157" t="str">
        <f t="shared" si="6351"/>
        <v>n.a.</v>
      </c>
      <c r="Z730" s="157" t="str">
        <f t="shared" si="6351"/>
        <v>n.a.</v>
      </c>
      <c r="AA730" s="157" t="str">
        <f t="shared" si="6351"/>
        <v>n.a.</v>
      </c>
      <c r="AB730" s="157" t="str">
        <f t="shared" si="6351"/>
        <v>n.a.</v>
      </c>
      <c r="AC730" s="157" t="str">
        <f t="shared" si="6351"/>
        <v>n.a.</v>
      </c>
      <c r="AD730" s="157" t="str">
        <f t="shared" si="6351"/>
        <v>n.a.</v>
      </c>
      <c r="AE730" s="157" t="str">
        <f t="shared" ref="AE730" si="6352">IF(ISERROR(-AE693/(AE686-((11%/(1-30%))*AVERAGE(AD701:AE701)/AE$5))),"n.a.",-AE693/(AE686-((11%/(1-30%))*AVERAGE(AD701:AE701)/AE$5)))</f>
        <v>n.a.</v>
      </c>
      <c r="AF730" s="157" t="str">
        <f t="shared" ref="AF730:AH730" si="6353">IF(ISERROR(-AF693/(AF686-((11%/(1-30%))*AVERAGE(AE701:AF701)/AF$5))),"n.a.",-AF693/(AF686-((11%/(1-30%))*AVERAGE(AE701:AF701)/AF$5)))</f>
        <v>n.a.</v>
      </c>
      <c r="AG730" s="157" t="str">
        <f t="shared" si="6353"/>
        <v>n.a.</v>
      </c>
      <c r="AH730" s="157" t="str">
        <f t="shared" si="6353"/>
        <v>n.a.</v>
      </c>
      <c r="AI730" s="158" t="s">
        <v>55</v>
      </c>
      <c r="AJ730" s="56" t="s">
        <v>55</v>
      </c>
      <c r="AK730" s="56" t="s">
        <v>55</v>
      </c>
      <c r="AL730" s="56" t="s">
        <v>55</v>
      </c>
      <c r="AM730" s="56" t="s">
        <v>55</v>
      </c>
      <c r="AN730" s="56" t="s">
        <v>55</v>
      </c>
      <c r="AO730" s="56" t="s">
        <v>55</v>
      </c>
      <c r="AP730" s="56" t="s">
        <v>55</v>
      </c>
      <c r="AQ730" s="56" t="s">
        <v>55</v>
      </c>
      <c r="AR730" s="56" t="s">
        <v>55</v>
      </c>
      <c r="AT730" s="33">
        <f>IF(ISERROR(-AT693/(AT686-((11%/(1-30%))*AVERAGE(T701:AT701)/AT$5))),"n.a.",-AT693/(AT686-((11%/(1-30%))*AVERAGE(T701:AT701)/AT$5)))</f>
        <v>0</v>
      </c>
      <c r="AU730" s="33">
        <f t="shared" ref="AU730:BH730" si="6354">IF(ISERROR(-AU693/(AU686-((11%/(1-30%))*AVERAGE(AT701:AU701)/AU$5))),"n.a.",-AU693/(AU686-((11%/(1-30%))*AVERAGE(AT701:AU701)/AU$5)))</f>
        <v>0</v>
      </c>
      <c r="AV730" s="33">
        <f t="shared" si="6354"/>
        <v>1.2768319643538717</v>
      </c>
      <c r="AW730" s="33">
        <f t="shared" si="6354"/>
        <v>0.3835060159469349</v>
      </c>
      <c r="AX730" s="33">
        <f t="shared" si="6354"/>
        <v>-21.558084150957598</v>
      </c>
      <c r="AY730" s="33">
        <f t="shared" si="6354"/>
        <v>0.41448394946334971</v>
      </c>
      <c r="AZ730" s="33">
        <f t="shared" si="6354"/>
        <v>0.32569848425971831</v>
      </c>
      <c r="BA730" s="33">
        <f t="shared" si="6354"/>
        <v>0.39602354377293847</v>
      </c>
      <c r="BB730" s="33">
        <f t="shared" si="6354"/>
        <v>-6.4258895467711385E-3</v>
      </c>
      <c r="BC730" s="33">
        <f t="shared" si="6354"/>
        <v>0</v>
      </c>
      <c r="BD730" s="33" t="str">
        <f t="shared" si="6354"/>
        <v>n.a.</v>
      </c>
      <c r="BE730" s="33" t="str">
        <f t="shared" si="6354"/>
        <v>n.a.</v>
      </c>
      <c r="BF730" s="33" t="str">
        <f t="shared" si="6354"/>
        <v>n.a.</v>
      </c>
      <c r="BG730" s="33" t="str">
        <f t="shared" si="6354"/>
        <v>n.a.</v>
      </c>
      <c r="BH730" s="33" t="str">
        <f t="shared" si="6354"/>
        <v>n.a.</v>
      </c>
      <c r="BI730" s="32" t="str">
        <f>IF(ISERROR(-BI693/(BI686-((11%/(1-30%))*AVERAGE(BI701:BI701)/BI$5))),"n.a.",-BI693/(BI686-((11%/(1-30%))*AVERAGE(BI701:BI701)/BI$5)))</f>
        <v>n.a.</v>
      </c>
      <c r="BJ730" s="33" t="str">
        <f>IF(ISERROR(-BJ693/(BJ686-((11%/(1-30%))*AVERAGE(BJ701:BJ701)/BJ$5))),"n.a.",-BJ693/(BJ686-((11%/(1-30%))*AVERAGE(BJ701:BJ701)/BJ$5)))</f>
        <v>n.a.</v>
      </c>
      <c r="BK730" s="33" t="str">
        <f>IF(ISERROR(-BK693/(BK686-((11%/(1-30%))*AVERAGE(BK701:BK701)/BK$5))),"n.a.",-BK693/(BK686-((11%/(1-30%))*AVERAGE(BK701:BK701)/BK$5)))</f>
        <v>n.a.</v>
      </c>
      <c r="BL730" s="33" t="str">
        <f>IF(ISERROR(-BL693/(BL686-((11%/(1-30%))*AVERAGE(BL701:BL701)/BL$5))),"n.a.",-BL693/(BL686-((11%/(1-30%))*AVERAGE(BL701:BL701)/BL$5)))</f>
        <v>n.a.</v>
      </c>
      <c r="BM730" s="33" t="str">
        <f>IF(ISERROR(-BM693/(BM686-((11%/(1-30%))*AVERAGE(BM701:BM701)/BM$5))),"n.a.",-BM693/(BM686-((11%/(1-30%))*AVERAGE(BM701:BM701)/BM$5)))</f>
        <v>n.a.</v>
      </c>
      <c r="BN730" s="33" t="str">
        <f>IF(ISERROR(-BN693/(BN686-((11%/(1-30%))*AVERAGE(BN701:BN701)/BO$5))),"n.a.",-BN693/(BN686-((11%/(1-30%))*AVERAGE(BN701:BN701)/BO$5)))</f>
        <v>n.a.</v>
      </c>
    </row>
    <row r="731" spans="1:66" ht="12" hidden="1" customHeight="1" outlineLevel="2">
      <c r="B731" s="1" t="s">
        <v>69</v>
      </c>
      <c r="C731" s="37">
        <f t="shared" ref="C731:AD731" si="6355">IF(ISERROR(C695/AVERAGE(B700:C700)),"n.a.",C695*C$5/AVERAGE(B700:C700))</f>
        <v>0</v>
      </c>
      <c r="D731" s="37">
        <f t="shared" si="6355"/>
        <v>0</v>
      </c>
      <c r="E731" s="37">
        <f t="shared" si="6355"/>
        <v>0</v>
      </c>
      <c r="F731" s="37">
        <f t="shared" si="6355"/>
        <v>0</v>
      </c>
      <c r="G731" s="37">
        <f t="shared" si="6355"/>
        <v>1.7298756268498781E-2</v>
      </c>
      <c r="H731" s="37">
        <f t="shared" si="6355"/>
        <v>2.1465291415817635E-2</v>
      </c>
      <c r="I731" s="37">
        <f t="shared" si="6355"/>
        <v>2.1401262357758521E-2</v>
      </c>
      <c r="J731" s="37">
        <f t="shared" si="6355"/>
        <v>1.6874508562990238E-2</v>
      </c>
      <c r="K731" s="37">
        <f t="shared" si="6355"/>
        <v>1.7376636045849932E-2</v>
      </c>
      <c r="L731" s="37">
        <f t="shared" si="6355"/>
        <v>1.9105116350158574E-2</v>
      </c>
      <c r="M731" s="37">
        <f t="shared" si="6355"/>
        <v>1.9543973941368076E-2</v>
      </c>
      <c r="N731" s="37">
        <f t="shared" si="6355"/>
        <v>2.503060808053326E-2</v>
      </c>
      <c r="O731" s="37">
        <f t="shared" si="6355"/>
        <v>2.4932541824069076E-2</v>
      </c>
      <c r="P731" s="37">
        <f t="shared" si="6355"/>
        <v>1.8371629558262614E-2</v>
      </c>
      <c r="Q731" s="37">
        <f t="shared" si="6355"/>
        <v>1.8233392377153757E-2</v>
      </c>
      <c r="R731" s="37">
        <f t="shared" si="6355"/>
        <v>2.1955447133594402E-2</v>
      </c>
      <c r="S731" s="37">
        <f t="shared" si="6355"/>
        <v>2.5021159542953871E-2</v>
      </c>
      <c r="T731" s="37">
        <f t="shared" si="6355"/>
        <v>2.874977590169011E-2</v>
      </c>
      <c r="U731" s="37">
        <f t="shared" si="6355"/>
        <v>0</v>
      </c>
      <c r="V731" s="37" t="str">
        <f t="shared" si="6355"/>
        <v>n.a.</v>
      </c>
      <c r="W731" s="37" t="str">
        <f t="shared" si="6355"/>
        <v>n.a.</v>
      </c>
      <c r="X731" s="37" t="str">
        <f t="shared" si="6355"/>
        <v>n.a.</v>
      </c>
      <c r="Y731" s="37" t="str">
        <f t="shared" si="6355"/>
        <v>n.a.</v>
      </c>
      <c r="Z731" s="37" t="str">
        <f t="shared" si="6355"/>
        <v>n.a.</v>
      </c>
      <c r="AA731" s="37" t="str">
        <f t="shared" si="6355"/>
        <v>n.a.</v>
      </c>
      <c r="AB731" s="37" t="str">
        <f t="shared" si="6355"/>
        <v>n.a.</v>
      </c>
      <c r="AC731" s="37" t="str">
        <f t="shared" si="6355"/>
        <v>n.a.</v>
      </c>
      <c r="AD731" s="37" t="str">
        <f t="shared" si="6355"/>
        <v>n.a.</v>
      </c>
      <c r="AE731" s="37" t="str">
        <f t="shared" ref="AE731" si="6356">IF(ISERROR(AE695/AVERAGE(AD700:AE700)),"n.a.",AE695*AE$5/AVERAGE(AD700:AE700))</f>
        <v>n.a.</v>
      </c>
      <c r="AF731" s="37" t="str">
        <f t="shared" ref="AF731:AH731" si="6357">IF(ISERROR(AF695/AVERAGE(AE700:AF700)),"n.a.",AF695*AF$5/AVERAGE(AE700:AF700))</f>
        <v>n.a.</v>
      </c>
      <c r="AG731" s="37" t="str">
        <f t="shared" si="6357"/>
        <v>n.a.</v>
      </c>
      <c r="AH731" s="37" t="str">
        <f t="shared" si="6357"/>
        <v>n.a.</v>
      </c>
      <c r="AI731" s="38" t="str">
        <f t="shared" ref="AI731" si="6358">IF(ISERROR(AI695/AVERAGE(AH700:AI700)),"n.a.",AI695*AI$5/AVERAGE(AH700:AI700))</f>
        <v>n.a.</v>
      </c>
      <c r="AJ731" s="37" t="str">
        <f t="shared" ref="AJ731" si="6359">IF(ISERROR(AJ695/AVERAGE(AI700:AJ700)),"n.a.",AJ695*AJ$5/AVERAGE(AI700:AJ700))</f>
        <v>n.a.</v>
      </c>
      <c r="AK731" s="37" t="str">
        <f t="shared" ref="AK731" si="6360">IF(ISERROR(AK695/AVERAGE(AJ700:AK700)),"n.a.",AK695*AK$5/AVERAGE(AJ700:AK700))</f>
        <v>n.a.</v>
      </c>
      <c r="AL731" s="37" t="str">
        <f t="shared" ref="AL731" si="6361">IF(ISERROR(AL695/AVERAGE(AK700:AL700)),"n.a.",AL695*AL$5/AVERAGE(AK700:AL700))</f>
        <v>n.a.</v>
      </c>
      <c r="AM731" s="37" t="str">
        <f t="shared" ref="AM731" si="6362">IF(ISERROR(AM695/AVERAGE(AL700:AM700)),"n.a.",AM695*AM$5/AVERAGE(AL700:AM700))</f>
        <v>n.a.</v>
      </c>
      <c r="AN731" s="37" t="str">
        <f t="shared" ref="AN731" si="6363">IF(ISERROR(AN695/AVERAGE(AM700:AN700)),"n.a.",AN695*AN$5/AVERAGE(AM700:AN700))</f>
        <v>n.a.</v>
      </c>
      <c r="AO731" s="37" t="str">
        <f t="shared" ref="AO731" si="6364">IF(ISERROR(AO695/AVERAGE(AN700:AO700)),"n.a.",AO695*AO$5/AVERAGE(AN700:AO700))</f>
        <v>n.a.</v>
      </c>
      <c r="AP731" s="37" t="str">
        <f t="shared" ref="AP731" si="6365">IF(ISERROR(AP695/AVERAGE(AO700:AP700)),"n.a.",AP695*AP$5/AVERAGE(AO700:AP700))</f>
        <v>n.a.</v>
      </c>
      <c r="AQ731" s="37" t="str">
        <f t="shared" ref="AQ731" si="6366">IF(ISERROR(AQ695/AVERAGE(AP700:AQ700)),"n.a.",AQ695*AQ$5/AVERAGE(AP700:AQ700))</f>
        <v>n.a.</v>
      </c>
      <c r="AR731" s="37" t="str">
        <f t="shared" ref="AR731" si="6367">IF(ISERROR(AR695/AVERAGE(AQ700:AR700)),"n.a.",AR695*AR$5/AVERAGE(AQ700:AR700))</f>
        <v>n.a.</v>
      </c>
      <c r="AT731" s="37">
        <f>IF(ISERROR(AT695/AVERAGE(T700:AT700)),"n.a.",AT695*AT$5/AVERAGE(T700:AT700))</f>
        <v>0</v>
      </c>
      <c r="AU731" s="37">
        <f t="shared" ref="AU731:BH731" si="6368">IF(ISERROR(AU695/AVERAGE(AT700:AU700)),"n.a.",AU695*AU$5/AVERAGE(AT700:AU700))</f>
        <v>0</v>
      </c>
      <c r="AV731" s="37">
        <f t="shared" si="6368"/>
        <v>1.9633464348279658E-2</v>
      </c>
      <c r="AW731" s="37">
        <f t="shared" si="6368"/>
        <v>1.9037920881942755E-2</v>
      </c>
      <c r="AX731" s="37">
        <f t="shared" si="6368"/>
        <v>1.8565335346020121E-2</v>
      </c>
      <c r="AY731" s="37">
        <f t="shared" si="6368"/>
        <v>2.2521153612646647E-2</v>
      </c>
      <c r="AZ731" s="37">
        <f t="shared" si="6368"/>
        <v>2.1161528074715875E-2</v>
      </c>
      <c r="BA731" s="37">
        <f t="shared" si="6368"/>
        <v>2.0093400694794854E-2</v>
      </c>
      <c r="BB731" s="37">
        <f t="shared" si="6368"/>
        <v>2.9458665825516896E-2</v>
      </c>
      <c r="BC731" s="37">
        <f t="shared" si="6368"/>
        <v>0</v>
      </c>
      <c r="BD731" s="37" t="str">
        <f t="shared" si="6368"/>
        <v>n.a.</v>
      </c>
      <c r="BE731" s="37" t="str">
        <f t="shared" si="6368"/>
        <v>n.a.</v>
      </c>
      <c r="BF731" s="37" t="str">
        <f t="shared" si="6368"/>
        <v>n.a.</v>
      </c>
      <c r="BG731" s="37" t="str">
        <f t="shared" si="6368"/>
        <v>n.a.</v>
      </c>
      <c r="BH731" s="37" t="str">
        <f t="shared" si="6368"/>
        <v>n.a.</v>
      </c>
      <c r="BI731" s="38" t="str">
        <f>IF(ISERROR(BI695/AVERAGE(BI700:BI700)),"n.a.",BI695*BI$5/AVERAGE(BI700:BI700))</f>
        <v>n.a.</v>
      </c>
      <c r="BJ731" s="37" t="str">
        <f>IF(ISERROR(BJ695/AVERAGE(BJ700:BJ700)),"n.a.",BJ695*BJ$5/AVERAGE(BJ700:BJ700))</f>
        <v>n.a.</v>
      </c>
      <c r="BK731" s="37" t="str">
        <f>IF(ISERROR(BK695/AVERAGE(BK700:BK700)),"n.a.",BK695*BK$5/AVERAGE(BK700:BK700))</f>
        <v>n.a.</v>
      </c>
      <c r="BL731" s="37" t="str">
        <f>IF(ISERROR(BL695/AVERAGE(BL700:BL700)),"n.a.",BL695*BL$5/AVERAGE(BL700:BL700))</f>
        <v>n.a.</v>
      </c>
      <c r="BM731" s="37" t="str">
        <f>IF(ISERROR(BM695/AVERAGE(BM700:BM700)),"n.a.",BM695*BM$5/AVERAGE(BM700:BM700))</f>
        <v>n.a.</v>
      </c>
      <c r="BN731" s="37" t="str">
        <f>IF(ISERROR(BN695/AVERAGE(BN700:BN700)),"n.a.",BN695*BO$5/AVERAGE(BN700:BN700))</f>
        <v>n.a.</v>
      </c>
    </row>
    <row r="732" spans="1:66" ht="12" hidden="1" customHeight="1" outlineLevel="2">
      <c r="A732" s="91" t="s">
        <v>521</v>
      </c>
      <c r="B732" s="1" t="s">
        <v>26</v>
      </c>
      <c r="C732" s="28"/>
      <c r="D732" s="28"/>
      <c r="E732" s="28"/>
      <c r="F732" s="28"/>
      <c r="G732" s="28">
        <v>0.23</v>
      </c>
      <c r="H732" s="28">
        <f>(22%*AVERAGE(H701,F701)-G695)/AVERAGE(H701,G701)*H$5</f>
        <v>0.24557423131875153</v>
      </c>
      <c r="I732" s="28">
        <v>0.22</v>
      </c>
      <c r="J732" s="28">
        <f>(20%*AVERAGE(J701,H701)-I695)/AVERAGE(J701,I701)*J$5</f>
        <v>0.1841732077446363</v>
      </c>
      <c r="K732" s="28">
        <v>0.19</v>
      </c>
      <c r="L732" s="28">
        <v>0.2</v>
      </c>
      <c r="M732" s="163">
        <v>0.2</v>
      </c>
      <c r="N732" s="163">
        <v>0.23</v>
      </c>
      <c r="O732" s="321">
        <v>0.21</v>
      </c>
      <c r="P732" s="321">
        <v>0.16</v>
      </c>
      <c r="Q732" s="321">
        <v>0.16</v>
      </c>
      <c r="R732" s="321">
        <v>0.19</v>
      </c>
      <c r="S732" s="321">
        <v>0.22</v>
      </c>
      <c r="T732" s="321">
        <v>0.21</v>
      </c>
      <c r="U732" s="321">
        <v>0</v>
      </c>
      <c r="V732" s="321">
        <v>0</v>
      </c>
      <c r="W732" s="321">
        <v>0</v>
      </c>
      <c r="X732" s="321">
        <v>0</v>
      </c>
      <c r="Y732" s="321">
        <v>0</v>
      </c>
      <c r="Z732" s="321">
        <v>0</v>
      </c>
      <c r="AA732" s="321">
        <v>0</v>
      </c>
      <c r="AB732" s="321">
        <v>0</v>
      </c>
      <c r="AC732" s="321">
        <v>0</v>
      </c>
      <c r="AD732" s="321">
        <v>0</v>
      </c>
      <c r="AE732" s="321">
        <v>0</v>
      </c>
      <c r="AF732" s="321">
        <v>0</v>
      </c>
      <c r="AG732" s="321">
        <v>0</v>
      </c>
      <c r="AH732" s="321">
        <v>0</v>
      </c>
      <c r="AI732" s="407" t="str">
        <f t="shared" ref="AI732" si="6369">IF(ISERROR(AI695/AVERAGE(AH701:AI701)),"n.a.",AI695*AI$5/AVERAGE(AH701:AI701))</f>
        <v>n.a.</v>
      </c>
      <c r="AJ732" s="47" t="str">
        <f t="shared" ref="AJ732" si="6370">IF(ISERROR(AJ695/AVERAGE(AI701:AJ701)),"n.a.",AJ695*AJ$5/AVERAGE(AI701:AJ701))</f>
        <v>n.a.</v>
      </c>
      <c r="AK732" s="47" t="str">
        <f t="shared" ref="AK732" si="6371">IF(ISERROR(AK695/AVERAGE(AJ701:AK701)),"n.a.",AK695*AK$5/AVERAGE(AJ701:AK701))</f>
        <v>n.a.</v>
      </c>
      <c r="AL732" s="47" t="str">
        <f t="shared" ref="AL732" si="6372">IF(ISERROR(AL695/AVERAGE(AK701:AL701)),"n.a.",AL695*AL$5/AVERAGE(AK701:AL701))</f>
        <v>n.a.</v>
      </c>
      <c r="AM732" s="47" t="str">
        <f t="shared" ref="AM732" si="6373">IF(ISERROR(AM695/AVERAGE(AL701:AM701)),"n.a.",AM695*AM$5/AVERAGE(AL701:AM701))</f>
        <v>n.a.</v>
      </c>
      <c r="AN732" s="47" t="str">
        <f t="shared" ref="AN732" si="6374">IF(ISERROR(AN695/AVERAGE(AM701:AN701)),"n.a.",AN695*AN$5/AVERAGE(AM701:AN701))</f>
        <v>n.a.</v>
      </c>
      <c r="AO732" s="47" t="str">
        <f t="shared" ref="AO732" si="6375">IF(ISERROR(AO695/AVERAGE(AN701:AO701)),"n.a.",AO695*AO$5/AVERAGE(AN701:AO701))</f>
        <v>n.a.</v>
      </c>
      <c r="AP732" s="47" t="str">
        <f t="shared" ref="AP732" si="6376">IF(ISERROR(AP695/AVERAGE(AO701:AP701)),"n.a.",AP695*AP$5/AVERAGE(AO701:AP701))</f>
        <v>n.a.</v>
      </c>
      <c r="AQ732" s="47" t="str">
        <f t="shared" ref="AQ732" si="6377">IF(ISERROR(AQ695/AVERAGE(AP701:AQ701)),"n.a.",AQ695*AQ$5/AVERAGE(AP701:AQ701))</f>
        <v>n.a.</v>
      </c>
      <c r="AR732" s="47" t="str">
        <f t="shared" ref="AR732" si="6378">IF(ISERROR(AR695/AVERAGE(AQ701:AR701)),"n.a.",AR695*AR$5/AVERAGE(AQ701:AR701))</f>
        <v>n.a.</v>
      </c>
      <c r="AT732" s="44"/>
      <c r="AU732" s="44"/>
      <c r="AV732" s="44">
        <f t="shared" ref="AV732:BH732" si="6379">IF(ISERROR(AV695/AVERAGE(AU701:AV701)),"n.a.",AV695*AV$5/AVERAGE(AU701:AV701))</f>
        <v>0.21999999999999995</v>
      </c>
      <c r="AW732" s="44">
        <f t="shared" si="6379"/>
        <v>0.20000000000000004</v>
      </c>
      <c r="AX732" s="44">
        <f t="shared" si="6379"/>
        <v>0.19729816380064105</v>
      </c>
      <c r="AY732" s="44">
        <f t="shared" si="6379"/>
        <v>0.2057198409191339</v>
      </c>
      <c r="AZ732" s="44">
        <f t="shared" si="6379"/>
        <v>0.18347560975609753</v>
      </c>
      <c r="BA732" s="44">
        <f t="shared" si="6379"/>
        <v>0.17674155251141555</v>
      </c>
      <c r="BB732" s="44">
        <f t="shared" si="6379"/>
        <v>0.21257852819369222</v>
      </c>
      <c r="BC732" s="44">
        <f t="shared" si="6379"/>
        <v>0</v>
      </c>
      <c r="BD732" s="44" t="str">
        <f t="shared" si="6379"/>
        <v>n.a.</v>
      </c>
      <c r="BE732" s="44" t="str">
        <f t="shared" si="6379"/>
        <v>n.a.</v>
      </c>
      <c r="BF732" s="44" t="str">
        <f t="shared" si="6379"/>
        <v>n.a.</v>
      </c>
      <c r="BG732" s="44" t="str">
        <f t="shared" si="6379"/>
        <v>n.a.</v>
      </c>
      <c r="BH732" s="44" t="str">
        <f t="shared" si="6379"/>
        <v>n.a.</v>
      </c>
      <c r="BI732" s="49" t="str">
        <f>IF(ISERROR(BI695/AVERAGE(BI701:BI701)),"n.a.",BI695*BI$5/AVERAGE(BI701:BI701))</f>
        <v>n.a.</v>
      </c>
      <c r="BJ732" s="44" t="str">
        <f>IF(ISERROR(BJ695/AVERAGE(BJ701:BJ701)),"n.a.",BJ695*BJ$5/AVERAGE(BJ701:BJ701))</f>
        <v>n.a.</v>
      </c>
      <c r="BK732" s="44" t="str">
        <f>IF(ISERROR(BK695/AVERAGE(BK701:BK701)),"n.a.",BK695*BK$5/AVERAGE(BK701:BK701))</f>
        <v>n.a.</v>
      </c>
      <c r="BL732" s="44" t="str">
        <f>IF(ISERROR(BL695/AVERAGE(BL701:BL701)),"n.a.",BL695*BL$5/AVERAGE(BL701:BL701))</f>
        <v>n.a.</v>
      </c>
      <c r="BM732" s="44" t="str">
        <f>IF(ISERROR(BM695/AVERAGE(BM701:BM701)),"n.a.",BM695*BM$5/AVERAGE(BM701:BM701))</f>
        <v>n.a.</v>
      </c>
      <c r="BN732" s="44" t="str">
        <f>IF(ISERROR(BN695/AVERAGE(BN701:BN701)),"n.a.",BN695*BO$5/AVERAGE(BN701:BN701))</f>
        <v>n.a.</v>
      </c>
    </row>
    <row r="733" spans="1:66" ht="12" customHeight="1" outlineLevel="1" collapsed="1">
      <c r="C733" s="285"/>
      <c r="D733" s="285"/>
      <c r="E733" s="285"/>
      <c r="F733" s="285"/>
      <c r="G733" s="285"/>
      <c r="H733" s="285"/>
      <c r="I733" s="285"/>
      <c r="J733" s="285"/>
      <c r="K733" s="285"/>
      <c r="L733" s="285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19"/>
      <c r="AG733" s="19"/>
      <c r="AH733" s="19"/>
      <c r="AI733" s="19"/>
      <c r="AJ733" s="19"/>
      <c r="AK733" s="19"/>
      <c r="AL733" s="19"/>
      <c r="AM733" s="19"/>
      <c r="AN733" s="19"/>
      <c r="AO733" s="19"/>
      <c r="AP733" s="19"/>
      <c r="AQ733" s="19"/>
      <c r="AR733" s="19"/>
      <c r="AY733" s="33"/>
    </row>
    <row r="734" spans="1:66" ht="12" customHeight="1">
      <c r="P734" s="41"/>
      <c r="Q734" s="34"/>
      <c r="U734" s="33"/>
      <c r="V734" s="33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  <c r="AG734" s="33"/>
      <c r="AH734" s="33"/>
    </row>
    <row r="735" spans="1:66" ht="12" customHeight="1">
      <c r="P735" s="41"/>
      <c r="Q735" s="19"/>
      <c r="BG735" s="33"/>
      <c r="BH735" s="33"/>
    </row>
    <row r="736" spans="1:66" ht="12" customHeight="1">
      <c r="P736" s="41"/>
    </row>
    <row r="737" spans="16:17" ht="12" customHeight="1">
      <c r="P737" s="41"/>
      <c r="Q737" s="19"/>
    </row>
    <row r="738" spans="16:17" ht="12" customHeight="1">
      <c r="P738" s="41"/>
    </row>
    <row r="739" spans="16:17" ht="12" customHeight="1">
      <c r="P739" s="41"/>
    </row>
    <row r="740" spans="16:17" ht="12" customHeight="1">
      <c r="P740" s="41"/>
    </row>
    <row r="741" spans="16:17" ht="12" customHeight="1">
      <c r="P741" s="378"/>
    </row>
    <row r="742" spans="16:17" ht="12" customHeight="1">
      <c r="P742" s="41"/>
    </row>
    <row r="743" spans="16:17" ht="12" customHeight="1">
      <c r="P743" s="41"/>
    </row>
    <row r="744" spans="16:17" ht="12" customHeight="1"/>
    <row r="745" spans="16:17" ht="12" customHeight="1"/>
    <row r="746" spans="16:17" ht="12" customHeight="1"/>
    <row r="747" spans="16:17" ht="12" customHeight="1"/>
    <row r="748" spans="16:17" ht="12" customHeight="1"/>
    <row r="749" spans="16:17" ht="12" customHeight="1"/>
    <row r="750" spans="16:17" ht="12" customHeight="1"/>
    <row r="751" spans="16:17" ht="12" customHeight="1"/>
    <row r="752" spans="16:17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  <row r="998" ht="12" customHeight="1"/>
    <row r="999" ht="12" customHeight="1"/>
    <row r="1000" ht="12" customHeight="1"/>
    <row r="1001" ht="12" customHeight="1"/>
    <row r="1002" ht="12" customHeight="1"/>
    <row r="1003" ht="12" customHeight="1"/>
    <row r="1004" ht="12" customHeight="1"/>
    <row r="1005" ht="12" customHeight="1"/>
    <row r="1006" ht="12" customHeight="1"/>
    <row r="1007" ht="12" customHeight="1"/>
    <row r="1008" ht="12" customHeight="1"/>
    <row r="1009" ht="12" customHeight="1"/>
    <row r="1010" ht="12" customHeight="1"/>
    <row r="1011" ht="12" customHeight="1"/>
    <row r="1012" ht="12" customHeight="1"/>
    <row r="1013" ht="12" customHeight="1"/>
    <row r="1014" ht="12" customHeight="1"/>
    <row r="1015" ht="12" customHeight="1"/>
    <row r="1016" ht="12" customHeight="1"/>
    <row r="1017" ht="12" customHeight="1"/>
    <row r="1018" ht="12" customHeight="1"/>
    <row r="1019" ht="12" customHeight="1"/>
    <row r="1020" ht="12" customHeight="1"/>
    <row r="1021" ht="12" customHeight="1"/>
    <row r="1022" ht="12" customHeight="1"/>
    <row r="1023" ht="12" customHeight="1"/>
    <row r="1024" ht="12" customHeight="1"/>
    <row r="1025" ht="12" customHeight="1"/>
    <row r="1026" ht="12" customHeight="1"/>
    <row r="1027" ht="12" customHeight="1"/>
    <row r="1028" ht="12" customHeight="1"/>
    <row r="1029" ht="12" customHeight="1"/>
    <row r="1030" ht="12" customHeight="1"/>
    <row r="1031" ht="12" customHeight="1"/>
    <row r="1032" ht="12" customHeight="1"/>
    <row r="1033" ht="12" customHeight="1"/>
    <row r="1034" ht="12" customHeight="1"/>
    <row r="1035" ht="12" customHeight="1"/>
    <row r="1036" ht="12" customHeight="1"/>
    <row r="1037" ht="12" customHeight="1"/>
    <row r="1038" ht="12" customHeight="1"/>
    <row r="1039" ht="12" customHeight="1"/>
    <row r="1040" ht="12" customHeight="1"/>
    <row r="1041" ht="12" customHeight="1"/>
    <row r="1042" ht="12" customHeight="1"/>
    <row r="1043" ht="12" customHeight="1"/>
    <row r="1044" ht="12" customHeight="1"/>
    <row r="1045" ht="12" customHeight="1"/>
    <row r="1046" ht="12" customHeight="1"/>
    <row r="1047" ht="12" customHeight="1"/>
    <row r="1048" ht="12" customHeight="1"/>
    <row r="1049" ht="12" customHeight="1"/>
    <row r="1050" ht="12" customHeight="1"/>
    <row r="1051" ht="12" customHeight="1"/>
    <row r="1052" ht="12" customHeight="1"/>
    <row r="1053" ht="12" customHeight="1"/>
    <row r="1054" ht="12" customHeight="1"/>
    <row r="1055" ht="12" customHeight="1"/>
    <row r="1056" ht="12" customHeight="1"/>
    <row r="1057" ht="12" customHeight="1"/>
    <row r="1058" ht="12" customHeight="1"/>
    <row r="1059" ht="12" customHeight="1"/>
    <row r="1060" ht="12" customHeight="1"/>
    <row r="1061" ht="12" customHeight="1"/>
    <row r="1062" ht="12" customHeight="1"/>
    <row r="1063" ht="12" customHeight="1"/>
    <row r="1064" ht="12" customHeight="1"/>
    <row r="1065" ht="12" customHeight="1"/>
    <row r="1066" ht="12" customHeight="1"/>
    <row r="1067" ht="12" customHeight="1"/>
    <row r="1068" ht="12" customHeight="1"/>
    <row r="1069" ht="12" customHeight="1"/>
    <row r="1070" ht="12" customHeight="1"/>
    <row r="1071" ht="12" customHeight="1"/>
    <row r="1072" ht="12" customHeight="1"/>
    <row r="1073" ht="12" customHeight="1"/>
    <row r="1074" ht="12" customHeight="1"/>
    <row r="1075" ht="12" customHeight="1"/>
    <row r="1076" ht="12" customHeight="1"/>
    <row r="1077" ht="12" customHeight="1"/>
    <row r="1078" ht="12" customHeight="1"/>
    <row r="1079" ht="12" customHeight="1"/>
    <row r="1080" ht="12" customHeight="1"/>
    <row r="1081" ht="12" customHeight="1"/>
    <row r="1082" ht="12" customHeight="1"/>
    <row r="1083" ht="12" customHeight="1"/>
    <row r="1084" ht="12" customHeight="1"/>
    <row r="1085" ht="12" customHeight="1"/>
    <row r="1086" ht="12" customHeight="1"/>
    <row r="1087" ht="12" customHeight="1"/>
    <row r="1088" ht="12" customHeight="1"/>
    <row r="1089" ht="12" customHeight="1"/>
    <row r="1090" ht="12" customHeight="1"/>
    <row r="1091" ht="12" customHeight="1"/>
    <row r="1092" ht="12" customHeight="1"/>
    <row r="1093" ht="12" customHeight="1"/>
    <row r="1094" ht="12" customHeight="1"/>
    <row r="1095" ht="12" customHeight="1"/>
    <row r="1096" ht="12" customHeight="1"/>
    <row r="1097" ht="12" customHeight="1"/>
    <row r="1098" ht="12" customHeight="1"/>
    <row r="1099" ht="12" customHeight="1"/>
    <row r="1100" ht="12" customHeight="1"/>
    <row r="1101" ht="12" customHeight="1"/>
    <row r="1102" ht="12" customHeight="1"/>
    <row r="1103" ht="12" customHeight="1"/>
    <row r="1104" ht="12" customHeight="1"/>
    <row r="1105" ht="12" customHeight="1"/>
    <row r="1106" ht="12" customHeight="1"/>
    <row r="1107" ht="12" customHeight="1"/>
    <row r="1108" ht="12" customHeight="1"/>
    <row r="1109" ht="12" customHeight="1"/>
    <row r="1110" ht="12" customHeight="1"/>
    <row r="1111" ht="12" customHeight="1"/>
    <row r="1112" ht="12" customHeight="1"/>
    <row r="1113" ht="12" customHeight="1"/>
    <row r="1114" ht="12" customHeight="1"/>
    <row r="1115" ht="12" customHeight="1"/>
    <row r="1116" ht="12" customHeight="1"/>
    <row r="1117" ht="12" customHeight="1"/>
    <row r="1118" ht="12" customHeight="1"/>
    <row r="1119" ht="12" customHeight="1"/>
    <row r="1120" ht="12" customHeight="1"/>
    <row r="1121" ht="12" customHeight="1"/>
    <row r="1122" ht="12" customHeight="1"/>
    <row r="1123" ht="12" customHeight="1"/>
    <row r="1124" ht="12" customHeight="1"/>
    <row r="1125" ht="12" customHeight="1"/>
    <row r="1126" ht="12" customHeight="1"/>
    <row r="1127" ht="12" customHeight="1"/>
    <row r="1128" ht="12" customHeight="1"/>
    <row r="1129" ht="12" customHeight="1"/>
    <row r="1130" ht="12" customHeight="1"/>
    <row r="1131" ht="12" customHeight="1"/>
    <row r="1132" ht="12" customHeight="1"/>
    <row r="1133" ht="12" customHeight="1"/>
    <row r="1134" ht="12" customHeight="1"/>
    <row r="1135" ht="12" customHeight="1"/>
    <row r="1136" ht="12" customHeight="1"/>
    <row r="1137" ht="12" customHeight="1"/>
    <row r="1138" ht="12" customHeight="1"/>
    <row r="1139" ht="12" customHeight="1"/>
    <row r="1140" ht="12" customHeight="1"/>
    <row r="1141" ht="12" customHeight="1"/>
    <row r="1142" ht="12" customHeight="1"/>
    <row r="1143" ht="12" customHeight="1"/>
    <row r="1144" ht="12" customHeight="1"/>
    <row r="1145" ht="12" customHeight="1"/>
    <row r="1146" ht="12" customHeight="1"/>
    <row r="1147" ht="12" customHeight="1"/>
    <row r="1148" ht="12" customHeight="1"/>
    <row r="1149" ht="12" customHeight="1"/>
    <row r="1150" ht="12" customHeight="1"/>
    <row r="1151" ht="12" customHeight="1"/>
    <row r="1152" ht="12" customHeight="1"/>
    <row r="1153" ht="12" customHeight="1"/>
    <row r="1154" ht="12" customHeight="1"/>
    <row r="1155" ht="12" customHeight="1"/>
    <row r="1156" ht="12" customHeight="1"/>
    <row r="1157" ht="12" customHeight="1"/>
    <row r="1158" ht="12" customHeight="1"/>
    <row r="1159" ht="12" customHeight="1"/>
    <row r="1160" ht="12" customHeight="1"/>
    <row r="1161" ht="12" customHeight="1"/>
    <row r="1162" ht="12" customHeight="1"/>
    <row r="1163" ht="12" customHeight="1"/>
    <row r="1164" ht="12" customHeight="1"/>
    <row r="1165" ht="12" customHeight="1"/>
    <row r="1166" ht="12" customHeight="1"/>
    <row r="1167" ht="12" customHeight="1"/>
    <row r="1168" ht="12" customHeight="1"/>
    <row r="1169" ht="12" customHeight="1"/>
    <row r="1170" ht="12" customHeight="1"/>
    <row r="1171" ht="12" customHeight="1"/>
    <row r="1172" ht="12" customHeight="1"/>
    <row r="1173" ht="12" customHeight="1"/>
    <row r="1174" ht="12" customHeight="1"/>
    <row r="1175" ht="12" customHeight="1"/>
    <row r="1176" ht="12" customHeight="1"/>
    <row r="1177" ht="12" customHeight="1"/>
    <row r="1178" ht="12" customHeight="1"/>
    <row r="1179" ht="12" customHeight="1"/>
    <row r="1180" ht="12" customHeight="1"/>
    <row r="1181" ht="12" customHeight="1"/>
    <row r="1182" ht="12" customHeight="1"/>
    <row r="1183" ht="12" customHeight="1"/>
    <row r="1184" ht="12" customHeight="1"/>
    <row r="1185" ht="12" customHeight="1"/>
    <row r="1186" ht="12" customHeight="1"/>
    <row r="1187" ht="12" customHeight="1"/>
    <row r="1188" ht="12" customHeight="1"/>
    <row r="1189" ht="12" customHeight="1"/>
    <row r="1190" ht="12" customHeight="1"/>
    <row r="1191" ht="12" customHeight="1"/>
    <row r="1192" ht="12" customHeight="1"/>
    <row r="1193" ht="12" customHeight="1"/>
    <row r="1194" ht="12" customHeight="1"/>
    <row r="1195" ht="12" customHeight="1"/>
    <row r="1196" ht="12" customHeight="1"/>
    <row r="1197" ht="12" customHeight="1"/>
    <row r="1198" ht="12" customHeight="1"/>
    <row r="1199" ht="12" customHeight="1"/>
    <row r="1200" ht="12" customHeight="1"/>
    <row r="1201" ht="12" customHeight="1"/>
    <row r="1202" ht="12" customHeight="1"/>
    <row r="1203" ht="12" customHeight="1"/>
    <row r="1204" ht="12" customHeight="1"/>
    <row r="1205" ht="12" customHeight="1"/>
    <row r="1206" ht="12" customHeight="1"/>
    <row r="1207" ht="12" customHeight="1"/>
    <row r="1208" ht="12" customHeight="1"/>
    <row r="1209" ht="12" customHeight="1"/>
    <row r="1210" ht="12" customHeight="1"/>
    <row r="1211" ht="12" customHeight="1"/>
    <row r="1212" ht="12" customHeight="1"/>
    <row r="1213" ht="12" customHeight="1"/>
    <row r="1214" ht="12" customHeight="1"/>
    <row r="1215" ht="12" customHeight="1"/>
    <row r="1216" ht="12" customHeight="1"/>
    <row r="1217" ht="12" customHeight="1"/>
    <row r="1218" ht="12" customHeight="1"/>
    <row r="1219" ht="12" customHeight="1"/>
    <row r="1220" ht="12" customHeight="1"/>
    <row r="1221" ht="12" customHeight="1"/>
    <row r="1222" ht="12" customHeight="1"/>
    <row r="1223" ht="12" customHeight="1"/>
    <row r="1224" ht="12" customHeight="1"/>
    <row r="1225" ht="12" customHeight="1"/>
    <row r="1226" ht="12" customHeight="1"/>
    <row r="1227" ht="12" customHeight="1"/>
    <row r="1228" ht="12" customHeight="1"/>
    <row r="1229" ht="12" customHeight="1"/>
    <row r="1230" ht="12" customHeight="1"/>
    <row r="1231" ht="12" customHeight="1"/>
    <row r="1232" ht="12" customHeight="1"/>
    <row r="1233" ht="12" customHeight="1"/>
    <row r="1234" ht="12" customHeight="1"/>
    <row r="1235" ht="12" customHeight="1"/>
    <row r="1236" ht="12" customHeight="1"/>
    <row r="1237" ht="12" customHeight="1"/>
    <row r="1238" ht="12" customHeight="1"/>
    <row r="1239" ht="12" customHeight="1"/>
    <row r="1240" ht="12" customHeight="1"/>
    <row r="1241" ht="12" customHeight="1"/>
    <row r="1242" ht="12" customHeight="1"/>
    <row r="1243" ht="12" customHeight="1"/>
    <row r="1244" ht="12" customHeight="1"/>
    <row r="1245" ht="12" customHeight="1"/>
    <row r="1246" ht="12" customHeight="1"/>
    <row r="1247" ht="12" customHeight="1"/>
    <row r="1248" ht="12" customHeight="1"/>
    <row r="1249" ht="12" customHeight="1"/>
    <row r="1250" ht="12" customHeight="1"/>
    <row r="1251" ht="12" customHeight="1"/>
    <row r="1252" ht="12" customHeight="1"/>
    <row r="1253" ht="12" customHeight="1"/>
    <row r="1254" ht="12" customHeight="1"/>
    <row r="1255" ht="12" customHeight="1"/>
    <row r="1256" ht="12" customHeight="1"/>
    <row r="1257" ht="12" customHeight="1"/>
    <row r="1258" ht="12" customHeight="1"/>
    <row r="1259" ht="12" customHeight="1"/>
    <row r="1260" ht="12" customHeight="1"/>
    <row r="1261" ht="12" customHeight="1"/>
    <row r="1262" ht="12" customHeight="1"/>
    <row r="1263" ht="12" customHeight="1"/>
    <row r="1264" ht="12" customHeight="1"/>
    <row r="1265" ht="12" customHeight="1"/>
    <row r="1266" ht="12" customHeight="1"/>
    <row r="1267" ht="12" customHeight="1"/>
    <row r="1268" ht="12" customHeight="1"/>
    <row r="1269" ht="12" customHeight="1"/>
    <row r="1270" ht="12" customHeight="1"/>
    <row r="1271" ht="12" customHeight="1"/>
    <row r="1272" ht="12" customHeight="1"/>
    <row r="1273" ht="12" customHeight="1"/>
    <row r="1274" ht="12" customHeight="1"/>
    <row r="1275" ht="12" customHeight="1"/>
    <row r="1276" ht="12" customHeight="1"/>
    <row r="1277" ht="12" customHeight="1"/>
    <row r="1278" ht="12" customHeight="1"/>
    <row r="1279" ht="12" customHeight="1"/>
    <row r="1280" ht="12" customHeight="1"/>
    <row r="1281" ht="12" customHeight="1"/>
    <row r="1282" ht="12" customHeight="1"/>
    <row r="1283" ht="12" customHeight="1"/>
    <row r="1284" ht="12" customHeight="1"/>
    <row r="1285" ht="12" customHeight="1"/>
    <row r="1286" ht="12" customHeight="1"/>
    <row r="1287" ht="12" customHeight="1"/>
    <row r="1288" ht="12" customHeight="1"/>
    <row r="1289" ht="12" customHeight="1"/>
    <row r="1290" ht="12" customHeight="1"/>
    <row r="1291" ht="12" customHeight="1"/>
    <row r="1292" ht="12" customHeight="1"/>
    <row r="1293" ht="12" customHeight="1"/>
    <row r="1294" ht="12" customHeight="1"/>
    <row r="1295" ht="12" customHeight="1"/>
    <row r="1296" ht="12" customHeight="1"/>
    <row r="1297" ht="12" customHeight="1"/>
    <row r="1298" ht="12" customHeight="1"/>
    <row r="1299" ht="12" customHeight="1"/>
    <row r="1300" ht="12" customHeight="1"/>
    <row r="1301" ht="12" customHeight="1"/>
    <row r="1302" ht="12" customHeight="1"/>
    <row r="1303" ht="12" customHeight="1"/>
    <row r="1304" ht="12" customHeight="1"/>
    <row r="1305" ht="12" customHeight="1"/>
    <row r="1306" ht="12" customHeight="1"/>
    <row r="1307" ht="12" customHeight="1"/>
    <row r="1308" ht="12" customHeight="1"/>
    <row r="1309" ht="12" customHeight="1"/>
    <row r="1310" ht="12" customHeight="1"/>
    <row r="1311" ht="12" customHeight="1"/>
    <row r="1312" ht="12" customHeight="1"/>
    <row r="1313" ht="12" customHeight="1"/>
    <row r="1314" ht="12" customHeight="1"/>
    <row r="1315" ht="12" customHeight="1"/>
    <row r="1316" ht="12" customHeight="1"/>
    <row r="1317" ht="12" customHeight="1"/>
    <row r="1318" ht="12" customHeight="1"/>
    <row r="1319" ht="12" customHeight="1"/>
    <row r="1320" ht="12" customHeight="1"/>
    <row r="1321" ht="12" customHeight="1"/>
    <row r="1322" ht="12" customHeight="1"/>
    <row r="1323" ht="12" customHeight="1"/>
    <row r="1324" ht="12" customHeight="1"/>
    <row r="1325" ht="12" customHeight="1"/>
    <row r="1326" ht="12" customHeight="1"/>
    <row r="1327" ht="12" customHeight="1"/>
    <row r="1328" ht="12" customHeight="1"/>
    <row r="1329" ht="12" customHeight="1"/>
    <row r="1330" ht="12" customHeight="1"/>
    <row r="1331" ht="12" customHeight="1"/>
    <row r="1332" ht="12" customHeight="1"/>
    <row r="1333" ht="12" customHeight="1"/>
    <row r="1334" ht="12" customHeight="1"/>
    <row r="1335" ht="12" customHeight="1"/>
    <row r="1336" ht="12" customHeight="1"/>
    <row r="1337" ht="12" customHeight="1"/>
    <row r="1338" ht="12" customHeight="1"/>
    <row r="1339" ht="12" customHeight="1"/>
    <row r="1340" ht="12" customHeight="1"/>
    <row r="1341" ht="12" customHeight="1"/>
    <row r="1342" ht="12" customHeight="1"/>
    <row r="1343" ht="12" customHeight="1"/>
    <row r="1344" ht="12" customHeight="1"/>
    <row r="1345" ht="12" customHeight="1"/>
    <row r="1346" ht="12" customHeight="1"/>
    <row r="1347" ht="12" customHeight="1"/>
    <row r="1348" ht="12" customHeight="1"/>
    <row r="1349" ht="12" customHeight="1"/>
    <row r="1350" ht="12" customHeight="1"/>
    <row r="1351" ht="12" customHeight="1"/>
    <row r="1352" ht="12" customHeight="1"/>
    <row r="1353" ht="12" customHeight="1"/>
    <row r="1354" ht="12" customHeight="1"/>
    <row r="1355" ht="12" customHeight="1"/>
    <row r="1356" ht="12" customHeight="1"/>
    <row r="1357" ht="12" customHeight="1"/>
    <row r="1358" ht="12" customHeight="1"/>
    <row r="1359" ht="12" customHeight="1"/>
    <row r="1360" ht="12" customHeight="1"/>
    <row r="1361" ht="12" customHeight="1"/>
    <row r="1362" ht="12" customHeight="1"/>
    <row r="1363" ht="12" customHeight="1"/>
    <row r="1364" ht="12" customHeight="1"/>
    <row r="1365" ht="12" customHeight="1"/>
    <row r="1366" ht="12" customHeight="1"/>
    <row r="1367" ht="12" customHeight="1"/>
    <row r="1368" ht="12" customHeight="1"/>
    <row r="1369" ht="12" customHeight="1"/>
    <row r="1370" ht="12" customHeight="1"/>
    <row r="1371" ht="12" customHeight="1"/>
    <row r="1372" ht="12" customHeight="1"/>
    <row r="1373" ht="12" customHeight="1"/>
    <row r="1374" ht="12" customHeight="1"/>
    <row r="1375" ht="12" customHeight="1"/>
    <row r="1376" ht="12" customHeight="1"/>
    <row r="1377" ht="12" customHeight="1"/>
    <row r="1378" ht="12" customHeight="1"/>
    <row r="1379" ht="12" customHeight="1"/>
    <row r="1380" ht="12" customHeight="1"/>
    <row r="1381" ht="12" customHeight="1"/>
    <row r="1382" ht="12" customHeight="1"/>
    <row r="1383" ht="12" customHeight="1"/>
    <row r="1384" ht="12" customHeight="1"/>
    <row r="1385" ht="12" customHeight="1"/>
    <row r="1386" ht="12" customHeight="1"/>
    <row r="1387" ht="12" customHeight="1"/>
    <row r="1388" ht="12" customHeight="1"/>
    <row r="1389" ht="12" customHeight="1"/>
    <row r="1390" ht="12" customHeight="1"/>
    <row r="1391" ht="12" customHeight="1"/>
    <row r="1392" ht="12" customHeight="1"/>
    <row r="1393" ht="12" customHeight="1"/>
    <row r="1394" ht="12" customHeight="1"/>
    <row r="1395" ht="12" customHeight="1"/>
    <row r="1396" ht="12" customHeight="1"/>
    <row r="1397" ht="12" customHeight="1"/>
    <row r="1398" ht="12" customHeight="1"/>
    <row r="1399" ht="12" customHeight="1"/>
    <row r="1400" ht="12" customHeight="1"/>
    <row r="1401" ht="12" customHeight="1"/>
    <row r="1402" ht="12" customHeight="1"/>
    <row r="1403" ht="12" customHeight="1"/>
    <row r="1404" ht="12" customHeight="1"/>
    <row r="1405" ht="12" customHeight="1"/>
    <row r="1406" ht="12" customHeight="1"/>
    <row r="1407" ht="12" customHeight="1"/>
    <row r="1408" ht="12" customHeight="1"/>
    <row r="1409" ht="12" customHeight="1"/>
    <row r="1410" ht="12" customHeight="1"/>
    <row r="1411" ht="12" customHeight="1"/>
    <row r="1412" ht="12" customHeight="1"/>
    <row r="1413" ht="12" customHeight="1"/>
    <row r="1414" ht="12" customHeight="1"/>
    <row r="1415" ht="12" customHeight="1"/>
    <row r="1416" ht="12" customHeight="1"/>
    <row r="1417" ht="12" customHeight="1"/>
    <row r="1418" ht="12" customHeight="1"/>
    <row r="1419" ht="12" customHeight="1"/>
    <row r="1420" ht="12" customHeight="1"/>
    <row r="1421" ht="12" customHeight="1"/>
    <row r="1422" ht="12" customHeight="1"/>
    <row r="1423" ht="12" customHeight="1"/>
    <row r="1424" ht="12" customHeight="1"/>
    <row r="1425" ht="12" customHeight="1"/>
    <row r="1426" ht="12" customHeight="1"/>
    <row r="1427" ht="12" customHeight="1"/>
    <row r="1428" ht="12" customHeight="1"/>
    <row r="1429" ht="12" customHeight="1"/>
    <row r="1430" ht="12" customHeight="1"/>
    <row r="1431" ht="12" customHeight="1"/>
    <row r="1432" ht="12" customHeight="1"/>
    <row r="1433" ht="12" customHeight="1"/>
    <row r="1434" ht="12" customHeight="1"/>
    <row r="1435" ht="12" customHeight="1"/>
    <row r="1436" ht="12" customHeight="1"/>
    <row r="1437" ht="12" customHeight="1"/>
    <row r="1438" ht="12" customHeight="1"/>
    <row r="1439" ht="12" customHeight="1"/>
    <row r="1440" ht="12" customHeight="1"/>
    <row r="1441" ht="12" customHeight="1"/>
    <row r="1442" ht="12" customHeight="1"/>
    <row r="1443" ht="12" customHeight="1"/>
    <row r="1444" ht="12" customHeight="1"/>
    <row r="1445" ht="12" customHeight="1"/>
    <row r="1446" ht="12" customHeight="1"/>
    <row r="1447" ht="12" customHeight="1"/>
    <row r="1448" ht="12" customHeight="1"/>
    <row r="1449" ht="12" customHeight="1"/>
    <row r="1450" ht="12" customHeight="1"/>
    <row r="1451" ht="12" customHeight="1"/>
    <row r="1452" ht="12" customHeight="1"/>
    <row r="1453" ht="12" customHeight="1"/>
    <row r="1454" ht="12" customHeight="1"/>
    <row r="1455" ht="12" customHeight="1"/>
    <row r="1456" ht="12" customHeight="1"/>
    <row r="1457" ht="12" customHeight="1"/>
    <row r="1458" ht="12" customHeight="1"/>
    <row r="1459" ht="12" customHeight="1"/>
    <row r="1460" ht="12" customHeight="1"/>
    <row r="1461" ht="12" customHeight="1"/>
    <row r="1462" ht="12" customHeight="1"/>
    <row r="1463" ht="12" customHeight="1"/>
    <row r="1464" ht="12" customHeight="1"/>
    <row r="1465" ht="12" customHeight="1"/>
    <row r="1466" ht="12" customHeight="1"/>
    <row r="1467" ht="12" customHeight="1"/>
    <row r="1468" ht="12" customHeight="1"/>
    <row r="1469" ht="12" customHeight="1"/>
    <row r="1470" ht="12" customHeight="1"/>
    <row r="1471" ht="12" customHeight="1"/>
    <row r="1472" ht="12" customHeight="1"/>
    <row r="1473" ht="12" customHeight="1"/>
    <row r="1474" ht="12" customHeight="1"/>
    <row r="1475" ht="12" customHeight="1"/>
    <row r="1476" ht="12" customHeight="1"/>
    <row r="1477" ht="12" customHeight="1"/>
    <row r="1478" ht="12" customHeight="1"/>
    <row r="1479" ht="12" customHeight="1"/>
    <row r="1480" ht="12" customHeight="1"/>
    <row r="1481" ht="12" customHeight="1"/>
    <row r="1482" ht="12" customHeight="1"/>
    <row r="1483" ht="12" customHeight="1"/>
    <row r="1484" ht="12" customHeight="1"/>
    <row r="1485" ht="12" customHeight="1"/>
    <row r="1486" ht="12" customHeight="1"/>
    <row r="1487" ht="12" customHeight="1"/>
    <row r="1488" ht="12" customHeight="1"/>
    <row r="1489" ht="12" customHeight="1"/>
    <row r="1490" ht="12" customHeight="1"/>
    <row r="1491" ht="12" customHeight="1"/>
    <row r="1492" ht="12" customHeight="1"/>
    <row r="1493" ht="12" customHeight="1"/>
    <row r="1494" ht="12" customHeight="1"/>
    <row r="1495" ht="12" customHeight="1"/>
    <row r="1496" ht="12" customHeight="1"/>
    <row r="1497" ht="12" customHeight="1"/>
    <row r="1498" ht="12" customHeight="1"/>
    <row r="1499" ht="12" customHeight="1"/>
    <row r="1500" ht="12" customHeight="1"/>
    <row r="1501" ht="12" customHeight="1"/>
    <row r="1502" ht="12" customHeight="1"/>
    <row r="1503" ht="12" customHeight="1"/>
    <row r="2190" outlineLevel="2"/>
  </sheetData>
  <pageMargins left="0.7" right="0.7" top="0.75" bottom="0.75" header="0.3" footer="0.3"/>
  <pageSetup paperSize="9" scale="44" fitToWidth="2" fitToHeight="10" orientation="landscape" horizontalDpi="300" verticalDpi="300" r:id="rId1"/>
  <rowBreaks count="8" manualBreakCount="8">
    <brk id="74" min="1" max="50" man="1"/>
    <brk id="152" min="1" max="50" man="1"/>
    <brk id="224" min="1" max="50" man="1"/>
    <brk id="304" min="1" max="50" man="1"/>
    <brk id="375" min="1" max="50" man="1"/>
    <brk id="447" min="1" max="50" man="1"/>
    <brk id="521" min="1" max="30" man="1"/>
    <brk id="660" min="1" max="30" man="1"/>
  </rowBreaks>
  <colBreaks count="1" manualBreakCount="1">
    <brk id="45" max="487" man="1"/>
  </colBreaks>
  <customProperties>
    <customPr name="Qube.Worksheet.Visibility" r:id="rId2"/>
    <customPr name="SHEET_UNIQUE_ID" r:id="rId3"/>
  </customProperties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U78"/>
  <sheetViews>
    <sheetView topLeftCell="A6" workbookViewId="0">
      <selection activeCell="H42" sqref="H42"/>
    </sheetView>
  </sheetViews>
  <sheetFormatPr defaultColWidth="9.140625" defaultRowHeight="12" outlineLevelRow="1" outlineLevelCol="1"/>
  <cols>
    <col min="1" max="1" width="4.140625" style="106" customWidth="1"/>
    <col min="2" max="4" width="4.140625" style="106" customWidth="1" outlineLevel="1"/>
    <col min="5" max="5" width="36" style="106" bestFit="1" customWidth="1"/>
    <col min="6" max="6" width="11" style="106" hidden="1" customWidth="1" outlineLevel="1"/>
    <col min="7" max="7" width="11" style="106" customWidth="1" collapsed="1"/>
    <col min="8" max="10" width="11" style="106" customWidth="1"/>
    <col min="11" max="11" width="1.7109375" style="106" customWidth="1"/>
    <col min="12" max="12" width="36" style="106" customWidth="1"/>
    <col min="13" max="13" width="11" style="106" hidden="1" customWidth="1" outlineLevel="1"/>
    <col min="14" max="14" width="11" style="106" customWidth="1" collapsed="1"/>
    <col min="15" max="17" width="11" style="106" customWidth="1"/>
    <col min="18" max="19" width="4" style="187" hidden="1" customWidth="1" outlineLevel="1"/>
    <col min="20" max="20" width="4" style="106" hidden="1" customWidth="1" outlineLevel="1"/>
    <col min="21" max="21" width="4" style="106" customWidth="1" collapsed="1"/>
    <col min="22" max="16384" width="9.140625" style="106"/>
  </cols>
  <sheetData>
    <row r="1" spans="3:18" outlineLevel="1">
      <c r="F1" s="422">
        <f>INDEX('Group Model'!$3:$3,MATCH(F$2,'Group Model'!$1:$1,0))</f>
        <v>45382</v>
      </c>
      <c r="G1" s="422">
        <f t="shared" ref="G1:J1" si="0">EOMONTH(F1,12)</f>
        <v>45747</v>
      </c>
      <c r="H1" s="422">
        <f t="shared" si="0"/>
        <v>46112</v>
      </c>
      <c r="I1" s="422">
        <f t="shared" si="0"/>
        <v>46477</v>
      </c>
      <c r="J1" s="422">
        <f t="shared" si="0"/>
        <v>46843</v>
      </c>
    </row>
    <row r="2" spans="3:18" outlineLevel="1">
      <c r="F2" s="110" t="s">
        <v>1832</v>
      </c>
      <c r="G2" s="110" t="str">
        <f t="shared" ref="G2" si="1">LEFT(F2,2)&amp;TEXT(MID(F2,3,2)+1,"00")&amp;"A"</f>
        <v>FY25A</v>
      </c>
      <c r="H2" s="110" t="str">
        <f t="shared" ref="H2:J2" si="2">LEFT(G2,2)&amp;TEXT(MID(G2,3,2)+1,"00")&amp;"E"</f>
        <v>FY26E</v>
      </c>
      <c r="I2" s="110" t="str">
        <f t="shared" si="2"/>
        <v>FY27E</v>
      </c>
      <c r="J2" s="110" t="str">
        <f t="shared" si="2"/>
        <v>FY28E</v>
      </c>
    </row>
    <row r="4" spans="3:18">
      <c r="E4" s="111"/>
    </row>
    <row r="5" spans="3:18">
      <c r="C5" s="106">
        <v>53.92</v>
      </c>
      <c r="E5" s="463" t="s">
        <v>623</v>
      </c>
      <c r="F5" s="464"/>
      <c r="G5" s="465"/>
      <c r="H5" s="465"/>
      <c r="I5" s="465"/>
      <c r="J5" s="465"/>
      <c r="L5" s="463" t="s">
        <v>624</v>
      </c>
      <c r="M5" s="465" t="str">
        <f t="shared" ref="M5:N5" si="3">TEXT(F$1,"mm/yy")</f>
        <v>03/24</v>
      </c>
      <c r="N5" s="465" t="str">
        <f t="shared" si="3"/>
        <v>03/25</v>
      </c>
      <c r="O5" s="465" t="str">
        <f t="shared" ref="O5:Q5" si="4">TEXT(H$1,"mm/yy")&amp;"E"</f>
        <v>03/26E</v>
      </c>
      <c r="P5" s="465" t="str">
        <f t="shared" si="4"/>
        <v>03/27E</v>
      </c>
      <c r="Q5" s="465" t="str">
        <f t="shared" si="4"/>
        <v>03/28E</v>
      </c>
    </row>
    <row r="6" spans="3:18">
      <c r="E6" s="106" t="s">
        <v>267</v>
      </c>
      <c r="G6" s="424" t="str">
        <f>Summary!C2</f>
        <v>MQG</v>
      </c>
      <c r="H6" s="106" t="s">
        <v>625</v>
      </c>
      <c r="J6" s="425" t="e">
        <f>IF(INDEX(#REF!,MATCH("Australia/NZ Investment List",#REF!,0))="","Neutral",IF(INDEX(#REF!,MATCH("Australia/NZ Conviction List",#REF!,0))="",INDEX(#REF!,MATCH("Australia/NZ Investment List",#REF!,0)),INDEX(#REF!,MATCH("Australia/NZ Conviction List",#REF!,0))&amp;" (CL)"))&amp;"  "</f>
        <v>#REF!</v>
      </c>
      <c r="L6" s="111" t="s">
        <v>6</v>
      </c>
      <c r="M6" s="426">
        <f>VLOOKUP($R6,'Group Model'!$1:$1048576,MATCH(FinSum!F$2,'Group Model'!$1:$1,0),FALSE)</f>
        <v>172525</v>
      </c>
      <c r="N6" s="426">
        <f>VLOOKUP($R6,'Group Model'!$1:$1048576,MATCH(FinSum!G$2,'Group Model'!$1:$1,0),FALSE)</f>
        <v>192716.57534246577</v>
      </c>
      <c r="O6" s="426">
        <f>VLOOKUP($R6,'Group Model'!$1:$1048576,MATCH(FinSum!H$2,'Group Model'!$1:$1,0),FALSE)</f>
        <v>224145.78493150687</v>
      </c>
      <c r="P6" s="426">
        <f>VLOOKUP($R6,'Group Model'!$1:$1048576,MATCH(FinSum!I$2,'Group Model'!$1:$1,0),FALSE)</f>
        <v>261086.9834923973</v>
      </c>
      <c r="Q6" s="426">
        <f>VLOOKUP($R6,'Group Model'!$1:$1048576,MATCH(FinSum!J$2,'Group Model'!$1:$1,0),FALSE)</f>
        <v>294697.88756936626</v>
      </c>
      <c r="R6" s="187" t="s">
        <v>312</v>
      </c>
    </row>
    <row r="7" spans="3:18">
      <c r="E7" s="106" t="s">
        <v>270</v>
      </c>
      <c r="G7" s="424" t="str">
        <f>$G$6&amp;" AU"</f>
        <v>MQG AU</v>
      </c>
      <c r="H7" s="106" t="s">
        <v>626</v>
      </c>
      <c r="J7" s="425" t="str">
        <f>Summary!G3&amp;"  "</f>
        <v xml:space="preserve">FY30E  </v>
      </c>
      <c r="L7" s="106" t="s">
        <v>5</v>
      </c>
      <c r="M7" s="427">
        <f>VLOOKUP($R7,'Group Model'!$1:$1048576,MATCH(FinSum!F$2,'Group Model'!$1:$1,0),FALSE)</f>
        <v>2.0049268221996812E-2</v>
      </c>
      <c r="N7" s="427">
        <f>VLOOKUP($R7,'Group Model'!$1:$1048576,MATCH(FinSum!G$2,'Group Model'!$1:$1,0),FALSE)</f>
        <v>1.8197708182432715E-2</v>
      </c>
      <c r="O7" s="427">
        <f>VLOOKUP($R7,'Group Model'!$1:$1048576,MATCH(FinSum!H$2,'Group Model'!$1:$1,0),FALSE)</f>
        <v>1.8326504887780693E-2</v>
      </c>
      <c r="P7" s="427">
        <f>VLOOKUP($R7,'Group Model'!$1:$1048576,MATCH(FinSum!I$2,'Group Model'!$1:$1,0),FALSE)</f>
        <v>1.6925068251919466E-2</v>
      </c>
      <c r="Q7" s="427">
        <f>VLOOKUP($R7,'Group Model'!$1:$1048576,MATCH(FinSum!J$2,'Group Model'!$1:$1,0),FALSE)</f>
        <v>1.578153293256716E-2</v>
      </c>
      <c r="R7" s="187" t="s">
        <v>313</v>
      </c>
    </row>
    <row r="8" spans="3:18">
      <c r="E8" s="106" t="s">
        <v>274</v>
      </c>
      <c r="G8" s="424" t="str">
        <f>$G$6&amp;".AX"</f>
        <v>MQG.AX</v>
      </c>
      <c r="H8" s="106" t="s">
        <v>627</v>
      </c>
      <c r="J8" s="428">
        <f>Summary!G2</f>
        <v>46265</v>
      </c>
      <c r="L8" s="429" t="s">
        <v>7</v>
      </c>
      <c r="M8" s="430">
        <f>VLOOKUP($R8,'Group Model'!$1:$1048576,MATCH(FinSum!F$2,'Group Model'!$1:$1,0),FALSE)</f>
        <v>3459</v>
      </c>
      <c r="N8" s="430">
        <f>VLOOKUP($R8,'Group Model'!$1:$1048576,MATCH(FinSum!G$2,'Group Model'!$1:$1,0),FALSE)</f>
        <v>3507</v>
      </c>
      <c r="O8" s="430">
        <f>VLOOKUP($R8,'Group Model'!$1:$1048576,MATCH(FinSum!H$2,'Group Model'!$1:$1,0),FALSE)</f>
        <v>4107.8088231227011</v>
      </c>
      <c r="P8" s="430">
        <f>VLOOKUP($R8,'Group Model'!$1:$1048576,MATCH(FinSum!I$2,'Group Model'!$1:$1,0),FALSE)</f>
        <v>4418.9150152965949</v>
      </c>
      <c r="Q8" s="430">
        <f>VLOOKUP($R8,'Group Model'!$1:$1048576,MATCH(FinSum!J$2,'Group Model'!$1:$1,0),FALSE)</f>
        <v>4650.7844178339274</v>
      </c>
      <c r="R8" s="187" t="s">
        <v>314</v>
      </c>
    </row>
    <row r="9" spans="3:18">
      <c r="E9" s="106" t="s">
        <v>628</v>
      </c>
      <c r="G9" s="431">
        <f>Summary!C5</f>
        <v>214.5</v>
      </c>
      <c r="H9" s="106" t="s">
        <v>376</v>
      </c>
      <c r="J9" s="432">
        <f>Summary!G9</f>
        <v>221.37365092065986</v>
      </c>
      <c r="L9" s="106" t="s">
        <v>17</v>
      </c>
      <c r="M9" s="433">
        <f>VLOOKUP($R9,'Group Model'!$1:$1048576,MATCH(FinSum!F$2,'Group Model'!$1:$1,0),FALSE)</f>
        <v>2895</v>
      </c>
      <c r="N9" s="433">
        <f>VLOOKUP($R9,'Group Model'!$1:$1048576,MATCH(FinSum!G$2,'Group Model'!$1:$1,0),FALSE)</f>
        <v>2948</v>
      </c>
      <c r="O9" s="433">
        <f>VLOOKUP($R9,'Group Model'!$1:$1048576,MATCH(FinSum!H$2,'Group Model'!$1:$1,0),FALSE)</f>
        <v>2750.0898811034426</v>
      </c>
      <c r="P9" s="433">
        <f>VLOOKUP($R9,'Group Model'!$1:$1048576,MATCH(FinSum!I$2,'Group Model'!$1:$1,0),FALSE)</f>
        <v>2191.27297880276</v>
      </c>
      <c r="Q9" s="433">
        <f>VLOOKUP($R9,'Group Model'!$1:$1048576,MATCH(FinSum!J$2,'Group Model'!$1:$1,0),FALSE)</f>
        <v>2260.8586694947749</v>
      </c>
      <c r="R9" s="187" t="s">
        <v>547</v>
      </c>
    </row>
    <row r="10" spans="3:18">
      <c r="E10" s="106" t="s">
        <v>629</v>
      </c>
      <c r="G10" s="434" t="e">
        <f>Summary!#REF!</f>
        <v>#REF!</v>
      </c>
      <c r="H10" s="106" t="s">
        <v>1379</v>
      </c>
      <c r="J10" s="432">
        <f>Summary!G10</f>
        <v>221.37365092065986</v>
      </c>
      <c r="L10" s="106" t="s">
        <v>18</v>
      </c>
      <c r="M10" s="433">
        <f>VLOOKUP($R10,'Group Model'!$1:$1048576,MATCH(FinSum!F$2,'Group Model'!$1:$1,0),FALSE)</f>
        <v>632</v>
      </c>
      <c r="N10" s="433">
        <f>VLOOKUP($R10,'Group Model'!$1:$1048576,MATCH(FinSum!G$2,'Group Model'!$1:$1,0),FALSE)</f>
        <v>837</v>
      </c>
      <c r="O10" s="433">
        <f>VLOOKUP($R10,'Group Model'!$1:$1048576,MATCH(FinSum!H$2,'Group Model'!$1:$1,0),FALSE)</f>
        <v>1493.2708894215784</v>
      </c>
      <c r="P10" s="433">
        <f>VLOOKUP($R10,'Group Model'!$1:$1048576,MATCH(FinSum!I$2,'Group Model'!$1:$1,0),FALSE)</f>
        <v>1351.9447620502622</v>
      </c>
      <c r="Q10" s="433">
        <f>VLOOKUP($R10,'Group Model'!$1:$1048576,MATCH(FinSum!J$2,'Group Model'!$1:$1,0),FALSE)</f>
        <v>1379.4708435417228</v>
      </c>
      <c r="R10" s="187" t="s">
        <v>546</v>
      </c>
    </row>
    <row r="11" spans="3:18">
      <c r="E11" s="106" t="s">
        <v>630</v>
      </c>
      <c r="G11" s="434" t="e">
        <f>G10/G9</f>
        <v>#REF!</v>
      </c>
      <c r="H11" s="106" t="s">
        <v>631</v>
      </c>
      <c r="J11" s="435">
        <f>J10/G9-1</f>
        <v>3.2044992637108916E-2</v>
      </c>
      <c r="L11" s="106" t="s">
        <v>20</v>
      </c>
      <c r="M11" s="433">
        <f>VLOOKUP($R11,'Group Model'!$1:$1048576,MATCH(FinSum!F$2,'Group Model'!$1:$1,0),FALSE)</f>
        <v>743</v>
      </c>
      <c r="N11" s="433">
        <f>VLOOKUP($R11,'Group Model'!$1:$1048576,MATCH(FinSum!G$2,'Group Model'!$1:$1,0),FALSE)</f>
        <v>916</v>
      </c>
      <c r="O11" s="433">
        <f>VLOOKUP($R11,'Group Model'!$1:$1048576,MATCH(FinSum!H$2,'Group Model'!$1:$1,0),FALSE)</f>
        <v>998.125</v>
      </c>
      <c r="P11" s="433">
        <f>VLOOKUP($R11,'Group Model'!$1:$1048576,MATCH(FinSum!I$2,'Group Model'!$1:$1,0),FALSE)</f>
        <v>1023.905</v>
      </c>
      <c r="Q11" s="433">
        <f>VLOOKUP($R11,'Group Model'!$1:$1048576,MATCH(FinSum!J$2,'Group Model'!$1:$1,0),FALSE)</f>
        <v>1059.7275999999999</v>
      </c>
      <c r="R11" s="187" t="s">
        <v>545</v>
      </c>
    </row>
    <row r="12" spans="3:18">
      <c r="E12" s="106" t="s">
        <v>632</v>
      </c>
      <c r="G12" s="436" t="str">
        <f>TEXT(Summary!$C$10,"MMMM")</f>
        <v>March</v>
      </c>
      <c r="H12" s="106" t="s">
        <v>633</v>
      </c>
      <c r="J12" s="437">
        <f>$J$10/Summary!$E$136</f>
        <v>17.355839264503349</v>
      </c>
      <c r="L12" s="106" t="s">
        <v>19</v>
      </c>
      <c r="M12" s="433">
        <f>VLOOKUP($R12,'Group Model'!$1:$1048576,MATCH(FinSum!F$2,'Group Model'!$1:$1,0),FALSE)</f>
        <v>791</v>
      </c>
      <c r="N12" s="433">
        <f>VLOOKUP($R12,'Group Model'!$1:$1048576,MATCH(FinSum!G$2,'Group Model'!$1:$1,0),FALSE)</f>
        <v>863</v>
      </c>
      <c r="O12" s="433">
        <f>VLOOKUP($R12,'Group Model'!$1:$1048576,MATCH(FinSum!H$2,'Group Model'!$1:$1,0),FALSE)</f>
        <v>982.69</v>
      </c>
      <c r="P12" s="433">
        <f>VLOOKUP($R12,'Group Model'!$1:$1048576,MATCH(FinSum!I$2,'Group Model'!$1:$1,0),FALSE)</f>
        <v>1031.6789250000002</v>
      </c>
      <c r="Q12" s="433">
        <f>VLOOKUP($R12,'Group Model'!$1:$1048576,MATCH(FinSum!J$2,'Group Model'!$1:$1,0),FALSE)</f>
        <v>1102.7650828125002</v>
      </c>
      <c r="R12" s="187" t="s">
        <v>544</v>
      </c>
    </row>
    <row r="13" spans="3:18">
      <c r="J13" s="110"/>
      <c r="L13" s="106" t="s">
        <v>29</v>
      </c>
      <c r="M13" s="433">
        <f>M14-M9-M10-M11-M12</f>
        <v>1188</v>
      </c>
      <c r="N13" s="433">
        <f t="shared" ref="N13:Q13" si="5">N14-N9-N10-N11-N12</f>
        <v>1226</v>
      </c>
      <c r="O13" s="433">
        <f t="shared" si="5"/>
        <v>1352.8580000000015</v>
      </c>
      <c r="P13" s="433">
        <f t="shared" si="5"/>
        <v>1449.2483671999998</v>
      </c>
      <c r="Q13" s="433">
        <f t="shared" si="5"/>
        <v>1519.0350680124807</v>
      </c>
      <c r="R13" s="187" t="s">
        <v>543</v>
      </c>
    </row>
    <row r="14" spans="3:18">
      <c r="E14" s="463" t="s">
        <v>634</v>
      </c>
      <c r="F14" s="465" t="str">
        <f t="shared" ref="F14:G14" si="6">TEXT(F$1,"mm/yy")</f>
        <v>03/24</v>
      </c>
      <c r="G14" s="465" t="str">
        <f t="shared" si="6"/>
        <v>03/25</v>
      </c>
      <c r="H14" s="465" t="str">
        <f t="shared" ref="H14:J14" si="7">TEXT(H$1,"mm/yy")&amp;RIGHT(H$2,1)</f>
        <v>03/26E</v>
      </c>
      <c r="I14" s="465" t="str">
        <f t="shared" si="7"/>
        <v>03/27E</v>
      </c>
      <c r="J14" s="465" t="str">
        <f t="shared" si="7"/>
        <v>03/28E</v>
      </c>
      <c r="L14" s="429" t="s">
        <v>118</v>
      </c>
      <c r="M14" s="430">
        <f>VLOOKUP($R14,'Group Model'!$1:$1048576,MATCH(FinSum!F$2,'Group Model'!$1:$1,0),FALSE)</f>
        <v>6249</v>
      </c>
      <c r="N14" s="430">
        <f>VLOOKUP($R14,'Group Model'!$1:$1048576,MATCH(FinSum!G$2,'Group Model'!$1:$1,0),FALSE)</f>
        <v>6790</v>
      </c>
      <c r="O14" s="430">
        <f>VLOOKUP($R14,'Group Model'!$1:$1048576,MATCH(FinSum!H$2,'Group Model'!$1:$1,0),FALSE)</f>
        <v>7577.0337705250222</v>
      </c>
      <c r="P14" s="430">
        <f>VLOOKUP($R14,'Group Model'!$1:$1048576,MATCH(FinSum!I$2,'Group Model'!$1:$1,0),FALSE)</f>
        <v>7048.0500330530222</v>
      </c>
      <c r="Q14" s="430">
        <f>VLOOKUP($R14,'Group Model'!$1:$1048576,MATCH(FinSum!J$2,'Group Model'!$1:$1,0),FALSE)</f>
        <v>7321.8572638614778</v>
      </c>
      <c r="R14" s="187" t="s">
        <v>540</v>
      </c>
    </row>
    <row r="15" spans="3:18">
      <c r="C15" s="111"/>
      <c r="D15" s="111"/>
      <c r="E15" s="111" t="s">
        <v>635</v>
      </c>
      <c r="F15" s="426">
        <f t="shared" ref="F15" si="8">M27</f>
        <v>3522</v>
      </c>
      <c r="G15" s="426">
        <f>N27</f>
        <v>3715</v>
      </c>
      <c r="H15" s="426">
        <f t="shared" ref="H15:J15" si="9">O27</f>
        <v>4154.8880561614706</v>
      </c>
      <c r="I15" s="426">
        <f t="shared" si="9"/>
        <v>4590.333679525238</v>
      </c>
      <c r="J15" s="426">
        <f t="shared" si="9"/>
        <v>5075.1655183620624</v>
      </c>
      <c r="L15" s="106" t="s">
        <v>8</v>
      </c>
      <c r="M15" s="433">
        <f>VLOOKUP($R15,'Group Model'!$1:$1048576,MATCH(FinSum!F$2,'Group Model'!$1:$1,0),FALSE)</f>
        <v>5448</v>
      </c>
      <c r="N15" s="433">
        <f>VLOOKUP($R15,'Group Model'!$1:$1048576,MATCH(FinSum!G$2,'Group Model'!$1:$1,0),FALSE)</f>
        <v>5370</v>
      </c>
      <c r="O15" s="433">
        <f>VLOOKUP($R15,'Group Model'!$1:$1048576,MATCH(FinSum!H$2,'Group Model'!$1:$1,0),FALSE)</f>
        <v>5862.1929649698013</v>
      </c>
      <c r="P15" s="433">
        <f>VLOOKUP($R15,'Group Model'!$1:$1048576,MATCH(FinSum!I$2,'Group Model'!$1:$1,0),FALSE)</f>
        <v>6352.4136193115546</v>
      </c>
      <c r="Q15" s="433">
        <f>VLOOKUP($R15,'Group Model'!$1:$1048576,MATCH(FinSum!J$2,'Group Model'!$1:$1,0),FALSE)</f>
        <v>6821.4002484826387</v>
      </c>
      <c r="R15" s="187" t="s">
        <v>315</v>
      </c>
    </row>
    <row r="16" spans="3:18">
      <c r="E16" s="438" t="s">
        <v>636</v>
      </c>
      <c r="F16" s="439"/>
      <c r="G16" s="439">
        <f t="shared" ref="G16:J16" si="10">G15/F15-1</f>
        <v>5.4798409994321506E-2</v>
      </c>
      <c r="H16" s="439">
        <f t="shared" si="10"/>
        <v>0.11840862884561787</v>
      </c>
      <c r="I16" s="439">
        <f t="shared" si="10"/>
        <v>0.1048032143051425</v>
      </c>
      <c r="J16" s="439">
        <f t="shared" si="10"/>
        <v>0.10562017332190288</v>
      </c>
      <c r="L16" s="106" t="s">
        <v>9</v>
      </c>
      <c r="M16" s="433">
        <f>VLOOKUP($R16,'Group Model'!$1:$1048576,MATCH(FinSum!F$2,'Group Model'!$1:$1,0),FALSE)</f>
        <v>-49</v>
      </c>
      <c r="N16" s="433">
        <f>VLOOKUP($R16,'Group Model'!$1:$1048576,MATCH(FinSum!G$2,'Group Model'!$1:$1,0),FALSE)</f>
        <v>167</v>
      </c>
      <c r="O16" s="433">
        <f>VLOOKUP($R16,'Group Model'!$1:$1048576,MATCH(FinSum!H$2,'Group Model'!$1:$1,0),FALSE)</f>
        <v>-58.702857142857141</v>
      </c>
      <c r="P16" s="433">
        <f>VLOOKUP($R16,'Group Model'!$1:$1048576,MATCH(FinSum!I$2,'Group Model'!$1:$1,0),FALSE)</f>
        <v>-16.068070285714271</v>
      </c>
      <c r="Q16" s="433">
        <f>VLOOKUP($R16,'Group Model'!$1:$1048576,MATCH(FinSum!J$2,'Group Model'!$1:$1,0),FALSE)</f>
        <v>-14.254695641314271</v>
      </c>
      <c r="R16" s="187" t="s">
        <v>542</v>
      </c>
    </row>
    <row r="17" spans="1:18">
      <c r="D17" s="187" t="s">
        <v>472</v>
      </c>
      <c r="E17" s="111" t="s">
        <v>637</v>
      </c>
      <c r="F17" s="440">
        <f>VLOOKUP($D17,'Group Model'!$1:$1048576,MATCH(FinSum!F$2,'Group Model'!$1:$1,0),FALSE)*100</f>
        <v>916.5614547984004</v>
      </c>
      <c r="G17" s="440">
        <f>VLOOKUP($D17,'Group Model'!$1:$1048576,MATCH(FinSum!G$2,'Group Model'!$1:$1,0),FALSE)*100</f>
        <v>979.35695662762066</v>
      </c>
      <c r="H17" s="440">
        <f>VLOOKUP($D17,'Group Model'!$1:$1048576,MATCH(FinSum!H$2,'Group Model'!$1:$1,0),FALSE)*100</f>
        <v>1104.8911182768177</v>
      </c>
      <c r="I17" s="440">
        <f>VLOOKUP($D17,'Group Model'!$1:$1048576,MATCH(FinSum!I$2,'Group Model'!$1:$1,0),FALSE)*100</f>
        <v>1231.7625197991395</v>
      </c>
      <c r="J17" s="440">
        <f>VLOOKUP($D17,'Group Model'!$1:$1048576,MATCH(FinSum!J$2,'Group Model'!$1:$1,0),FALSE)*100</f>
        <v>1369.8662694345294</v>
      </c>
      <c r="L17" s="106" t="s">
        <v>45</v>
      </c>
      <c r="M17" s="433">
        <f>VLOOKUP($R17,'Group Model'!$1:$1048576,MATCH(FinSum!F$2,'Group Model'!$1:$1,0),FALSE)</f>
        <v>369</v>
      </c>
      <c r="N17" s="433">
        <f>VLOOKUP($R17,'Group Model'!$1:$1048576,MATCH(FinSum!G$2,'Group Model'!$1:$1,0),FALSE)</f>
        <v>-361</v>
      </c>
      <c r="O17" s="433">
        <f>VLOOKUP($R17,'Group Model'!$1:$1048576,MATCH(FinSum!H$2,'Group Model'!$1:$1,0),FALSE)</f>
        <v>-193.87119267257026</v>
      </c>
      <c r="P17" s="433">
        <f>VLOOKUP($R17,'Group Model'!$1:$1048576,MATCH(FinSum!I$2,'Group Model'!$1:$1,0),FALSE)</f>
        <v>-284.91649327684672</v>
      </c>
      <c r="Q17" s="433">
        <f>VLOOKUP($R17,'Group Model'!$1:$1048576,MATCH(FinSum!J$2,'Group Model'!$1:$1,0),FALSE)</f>
        <v>-369.23688022174065</v>
      </c>
      <c r="R17" s="187" t="s">
        <v>539</v>
      </c>
    </row>
    <row r="18" spans="1:18">
      <c r="A18" s="111"/>
      <c r="B18" s="111"/>
      <c r="E18" s="438" t="s">
        <v>636</v>
      </c>
      <c r="F18" s="439"/>
      <c r="G18" s="439">
        <f t="shared" ref="G18:J18" si="11">G17/F17-1</f>
        <v>6.8512047392427444E-2</v>
      </c>
      <c r="H18" s="439">
        <f t="shared" si="11"/>
        <v>0.12818019088920263</v>
      </c>
      <c r="I18" s="439">
        <f t="shared" si="11"/>
        <v>0.11482706252557251</v>
      </c>
      <c r="J18" s="439">
        <f t="shared" si="11"/>
        <v>0.11211881139061619</v>
      </c>
      <c r="L18" s="106" t="s">
        <v>10</v>
      </c>
      <c r="M18" s="433">
        <f>M19-M8-M14-M15-M16-M17</f>
        <v>1411</v>
      </c>
      <c r="N18" s="433">
        <f t="shared" ref="N18:Q18" si="12">N19-N8-N14-N15-N16-N17</f>
        <v>1735</v>
      </c>
      <c r="O18" s="433">
        <f t="shared" si="12"/>
        <v>1368.7300000000005</v>
      </c>
      <c r="P18" s="433">
        <f t="shared" si="12"/>
        <v>1263.8978369999991</v>
      </c>
      <c r="Q18" s="433">
        <f t="shared" si="12"/>
        <v>1431.7743574586721</v>
      </c>
      <c r="R18" s="187" t="s">
        <v>541</v>
      </c>
    </row>
    <row r="19" spans="1:18">
      <c r="D19" s="187" t="s">
        <v>294</v>
      </c>
      <c r="E19" s="111" t="s">
        <v>638</v>
      </c>
      <c r="F19" s="440">
        <f>VLOOKUP($D19,'Group Model'!$1:$1048576,MATCH(FinSum!F$2,'Group Model'!$1:$1,0),FALSE)*100</f>
        <v>911.40532545455267</v>
      </c>
      <c r="G19" s="440">
        <f>VLOOKUP($D19,'Group Model'!$1:$1048576,MATCH(FinSum!G$2,'Group Model'!$1:$1,0),FALSE)*100</f>
        <v>975.49480519121607</v>
      </c>
      <c r="H19" s="440">
        <f>VLOOKUP($D19,'Group Model'!$1:$1048576,MATCH(FinSum!H$2,'Group Model'!$1:$1,0),FALSE)*100</f>
        <v>1095.5310409977953</v>
      </c>
      <c r="I19" s="440">
        <f>VLOOKUP($D19,'Group Model'!$1:$1048576,MATCH(FinSum!I$2,'Group Model'!$1:$1,0),FALSE)*100</f>
        <v>1219.1087646398307</v>
      </c>
      <c r="J19" s="440">
        <f>VLOOKUP($D19,'Group Model'!$1:$1048576,MATCH(FinSum!J$2,'Group Model'!$1:$1,0),FALSE)*100</f>
        <v>1353.6357906578235</v>
      </c>
      <c r="L19" s="429" t="s">
        <v>35</v>
      </c>
      <c r="M19" s="430">
        <f>VLOOKUP($R19,'Group Model'!$1:$1048576,MATCH(FinSum!F$2,'Group Model'!$1:$1,0),FALSE)</f>
        <v>16887</v>
      </c>
      <c r="N19" s="430">
        <f>VLOOKUP($R19,'Group Model'!$1:$1048576,MATCH(FinSum!G$2,'Group Model'!$1:$1,0),FALSE)</f>
        <v>17208</v>
      </c>
      <c r="O19" s="430">
        <f>VLOOKUP($R19,'Group Model'!$1:$1048576,MATCH(FinSum!H$2,'Group Model'!$1:$1,0),FALSE)</f>
        <v>18663.191508802098</v>
      </c>
      <c r="P19" s="430">
        <f>VLOOKUP($R19,'Group Model'!$1:$1048576,MATCH(FinSum!I$2,'Group Model'!$1:$1,0),FALSE)</f>
        <v>18782.291941098611</v>
      </c>
      <c r="Q19" s="430">
        <f>VLOOKUP($R19,'Group Model'!$1:$1048576,MATCH(FinSum!J$2,'Group Model'!$1:$1,0),FALSE)</f>
        <v>19842.324711773661</v>
      </c>
      <c r="R19" s="187" t="s">
        <v>316</v>
      </c>
    </row>
    <row r="20" spans="1:18">
      <c r="E20" s="438" t="s">
        <v>636</v>
      </c>
      <c r="F20" s="439"/>
      <c r="G20" s="439">
        <f t="shared" ref="G20:J20" si="13">G19/F19-1</f>
        <v>7.0319404491848481E-2</v>
      </c>
      <c r="H20" s="439">
        <f t="shared" si="13"/>
        <v>0.12305164022175363</v>
      </c>
      <c r="I20" s="439">
        <f t="shared" si="13"/>
        <v>0.11280166331889818</v>
      </c>
      <c r="J20" s="439">
        <f t="shared" si="13"/>
        <v>0.11034866610752081</v>
      </c>
      <c r="L20" s="106" t="s">
        <v>14</v>
      </c>
      <c r="M20" s="433">
        <f>VLOOKUP($R20,'Group Model'!$1:$1048576,MATCH(FinSum!F$2,'Group Model'!$1:$1,0),FALSE)</f>
        <v>-7723</v>
      </c>
      <c r="N20" s="433">
        <f>VLOOKUP($R20,'Group Model'!$1:$1048576,MATCH(FinSum!G$2,'Group Model'!$1:$1,0),FALSE)</f>
        <v>-7660</v>
      </c>
      <c r="O20" s="433">
        <f>VLOOKUP($R20,'Group Model'!$1:$1048576,MATCH(FinSum!H$2,'Group Model'!$1:$1,0),FALSE)</f>
        <v>-7886.0358010918389</v>
      </c>
      <c r="P20" s="433">
        <f>VLOOKUP($R20,'Group Model'!$1:$1048576,MATCH(FinSum!I$2,'Group Model'!$1:$1,0),FALSE)</f>
        <v>-7818.9090339356471</v>
      </c>
      <c r="Q20" s="433">
        <f>VLOOKUP($R20,'Group Model'!$1:$1048576,MATCH(FinSum!J$2,'Group Model'!$1:$1,0),FALSE)</f>
        <v>-8132.9437245421359</v>
      </c>
      <c r="R20" s="187" t="s">
        <v>536</v>
      </c>
    </row>
    <row r="21" spans="1:18">
      <c r="E21" s="111" t="s">
        <v>1766</v>
      </c>
      <c r="F21" s="426">
        <f t="shared" ref="F21" si="14">M27</f>
        <v>3522</v>
      </c>
      <c r="G21" s="426">
        <f>N27</f>
        <v>3715</v>
      </c>
      <c r="H21" s="426">
        <f t="shared" ref="H21:J21" si="15">O27</f>
        <v>4154.8880561614706</v>
      </c>
      <c r="I21" s="426">
        <f t="shared" si="15"/>
        <v>4590.333679525238</v>
      </c>
      <c r="J21" s="426">
        <f t="shared" si="15"/>
        <v>5075.1655183620624</v>
      </c>
      <c r="L21" s="106" t="s">
        <v>21</v>
      </c>
      <c r="M21" s="433">
        <f>VLOOKUP($R21,'Group Model'!$1:$1048576,MATCH(FinSum!F$2,'Group Model'!$1:$1,0),FALSE)</f>
        <v>-1071</v>
      </c>
      <c r="N21" s="433">
        <f>VLOOKUP($R21,'Group Model'!$1:$1048576,MATCH(FinSum!G$2,'Group Model'!$1:$1,0),FALSE)</f>
        <v>-1206</v>
      </c>
      <c r="O21" s="433">
        <f>VLOOKUP($R21,'Group Model'!$1:$1048576,MATCH(FinSum!H$2,'Group Model'!$1:$1,0),FALSE)</f>
        <v>-1272.9662997608054</v>
      </c>
      <c r="P21" s="433">
        <f>VLOOKUP($R21,'Group Model'!$1:$1048576,MATCH(FinSum!I$2,'Group Model'!$1:$1,0),FALSE)</f>
        <v>-1277.1704854567338</v>
      </c>
      <c r="Q21" s="433">
        <f>VLOOKUP($R21,'Group Model'!$1:$1048576,MATCH(FinSum!J$2,'Group Model'!$1:$1,0),FALSE)</f>
        <v>-1287.7832522249803</v>
      </c>
      <c r="R21" s="187" t="s">
        <v>537</v>
      </c>
    </row>
    <row r="22" spans="1:18">
      <c r="E22" s="438" t="s">
        <v>636</v>
      </c>
      <c r="F22" s="439"/>
      <c r="G22" s="439">
        <f t="shared" ref="G22:J22" si="16">G21/F21-1</f>
        <v>5.4798409994321506E-2</v>
      </c>
      <c r="H22" s="439">
        <f t="shared" si="16"/>
        <v>0.11840862884561787</v>
      </c>
      <c r="I22" s="439">
        <f t="shared" si="16"/>
        <v>0.1048032143051425</v>
      </c>
      <c r="J22" s="439">
        <f t="shared" si="16"/>
        <v>0.10562017332190288</v>
      </c>
      <c r="L22" s="106" t="s">
        <v>11</v>
      </c>
      <c r="M22" s="433">
        <f>M23-M19-M20-M21</f>
        <v>-3267</v>
      </c>
      <c r="N22" s="433">
        <f t="shared" ref="N22:Q22" si="17">N23-N19-N20-N21</f>
        <v>-3274</v>
      </c>
      <c r="O22" s="433">
        <f t="shared" si="17"/>
        <v>-3443.7778991473542</v>
      </c>
      <c r="P22" s="433">
        <f t="shared" si="17"/>
        <v>-3377.3258306076182</v>
      </c>
      <c r="Q22" s="433">
        <f t="shared" si="17"/>
        <v>-3458.064047107885</v>
      </c>
      <c r="R22" s="187" t="s">
        <v>538</v>
      </c>
    </row>
    <row r="23" spans="1:18">
      <c r="D23" s="187" t="s">
        <v>101</v>
      </c>
      <c r="E23" s="111" t="s">
        <v>639</v>
      </c>
      <c r="F23" s="440">
        <f>VLOOKUP($D23,'Group Model'!$1:$1048576,MATCH(FinSum!F$2,'Group Model'!$1:$1,0),FALSE)*100</f>
        <v>640</v>
      </c>
      <c r="G23" s="440">
        <f>VLOOKUP($D23,'Group Model'!$1:$1048576,MATCH(FinSum!G$2,'Group Model'!$1:$1,0),FALSE)*100</f>
        <v>650</v>
      </c>
      <c r="H23" s="440">
        <f>VLOOKUP($D23,'Group Model'!$1:$1048576,MATCH(FinSum!H$2,'Group Model'!$1:$1,0),FALSE)*100</f>
        <v>680</v>
      </c>
      <c r="I23" s="440">
        <f>VLOOKUP($D23,'Group Model'!$1:$1048576,MATCH(FinSum!I$2,'Group Model'!$1:$1,0),FALSE)*100</f>
        <v>760</v>
      </c>
      <c r="J23" s="440">
        <f>VLOOKUP($D23,'Group Model'!$1:$1048576,MATCH(FinSum!J$2,'Group Model'!$1:$1,0),FALSE)*100</f>
        <v>869.99999999999989</v>
      </c>
      <c r="L23" s="429" t="s">
        <v>52</v>
      </c>
      <c r="M23" s="430">
        <f>VLOOKUP($R23,'Group Model'!$1:$1048576,MATCH(FinSum!F$2,'Group Model'!$1:$1,0),FALSE)</f>
        <v>4826</v>
      </c>
      <c r="N23" s="430">
        <f>VLOOKUP($R23,'Group Model'!$1:$1048576,MATCH(FinSum!G$2,'Group Model'!$1:$1,0),FALSE)</f>
        <v>5068</v>
      </c>
      <c r="O23" s="430">
        <f>VLOOKUP($R23,'Group Model'!$1:$1048576,MATCH(FinSum!H$2,'Group Model'!$1:$1,0),FALSE)</f>
        <v>6060.4115088020999</v>
      </c>
      <c r="P23" s="430">
        <f>VLOOKUP($R23,'Group Model'!$1:$1048576,MATCH(FinSum!I$2,'Group Model'!$1:$1,0),FALSE)</f>
        <v>6308.8865910986115</v>
      </c>
      <c r="Q23" s="430">
        <f>VLOOKUP($R23,'Group Model'!$1:$1048576,MATCH(FinSum!J$2,'Group Model'!$1:$1,0),FALSE)</f>
        <v>6963.5336878986609</v>
      </c>
      <c r="R23" s="187" t="s">
        <v>317</v>
      </c>
    </row>
    <row r="24" spans="1:18">
      <c r="E24" s="438" t="s">
        <v>636</v>
      </c>
      <c r="F24" s="439"/>
      <c r="G24" s="439">
        <f t="shared" ref="G24:J24" si="18">G23/F23-1</f>
        <v>1.5625E-2</v>
      </c>
      <c r="H24" s="439">
        <f t="shared" si="18"/>
        <v>4.6153846153846212E-2</v>
      </c>
      <c r="I24" s="439">
        <f t="shared" si="18"/>
        <v>0.11764705882352944</v>
      </c>
      <c r="J24" s="439">
        <f t="shared" si="18"/>
        <v>0.14473684210526305</v>
      </c>
      <c r="L24" s="106" t="s">
        <v>15</v>
      </c>
      <c r="M24" s="433">
        <f>VLOOKUP($R24,'Group Model'!$1:$1048576,MATCH(FinSum!F$2,'Group Model'!$1:$1,0),FALSE)</f>
        <v>-1291</v>
      </c>
      <c r="N24" s="433">
        <f>VLOOKUP($R24,'Group Model'!$1:$1048576,MATCH(FinSum!G$2,'Group Model'!$1:$1,0),FALSE)</f>
        <v>-1326</v>
      </c>
      <c r="O24" s="433">
        <f>VLOOKUP($R24,'Group Model'!$1:$1048576,MATCH(FinSum!H$2,'Group Model'!$1:$1,0),FALSE)</f>
        <v>-1853.5234526406296</v>
      </c>
      <c r="P24" s="433">
        <f>VLOOKUP($R24,'Group Model'!$1:$1048576,MATCH(FinSum!I$2,'Group Model'!$1:$1,0),FALSE)</f>
        <v>-1666.5529115733736</v>
      </c>
      <c r="Q24" s="433">
        <f>VLOOKUP($R24,'Group Model'!$1:$1048576,MATCH(FinSum!J$2,'Group Model'!$1:$1,0),FALSE)</f>
        <v>-1836.3681695365985</v>
      </c>
      <c r="R24" s="187" t="s">
        <v>318</v>
      </c>
    </row>
    <row r="25" spans="1:18">
      <c r="D25" s="187" t="s">
        <v>106</v>
      </c>
      <c r="E25" s="106" t="s">
        <v>640</v>
      </c>
      <c r="F25" s="441">
        <f>VLOOKUP($D25,'Group Model'!$1:$1048576,MATCH(FinSum!F$2,'Group Model'!$1:$1,0),FALSE)</f>
        <v>0.39999999999999997</v>
      </c>
      <c r="G25" s="441">
        <f>VLOOKUP($D25,'Group Model'!$1:$1048576,MATCH(FinSum!G$2,'Group Model'!$1:$1,0),FALSE)</f>
        <v>0.35</v>
      </c>
      <c r="H25" s="441">
        <f>VLOOKUP($D25,'Group Model'!$1:$1048576,MATCH(FinSum!H$2,'Group Model'!$1:$1,0),FALSE)</f>
        <v>0.35</v>
      </c>
      <c r="I25" s="441">
        <f>VLOOKUP($D25,'Group Model'!$1:$1048576,MATCH(FinSum!I$2,'Group Model'!$1:$1,0),FALSE)</f>
        <v>0.35000000000000003</v>
      </c>
      <c r="J25" s="441">
        <f>VLOOKUP($D25,'Group Model'!$1:$1048576,MATCH(FinSum!J$2,'Group Model'!$1:$1,0),FALSE)</f>
        <v>0.35000000000000003</v>
      </c>
      <c r="L25" s="106" t="s">
        <v>16</v>
      </c>
      <c r="M25" s="433">
        <f>VLOOKUP($R25,'Group Model'!$1:$1048576,MATCH(FinSum!F$2,'Group Model'!$1:$1,0),FALSE)</f>
        <v>-13</v>
      </c>
      <c r="N25" s="433">
        <f>VLOOKUP($R25,'Group Model'!$1:$1048576,MATCH(FinSum!G$2,'Group Model'!$1:$1,0),FALSE)</f>
        <v>-27</v>
      </c>
      <c r="O25" s="433">
        <f>VLOOKUP($R25,'Group Model'!$1:$1048576,MATCH(FinSum!H$2,'Group Model'!$1:$1,0),FALSE)</f>
        <v>-52</v>
      </c>
      <c r="P25" s="433">
        <f>VLOOKUP($R25,'Group Model'!$1:$1048576,MATCH(FinSum!I$2,'Group Model'!$1:$1,0),FALSE)</f>
        <v>-52</v>
      </c>
      <c r="Q25" s="433">
        <f>VLOOKUP($R25,'Group Model'!$1:$1048576,MATCH(FinSum!J$2,'Group Model'!$1:$1,0),FALSE)</f>
        <v>-52</v>
      </c>
      <c r="R25" s="187" t="s">
        <v>319</v>
      </c>
    </row>
    <row r="26" spans="1:18">
      <c r="D26" s="187" t="s">
        <v>103</v>
      </c>
      <c r="E26" s="106" t="s">
        <v>641</v>
      </c>
      <c r="F26" s="439">
        <f>VLOOKUP($D26,'Group Model'!$1:$1048576,MATCH(FinSum!F$2,'Group Model'!$1:$1,0),FALSE)</f>
        <v>0.69844448459681996</v>
      </c>
      <c r="G26" s="441">
        <f>VLOOKUP($D26,'Group Model'!$1:$1048576,MATCH(FinSum!G$2,'Group Model'!$1:$1,0),FALSE)</f>
        <v>0.66686398317631224</v>
      </c>
      <c r="H26" s="441">
        <f>VLOOKUP($D26,'Group Model'!$1:$1048576,MATCH(FinSum!H$2,'Group Model'!$1:$1,0),FALSE)</f>
        <v>0.62238110413293746</v>
      </c>
      <c r="I26" s="441">
        <f>VLOOKUP($D26,'Group Model'!$1:$1048576,MATCH(FinSum!I$2,'Group Model'!$1:$1,0),FALSE)</f>
        <v>0.62510226927992574</v>
      </c>
      <c r="J26" s="441">
        <f>VLOOKUP($D26,'Group Model'!$1:$1048576,MATCH(FinSum!J$2,'Group Model'!$1:$1,0),FALSE)</f>
        <v>0.64619692444457211</v>
      </c>
      <c r="L26" s="106" t="s">
        <v>159</v>
      </c>
      <c r="M26" s="433">
        <f>VLOOKUP($R26,'Group Model'!$1:$1048576,MATCH(FinSum!F$2,'Group Model'!$1:$1,0),FALSE)</f>
        <v>0</v>
      </c>
      <c r="N26" s="433">
        <f>VLOOKUP($R26,'Group Model'!$1:$1048576,MATCH(FinSum!G$2,'Group Model'!$1:$1,0),FALSE)</f>
        <v>0</v>
      </c>
      <c r="O26" s="433">
        <f>VLOOKUP($R26,'Group Model'!$1:$1048576,MATCH(FinSum!H$2,'Group Model'!$1:$1,0),FALSE)</f>
        <v>0</v>
      </c>
      <c r="P26" s="433">
        <f>VLOOKUP($R26,'Group Model'!$1:$1048576,MATCH(FinSum!I$2,'Group Model'!$1:$1,0),FALSE)</f>
        <v>0</v>
      </c>
      <c r="Q26" s="433">
        <f>VLOOKUP($R26,'Group Model'!$1:$1048576,MATCH(FinSum!J$2,'Group Model'!$1:$1,0),FALSE)</f>
        <v>0</v>
      </c>
      <c r="R26" s="187" t="s">
        <v>320</v>
      </c>
    </row>
    <row r="27" spans="1:18">
      <c r="D27" s="105" t="s">
        <v>105</v>
      </c>
      <c r="E27" s="106" t="s">
        <v>642</v>
      </c>
      <c r="F27" s="433">
        <f>VLOOKUP($D27,'Group Model'!$1:$1048576,MATCH(FinSum!F$2,'Group Model'!$1:$1,0),FALSE)</f>
        <v>224</v>
      </c>
      <c r="G27" s="433">
        <f>VLOOKUP($D27,'Group Model'!$1:$1048576,MATCH(FinSum!G$2,'Group Model'!$1:$1,0),FALSE)</f>
        <v>206</v>
      </c>
      <c r="H27" s="433">
        <f>VLOOKUP($D27,'Group Model'!$1:$1048576,MATCH(FinSum!H$2,'Group Model'!$1:$1,0),FALSE)</f>
        <v>374.16846340080934</v>
      </c>
      <c r="I27" s="433">
        <f>VLOOKUP($D27,'Group Model'!$1:$1048576,MATCH(FinSum!I$2,'Group Model'!$1:$1,0),FALSE)</f>
        <v>443.72013689932675</v>
      </c>
      <c r="J27" s="433">
        <f>VLOOKUP($D27,'Group Model'!$1:$1048576,MATCH(FinSum!J$2,'Group Model'!$1:$1,0),FALSE)</f>
        <v>502.69713540840007</v>
      </c>
      <c r="L27" s="429" t="s">
        <v>221</v>
      </c>
      <c r="M27" s="430">
        <f>M23+M24+M25+M26</f>
        <v>3522</v>
      </c>
      <c r="N27" s="430">
        <f t="shared" ref="N27:Q27" si="19">N23+N24+N25+N26</f>
        <v>3715</v>
      </c>
      <c r="O27" s="430">
        <f t="shared" si="19"/>
        <v>4154.8880561614706</v>
      </c>
      <c r="P27" s="430">
        <f t="shared" si="19"/>
        <v>4590.333679525238</v>
      </c>
      <c r="Q27" s="430">
        <f t="shared" si="19"/>
        <v>5075.1655183620624</v>
      </c>
    </row>
    <row r="28" spans="1:18">
      <c r="D28" s="187" t="s">
        <v>486</v>
      </c>
      <c r="E28" s="111" t="s">
        <v>643</v>
      </c>
      <c r="F28" s="442">
        <f>VLOOKUP($D28,'Group Model'!$1:$1048576,MATCH(FinSum!F$2,'Group Model'!$1:$1,0),FALSE)</f>
        <v>76.318170790874731</v>
      </c>
      <c r="G28" s="442">
        <f>VLOOKUP($D28,'Group Model'!$1:$1048576,MATCH(FinSum!G$2,'Group Model'!$1:$1,0),FALSE)</f>
        <v>88.379965582844747</v>
      </c>
      <c r="H28" s="442">
        <f>VLOOKUP($D28,'Group Model'!$1:$1048576,MATCH(FinSum!H$2,'Group Model'!$1:$1,0),FALSE)</f>
        <v>89.188798417435976</v>
      </c>
      <c r="I28" s="442">
        <f>VLOOKUP($D28,'Group Model'!$1:$1048576,MATCH(FinSum!I$2,'Group Model'!$1:$1,0),FALSE)</f>
        <v>92.685552673604889</v>
      </c>
      <c r="J28" s="442">
        <f>VLOOKUP($D28,'Group Model'!$1:$1048576,MATCH(FinSum!J$2,'Group Model'!$1:$1,0),FALSE)</f>
        <v>98.116049593547856</v>
      </c>
      <c r="L28" s="106" t="s">
        <v>321</v>
      </c>
      <c r="M28" s="433">
        <f>M30/100*M29-M27</f>
        <v>-53</v>
      </c>
      <c r="N28" s="433">
        <f>N30/100*N29-N27</f>
        <v>-44</v>
      </c>
      <c r="O28" s="433">
        <f>O30/100*O29-O27</f>
        <v>-38</v>
      </c>
      <c r="P28" s="433">
        <f>P30/100*P29-P27</f>
        <v>-38</v>
      </c>
      <c r="Q28" s="433">
        <f>Q30/100*Q29-Q27</f>
        <v>-38</v>
      </c>
    </row>
    <row r="29" spans="1:18">
      <c r="D29" s="187" t="s">
        <v>305</v>
      </c>
      <c r="E29" s="111" t="s">
        <v>644</v>
      </c>
      <c r="F29" s="442">
        <f>VLOOKUP($D29,'Group Model'!$1:$1048576,MATCH(FinSum!F$2,'Group Model'!$1:$1,0),FALSE)</f>
        <v>88.771086126067587</v>
      </c>
      <c r="G29" s="442">
        <f>VLOOKUP($D29,'Group Model'!$1:$1048576,MATCH(FinSum!G$2,'Group Model'!$1:$1,0),FALSE)</f>
        <v>93.900269800933074</v>
      </c>
      <c r="H29" s="442">
        <f>VLOOKUP($D29,'Group Model'!$1:$1048576,MATCH(FinSum!H$2,'Group Model'!$1:$1,0),FALSE)</f>
        <v>95.607232063995568</v>
      </c>
      <c r="I29" s="442">
        <f>VLOOKUP($D29,'Group Model'!$1:$1048576,MATCH(FinSum!I$2,'Group Model'!$1:$1,0),FALSE)</f>
        <v>99.303851873721769</v>
      </c>
      <c r="J29" s="442">
        <f>VLOOKUP($D29,'Group Model'!$1:$1048576,MATCH(FinSum!J$2,'Group Model'!$1:$1,0),FALSE)</f>
        <v>104.76724000030246</v>
      </c>
      <c r="L29" s="106" t="s">
        <v>322</v>
      </c>
      <c r="M29" s="433">
        <f>VLOOKUP($R29,'Group Model'!$1:$1048576,MATCH(FinSum!F$2,'Group Model'!$1:$1,0),FALSE)</f>
        <v>380.620993</v>
      </c>
      <c r="N29" s="433">
        <f>VLOOKUP($R29,'Group Model'!$1:$1048576,MATCH(FinSum!G$2,'Group Model'!$1:$1,0),FALSE)</f>
        <v>376.32184000000001</v>
      </c>
      <c r="O29" s="433">
        <f>VLOOKUP($R29,'Group Model'!$1:$1048576,MATCH(FinSum!H$2,'Group Model'!$1:$1,0),FALSE)</f>
        <v>375.78926585337672</v>
      </c>
      <c r="P29" s="433">
        <f>VLOOKUP($R29,'Group Model'!$1:$1048576,MATCH(FinSum!I$2,'Group Model'!$1:$1,0),FALSE)</f>
        <v>373.41489222006896</v>
      </c>
      <c r="Q29" s="433">
        <f>VLOOKUP($R29,'Group Model'!$1:$1048576,MATCH(FinSum!J$2,'Group Model'!$1:$1,0),FALSE)</f>
        <v>372.12118304837094</v>
      </c>
      <c r="R29" s="187" t="s">
        <v>153</v>
      </c>
    </row>
    <row r="30" spans="1:18">
      <c r="D30" s="187" t="s">
        <v>149</v>
      </c>
      <c r="E30" s="106" t="s">
        <v>645</v>
      </c>
      <c r="F30" s="433">
        <f>VLOOKUP($D30,'Group Model'!$1:$1048576,MATCH(FinSum!F$2,'Group Model'!$1:$1,0),FALSE)</f>
        <v>382.96253300000001</v>
      </c>
      <c r="G30" s="433">
        <f>VLOOKUP($D30,'Group Model'!$1:$1048576,MATCH(FinSum!G$2,'Group Model'!$1:$1,0),FALSE)</f>
        <v>381.13841500000001</v>
      </c>
      <c r="H30" s="433">
        <f>VLOOKUP($D30,'Group Model'!$1:$1048576,MATCH(FinSum!H$2,'Group Model'!$1:$1,0),FALSE)</f>
        <v>379.68406348563246</v>
      </c>
      <c r="I30" s="433">
        <f>VLOOKUP($D30,'Group Model'!$1:$1048576,MATCH(FinSum!I$2,'Group Model'!$1:$1,0),FALSE)</f>
        <v>376.96049988651816</v>
      </c>
      <c r="J30" s="433">
        <f>VLOOKUP($D30,'Group Model'!$1:$1048576,MATCH(FinSum!J$2,'Group Model'!$1:$1,0),FALSE)</f>
        <v>376.96049988651816</v>
      </c>
      <c r="L30" s="429" t="s">
        <v>323</v>
      </c>
      <c r="M30" s="430">
        <f>VLOOKUP($R30,'Group Model'!$1:$1048576,MATCH(FinSum!F$2,'Group Model'!$1:$1,0),FALSE)*100</f>
        <v>911.40532545455267</v>
      </c>
      <c r="N30" s="430">
        <f>VLOOKUP($R30,'Group Model'!$1:$1048576,MATCH(FinSum!G$2,'Group Model'!$1:$1,0),FALSE)*100</f>
        <v>975.49480519121607</v>
      </c>
      <c r="O30" s="430">
        <f>VLOOKUP($R30,'Group Model'!$1:$1048576,MATCH(FinSum!H$2,'Group Model'!$1:$1,0),FALSE)*100</f>
        <v>1095.5310409977953</v>
      </c>
      <c r="P30" s="430">
        <f>VLOOKUP($R30,'Group Model'!$1:$1048576,MATCH(FinSum!I$2,'Group Model'!$1:$1,0),FALSE)*100</f>
        <v>1219.1087646398307</v>
      </c>
      <c r="Q30" s="430">
        <f>VLOOKUP($R30,'Group Model'!$1:$1048576,MATCH(FinSum!J$2,'Group Model'!$1:$1,0),FALSE)*100</f>
        <v>1353.6357906578235</v>
      </c>
      <c r="R30" s="187" t="s">
        <v>294</v>
      </c>
    </row>
    <row r="31" spans="1:18">
      <c r="D31" s="187" t="s">
        <v>153</v>
      </c>
      <c r="E31" s="106" t="s">
        <v>646</v>
      </c>
      <c r="F31" s="433">
        <f>VLOOKUP($D31,'Group Model'!$1:$1048576,MATCH(FinSum!F$2,'Group Model'!$1:$1,0),FALSE)</f>
        <v>380.620993</v>
      </c>
      <c r="G31" s="433">
        <f>VLOOKUP($D31,'Group Model'!$1:$1048576,MATCH(FinSum!G$2,'Group Model'!$1:$1,0),FALSE)</f>
        <v>376.32184000000001</v>
      </c>
      <c r="H31" s="433">
        <f>VLOOKUP($D31,'Group Model'!$1:$1048576,MATCH(FinSum!H$2,'Group Model'!$1:$1,0),FALSE)</f>
        <v>375.78926585337672</v>
      </c>
      <c r="I31" s="433">
        <f>VLOOKUP($D31,'Group Model'!$1:$1048576,MATCH(FinSum!I$2,'Group Model'!$1:$1,0),FALSE)</f>
        <v>373.41489222006896</v>
      </c>
      <c r="J31" s="433">
        <f>VLOOKUP($D31,'Group Model'!$1:$1048576,MATCH(FinSum!J$2,'Group Model'!$1:$1,0),FALSE)</f>
        <v>372.12118304837094</v>
      </c>
      <c r="L31" s="106" t="s">
        <v>324</v>
      </c>
      <c r="M31" s="443"/>
      <c r="N31" s="443">
        <f>(N30/M30-1)*100</f>
        <v>7.0319404491848481</v>
      </c>
      <c r="O31" s="443">
        <f>(O30/N30-1)*100</f>
        <v>12.305164022175363</v>
      </c>
      <c r="P31" s="443">
        <f>(P30/O30-1)*100</f>
        <v>11.280166331889818</v>
      </c>
      <c r="Q31" s="443">
        <f>(Q30/P30-1)*100</f>
        <v>11.034866610752081</v>
      </c>
      <c r="R31" s="187" t="s">
        <v>297</v>
      </c>
    </row>
    <row r="32" spans="1:18">
      <c r="L32" s="429" t="s">
        <v>325</v>
      </c>
      <c r="M32" s="430">
        <f>VLOOKUP($R32,'Group Model'!$1:$1048576,MATCH(FinSum!F$2,'Group Model'!$1:$1,0),FALSE)*100</f>
        <v>640</v>
      </c>
      <c r="N32" s="430">
        <f>VLOOKUP($R32,'Group Model'!$1:$1048576,MATCH(FinSum!G$2,'Group Model'!$1:$1,0),FALSE)*100</f>
        <v>650</v>
      </c>
      <c r="O32" s="430">
        <f>VLOOKUP($R32,'Group Model'!$1:$1048576,MATCH(FinSum!H$2,'Group Model'!$1:$1,0),FALSE)*100</f>
        <v>680</v>
      </c>
      <c r="P32" s="430">
        <f>VLOOKUP($R32,'Group Model'!$1:$1048576,MATCH(FinSum!I$2,'Group Model'!$1:$1,0),FALSE)*100</f>
        <v>760</v>
      </c>
      <c r="Q32" s="430">
        <f>VLOOKUP($R32,'Group Model'!$1:$1048576,MATCH(FinSum!J$2,'Group Model'!$1:$1,0),FALSE)*100</f>
        <v>869.99999999999989</v>
      </c>
      <c r="R32" s="187" t="s">
        <v>301</v>
      </c>
    </row>
    <row r="33" spans="4:18">
      <c r="E33" s="463" t="s">
        <v>647</v>
      </c>
      <c r="F33" s="465" t="str">
        <f t="shared" ref="F33:G33" si="20">TEXT(F$1,"mm/yy")</f>
        <v>03/24</v>
      </c>
      <c r="G33" s="465" t="str">
        <f t="shared" si="20"/>
        <v>03/25</v>
      </c>
      <c r="H33" s="465" t="str">
        <f t="shared" ref="H33:J33" si="21">TEXT(H$1,"mm/yy")&amp;RIGHT(H$2,1)</f>
        <v>03/26E</v>
      </c>
      <c r="I33" s="465" t="str">
        <f t="shared" si="21"/>
        <v>03/27E</v>
      </c>
      <c r="J33" s="465" t="str">
        <f t="shared" si="21"/>
        <v>03/28E</v>
      </c>
    </row>
    <row r="34" spans="4:18">
      <c r="E34" s="106" t="s">
        <v>378</v>
      </c>
      <c r="F34" s="444">
        <f>$G$9/F19*100</f>
        <v>23.535083020611125</v>
      </c>
      <c r="G34" s="444">
        <f>$G$9/G19*100</f>
        <v>21.988840828112231</v>
      </c>
      <c r="H34" s="444">
        <f>$G$9/H19*100</f>
        <v>19.579545624251431</v>
      </c>
      <c r="I34" s="444">
        <f>$G$9/I19*100</f>
        <v>17.594820595303581</v>
      </c>
      <c r="J34" s="444">
        <f>$G$9/J19*100</f>
        <v>15.846212214569173</v>
      </c>
    </row>
    <row r="35" spans="4:18">
      <c r="E35" s="106" t="s">
        <v>648</v>
      </c>
      <c r="F35" s="444">
        <f t="shared" ref="F35:J36" si="22">$G$9/F28</f>
        <v>2.8106019546480994</v>
      </c>
      <c r="G35" s="444">
        <f t="shared" si="22"/>
        <v>2.4270206328484489</v>
      </c>
      <c r="H35" s="444">
        <f t="shared" si="22"/>
        <v>2.4050105372657011</v>
      </c>
      <c r="I35" s="444">
        <f t="shared" si="22"/>
        <v>2.3142765383874719</v>
      </c>
      <c r="J35" s="444">
        <f t="shared" si="22"/>
        <v>2.1861866727062522</v>
      </c>
    </row>
    <row r="36" spans="4:18">
      <c r="E36" s="106" t="s">
        <v>650</v>
      </c>
      <c r="F36" s="444">
        <f t="shared" si="22"/>
        <v>2.416327312875044</v>
      </c>
      <c r="G36" s="444">
        <f t="shared" si="22"/>
        <v>2.284338484380676</v>
      </c>
      <c r="H36" s="444">
        <f t="shared" si="22"/>
        <v>2.2435541262864138</v>
      </c>
      <c r="I36" s="444">
        <f t="shared" si="22"/>
        <v>2.1600370575027208</v>
      </c>
      <c r="J36" s="444">
        <f t="shared" si="22"/>
        <v>2.0473957317132792</v>
      </c>
    </row>
    <row r="37" spans="4:18">
      <c r="E37" s="106" t="s">
        <v>651</v>
      </c>
      <c r="F37" s="439">
        <f>F23/$G$9/100</f>
        <v>2.983682983682984E-2</v>
      </c>
      <c r="G37" s="439">
        <f>G23/$G$9/100</f>
        <v>3.0303030303030304E-2</v>
      </c>
      <c r="H37" s="439">
        <f>H23/$G$9/100</f>
        <v>3.1701631701631705E-2</v>
      </c>
      <c r="I37" s="439">
        <f>I23/$G$9/100</f>
        <v>3.5431235431235428E-2</v>
      </c>
      <c r="J37" s="439">
        <f>J23/$G$9/100</f>
        <v>4.0559440559440559E-2</v>
      </c>
      <c r="L37" s="463" t="s">
        <v>649</v>
      </c>
      <c r="M37" s="465" t="str">
        <f>M$5</f>
        <v>03/24</v>
      </c>
      <c r="N37" s="465" t="str">
        <f>N$5</f>
        <v>03/25</v>
      </c>
      <c r="O37" s="465" t="str">
        <f>O$5</f>
        <v>03/26E</v>
      </c>
      <c r="P37" s="465" t="str">
        <f>P$5</f>
        <v>03/27E</v>
      </c>
      <c r="Q37" s="465" t="str">
        <f>Q$5</f>
        <v>03/28E</v>
      </c>
    </row>
    <row r="38" spans="4:18">
      <c r="D38" s="187" t="s">
        <v>329</v>
      </c>
      <c r="E38" s="106" t="s">
        <v>653</v>
      </c>
      <c r="F38" s="439">
        <f>VLOOKUP($D38,'Group Model'!$1:$1048576,MATCH(FinSum!F$2,'Group Model'!$1:$1,0),FALSE)</f>
        <v>0.10519399062154655</v>
      </c>
      <c r="G38" s="439">
        <f>VLOOKUP($D38,'Group Model'!$1:$1048576,MATCH(FinSum!G$2,'Group Model'!$1:$1,0),FALSE)</f>
        <v>0.10507410340536259</v>
      </c>
      <c r="H38" s="439">
        <f>VLOOKUP($D38,'Group Model'!$1:$1048576,MATCH(FinSum!H$2,'Group Model'!$1:$1,0),FALSE)</f>
        <v>0.11648932839877649</v>
      </c>
      <c r="I38" s="439">
        <f>VLOOKUP($D38,'Group Model'!$1:$1048576,MATCH(FinSum!I$2,'Group Model'!$1:$1,0),FALSE)</f>
        <v>0.12473519404583105</v>
      </c>
      <c r="J38" s="439">
        <f>VLOOKUP($D38,'Group Model'!$1:$1048576,MATCH(FinSum!J$2,'Group Model'!$1:$1,0),FALSE)</f>
        <v>0.13060090068123431</v>
      </c>
      <c r="L38" s="111" t="s">
        <v>565</v>
      </c>
    </row>
    <row r="39" spans="4:18">
      <c r="D39" s="187" t="s">
        <v>331</v>
      </c>
      <c r="E39" s="106" t="s">
        <v>654</v>
      </c>
      <c r="F39" s="439">
        <f>VLOOKUP($D39,'Group Model'!$1:$1048576,MATCH(FinSum!F$2,'Group Model'!$1:$1,0),FALSE)</f>
        <v>0.12050501248845245</v>
      </c>
      <c r="G39" s="439">
        <f>VLOOKUP($D39,'Group Model'!$1:$1048576,MATCH(FinSum!G$2,'Group Model'!$1:$1,0),FALSE)</f>
        <v>0.11028647766067982</v>
      </c>
      <c r="H39" s="439">
        <f>VLOOKUP($D39,'Group Model'!$1:$1048576,MATCH(FinSum!H$2,'Group Model'!$1:$1,0),FALSE)</f>
        <v>0.1226949379670479</v>
      </c>
      <c r="I39" s="439">
        <f>VLOOKUP($D39,'Group Model'!$1:$1048576,MATCH(FinSum!I$2,'Group Model'!$1:$1,0),FALSE)</f>
        <v>0.13138215094275849</v>
      </c>
      <c r="J39" s="439">
        <f>VLOOKUP($D39,'Group Model'!$1:$1048576,MATCH(FinSum!J$2,'Group Model'!$1:$1,0),FALSE)</f>
        <v>0.13721901954220164</v>
      </c>
      <c r="L39" s="106" t="s">
        <v>566</v>
      </c>
      <c r="M39" s="433">
        <f>VLOOKUP($R39,'Group Model'!$1:$1048576,MATCH(FinSum!F$2,'Group Model'!$1:$1,0),FALSE)</f>
        <v>176371</v>
      </c>
      <c r="N39" s="433">
        <f>VLOOKUP($R39,'Group Model'!$1:$1048576,MATCH(FinSum!G$2,'Group Model'!$1:$1,0),FALSE)</f>
        <v>205648</v>
      </c>
      <c r="O39" s="433">
        <f>VLOOKUP($R39,'Group Model'!$1:$1048576,MATCH(FinSum!H$2,'Group Model'!$1:$1,0),FALSE)</f>
        <v>242927.20000000004</v>
      </c>
      <c r="P39" s="433">
        <f>VLOOKUP($R39,'Group Model'!$1:$1048576,MATCH(FinSum!I$2,'Group Model'!$1:$1,0),FALSE)</f>
        <v>279223.12067499995</v>
      </c>
      <c r="Q39" s="433">
        <f>VLOOKUP($R39,'Group Model'!$1:$1048576,MATCH(FinSum!J$2,'Group Model'!$1:$1,0),FALSE)</f>
        <v>309997.13012037257</v>
      </c>
      <c r="R39" s="187" t="s">
        <v>652</v>
      </c>
    </row>
    <row r="40" spans="4:18">
      <c r="L40" s="106" t="s">
        <v>441</v>
      </c>
      <c r="M40" s="433">
        <f>VLOOKUP($R40,'Group Model'!$1:$1048576,MATCH(FinSum!F$2,'Group Model'!$1:$1,0),FALSE)</f>
        <v>330100</v>
      </c>
      <c r="N40" s="433">
        <f>VLOOKUP($R40,'Group Model'!$1:$1048576,MATCH(FinSum!G$2,'Group Model'!$1:$1,0),FALSE)</f>
        <v>368100</v>
      </c>
      <c r="O40" s="433">
        <f>VLOOKUP($R40,'Group Model'!$1:$1048576,MATCH(FinSum!H$2,'Group Model'!$1:$1,0),FALSE)</f>
        <v>427017.64913053898</v>
      </c>
      <c r="P40" s="433">
        <f>VLOOKUP($R40,'Group Model'!$1:$1048576,MATCH(FinSum!I$2,'Group Model'!$1:$1,0),FALSE)</f>
        <v>476455.77713331726</v>
      </c>
      <c r="Q40" s="433">
        <f>VLOOKUP($R40,'Group Model'!$1:$1048576,MATCH(FinSum!J$2,'Group Model'!$1:$1,0),FALSE)</f>
        <v>516694.9816643268</v>
      </c>
      <c r="R40" s="187" t="s">
        <v>579</v>
      </c>
    </row>
    <row r="41" spans="4:18">
      <c r="E41" s="463" t="s">
        <v>327</v>
      </c>
      <c r="F41" s="465" t="str">
        <f t="shared" ref="F41:G41" si="23">TEXT(F$1,"mm/yy")</f>
        <v>03/24</v>
      </c>
      <c r="G41" s="465" t="str">
        <f t="shared" si="23"/>
        <v>03/25</v>
      </c>
      <c r="H41" s="465" t="str">
        <f t="shared" ref="H41:J41" si="24">TEXT(H$1,"mm/yy")&amp;RIGHT(H$2,1)</f>
        <v>03/26E</v>
      </c>
      <c r="I41" s="465" t="str">
        <f t="shared" si="24"/>
        <v>03/27E</v>
      </c>
      <c r="J41" s="465" t="str">
        <f t="shared" si="24"/>
        <v>03/28E</v>
      </c>
      <c r="L41" s="106" t="s">
        <v>567</v>
      </c>
      <c r="M41" s="433">
        <f>VLOOKUP($R41,'Group Model'!$1:$1048576,MATCH(FinSum!F$2,'Group Model'!$1:$1,0),FALSE)</f>
        <v>403404</v>
      </c>
      <c r="N41" s="433">
        <f>VLOOKUP($R41,'Group Model'!$1:$1048576,MATCH(FinSum!G$2,'Group Model'!$1:$1,0),FALSE)</f>
        <v>445221</v>
      </c>
      <c r="O41" s="433">
        <f>VLOOKUP($R41,'Group Model'!$1:$1048576,MATCH(FinSum!H$2,'Group Model'!$1:$1,0),FALSE)</f>
        <v>513802.11176721903</v>
      </c>
      <c r="P41" s="433">
        <f>VLOOKUP($R41,'Group Model'!$1:$1048576,MATCH(FinSum!I$2,'Group Model'!$1:$1,0),FALSE)</f>
        <v>570500.5610841692</v>
      </c>
      <c r="Q41" s="433">
        <f>VLOOKUP($R41,'Group Model'!$1:$1048576,MATCH(FinSum!J$2,'Group Model'!$1:$1,0),FALSE)</f>
        <v>616593.56907000195</v>
      </c>
      <c r="R41" s="187" t="s">
        <v>655</v>
      </c>
    </row>
    <row r="42" spans="4:18">
      <c r="E42" s="111" t="s">
        <v>656</v>
      </c>
      <c r="L42" s="438" t="s">
        <v>568</v>
      </c>
      <c r="M42" s="433">
        <f>VLOOKUP($R42,'Group Model'!$1:$1048576,MATCH(FinSum!F$2,'Group Model'!$1:$1,0),FALSE)</f>
        <v>33996</v>
      </c>
      <c r="N42" s="433">
        <f>VLOOKUP($R42,'Group Model'!$1:$1048576,MATCH(FinSum!G$2,'Group Model'!$1:$1,0),FALSE)</f>
        <v>35789</v>
      </c>
      <c r="O42" s="433">
        <f>VLOOKUP($R42,'Group Model'!$1:$1048576,MATCH(FinSum!H$2,'Group Model'!$1:$1,0),FALSE)</f>
        <v>36300.542368671689</v>
      </c>
      <c r="P42" s="433">
        <f>VLOOKUP($R42,'Group Model'!$1:$1048576,MATCH(FinSum!I$2,'Group Model'!$1:$1,0),FALSE)</f>
        <v>37433.629642974913</v>
      </c>
      <c r="Q42" s="433">
        <f>VLOOKUP($R42,'Group Model'!$1:$1048576,MATCH(FinSum!J$2,'Group Model'!$1:$1,0),FALSE)</f>
        <v>39493.111162244837</v>
      </c>
      <c r="R42" s="187" t="s">
        <v>580</v>
      </c>
    </row>
    <row r="43" spans="4:18">
      <c r="D43" s="187" t="s">
        <v>313</v>
      </c>
      <c r="E43" s="106" t="s">
        <v>5</v>
      </c>
      <c r="F43" s="446">
        <f>VLOOKUP($D43,'Group Model'!$1:$1048576,MATCH(FinSum!F$2,'Group Model'!$1:$1,0),FALSE)</f>
        <v>2.0049268221996812E-2</v>
      </c>
      <c r="G43" s="446">
        <f>VLOOKUP($D43,'Group Model'!$1:$1048576,MATCH(FinSum!G$2,'Group Model'!$1:$1,0),FALSE)</f>
        <v>1.8197708182432715E-2</v>
      </c>
      <c r="H43" s="446">
        <f>VLOOKUP($D43,'Group Model'!$1:$1048576,MATCH(FinSum!H$2,'Group Model'!$1:$1,0),FALSE)</f>
        <v>1.8326504887780693E-2</v>
      </c>
      <c r="I43" s="446">
        <f>VLOOKUP($D43,'Group Model'!$1:$1048576,MATCH(FinSum!I$2,'Group Model'!$1:$1,0),FALSE)</f>
        <v>1.6925068251919466E-2</v>
      </c>
      <c r="J43" s="446">
        <f>VLOOKUP($D43,'Group Model'!$1:$1048576,MATCH(FinSum!J$2,'Group Model'!$1:$1,0),FALSE)</f>
        <v>1.578153293256716E-2</v>
      </c>
      <c r="L43" s="106" t="s">
        <v>460</v>
      </c>
      <c r="M43" s="445">
        <f>VLOOKUP($R43,'Group Model'!$1:$1048576,MATCH(FinSum!F$2,'Group Model'!$1:$1,0),FALSE)</f>
        <v>88.771086126067587</v>
      </c>
      <c r="N43" s="445">
        <f>VLOOKUP($R43,'Group Model'!$1:$1048576,MATCH(FinSum!G$2,'Group Model'!$1:$1,0),FALSE)</f>
        <v>93.900269800933074</v>
      </c>
      <c r="O43" s="445">
        <f>VLOOKUP($R43,'Group Model'!$1:$1048576,MATCH(FinSum!H$2,'Group Model'!$1:$1,0),FALSE)</f>
        <v>95.607232063995568</v>
      </c>
      <c r="P43" s="445">
        <f>VLOOKUP($R43,'Group Model'!$1:$1048576,MATCH(FinSum!I$2,'Group Model'!$1:$1,0),FALSE)</f>
        <v>99.303851873721769</v>
      </c>
      <c r="Q43" s="445">
        <f>VLOOKUP($R43,'Group Model'!$1:$1048576,MATCH(FinSum!J$2,'Group Model'!$1:$1,0),FALSE)</f>
        <v>104.76724000030246</v>
      </c>
      <c r="R43" s="187" t="s">
        <v>305</v>
      </c>
    </row>
    <row r="44" spans="4:18">
      <c r="E44" s="106" t="s">
        <v>657</v>
      </c>
      <c r="F44" s="439">
        <f>(M19-M8)/M19</f>
        <v>0.79516788061822707</v>
      </c>
      <c r="G44" s="439">
        <f t="shared" ref="G44:J44" si="25">(N19-N8)/N19</f>
        <v>0.7961994421199442</v>
      </c>
      <c r="H44" s="439">
        <f t="shared" si="25"/>
        <v>0.77989783680967206</v>
      </c>
      <c r="I44" s="439">
        <f t="shared" si="25"/>
        <v>0.76472972365916037</v>
      </c>
      <c r="J44" s="439">
        <f t="shared" si="25"/>
        <v>0.76561292664088232</v>
      </c>
      <c r="L44" s="106" t="s">
        <v>461</v>
      </c>
      <c r="M44" s="445">
        <f>VLOOKUP($R44,'Group Model'!$1:$1048576,MATCH(FinSum!F$2,'Group Model'!$1:$1,0),FALSE)</f>
        <v>76.318170790874731</v>
      </c>
      <c r="N44" s="445">
        <f>VLOOKUP($R44,'Group Model'!$1:$1048576,MATCH(FinSum!G$2,'Group Model'!$1:$1,0),FALSE)</f>
        <v>88.379965582844747</v>
      </c>
      <c r="O44" s="445">
        <f>VLOOKUP($R44,'Group Model'!$1:$1048576,MATCH(FinSum!H$2,'Group Model'!$1:$1,0),FALSE)</f>
        <v>89.188798417435976</v>
      </c>
      <c r="P44" s="445">
        <f>VLOOKUP($R44,'Group Model'!$1:$1048576,MATCH(FinSum!I$2,'Group Model'!$1:$1,0),FALSE)</f>
        <v>92.685552673604889</v>
      </c>
      <c r="Q44" s="445">
        <f>VLOOKUP($R44,'Group Model'!$1:$1048576,MATCH(FinSum!J$2,'Group Model'!$1:$1,0),FALSE)</f>
        <v>98.116049593547856</v>
      </c>
      <c r="R44" s="187" t="s">
        <v>486</v>
      </c>
    </row>
    <row r="45" spans="4:18">
      <c r="D45" s="187" t="s">
        <v>591</v>
      </c>
      <c r="E45" s="106" t="s">
        <v>658</v>
      </c>
      <c r="F45" s="423">
        <f>VLOOKUP($D45,'Group Model'!$1:$1048576,MATCH(FinSum!F$2,'Group Model'!$1:$1,0),FALSE)</f>
        <v>0.43068632676022978</v>
      </c>
      <c r="G45" s="423">
        <f>VLOOKUP($D45,'Group Model'!$1:$1048576,MATCH(FinSum!G$2,'Group Model'!$1:$1,0),FALSE)</f>
        <v>0.4201534170153417</v>
      </c>
      <c r="H45" s="423">
        <f>VLOOKUP($D45,'Group Model'!$1:$1048576,MATCH(FinSum!H$2,'Group Model'!$1:$1,0),FALSE)</f>
        <v>0.39883279545548295</v>
      </c>
      <c r="I45" s="423">
        <f>VLOOKUP($D45,'Group Model'!$1:$1048576,MATCH(FinSum!I$2,'Group Model'!$1:$1,0),FALSE)</f>
        <v>0.39293037664608182</v>
      </c>
      <c r="J45" s="423">
        <f>VLOOKUP($D45,'Group Model'!$1:$1048576,MATCH(FinSum!J$2,'Group Model'!$1:$1,0),FALSE)</f>
        <v>0.38687729754169964</v>
      </c>
      <c r="K45" s="423"/>
      <c r="L45" s="438" t="s">
        <v>1765</v>
      </c>
      <c r="M45" s="433">
        <f>VLOOKUP($R45,'Divisional Model'!$1:$1048576,MATCH(FinSum!F$2,'Divisional Model'!$1:$1,0),FALSE)</f>
        <v>938300</v>
      </c>
      <c r="N45" s="433">
        <f>VLOOKUP($R45,'Divisional Model'!$1:$1048576,MATCH(FinSum!G$2,'Divisional Model'!$1:$1,0),FALSE)</f>
        <v>941000</v>
      </c>
      <c r="O45" s="433">
        <f>VLOOKUP($R45,'Divisional Model'!$1:$1048576,MATCH(FinSum!H$2,'Divisional Model'!$1:$1,0),FALSE)</f>
        <v>690398.70521589974</v>
      </c>
      <c r="P45" s="433">
        <f>VLOOKUP($R45,'Divisional Model'!$1:$1048576,MATCH(FinSum!I$2,'Divisional Model'!$1:$1,0),FALSE)</f>
        <v>724200.28386462713</v>
      </c>
      <c r="Q45" s="433">
        <f>VLOOKUP($R45,'Divisional Model'!$1:$1048576,MATCH(FinSum!J$2,'Divisional Model'!$1:$1,0),FALSE)</f>
        <v>728371.71720265539</v>
      </c>
      <c r="R45" s="187" t="s">
        <v>581</v>
      </c>
    </row>
    <row r="46" spans="4:18">
      <c r="E46" s="106" t="s">
        <v>659</v>
      </c>
      <c r="F46" s="439">
        <f>-SUM(M20:M22)/M19</f>
        <v>0.71421803754367263</v>
      </c>
      <c r="G46" s="439">
        <f>-SUM(N20:N22)/N19</f>
        <v>0.70548582054858211</v>
      </c>
      <c r="H46" s="439">
        <f>-SUM(O20:O22)/O19</f>
        <v>0.67527464389229275</v>
      </c>
      <c r="I46" s="439">
        <f>-SUM(P20:P22)/P19</f>
        <v>0.66410454001655805</v>
      </c>
      <c r="J46" s="439">
        <f>-SUM(Q20:Q22)/Q19</f>
        <v>0.64905656020401825</v>
      </c>
      <c r="L46" s="106" t="s">
        <v>44</v>
      </c>
      <c r="M46" s="433">
        <f>VLOOKUP($R46,'Divisional Model'!$1:$1048576,MATCH(FinSum!F$2,'Divisional Model'!$1:$1,0),FALSE)</f>
        <v>222300</v>
      </c>
      <c r="N46" s="433">
        <f>VLOOKUP($R46,'Divisional Model'!$1:$1048576,MATCH(FinSum!G$2,'Divisional Model'!$1:$1,0),FALSE)</f>
        <v>221100</v>
      </c>
      <c r="O46" s="433">
        <f>VLOOKUP($R46,'Divisional Model'!$1:$1048576,MATCH(FinSum!H$2,'Divisional Model'!$1:$1,0),FALSE)</f>
        <v>230351.60547569915</v>
      </c>
      <c r="P46" s="433">
        <f>VLOOKUP($R46,'Divisional Model'!$1:$1048576,MATCH(FinSum!I$2,'Divisional Model'!$1:$1,0),FALSE)</f>
        <v>248863.63874193016</v>
      </c>
      <c r="Q46" s="433">
        <f>VLOOKUP($R46,'Divisional Model'!$1:$1048576,MATCH(FinSum!J$2,'Divisional Model'!$1:$1,0),FALSE)</f>
        <v>252830.51168684187</v>
      </c>
      <c r="R46" s="187" t="s">
        <v>582</v>
      </c>
    </row>
    <row r="47" spans="4:18">
      <c r="E47" s="106" t="s">
        <v>660</v>
      </c>
      <c r="F47" s="439"/>
      <c r="G47" s="439">
        <f>(N15/M15-1)-(N16/M16-1)</f>
        <v>4.3938460846893816</v>
      </c>
      <c r="H47" s="439">
        <f>(O15/N15-1)-(O16/N16-1)</f>
        <v>1.4431701602460996</v>
      </c>
      <c r="I47" s="439">
        <f>(P15/O15-1)-(P16/O16-1)</f>
        <v>0.8099053982030634</v>
      </c>
      <c r="J47" s="439">
        <f>(Q15/P15-1)-(Q16/P16-1)</f>
        <v>0.18668388263600211</v>
      </c>
      <c r="L47" s="111" t="s">
        <v>571</v>
      </c>
      <c r="M47" s="114"/>
      <c r="N47" s="114"/>
      <c r="O47" s="114"/>
      <c r="P47" s="114"/>
      <c r="Q47" s="114"/>
    </row>
    <row r="48" spans="4:18">
      <c r="D48" s="187" t="s">
        <v>1112</v>
      </c>
      <c r="E48" s="106" t="s">
        <v>1114</v>
      </c>
      <c r="F48" s="423">
        <f>VLOOKUP($D48,'Group Model'!$1:$1048576,MATCH(FinSum!F$2,'Group Model'!$1:$1,0),FALSE)</f>
        <v>0.26823187201329735</v>
      </c>
      <c r="G48" s="423">
        <f>VLOOKUP($D48,'Group Model'!$1:$1048576,MATCH(FinSum!G$2,'Group Model'!$1:$1,0),FALSE)</f>
        <v>0.26304304701448128</v>
      </c>
      <c r="H48" s="423">
        <f>VLOOKUP($D48,'Group Model'!$1:$1048576,MATCH(FinSum!H$2,'Group Model'!$1:$1,0),FALSE)</f>
        <v>0.30848810037815927</v>
      </c>
      <c r="I48" s="423">
        <f>VLOOKUP($D48,'Group Model'!$1:$1048576,MATCH(FinSum!I$2,'Group Model'!$1:$1,0),FALSE)</f>
        <v>0.2663549813967066</v>
      </c>
      <c r="J48" s="423">
        <f>VLOOKUP($D48,'Group Model'!$1:$1048576,MATCH(FinSum!J$2,'Group Model'!$1:$1,0),FALSE)</f>
        <v>0.26569619023226038</v>
      </c>
      <c r="L48" s="438" t="s">
        <v>572</v>
      </c>
      <c r="M48" s="433">
        <f>VLOOKUP($R48,'Group Model'!$1:$1048576,MATCH(FinSum!F$2,'Group Model'!$1:$1,0),FALSE)</f>
        <v>17708</v>
      </c>
      <c r="N48" s="433">
        <f>VLOOKUP($R48,'Group Model'!$1:$1048576,MATCH(FinSum!G$2,'Group Model'!$1:$1,0),FALSE)</f>
        <v>19250</v>
      </c>
      <c r="O48" s="433">
        <f>VLOOKUP($R48,'Group Model'!$1:$1048576,MATCH(FinSum!H$2,'Group Model'!$1:$1,0),FALSE)</f>
        <v>19867.701218939597</v>
      </c>
      <c r="P48" s="433">
        <f>VLOOKUP($R48,'Group Model'!$1:$1048576,MATCH(FinSum!I$2,'Group Model'!$1:$1,0),FALSE)</f>
        <v>20597.561594599338</v>
      </c>
      <c r="Q48" s="433">
        <f>VLOOKUP($R48,'Group Model'!$1:$1048576,MATCH(FinSum!J$2,'Group Model'!$1:$1,0),FALSE)</f>
        <v>22237.790049826654</v>
      </c>
      <c r="R48" s="187" t="s">
        <v>584</v>
      </c>
    </row>
    <row r="49" spans="1:18">
      <c r="D49" s="187" t="s">
        <v>600</v>
      </c>
      <c r="E49" s="106" t="s">
        <v>599</v>
      </c>
      <c r="F49" s="433">
        <f>M50/M52</f>
        <v>-0.36281848242255482</v>
      </c>
      <c r="G49" s="433">
        <f>VLOOKUP($D49,'Group Model'!$1:$1048576,MATCH(FinSum!G$2,'Group Model'!$1:$1,0),FALSE)</f>
        <v>188244.23612870532</v>
      </c>
      <c r="H49" s="433">
        <f>VLOOKUP($D49,'Group Model'!$1:$1048576,MATCH(FinSum!H$2,'Group Model'!$1:$1,0),FALSE)</f>
        <v>217330.96138093932</v>
      </c>
      <c r="I49" s="433">
        <f>VLOOKUP($D49,'Group Model'!$1:$1048576,MATCH(FinSum!I$2,'Group Model'!$1:$1,0),FALSE)</f>
        <v>238359.21533329188</v>
      </c>
      <c r="J49" s="433">
        <f>VLOOKUP($D49,'Group Model'!$1:$1048576,MATCH(FinSum!J$2,'Group Model'!$1:$1,0),FALSE)</f>
        <v>261598.8668898654</v>
      </c>
      <c r="L49" s="106" t="s">
        <v>1834</v>
      </c>
      <c r="M49" s="433">
        <f>-VLOOKUP($R49,'Group Model'!$1:$1048576,MATCH(FinSum!F$2,'Group Model'!$1:$1,0),FALSE)</f>
        <v>-13538.49</v>
      </c>
      <c r="N49" s="433">
        <f>-VLOOKUP($R49,'Group Model'!$1:$1048576,MATCH(FinSum!G$2,'Group Model'!$1:$1,0),FALSE)</f>
        <v>-15683.01</v>
      </c>
      <c r="O49" s="433">
        <f>-VLOOKUP($R49,'Group Model'!$1:$1048576,MATCH(FinSum!H$2,'Group Model'!$1:$1,0),FALSE)</f>
        <v>-17708.086345877538</v>
      </c>
      <c r="P49" s="433">
        <f>-VLOOKUP($R49,'Group Model'!$1:$1048576,MATCH(FinSum!I$2,'Group Model'!$1:$1,0),FALSE)</f>
        <v>-18197.662657789668</v>
      </c>
      <c r="Q49" s="433">
        <f>-VLOOKUP($R49,'Group Model'!$1:$1048576,MATCH(FinSum!J$2,'Group Model'!$1:$1,0),FALSE)</f>
        <v>-19222.069024329685</v>
      </c>
      <c r="R49" s="187" t="s">
        <v>587</v>
      </c>
    </row>
    <row r="50" spans="1:18">
      <c r="E50" s="111" t="s">
        <v>328</v>
      </c>
      <c r="L50" s="429" t="s">
        <v>1835</v>
      </c>
      <c r="M50" s="430">
        <f>M48+M49</f>
        <v>4169.51</v>
      </c>
      <c r="N50" s="430">
        <f t="shared" ref="N50:Q50" si="26">N48+N49</f>
        <v>3566.99</v>
      </c>
      <c r="O50" s="430">
        <f t="shared" si="26"/>
        <v>2159.6148730620589</v>
      </c>
      <c r="P50" s="430">
        <f t="shared" si="26"/>
        <v>2399.89893680967</v>
      </c>
      <c r="Q50" s="430">
        <f t="shared" si="26"/>
        <v>3015.7210254969687</v>
      </c>
    </row>
    <row r="51" spans="1:18">
      <c r="D51" s="187" t="s">
        <v>329</v>
      </c>
      <c r="E51" s="106" t="s">
        <v>661</v>
      </c>
      <c r="F51" s="439">
        <f>VLOOKUP($D51,'Group Model'!$1:$1048576,MATCH(FinSum!F$2,'Group Model'!$1:$1,0),FALSE)</f>
        <v>0.10519399062154655</v>
      </c>
      <c r="G51" s="439">
        <f>VLOOKUP($D51,'Group Model'!$1:$1048576,MATCH(FinSum!G$2,'Group Model'!$1:$1,0),FALSE)</f>
        <v>0.10507410340536259</v>
      </c>
      <c r="H51" s="439">
        <f>VLOOKUP($D51,'Group Model'!$1:$1048576,MATCH(FinSum!H$2,'Group Model'!$1:$1,0),FALSE)</f>
        <v>0.11648932839877649</v>
      </c>
      <c r="I51" s="439">
        <f>VLOOKUP($D51,'Group Model'!$1:$1048576,MATCH(FinSum!I$2,'Group Model'!$1:$1,0),FALSE)</f>
        <v>0.12473519404583105</v>
      </c>
      <c r="J51" s="439">
        <f>VLOOKUP($D51,'Group Model'!$1:$1048576,MATCH(FinSum!J$2,'Group Model'!$1:$1,0),FALSE)</f>
        <v>0.13060090068123431</v>
      </c>
      <c r="L51" s="438" t="s">
        <v>573</v>
      </c>
      <c r="M51" s="433">
        <f>VLOOKUP($R51,'Group Model'!$1:$1048576,MATCH(FinSum!F$2,'Group Model'!$1:$1,0),FALSE)</f>
        <v>15542</v>
      </c>
      <c r="N51" s="433">
        <f>VLOOKUP($R51,'Group Model'!$1:$1048576,MATCH(FinSum!G$2,'Group Model'!$1:$1,0),FALSE)</f>
        <v>16300</v>
      </c>
      <c r="O51" s="433">
        <f>VLOOKUP($R51,'Group Model'!$1:$1048576,MATCH(FinSum!H$2,'Group Model'!$1:$1,0),FALSE)</f>
        <v>15906.308473734338</v>
      </c>
      <c r="P51" s="433">
        <f>VLOOKUP($R51,'Group Model'!$1:$1048576,MATCH(FinSum!I$2,'Group Model'!$1:$1,0),FALSE)</f>
        <v>16019.617201164659</v>
      </c>
      <c r="Q51" s="433">
        <f>VLOOKUP($R51,'Group Model'!$1:$1048576,MATCH(FinSum!J$2,'Group Model'!$1:$1,0),FALSE)</f>
        <v>16225.565353091653</v>
      </c>
      <c r="R51" s="187" t="s">
        <v>585</v>
      </c>
    </row>
    <row r="52" spans="1:18">
      <c r="A52" s="187"/>
      <c r="D52" s="187" t="s">
        <v>331</v>
      </c>
      <c r="E52" s="106" t="s">
        <v>662</v>
      </c>
      <c r="F52" s="439">
        <f>VLOOKUP($D52,'Group Model'!$1:$1048576,MATCH(FinSum!F$2,'Group Model'!$1:$1,0),FALSE)</f>
        <v>0.12050501248845245</v>
      </c>
      <c r="G52" s="439">
        <f>VLOOKUP($D52,'Group Model'!$1:$1048576,MATCH(FinSum!G$2,'Group Model'!$1:$1,0),FALSE)</f>
        <v>0.11028647766067982</v>
      </c>
      <c r="H52" s="439">
        <f>VLOOKUP($D52,'Group Model'!$1:$1048576,MATCH(FinSum!H$2,'Group Model'!$1:$1,0),FALSE)</f>
        <v>0.1226949379670479</v>
      </c>
      <c r="I52" s="439">
        <f>VLOOKUP($D52,'Group Model'!$1:$1048576,MATCH(FinSum!I$2,'Group Model'!$1:$1,0),FALSE)</f>
        <v>0.13138215094275849</v>
      </c>
      <c r="J52" s="439">
        <f>VLOOKUP($D52,'Group Model'!$1:$1048576,MATCH(FinSum!J$2,'Group Model'!$1:$1,0),FALSE)</f>
        <v>0.13721901954220164</v>
      </c>
      <c r="L52" s="106" t="s">
        <v>574</v>
      </c>
      <c r="M52" s="433">
        <f>-VLOOKUP($R52,'Group Model'!$1:$1048576,MATCH(FinSum!F$2,'Group Model'!$1:$1,0),FALSE)</f>
        <v>-11492</v>
      </c>
      <c r="N52" s="433">
        <f>-VLOOKUP($R52,'Group Model'!$1:$1048576,MATCH(FinSum!G$2,'Group Model'!$1:$1,0),FALSE)</f>
        <v>-12816</v>
      </c>
      <c r="O52" s="433">
        <f>-VLOOKUP($R52,'Group Model'!$1:$1048576,MATCH(FinSum!H$2,'Group Model'!$1:$1,0),FALSE)</f>
        <v>-14378.122233639282</v>
      </c>
      <c r="P52" s="433">
        <f>-VLOOKUP($R52,'Group Model'!$1:$1048576,MATCH(FinSum!I$2,'Group Model'!$1:$1,0),FALSE)</f>
        <v>-15497.054575049971</v>
      </c>
      <c r="Q52" s="433">
        <f>-VLOOKUP($R52,'Group Model'!$1:$1048576,MATCH(FinSum!J$2,'Group Model'!$1:$1,0),FALSE)</f>
        <v>-16129.514897598849</v>
      </c>
      <c r="R52" s="187" t="s">
        <v>588</v>
      </c>
    </row>
    <row r="53" spans="1:18">
      <c r="E53" s="106" t="s">
        <v>663</v>
      </c>
      <c r="F53" s="444">
        <f t="shared" ref="F53" si="27">F51/F55</f>
        <v>12.048744063797379</v>
      </c>
      <c r="G53" s="444">
        <f>G51/G55</f>
        <v>12.592516121733226</v>
      </c>
      <c r="H53" s="444">
        <f t="shared" ref="H53:J53" si="28">H51/H55</f>
        <v>14.405313000160984</v>
      </c>
      <c r="I53" s="444">
        <f t="shared" si="28"/>
        <v>15.502467393056559</v>
      </c>
      <c r="J53" s="444">
        <f t="shared" si="28"/>
        <v>15.867004767322006</v>
      </c>
      <c r="L53" s="429" t="s">
        <v>575</v>
      </c>
      <c r="M53" s="430">
        <f>M51+M52</f>
        <v>4050</v>
      </c>
      <c r="N53" s="430">
        <f t="shared" ref="N53:Q53" si="29">N51+N52</f>
        <v>3484</v>
      </c>
      <c r="O53" s="430">
        <f t="shared" si="29"/>
        <v>1528.1862400950558</v>
      </c>
      <c r="P53" s="430">
        <f t="shared" si="29"/>
        <v>522.5626261146881</v>
      </c>
      <c r="Q53" s="430">
        <f t="shared" si="29"/>
        <v>96.050455492804758</v>
      </c>
    </row>
    <row r="54" spans="1:18">
      <c r="D54" s="187" t="s">
        <v>333</v>
      </c>
      <c r="E54" s="106" t="s">
        <v>664</v>
      </c>
      <c r="F54" s="439">
        <f>VLOOKUP($D54,'Group Model'!$1:$1048576,MATCH(FinSum!F$2,'Group Model'!$1:$1,0),FALSE)</f>
        <v>2.7315453939102514E-2</v>
      </c>
      <c r="G54" s="439">
        <f>VLOOKUP($D54,'Group Model'!$1:$1048576,MATCH(FinSum!G$2,'Group Model'!$1:$1,0),FALSE)</f>
        <v>2.4872457519315487E-2</v>
      </c>
      <c r="H54" s="439">
        <f>VLOOKUP($D54,'Group Model'!$1:$1048576,MATCH(FinSum!H$2,'Group Model'!$1:$1,0),FALSE)</f>
        <v>2.4636385737892955E-2</v>
      </c>
      <c r="I54" s="439">
        <f>VLOOKUP($D54,'Group Model'!$1:$1048576,MATCH(FinSum!I$2,'Group Model'!$1:$1,0),FALSE)</f>
        <v>2.6486095792298471E-2</v>
      </c>
      <c r="J54" s="439">
        <f>VLOOKUP($D54,'Group Model'!$1:$1048576,MATCH(FinSum!J$2,'Group Model'!$1:$1,0),FALSE)</f>
        <v>2.7722945888578699E-2</v>
      </c>
      <c r="L54" s="429" t="s">
        <v>576</v>
      </c>
      <c r="M54" s="430">
        <f>M50+M53</f>
        <v>8219.51</v>
      </c>
      <c r="N54" s="430">
        <f t="shared" ref="N54:Q54" si="30">N50+N53</f>
        <v>7050.99</v>
      </c>
      <c r="O54" s="430">
        <f t="shared" si="30"/>
        <v>3687.8011131571147</v>
      </c>
      <c r="P54" s="430">
        <f t="shared" si="30"/>
        <v>2922.4615629243581</v>
      </c>
      <c r="Q54" s="430">
        <f t="shared" si="30"/>
        <v>3111.7714809897734</v>
      </c>
    </row>
    <row r="55" spans="1:18">
      <c r="D55" s="187" t="s">
        <v>335</v>
      </c>
      <c r="E55" s="106" t="s">
        <v>665</v>
      </c>
      <c r="F55" s="439">
        <f>VLOOKUP($D55,'Group Model'!$1:$1048576,MATCH(FinSum!F$2,'Group Model'!$1:$1,0),FALSE)</f>
        <v>8.7307017282922325E-3</v>
      </c>
      <c r="G55" s="439">
        <f>VLOOKUP($D55,'Group Model'!$1:$1048576,MATCH(FinSum!G$2,'Group Model'!$1:$1,0),FALSE)</f>
        <v>8.3441706478355696E-3</v>
      </c>
      <c r="H55" s="439">
        <f>VLOOKUP($D55,'Group Model'!$1:$1048576,MATCH(FinSum!H$2,'Group Model'!$1:$1,0),FALSE)</f>
        <v>8.0865530931174268E-3</v>
      </c>
      <c r="I55" s="439">
        <f>VLOOKUP($D55,'Group Model'!$1:$1048576,MATCH(FinSum!I$2,'Group Model'!$1:$1,0),FALSE)</f>
        <v>8.0461510341056433E-3</v>
      </c>
      <c r="J55" s="439">
        <f>VLOOKUP($D55,'Group Model'!$1:$1048576,MATCH(FinSum!J$2,'Group Model'!$1:$1,0),FALSE)</f>
        <v>8.2309738098904472E-3</v>
      </c>
    </row>
    <row r="56" spans="1:18">
      <c r="D56" s="187" t="s">
        <v>337</v>
      </c>
      <c r="E56" s="106" t="s">
        <v>667</v>
      </c>
      <c r="F56" s="439">
        <f>VLOOKUP($D56,'Group Model'!$1:$1048576,MATCH(FinSum!F$2,'Group Model'!$1:$1,0),FALSE)</f>
        <v>8.8237504697482143E-3</v>
      </c>
      <c r="G56" s="439">
        <f>VLOOKUP($D56,'Group Model'!$1:$1048576,MATCH(FinSum!G$2,'Group Model'!$1:$1,0),FALSE)</f>
        <v>8.3756059068876114E-3</v>
      </c>
      <c r="H56" s="439">
        <f>VLOOKUP($D56,'Group Model'!$1:$1048576,MATCH(FinSum!H$2,'Group Model'!$1:$1,0),FALSE)</f>
        <v>8.1150452975613709E-3</v>
      </c>
      <c r="I56" s="439">
        <f>VLOOKUP($D56,'Group Model'!$1:$1048576,MATCH(FinSum!I$2,'Group Model'!$1:$1,0),FALSE)</f>
        <v>8.0724957484111758E-3</v>
      </c>
      <c r="J56" s="439">
        <f>VLOOKUP($D56,'Group Model'!$1:$1048576,MATCH(FinSum!J$2,'Group Model'!$1:$1,0),FALSE)</f>
        <v>8.2560694707875665E-3</v>
      </c>
    </row>
    <row r="57" spans="1:18">
      <c r="E57" s="111" t="s">
        <v>74</v>
      </c>
    </row>
    <row r="58" spans="1:18">
      <c r="D58" s="187" t="s">
        <v>345</v>
      </c>
      <c r="E58" s="106" t="s">
        <v>668</v>
      </c>
      <c r="F58" s="446">
        <f>VLOOKUP($D58,'Group Model'!$1:$1048576,MATCH(FinSum!F$2,'Group Model'!$1:$1,0),FALSE)</f>
        <v>-1.3607679266999678E-3</v>
      </c>
      <c r="G58" s="446">
        <f>VLOOKUP($D58,'Group Model'!$1:$1048576,MATCH(FinSum!G$2,'Group Model'!$1:$1,0),FALSE)</f>
        <v>1.5657823076324594E-3</v>
      </c>
      <c r="H58" s="446">
        <f>VLOOKUP($D58,'Group Model'!$1:$1048576,MATCH(FinSum!H$2,'Group Model'!$1:$1,0),FALSE)</f>
        <v>1.2920983191446675E-3</v>
      </c>
      <c r="I58" s="446">
        <f>VLOOKUP($D58,'Group Model'!$1:$1048576,MATCH(FinSum!I$2,'Group Model'!$1:$1,0),FALSE)</f>
        <v>1.0044295013026886E-3</v>
      </c>
      <c r="J58" s="446">
        <f>VLOOKUP($D58,'Group Model'!$1:$1048576,MATCH(FinSum!J$2,'Group Model'!$1:$1,0),FALSE)</f>
        <v>9.2644009995814913E-4</v>
      </c>
    </row>
    <row r="59" spans="1:18">
      <c r="D59" s="187" t="s">
        <v>347</v>
      </c>
      <c r="E59" s="106" t="s">
        <v>669</v>
      </c>
      <c r="F59" s="446">
        <f>VLOOKUP($D59,'Group Model'!$1:$1048576,MATCH(FinSum!F$2,'Group Model'!$1:$1,0),FALSE)</f>
        <v>-2.0921806873012002E-3</v>
      </c>
      <c r="G59" s="446">
        <f>VLOOKUP($D59,'Group Model'!$1:$1048576,MATCH(FinSum!G$2,'Group Model'!$1:$1,0),FALSE)</f>
        <v>1.7554267486189995E-3</v>
      </c>
      <c r="H59" s="446">
        <f>VLOOKUP($D59,'Group Model'!$1:$1048576,MATCH(FinSum!H$2,'Group Model'!$1:$1,0),FALSE)</f>
        <v>7.9806292861635188E-4</v>
      </c>
      <c r="I59" s="446">
        <f>VLOOKUP($D59,'Group Model'!$1:$1048576,MATCH(FinSum!I$2,'Group Model'!$1:$1,0),FALSE)</f>
        <v>1.0203900471711779E-3</v>
      </c>
      <c r="J59" s="446">
        <f>VLOOKUP($D59,'Group Model'!$1:$1048576,MATCH(FinSum!J$2,'Group Model'!$1:$1,0),FALSE)</f>
        <v>1.191097737189906E-3</v>
      </c>
      <c r="L59" s="463" t="s">
        <v>666</v>
      </c>
      <c r="M59" s="465"/>
      <c r="N59" s="465"/>
      <c r="O59" s="465"/>
      <c r="P59" s="465"/>
      <c r="Q59" s="465"/>
    </row>
    <row r="60" spans="1:18">
      <c r="D60" s="187" t="s">
        <v>421</v>
      </c>
      <c r="E60" s="106" t="s">
        <v>420</v>
      </c>
      <c r="F60" s="446">
        <f>VLOOKUP($D60,'Group Model'!$1:$1048576,MATCH(FinSum!F$2,'Group Model'!$1:$1,0),FALSE)</f>
        <v>2.0213073577855768E-2</v>
      </c>
      <c r="G60" s="446">
        <f>VLOOKUP($D60,'Group Model'!$1:$1048576,MATCH(FinSum!G$2,'Group Model'!$1:$1,0),FALSE)</f>
        <v>1.6153816229674007E-2</v>
      </c>
      <c r="H60" s="446">
        <f>VLOOKUP($D60,'Group Model'!$1:$1048576,MATCH(FinSum!H$2,'Group Model'!$1:$1,0),FALSE)</f>
        <v>1.2703376111382994E-2</v>
      </c>
      <c r="I60" s="446">
        <f>VLOOKUP($D60,'Group Model'!$1:$1048576,MATCH(FinSum!I$2,'Group Model'!$1:$1,0),FALSE)</f>
        <v>9.1887072458949025E-3</v>
      </c>
      <c r="J60" s="446">
        <f>VLOOKUP($D60,'Group Model'!$1:$1048576,MATCH(FinSum!J$2,'Group Model'!$1:$1,0),FALSE)</f>
        <v>8.5620629549813341E-3</v>
      </c>
    </row>
    <row r="61" spans="1:18">
      <c r="D61" s="187" t="s">
        <v>348</v>
      </c>
      <c r="E61" s="106" t="s">
        <v>674</v>
      </c>
      <c r="F61" s="439">
        <f>VLOOKUP($D61,'Group Model'!$1:$1048576,MATCH(FinSum!F$2,'Group Model'!$1:$1,0),FALSE)</f>
        <v>0</v>
      </c>
      <c r="G61" s="439">
        <f>VLOOKUP($D61,'Group Model'!$1:$1048576,MATCH(FinSum!G$2,'Group Model'!$1:$1,0),FALSE)</f>
        <v>0</v>
      </c>
      <c r="H61" s="439">
        <f>VLOOKUP($D61,'Group Model'!$1:$1048576,MATCH(FinSum!H$2,'Group Model'!$1:$1,0),FALSE)</f>
        <v>0</v>
      </c>
      <c r="I61" s="439">
        <f>VLOOKUP($D61,'Group Model'!$1:$1048576,MATCH(FinSum!I$2,'Group Model'!$1:$1,0),FALSE)</f>
        <v>0</v>
      </c>
      <c r="J61" s="439">
        <f>VLOOKUP($D61,'Group Model'!$1:$1048576,MATCH(FinSum!J$2,'Group Model'!$1:$1,0),FALSE)</f>
        <v>0</v>
      </c>
      <c r="L61" s="111" t="s">
        <v>1378</v>
      </c>
      <c r="N61" s="447" t="s">
        <v>1791</v>
      </c>
      <c r="O61" s="137"/>
    </row>
    <row r="62" spans="1:18">
      <c r="D62" s="187" t="s">
        <v>349</v>
      </c>
      <c r="E62" s="106" t="s">
        <v>675</v>
      </c>
      <c r="F62" s="446">
        <f>VLOOKUP($D62,'Group Model'!$1:$1048576,MATCH(FinSum!F$2,'Group Model'!$1:$1,0),FALSE)</f>
        <v>1.3384223918575064E-2</v>
      </c>
      <c r="G62" s="446">
        <f>VLOOKUP($D62,'Group Model'!$1:$1048576,MATCH(FinSum!G$2,'Group Model'!$1:$1,0),FALSE)</f>
        <v>1.1325615631691649E-2</v>
      </c>
      <c r="H62" s="446">
        <f>VLOOKUP($D62,'Group Model'!$1:$1048576,MATCH(FinSum!H$2,'Group Model'!$1:$1,0),FALSE)</f>
        <v>8.9999999999999993E-3</v>
      </c>
      <c r="I62" s="446">
        <f>VLOOKUP($D62,'Group Model'!$1:$1048576,MATCH(FinSum!I$2,'Group Model'!$1:$1,0),FALSE)</f>
        <v>8.7999999999999988E-3</v>
      </c>
      <c r="J62" s="446">
        <f>VLOOKUP($D62,'Group Model'!$1:$1048576,MATCH(FinSum!J$2,'Group Model'!$1:$1,0),FALSE)</f>
        <v>8.7999999999999988E-3</v>
      </c>
      <c r="N62" s="448"/>
    </row>
    <row r="63" spans="1:18">
      <c r="D63" s="187" t="s">
        <v>352</v>
      </c>
      <c r="E63" s="106" t="s">
        <v>677</v>
      </c>
      <c r="F63" s="446">
        <f>VLOOKUP($D63,'Group Model'!$1:$1048576,MATCH(FinSum!F$2,'Group Model'!$1:$1,0),FALSE)</f>
        <v>1.3384223918575064E-2</v>
      </c>
      <c r="G63" s="446">
        <f>VLOOKUP($D63,'Group Model'!$1:$1048576,MATCH(FinSum!G$2,'Group Model'!$1:$1,0),FALSE)</f>
        <v>1.1325615631691649E-2</v>
      </c>
      <c r="H63" s="446">
        <f>VLOOKUP($D63,'Group Model'!$1:$1048576,MATCH(FinSum!H$2,'Group Model'!$1:$1,0),FALSE)</f>
        <v>8.9999999999999993E-3</v>
      </c>
      <c r="I63" s="446">
        <f>VLOOKUP($D63,'Group Model'!$1:$1048576,MATCH(FinSum!I$2,'Group Model'!$1:$1,0),FALSE)</f>
        <v>8.7999999999999988E-3</v>
      </c>
      <c r="J63" s="446">
        <f>VLOOKUP($D63,'Group Model'!$1:$1048576,MATCH(FinSum!J$2,'Group Model'!$1:$1,0),FALSE)</f>
        <v>8.7999999999999988E-3</v>
      </c>
      <c r="L63" s="111" t="s">
        <v>670</v>
      </c>
      <c r="N63" s="137" t="s">
        <v>671</v>
      </c>
      <c r="O63" s="449" t="s">
        <v>672</v>
      </c>
      <c r="P63" s="111" t="s">
        <v>673</v>
      </c>
    </row>
    <row r="64" spans="1:18">
      <c r="E64" s="111" t="s">
        <v>100</v>
      </c>
      <c r="F64" s="446"/>
      <c r="G64" s="446"/>
      <c r="H64" s="446"/>
      <c r="I64" s="446"/>
      <c r="J64" s="446"/>
      <c r="L64" s="106" t="str">
        <f>Summary!B179</f>
        <v>Price / net assets</v>
      </c>
      <c r="N64" s="450">
        <f>Summary!C179</f>
        <v>213.66427040517365</v>
      </c>
      <c r="O64" s="451">
        <f>Summary!D179</f>
        <v>0</v>
      </c>
      <c r="P64" s="452" t="str">
        <f>Summary!K138</f>
        <v>Sustainable ROTE = 13.7%</v>
      </c>
    </row>
    <row r="65" spans="4:17">
      <c r="D65" s="187" t="s">
        <v>356</v>
      </c>
      <c r="E65" s="106" t="s">
        <v>601</v>
      </c>
      <c r="F65" s="454">
        <f>VLOOKUP($D65,'Group Model'!$1:$1048576,MATCH(FinSum!F$2,'Group Model'!$1:$1,0),FALSE)</f>
        <v>0.13733732491585102</v>
      </c>
      <c r="G65" s="454">
        <f>VLOOKUP($D65,'Group Model'!$1:$1048576,MATCH(FinSum!G$2,'Group Model'!$1:$1,0),FALSE)</f>
        <v>0.12888150935311524</v>
      </c>
      <c r="H65" s="454">
        <f>VLOOKUP($D65,'Group Model'!$1:$1048576,MATCH(FinSum!H$2,'Group Model'!$1:$1,0),FALSE)</f>
        <v>0.11780542443957</v>
      </c>
      <c r="I65" s="454">
        <f>VLOOKUP($D65,'Group Model'!$1:$1048576,MATCH(FinSum!I$2,'Group Model'!$1:$1,0),FALSE)</f>
        <v>0.11884734914058585</v>
      </c>
      <c r="J65" s="454">
        <f>VLOOKUP($D65,'Group Model'!$1:$1048576,MATCH(FinSum!J$2,'Group Model'!$1:$1,0),FALSE)</f>
        <v>0.12147328949221813</v>
      </c>
      <c r="L65" s="106" t="str">
        <f>Summary!B180</f>
        <v>Discounted cashflow</v>
      </c>
      <c r="N65" s="450">
        <f>Summary!C180</f>
        <v>212.34163897753311</v>
      </c>
      <c r="O65" s="451">
        <f>Summary!D180</f>
        <v>0</v>
      </c>
      <c r="P65" s="87" t="str">
        <f>TEXT($N$76,"0.0%")&amp;" cost of equity"</f>
        <v>9.2% cost of equity</v>
      </c>
    </row>
    <row r="66" spans="4:17">
      <c r="D66" s="187" t="s">
        <v>357</v>
      </c>
      <c r="E66" s="106" t="s">
        <v>358</v>
      </c>
      <c r="F66" s="454">
        <f>VLOOKUP($D66,'Group Model'!$1:$1048576,MATCH(FinSum!F$2,'Group Model'!$1:$1,0),FALSE)</f>
        <v>0.69844448459681996</v>
      </c>
      <c r="G66" s="454">
        <f>VLOOKUP($D66,'Group Model'!$1:$1048576,MATCH(FinSum!G$2,'Group Model'!$1:$1,0),FALSE)</f>
        <v>0.66686398317631224</v>
      </c>
      <c r="H66" s="454">
        <f>VLOOKUP($D66,'Group Model'!$1:$1048576,MATCH(FinSum!H$2,'Group Model'!$1:$1,0),FALSE)</f>
        <v>0.62238110413293746</v>
      </c>
      <c r="I66" s="454">
        <f>VLOOKUP($D66,'Group Model'!$1:$1048576,MATCH(FinSum!I$2,'Group Model'!$1:$1,0),FALSE)</f>
        <v>0.62510226927992574</v>
      </c>
      <c r="J66" s="454">
        <f>VLOOKUP($D66,'Group Model'!$1:$1048576,MATCH(FinSum!J$2,'Group Model'!$1:$1,0),FALSE)</f>
        <v>0.64619692444457211</v>
      </c>
      <c r="L66" s="106" t="str">
        <f>Summary!B181</f>
        <v>Sum-of-the-parts</v>
      </c>
      <c r="N66" s="450">
        <f>Summary!C181</f>
        <v>215.70838275851472</v>
      </c>
      <c r="O66" s="451">
        <f>Summary!D181</f>
        <v>0.5</v>
      </c>
      <c r="P66" s="448" t="s">
        <v>676</v>
      </c>
    </row>
    <row r="67" spans="4:17">
      <c r="D67" s="187" t="s">
        <v>359</v>
      </c>
      <c r="E67" s="106" t="s">
        <v>360</v>
      </c>
      <c r="F67" s="433">
        <f>VLOOKUP($D67,'Group Model'!$1:$1048576,MATCH(FinSum!F$2,'Group Model'!$1:$1,0),FALSE)</f>
        <v>224</v>
      </c>
      <c r="G67" s="433">
        <f>VLOOKUP($D67,'Group Model'!$1:$1048576,MATCH(FinSum!G$2,'Group Model'!$1:$1,0),FALSE)</f>
        <v>206</v>
      </c>
      <c r="H67" s="433">
        <f>VLOOKUP($D67,'Group Model'!$1:$1048576,MATCH(FinSum!H$2,'Group Model'!$1:$1,0),FALSE)</f>
        <v>374.16846340080934</v>
      </c>
      <c r="I67" s="433">
        <f>VLOOKUP($D67,'Group Model'!$1:$1048576,MATCH(FinSum!I$2,'Group Model'!$1:$1,0),FALSE)</f>
        <v>443.72013689932675</v>
      </c>
      <c r="J67" s="433">
        <f>VLOOKUP($D67,'Group Model'!$1:$1048576,MATCH(FinSum!J$2,'Group Model'!$1:$1,0),FALSE)</f>
        <v>502.69713540840007</v>
      </c>
      <c r="L67" s="106" t="str">
        <f>Summary!B182</f>
        <v>Residual income model</v>
      </c>
      <c r="N67" s="450">
        <f>Summary!C182</f>
        <v>183.14404712100537</v>
      </c>
      <c r="O67" s="451">
        <f>Summary!D182</f>
        <v>0</v>
      </c>
      <c r="P67" s="448" t="str">
        <f>P65</f>
        <v>9.2% cost of equity</v>
      </c>
    </row>
    <row r="68" spans="4:17">
      <c r="L68" s="106" t="str">
        <f>Summary!B183</f>
        <v>Price / earnings</v>
      </c>
      <c r="N68" s="450">
        <f>Summary!C183</f>
        <v>227.03891908280499</v>
      </c>
      <c r="O68" s="451">
        <f>Summary!D183</f>
        <v>0.5</v>
      </c>
      <c r="P68" s="453" t="str">
        <f>Summary!K136</f>
        <v>Based on 20y premium/discount to mkt avg, applied to 6mo mkt PE</v>
      </c>
    </row>
    <row r="69" spans="4:17">
      <c r="E69" s="463" t="s">
        <v>564</v>
      </c>
      <c r="F69" s="465" t="str">
        <f t="shared" ref="F69:G69" si="31">TEXT(F$1,"mm/yy")</f>
        <v>03/24</v>
      </c>
      <c r="G69" s="465" t="str">
        <f t="shared" si="31"/>
        <v>03/25</v>
      </c>
      <c r="H69" s="465" t="str">
        <f t="shared" ref="H69:J69" si="32">TEXT(H$1,"mm/yy")&amp;RIGHT(H$2,1)</f>
        <v>03/26E</v>
      </c>
      <c r="I69" s="465" t="str">
        <f t="shared" si="32"/>
        <v>03/27E</v>
      </c>
      <c r="J69" s="465" t="str">
        <f t="shared" si="32"/>
        <v>03/28E</v>
      </c>
      <c r="L69" s="111" t="s">
        <v>1380</v>
      </c>
      <c r="M69" s="111"/>
      <c r="N69" s="455">
        <f>Summary!C184</f>
        <v>221.37365092065986</v>
      </c>
      <c r="O69" s="456">
        <f>Summary!D184</f>
        <v>1</v>
      </c>
      <c r="P69" s="16" t="s">
        <v>678</v>
      </c>
      <c r="Q69" s="111"/>
    </row>
    <row r="70" spans="4:17">
      <c r="D70" s="187" t="s">
        <v>556</v>
      </c>
      <c r="E70" s="106" t="s">
        <v>1516</v>
      </c>
      <c r="F70" s="433">
        <f>VLOOKUP($D70,'Divisional Model'!$1:$1048576,MATCH(F$2,'Divisional Model'!$1:$1,0),FALSE)</f>
        <v>1208</v>
      </c>
      <c r="G70" s="433">
        <f>VLOOKUP($D70,'Divisional Model'!$1:$1048576,MATCH(G$2,'Divisional Model'!$1:$1,0),FALSE)</f>
        <v>1610</v>
      </c>
      <c r="H70" s="433">
        <f>VLOOKUP($D70,'Divisional Model'!$1:$1048576,MATCH(H$2,'Divisional Model'!$1:$1,0),FALSE)</f>
        <v>2695.8317105388146</v>
      </c>
      <c r="I70" s="433">
        <f>VLOOKUP($D70,'Divisional Model'!$1:$1048576,MATCH(I$2,'Divisional Model'!$1:$1,0),FALSE)</f>
        <v>1986.3144910911521</v>
      </c>
      <c r="J70" s="433">
        <f>VLOOKUP($D70,'Divisional Model'!$1:$1048576,MATCH(J$2,'Divisional Model'!$1:$1,0),FALSE)</f>
        <v>2079.9598110228444</v>
      </c>
      <c r="N70" s="448"/>
    </row>
    <row r="71" spans="4:17">
      <c r="D71" s="187" t="s">
        <v>557</v>
      </c>
      <c r="E71" s="106" t="s">
        <v>553</v>
      </c>
      <c r="F71" s="433">
        <f>VLOOKUP($D71,'Divisional Model'!$1:$1048576,MATCH(F$2,'Divisional Model'!$1:$1,0),FALSE)</f>
        <v>0</v>
      </c>
      <c r="G71" s="433">
        <f>VLOOKUP($D71,'Divisional Model'!$1:$1048576,MATCH(G$2,'Divisional Model'!$1:$1,0),FALSE)</f>
        <v>0</v>
      </c>
      <c r="H71" s="433">
        <f>VLOOKUP($D71,'Divisional Model'!$1:$1048576,MATCH(H$2,'Divisional Model'!$1:$1,0),FALSE)</f>
        <v>0</v>
      </c>
      <c r="I71" s="433">
        <f>VLOOKUP($D71,'Divisional Model'!$1:$1048576,MATCH(I$2,'Divisional Model'!$1:$1,0),FALSE)</f>
        <v>0</v>
      </c>
      <c r="J71" s="433">
        <f>VLOOKUP($D71,'Divisional Model'!$1:$1048576,MATCH(J$2,'Divisional Model'!$1:$1,0),FALSE)</f>
        <v>0</v>
      </c>
      <c r="L71" s="111" t="s">
        <v>679</v>
      </c>
      <c r="N71" s="448"/>
    </row>
    <row r="72" spans="4:17">
      <c r="D72" s="187" t="s">
        <v>558</v>
      </c>
      <c r="E72" s="106" t="s">
        <v>554</v>
      </c>
      <c r="F72" s="433">
        <f>VLOOKUP($D72,'Divisional Model'!$1:$1048576,MATCH(F$2,'Divisional Model'!$1:$1,0),FALSE)</f>
        <v>1241</v>
      </c>
      <c r="G72" s="433">
        <f>VLOOKUP($D72,'Divisional Model'!$1:$1048576,MATCH(G$2,'Divisional Model'!$1:$1,0),FALSE)</f>
        <v>1380</v>
      </c>
      <c r="H72" s="433">
        <f>VLOOKUP($D72,'Divisional Model'!$1:$1048576,MATCH(H$2,'Divisional Model'!$1:$1,0),FALSE)</f>
        <v>1528.9284103507532</v>
      </c>
      <c r="I72" s="433">
        <f>VLOOKUP($D72,'Divisional Model'!$1:$1048576,MATCH(I$2,'Divisional Model'!$1:$1,0),FALSE)</f>
        <v>1647.8917062024291</v>
      </c>
      <c r="J72" s="433">
        <f>VLOOKUP($D72,'Divisional Model'!$1:$1048576,MATCH(J$2,'Divisional Model'!$1:$1,0),FALSE)</f>
        <v>1861.950204915946</v>
      </c>
      <c r="L72" s="106" t="s">
        <v>275</v>
      </c>
      <c r="N72" s="457">
        <f>Summary!G4</f>
        <v>3.5000000000000003E-2</v>
      </c>
      <c r="O72" s="106" t="s">
        <v>250</v>
      </c>
      <c r="Q72" s="458">
        <f ca="1">SUMPRODUCT(Summary!$C$145:$G$145,Summary!$C$156:$G$156)</f>
        <v>75381.435568650617</v>
      </c>
    </row>
    <row r="73" spans="4:17">
      <c r="D73" s="187" t="s">
        <v>1540</v>
      </c>
      <c r="E73" s="106" t="s">
        <v>1517</v>
      </c>
      <c r="F73" s="433">
        <f>VLOOKUP($D73,'Divisional Model'!$1:$1048576,MATCH(F$2,'Divisional Model'!$1:$1,0),FALSE)</f>
        <v>3213</v>
      </c>
      <c r="G73" s="433">
        <f>VLOOKUP($D73,'Divisional Model'!$1:$1048576,MATCH(G$2,'Divisional Model'!$1:$1,0),FALSE)</f>
        <v>2829</v>
      </c>
      <c r="H73" s="433">
        <f>VLOOKUP($D73,'Divisional Model'!$1:$1048576,MATCH(H$2,'Divisional Model'!$1:$1,0),FALSE)</f>
        <v>3135.179410438539</v>
      </c>
      <c r="I73" s="433">
        <f>VLOOKUP($D73,'Divisional Model'!$1:$1048576,MATCH(I$2,'Divisional Model'!$1:$1,0),FALSE)</f>
        <v>3464.0435950276042</v>
      </c>
      <c r="J73" s="433">
        <f>VLOOKUP($D73,'Divisional Model'!$1:$1048576,MATCH(J$2,'Divisional Model'!$1:$1,0),FALSE)</f>
        <v>3783.8987346215599</v>
      </c>
      <c r="L73" s="106" t="s">
        <v>279</v>
      </c>
      <c r="N73" s="457">
        <f>Summary!G5</f>
        <v>3.5000000000000003E-2</v>
      </c>
      <c r="O73" s="106" t="s">
        <v>257</v>
      </c>
      <c r="Q73" s="459">
        <f ca="1">SUMPRODUCT(Summary!$C$150:$G$150,Summary!$C$156:$G$156)</f>
        <v>4991.7616415732837</v>
      </c>
    </row>
    <row r="74" spans="4:17">
      <c r="D74" s="187" t="s">
        <v>561</v>
      </c>
      <c r="E74" s="106" t="s">
        <v>555</v>
      </c>
      <c r="F74" s="433">
        <f>VLOOKUP($D74,'Divisional Model'!$1:$1048576,MATCH(F$2,'Divisional Model'!$1:$1,0),FALSE)</f>
        <v>1051</v>
      </c>
      <c r="G74" s="433">
        <f>VLOOKUP($D74,'Divisional Model'!$1:$1048576,MATCH(G$2,'Divisional Model'!$1:$1,0),FALSE)</f>
        <v>1043</v>
      </c>
      <c r="H74" s="433">
        <f>VLOOKUP($D74,'Divisional Model'!$1:$1048576,MATCH(H$2,'Divisional Model'!$1:$1,0),FALSE)</f>
        <v>1419.596420066923</v>
      </c>
      <c r="I74" s="433">
        <f>VLOOKUP($D74,'Divisional Model'!$1:$1048576,MATCH(I$2,'Divisional Model'!$1:$1,0),FALSE)</f>
        <v>1564.9234403373803</v>
      </c>
      <c r="J74" s="433">
        <f>VLOOKUP($D74,'Divisional Model'!$1:$1048576,MATCH(J$2,'Divisional Model'!$1:$1,0),FALSE)</f>
        <v>1765.0083382010775</v>
      </c>
      <c r="L74" s="106" t="s">
        <v>680</v>
      </c>
      <c r="N74" s="457">
        <f>Summary!G6</f>
        <v>0.06</v>
      </c>
      <c r="O74" s="106" t="s">
        <v>262</v>
      </c>
      <c r="Q74" s="458">
        <f ca="1">SUMPRODUCT(Summary!$C$153:$G$153,Summary!$C$156:$G$156)</f>
        <v>80373.197210223909</v>
      </c>
    </row>
    <row r="75" spans="4:17">
      <c r="D75" s="187" t="s">
        <v>563</v>
      </c>
      <c r="E75" s="106" t="s">
        <v>509</v>
      </c>
      <c r="F75" s="433">
        <f>VLOOKUP($D75,'Divisional Model'!$1:$1048576,MATCH(F$2,'Divisional Model'!$1:$1,0),FALSE)</f>
        <v>-3191</v>
      </c>
      <c r="G75" s="433">
        <f>VLOOKUP($D75,'Divisional Model'!$1:$1048576,MATCH(G$2,'Divisional Model'!$1:$1,0),FALSE)</f>
        <v>-3147</v>
      </c>
      <c r="H75" s="433">
        <f>VLOOKUP($D75,'Divisional Model'!$1:$1048576,MATCH(H$2,'Divisional Model'!$1:$1,0),FALSE)</f>
        <v>-4624.647895233561</v>
      </c>
      <c r="I75" s="433">
        <f>VLOOKUP($D75,'Divisional Model'!$1:$1048576,MATCH(I$2,'Divisional Model'!$1:$1,0),FALSE)</f>
        <v>-4072.8395531333263</v>
      </c>
      <c r="J75" s="433">
        <f>VLOOKUP($D75,'Divisional Model'!$1:$1048576,MATCH(J$2,'Divisional Model'!$1:$1,0),FALSE)</f>
        <v>-4415.6515703993609</v>
      </c>
      <c r="L75" s="106" t="s">
        <v>681</v>
      </c>
      <c r="N75" s="453">
        <f>Summary!G7</f>
        <v>0.95</v>
      </c>
      <c r="O75" s="106" t="s">
        <v>682</v>
      </c>
      <c r="Q75" s="459">
        <f>SUMPRODUCT(Summary!$C$141:$G$141,Summary!$C$156:$G$156)</f>
        <v>378.54240531942838</v>
      </c>
    </row>
    <row r="76" spans="4:17">
      <c r="E76" s="111" t="str">
        <f>L27</f>
        <v>Cash earnings</v>
      </c>
      <c r="F76" s="111"/>
      <c r="G76" s="426">
        <f>SUM(G70:G75)</f>
        <v>3715</v>
      </c>
      <c r="H76" s="426">
        <f t="shared" ref="H76:J76" si="33">SUM(H70:H75)</f>
        <v>4154.8880561614687</v>
      </c>
      <c r="I76" s="426">
        <f t="shared" si="33"/>
        <v>4590.3336795252399</v>
      </c>
      <c r="J76" s="426">
        <f t="shared" si="33"/>
        <v>5075.1655183620678</v>
      </c>
      <c r="L76" s="106" t="s">
        <v>287</v>
      </c>
      <c r="N76" s="457">
        <f>Summary!G8</f>
        <v>9.1999999999999998E-2</v>
      </c>
      <c r="O76" s="106" t="s">
        <v>265</v>
      </c>
      <c r="Q76" s="460">
        <f>N65</f>
        <v>212.34163897753311</v>
      </c>
    </row>
    <row r="77" spans="4:17">
      <c r="G77" s="433" t="str">
        <f>IF(G76=N27,"","error")</f>
        <v/>
      </c>
      <c r="H77" s="433" t="str">
        <f t="shared" ref="H77:J77" si="34">IF(H76=O27,"","error")</f>
        <v/>
      </c>
      <c r="I77" s="433" t="str">
        <f t="shared" si="34"/>
        <v/>
      </c>
      <c r="J77" s="433" t="str">
        <f t="shared" si="34"/>
        <v>error</v>
      </c>
    </row>
    <row r="78" spans="4:17">
      <c r="E78" s="118" t="s">
        <v>683</v>
      </c>
    </row>
  </sheetData>
  <printOptions horizontalCentered="1" verticalCentered="1"/>
  <pageMargins left="0.7" right="0.7" top="0.75" bottom="0.75" header="0.3" footer="0.3"/>
  <pageSetup paperSize="9" scale="24" orientation="portrait" r:id="rId1"/>
  <customProperties>
    <customPr name="Qube.Worksheet.Visibility" r:id="rId2"/>
    <customPr name="SHEET_UNIQUE_ID" r:id="rId3"/>
  </customProperties>
  <ignoredErrors>
    <ignoredError sqref="N13:Y16 Y17:Y34 N17:X18 G35:X46 G17:M34 G53:AA60 N24:X34 N23:V23 X23 N21:V22 N19:V19 X19 N20:V20 X20 X21:X22 G62:AA68 G61:M61 O61:AA61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EFBB7-8959-45F1-A3BE-FEAFFB837B68}">
  <sheetPr>
    <pageSetUpPr fitToPage="1"/>
  </sheetPr>
  <dimension ref="A1:S62"/>
  <sheetViews>
    <sheetView showGridLines="0" zoomScale="70" zoomScaleNormal="70" workbookViewId="0">
      <selection activeCell="E19" sqref="E19"/>
    </sheetView>
  </sheetViews>
  <sheetFormatPr defaultRowHeight="15"/>
  <cols>
    <col min="2" max="2" width="48.42578125" customWidth="1"/>
    <col min="3" max="7" width="13.7109375" customWidth="1"/>
    <col min="8" max="8" width="15.7109375" customWidth="1"/>
    <col min="9" max="9" width="39.85546875" customWidth="1"/>
    <col min="10" max="15" width="13.42578125" customWidth="1"/>
    <col min="18" max="18" width="18.7109375" customWidth="1"/>
    <col min="19" max="19" width="11.42578125" bestFit="1" customWidth="1"/>
  </cols>
  <sheetData>
    <row r="1" spans="1:19">
      <c r="A1" s="605">
        <v>45938</v>
      </c>
    </row>
    <row r="2" spans="1:19" ht="33" customHeight="1">
      <c r="A2" t="s">
        <v>1932</v>
      </c>
      <c r="B2" s="661" t="s">
        <v>1933</v>
      </c>
      <c r="C2" s="661"/>
      <c r="D2" s="661"/>
      <c r="E2" s="661"/>
      <c r="F2" s="661"/>
      <c r="G2" s="661"/>
      <c r="H2" s="661"/>
      <c r="I2" s="662" t="s">
        <v>1934</v>
      </c>
      <c r="J2" s="662"/>
      <c r="K2" s="662"/>
      <c r="L2" s="662"/>
      <c r="M2" s="662"/>
      <c r="N2" s="662"/>
      <c r="O2" s="662"/>
    </row>
    <row r="3" spans="1:19" ht="33" customHeight="1">
      <c r="B3" s="608"/>
      <c r="C3" s="608"/>
      <c r="D3" s="608"/>
      <c r="E3" s="608"/>
      <c r="F3" s="608"/>
      <c r="G3" s="608"/>
      <c r="H3" s="608"/>
      <c r="I3" s="608"/>
      <c r="J3" s="608"/>
      <c r="K3" s="608"/>
      <c r="L3" s="608"/>
      <c r="M3" s="608"/>
      <c r="N3" s="608"/>
      <c r="O3" s="608"/>
    </row>
    <row r="4" spans="1:19" ht="33" customHeight="1">
      <c r="B4" s="653" t="s">
        <v>1935</v>
      </c>
      <c r="C4" s="654" t="s">
        <v>1832</v>
      </c>
      <c r="D4" s="655" t="s">
        <v>1936</v>
      </c>
      <c r="E4" s="655" t="s">
        <v>1790</v>
      </c>
      <c r="F4" s="655" t="s">
        <v>1810</v>
      </c>
      <c r="G4" s="655" t="s">
        <v>1823</v>
      </c>
      <c r="H4" s="608"/>
      <c r="I4" s="660" t="s">
        <v>1937</v>
      </c>
      <c r="J4" s="660"/>
      <c r="K4" s="660"/>
      <c r="L4" s="660"/>
      <c r="M4" s="660"/>
      <c r="N4" s="660"/>
      <c r="O4" s="660"/>
    </row>
    <row r="5" spans="1:19" ht="33" customHeight="1">
      <c r="B5" s="609" t="s">
        <v>1938</v>
      </c>
      <c r="C5" s="610">
        <f>SUM('Group Model'!BN62,'Group Model'!BN69)</f>
        <v>8907</v>
      </c>
      <c r="D5" s="610">
        <f>SUM('Group Model'!BO62,'Group Model'!BO69)</f>
        <v>8877</v>
      </c>
      <c r="E5" s="610">
        <f>SUM('Group Model'!BP62,'Group Model'!BP69)</f>
        <v>9970.0017880925025</v>
      </c>
      <c r="F5" s="610">
        <f>SUM('Group Model'!BQ62,'Group Model'!BQ69)</f>
        <v>10771.32863460815</v>
      </c>
      <c r="G5" s="610">
        <f>SUM('Group Model'!BR62,'Group Model'!BR69)</f>
        <v>11472.184666316567</v>
      </c>
      <c r="H5" s="608"/>
      <c r="I5" s="611" t="s">
        <v>632</v>
      </c>
      <c r="J5" s="611"/>
      <c r="K5" s="612" t="s">
        <v>1939</v>
      </c>
      <c r="L5" s="611"/>
      <c r="M5" s="663" t="s">
        <v>1940</v>
      </c>
      <c r="N5" s="663"/>
      <c r="O5" s="612" t="str">
        <f>Summary!$C$7</f>
        <v>Neutral</v>
      </c>
    </row>
    <row r="6" spans="1:19" ht="33" customHeight="1">
      <c r="B6" s="614" t="s">
        <v>17</v>
      </c>
      <c r="C6" s="610">
        <f>'Group Model'!BN63</f>
        <v>2895</v>
      </c>
      <c r="D6" s="610">
        <f>'Group Model'!BO63</f>
        <v>2948</v>
      </c>
      <c r="E6" s="610">
        <f>'Group Model'!BP63</f>
        <v>2750.0898811034426</v>
      </c>
      <c r="F6" s="610">
        <f>'Group Model'!BQ63</f>
        <v>2191.27297880276</v>
      </c>
      <c r="G6" s="610">
        <f>'Group Model'!BR63</f>
        <v>2260.8586694947749</v>
      </c>
      <c r="H6" s="608"/>
      <c r="I6" s="615" t="s">
        <v>1941</v>
      </c>
      <c r="J6" s="611"/>
      <c r="K6" s="616" cm="1">
        <f t="array" ref="K6">_xll.FDS(A2,"FG_PRICE("&amp;A1&amp;")")</f>
        <v>222.16</v>
      </c>
      <c r="L6" s="611"/>
      <c r="M6" s="664" t="s">
        <v>1908</v>
      </c>
      <c r="N6" s="664"/>
      <c r="O6" s="616">
        <f>Summary!$G$10</f>
        <v>221.37365092065986</v>
      </c>
      <c r="R6" s="605"/>
      <c r="S6" s="606"/>
    </row>
    <row r="7" spans="1:19" ht="33" customHeight="1">
      <c r="B7" s="614" t="s">
        <v>18</v>
      </c>
      <c r="C7" s="610">
        <f>'Group Model'!BN64</f>
        <v>632</v>
      </c>
      <c r="D7" s="610">
        <f>'Group Model'!BO64</f>
        <v>837</v>
      </c>
      <c r="E7" s="610">
        <f>'Group Model'!BP64</f>
        <v>1493.2708894215784</v>
      </c>
      <c r="F7" s="610">
        <f>'Group Model'!BQ64</f>
        <v>1351.9447620502622</v>
      </c>
      <c r="G7" s="610">
        <f>'Group Model'!BR64</f>
        <v>1379.4708435417228</v>
      </c>
      <c r="H7" s="608"/>
      <c r="I7" s="611" t="s">
        <v>1942</v>
      </c>
      <c r="J7" s="611"/>
      <c r="K7" s="618">
        <f>L42</f>
        <v>381.13841500000001</v>
      </c>
      <c r="L7" s="611"/>
      <c r="M7" s="663" t="s">
        <v>1943</v>
      </c>
      <c r="N7" s="663"/>
      <c r="O7" s="619">
        <f>O6/K6-1</f>
        <v>-3.5395619343722151E-3</v>
      </c>
    </row>
    <row r="8" spans="1:19" ht="33" customHeight="1">
      <c r="B8" s="614" t="s">
        <v>1944</v>
      </c>
      <c r="C8" s="610">
        <f>'Group Model'!BN65</f>
        <v>743</v>
      </c>
      <c r="D8" s="610">
        <f>'Group Model'!BO65</f>
        <v>916</v>
      </c>
      <c r="E8" s="610">
        <f>'Group Model'!BP65</f>
        <v>998.125</v>
      </c>
      <c r="F8" s="610">
        <f>'Group Model'!BQ65</f>
        <v>1023.905</v>
      </c>
      <c r="G8" s="610">
        <f>'Group Model'!BR65</f>
        <v>1059.7275999999999</v>
      </c>
      <c r="H8" s="608"/>
      <c r="I8" s="611" t="s">
        <v>1945</v>
      </c>
      <c r="J8" s="611"/>
      <c r="K8" s="620">
        <f>K6*K7</f>
        <v>84673.710276400001</v>
      </c>
      <c r="L8" s="611"/>
      <c r="M8" s="659"/>
      <c r="N8" s="659"/>
      <c r="O8" s="611"/>
    </row>
    <row r="9" spans="1:19" ht="33" customHeight="1">
      <c r="B9" s="621" t="s">
        <v>29</v>
      </c>
      <c r="C9" s="622">
        <f>SUM('Group Model'!BN66,'Group Model'!BN67)</f>
        <v>1979</v>
      </c>
      <c r="D9" s="622">
        <f>SUM('Group Model'!BO66,'Group Model'!BO67)</f>
        <v>2089</v>
      </c>
      <c r="E9" s="622">
        <f>SUM('Group Model'!BP66,'Group Model'!BP67)</f>
        <v>2335.5479999999998</v>
      </c>
      <c r="F9" s="622">
        <f>SUM('Group Model'!BQ66,'Group Model'!BQ67)</f>
        <v>2480.9272922</v>
      </c>
      <c r="G9" s="622">
        <f>SUM('Group Model'!BR66,'Group Model'!BR67)</f>
        <v>2621.8001508249804</v>
      </c>
      <c r="H9" s="608"/>
      <c r="I9" s="611"/>
      <c r="J9" s="611"/>
      <c r="K9" s="611"/>
      <c r="L9" s="611"/>
      <c r="M9" s="659"/>
      <c r="N9" s="659"/>
      <c r="O9" s="611"/>
    </row>
    <row r="10" spans="1:19" ht="33" customHeight="1">
      <c r="B10" s="609" t="s">
        <v>118</v>
      </c>
      <c r="C10" s="623">
        <f>SUM(C5:C9)</f>
        <v>15156</v>
      </c>
      <c r="D10" s="623">
        <f t="shared" ref="D10:G10" si="0">SUM(D5:D9)</f>
        <v>15667</v>
      </c>
      <c r="E10" s="623">
        <f t="shared" si="0"/>
        <v>17547.035558617521</v>
      </c>
      <c r="F10" s="623">
        <f t="shared" si="0"/>
        <v>17819.378667661171</v>
      </c>
      <c r="G10" s="623">
        <f t="shared" si="0"/>
        <v>18794.041930178046</v>
      </c>
      <c r="H10" s="608"/>
      <c r="I10" s="615" t="s">
        <v>1946</v>
      </c>
      <c r="J10" s="624" t="s">
        <v>672</v>
      </c>
      <c r="K10" s="624" t="s">
        <v>1947</v>
      </c>
      <c r="L10" s="611"/>
      <c r="M10" s="615" t="s">
        <v>1948</v>
      </c>
      <c r="N10" s="624" t="s">
        <v>1947</v>
      </c>
      <c r="O10" s="624" t="s">
        <v>1949</v>
      </c>
    </row>
    <row r="11" spans="1:19" ht="33" customHeight="1">
      <c r="B11" s="614" t="s">
        <v>1950</v>
      </c>
      <c r="C11" s="610">
        <f>'Group Model'!BN70</f>
        <v>-49</v>
      </c>
      <c r="D11" s="610">
        <f>'Group Model'!BO70</f>
        <v>167</v>
      </c>
      <c r="E11" s="610">
        <f>'Group Model'!BP70</f>
        <v>-58.702857142857141</v>
      </c>
      <c r="F11" s="610">
        <f>'Group Model'!BQ70</f>
        <v>-16.068070285714271</v>
      </c>
      <c r="G11" s="610">
        <f>'Group Model'!BR70</f>
        <v>-14.254695641314271</v>
      </c>
      <c r="H11" s="608"/>
      <c r="I11" s="611" t="s">
        <v>1951</v>
      </c>
      <c r="J11" s="625">
        <f>Summary!D$181</f>
        <v>0.5</v>
      </c>
      <c r="K11" s="626">
        <f>Summary!$C$181</f>
        <v>215.70838275851472</v>
      </c>
      <c r="L11" s="611"/>
      <c r="M11" s="611" t="s">
        <v>1874</v>
      </c>
      <c r="N11" s="626">
        <f>'[2]MQG - Sum-of-the-Parts '!$K$13</f>
        <v>58.809449425220357</v>
      </c>
      <c r="O11" s="627">
        <f>'[2]MQG - Sum-of-the-Parts '!$M$13</f>
        <v>8.1578947368421062</v>
      </c>
    </row>
    <row r="12" spans="1:19" ht="33" customHeight="1">
      <c r="B12" s="614" t="s">
        <v>1952</v>
      </c>
      <c r="C12" s="610">
        <f>'Group Model'!BN71</f>
        <v>369</v>
      </c>
      <c r="D12" s="610">
        <f>'Group Model'!BO71</f>
        <v>-361</v>
      </c>
      <c r="E12" s="610">
        <f>'Group Model'!BP71</f>
        <v>-193.87119267257026</v>
      </c>
      <c r="F12" s="610">
        <f>'Group Model'!BQ71</f>
        <v>-284.91649327684672</v>
      </c>
      <c r="G12" s="610">
        <f>'Group Model'!BR71</f>
        <v>-369.23688022174065</v>
      </c>
      <c r="H12" s="608"/>
      <c r="I12" s="611" t="s">
        <v>1953</v>
      </c>
      <c r="J12" s="625">
        <f>Summary!$D$183</f>
        <v>0.5</v>
      </c>
      <c r="K12" s="626">
        <f>Summary!$C$183</f>
        <v>227.03891908280499</v>
      </c>
      <c r="L12" s="611"/>
      <c r="M12" s="611" t="s">
        <v>507</v>
      </c>
      <c r="N12" s="626">
        <f>'[2]MQG - Sum-of-the-Parts '!$K$14</f>
        <v>40.607074504431843</v>
      </c>
      <c r="O12" s="627">
        <f>'[2]MQG - Sum-of-the-Parts '!$M$14</f>
        <v>1.6666666666666667</v>
      </c>
    </row>
    <row r="13" spans="1:19" ht="33" customHeight="1">
      <c r="B13" s="621" t="s">
        <v>1922</v>
      </c>
      <c r="C13" s="622">
        <f>'Group Model'!BN72</f>
        <v>1411</v>
      </c>
      <c r="D13" s="622">
        <f>'Group Model'!BO72</f>
        <v>1735</v>
      </c>
      <c r="E13" s="622">
        <f>'Group Model'!BP72</f>
        <v>1368.73</v>
      </c>
      <c r="F13" s="622">
        <f>'Group Model'!BQ72</f>
        <v>1263.897837</v>
      </c>
      <c r="G13" s="622">
        <f>'Group Model'!BR72</f>
        <v>1431.7743574586752</v>
      </c>
      <c r="H13" s="608"/>
      <c r="I13" s="615" t="s">
        <v>1954</v>
      </c>
      <c r="J13" s="628">
        <f>SUM(J11:J12)</f>
        <v>1</v>
      </c>
      <c r="K13" s="616">
        <f>SUMPRODUCT(J11:J12,K11:K12)</f>
        <v>221.37365092065986</v>
      </c>
      <c r="L13" s="611"/>
      <c r="M13" s="611" t="s">
        <v>1875</v>
      </c>
      <c r="N13" s="626">
        <f>'[2]MQG - Sum-of-the-Parts '!$K$17</f>
        <v>71.690287323197552</v>
      </c>
      <c r="O13" s="627">
        <f>'[2]MQG - Sum-of-the-Parts '!$M$17</f>
        <v>2.192982456140351</v>
      </c>
    </row>
    <row r="14" spans="1:19" ht="33" customHeight="1">
      <c r="B14" s="609" t="s">
        <v>35</v>
      </c>
      <c r="C14" s="623">
        <f>SUM(C10:C13)</f>
        <v>16887</v>
      </c>
      <c r="D14" s="623">
        <f t="shared" ref="D14:G14" si="1">SUM(D10:D13)</f>
        <v>17208</v>
      </c>
      <c r="E14" s="623">
        <f t="shared" si="1"/>
        <v>18663.191508802094</v>
      </c>
      <c r="F14" s="623">
        <f t="shared" si="1"/>
        <v>18782.291941098611</v>
      </c>
      <c r="G14" s="623">
        <f t="shared" si="1"/>
        <v>19842.324711773665</v>
      </c>
      <c r="H14" s="608"/>
      <c r="I14" s="611"/>
      <c r="J14" s="625"/>
      <c r="K14" s="626"/>
      <c r="L14" s="611"/>
      <c r="M14" s="611" t="s">
        <v>1876</v>
      </c>
      <c r="N14" s="626">
        <f>'[2]MQG - Sum-of-the-Parts '!$K$18</f>
        <v>34.180276607800216</v>
      </c>
      <c r="O14" s="627">
        <f>'[2]MQG - Sum-of-the-Parts '!$M$18</f>
        <v>1.8421052631578951</v>
      </c>
    </row>
    <row r="15" spans="1:19" ht="33" customHeight="1">
      <c r="B15" s="614" t="s">
        <v>1955</v>
      </c>
      <c r="C15" s="610">
        <f>SUM('Group Model'!BN74:BN76)</f>
        <v>-12061</v>
      </c>
      <c r="D15" s="610">
        <f>SUM('Group Model'!BO74:BO76)</f>
        <v>-12140</v>
      </c>
      <c r="E15" s="610">
        <f>SUM('Group Model'!BP74:BP76)</f>
        <v>-12602.779999999999</v>
      </c>
      <c r="F15" s="610">
        <f>SUM('Group Model'!BQ74:BQ76)</f>
        <v>-12473.405349999997</v>
      </c>
      <c r="G15" s="610">
        <f>SUM('Group Model'!BR74:BR76)</f>
        <v>-12878.791023875001</v>
      </c>
      <c r="H15" s="608"/>
      <c r="I15" s="629"/>
      <c r="J15" s="629"/>
      <c r="K15" s="629"/>
      <c r="L15" s="611"/>
      <c r="M15" s="611" t="s">
        <v>1956</v>
      </c>
      <c r="N15" s="626">
        <f>'[2]MQG - Sum-of-the-Parts '!$K$23</f>
        <v>10.421294897864726</v>
      </c>
      <c r="O15" s="627">
        <f>'[2]MQG - Sum-of-the-Parts '!$M$23</f>
        <v>0.70387010225261737</v>
      </c>
    </row>
    <row r="16" spans="1:19" ht="33" customHeight="1">
      <c r="B16" s="630" t="s">
        <v>792</v>
      </c>
      <c r="C16" s="631">
        <f>SUM(C14:C15)</f>
        <v>4826</v>
      </c>
      <c r="D16" s="631">
        <f t="shared" ref="D16:G16" si="2">SUM(D14:D15)</f>
        <v>5068</v>
      </c>
      <c r="E16" s="631">
        <f t="shared" si="2"/>
        <v>6060.4115088020953</v>
      </c>
      <c r="F16" s="631">
        <f t="shared" si="2"/>
        <v>6308.8865910986133</v>
      </c>
      <c r="G16" s="631">
        <f t="shared" si="2"/>
        <v>6963.5336878986636</v>
      </c>
      <c r="H16" s="608"/>
      <c r="I16" s="629"/>
      <c r="J16" s="629"/>
      <c r="K16" s="629"/>
      <c r="L16" s="611"/>
      <c r="M16" s="617" t="s">
        <v>205</v>
      </c>
      <c r="N16" s="616">
        <f>SUM(N11:N15)</f>
        <v>215.70838275851469</v>
      </c>
      <c r="O16" s="632">
        <f>'[2]MQG - Sum-of-the-Parts '!$M$25</f>
        <v>2.2095692542011847</v>
      </c>
    </row>
    <row r="17" spans="2:18" ht="33" customHeight="1">
      <c r="B17" s="614" t="s">
        <v>15</v>
      </c>
      <c r="C17" s="610">
        <f>'Group Model'!BN78</f>
        <v>-1291</v>
      </c>
      <c r="D17" s="610">
        <f>'Group Model'!BO78</f>
        <v>-1326</v>
      </c>
      <c r="E17" s="610">
        <f>'Group Model'!BP78</f>
        <v>-1853.5234526406296</v>
      </c>
      <c r="F17" s="610">
        <f>'Group Model'!BQ78</f>
        <v>-1666.5529115733736</v>
      </c>
      <c r="G17" s="610">
        <f>'Group Model'!BR78</f>
        <v>-1836.3681695365985</v>
      </c>
      <c r="H17" s="608"/>
      <c r="I17" s="615"/>
      <c r="J17" s="611"/>
      <c r="K17" s="611"/>
      <c r="L17" s="611"/>
      <c r="M17" s="613"/>
      <c r="N17" s="613"/>
      <c r="O17" s="611"/>
    </row>
    <row r="18" spans="2:18" ht="33" customHeight="1">
      <c r="B18" s="621" t="s">
        <v>1957</v>
      </c>
      <c r="C18" s="622">
        <f>'Group Model'!BN79</f>
        <v>-13</v>
      </c>
      <c r="D18" s="622">
        <f>'Group Model'!BO79</f>
        <v>-27</v>
      </c>
      <c r="E18" s="622">
        <f>'Group Model'!BP79</f>
        <v>-52</v>
      </c>
      <c r="F18" s="622">
        <f>'Group Model'!BQ79</f>
        <v>-52</v>
      </c>
      <c r="G18" s="622">
        <f>'Group Model'!BR79</f>
        <v>-52</v>
      </c>
      <c r="H18" s="608"/>
      <c r="I18" s="611"/>
      <c r="J18" s="611"/>
      <c r="K18" s="611"/>
      <c r="L18" s="611"/>
      <c r="M18" s="611"/>
      <c r="N18" s="611"/>
      <c r="O18" s="611"/>
    </row>
    <row r="19" spans="2:18" ht="33" customHeight="1">
      <c r="B19" s="609" t="s">
        <v>1958</v>
      </c>
      <c r="C19" s="623">
        <f>SUM(C16:C18)</f>
        <v>3522</v>
      </c>
      <c r="D19" s="623">
        <f t="shared" ref="D19:G19" si="3">SUM(D16:D18)</f>
        <v>3715</v>
      </c>
      <c r="E19" s="623">
        <f t="shared" si="3"/>
        <v>4154.888056161466</v>
      </c>
      <c r="F19" s="623">
        <f t="shared" si="3"/>
        <v>4590.3336795252399</v>
      </c>
      <c r="G19" s="623">
        <f t="shared" si="3"/>
        <v>5075.1655183620651</v>
      </c>
      <c r="H19" s="608"/>
      <c r="I19" s="660" t="s">
        <v>1959</v>
      </c>
      <c r="J19" s="660"/>
      <c r="K19" s="654" t="s">
        <v>1832</v>
      </c>
      <c r="L19" s="655" t="str">
        <f>D4</f>
        <v>FY25A</v>
      </c>
      <c r="M19" s="655" t="str">
        <f t="shared" ref="M19:O19" si="4">E4</f>
        <v>FY26E</v>
      </c>
      <c r="N19" s="655" t="str">
        <f t="shared" si="4"/>
        <v>FY27E</v>
      </c>
      <c r="O19" s="655" t="str">
        <f t="shared" si="4"/>
        <v>FY28E</v>
      </c>
    </row>
    <row r="20" spans="2:18" ht="33" customHeight="1">
      <c r="B20" s="621" t="s">
        <v>126</v>
      </c>
      <c r="C20" s="622">
        <f>'Group Model'!BN83</f>
        <v>0</v>
      </c>
      <c r="D20" s="622">
        <f>'Group Model'!BO83</f>
        <v>0</v>
      </c>
      <c r="E20" s="622">
        <f>'Group Model'!BP83</f>
        <v>0</v>
      </c>
      <c r="F20" s="622">
        <f>'Group Model'!BQ83</f>
        <v>0</v>
      </c>
      <c r="G20" s="622">
        <f>'Group Model'!BR83</f>
        <v>0</v>
      </c>
      <c r="H20" s="608"/>
      <c r="I20" s="633" t="s">
        <v>1960</v>
      </c>
      <c r="J20" s="608"/>
      <c r="K20" s="608"/>
      <c r="L20" s="611"/>
      <c r="M20" s="611"/>
      <c r="N20" s="611"/>
      <c r="O20" s="608"/>
    </row>
    <row r="21" spans="2:18" ht="33" customHeight="1">
      <c r="B21" s="609" t="s">
        <v>127</v>
      </c>
      <c r="C21" s="623">
        <f>SUM(C19:C20)</f>
        <v>3522</v>
      </c>
      <c r="D21" s="623">
        <f t="shared" ref="D21:G21" si="5">SUM(D19:D20)</f>
        <v>3715</v>
      </c>
      <c r="E21" s="623">
        <f t="shared" si="5"/>
        <v>4154.888056161466</v>
      </c>
      <c r="F21" s="623">
        <f t="shared" si="5"/>
        <v>4590.3336795252399</v>
      </c>
      <c r="G21" s="623">
        <f t="shared" si="5"/>
        <v>5075.1655183620651</v>
      </c>
      <c r="H21" s="608"/>
      <c r="I21" s="611" t="s">
        <v>1953</v>
      </c>
      <c r="J21" s="608"/>
      <c r="K21" s="634">
        <f>$K$6/K$32</f>
        <v>24.238418366487444</v>
      </c>
      <c r="L21" s="634">
        <f>$K$6/L$32</f>
        <v>22.68427241942506</v>
      </c>
      <c r="M21" s="634">
        <f>$K$6/M$32</f>
        <v>20.106958624708611</v>
      </c>
      <c r="N21" s="634">
        <f>$K$6/N$32</f>
        <v>18.035944139315674</v>
      </c>
      <c r="O21" s="634">
        <f>$K$6/O$32</f>
        <v>16.217641455739031</v>
      </c>
    </row>
    <row r="22" spans="2:18" ht="33" customHeight="1">
      <c r="B22" s="609"/>
      <c r="C22" s="611"/>
      <c r="D22" s="611"/>
      <c r="E22" s="611"/>
      <c r="F22" s="611"/>
      <c r="G22" s="611"/>
      <c r="H22" s="608"/>
      <c r="I22" s="611" t="s">
        <v>1961</v>
      </c>
      <c r="J22" s="608"/>
      <c r="K22" s="634">
        <f>$K$6/K$40</f>
        <v>2.5026166705282975</v>
      </c>
      <c r="L22" s="634">
        <f>$K$6/L$40</f>
        <v>2.3659143948252259</v>
      </c>
      <c r="M22" s="634">
        <f>$K$6/M$40</f>
        <v>2.3236735883253599</v>
      </c>
      <c r="N22" s="634">
        <f>$K$6/N$40</f>
        <v>2.2371740451972233</v>
      </c>
      <c r="O22" s="634">
        <f>$K$6/O$40</f>
        <v>2.1205101900112919</v>
      </c>
      <c r="R22" s="607"/>
    </row>
    <row r="23" spans="2:18" ht="33" customHeight="1">
      <c r="B23" s="653" t="s">
        <v>1962</v>
      </c>
      <c r="C23" s="654" t="s">
        <v>1832</v>
      </c>
      <c r="D23" s="655" t="str">
        <f>D4</f>
        <v>FY25A</v>
      </c>
      <c r="E23" s="655" t="str">
        <f t="shared" ref="E23:G23" si="6">E4</f>
        <v>FY26E</v>
      </c>
      <c r="F23" s="655" t="str">
        <f t="shared" si="6"/>
        <v>FY27E</v>
      </c>
      <c r="G23" s="655" t="str">
        <f t="shared" si="6"/>
        <v>FY28E</v>
      </c>
      <c r="H23" s="608"/>
      <c r="I23" s="611" t="s">
        <v>1963</v>
      </c>
      <c r="J23" s="608"/>
      <c r="K23" s="634">
        <f>$K$6/K$41</f>
        <v>2.9109712365716631</v>
      </c>
      <c r="L23" s="634">
        <f>$K$6/L$41</f>
        <v>2.5136918591776758</v>
      </c>
      <c r="M23" s="634">
        <f>$K$6/M$41</f>
        <v>2.4908957620463781</v>
      </c>
      <c r="N23" s="634">
        <f>$K$6/N$41</f>
        <v>2.3969215653527307</v>
      </c>
      <c r="O23" s="634">
        <f>$K$6/O$41</f>
        <v>2.2642574881511468</v>
      </c>
    </row>
    <row r="24" spans="2:18" ht="33" customHeight="1">
      <c r="B24" s="611" t="s">
        <v>1899</v>
      </c>
      <c r="C24" s="610">
        <f>'Divisional Model'!BH102</f>
        <v>1208</v>
      </c>
      <c r="D24" s="610">
        <f>'Divisional Model'!BI102</f>
        <v>1610</v>
      </c>
      <c r="E24" s="610">
        <f>'Divisional Model'!BJ102</f>
        <v>2695.8317105388146</v>
      </c>
      <c r="F24" s="610">
        <f>'Divisional Model'!BK102</f>
        <v>1986.3144910911521</v>
      </c>
      <c r="G24" s="610">
        <f>'Divisional Model'!BL102</f>
        <v>2079.9598110228444</v>
      </c>
      <c r="H24" s="608"/>
      <c r="I24" s="611" t="s">
        <v>303</v>
      </c>
      <c r="J24" s="608"/>
      <c r="K24" s="635">
        <f>K$36/$K$6</f>
        <v>2.8808066258552395E-2</v>
      </c>
      <c r="L24" s="635">
        <f>L$36/$K$6</f>
        <v>2.9258192293842276E-2</v>
      </c>
      <c r="M24" s="635">
        <f>M$36/$K$6</f>
        <v>3.0608570399711918E-2</v>
      </c>
      <c r="N24" s="635">
        <f>N$36/$K$6</f>
        <v>3.4209578682030971E-2</v>
      </c>
      <c r="O24" s="635">
        <f>O$36/$K$6</f>
        <v>3.9160965070219655E-2</v>
      </c>
    </row>
    <row r="25" spans="2:18" ht="33" customHeight="1">
      <c r="B25" s="611" t="s">
        <v>1900</v>
      </c>
      <c r="C25" s="610">
        <f>'Divisional Model'!BH180</f>
        <v>1241</v>
      </c>
      <c r="D25" s="610">
        <f>'Divisional Model'!BI180</f>
        <v>1380</v>
      </c>
      <c r="E25" s="610">
        <f>'Divisional Model'!BJ180</f>
        <v>1528.9284103507532</v>
      </c>
      <c r="F25" s="610">
        <f>'Divisional Model'!BK180</f>
        <v>1647.8917062024291</v>
      </c>
      <c r="G25" s="610">
        <f>'Divisional Model'!BL180</f>
        <v>1861.950204915946</v>
      </c>
      <c r="H25" s="608"/>
      <c r="I25" s="633" t="s">
        <v>1964</v>
      </c>
      <c r="J25" s="608"/>
      <c r="K25" s="608"/>
      <c r="L25" s="611"/>
      <c r="M25" s="611"/>
      <c r="N25" s="611"/>
      <c r="O25" s="608"/>
    </row>
    <row r="26" spans="2:18" ht="33" customHeight="1">
      <c r="B26" s="611" t="s">
        <v>1901</v>
      </c>
      <c r="C26" s="610">
        <f>'Divisional Model'!BH256</f>
        <v>3213</v>
      </c>
      <c r="D26" s="610">
        <f>'Divisional Model'!BI256</f>
        <v>2829</v>
      </c>
      <c r="E26" s="610">
        <f>'Divisional Model'!BJ256</f>
        <v>3135.179410438539</v>
      </c>
      <c r="F26" s="610">
        <f>'Divisional Model'!BK256</f>
        <v>3464.0435950276042</v>
      </c>
      <c r="G26" s="610">
        <f>'Divisional Model'!BL256</f>
        <v>3783.8987346215599</v>
      </c>
      <c r="H26" s="608"/>
      <c r="I26" s="611" t="s">
        <v>1953</v>
      </c>
      <c r="J26" s="608"/>
      <c r="K26" s="634">
        <f>$O$6/K$32</f>
        <v>24.152624983488035</v>
      </c>
      <c r="L26" s="634">
        <f t="shared" ref="L26:O26" si="7">$O$6/L$32</f>
        <v>22.603980032260335</v>
      </c>
      <c r="M26" s="634">
        <f t="shared" si="7"/>
        <v>20.035788799344594</v>
      </c>
      <c r="N26" s="634">
        <f t="shared" si="7"/>
        <v>17.97210479798969</v>
      </c>
      <c r="O26" s="634">
        <f t="shared" si="7"/>
        <v>16.160238109377001</v>
      </c>
    </row>
    <row r="27" spans="2:18" ht="33" customHeight="1">
      <c r="B27" s="611" t="s">
        <v>1902</v>
      </c>
      <c r="C27" s="610">
        <f>'Divisional Model'!BH332</f>
        <v>1051</v>
      </c>
      <c r="D27" s="610">
        <f>'Divisional Model'!BI332</f>
        <v>1043</v>
      </c>
      <c r="E27" s="610">
        <f>'Divisional Model'!BJ332</f>
        <v>1419.596420066923</v>
      </c>
      <c r="F27" s="610">
        <f>'Divisional Model'!BK332</f>
        <v>1564.9234403373803</v>
      </c>
      <c r="G27" s="610">
        <f>'Divisional Model'!BL332</f>
        <v>1765.0083382010775</v>
      </c>
      <c r="H27" s="608"/>
      <c r="I27" s="611" t="s">
        <v>1961</v>
      </c>
      <c r="J27" s="608"/>
      <c r="K27" s="634">
        <f>$O$6/K$40</f>
        <v>2.4937585038249699</v>
      </c>
      <c r="L27" s="634">
        <f t="shared" ref="L27:O27" si="8">$O$6/L$40</f>
        <v>2.3575400942933191</v>
      </c>
      <c r="M27" s="634">
        <f t="shared" si="8"/>
        <v>2.3154488017442172</v>
      </c>
      <c r="N27" s="634">
        <f t="shared" si="8"/>
        <v>2.2292554291062778</v>
      </c>
      <c r="O27" s="634">
        <f t="shared" si="8"/>
        <v>2.1130045128612793</v>
      </c>
    </row>
    <row r="28" spans="2:18" ht="33" customHeight="1">
      <c r="B28" s="636" t="s">
        <v>1903</v>
      </c>
      <c r="C28" s="622">
        <f>'Divisional Model'!BH477</f>
        <v>-3191</v>
      </c>
      <c r="D28" s="622">
        <f>'Divisional Model'!BI477</f>
        <v>-3147</v>
      </c>
      <c r="E28" s="622">
        <f>'Divisional Model'!BJ477</f>
        <v>-4624.647895233561</v>
      </c>
      <c r="F28" s="622">
        <f>'Divisional Model'!BK477</f>
        <v>-4072.8395531333263</v>
      </c>
      <c r="G28" s="622">
        <f>'Divisional Model'!BL477</f>
        <v>-4415.6515703993609</v>
      </c>
      <c r="H28" s="608"/>
      <c r="I28" s="611" t="s">
        <v>1963</v>
      </c>
      <c r="J28" s="608"/>
      <c r="K28" s="634">
        <f>$O$6/K$41</f>
        <v>2.9006676735906414</v>
      </c>
      <c r="L28" s="634">
        <f t="shared" ref="L28:O28" si="9">$O$6/L$41</f>
        <v>2.5047944911581888</v>
      </c>
      <c r="M28" s="634">
        <f t="shared" si="9"/>
        <v>2.4820790822245495</v>
      </c>
      <c r="N28" s="634">
        <f t="shared" si="9"/>
        <v>2.3884375130203321</v>
      </c>
      <c r="O28" s="634">
        <f t="shared" si="9"/>
        <v>2.2562430085364693</v>
      </c>
    </row>
    <row r="29" spans="2:18" ht="33" customHeight="1">
      <c r="B29" s="615" t="s">
        <v>1965</v>
      </c>
      <c r="C29" s="623">
        <f>SUM(C24:C28)</f>
        <v>3522</v>
      </c>
      <c r="D29" s="623">
        <f t="shared" ref="D29:G29" si="10">SUM(D24:D28)</f>
        <v>3715</v>
      </c>
      <c r="E29" s="623">
        <f t="shared" si="10"/>
        <v>4154.8880561614687</v>
      </c>
      <c r="F29" s="623">
        <f t="shared" si="10"/>
        <v>4590.3336795252399</v>
      </c>
      <c r="G29" s="623">
        <f t="shared" si="10"/>
        <v>5075.1655183620678</v>
      </c>
      <c r="H29" s="608"/>
      <c r="I29" s="611" t="s">
        <v>303</v>
      </c>
      <c r="J29" s="608"/>
      <c r="K29" s="635">
        <f>K$36/$O$6</f>
        <v>2.8910396397147351E-2</v>
      </c>
      <c r="L29" s="635">
        <f t="shared" ref="L29:O29" si="11">L$36/$O$6</f>
        <v>2.9362121340852778E-2</v>
      </c>
      <c r="M29" s="635">
        <f t="shared" si="11"/>
        <v>3.0717296171969059E-2</v>
      </c>
      <c r="N29" s="635">
        <f t="shared" si="11"/>
        <v>3.4331095721612477E-2</v>
      </c>
      <c r="O29" s="635">
        <f t="shared" si="11"/>
        <v>3.930007010237218E-2</v>
      </c>
    </row>
    <row r="30" spans="2:18" ht="33" customHeight="1">
      <c r="B30" s="609"/>
      <c r="C30" s="611"/>
      <c r="D30" s="611"/>
      <c r="E30" s="611"/>
      <c r="F30" s="611"/>
      <c r="G30" s="611"/>
      <c r="H30" s="608"/>
      <c r="I30" s="611"/>
      <c r="J30" s="608"/>
      <c r="K30" s="608"/>
      <c r="L30" s="611"/>
      <c r="M30" s="611"/>
      <c r="N30" s="611"/>
      <c r="O30" s="608"/>
    </row>
    <row r="31" spans="2:18" ht="33" customHeight="1">
      <c r="B31" s="653" t="s">
        <v>1966</v>
      </c>
      <c r="C31" s="654" t="s">
        <v>1832</v>
      </c>
      <c r="D31" s="655" t="str">
        <f>D23</f>
        <v>FY25A</v>
      </c>
      <c r="E31" s="655" t="str">
        <f t="shared" ref="E31:G31" si="12">E23</f>
        <v>FY26E</v>
      </c>
      <c r="F31" s="655" t="str">
        <f t="shared" si="12"/>
        <v>FY27E</v>
      </c>
      <c r="G31" s="655" t="str">
        <f t="shared" si="12"/>
        <v>FY28E</v>
      </c>
      <c r="H31" s="608"/>
      <c r="I31" s="653" t="s">
        <v>1967</v>
      </c>
      <c r="J31" s="656"/>
      <c r="K31" s="654" t="s">
        <v>1832</v>
      </c>
      <c r="L31" s="655" t="str">
        <f>+L19</f>
        <v>FY25A</v>
      </c>
      <c r="M31" s="655" t="str">
        <f t="shared" ref="M31:O31" si="13">+M19</f>
        <v>FY26E</v>
      </c>
      <c r="N31" s="655" t="str">
        <f t="shared" si="13"/>
        <v>FY27E</v>
      </c>
      <c r="O31" s="655" t="str">
        <f t="shared" si="13"/>
        <v>FY28E</v>
      </c>
    </row>
    <row r="32" spans="2:18" ht="33" customHeight="1">
      <c r="B32" s="609" t="s">
        <v>42</v>
      </c>
      <c r="C32" s="610">
        <f>'Group Model'!BN385</f>
        <v>176371</v>
      </c>
      <c r="D32" s="610">
        <f>'Group Model'!BO385</f>
        <v>205648</v>
      </c>
      <c r="E32" s="610">
        <f>'Group Model'!BP385</f>
        <v>242927.20000000004</v>
      </c>
      <c r="F32" s="610">
        <f>'Group Model'!BQ385</f>
        <v>279223.12067499995</v>
      </c>
      <c r="G32" s="610">
        <f>'Group Model'!BR385</f>
        <v>309997.13012037257</v>
      </c>
      <c r="H32" s="608"/>
      <c r="I32" s="615" t="s">
        <v>1968</v>
      </c>
      <c r="J32" s="611"/>
      <c r="K32" s="637">
        <f>'Group Model'!BN472</f>
        <v>9.1656145479840045</v>
      </c>
      <c r="L32" s="637">
        <f>'Group Model'!BO472</f>
        <v>9.7935695662762061</v>
      </c>
      <c r="M32" s="637">
        <f>'Group Model'!BP472</f>
        <v>11.048911182768176</v>
      </c>
      <c r="N32" s="637">
        <f>'Group Model'!BQ472</f>
        <v>12.317625197991395</v>
      </c>
      <c r="O32" s="637">
        <f>'Group Model'!BR472</f>
        <v>13.698662694345295</v>
      </c>
    </row>
    <row r="33" spans="2:15" ht="33" customHeight="1">
      <c r="B33" s="638" t="s">
        <v>636</v>
      </c>
      <c r="C33" s="611"/>
      <c r="D33" s="639">
        <f>(D32/C32)-1</f>
        <v>0.16599667745831237</v>
      </c>
      <c r="E33" s="639">
        <f t="shared" ref="E33:G33" si="14">(E32/D32)-1</f>
        <v>0.18127674472885724</v>
      </c>
      <c r="F33" s="639">
        <f t="shared" si="14"/>
        <v>0.14941069042494992</v>
      </c>
      <c r="G33" s="639">
        <f t="shared" si="14"/>
        <v>0.11021297008277431</v>
      </c>
      <c r="H33" s="608"/>
      <c r="I33" s="638" t="s">
        <v>636</v>
      </c>
      <c r="J33" s="611"/>
      <c r="K33" s="611"/>
      <c r="L33" s="639">
        <f>(L32/K32)-1</f>
        <v>6.8512047392427444E-2</v>
      </c>
      <c r="M33" s="639">
        <f t="shared" ref="M33:O33" si="15">(M32/L32)-1</f>
        <v>0.12818019088920263</v>
      </c>
      <c r="N33" s="639">
        <f t="shared" si="15"/>
        <v>0.11482706252557251</v>
      </c>
      <c r="O33" s="639">
        <f t="shared" si="15"/>
        <v>0.11211881139061619</v>
      </c>
    </row>
    <row r="34" spans="2:15" ht="33" customHeight="1">
      <c r="B34" s="609" t="s">
        <v>174</v>
      </c>
      <c r="C34" s="610">
        <f>'Group Model'!BN402</f>
        <v>403404</v>
      </c>
      <c r="D34" s="610">
        <f>'Group Model'!BO402</f>
        <v>445221</v>
      </c>
      <c r="E34" s="610">
        <f>'Group Model'!BP402</f>
        <v>513802.11176721903</v>
      </c>
      <c r="F34" s="610">
        <f>'Group Model'!BQ402</f>
        <v>570500.5610841692</v>
      </c>
      <c r="G34" s="610">
        <f>'Group Model'!BR402</f>
        <v>616593.56907000195</v>
      </c>
      <c r="H34" s="608"/>
      <c r="I34" s="615" t="s">
        <v>1969</v>
      </c>
      <c r="J34" s="611"/>
      <c r="K34" s="637">
        <f>'Group Model'!BN474</f>
        <v>9.1140532545455262</v>
      </c>
      <c r="L34" s="637">
        <f>'Group Model'!BO474</f>
        <v>9.7549480519121605</v>
      </c>
      <c r="M34" s="637">
        <f>'Group Model'!BP474</f>
        <v>10.955310409977953</v>
      </c>
      <c r="N34" s="637">
        <f>'Group Model'!BQ474</f>
        <v>12.191087646398307</v>
      </c>
      <c r="O34" s="637">
        <f>'Group Model'!BR474</f>
        <v>13.536357906578234</v>
      </c>
    </row>
    <row r="35" spans="2:15" ht="33" customHeight="1">
      <c r="B35" s="638" t="s">
        <v>636</v>
      </c>
      <c r="C35" s="611"/>
      <c r="D35" s="639">
        <f>(D34/C34)-1</f>
        <v>0.10366035041794319</v>
      </c>
      <c r="E35" s="639">
        <f t="shared" ref="E35:G35" si="16">(E34/D34)-1</f>
        <v>0.15403835795530552</v>
      </c>
      <c r="F35" s="639">
        <f t="shared" si="16"/>
        <v>0.11035075181364329</v>
      </c>
      <c r="G35" s="639">
        <f t="shared" si="16"/>
        <v>8.0793974852958028E-2</v>
      </c>
      <c r="H35" s="608"/>
      <c r="I35" s="638" t="s">
        <v>636</v>
      </c>
      <c r="J35" s="608"/>
      <c r="K35" s="611"/>
      <c r="L35" s="639">
        <f>(L34/K34)-1</f>
        <v>7.0319404491848481E-2</v>
      </c>
      <c r="M35" s="639">
        <f t="shared" ref="M35:O35" si="17">(M34/L34)-1</f>
        <v>0.12305164022175363</v>
      </c>
      <c r="N35" s="639">
        <f t="shared" si="17"/>
        <v>0.11280166331889818</v>
      </c>
      <c r="O35" s="639">
        <f t="shared" si="17"/>
        <v>0.11034866610752059</v>
      </c>
    </row>
    <row r="36" spans="2:15" ht="33" customHeight="1">
      <c r="B36" s="609" t="s">
        <v>182</v>
      </c>
      <c r="C36" s="610">
        <f>'Group Model'!BN423</f>
        <v>148416</v>
      </c>
      <c r="D36" s="610">
        <f>'Group Model'!BO423</f>
        <v>177671</v>
      </c>
      <c r="E36" s="610">
        <f>'Group Model'!BP423</f>
        <v>215523.27450446435</v>
      </c>
      <c r="F36" s="610">
        <f>'Group Model'!BQ423</f>
        <v>247724.06028018464</v>
      </c>
      <c r="G36" s="610">
        <f>'Group Model'!BR423</f>
        <v>275026.0780284655</v>
      </c>
      <c r="H36" s="608"/>
      <c r="I36" s="615" t="s">
        <v>1970</v>
      </c>
      <c r="J36" s="608"/>
      <c r="K36" s="637">
        <f>'Group Model'!BN477</f>
        <v>6.4</v>
      </c>
      <c r="L36" s="637">
        <f>'Group Model'!BO477</f>
        <v>6.5</v>
      </c>
      <c r="M36" s="637">
        <f>'Group Model'!BP477</f>
        <v>6.8</v>
      </c>
      <c r="N36" s="637">
        <f>'Group Model'!BQ477</f>
        <v>7.6</v>
      </c>
      <c r="O36" s="637">
        <f>'Group Model'!BR477</f>
        <v>8.6999999999999993</v>
      </c>
    </row>
    <row r="37" spans="2:15" ht="33" customHeight="1">
      <c r="B37" s="638" t="s">
        <v>636</v>
      </c>
      <c r="C37" s="611"/>
      <c r="D37" s="639">
        <f>(D36/C36)-1</f>
        <v>0.1971148663216904</v>
      </c>
      <c r="E37" s="639">
        <f t="shared" ref="E37:G37" si="18">(E36/D36)-1</f>
        <v>0.21304700544525756</v>
      </c>
      <c r="F37" s="639">
        <f t="shared" si="18"/>
        <v>0.14940746353152345</v>
      </c>
      <c r="G37" s="639">
        <f t="shared" si="18"/>
        <v>0.11021140908719684</v>
      </c>
      <c r="H37" s="608"/>
      <c r="I37" s="638" t="s">
        <v>636</v>
      </c>
      <c r="J37" s="608"/>
      <c r="K37" s="611" t="s">
        <v>1971</v>
      </c>
      <c r="L37" s="639">
        <f>(L36/K36)-1</f>
        <v>1.5625E-2</v>
      </c>
      <c r="M37" s="639">
        <f t="shared" ref="M37:O37" si="19">(M36/L36)-1</f>
        <v>4.6153846153846212E-2</v>
      </c>
      <c r="N37" s="639">
        <f t="shared" si="19"/>
        <v>0.11764705882352944</v>
      </c>
      <c r="O37" s="639">
        <f t="shared" si="19"/>
        <v>0.14473684210526305</v>
      </c>
    </row>
    <row r="38" spans="2:15" ht="33" customHeight="1">
      <c r="B38" s="609" t="s">
        <v>1972</v>
      </c>
      <c r="C38" s="610">
        <f>'Group Model'!BN101</f>
        <v>33996</v>
      </c>
      <c r="D38" s="610">
        <f>'Group Model'!BO101</f>
        <v>35789</v>
      </c>
      <c r="E38" s="610">
        <f>'Group Model'!BP101</f>
        <v>36300.542368671689</v>
      </c>
      <c r="F38" s="610">
        <f>'Group Model'!BQ101</f>
        <v>37433.629642974913</v>
      </c>
      <c r="G38" s="610">
        <f>'Group Model'!BR101</f>
        <v>39493.11116224483</v>
      </c>
      <c r="H38" s="608"/>
      <c r="I38" s="611" t="s">
        <v>1973</v>
      </c>
      <c r="J38" s="608"/>
      <c r="K38" s="640">
        <f>K36/K32</f>
        <v>0.69826196230428361</v>
      </c>
      <c r="L38" s="640">
        <f t="shared" ref="L38:O38" si="20">L36/L32</f>
        <v>0.66370080449344115</v>
      </c>
      <c r="M38" s="640">
        <f t="shared" si="20"/>
        <v>0.61544525858848831</v>
      </c>
      <c r="N38" s="640">
        <f t="shared" si="20"/>
        <v>0.61700205013863496</v>
      </c>
      <c r="O38" s="640">
        <f t="shared" si="20"/>
        <v>0.63509849056954248</v>
      </c>
    </row>
    <row r="39" spans="2:15" ht="33" customHeight="1">
      <c r="B39" s="638" t="s">
        <v>636</v>
      </c>
      <c r="C39" s="611"/>
      <c r="D39" s="639">
        <f>(D38/C38)-1</f>
        <v>5.274149899988223E-2</v>
      </c>
      <c r="E39" s="639">
        <f t="shared" ref="E39:G39" si="21">(E38/D38)-1</f>
        <v>1.4293284771066173E-2</v>
      </c>
      <c r="F39" s="639">
        <f t="shared" si="21"/>
        <v>3.1214059084723411E-2</v>
      </c>
      <c r="G39" s="639">
        <f t="shared" si="21"/>
        <v>5.5016880246781419E-2</v>
      </c>
      <c r="H39" s="608"/>
      <c r="I39" s="614" t="s">
        <v>640</v>
      </c>
      <c r="J39" s="608"/>
      <c r="K39" s="641">
        <f>'Group Model'!BN39</f>
        <v>0.39999999999999997</v>
      </c>
      <c r="L39" s="641">
        <f>'Group Model'!BO39</f>
        <v>0.35</v>
      </c>
      <c r="M39" s="641">
        <f>'Group Model'!BP39</f>
        <v>0.35</v>
      </c>
      <c r="N39" s="641">
        <f>'Group Model'!BQ39</f>
        <v>0.35000000000000003</v>
      </c>
      <c r="O39" s="641">
        <f>'Group Model'!BR39</f>
        <v>0.35000000000000003</v>
      </c>
    </row>
    <row r="40" spans="2:15" ht="33" customHeight="1">
      <c r="B40" s="642" t="s">
        <v>1974</v>
      </c>
      <c r="C40" s="611"/>
      <c r="D40" s="611"/>
      <c r="E40" s="611"/>
      <c r="F40" s="611"/>
      <c r="G40" s="611"/>
      <c r="H40" s="608"/>
      <c r="I40" s="615" t="s">
        <v>460</v>
      </c>
      <c r="J40" s="611"/>
      <c r="K40" s="637">
        <f>'Group Model'!BN466</f>
        <v>88.771086126067587</v>
      </c>
      <c r="L40" s="637">
        <f>'Group Model'!BO466</f>
        <v>93.900269800933074</v>
      </c>
      <c r="M40" s="637">
        <f>'Group Model'!BP466</f>
        <v>95.607232063995568</v>
      </c>
      <c r="N40" s="637">
        <f>'Group Model'!BQ466</f>
        <v>99.303851873721769</v>
      </c>
      <c r="O40" s="637">
        <f>'Group Model'!BR466</f>
        <v>104.76724000030246</v>
      </c>
    </row>
    <row r="41" spans="2:15" ht="33" customHeight="1">
      <c r="B41" s="643" t="s">
        <v>572</v>
      </c>
      <c r="C41" s="610">
        <f>'Group Model'!BN304-'Group Model'!BN281</f>
        <v>20154</v>
      </c>
      <c r="D41" s="610">
        <f>'Group Model'!BO304-'Group Model'!BO281</f>
        <v>21746</v>
      </c>
      <c r="E41" s="610">
        <f>'Group Model'!BP304-'Group Model'!BP281</f>
        <v>22297.701218939597</v>
      </c>
      <c r="F41" s="610">
        <f>'Group Model'!BQ304-'Group Model'!BQ281</f>
        <v>23027.561594599338</v>
      </c>
      <c r="G41" s="610">
        <f>'Group Model'!BR304-'Group Model'!BR281</f>
        <v>24667.790049826654</v>
      </c>
      <c r="H41" s="608"/>
      <c r="I41" s="615" t="s">
        <v>1975</v>
      </c>
      <c r="J41" s="611"/>
      <c r="K41" s="637">
        <f>'Group Model'!BN467</f>
        <v>76.318170790874731</v>
      </c>
      <c r="L41" s="637">
        <f>'Group Model'!BO467</f>
        <v>88.379965582844747</v>
      </c>
      <c r="M41" s="637">
        <f>'Group Model'!BP467</f>
        <v>89.188798417435976</v>
      </c>
      <c r="N41" s="637">
        <f>'Group Model'!BQ467</f>
        <v>92.685552673604889</v>
      </c>
      <c r="O41" s="637">
        <f>'Group Model'!BR467</f>
        <v>98.116049593547856</v>
      </c>
    </row>
    <row r="42" spans="2:15" ht="33" customHeight="1">
      <c r="B42" s="644" t="s">
        <v>1976</v>
      </c>
      <c r="C42" s="622">
        <f>'Group Model'!BN318</f>
        <v>13538.49</v>
      </c>
      <c r="D42" s="622">
        <f>'Group Model'!BO318</f>
        <v>15683.01</v>
      </c>
      <c r="E42" s="622">
        <f>'Group Model'!BP318</f>
        <v>17708.086345877538</v>
      </c>
      <c r="F42" s="622">
        <f>'Group Model'!BQ318</f>
        <v>18197.662657789668</v>
      </c>
      <c r="G42" s="622">
        <f>'Group Model'!BR318</f>
        <v>19222.069024329685</v>
      </c>
      <c r="H42" s="608"/>
      <c r="I42" s="611" t="s">
        <v>1942</v>
      </c>
      <c r="J42" s="611"/>
      <c r="K42" s="610">
        <f>'Group Model'!BN103</f>
        <v>382.96253300000001</v>
      </c>
      <c r="L42" s="610">
        <f>'Group Model'!BO103</f>
        <v>381.13841500000001</v>
      </c>
      <c r="M42" s="610">
        <f>'Group Model'!BP103</f>
        <v>379.68406348563246</v>
      </c>
      <c r="N42" s="610">
        <f>'Group Model'!BQ103</f>
        <v>376.96049988651816</v>
      </c>
      <c r="O42" s="610">
        <f>'Group Model'!BR103</f>
        <v>376.96049988651816</v>
      </c>
    </row>
    <row r="43" spans="2:15" ht="33" customHeight="1">
      <c r="B43" s="645" t="s">
        <v>1977</v>
      </c>
      <c r="C43" s="623">
        <f>C41-C42</f>
        <v>6615.51</v>
      </c>
      <c r="D43" s="623">
        <f t="shared" ref="D43:G43" si="22">D41-D42</f>
        <v>6062.99</v>
      </c>
      <c r="E43" s="623">
        <f t="shared" si="22"/>
        <v>4589.6148730620589</v>
      </c>
      <c r="F43" s="623">
        <f t="shared" si="22"/>
        <v>4829.89893680967</v>
      </c>
      <c r="G43" s="623">
        <f t="shared" si="22"/>
        <v>5445.7210254969687</v>
      </c>
      <c r="H43" s="608"/>
      <c r="I43" s="608"/>
      <c r="J43" s="608"/>
      <c r="K43" s="611"/>
      <c r="L43" s="611"/>
      <c r="M43" s="611"/>
      <c r="N43" s="611"/>
      <c r="O43" s="611"/>
    </row>
    <row r="44" spans="2:15" ht="33" customHeight="1">
      <c r="B44" s="643" t="s">
        <v>573</v>
      </c>
      <c r="C44" s="610">
        <f>'Group Model'!BN307</f>
        <v>15542</v>
      </c>
      <c r="D44" s="610">
        <f>'Group Model'!BO307</f>
        <v>16300</v>
      </c>
      <c r="E44" s="610">
        <f>'Group Model'!BP307</f>
        <v>15906.308473734338</v>
      </c>
      <c r="F44" s="610">
        <f>'Group Model'!BQ307</f>
        <v>16019.617201164659</v>
      </c>
      <c r="G44" s="610">
        <f>'Group Model'!BR307</f>
        <v>16225.565353091653</v>
      </c>
      <c r="H44" s="608"/>
      <c r="I44" s="656" t="s">
        <v>327</v>
      </c>
      <c r="J44" s="656"/>
      <c r="K44" s="654" t="s">
        <v>1832</v>
      </c>
      <c r="L44" s="655" t="str">
        <f>L31</f>
        <v>FY25A</v>
      </c>
      <c r="M44" s="655" t="str">
        <f t="shared" ref="M44:O44" si="23">M31</f>
        <v>FY26E</v>
      </c>
      <c r="N44" s="655" t="str">
        <f t="shared" si="23"/>
        <v>FY27E</v>
      </c>
      <c r="O44" s="655" t="str">
        <f t="shared" si="23"/>
        <v>FY28E</v>
      </c>
    </row>
    <row r="45" spans="2:15" ht="33" customHeight="1">
      <c r="B45" s="644" t="s">
        <v>574</v>
      </c>
      <c r="C45" s="622">
        <f>'Group Model'!BN337</f>
        <v>11492</v>
      </c>
      <c r="D45" s="622">
        <f>'Group Model'!BO337</f>
        <v>12816</v>
      </c>
      <c r="E45" s="622">
        <f>'Group Model'!BP337</f>
        <v>14378.122233639282</v>
      </c>
      <c r="F45" s="622">
        <f>'Group Model'!BQ337</f>
        <v>15497.054575049971</v>
      </c>
      <c r="G45" s="622">
        <f>'Group Model'!BR337</f>
        <v>16129.514897598849</v>
      </c>
      <c r="H45" s="608"/>
      <c r="I45" s="615" t="s">
        <v>1978</v>
      </c>
      <c r="J45" s="608"/>
      <c r="K45" s="611"/>
      <c r="L45" s="611"/>
      <c r="M45" s="611"/>
      <c r="N45" s="611"/>
      <c r="O45" s="611"/>
    </row>
    <row r="46" spans="2:15" ht="33" customHeight="1">
      <c r="B46" s="645" t="s">
        <v>575</v>
      </c>
      <c r="C46" s="646">
        <f>C44-C45</f>
        <v>4050</v>
      </c>
      <c r="D46" s="646">
        <f t="shared" ref="D46:G46" si="24">D44-D45</f>
        <v>3484</v>
      </c>
      <c r="E46" s="646">
        <f t="shared" si="24"/>
        <v>1528.1862400950558</v>
      </c>
      <c r="F46" s="646">
        <f t="shared" si="24"/>
        <v>522.5626261146881</v>
      </c>
      <c r="G46" s="646">
        <f t="shared" si="24"/>
        <v>96.050455492804758</v>
      </c>
      <c r="H46" s="608"/>
      <c r="I46" s="611" t="s">
        <v>518</v>
      </c>
      <c r="J46" s="608"/>
      <c r="K46" s="639">
        <f>'Group Model'!BN520</f>
        <v>0.10519399062154655</v>
      </c>
      <c r="L46" s="639">
        <f>'Group Model'!BO520</f>
        <v>0.10507410340536259</v>
      </c>
      <c r="M46" s="639">
        <f>'Group Model'!BP520</f>
        <v>0.11648932839877649</v>
      </c>
      <c r="N46" s="639">
        <f>'Group Model'!BQ520</f>
        <v>0.12473519404583105</v>
      </c>
      <c r="O46" s="639">
        <f>'Group Model'!BR520</f>
        <v>0.13060090068123431</v>
      </c>
    </row>
    <row r="47" spans="2:15" ht="33" customHeight="1">
      <c r="B47" s="645" t="s">
        <v>576</v>
      </c>
      <c r="C47" s="623">
        <f>SUM(C43,C46)</f>
        <v>10665.51</v>
      </c>
      <c r="D47" s="623">
        <f t="shared" ref="D47:G47" si="25">SUM(D43,D46)</f>
        <v>9546.99</v>
      </c>
      <c r="E47" s="623">
        <f t="shared" si="25"/>
        <v>6117.8011131571147</v>
      </c>
      <c r="F47" s="623">
        <f t="shared" si="25"/>
        <v>5352.4615629243581</v>
      </c>
      <c r="G47" s="623">
        <f t="shared" si="25"/>
        <v>5541.7714809897734</v>
      </c>
      <c r="H47" s="608"/>
      <c r="I47" s="611" t="s">
        <v>382</v>
      </c>
      <c r="J47" s="608"/>
      <c r="K47" s="639">
        <f>'Group Model'!BN522</f>
        <v>0.12050501248845245</v>
      </c>
      <c r="L47" s="639">
        <f>'Group Model'!BO522</f>
        <v>0.11028647766067982</v>
      </c>
      <c r="M47" s="639">
        <f>'Group Model'!BP522</f>
        <v>0.1226949379670479</v>
      </c>
      <c r="N47" s="639">
        <f>'Group Model'!BQ522</f>
        <v>0.13138215094275849</v>
      </c>
      <c r="O47" s="639">
        <f>'Group Model'!BR522</f>
        <v>0.13721901954220164</v>
      </c>
    </row>
    <row r="48" spans="2:15" ht="33" customHeight="1">
      <c r="B48" s="608"/>
      <c r="C48" s="611"/>
      <c r="D48" s="611"/>
      <c r="E48" s="611"/>
      <c r="F48" s="611"/>
      <c r="G48" s="611"/>
      <c r="H48" s="608"/>
      <c r="I48" s="611" t="s">
        <v>1979</v>
      </c>
      <c r="J48" s="608"/>
      <c r="K48" s="647">
        <f>'Group Model'!BN525</f>
        <v>8.7307017282922325E-3</v>
      </c>
      <c r="L48" s="647">
        <f>'Group Model'!BO525</f>
        <v>8.3441706478355696E-3</v>
      </c>
      <c r="M48" s="647">
        <f>'Group Model'!BP525</f>
        <v>8.0865530931174268E-3</v>
      </c>
      <c r="N48" s="647">
        <f>'Group Model'!BQ525</f>
        <v>8.0461510341056433E-3</v>
      </c>
      <c r="O48" s="647">
        <f>'Group Model'!BR525</f>
        <v>8.2309738098904472E-3</v>
      </c>
    </row>
    <row r="49" spans="2:15" ht="33" customHeight="1">
      <c r="B49" s="653" t="s">
        <v>1980</v>
      </c>
      <c r="C49" s="654" t="s">
        <v>1981</v>
      </c>
      <c r="D49" s="655" t="s">
        <v>1987</v>
      </c>
      <c r="E49" s="655" t="s">
        <v>1789</v>
      </c>
      <c r="F49" s="655" t="s">
        <v>1808</v>
      </c>
      <c r="G49" s="655" t="s">
        <v>1809</v>
      </c>
      <c r="H49" s="608"/>
      <c r="I49" s="615" t="s">
        <v>1982</v>
      </c>
      <c r="J49" s="608"/>
      <c r="K49" s="611"/>
      <c r="L49" s="611"/>
      <c r="M49" s="611"/>
      <c r="N49" s="611"/>
      <c r="O49" s="611"/>
    </row>
    <row r="50" spans="2:15" ht="33" customHeight="1">
      <c r="B50" s="611" t="s">
        <v>1899</v>
      </c>
      <c r="C50" s="610">
        <f>'Divisional Model'!AH102</f>
        <v>926</v>
      </c>
      <c r="D50" s="610">
        <f>'Divisional Model'!AI102</f>
        <v>1175</v>
      </c>
      <c r="E50" s="610">
        <f>'Divisional Model'!AJ102</f>
        <v>1520.8317105388146</v>
      </c>
      <c r="F50" s="610">
        <f>'Divisional Model'!AK102</f>
        <v>957.81852891530036</v>
      </c>
      <c r="G50" s="610">
        <f>'Divisional Model'!AL102</f>
        <v>1028.4959621758512</v>
      </c>
      <c r="H50" s="608"/>
      <c r="I50" s="611" t="s">
        <v>1983</v>
      </c>
      <c r="J50" s="608"/>
      <c r="K50" s="648">
        <f>'Group Model'!BN534</f>
        <v>0.71421803754367263</v>
      </c>
      <c r="L50" s="648">
        <f>'Group Model'!BO534</f>
        <v>0.70548582054858211</v>
      </c>
      <c r="M50" s="648">
        <f>'Group Model'!BP534</f>
        <v>0.67527464389229275</v>
      </c>
      <c r="N50" s="648">
        <f>'Group Model'!BQ534</f>
        <v>0.66410454001655805</v>
      </c>
      <c r="O50" s="648">
        <f>'Group Model'!BR534</f>
        <v>0.64905656020401825</v>
      </c>
    </row>
    <row r="51" spans="2:15" ht="33" customHeight="1">
      <c r="B51" s="611" t="s">
        <v>1900</v>
      </c>
      <c r="C51" s="610">
        <f>'Divisional Model'!AH180</f>
        <v>730</v>
      </c>
      <c r="D51" s="610">
        <f>'Divisional Model'!AI180</f>
        <v>793</v>
      </c>
      <c r="E51" s="610">
        <f>'Divisional Model'!AJ180</f>
        <v>735.92841035075253</v>
      </c>
      <c r="F51" s="610">
        <f>'Divisional Model'!AK180</f>
        <v>797.61980688231813</v>
      </c>
      <c r="G51" s="610">
        <f>'Divisional Model'!AL180</f>
        <v>850.27189932011072</v>
      </c>
      <c r="H51" s="608"/>
      <c r="I51" s="611" t="s">
        <v>1984</v>
      </c>
      <c r="J51" s="608"/>
      <c r="K51" s="648">
        <f>-C17/C16</f>
        <v>0.26750932449233322</v>
      </c>
      <c r="L51" s="648">
        <f t="shared" ref="L51:O51" si="26">-D17/D16</f>
        <v>0.26164167324388321</v>
      </c>
      <c r="M51" s="648">
        <f t="shared" si="26"/>
        <v>0.30584118750823874</v>
      </c>
      <c r="N51" s="648">
        <f t="shared" si="26"/>
        <v>0.26415959258560145</v>
      </c>
      <c r="O51" s="648">
        <f t="shared" si="26"/>
        <v>0.26371211109782777</v>
      </c>
    </row>
    <row r="52" spans="2:15" ht="33" customHeight="1">
      <c r="B52" s="611" t="s">
        <v>1901</v>
      </c>
      <c r="C52" s="610">
        <f>'Divisional Model'!AH256</f>
        <v>1513</v>
      </c>
      <c r="D52" s="610">
        <f>'Divisional Model'!AI256</f>
        <v>1113</v>
      </c>
      <c r="E52" s="610">
        <f>'Divisional Model'!AJ256</f>
        <v>2022.1794104385385</v>
      </c>
      <c r="F52" s="610">
        <f>'Divisional Model'!AK256</f>
        <v>1587.6138251223372</v>
      </c>
      <c r="G52" s="610">
        <f>'Divisional Model'!AL256</f>
        <v>1876.4297699052672</v>
      </c>
      <c r="H52" s="608"/>
      <c r="I52" s="611" t="s">
        <v>1985</v>
      </c>
      <c r="J52" s="608"/>
      <c r="K52" s="610">
        <f>'Group Model'!BN536</f>
        <v>171074.68123861565</v>
      </c>
      <c r="L52" s="610">
        <f>'Group Model'!BO536</f>
        <v>188244.23612870532</v>
      </c>
      <c r="M52" s="610">
        <f>'Group Model'!BP536</f>
        <v>217330.96138093932</v>
      </c>
      <c r="N52" s="610">
        <f>'Group Model'!BQ536</f>
        <v>238359.21533329188</v>
      </c>
      <c r="O52" s="610">
        <f>'Group Model'!BR536</f>
        <v>261598.8668898654</v>
      </c>
    </row>
    <row r="53" spans="2:15" ht="33" customHeight="1">
      <c r="B53" s="611" t="s">
        <v>1902</v>
      </c>
      <c r="C53" s="610">
        <f>'Divisional Model'!AH332</f>
        <v>672</v>
      </c>
      <c r="D53" s="610">
        <f>'Divisional Model'!AI332</f>
        <v>711</v>
      </c>
      <c r="E53" s="610">
        <f>'Divisional Model'!AJ332</f>
        <v>708.5964200669232</v>
      </c>
      <c r="F53" s="610">
        <f>'Divisional Model'!AK332</f>
        <v>766.25634906960477</v>
      </c>
      <c r="G53" s="610">
        <f>'Divisional Model'!AL332</f>
        <v>798.66709126777573</v>
      </c>
      <c r="H53" s="608"/>
      <c r="I53" s="615" t="s">
        <v>100</v>
      </c>
      <c r="J53" s="608"/>
      <c r="K53" s="611"/>
      <c r="L53" s="611"/>
      <c r="M53" s="611"/>
      <c r="N53" s="611"/>
      <c r="O53" s="611"/>
    </row>
    <row r="54" spans="2:15" ht="33" customHeight="1">
      <c r="B54" s="636" t="s">
        <v>1903</v>
      </c>
      <c r="C54" s="622">
        <f>'Divisional Model'!AH477</f>
        <v>-1738</v>
      </c>
      <c r="D54" s="622">
        <f>'Divisional Model'!AI477</f>
        <v>-2137</v>
      </c>
      <c r="E54" s="622">
        <f>'Divisional Model'!AJ477</f>
        <v>-2487.647895233561</v>
      </c>
      <c r="F54" s="622">
        <f>'Divisional Model'!AK477</f>
        <v>-1980.2185537826351</v>
      </c>
      <c r="G54" s="622">
        <f>'Divisional Model'!AL477</f>
        <v>-2092.6209993506909</v>
      </c>
      <c r="H54" s="608"/>
      <c r="I54" s="611" t="s">
        <v>1986</v>
      </c>
      <c r="J54" s="608"/>
      <c r="K54" s="648">
        <f>'Group Model'!BN574</f>
        <v>0.13733732491585102</v>
      </c>
      <c r="L54" s="648">
        <f>'Group Model'!BO574</f>
        <v>0.12888150935311524</v>
      </c>
      <c r="M54" s="648">
        <f>'Group Model'!BP574</f>
        <v>0.11780542443957</v>
      </c>
      <c r="N54" s="648">
        <f>'Group Model'!BQ574</f>
        <v>0.11884734914058585</v>
      </c>
      <c r="O54" s="648">
        <f>'Group Model'!BR574</f>
        <v>0.12147328949221813</v>
      </c>
    </row>
    <row r="55" spans="2:15" ht="33" customHeight="1">
      <c r="B55" s="649" t="s">
        <v>1965</v>
      </c>
      <c r="C55" s="650">
        <f>SUM(C50:C54)</f>
        <v>2103</v>
      </c>
      <c r="D55" s="650">
        <f t="shared" ref="D55:G55" si="27">SUM(D50:D54)</f>
        <v>1655</v>
      </c>
      <c r="E55" s="650">
        <f t="shared" si="27"/>
        <v>2499.8880561614678</v>
      </c>
      <c r="F55" s="650">
        <f t="shared" si="27"/>
        <v>2129.0899562069253</v>
      </c>
      <c r="G55" s="650">
        <f t="shared" si="27"/>
        <v>2461.2437233183136</v>
      </c>
      <c r="H55" s="651"/>
      <c r="I55" s="652"/>
      <c r="J55" s="651"/>
      <c r="K55" s="651"/>
      <c r="L55" s="651"/>
      <c r="M55" s="651"/>
      <c r="N55" s="651"/>
      <c r="O55" s="651"/>
    </row>
    <row r="56" spans="2:15">
      <c r="I56" s="1"/>
    </row>
    <row r="61" spans="2:15">
      <c r="B61" s="1"/>
      <c r="C61" s="1"/>
      <c r="D61" s="1"/>
      <c r="E61" s="1"/>
      <c r="F61" s="1"/>
      <c r="G61" s="1"/>
    </row>
    <row r="62" spans="2:15">
      <c r="B62" s="1"/>
      <c r="C62" s="1"/>
      <c r="D62" s="1"/>
      <c r="E62" s="1"/>
      <c r="F62" s="1"/>
      <c r="G62" s="1"/>
    </row>
  </sheetData>
  <mergeCells count="9">
    <mergeCell ref="M8:N8"/>
    <mergeCell ref="M9:N9"/>
    <mergeCell ref="I19:J19"/>
    <mergeCell ref="B2:H2"/>
    <mergeCell ref="I2:O2"/>
    <mergeCell ref="I4:O4"/>
    <mergeCell ref="M5:N5"/>
    <mergeCell ref="M6:N6"/>
    <mergeCell ref="M7:N7"/>
  </mergeCells>
  <printOptions horizontalCentered="1" verticalCentered="1"/>
  <pageMargins left="0.7" right="0.7" top="0.75" bottom="0.75" header="0.3" footer="0.3"/>
  <pageSetup paperSize="0" scale="12" orientation="portrait" r:id="rId1"/>
  <customProperties>
    <customPr name="Qube.Worksheet.Visibility" r:id="rId2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65972-1B72-4A04-B0C0-761C189115C0}">
  <dimension ref="A1:AS80"/>
  <sheetViews>
    <sheetView tabSelected="1" zoomScale="85" zoomScaleNormal="85" workbookViewId="0">
      <pane xSplit="2" ySplit="3" topLeftCell="O4" activePane="bottomRight" state="frozen"/>
      <selection pane="topRight" activeCell="C1" sqref="C1"/>
      <selection pane="bottomLeft" activeCell="A4" sqref="A4"/>
      <selection pane="bottomRight" activeCell="V10" sqref="V10"/>
    </sheetView>
  </sheetViews>
  <sheetFormatPr defaultColWidth="10.28515625" defaultRowHeight="15" outlineLevelCol="1"/>
  <cols>
    <col min="1" max="1" width="10.28515625" style="579"/>
    <col min="2" max="2" width="55" style="582" bestFit="1" customWidth="1"/>
    <col min="3" max="14" width="10.28515625" style="582" hidden="1" customWidth="1" outlineLevel="1"/>
    <col min="15" max="15" width="10.28515625" style="582" collapsed="1"/>
    <col min="16" max="31" width="10.28515625" style="582"/>
    <col min="32" max="37" width="10.28515625" style="582" hidden="1" customWidth="1" outlineLevel="1"/>
    <col min="38" max="38" width="10.28515625" style="582" collapsed="1"/>
    <col min="39" max="16384" width="10.28515625" style="582"/>
  </cols>
  <sheetData>
    <row r="1" spans="1:45" s="579" customFormat="1" ht="12.75"/>
    <row r="2" spans="1:45" s="579" customFormat="1" ht="12.75">
      <c r="C2" s="4" t="str">
        <f>'Group Model'!R1</f>
        <v>1H17A</v>
      </c>
      <c r="D2" s="4" t="str">
        <f>'Group Model'!S1</f>
        <v>2H17A</v>
      </c>
      <c r="E2" s="4" t="str">
        <f>'Group Model'!T1</f>
        <v>1H18A</v>
      </c>
      <c r="F2" s="4" t="str">
        <f>'Group Model'!U1</f>
        <v>2H18A</v>
      </c>
      <c r="G2" s="4" t="str">
        <f>'Group Model'!V1</f>
        <v>1H19A</v>
      </c>
      <c r="H2" s="4" t="str">
        <f>'Group Model'!W1</f>
        <v>2H19A</v>
      </c>
      <c r="I2" s="4" t="str">
        <f>'Group Model'!X1</f>
        <v>1H20A</v>
      </c>
      <c r="J2" s="4" t="str">
        <f>'Group Model'!Y1</f>
        <v>2H20A</v>
      </c>
      <c r="K2" s="4" t="str">
        <f>'Group Model'!Z1</f>
        <v>1H21A</v>
      </c>
      <c r="L2" s="4" t="str">
        <f>'Group Model'!AA1</f>
        <v>2H21A</v>
      </c>
      <c r="M2" s="4" t="str">
        <f>'Group Model'!AB1</f>
        <v>1H22A</v>
      </c>
      <c r="N2" s="4" t="str">
        <f>'Group Model'!AC1</f>
        <v>2H22A</v>
      </c>
      <c r="O2" s="4" t="str">
        <f>'Group Model'!AD1</f>
        <v>1H23A</v>
      </c>
      <c r="P2" s="4" t="str">
        <f>'Group Model'!AE1</f>
        <v>2H23A</v>
      </c>
      <c r="Q2" s="4" t="str">
        <f>'Group Model'!AF1</f>
        <v>1H24A</v>
      </c>
      <c r="R2" s="4" t="str">
        <f>'Group Model'!AG1</f>
        <v>2H24A</v>
      </c>
      <c r="S2" s="4" t="str">
        <f>'Group Model'!AH1</f>
        <v>1H25A</v>
      </c>
      <c r="T2" s="4" t="str">
        <f>'Group Model'!AI1</f>
        <v>2H25A</v>
      </c>
      <c r="U2" s="573" t="str">
        <f>'Group Model'!AJ1</f>
        <v>1H26A</v>
      </c>
      <c r="V2" s="4" t="str">
        <f>'Group Model'!AK1</f>
        <v>2H26E</v>
      </c>
      <c r="W2" s="4" t="str">
        <f>'Group Model'!AL1</f>
        <v>1H27E</v>
      </c>
      <c r="X2" s="4" t="str">
        <f>'Group Model'!AM1</f>
        <v>2H27E</v>
      </c>
      <c r="Y2" s="4" t="str">
        <f>'Group Model'!AN1</f>
        <v>1H28E</v>
      </c>
      <c r="Z2" s="4" t="str">
        <f>'Group Model'!AO1</f>
        <v>2H28E</v>
      </c>
      <c r="AA2" s="4" t="str">
        <f>'Group Model'!AP1</f>
        <v>1H29E</v>
      </c>
      <c r="AB2" s="4" t="str">
        <f>'Group Model'!AQ1</f>
        <v>2H29E</v>
      </c>
      <c r="AC2" s="4" t="str">
        <f>'Group Model'!AR1</f>
        <v>1H30E</v>
      </c>
      <c r="AD2" s="4" t="str">
        <f>'Group Model'!AS1</f>
        <v>2H30E</v>
      </c>
      <c r="AE2" s="529"/>
      <c r="AF2" s="4" t="str">
        <f>'Group Model'!BG1</f>
        <v>FY17A</v>
      </c>
      <c r="AG2" s="4" t="str">
        <f>'Group Model'!BH1</f>
        <v>FY18A</v>
      </c>
      <c r="AH2" s="4" t="str">
        <f>'Group Model'!BI1</f>
        <v>FY19A</v>
      </c>
      <c r="AI2" s="4" t="str">
        <f>'Group Model'!BJ1</f>
        <v>FY20A</v>
      </c>
      <c r="AJ2" s="4" t="str">
        <f>'Group Model'!BK1</f>
        <v>FY21A</v>
      </c>
      <c r="AK2" s="4" t="str">
        <f>'Group Model'!BL1</f>
        <v>FY22A</v>
      </c>
      <c r="AL2" s="4" t="str">
        <f>'Group Model'!BM1</f>
        <v>FY23A</v>
      </c>
      <c r="AM2" s="4" t="str">
        <f>'Group Model'!BN1</f>
        <v>FY24A</v>
      </c>
      <c r="AN2" s="573" t="str">
        <f>'Group Model'!BO1</f>
        <v>FY25A</v>
      </c>
      <c r="AO2" s="4" t="str">
        <f>'Group Model'!BP1</f>
        <v>FY26E</v>
      </c>
      <c r="AP2" s="4" t="str">
        <f>'Group Model'!BQ1</f>
        <v>FY27E</v>
      </c>
      <c r="AQ2" s="4" t="str">
        <f>'Group Model'!BR1</f>
        <v>FY28E</v>
      </c>
      <c r="AR2" s="4" t="str">
        <f>'Group Model'!BS1</f>
        <v>FY29E</v>
      </c>
      <c r="AS2" s="4" t="str">
        <f>'Group Model'!BT1</f>
        <v>FY30E</v>
      </c>
    </row>
    <row r="3" spans="1:45" s="579" customFormat="1" ht="12.75">
      <c r="B3" s="16"/>
      <c r="C3" s="6">
        <f>'Group Model'!R3</f>
        <v>42643</v>
      </c>
      <c r="D3" s="6">
        <f>'Group Model'!S3</f>
        <v>42825</v>
      </c>
      <c r="E3" s="6">
        <f>'Group Model'!T3</f>
        <v>43008</v>
      </c>
      <c r="F3" s="6">
        <f>'Group Model'!U3</f>
        <v>43190</v>
      </c>
      <c r="G3" s="6">
        <f>'Group Model'!V3</f>
        <v>43373</v>
      </c>
      <c r="H3" s="6">
        <f>'Group Model'!W3</f>
        <v>43555</v>
      </c>
      <c r="I3" s="6">
        <f>'Group Model'!X3</f>
        <v>43738</v>
      </c>
      <c r="J3" s="6">
        <f>'Group Model'!Y3</f>
        <v>43921</v>
      </c>
      <c r="K3" s="6">
        <f>'Group Model'!Z3</f>
        <v>44104</v>
      </c>
      <c r="L3" s="6">
        <f>'Group Model'!AA3</f>
        <v>44286</v>
      </c>
      <c r="M3" s="6">
        <f>'Group Model'!AB3</f>
        <v>44469</v>
      </c>
      <c r="N3" s="6">
        <f>'Group Model'!AC3</f>
        <v>44651</v>
      </c>
      <c r="O3" s="6">
        <f>'Group Model'!AD3</f>
        <v>44834</v>
      </c>
      <c r="P3" s="6">
        <f>'Group Model'!AE3</f>
        <v>45016</v>
      </c>
      <c r="Q3" s="6">
        <f>'Group Model'!AF3</f>
        <v>45199</v>
      </c>
      <c r="R3" s="6">
        <f>'Group Model'!AG3</f>
        <v>45382</v>
      </c>
      <c r="S3" s="6">
        <f>'Group Model'!AH3</f>
        <v>45565</v>
      </c>
      <c r="T3" s="6">
        <f>'Group Model'!AI3</f>
        <v>45747</v>
      </c>
      <c r="U3" s="574">
        <f>'Group Model'!AJ3</f>
        <v>45930</v>
      </c>
      <c r="V3" s="6">
        <f>'Group Model'!AK3</f>
        <v>46112</v>
      </c>
      <c r="W3" s="6">
        <f>'Group Model'!AL3</f>
        <v>46295</v>
      </c>
      <c r="X3" s="6">
        <f>'Group Model'!AM3</f>
        <v>46477</v>
      </c>
      <c r="Y3" s="6">
        <f>'Group Model'!AN3</f>
        <v>46660</v>
      </c>
      <c r="Z3" s="6">
        <f>'Group Model'!AO3</f>
        <v>46843</v>
      </c>
      <c r="AA3" s="6">
        <f>'Group Model'!AP3</f>
        <v>47026</v>
      </c>
      <c r="AB3" s="6">
        <f>'Group Model'!AQ3</f>
        <v>47208</v>
      </c>
      <c r="AC3" s="6">
        <f>'Group Model'!AR3</f>
        <v>47391</v>
      </c>
      <c r="AD3" s="6">
        <f>'Group Model'!AS3</f>
        <v>47573</v>
      </c>
      <c r="AE3" s="530"/>
      <c r="AF3" s="6">
        <f>'Group Model'!BG3</f>
        <v>42825</v>
      </c>
      <c r="AG3" s="6">
        <f>'Group Model'!BH3</f>
        <v>43190</v>
      </c>
      <c r="AH3" s="6">
        <f>'Group Model'!BI3</f>
        <v>43555</v>
      </c>
      <c r="AI3" s="6">
        <f>'Group Model'!BJ3</f>
        <v>43921</v>
      </c>
      <c r="AJ3" s="6">
        <f>'Group Model'!BK3</f>
        <v>44286</v>
      </c>
      <c r="AK3" s="6">
        <f>'Group Model'!BL3</f>
        <v>44651</v>
      </c>
      <c r="AL3" s="6">
        <f>'Group Model'!BM3</f>
        <v>45016</v>
      </c>
      <c r="AM3" s="6">
        <f>'Group Model'!BN3</f>
        <v>45382</v>
      </c>
      <c r="AN3" s="574">
        <f>'Group Model'!BO3</f>
        <v>45747</v>
      </c>
      <c r="AO3" s="6">
        <f>'Group Model'!BP3</f>
        <v>46112</v>
      </c>
      <c r="AP3" s="6">
        <f>'Group Model'!BQ3</f>
        <v>46477</v>
      </c>
      <c r="AQ3" s="6">
        <f>'Group Model'!BR3</f>
        <v>46843</v>
      </c>
      <c r="AR3" s="6">
        <f>'Group Model'!BS3</f>
        <v>47208</v>
      </c>
      <c r="AS3" s="6">
        <f>'Group Model'!BT3</f>
        <v>47573</v>
      </c>
    </row>
    <row r="4" spans="1:45">
      <c r="B4" t="s">
        <v>7</v>
      </c>
      <c r="C4" s="580">
        <f>'Group Model'!R62</f>
        <v>1096</v>
      </c>
      <c r="D4" s="580">
        <f>'Group Model'!S62</f>
        <v>1089</v>
      </c>
      <c r="E4" s="580">
        <f>'Group Model'!T62</f>
        <v>1011</v>
      </c>
      <c r="F4" s="580">
        <f>'Group Model'!U62</f>
        <v>975</v>
      </c>
      <c r="G4" s="580">
        <f>'Group Model'!V62</f>
        <v>998</v>
      </c>
      <c r="H4" s="580">
        <f>'Group Model'!W62</f>
        <v>762</v>
      </c>
      <c r="I4" s="580">
        <f>'Group Model'!X62</f>
        <v>790</v>
      </c>
      <c r="J4" s="580">
        <f>'Group Model'!Y62</f>
        <v>1069</v>
      </c>
      <c r="K4" s="580">
        <f>'Group Model'!Z62</f>
        <v>1033</v>
      </c>
      <c r="L4" s="580">
        <f>'Group Model'!AA62</f>
        <v>1162</v>
      </c>
      <c r="M4" s="580">
        <f>'Group Model'!AB62</f>
        <v>1373</v>
      </c>
      <c r="N4" s="580">
        <f>'Group Model'!AC62</f>
        <v>1487</v>
      </c>
      <c r="O4" s="580">
        <f>'Group Model'!AD62</f>
        <v>1431</v>
      </c>
      <c r="P4" s="580">
        <f>'Group Model'!AE62</f>
        <v>1597</v>
      </c>
      <c r="Q4" s="580">
        <f>'Group Model'!AF62</f>
        <v>1633</v>
      </c>
      <c r="R4" s="580">
        <f>'Group Model'!AG62</f>
        <v>1826</v>
      </c>
      <c r="S4" s="580">
        <f>'Group Model'!AH62</f>
        <v>1669</v>
      </c>
      <c r="T4" s="580">
        <f>'Group Model'!AI62</f>
        <v>1838</v>
      </c>
      <c r="U4" s="581">
        <f>'Group Model'!AJ62</f>
        <v>2066</v>
      </c>
      <c r="V4" s="580">
        <f>'Group Model'!AK62</f>
        <v>2041.8088231227016</v>
      </c>
      <c r="W4" s="580">
        <f>'Group Model'!AL62</f>
        <v>2181.2957947375462</v>
      </c>
      <c r="X4" s="580">
        <f>'Group Model'!AM62</f>
        <v>2237.6192205590487</v>
      </c>
      <c r="Y4" s="580">
        <f>'Group Model'!AN62</f>
        <v>2302.0749454378783</v>
      </c>
      <c r="Z4" s="580">
        <f>'Group Model'!AO62</f>
        <v>2348.7094723960486</v>
      </c>
      <c r="AA4" s="580">
        <f>'Group Model'!AP62</f>
        <v>2393.2187292858371</v>
      </c>
      <c r="AB4" s="580">
        <f>'Group Model'!AQ62</f>
        <v>2419.45670747238</v>
      </c>
      <c r="AC4" s="580">
        <f>'Group Model'!AR62</f>
        <v>2466.4450972990694</v>
      </c>
      <c r="AD4" s="580">
        <f>'Group Model'!AS62</f>
        <v>2493.1814840297188</v>
      </c>
      <c r="AE4" s="580"/>
      <c r="AF4" s="580">
        <f>'Group Model'!BG62</f>
        <v>2185</v>
      </c>
      <c r="AG4" s="580">
        <f>'Group Model'!BH62</f>
        <v>1986</v>
      </c>
      <c r="AH4" s="580">
        <f>'Group Model'!BI62</f>
        <v>1760</v>
      </c>
      <c r="AI4" s="580">
        <f>'Group Model'!BJ62</f>
        <v>1859</v>
      </c>
      <c r="AJ4" s="580">
        <f>'Group Model'!BK62</f>
        <v>2195</v>
      </c>
      <c r="AK4" s="580">
        <f>'Group Model'!BL62</f>
        <v>2860</v>
      </c>
      <c r="AL4" s="580">
        <f>'Group Model'!BM62</f>
        <v>3028</v>
      </c>
      <c r="AM4" s="580">
        <f>'Group Model'!BN62</f>
        <v>3459</v>
      </c>
      <c r="AN4" s="581">
        <f>'Group Model'!BO62</f>
        <v>3507</v>
      </c>
      <c r="AO4" s="580">
        <f>'Group Model'!BP62</f>
        <v>4107.8088231227011</v>
      </c>
      <c r="AP4" s="580">
        <f>'Group Model'!BQ62</f>
        <v>4418.9150152965949</v>
      </c>
      <c r="AQ4" s="580">
        <f>'Group Model'!BR62</f>
        <v>4650.7844178339274</v>
      </c>
      <c r="AR4" s="580">
        <f>'Group Model'!BS62</f>
        <v>4812.6754367582171</v>
      </c>
      <c r="AS4" s="580">
        <f>'Group Model'!BT62</f>
        <v>4959.6265813287882</v>
      </c>
    </row>
    <row r="5" spans="1:45">
      <c r="B5" t="s">
        <v>8</v>
      </c>
      <c r="C5" s="580">
        <f>'Group Model'!R69</f>
        <v>768</v>
      </c>
      <c r="D5" s="580">
        <f>'Group Model'!S69</f>
        <v>1001</v>
      </c>
      <c r="E5" s="580">
        <f>'Group Model'!T69</f>
        <v>881</v>
      </c>
      <c r="F5" s="580">
        <f>'Group Model'!U69</f>
        <v>1076</v>
      </c>
      <c r="G5" s="580">
        <f>'Group Model'!V69</f>
        <v>1231</v>
      </c>
      <c r="H5" s="580">
        <f>'Group Model'!W69</f>
        <v>1560</v>
      </c>
      <c r="I5" s="580">
        <f>'Group Model'!X69</f>
        <v>1627</v>
      </c>
      <c r="J5" s="580">
        <f>'Group Model'!Y69</f>
        <v>1234</v>
      </c>
      <c r="K5" s="580">
        <f>'Group Model'!Z69</f>
        <v>1487</v>
      </c>
      <c r="L5" s="580">
        <f>'Group Model'!AA69</f>
        <v>1995</v>
      </c>
      <c r="M5" s="580">
        <f>'Group Model'!AB69</f>
        <v>1659</v>
      </c>
      <c r="N5" s="580">
        <f>'Group Model'!AC69</f>
        <v>2337</v>
      </c>
      <c r="O5" s="580">
        <f>'Group Model'!AD69</f>
        <v>2739</v>
      </c>
      <c r="P5" s="580">
        <f>'Group Model'!AE69</f>
        <v>4834</v>
      </c>
      <c r="Q5" s="580">
        <f>'Group Model'!AF69</f>
        <v>2612</v>
      </c>
      <c r="R5" s="580">
        <f>'Group Model'!AG69</f>
        <v>2836</v>
      </c>
      <c r="S5" s="580">
        <f>'Group Model'!AH69</f>
        <v>2460</v>
      </c>
      <c r="T5" s="580">
        <f>'Group Model'!AI69</f>
        <v>2910</v>
      </c>
      <c r="U5" s="581">
        <f>'Group Model'!AJ69</f>
        <v>2445</v>
      </c>
      <c r="V5" s="580">
        <f>'Group Model'!AK69</f>
        <v>3417.1929649698013</v>
      </c>
      <c r="W5" s="580">
        <f>'Group Model'!AL69</f>
        <v>3028.121159065653</v>
      </c>
      <c r="X5" s="580">
        <f>'Group Model'!AM69</f>
        <v>3324.2924602459016</v>
      </c>
      <c r="Y5" s="580">
        <f>'Group Model'!AN69</f>
        <v>3224.121132186569</v>
      </c>
      <c r="Z5" s="580">
        <f>'Group Model'!AO69</f>
        <v>3597.2791162960698</v>
      </c>
      <c r="AA5" s="580">
        <f>'Group Model'!AP69</f>
        <v>3387.9885157736012</v>
      </c>
      <c r="AB5" s="580">
        <f>'Group Model'!AQ69</f>
        <v>3776.9536437207839</v>
      </c>
      <c r="AC5" s="580">
        <f>'Group Model'!AR69</f>
        <v>3593.1039829328065</v>
      </c>
      <c r="AD5" s="580">
        <f>'Group Model'!AS69</f>
        <v>3917.1084841175057</v>
      </c>
      <c r="AE5" s="580"/>
      <c r="AF5" s="580">
        <f>'Group Model'!BG69</f>
        <v>1769</v>
      </c>
      <c r="AG5" s="580">
        <f>'Group Model'!BH69</f>
        <v>1957</v>
      </c>
      <c r="AH5" s="580">
        <f>'Group Model'!BI69</f>
        <v>2791</v>
      </c>
      <c r="AI5" s="580">
        <f>'Group Model'!BJ69</f>
        <v>2861</v>
      </c>
      <c r="AJ5" s="580">
        <f>'Group Model'!BK69</f>
        <v>3482</v>
      </c>
      <c r="AK5" s="580">
        <f>'Group Model'!BL69</f>
        <v>3996</v>
      </c>
      <c r="AL5" s="580">
        <f>'Group Model'!BM69</f>
        <v>7573</v>
      </c>
      <c r="AM5" s="580">
        <f>'Group Model'!BN69</f>
        <v>5448</v>
      </c>
      <c r="AN5" s="581">
        <f>'Group Model'!BO69</f>
        <v>5370</v>
      </c>
      <c r="AO5" s="580">
        <f>'Group Model'!BP69</f>
        <v>5862.1929649698013</v>
      </c>
      <c r="AP5" s="580">
        <f>'Group Model'!BQ69</f>
        <v>6352.4136193115546</v>
      </c>
      <c r="AQ5" s="580">
        <f>'Group Model'!BR69</f>
        <v>6821.4002484826387</v>
      </c>
      <c r="AR5" s="580">
        <f>'Group Model'!BS69</f>
        <v>7164.9421594943851</v>
      </c>
      <c r="AS5" s="580">
        <f>'Group Model'!BT69</f>
        <v>7510.2124670503126</v>
      </c>
    </row>
    <row r="6" spans="1:45">
      <c r="B6" t="s">
        <v>118</v>
      </c>
      <c r="C6" s="580">
        <f>'Group Model'!R68</f>
        <v>2202</v>
      </c>
      <c r="D6" s="580">
        <f>'Group Model'!S68</f>
        <v>2129</v>
      </c>
      <c r="E6" s="580">
        <f>'Group Model'!T68</f>
        <v>2568</v>
      </c>
      <c r="F6" s="580">
        <f>'Group Model'!U68</f>
        <v>2102</v>
      </c>
      <c r="G6" s="580">
        <f>'Group Model'!V68</f>
        <v>2661</v>
      </c>
      <c r="H6" s="580">
        <f>'Group Model'!W68</f>
        <v>2865</v>
      </c>
      <c r="I6" s="580">
        <f>'Group Model'!X68</f>
        <v>2874</v>
      </c>
      <c r="J6" s="580">
        <f>'Group Model'!Y68</f>
        <v>2963</v>
      </c>
      <c r="K6" s="580">
        <f>'Group Model'!Z68</f>
        <v>2613</v>
      </c>
      <c r="L6" s="580">
        <f>'Group Model'!AA68</f>
        <v>2563</v>
      </c>
      <c r="M6" s="580">
        <f>'Group Model'!AB68</f>
        <v>3452</v>
      </c>
      <c r="N6" s="580">
        <f>'Group Model'!AC68</f>
        <v>3435</v>
      </c>
      <c r="O6" s="580">
        <f>'Group Model'!AD68</f>
        <v>3055</v>
      </c>
      <c r="P6" s="580">
        <f>'Group Model'!AE68</f>
        <v>3345</v>
      </c>
      <c r="Q6" s="580">
        <f>'Group Model'!AF68</f>
        <v>3023</v>
      </c>
      <c r="R6" s="580">
        <f>'Group Model'!AG68</f>
        <v>3226</v>
      </c>
      <c r="S6" s="580">
        <f>'Group Model'!AH68</f>
        <v>3300</v>
      </c>
      <c r="T6" s="580">
        <f>'Group Model'!AI68</f>
        <v>3490</v>
      </c>
      <c r="U6" s="581">
        <f>'Group Model'!AJ68</f>
        <v>3901</v>
      </c>
      <c r="V6" s="580">
        <f>'Group Model'!AK68</f>
        <v>3676.0337705250213</v>
      </c>
      <c r="W6" s="580">
        <f>'Group Model'!AL68</f>
        <v>3472.187215076789</v>
      </c>
      <c r="X6" s="580">
        <f>'Group Model'!AM68</f>
        <v>3575.8628179762336</v>
      </c>
      <c r="Y6" s="580">
        <f>'Group Model'!AN68</f>
        <v>3608.096979727738</v>
      </c>
      <c r="Z6" s="580">
        <f>'Group Model'!AO68</f>
        <v>3713.7602841337398</v>
      </c>
      <c r="AA6" s="580">
        <f>'Group Model'!AP68</f>
        <v>3729.237750503718</v>
      </c>
      <c r="AB6" s="580">
        <f>'Group Model'!AQ68</f>
        <v>3823.8231215592277</v>
      </c>
      <c r="AC6" s="580">
        <f>'Group Model'!AR68</f>
        <v>3826.9676313166001</v>
      </c>
      <c r="AD6" s="580">
        <f>'Group Model'!AS68</f>
        <v>3907.8956557870583</v>
      </c>
      <c r="AE6" s="580"/>
      <c r="AF6" s="580">
        <f>'Group Model'!BG68</f>
        <v>4331</v>
      </c>
      <c r="AG6" s="580">
        <f>'Group Model'!BH68</f>
        <v>4670</v>
      </c>
      <c r="AH6" s="580">
        <f>'Group Model'!BI68</f>
        <v>5526</v>
      </c>
      <c r="AI6" s="580">
        <f>'Group Model'!BJ68</f>
        <v>5837</v>
      </c>
      <c r="AJ6" s="580">
        <f>'Group Model'!BK68</f>
        <v>5176</v>
      </c>
      <c r="AK6" s="580">
        <f>'Group Model'!BL68</f>
        <v>6887</v>
      </c>
      <c r="AL6" s="580">
        <f>'Group Model'!BM68</f>
        <v>6400</v>
      </c>
      <c r="AM6" s="580">
        <f>'Group Model'!BN68</f>
        <v>6249</v>
      </c>
      <c r="AN6" s="581">
        <f>'Group Model'!BO68</f>
        <v>6790</v>
      </c>
      <c r="AO6" s="580">
        <f>'Group Model'!BP68</f>
        <v>7577.0337705250222</v>
      </c>
      <c r="AP6" s="580">
        <f>'Group Model'!BQ68</f>
        <v>7048.0500330530222</v>
      </c>
      <c r="AQ6" s="580">
        <f>'Group Model'!BR68</f>
        <v>7321.8572638614778</v>
      </c>
      <c r="AR6" s="580">
        <f>'Group Model'!BS68</f>
        <v>7553.0608720629452</v>
      </c>
      <c r="AS6" s="580">
        <f>'Group Model'!BT68</f>
        <v>7734.8632871036571</v>
      </c>
    </row>
    <row r="7" spans="1:45" ht="15.95" customHeight="1">
      <c r="B7" s="582" t="s">
        <v>1920</v>
      </c>
      <c r="C7" s="580">
        <f>'Group Model'!R70</f>
        <v>-8</v>
      </c>
      <c r="D7" s="580">
        <f>'Group Model'!S70</f>
        <v>59</v>
      </c>
      <c r="E7" s="580">
        <f>'Group Model'!T70</f>
        <v>103</v>
      </c>
      <c r="F7" s="580">
        <f>'Group Model'!U70</f>
        <v>138</v>
      </c>
      <c r="G7" s="580">
        <f>'Group Model'!V70</f>
        <v>7</v>
      </c>
      <c r="H7" s="580">
        <f>'Group Model'!W70</f>
        <v>-63</v>
      </c>
      <c r="I7" s="580">
        <f>'Group Model'!X70</f>
        <v>-49</v>
      </c>
      <c r="J7" s="580">
        <f>'Group Model'!Y70</f>
        <v>144</v>
      </c>
      <c r="K7" s="580">
        <f>'Group Model'!Z70</f>
        <v>-54</v>
      </c>
      <c r="L7" s="580">
        <f>'Group Model'!AA70</f>
        <v>51</v>
      </c>
      <c r="M7" s="580">
        <f>'Group Model'!AB70</f>
        <v>242</v>
      </c>
      <c r="N7" s="580">
        <f>'Group Model'!AC70</f>
        <v>-2</v>
      </c>
      <c r="O7" s="580">
        <f>'Group Model'!AD70</f>
        <v>-61</v>
      </c>
      <c r="P7" s="580">
        <f>'Group Model'!AE70</f>
        <v>-52</v>
      </c>
      <c r="Q7" s="580">
        <f>'Group Model'!AF70</f>
        <v>-5</v>
      </c>
      <c r="R7" s="580">
        <f>'Group Model'!AG70</f>
        <v>-44</v>
      </c>
      <c r="S7" s="580">
        <f>'Group Model'!AH70</f>
        <v>1</v>
      </c>
      <c r="T7" s="580">
        <f>'Group Model'!AI70</f>
        <v>166</v>
      </c>
      <c r="U7" s="581">
        <f>'Group Model'!AJ70</f>
        <v>-50</v>
      </c>
      <c r="V7" s="580">
        <f>'Group Model'!AK70</f>
        <v>-8.7028571428571411</v>
      </c>
      <c r="W7" s="580">
        <f>'Group Model'!AL70</f>
        <v>-8.2584571428571394</v>
      </c>
      <c r="X7" s="580">
        <f>'Group Model'!AM70</f>
        <v>-7.8096131428571312</v>
      </c>
      <c r="Y7" s="580">
        <f>'Group Model'!AN70</f>
        <v>-7.3562807028571342</v>
      </c>
      <c r="Z7" s="580">
        <f>'Group Model'!AO70</f>
        <v>-6.8984149384571367</v>
      </c>
      <c r="AA7" s="580">
        <f>'Group Model'!AP70</f>
        <v>-6.4359705164131356</v>
      </c>
      <c r="AB7" s="580">
        <f>'Group Model'!AQ70</f>
        <v>-5.9689016501486947</v>
      </c>
      <c r="AC7" s="580">
        <f>'Group Model'!AR70</f>
        <v>-5.4971620952216256</v>
      </c>
      <c r="AD7" s="580">
        <f>'Group Model'!AS70</f>
        <v>-5.0207051447452642</v>
      </c>
      <c r="AE7" s="580"/>
      <c r="AF7" s="580">
        <f>'Group Model'!BG70</f>
        <v>51</v>
      </c>
      <c r="AG7" s="580">
        <f>'Group Model'!BH70</f>
        <v>241</v>
      </c>
      <c r="AH7" s="580">
        <f>'Group Model'!BI70</f>
        <v>-56</v>
      </c>
      <c r="AI7" s="580">
        <f>'Group Model'!BJ70</f>
        <v>95</v>
      </c>
      <c r="AJ7" s="580">
        <f>'Group Model'!BK70</f>
        <v>-3</v>
      </c>
      <c r="AK7" s="580">
        <f>'Group Model'!BL70</f>
        <v>240</v>
      </c>
      <c r="AL7" s="580">
        <f>'Group Model'!BM70</f>
        <v>-113</v>
      </c>
      <c r="AM7" s="580">
        <f>'Group Model'!BN70</f>
        <v>-49</v>
      </c>
      <c r="AN7" s="581">
        <f>'Group Model'!BO70</f>
        <v>167</v>
      </c>
      <c r="AO7" s="580">
        <f>'Group Model'!BP70</f>
        <v>-58.702857142857141</v>
      </c>
      <c r="AP7" s="580">
        <f>'Group Model'!BQ70</f>
        <v>-16.068070285714271</v>
      </c>
      <c r="AQ7" s="580">
        <f>'Group Model'!BR70</f>
        <v>-14.254695641314271</v>
      </c>
      <c r="AR7" s="580">
        <f>'Group Model'!BS70</f>
        <v>-12.40487216656183</v>
      </c>
      <c r="AS7" s="580">
        <f>'Group Model'!BT70</f>
        <v>-10.51786723996689</v>
      </c>
    </row>
    <row r="8" spans="1:45" ht="15.95" customHeight="1">
      <c r="B8" s="582" t="s">
        <v>1921</v>
      </c>
      <c r="C8" s="580">
        <f>'Divisional Model'!Q23</f>
        <v>-282</v>
      </c>
      <c r="D8" s="580">
        <f>'Divisional Model'!R23</f>
        <v>-162</v>
      </c>
      <c r="E8" s="580">
        <f>'Divisional Model'!S23</f>
        <v>-142</v>
      </c>
      <c r="F8" s="580">
        <f>'Divisional Model'!T23</f>
        <v>-224</v>
      </c>
      <c r="G8" s="580">
        <f>'Divisional Model'!U23</f>
        <v>-76</v>
      </c>
      <c r="H8" s="580">
        <f>'Divisional Model'!V23</f>
        <v>-476</v>
      </c>
      <c r="I8" s="580">
        <f>'Divisional Model'!W23</f>
        <v>-139</v>
      </c>
      <c r="J8" s="580">
        <f>'Divisional Model'!X23</f>
        <v>-901</v>
      </c>
      <c r="K8" s="580">
        <f>'Divisional Model'!Y23</f>
        <v>-447</v>
      </c>
      <c r="L8" s="580">
        <f>'Divisional Model'!Z23</f>
        <v>-77</v>
      </c>
      <c r="M8" s="580">
        <f>'Divisional Model'!AA23</f>
        <v>-230</v>
      </c>
      <c r="N8" s="580">
        <f>'Divisional Model'!AB23</f>
        <v>-279</v>
      </c>
      <c r="O8" s="580">
        <f>'Divisional Model'!AC23</f>
        <v>-286</v>
      </c>
      <c r="P8" s="580">
        <f>'Divisional Model'!AD23</f>
        <v>-168</v>
      </c>
      <c r="Q8" s="580">
        <f>'Divisional Model'!AE23</f>
        <v>117</v>
      </c>
      <c r="R8" s="580">
        <f>'Divisional Model'!AF23</f>
        <v>252</v>
      </c>
      <c r="S8" s="580">
        <f>'Divisional Model'!AG23</f>
        <v>-75</v>
      </c>
      <c r="T8" s="580">
        <f>'Divisional Model'!AH23</f>
        <v>-286</v>
      </c>
      <c r="U8" s="581">
        <f>'Divisional Model'!AI23</f>
        <v>-29</v>
      </c>
      <c r="V8" s="580">
        <f>'Divisional Model'!AJ23</f>
        <v>-164.87119267257026</v>
      </c>
      <c r="W8" s="580">
        <f>'Divisional Model'!AK23</f>
        <v>-124.25747429866578</v>
      </c>
      <c r="X8" s="580">
        <f>'Divisional Model'!AL23</f>
        <v>-160.65901897818094</v>
      </c>
      <c r="Y8" s="580">
        <f>'Divisional Model'!AM23</f>
        <v>-186.90154685566472</v>
      </c>
      <c r="Z8" s="580">
        <f>'Divisional Model'!AN23</f>
        <v>-182.33533336607593</v>
      </c>
      <c r="AA8" s="580">
        <f>'Divisional Model'!AO23</f>
        <v>-217.92324374838472</v>
      </c>
      <c r="AB8" s="580">
        <f>'Divisional Model'!AP23</f>
        <v>-218.40664095713601</v>
      </c>
      <c r="AC8" s="580">
        <f>'Divisional Model'!AQ23</f>
        <v>-219.94294223402494</v>
      </c>
      <c r="AD8" s="580">
        <f>'Divisional Model'!AR23</f>
        <v>-221.00989022664908</v>
      </c>
      <c r="AE8" s="580"/>
      <c r="AF8" s="580">
        <f>'Divisional Model'!BA23</f>
        <v>-444</v>
      </c>
      <c r="AG8" s="580">
        <f>'Divisional Model'!BB23</f>
        <v>-366</v>
      </c>
      <c r="AH8" s="580">
        <f>'Divisional Model'!BC23</f>
        <v>-552</v>
      </c>
      <c r="AI8" s="580">
        <f>'Divisional Model'!BD23</f>
        <v>-1040</v>
      </c>
      <c r="AJ8" s="580">
        <f>'Divisional Model'!BE23</f>
        <v>-524</v>
      </c>
      <c r="AK8" s="580">
        <f>'Divisional Model'!BF23</f>
        <v>-509</v>
      </c>
      <c r="AL8" s="580">
        <f>'Divisional Model'!BG23</f>
        <v>-454</v>
      </c>
      <c r="AM8" s="580">
        <f>'Divisional Model'!BH23</f>
        <v>369</v>
      </c>
      <c r="AN8" s="581">
        <f>'Divisional Model'!BI23</f>
        <v>-361</v>
      </c>
      <c r="AO8" s="580">
        <f>'Divisional Model'!BJ23</f>
        <v>-193.87119267257026</v>
      </c>
      <c r="AP8" s="580">
        <f>'Divisional Model'!BK23</f>
        <v>-284.91649327684672</v>
      </c>
      <c r="AQ8" s="580">
        <f>'Divisional Model'!BL23</f>
        <v>-369.23688022174065</v>
      </c>
      <c r="AR8" s="580">
        <f>'Divisional Model'!BM23</f>
        <v>-436.32988470552073</v>
      </c>
      <c r="AS8" s="580">
        <f>'Divisional Model'!BN23</f>
        <v>-440.95283246067402</v>
      </c>
    </row>
    <row r="9" spans="1:45" ht="15.95" customHeight="1">
      <c r="B9" s="582" t="s">
        <v>1922</v>
      </c>
      <c r="C9" s="580">
        <f>'Group Model'!R72</f>
        <v>1442</v>
      </c>
      <c r="D9" s="580">
        <f>'Group Model'!S72</f>
        <v>1030</v>
      </c>
      <c r="E9" s="580">
        <f>'Group Model'!T72</f>
        <v>976</v>
      </c>
      <c r="F9" s="580">
        <f>'Group Model'!U72</f>
        <v>1456</v>
      </c>
      <c r="G9" s="580">
        <f>'Group Model'!V72</f>
        <v>1009</v>
      </c>
      <c r="H9" s="580">
        <f>'Group Model'!W72</f>
        <v>2276</v>
      </c>
      <c r="I9" s="580">
        <f>'Group Model'!X72</f>
        <v>1217</v>
      </c>
      <c r="J9" s="580">
        <f>'Group Model'!Y72</f>
        <v>1496</v>
      </c>
      <c r="K9" s="580">
        <f>'Group Model'!Z72</f>
        <v>887</v>
      </c>
      <c r="L9" s="580">
        <f>'Group Model'!AA72</f>
        <v>1561</v>
      </c>
      <c r="M9" s="580">
        <f>'Group Model'!AB72</f>
        <v>1308</v>
      </c>
      <c r="N9" s="580">
        <f>'Group Model'!AC72</f>
        <v>2542</v>
      </c>
      <c r="O9" s="580">
        <f>'Group Model'!AD72</f>
        <v>1746</v>
      </c>
      <c r="P9" s="580">
        <f>'Group Model'!AE72</f>
        <v>942</v>
      </c>
      <c r="Q9" s="580">
        <f>'Group Model'!AF72</f>
        <v>530</v>
      </c>
      <c r="R9" s="580">
        <f>'Group Model'!AG72</f>
        <v>881</v>
      </c>
      <c r="S9" s="580">
        <f>'Group Model'!AH72</f>
        <v>861</v>
      </c>
      <c r="T9" s="580">
        <f>'Group Model'!AI72</f>
        <v>874</v>
      </c>
      <c r="U9" s="581">
        <f>'Group Model'!AJ72</f>
        <v>358</v>
      </c>
      <c r="V9" s="580">
        <f>'Group Model'!AK72</f>
        <v>1010.7299999999999</v>
      </c>
      <c r="W9" s="580">
        <f>'Group Model'!AL72</f>
        <v>612.06919999999991</v>
      </c>
      <c r="X9" s="580">
        <f>'Group Model'!AM72</f>
        <v>651.82863699999996</v>
      </c>
      <c r="Y9" s="580">
        <f>'Group Model'!AN72</f>
        <v>693.75101495499996</v>
      </c>
      <c r="Z9" s="580">
        <f>'Group Model'!AO72</f>
        <v>738.02334250367517</v>
      </c>
      <c r="AA9" s="580">
        <f>'Group Model'!AP72</f>
        <v>784.92258887651394</v>
      </c>
      <c r="AB9" s="580">
        <f>'Group Model'!AQ72</f>
        <v>820.88764166828571</v>
      </c>
      <c r="AC9" s="580">
        <f>'Group Model'!AR72</f>
        <v>858.07334917206515</v>
      </c>
      <c r="AD9" s="580">
        <f>'Group Model'!AS72</f>
        <v>886.47738122735041</v>
      </c>
      <c r="AE9" s="580"/>
      <c r="AF9" s="580">
        <f>'Group Model'!BG72</f>
        <v>2472</v>
      </c>
      <c r="AG9" s="580">
        <f>'Group Model'!BH72</f>
        <v>2432</v>
      </c>
      <c r="AH9" s="580">
        <f>'Group Model'!BI72</f>
        <v>3285</v>
      </c>
      <c r="AI9" s="580">
        <f>'Group Model'!BJ72</f>
        <v>2713</v>
      </c>
      <c r="AJ9" s="580">
        <f>'Group Model'!BK72</f>
        <v>2448</v>
      </c>
      <c r="AK9" s="580">
        <f>'Group Model'!BL72</f>
        <v>3850</v>
      </c>
      <c r="AL9" s="580">
        <f>'Group Model'!BM72</f>
        <v>2688</v>
      </c>
      <c r="AM9" s="580">
        <f>'Group Model'!BN72</f>
        <v>1411</v>
      </c>
      <c r="AN9" s="581">
        <f>'Group Model'!BO72</f>
        <v>1735</v>
      </c>
      <c r="AO9" s="580">
        <f>'Group Model'!BP72</f>
        <v>1368.73</v>
      </c>
      <c r="AP9" s="580">
        <f>'Group Model'!BQ72</f>
        <v>1263.897837</v>
      </c>
      <c r="AQ9" s="580">
        <f>'Group Model'!BR72</f>
        <v>1431.7743574586752</v>
      </c>
      <c r="AR9" s="580">
        <f>'Group Model'!BS72</f>
        <v>1605.8102305447997</v>
      </c>
      <c r="AS9" s="580">
        <f>'Group Model'!BT72</f>
        <v>1744.5507303994154</v>
      </c>
    </row>
    <row r="10" spans="1:45" s="584" customFormat="1" ht="15.95" customHeight="1">
      <c r="A10" s="583"/>
      <c r="B10" s="584" t="s">
        <v>1923</v>
      </c>
      <c r="C10" s="585">
        <f t="shared" ref="C10:S10" si="0">SUM(C4:C9)</f>
        <v>5218</v>
      </c>
      <c r="D10" s="585">
        <f t="shared" si="0"/>
        <v>5146</v>
      </c>
      <c r="E10" s="585">
        <f t="shared" si="0"/>
        <v>5397</v>
      </c>
      <c r="F10" s="585">
        <f t="shared" si="0"/>
        <v>5523</v>
      </c>
      <c r="G10" s="585">
        <f t="shared" si="0"/>
        <v>5830</v>
      </c>
      <c r="H10" s="585">
        <f t="shared" si="0"/>
        <v>6924</v>
      </c>
      <c r="I10" s="585">
        <f t="shared" si="0"/>
        <v>6320</v>
      </c>
      <c r="J10" s="585">
        <f t="shared" si="0"/>
        <v>6005</v>
      </c>
      <c r="K10" s="585">
        <f t="shared" si="0"/>
        <v>5519</v>
      </c>
      <c r="L10" s="585">
        <f t="shared" si="0"/>
        <v>7255</v>
      </c>
      <c r="M10" s="585">
        <f t="shared" si="0"/>
        <v>7804</v>
      </c>
      <c r="N10" s="585">
        <f t="shared" si="0"/>
        <v>9520</v>
      </c>
      <c r="O10" s="585">
        <f t="shared" si="0"/>
        <v>8624</v>
      </c>
      <c r="P10" s="585">
        <f t="shared" si="0"/>
        <v>10498</v>
      </c>
      <c r="Q10" s="585">
        <f t="shared" si="0"/>
        <v>7910</v>
      </c>
      <c r="R10" s="585">
        <f t="shared" si="0"/>
        <v>8977</v>
      </c>
      <c r="S10" s="585">
        <f t="shared" si="0"/>
        <v>8216</v>
      </c>
      <c r="T10" s="585">
        <f>SUM(T4:T9)</f>
        <v>8992</v>
      </c>
      <c r="U10" s="586">
        <f t="shared" ref="U10:AS10" si="1">SUM(U4:U9)</f>
        <v>8691</v>
      </c>
      <c r="V10" s="585">
        <f t="shared" si="1"/>
        <v>9972.1915088020978</v>
      </c>
      <c r="W10" s="585">
        <f t="shared" si="1"/>
        <v>9161.1574374384654</v>
      </c>
      <c r="X10" s="585">
        <f t="shared" si="1"/>
        <v>9621.1345036601469</v>
      </c>
      <c r="Y10" s="585">
        <f t="shared" si="1"/>
        <v>9633.7862447486623</v>
      </c>
      <c r="Z10" s="585">
        <f t="shared" si="1"/>
        <v>10208.538467024999</v>
      </c>
      <c r="AA10" s="585">
        <f t="shared" si="1"/>
        <v>10071.008370174874</v>
      </c>
      <c r="AB10" s="585">
        <f t="shared" si="1"/>
        <v>10616.745571813392</v>
      </c>
      <c r="AC10" s="585">
        <f t="shared" si="1"/>
        <v>10519.149956391295</v>
      </c>
      <c r="AD10" s="585">
        <f t="shared" si="1"/>
        <v>10978.63240979024</v>
      </c>
      <c r="AE10" s="585"/>
      <c r="AF10" s="585">
        <f t="shared" si="1"/>
        <v>10364</v>
      </c>
      <c r="AG10" s="585">
        <f t="shared" si="1"/>
        <v>10920</v>
      </c>
      <c r="AH10" s="585">
        <f t="shared" si="1"/>
        <v>12754</v>
      </c>
      <c r="AI10" s="585">
        <f t="shared" si="1"/>
        <v>12325</v>
      </c>
      <c r="AJ10" s="585">
        <f t="shared" si="1"/>
        <v>12774</v>
      </c>
      <c r="AK10" s="585">
        <f t="shared" si="1"/>
        <v>17324</v>
      </c>
      <c r="AL10" s="585">
        <f t="shared" si="1"/>
        <v>19122</v>
      </c>
      <c r="AM10" s="585">
        <f t="shared" si="1"/>
        <v>16887</v>
      </c>
      <c r="AN10" s="586">
        <f t="shared" si="1"/>
        <v>17208</v>
      </c>
      <c r="AO10" s="585">
        <f t="shared" si="1"/>
        <v>18663.191508802098</v>
      </c>
      <c r="AP10" s="585">
        <f t="shared" si="1"/>
        <v>18782.291941098611</v>
      </c>
      <c r="AQ10" s="585">
        <f t="shared" si="1"/>
        <v>19842.324711773665</v>
      </c>
      <c r="AR10" s="585">
        <f t="shared" si="1"/>
        <v>20687.753941988271</v>
      </c>
      <c r="AS10" s="585">
        <f t="shared" si="1"/>
        <v>21497.782366181535</v>
      </c>
    </row>
    <row r="11" spans="1:45" ht="15.95" customHeight="1">
      <c r="U11" s="587"/>
      <c r="AN11" s="587"/>
    </row>
    <row r="12" spans="1:45" ht="15.95" customHeight="1">
      <c r="B12" t="s">
        <v>14</v>
      </c>
      <c r="C12" s="580">
        <f>'Group Model'!R74</f>
        <v>-2290</v>
      </c>
      <c r="D12" s="580">
        <f>'Group Model'!S74</f>
        <v>-2089</v>
      </c>
      <c r="E12" s="580">
        <f>'Group Model'!T74</f>
        <v>-2261</v>
      </c>
      <c r="F12" s="580">
        <f>'Group Model'!U74</f>
        <v>-2232</v>
      </c>
      <c r="G12" s="580">
        <f>'Group Model'!V74</f>
        <v>-2454</v>
      </c>
      <c r="H12" s="580">
        <f>'Group Model'!W74</f>
        <v>-2763</v>
      </c>
      <c r="I12" s="580">
        <f>'Group Model'!X74</f>
        <v>-2776</v>
      </c>
      <c r="J12" s="580">
        <f>'Group Model'!Y74</f>
        <v>-2547</v>
      </c>
      <c r="K12" s="580">
        <f>'Group Model'!Z74</f>
        <v>-2615</v>
      </c>
      <c r="L12" s="580">
        <f>'Group Model'!AA74</f>
        <v>-2902</v>
      </c>
      <c r="M12" s="580">
        <f>'Group Model'!AB74</f>
        <v>-3164</v>
      </c>
      <c r="N12" s="580">
        <f>'Group Model'!AC74</f>
        <v>-3561</v>
      </c>
      <c r="O12" s="580">
        <f>'Group Model'!AD74</f>
        <v>-3613</v>
      </c>
      <c r="P12" s="580">
        <f>'Group Model'!AE74</f>
        <v>-4090</v>
      </c>
      <c r="Q12" s="580">
        <f>'Group Model'!AF74</f>
        <v>-3734</v>
      </c>
      <c r="R12" s="580">
        <f>'Group Model'!AG74</f>
        <v>-3989</v>
      </c>
      <c r="S12" s="580">
        <f>'Group Model'!AH74</f>
        <v>-3756</v>
      </c>
      <c r="T12" s="580">
        <f>'Group Model'!AI74</f>
        <v>-3904</v>
      </c>
      <c r="U12" s="581">
        <f>'Group Model'!AJ74</f>
        <v>-3956</v>
      </c>
      <c r="V12" s="580">
        <f>'Group Model'!AK74</f>
        <v>-3930.0358010918389</v>
      </c>
      <c r="W12" s="580">
        <f>'Group Model'!AL74</f>
        <v>-3843.0549475595499</v>
      </c>
      <c r="X12" s="580">
        <f>'Group Model'!AM74</f>
        <v>-3975.8540863760973</v>
      </c>
      <c r="Y12" s="580">
        <f>'Group Model'!AN74</f>
        <v>-4003.7130181637058</v>
      </c>
      <c r="Z12" s="580">
        <f>'Group Model'!AO74</f>
        <v>-4129.2307063784301</v>
      </c>
      <c r="AA12" s="580">
        <f>'Group Model'!AP74</f>
        <v>-4133.9471606595853</v>
      </c>
      <c r="AB12" s="580">
        <f>'Group Model'!AQ74</f>
        <v>-4244.5084290408931</v>
      </c>
      <c r="AC12" s="580">
        <f>'Group Model'!AR74</f>
        <v>-4264.2625531303675</v>
      </c>
      <c r="AD12" s="580">
        <f>'Group Model'!AS74</f>
        <v>-4360.3685298019136</v>
      </c>
      <c r="AE12" s="580"/>
      <c r="AF12" s="580">
        <f>'Group Model'!BG74</f>
        <v>-4379</v>
      </c>
      <c r="AG12" s="580">
        <f>'Group Model'!BH74</f>
        <v>-4493</v>
      </c>
      <c r="AH12" s="580">
        <f>'Group Model'!BI74</f>
        <v>-5217</v>
      </c>
      <c r="AI12" s="580">
        <f>'Group Model'!BJ74</f>
        <v>-5323</v>
      </c>
      <c r="AJ12" s="580">
        <f>'Group Model'!BK74</f>
        <v>-5517</v>
      </c>
      <c r="AK12" s="580">
        <f>'Group Model'!BL74</f>
        <v>-6725</v>
      </c>
      <c r="AL12" s="580">
        <f>'Group Model'!BM74</f>
        <v>-7703</v>
      </c>
      <c r="AM12" s="580">
        <f>'Group Model'!BN74</f>
        <v>-7723</v>
      </c>
      <c r="AN12" s="581">
        <f>'Group Model'!BO74</f>
        <v>-7660</v>
      </c>
      <c r="AO12" s="580">
        <f>'Group Model'!BP74</f>
        <v>-7886.0358010918389</v>
      </c>
      <c r="AP12" s="580">
        <f>'Group Model'!BQ74</f>
        <v>-7818.9090339356471</v>
      </c>
      <c r="AQ12" s="580">
        <f>'Group Model'!BR74</f>
        <v>-8132.9437245421359</v>
      </c>
      <c r="AR12" s="580">
        <f>'Group Model'!BS74</f>
        <v>-8378.4555897004793</v>
      </c>
      <c r="AS12" s="580">
        <f>'Group Model'!BT74</f>
        <v>-8624.6310829322811</v>
      </c>
    </row>
    <row r="13" spans="1:45" ht="15.95" customHeight="1">
      <c r="B13" t="s">
        <v>21</v>
      </c>
      <c r="C13" s="580">
        <f>'Group Model'!R75</f>
        <v>-418</v>
      </c>
      <c r="D13" s="580">
        <f>'Group Model'!S75</f>
        <v>-434</v>
      </c>
      <c r="E13" s="580">
        <f>'Group Model'!T75</f>
        <v>-422</v>
      </c>
      <c r="F13" s="580">
        <f>'Group Model'!U75</f>
        <v>-408</v>
      </c>
      <c r="G13" s="580">
        <f>'Group Model'!V75</f>
        <v>-579</v>
      </c>
      <c r="H13" s="580">
        <f>'Group Model'!W75</f>
        <v>-561</v>
      </c>
      <c r="I13" s="580">
        <f>'Group Model'!X75</f>
        <v>-482</v>
      </c>
      <c r="J13" s="580">
        <f>'Group Model'!Y75</f>
        <v>-482</v>
      </c>
      <c r="K13" s="580">
        <f>'Group Model'!Z75</f>
        <v>-471</v>
      </c>
      <c r="L13" s="580">
        <f>'Group Model'!AA75</f>
        <v>-408</v>
      </c>
      <c r="M13" s="580">
        <f>'Group Model'!AB75</f>
        <v>-498</v>
      </c>
      <c r="N13" s="580">
        <f>'Group Model'!AC75</f>
        <v>-531</v>
      </c>
      <c r="O13" s="580">
        <f>'Group Model'!AD75</f>
        <v>-500</v>
      </c>
      <c r="P13" s="580">
        <f>'Group Model'!AE75</f>
        <v>-528</v>
      </c>
      <c r="Q13" s="580">
        <f>'Group Model'!AF75</f>
        <v>-529</v>
      </c>
      <c r="R13" s="580">
        <f>'Group Model'!AG75</f>
        <v>-542</v>
      </c>
      <c r="S13" s="580">
        <f>'Group Model'!AH75</f>
        <v>-580</v>
      </c>
      <c r="T13" s="580">
        <f>'Group Model'!AI75</f>
        <v>-626</v>
      </c>
      <c r="U13" s="581">
        <f>'Group Model'!AJ75</f>
        <v>-628</v>
      </c>
      <c r="V13" s="580">
        <f>'Group Model'!AK75</f>
        <v>-644.96629976080544</v>
      </c>
      <c r="W13" s="580">
        <f>'Group Model'!AL75</f>
        <v>-653.34575925511217</v>
      </c>
      <c r="X13" s="580">
        <f>'Group Model'!AM75</f>
        <v>-623.82472620162173</v>
      </c>
      <c r="Y13" s="580">
        <f>'Group Model'!AN75</f>
        <v>-655.67131284859454</v>
      </c>
      <c r="Z13" s="580">
        <f>'Group Model'!AO75</f>
        <v>-632.11193937638575</v>
      </c>
      <c r="AA13" s="580">
        <f>'Group Model'!AP75</f>
        <v>-656.09628719081343</v>
      </c>
      <c r="AB13" s="580">
        <f>'Group Model'!AQ75</f>
        <v>-634.90346000207262</v>
      </c>
      <c r="AC13" s="580">
        <f>'Group Model'!AR75</f>
        <v>-660.30000659528378</v>
      </c>
      <c r="AD13" s="580">
        <f>'Group Model'!AS75</f>
        <v>-636.77117491658657</v>
      </c>
      <c r="AE13" s="580"/>
      <c r="AF13" s="580">
        <f>'Group Model'!BG75</f>
        <v>-852</v>
      </c>
      <c r="AG13" s="580">
        <f>'Group Model'!BH75</f>
        <v>-830</v>
      </c>
      <c r="AH13" s="580">
        <f>'Group Model'!BI75</f>
        <v>-1140</v>
      </c>
      <c r="AI13" s="580">
        <f>'Group Model'!BJ75</f>
        <v>-964</v>
      </c>
      <c r="AJ13" s="580">
        <f>'Group Model'!BK75</f>
        <v>-879</v>
      </c>
      <c r="AK13" s="580">
        <f>'Group Model'!BL75</f>
        <v>-1029</v>
      </c>
      <c r="AL13" s="580">
        <f>'Group Model'!BM75</f>
        <v>-1028</v>
      </c>
      <c r="AM13" s="580">
        <f>'Group Model'!BN75</f>
        <v>-1071</v>
      </c>
      <c r="AN13" s="581">
        <f>'Group Model'!BO75</f>
        <v>-1206</v>
      </c>
      <c r="AO13" s="580">
        <f>'Group Model'!BP75</f>
        <v>-1272.9662997608054</v>
      </c>
      <c r="AP13" s="580">
        <f>'Group Model'!BQ75</f>
        <v>-1277.1704854567338</v>
      </c>
      <c r="AQ13" s="580">
        <f>'Group Model'!BR75</f>
        <v>-1287.7832522249803</v>
      </c>
      <c r="AR13" s="580">
        <f>'Group Model'!BS75</f>
        <v>-1290.9997471928859</v>
      </c>
      <c r="AS13" s="580">
        <f>'Group Model'!BT75</f>
        <v>-1297.0711815118702</v>
      </c>
    </row>
    <row r="14" spans="1:45" ht="15.95" customHeight="1">
      <c r="B14" t="s">
        <v>11</v>
      </c>
      <c r="C14" s="580">
        <f>'Group Model'!R76</f>
        <v>-1025</v>
      </c>
      <c r="D14" s="580">
        <f>'Group Model'!S76</f>
        <v>-1004</v>
      </c>
      <c r="E14" s="580">
        <f>'Group Model'!T76</f>
        <v>-1010</v>
      </c>
      <c r="F14" s="580">
        <f>'Group Model'!U76</f>
        <v>-1123</v>
      </c>
      <c r="G14" s="580">
        <f>'Group Model'!V76</f>
        <v>-1092</v>
      </c>
      <c r="H14" s="580">
        <f>'Group Model'!W76</f>
        <v>-1438</v>
      </c>
      <c r="I14" s="580">
        <f>'Group Model'!X76</f>
        <v>-1222</v>
      </c>
      <c r="J14" s="580">
        <f>'Group Model'!Y76</f>
        <v>-1362</v>
      </c>
      <c r="K14" s="580">
        <f>'Group Model'!Z76</f>
        <v>-1180</v>
      </c>
      <c r="L14" s="580">
        <f>'Group Model'!AA76</f>
        <v>-1291</v>
      </c>
      <c r="M14" s="580">
        <f>'Group Model'!AB76</f>
        <v>-1407</v>
      </c>
      <c r="N14" s="580">
        <f>'Group Model'!AC76</f>
        <v>-1624</v>
      </c>
      <c r="O14" s="580">
        <f>'Group Model'!AD76</f>
        <v>-1483</v>
      </c>
      <c r="P14" s="580">
        <f>'Group Model'!AE76</f>
        <v>-1916</v>
      </c>
      <c r="Q14" s="580">
        <f>'Group Model'!AF76</f>
        <v>-1656</v>
      </c>
      <c r="R14" s="580">
        <f>'Group Model'!AG76</f>
        <v>-1611</v>
      </c>
      <c r="S14" s="580">
        <f>'Group Model'!AH76</f>
        <v>-1583</v>
      </c>
      <c r="T14" s="580">
        <f>'Group Model'!AI76</f>
        <v>-1691</v>
      </c>
      <c r="U14" s="581">
        <f>'Group Model'!AJ76</f>
        <v>-1655</v>
      </c>
      <c r="V14" s="580">
        <f>'Group Model'!AK76</f>
        <v>-1788.7778991473542</v>
      </c>
      <c r="W14" s="580">
        <f>'Group Model'!AL76</f>
        <v>-1586.0567931853384</v>
      </c>
      <c r="X14" s="580">
        <f>'Group Model'!AM76</f>
        <v>-1791.2690374222789</v>
      </c>
      <c r="Y14" s="580">
        <f>'Group Model'!AN76</f>
        <v>-1620.7530377377002</v>
      </c>
      <c r="Z14" s="580">
        <f>'Group Model'!AO76</f>
        <v>-1837.311009370183</v>
      </c>
      <c r="AA14" s="580">
        <f>'Group Model'!AP76</f>
        <v>-1694.1983853839752</v>
      </c>
      <c r="AB14" s="580">
        <f>'Group Model'!AQ76</f>
        <v>-1933.6980098735953</v>
      </c>
      <c r="AC14" s="580">
        <f>'Group Model'!AR76</f>
        <v>-1770.4171330888407</v>
      </c>
      <c r="AD14" s="580">
        <f>'Group Model'!AS76</f>
        <v>-2037.3962659128479</v>
      </c>
      <c r="AE14" s="580"/>
      <c r="AF14" s="580">
        <f>'Group Model'!BG76</f>
        <v>-2029</v>
      </c>
      <c r="AG14" s="580">
        <f>'Group Model'!BH76</f>
        <v>-2133</v>
      </c>
      <c r="AH14" s="580">
        <f>'Group Model'!BI76</f>
        <v>-2530</v>
      </c>
      <c r="AI14" s="580">
        <f>'Group Model'!BJ76</f>
        <v>-2584</v>
      </c>
      <c r="AJ14" s="580">
        <f>'Group Model'!BK76</f>
        <v>-2471</v>
      </c>
      <c r="AK14" s="580">
        <f>'Group Model'!BL76</f>
        <v>-3031</v>
      </c>
      <c r="AL14" s="580">
        <f>'Group Model'!BM76</f>
        <v>-3399</v>
      </c>
      <c r="AM14" s="580">
        <f>'Group Model'!BN76</f>
        <v>-3267</v>
      </c>
      <c r="AN14" s="581">
        <f>'Group Model'!BO76</f>
        <v>-3274</v>
      </c>
      <c r="AO14" s="580">
        <f>'Group Model'!BP76</f>
        <v>-3443.7778991473542</v>
      </c>
      <c r="AP14" s="580">
        <f>'Group Model'!BQ76</f>
        <v>-3377.3258306076173</v>
      </c>
      <c r="AQ14" s="580">
        <f>'Group Model'!BR76</f>
        <v>-3458.0640471078832</v>
      </c>
      <c r="AR14" s="580">
        <f>'Group Model'!BS76</f>
        <v>-3627.8963952575705</v>
      </c>
      <c r="AS14" s="580">
        <f>'Group Model'!BT76</f>
        <v>-3807.8133990016886</v>
      </c>
    </row>
    <row r="15" spans="1:45" s="584" customFormat="1" ht="15.95" customHeight="1">
      <c r="A15" s="583"/>
      <c r="B15" s="584" t="s">
        <v>1924</v>
      </c>
      <c r="C15" s="585">
        <f t="shared" ref="C15:S15" si="2">SUM(C12:C14)</f>
        <v>-3733</v>
      </c>
      <c r="D15" s="585">
        <f t="shared" si="2"/>
        <v>-3527</v>
      </c>
      <c r="E15" s="585">
        <f t="shared" si="2"/>
        <v>-3693</v>
      </c>
      <c r="F15" s="585">
        <f t="shared" si="2"/>
        <v>-3763</v>
      </c>
      <c r="G15" s="585">
        <f t="shared" si="2"/>
        <v>-4125</v>
      </c>
      <c r="H15" s="585">
        <f t="shared" si="2"/>
        <v>-4762</v>
      </c>
      <c r="I15" s="585">
        <f t="shared" si="2"/>
        <v>-4480</v>
      </c>
      <c r="J15" s="585">
        <f t="shared" si="2"/>
        <v>-4391</v>
      </c>
      <c r="K15" s="585">
        <f t="shared" si="2"/>
        <v>-4266</v>
      </c>
      <c r="L15" s="585">
        <f t="shared" si="2"/>
        <v>-4601</v>
      </c>
      <c r="M15" s="585">
        <f t="shared" si="2"/>
        <v>-5069</v>
      </c>
      <c r="N15" s="585">
        <f t="shared" si="2"/>
        <v>-5716</v>
      </c>
      <c r="O15" s="585">
        <f t="shared" si="2"/>
        <v>-5596</v>
      </c>
      <c r="P15" s="585">
        <f t="shared" si="2"/>
        <v>-6534</v>
      </c>
      <c r="Q15" s="585">
        <f t="shared" si="2"/>
        <v>-5919</v>
      </c>
      <c r="R15" s="585">
        <f t="shared" si="2"/>
        <v>-6142</v>
      </c>
      <c r="S15" s="585">
        <f t="shared" si="2"/>
        <v>-5919</v>
      </c>
      <c r="T15" s="585">
        <f>SUM(T12:T14)</f>
        <v>-6221</v>
      </c>
      <c r="U15" s="586">
        <f t="shared" ref="U15:AS15" si="3">SUM(U12:U14)</f>
        <v>-6239</v>
      </c>
      <c r="V15" s="585">
        <f t="shared" si="3"/>
        <v>-6363.7799999999988</v>
      </c>
      <c r="W15" s="585">
        <f t="shared" si="3"/>
        <v>-6082.4575000000004</v>
      </c>
      <c r="X15" s="585">
        <f t="shared" si="3"/>
        <v>-6390.9478499999987</v>
      </c>
      <c r="Y15" s="585">
        <f t="shared" si="3"/>
        <v>-6280.13736875</v>
      </c>
      <c r="Z15" s="585">
        <f t="shared" si="3"/>
        <v>-6598.6536551249992</v>
      </c>
      <c r="AA15" s="585">
        <f t="shared" si="3"/>
        <v>-6484.2418332343732</v>
      </c>
      <c r="AB15" s="585">
        <f t="shared" si="3"/>
        <v>-6813.1098989165603</v>
      </c>
      <c r="AC15" s="585">
        <f t="shared" si="3"/>
        <v>-6694.9796928144915</v>
      </c>
      <c r="AD15" s="585">
        <f t="shared" si="3"/>
        <v>-7034.5359706313484</v>
      </c>
      <c r="AE15" s="585"/>
      <c r="AF15" s="585">
        <f t="shared" si="3"/>
        <v>-7260</v>
      </c>
      <c r="AG15" s="585">
        <f t="shared" si="3"/>
        <v>-7456</v>
      </c>
      <c r="AH15" s="585">
        <f t="shared" si="3"/>
        <v>-8887</v>
      </c>
      <c r="AI15" s="585">
        <f t="shared" si="3"/>
        <v>-8871</v>
      </c>
      <c r="AJ15" s="585">
        <f t="shared" si="3"/>
        <v>-8867</v>
      </c>
      <c r="AK15" s="585">
        <f t="shared" si="3"/>
        <v>-10785</v>
      </c>
      <c r="AL15" s="585">
        <f t="shared" si="3"/>
        <v>-12130</v>
      </c>
      <c r="AM15" s="585">
        <f t="shared" si="3"/>
        <v>-12061</v>
      </c>
      <c r="AN15" s="586">
        <f t="shared" si="3"/>
        <v>-12140</v>
      </c>
      <c r="AO15" s="585">
        <f t="shared" si="3"/>
        <v>-12602.779999999999</v>
      </c>
      <c r="AP15" s="585">
        <f t="shared" si="3"/>
        <v>-12473.405349999997</v>
      </c>
      <c r="AQ15" s="585">
        <f t="shared" si="3"/>
        <v>-12878.791023875001</v>
      </c>
      <c r="AR15" s="585">
        <f t="shared" si="3"/>
        <v>-13297.351732150935</v>
      </c>
      <c r="AS15" s="585">
        <f t="shared" si="3"/>
        <v>-13729.51566344584</v>
      </c>
    </row>
    <row r="16" spans="1:45" ht="15.95" customHeight="1">
      <c r="U16" s="587"/>
      <c r="AN16" s="587"/>
    </row>
    <row r="17" spans="1:45" s="584" customFormat="1" ht="15.95" customHeight="1">
      <c r="A17" s="583"/>
      <c r="B17" s="584" t="s">
        <v>1925</v>
      </c>
      <c r="C17" s="585">
        <f>'Group Model'!R77</f>
        <v>1485</v>
      </c>
      <c r="D17" s="585">
        <f>'Group Model'!S77</f>
        <v>1619</v>
      </c>
      <c r="E17" s="585">
        <f>'Group Model'!T77</f>
        <v>1704</v>
      </c>
      <c r="F17" s="585">
        <f>'Group Model'!U77</f>
        <v>1760</v>
      </c>
      <c r="G17" s="585">
        <f>'Group Model'!V77</f>
        <v>1705</v>
      </c>
      <c r="H17" s="585">
        <f>'Group Model'!W77</f>
        <v>2162</v>
      </c>
      <c r="I17" s="585">
        <f>'Group Model'!X77</f>
        <v>1840</v>
      </c>
      <c r="J17" s="585">
        <f>'Group Model'!Y77</f>
        <v>1614</v>
      </c>
      <c r="K17" s="585">
        <f>'Group Model'!Z77</f>
        <v>1253</v>
      </c>
      <c r="L17" s="585">
        <f>'Group Model'!AA77</f>
        <v>2654</v>
      </c>
      <c r="M17" s="585">
        <f>'Group Model'!AB77</f>
        <v>2735</v>
      </c>
      <c r="N17" s="585">
        <f>'Group Model'!AC77</f>
        <v>3804</v>
      </c>
      <c r="O17" s="585">
        <f>'Group Model'!AD77</f>
        <v>3028</v>
      </c>
      <c r="P17" s="585">
        <f>'Group Model'!AE77</f>
        <v>3964</v>
      </c>
      <c r="Q17" s="585">
        <f>'Group Model'!AF77</f>
        <v>1991</v>
      </c>
      <c r="R17" s="585">
        <f>'Group Model'!AG77</f>
        <v>2835</v>
      </c>
      <c r="S17" s="585">
        <f>'Group Model'!AH77</f>
        <v>2297</v>
      </c>
      <c r="T17" s="585">
        <f>'Group Model'!AI77</f>
        <v>2771</v>
      </c>
      <c r="U17" s="586">
        <f>'Group Model'!AJ77</f>
        <v>2452</v>
      </c>
      <c r="V17" s="585">
        <f>'Group Model'!AK77</f>
        <v>3608.411508802099</v>
      </c>
      <c r="W17" s="585">
        <f>'Group Model'!AL77</f>
        <v>3078.699937438465</v>
      </c>
      <c r="X17" s="585">
        <f>'Group Model'!AM77</f>
        <v>3230.1866536601469</v>
      </c>
      <c r="Y17" s="585">
        <f>'Group Model'!AN77</f>
        <v>3353.6488759986619</v>
      </c>
      <c r="Z17" s="585">
        <f>'Group Model'!AO77</f>
        <v>3609.8848118999999</v>
      </c>
      <c r="AA17" s="585">
        <f>'Group Model'!AP77</f>
        <v>3586.7665369404981</v>
      </c>
      <c r="AB17" s="585">
        <f>'Group Model'!AQ77</f>
        <v>3803.6356728968326</v>
      </c>
      <c r="AC17" s="585">
        <f>'Group Model'!AR77</f>
        <v>3824.1702635768029</v>
      </c>
      <c r="AD17" s="585">
        <f>'Group Model'!AS77</f>
        <v>3944.0964391588918</v>
      </c>
      <c r="AE17" s="585"/>
      <c r="AF17" s="585">
        <f>'Group Model'!BG77</f>
        <v>3104</v>
      </c>
      <c r="AG17" s="585">
        <f>'Group Model'!BH77</f>
        <v>3464</v>
      </c>
      <c r="AH17" s="585">
        <f>'Group Model'!BI77</f>
        <v>3867</v>
      </c>
      <c r="AI17" s="585">
        <f>'Group Model'!BJ77</f>
        <v>3454</v>
      </c>
      <c r="AJ17" s="585">
        <f>'Group Model'!BK77</f>
        <v>3907</v>
      </c>
      <c r="AK17" s="585">
        <f>'Group Model'!BL77</f>
        <v>6539</v>
      </c>
      <c r="AL17" s="585">
        <f>'Group Model'!BM77</f>
        <v>6992</v>
      </c>
      <c r="AM17" s="585">
        <f>'Group Model'!BN77</f>
        <v>4826</v>
      </c>
      <c r="AN17" s="586">
        <f>'Group Model'!BO77</f>
        <v>5068</v>
      </c>
      <c r="AO17" s="585">
        <f>'Group Model'!BP77</f>
        <v>6060.4115088020999</v>
      </c>
      <c r="AP17" s="585">
        <f>'Group Model'!BQ77</f>
        <v>6308.8865910986115</v>
      </c>
      <c r="AQ17" s="585">
        <f>'Group Model'!BR77</f>
        <v>6963.5336878986609</v>
      </c>
      <c r="AR17" s="585">
        <f>'Group Model'!BS77</f>
        <v>7390.4022098373352</v>
      </c>
      <c r="AS17" s="585">
        <f>'Group Model'!BT77</f>
        <v>7768.2667027356947</v>
      </c>
    </row>
    <row r="18" spans="1:45" ht="15.95" customHeight="1">
      <c r="B18" s="582" t="s">
        <v>1926</v>
      </c>
      <c r="C18" s="580">
        <f>'Group Model'!R78</f>
        <v>-438</v>
      </c>
      <c r="D18" s="580">
        <f>'Group Model'!S78</f>
        <v>-430</v>
      </c>
      <c r="E18" s="580">
        <f>'Group Model'!T78</f>
        <v>-448</v>
      </c>
      <c r="F18" s="580">
        <f>'Group Model'!U78</f>
        <v>-435</v>
      </c>
      <c r="G18" s="580">
        <f>'Group Model'!V78</f>
        <v>-374</v>
      </c>
      <c r="H18" s="580">
        <f>'Group Model'!W78</f>
        <v>-505</v>
      </c>
      <c r="I18" s="580">
        <f>'Group Model'!X78</f>
        <v>-376</v>
      </c>
      <c r="J18" s="580">
        <f>'Group Model'!Y78</f>
        <v>-352</v>
      </c>
      <c r="K18" s="580">
        <f>'Group Model'!Z78</f>
        <v>-275</v>
      </c>
      <c r="L18" s="580">
        <f>'Group Model'!AA78</f>
        <v>-624</v>
      </c>
      <c r="M18" s="580">
        <f>'Group Model'!AB78</f>
        <v>-603</v>
      </c>
      <c r="N18" s="580">
        <f>'Group Model'!AC78</f>
        <v>-983</v>
      </c>
      <c r="O18" s="580">
        <f>'Group Model'!AD78</f>
        <v>-735</v>
      </c>
      <c r="P18" s="580">
        <f>'Group Model'!AE78</f>
        <v>-1089</v>
      </c>
      <c r="Q18" s="580">
        <f>'Group Model'!AF78</f>
        <v>-587</v>
      </c>
      <c r="R18" s="580">
        <f>'Group Model'!AG78</f>
        <v>-704</v>
      </c>
      <c r="S18" s="580">
        <f>'Group Model'!AH78</f>
        <v>-686</v>
      </c>
      <c r="T18" s="580">
        <f>'Group Model'!AI78</f>
        <v>-640</v>
      </c>
      <c r="U18" s="581">
        <f>'Group Model'!AJ78</f>
        <v>-771</v>
      </c>
      <c r="V18" s="580">
        <f>'Group Model'!AK78</f>
        <v>-1082.5234526406296</v>
      </c>
      <c r="W18" s="580">
        <f>'Group Model'!AL78</f>
        <v>-923.60998123153945</v>
      </c>
      <c r="X18" s="580">
        <f>'Group Model'!AM78</f>
        <v>-742.9429303418342</v>
      </c>
      <c r="Y18" s="580">
        <f>'Group Model'!AN78</f>
        <v>-1006.0946627995985</v>
      </c>
      <c r="Z18" s="580">
        <f>'Group Model'!AO78</f>
        <v>-830.27350673700005</v>
      </c>
      <c r="AA18" s="580">
        <f>'Group Model'!AP78</f>
        <v>-1076.0299610821494</v>
      </c>
      <c r="AB18" s="580">
        <f>'Group Model'!AQ78</f>
        <v>-874.83620476627152</v>
      </c>
      <c r="AC18" s="580">
        <f>'Group Model'!AR78</f>
        <v>-1147.2510790730407</v>
      </c>
      <c r="AD18" s="580">
        <f>'Group Model'!AS78</f>
        <v>-907.14218100654512</v>
      </c>
      <c r="AE18" s="580"/>
      <c r="AF18" s="580">
        <f>'Group Model'!BG78</f>
        <v>-868</v>
      </c>
      <c r="AG18" s="580">
        <f>'Group Model'!BH78</f>
        <v>-883</v>
      </c>
      <c r="AH18" s="580">
        <f>'Group Model'!BI78</f>
        <v>-879</v>
      </c>
      <c r="AI18" s="580">
        <f>'Group Model'!BJ78</f>
        <v>-728</v>
      </c>
      <c r="AJ18" s="580">
        <f>'Group Model'!BK78</f>
        <v>-899</v>
      </c>
      <c r="AK18" s="580">
        <f>'Group Model'!BL78</f>
        <v>-1586</v>
      </c>
      <c r="AL18" s="580">
        <f>'Group Model'!BM78</f>
        <v>-1824</v>
      </c>
      <c r="AM18" s="580">
        <f>'Group Model'!BN78</f>
        <v>-1291</v>
      </c>
      <c r="AN18" s="581">
        <f>'Group Model'!BO78</f>
        <v>-1326</v>
      </c>
      <c r="AO18" s="580">
        <f>'Group Model'!BP78</f>
        <v>-1853.5234526406296</v>
      </c>
      <c r="AP18" s="580">
        <f>'Group Model'!BQ78</f>
        <v>-1666.5529115733736</v>
      </c>
      <c r="AQ18" s="580">
        <f>'Group Model'!BR78</f>
        <v>-1836.3681695365985</v>
      </c>
      <c r="AR18" s="580">
        <f>'Group Model'!BS78</f>
        <v>-1950.8661658484209</v>
      </c>
      <c r="AS18" s="580">
        <f>'Group Model'!BT78</f>
        <v>-2054.3932600795861</v>
      </c>
    </row>
    <row r="19" spans="1:45" ht="15.95" customHeight="1">
      <c r="B19" s="582" t="s">
        <v>16</v>
      </c>
      <c r="C19" s="580">
        <f>'Group Model'!R79</f>
        <v>3</v>
      </c>
      <c r="D19" s="580">
        <f>'Group Model'!S79</f>
        <v>-22</v>
      </c>
      <c r="E19" s="580">
        <f>'Group Model'!T79</f>
        <v>-8</v>
      </c>
      <c r="F19" s="580">
        <f>'Group Model'!U79</f>
        <v>-16</v>
      </c>
      <c r="G19" s="580">
        <f>'Group Model'!V79</f>
        <v>-21</v>
      </c>
      <c r="H19" s="580">
        <f>'Group Model'!W79</f>
        <v>15</v>
      </c>
      <c r="I19" s="580">
        <f>'Group Model'!X79</f>
        <v>-7</v>
      </c>
      <c r="J19" s="580">
        <f>'Group Model'!Y79</f>
        <v>12</v>
      </c>
      <c r="K19" s="580">
        <f>'Group Model'!Z79</f>
        <v>7</v>
      </c>
      <c r="L19" s="580">
        <f>'Group Model'!AA79</f>
        <v>0</v>
      </c>
      <c r="M19" s="580">
        <f>'Group Model'!AB79</f>
        <v>-89</v>
      </c>
      <c r="N19" s="580">
        <f>'Group Model'!AC79</f>
        <v>-158</v>
      </c>
      <c r="O19" s="580">
        <f>'Group Model'!AD79</f>
        <v>12</v>
      </c>
      <c r="P19" s="580">
        <f>'Group Model'!AE79</f>
        <v>2</v>
      </c>
      <c r="Q19" s="580">
        <f>'Group Model'!AF79</f>
        <v>11</v>
      </c>
      <c r="R19" s="580">
        <f>'Group Model'!AG79</f>
        <v>-24</v>
      </c>
      <c r="S19" s="580">
        <f>'Group Model'!AH79</f>
        <v>1</v>
      </c>
      <c r="T19" s="580">
        <f>'Group Model'!AI79</f>
        <v>-28</v>
      </c>
      <c r="U19" s="581">
        <f>'Group Model'!AJ79</f>
        <v>-26</v>
      </c>
      <c r="V19" s="580">
        <f>'Group Model'!AK79</f>
        <v>-26</v>
      </c>
      <c r="W19" s="580">
        <f>'Group Model'!AL79</f>
        <v>-26</v>
      </c>
      <c r="X19" s="580">
        <f>'Group Model'!AM79</f>
        <v>-26</v>
      </c>
      <c r="Y19" s="580">
        <f>'Group Model'!AN79</f>
        <v>-26</v>
      </c>
      <c r="Z19" s="580">
        <f>'Group Model'!AO79</f>
        <v>-26</v>
      </c>
      <c r="AA19" s="580">
        <f>'Group Model'!AP79</f>
        <v>-26</v>
      </c>
      <c r="AB19" s="580">
        <f>'Group Model'!AQ79</f>
        <v>-26</v>
      </c>
      <c r="AC19" s="580">
        <f>'Group Model'!AR79</f>
        <v>-26</v>
      </c>
      <c r="AD19" s="580">
        <f>'Group Model'!AS79</f>
        <v>-26</v>
      </c>
      <c r="AE19" s="580"/>
      <c r="AF19" s="580">
        <f>'Group Model'!BG79</f>
        <v>-19</v>
      </c>
      <c r="AG19" s="580">
        <f>'Group Model'!BH79</f>
        <v>-24</v>
      </c>
      <c r="AH19" s="580">
        <f>'Group Model'!BI79</f>
        <v>-6</v>
      </c>
      <c r="AI19" s="580">
        <f>'Group Model'!BJ79</f>
        <v>5</v>
      </c>
      <c r="AJ19" s="580">
        <f>'Group Model'!BK79</f>
        <v>7</v>
      </c>
      <c r="AK19" s="580">
        <f>'Group Model'!BL79</f>
        <v>-247</v>
      </c>
      <c r="AL19" s="580">
        <f>'Group Model'!BM79</f>
        <v>14</v>
      </c>
      <c r="AM19" s="580">
        <f>'Group Model'!BN79</f>
        <v>-13</v>
      </c>
      <c r="AN19" s="581">
        <f>'Group Model'!BO79</f>
        <v>-27</v>
      </c>
      <c r="AO19" s="580">
        <f>'Group Model'!BP79</f>
        <v>-52</v>
      </c>
      <c r="AP19" s="580">
        <f>'Group Model'!BQ79</f>
        <v>-52</v>
      </c>
      <c r="AQ19" s="580">
        <f>'Group Model'!BR79</f>
        <v>-52</v>
      </c>
      <c r="AR19" s="580">
        <f>'Group Model'!BS79</f>
        <v>-52</v>
      </c>
      <c r="AS19" s="580">
        <f>'Group Model'!BT79</f>
        <v>-52</v>
      </c>
    </row>
    <row r="20" spans="1:45" s="584" customFormat="1" ht="15.95" customHeight="1">
      <c r="A20" s="583"/>
      <c r="B20" s="584" t="s">
        <v>128</v>
      </c>
      <c r="C20" s="585">
        <f>'Group Model'!R81</f>
        <v>1050</v>
      </c>
      <c r="D20" s="585">
        <f>'Group Model'!S81</f>
        <v>1167</v>
      </c>
      <c r="E20" s="585">
        <f>'Group Model'!T81</f>
        <v>1248</v>
      </c>
      <c r="F20" s="585">
        <f>'Group Model'!U81</f>
        <v>1309</v>
      </c>
      <c r="G20" s="585">
        <f>'Group Model'!V81</f>
        <v>1310</v>
      </c>
      <c r="H20" s="585">
        <f>'Group Model'!W81</f>
        <v>1672</v>
      </c>
      <c r="I20" s="585">
        <f>'Group Model'!X81</f>
        <v>1457</v>
      </c>
      <c r="J20" s="585">
        <f>'Group Model'!Y81</f>
        <v>1274</v>
      </c>
      <c r="K20" s="585">
        <f>'Group Model'!Z81</f>
        <v>985</v>
      </c>
      <c r="L20" s="585">
        <f>'Group Model'!AA81</f>
        <v>2030</v>
      </c>
      <c r="M20" s="585">
        <f>'Group Model'!AB81</f>
        <v>2043</v>
      </c>
      <c r="N20" s="585">
        <f>'Group Model'!AC81</f>
        <v>2663</v>
      </c>
      <c r="O20" s="585">
        <f>'Group Model'!AD81</f>
        <v>2305</v>
      </c>
      <c r="P20" s="585">
        <f>'Group Model'!AE81</f>
        <v>2877</v>
      </c>
      <c r="Q20" s="585">
        <f>'Group Model'!AF81</f>
        <v>1415</v>
      </c>
      <c r="R20" s="585">
        <f>'Group Model'!AG81</f>
        <v>2107</v>
      </c>
      <c r="S20" s="585">
        <f>'Group Model'!AH81</f>
        <v>1612</v>
      </c>
      <c r="T20" s="585">
        <f>'Group Model'!AI81</f>
        <v>2103</v>
      </c>
      <c r="U20" s="586">
        <f>'Group Model'!AJ81</f>
        <v>1655</v>
      </c>
      <c r="V20" s="585">
        <f>'Group Model'!AK81</f>
        <v>2499.8880561614696</v>
      </c>
      <c r="W20" s="585">
        <f>'Group Model'!AL81</f>
        <v>2129.0899562069253</v>
      </c>
      <c r="X20" s="585">
        <f>'Group Model'!AM81</f>
        <v>2461.2437233183127</v>
      </c>
      <c r="Y20" s="585">
        <f>'Group Model'!AN81</f>
        <v>2321.5542131990633</v>
      </c>
      <c r="Z20" s="585">
        <f>'Group Model'!AO81</f>
        <v>2753.611305163</v>
      </c>
      <c r="AA20" s="585">
        <f>'Group Model'!AP81</f>
        <v>2484.7365758583487</v>
      </c>
      <c r="AB20" s="585">
        <f>'Group Model'!AQ81</f>
        <v>2902.7994681305609</v>
      </c>
      <c r="AC20" s="585">
        <f>'Group Model'!AR81</f>
        <v>2650.9191845037622</v>
      </c>
      <c r="AD20" s="585">
        <f>'Group Model'!AS81</f>
        <v>3010.9542581523465</v>
      </c>
      <c r="AE20" s="585"/>
      <c r="AF20" s="585">
        <f>'Group Model'!BG81</f>
        <v>2217</v>
      </c>
      <c r="AG20" s="585">
        <f>'Group Model'!BH81</f>
        <v>2557</v>
      </c>
      <c r="AH20" s="585">
        <f>'Group Model'!BI81</f>
        <v>2982</v>
      </c>
      <c r="AI20" s="585">
        <f>'Group Model'!BJ81</f>
        <v>2731</v>
      </c>
      <c r="AJ20" s="585">
        <f>'Group Model'!BK81</f>
        <v>3015</v>
      </c>
      <c r="AK20" s="585">
        <f>'Group Model'!BL81</f>
        <v>4706</v>
      </c>
      <c r="AL20" s="585">
        <f>'Group Model'!BM81</f>
        <v>5182</v>
      </c>
      <c r="AM20" s="585">
        <f>'Group Model'!BN81</f>
        <v>3522</v>
      </c>
      <c r="AN20" s="586">
        <f>'Group Model'!BO81</f>
        <v>3715</v>
      </c>
      <c r="AO20" s="585">
        <f>'Group Model'!BP81</f>
        <v>4154.8880561614706</v>
      </c>
      <c r="AP20" s="585">
        <f>'Group Model'!BQ81</f>
        <v>4590.333679525238</v>
      </c>
      <c r="AQ20" s="585">
        <f>'Group Model'!BR81</f>
        <v>5075.1655183620624</v>
      </c>
      <c r="AR20" s="585">
        <f>'Group Model'!BS81</f>
        <v>5387.5360439889146</v>
      </c>
      <c r="AS20" s="585">
        <f>'Group Model'!BT81</f>
        <v>5661.8734426561086</v>
      </c>
    </row>
    <row r="21" spans="1:45" ht="15.95" customHeight="1"/>
    <row r="22" spans="1:45" ht="15.95" customHeight="1">
      <c r="B22" s="588" t="s">
        <v>1927</v>
      </c>
      <c r="C22" s="589"/>
      <c r="D22" s="589"/>
      <c r="E22" s="589"/>
      <c r="F22" s="589"/>
      <c r="G22" s="589"/>
      <c r="H22" s="589"/>
      <c r="I22" s="589"/>
      <c r="J22" s="589"/>
      <c r="K22" s="589"/>
      <c r="L22" s="589"/>
      <c r="M22" s="589"/>
      <c r="N22" s="589"/>
      <c r="O22" s="589"/>
      <c r="P22" s="589"/>
      <c r="Q22" s="589"/>
      <c r="R22" s="589"/>
      <c r="S22" s="589"/>
      <c r="T22" s="589"/>
      <c r="U22" s="589"/>
      <c r="V22" s="589"/>
      <c r="W22" s="589"/>
      <c r="X22" s="589"/>
      <c r="Y22" s="589"/>
      <c r="Z22" s="589"/>
      <c r="AA22" s="589"/>
      <c r="AB22" s="589"/>
      <c r="AC22" s="589"/>
      <c r="AD22" s="589"/>
      <c r="AE22" s="589"/>
      <c r="AF22" s="589"/>
      <c r="AG22" s="589"/>
      <c r="AH22" s="589"/>
      <c r="AI22" s="589"/>
      <c r="AJ22" s="589"/>
      <c r="AK22" s="589"/>
      <c r="AL22" s="589"/>
      <c r="AM22" s="589"/>
      <c r="AN22" s="589"/>
      <c r="AO22" s="589"/>
      <c r="AP22" s="589"/>
      <c r="AQ22" s="589"/>
      <c r="AR22" s="589"/>
      <c r="AS22" s="590"/>
    </row>
    <row r="23" spans="1:45" ht="15.95" customHeight="1">
      <c r="B23" s="572" t="s">
        <v>1928</v>
      </c>
      <c r="C23" s="591">
        <f>'Group Model'!R534</f>
        <v>0.71540820237638947</v>
      </c>
      <c r="D23" s="591">
        <f>'Group Model'!S534</f>
        <v>0.68538670812281388</v>
      </c>
      <c r="E23" s="591">
        <f>'Group Model'!T534</f>
        <v>0.68426903835464148</v>
      </c>
      <c r="F23" s="591">
        <f>'Group Model'!U534</f>
        <v>0.68133260908926307</v>
      </c>
      <c r="G23" s="591">
        <f>'Group Model'!V534</f>
        <v>0.70754716981132071</v>
      </c>
      <c r="H23" s="591">
        <f>'Group Model'!W534</f>
        <v>0.68775274407856735</v>
      </c>
      <c r="I23" s="591">
        <f>'Group Model'!X534</f>
        <v>0.70886075949367089</v>
      </c>
      <c r="J23" s="591">
        <f>'Group Model'!Y534</f>
        <v>0.73122398001665279</v>
      </c>
      <c r="K23" s="591">
        <f>'Group Model'!Z534</f>
        <v>0.77296611705019025</v>
      </c>
      <c r="L23" s="591">
        <f>'Group Model'!AA534</f>
        <v>0.6341833218470021</v>
      </c>
      <c r="M23" s="591">
        <f>'Group Model'!AB534</f>
        <v>0.64953869810353659</v>
      </c>
      <c r="N23" s="591">
        <f>'Group Model'!AC534</f>
        <v>0.60042016806722687</v>
      </c>
      <c r="O23" s="591">
        <f>'Group Model'!AD534</f>
        <v>0.64888682745825599</v>
      </c>
      <c r="P23" s="591">
        <f>'Group Model'!AE534</f>
        <v>0.62240426747951993</v>
      </c>
      <c r="Q23" s="591">
        <f>'Group Model'!AF534</f>
        <v>0.74829329962073321</v>
      </c>
      <c r="R23" s="591">
        <f>'Group Model'!AG534</f>
        <v>0.6841929375069622</v>
      </c>
      <c r="S23" s="591">
        <f>'Group Model'!AH534</f>
        <v>0.7204235637779941</v>
      </c>
      <c r="T23" s="591">
        <f>'Group Model'!AI534</f>
        <v>0.69183718861209964</v>
      </c>
      <c r="U23" s="591">
        <f>'Group Model'!AJ534</f>
        <v>0.71786905994707173</v>
      </c>
      <c r="V23" s="591">
        <f>'Group Model'!AK534</f>
        <v>0.63815260611300106</v>
      </c>
      <c r="W23" s="591">
        <f>'Group Model'!AL534</f>
        <v>0.66393985056332638</v>
      </c>
      <c r="X23" s="591">
        <f>'Group Model'!AM534</f>
        <v>0.66426135582749679</v>
      </c>
      <c r="Y23" s="591">
        <f>'Group Model'!AN534</f>
        <v>0.65188672544746129</v>
      </c>
      <c r="Z23" s="591">
        <f>'Group Model'!AO534</f>
        <v>0.6463857364538097</v>
      </c>
      <c r="AA23" s="591">
        <f>'Group Model'!AP534</f>
        <v>0.64385229312660985</v>
      </c>
      <c r="AB23" s="591">
        <f>'Group Model'!AQ534</f>
        <v>0.64173242664916264</v>
      </c>
      <c r="AC23" s="591">
        <f>'Group Model'!AR534</f>
        <v>0.63645634110831473</v>
      </c>
      <c r="AD23" s="591">
        <f>'Group Model'!AS534</f>
        <v>0.64074792816255266</v>
      </c>
      <c r="AE23" s="591"/>
      <c r="AF23" s="591">
        <f>'Group Model'!BG534</f>
        <v>0.70050173678116556</v>
      </c>
      <c r="AG23" s="591">
        <f>'Group Model'!BH534</f>
        <v>0.6827838827838828</v>
      </c>
      <c r="AH23" s="591">
        <f>'Group Model'!BI534</f>
        <v>0.6968010036067116</v>
      </c>
      <c r="AI23" s="591">
        <f>'Group Model'!BJ534</f>
        <v>0.71975659229208921</v>
      </c>
      <c r="AJ23" s="591">
        <f>'Group Model'!BK534</f>
        <v>0.6941443557225615</v>
      </c>
      <c r="AK23" s="591">
        <f>'Group Model'!BL534</f>
        <v>0.62254675594550912</v>
      </c>
      <c r="AL23" s="591">
        <f>'Group Model'!BM534</f>
        <v>0.63434787156155215</v>
      </c>
      <c r="AM23" s="591">
        <f>'Group Model'!BN534</f>
        <v>0.71421803754367263</v>
      </c>
      <c r="AN23" s="591">
        <f>'Group Model'!BO534</f>
        <v>0.70548582054858211</v>
      </c>
      <c r="AO23" s="591">
        <f>'Group Model'!BP534</f>
        <v>0.67527464389229275</v>
      </c>
      <c r="AP23" s="591">
        <f>'Group Model'!BQ534</f>
        <v>0.66410454001655805</v>
      </c>
      <c r="AQ23" s="591">
        <f>'Group Model'!BR534</f>
        <v>0.64905656020401825</v>
      </c>
      <c r="AR23" s="591">
        <f>'Group Model'!BS534</f>
        <v>0.64276439914351313</v>
      </c>
      <c r="AS23" s="592">
        <f>'Group Model'!BT534</f>
        <v>0.63864799771365888</v>
      </c>
    </row>
    <row r="24" spans="1:45" ht="15.95" customHeight="1">
      <c r="B24" s="593" t="s">
        <v>1929</v>
      </c>
      <c r="C24" s="591">
        <f>'Divisional Model'!Q67</f>
        <v>0.29435483870967744</v>
      </c>
      <c r="D24" s="591">
        <f>'Divisional Model'!R67</f>
        <v>0.26925485284909206</v>
      </c>
      <c r="E24" s="591">
        <f>'Divisional Model'!S67</f>
        <v>0.26415094339622641</v>
      </c>
      <c r="F24" s="591">
        <f>'Divisional Model'!T67</f>
        <v>0.24942660550458715</v>
      </c>
      <c r="G24" s="591">
        <f>'Divisional Model'!U67</f>
        <v>0.22209026128266032</v>
      </c>
      <c r="H24" s="591">
        <f>'Divisional Model'!V67</f>
        <v>0.23197060174552137</v>
      </c>
      <c r="I24" s="591">
        <f>'Divisional Model'!W67</f>
        <v>0.20512820512820512</v>
      </c>
      <c r="J24" s="591">
        <f>'Divisional Model'!X67</f>
        <v>0.21648216482164823</v>
      </c>
      <c r="K24" s="591">
        <f>'Divisional Model'!Y67</f>
        <v>0.21825396825396826</v>
      </c>
      <c r="L24" s="591">
        <f>'Divisional Model'!Z67</f>
        <v>0.23511680482290881</v>
      </c>
      <c r="M24" s="591">
        <f>'Divisional Model'!AA67</f>
        <v>0.22789115646258504</v>
      </c>
      <c r="N24" s="591">
        <f>'Divisional Model'!AB67</f>
        <v>0.26961053208996161</v>
      </c>
      <c r="O24" s="591">
        <f>'Divisional Model'!AC67</f>
        <v>0.24177631578947367</v>
      </c>
      <c r="P24" s="591">
        <f>'Divisional Model'!AD67</f>
        <v>0.27458396369137672</v>
      </c>
      <c r="Q24" s="591">
        <f>'Divisional Model'!AE67</f>
        <v>0.29320679320679321</v>
      </c>
      <c r="R24" s="591">
        <f>'Divisional Model'!AF67</f>
        <v>0.25044468160796868</v>
      </c>
      <c r="S24" s="591">
        <f>'Divisional Model'!AG67</f>
        <v>0.29852045256744997</v>
      </c>
      <c r="T24" s="591">
        <f>'Divisional Model'!AH67</f>
        <v>0.23332118118847978</v>
      </c>
      <c r="U24" s="591">
        <f>'Divisional Model'!AI67</f>
        <v>0.31780708985985162</v>
      </c>
      <c r="V24" s="591">
        <f>'Divisional Model'!AJ67</f>
        <v>0.3</v>
      </c>
      <c r="W24" s="591">
        <f>'Divisional Model'!AK67</f>
        <v>0.3</v>
      </c>
      <c r="X24" s="591">
        <f>'Divisional Model'!AL67</f>
        <v>0.23</v>
      </c>
      <c r="Y24" s="591">
        <f>'Divisional Model'!AM67</f>
        <v>0.3</v>
      </c>
      <c r="Z24" s="591">
        <f>'Divisional Model'!AN67</f>
        <v>0.23</v>
      </c>
      <c r="AA24" s="591">
        <f>'Divisional Model'!AO67</f>
        <v>0.3</v>
      </c>
      <c r="AB24" s="591">
        <f>'Divisional Model'!AP67</f>
        <v>0.23</v>
      </c>
      <c r="AC24" s="591">
        <f>'Divisional Model'!AQ67</f>
        <v>0.3</v>
      </c>
      <c r="AD24" s="591">
        <f>'Divisional Model'!AR67</f>
        <v>0.23</v>
      </c>
      <c r="AE24" s="591"/>
      <c r="AF24" s="591">
        <f>'Divisional Model'!BA67</f>
        <v>0.2813614262560778</v>
      </c>
      <c r="AG24" s="591">
        <f>'Divisional Model'!BB67</f>
        <v>0.25668604651162791</v>
      </c>
      <c r="AH24" s="591">
        <f>'Divisional Model'!BC67</f>
        <v>0.22766122766122765</v>
      </c>
      <c r="AI24" s="591">
        <f>'Divisional Model'!BD67</f>
        <v>0.21046545244290257</v>
      </c>
      <c r="AJ24" s="591">
        <f>'Divisional Model'!BE67</f>
        <v>0.22968829841594277</v>
      </c>
      <c r="AK24" s="591">
        <f>'Divisional Model'!BF67</f>
        <v>0.25206611570247933</v>
      </c>
      <c r="AL24" s="591">
        <f>'Divisional Model'!BG67</f>
        <v>0.2603482729089352</v>
      </c>
      <c r="AM24" s="591">
        <f>'Divisional Model'!BH67</f>
        <v>0.26823187201329735</v>
      </c>
      <c r="AN24" s="591">
        <f>'Divisional Model'!BI67</f>
        <v>0.26304304701448128</v>
      </c>
      <c r="AO24" s="591">
        <f>'Divisional Model'!BJ67</f>
        <v>0.30848810037815927</v>
      </c>
      <c r="AP24" s="591">
        <f>'Divisional Model'!BK67</f>
        <v>0.26635498139670677</v>
      </c>
      <c r="AQ24" s="591">
        <f>'Divisional Model'!BL67</f>
        <v>0.26569619023226021</v>
      </c>
      <c r="AR24" s="591">
        <f>'Divisional Model'!BM67</f>
        <v>0.26584345066739867</v>
      </c>
      <c r="AS24" s="592">
        <f>'Divisional Model'!BN67</f>
        <v>0.26624186789075482</v>
      </c>
    </row>
    <row r="25" spans="1:45" ht="15.95" customHeight="1">
      <c r="B25" s="593" t="s">
        <v>1930</v>
      </c>
      <c r="C25" s="594">
        <f>'Group Model'!R472</f>
        <v>3.1179944897468208</v>
      </c>
      <c r="D25" s="594">
        <f>'Group Model'!S472</f>
        <v>3.4584073888291758</v>
      </c>
      <c r="E25" s="594">
        <f>'Group Model'!T472</f>
        <v>3.7035398837780131</v>
      </c>
      <c r="F25" s="594">
        <f>'Group Model'!U472</f>
        <v>3.875338171271224</v>
      </c>
      <c r="G25" s="594">
        <f>'Group Model'!V472</f>
        <v>3.8830189778737485</v>
      </c>
      <c r="H25" s="594">
        <f>'Group Model'!W472</f>
        <v>4.9449999196899812</v>
      </c>
      <c r="I25" s="594">
        <f>'Group Model'!X472</f>
        <v>4.3009514828931721</v>
      </c>
      <c r="J25" s="594">
        <f>'Group Model'!Y472</f>
        <v>3.6210000000000004</v>
      </c>
      <c r="K25" s="594">
        <f>'Group Model'!Z472</f>
        <v>2.7669315962538708</v>
      </c>
      <c r="L25" s="594">
        <f>'Group Model'!AA472</f>
        <v>5.6520000000000001</v>
      </c>
      <c r="M25" s="594">
        <f>'Group Model'!AB472</f>
        <v>5.6246243437665751</v>
      </c>
      <c r="N25" s="594">
        <f>'Group Model'!AC472</f>
        <v>7.0639889205781277</v>
      </c>
      <c r="O25" s="594">
        <f>'Group Model'!AD472</f>
        <v>6.0329089754180467</v>
      </c>
      <c r="P25" s="594">
        <f>'Group Model'!AE472</f>
        <v>7.4595021055671848</v>
      </c>
      <c r="Q25" s="594">
        <f>'Group Model'!AF472</f>
        <v>3.6917354352989253</v>
      </c>
      <c r="R25" s="594">
        <f>'Group Model'!AG472</f>
        <v>5.4641684365824874</v>
      </c>
      <c r="S25" s="594">
        <f>'Group Model'!AH472</f>
        <v>4.2464779916351434</v>
      </c>
      <c r="T25" s="594">
        <f>'Group Model'!AI472</f>
        <v>5.5432205080681394</v>
      </c>
      <c r="U25" s="594">
        <f>'Group Model'!AJ472</f>
        <v>4.3669075029337998</v>
      </c>
      <c r="V25" s="594">
        <f>'Group Model'!AK472</f>
        <v>6.6841874605882712</v>
      </c>
      <c r="W25" s="594">
        <f>'Group Model'!AL472</f>
        <v>5.6921538815870782</v>
      </c>
      <c r="X25" s="594">
        <f>'Group Model'!AM472</f>
        <v>6.627093314652611</v>
      </c>
      <c r="Y25" s="594">
        <f>'Group Model'!AN472</f>
        <v>6.2535585321099676</v>
      </c>
      <c r="Z25" s="594">
        <f>'Group Model'!AO472</f>
        <v>7.4451041622353298</v>
      </c>
      <c r="AA25" s="594">
        <f>'Group Model'!AP472</f>
        <v>6.7035898699972147</v>
      </c>
      <c r="AB25" s="594">
        <f>'Group Model'!AQ472</f>
        <v>7.8565416943503337</v>
      </c>
      <c r="AC25" s="594">
        <f>'Group Model'!AR472</f>
        <v>7.1618954152995551</v>
      </c>
      <c r="AD25" s="594">
        <f>'Group Model'!AS472</f>
        <v>8.1548156257925744</v>
      </c>
      <c r="AE25" s="594"/>
      <c r="AF25" s="594">
        <f>'Group Model'!BG472</f>
        <v>6.5764243407913057</v>
      </c>
      <c r="AG25" s="594">
        <f>'Group Model'!BH472</f>
        <v>7.5788665724414672</v>
      </c>
      <c r="AH25" s="594">
        <f>'Group Model'!BI472</f>
        <v>8.8332055790082009</v>
      </c>
      <c r="AI25" s="594">
        <f>'Group Model'!BJ472</f>
        <v>7.9103483372005163</v>
      </c>
      <c r="AJ25" s="594">
        <f>'Group Model'!BK472</f>
        <v>8.4291888831752253</v>
      </c>
      <c r="AK25" s="594">
        <f>'Group Model'!BL472</f>
        <v>12.71701755025968</v>
      </c>
      <c r="AL25" s="594">
        <f>'Group Model'!BM472</f>
        <v>13.534028270684786</v>
      </c>
      <c r="AM25" s="594">
        <f>'Group Model'!BN472</f>
        <v>9.1656145479840045</v>
      </c>
      <c r="AN25" s="594">
        <f>'Group Model'!BO472</f>
        <v>9.7935695662762061</v>
      </c>
      <c r="AO25" s="594">
        <f>'Group Model'!BP472</f>
        <v>11.048911182768176</v>
      </c>
      <c r="AP25" s="594">
        <f>'Group Model'!BQ472</f>
        <v>12.317625197991395</v>
      </c>
      <c r="AQ25" s="594">
        <f>'Group Model'!BR472</f>
        <v>13.698662694345295</v>
      </c>
      <c r="AR25" s="594">
        <f>'Group Model'!BS472</f>
        <v>14.560131564347561</v>
      </c>
      <c r="AS25" s="595">
        <f>'Group Model'!BT472</f>
        <v>15.316711041092127</v>
      </c>
    </row>
    <row r="26" spans="1:45" ht="15.95" customHeight="1">
      <c r="B26" s="596" t="s">
        <v>1931</v>
      </c>
      <c r="C26" s="594">
        <f>'Group Model'!R474</f>
        <v>3.0478981992364718</v>
      </c>
      <c r="D26" s="594">
        <f>'Group Model'!S474</f>
        <v>3.3719257517184751</v>
      </c>
      <c r="E26" s="594">
        <f>'Group Model'!T474</f>
        <v>3.601863674269941</v>
      </c>
      <c r="F26" s="594">
        <f>'Group Model'!U474</f>
        <v>3.7932563187525927</v>
      </c>
      <c r="G26" s="594">
        <f>'Group Model'!V474</f>
        <v>3.8307567289255475</v>
      </c>
      <c r="H26" s="594">
        <f>'Group Model'!W474</f>
        <v>4.7968484481775713</v>
      </c>
      <c r="I26" s="594">
        <f>'Group Model'!X474</f>
        <v>4.1952754352798305</v>
      </c>
      <c r="J26" s="594">
        <f>'Group Model'!Y474</f>
        <v>3.5070000000000001</v>
      </c>
      <c r="K26" s="594">
        <f>'Group Model'!Z474</f>
        <v>2.7289879557835617</v>
      </c>
      <c r="L26" s="594">
        <f>'Group Model'!AA474</f>
        <v>5.46</v>
      </c>
      <c r="M26" s="594">
        <f>'Group Model'!AB474</f>
        <v>5.4535044644432613</v>
      </c>
      <c r="N26" s="594">
        <f>'Group Model'!AC474</f>
        <v>6.8072013767824862</v>
      </c>
      <c r="O26" s="594">
        <f>'Group Model'!AD474</f>
        <v>5.8512666457347651</v>
      </c>
      <c r="P26" s="594">
        <f>'Group Model'!AE474</f>
        <v>7.2547534193825882</v>
      </c>
      <c r="Q26" s="594">
        <f>'Group Model'!AF474</f>
        <v>3.661463701374863</v>
      </c>
      <c r="R26" s="594">
        <f>'Group Model'!AG474</f>
        <v>5.4489900403365299</v>
      </c>
      <c r="S26" s="594">
        <f>'Group Model'!AH474</f>
        <v>4.2298145835270891</v>
      </c>
      <c r="T26" s="594">
        <f>'Group Model'!AI474</f>
        <v>5.5245265595002406</v>
      </c>
      <c r="U26" s="594">
        <f>'Group Model'!AJ474</f>
        <v>4.3494447836695294</v>
      </c>
      <c r="V26" s="594">
        <f>'Group Model'!AK474</f>
        <v>6.6079396195176257</v>
      </c>
      <c r="W26" s="594">
        <f>'Group Model'!AL474</f>
        <v>5.6408712011864379</v>
      </c>
      <c r="X26" s="594">
        <f>'Group Model'!AM474</f>
        <v>6.5517555127055376</v>
      </c>
      <c r="Y26" s="594">
        <f>'Group Model'!AN474</f>
        <v>6.1876461703599412</v>
      </c>
      <c r="Z26" s="594">
        <f>'Group Model'!AO474</f>
        <v>7.348711736218295</v>
      </c>
      <c r="AA26" s="594">
        <f>'Group Model'!AP474</f>
        <v>6.6261655831020905</v>
      </c>
      <c r="AB26" s="594">
        <f>'Group Model'!AQ474</f>
        <v>7.7496245833328556</v>
      </c>
      <c r="AC26" s="594">
        <f>'Group Model'!AR474</f>
        <v>7.0727475467626002</v>
      </c>
      <c r="AD26" s="594">
        <f>'Group Model'!AS474</f>
        <v>8.0402685857403373</v>
      </c>
      <c r="AE26" s="594"/>
      <c r="AF26" s="594">
        <f>'Group Model'!BG474</f>
        <v>6.4454246170512972</v>
      </c>
      <c r="AG26" s="594">
        <f>'Group Model'!BH474</f>
        <v>7.4318468664449453</v>
      </c>
      <c r="AH26" s="594">
        <f>'Group Model'!BI474</f>
        <v>8.638314473402513</v>
      </c>
      <c r="AI26" s="594">
        <f>'Group Model'!BJ474</f>
        <v>7.645186758405921</v>
      </c>
      <c r="AJ26" s="594">
        <f>'Group Model'!BK474</f>
        <v>8.2461377292243512</v>
      </c>
      <c r="AK26" s="594">
        <f>'Group Model'!BL474</f>
        <v>12.316563287819463</v>
      </c>
      <c r="AL26" s="594">
        <f>'Group Model'!BM474</f>
        <v>13.17291983154305</v>
      </c>
      <c r="AM26" s="594">
        <f>'Group Model'!BN474</f>
        <v>9.1140532545455262</v>
      </c>
      <c r="AN26" s="594">
        <f>'Group Model'!BO474</f>
        <v>9.7549480519121605</v>
      </c>
      <c r="AO26" s="594">
        <f>'Group Model'!BP474</f>
        <v>10.955310409977953</v>
      </c>
      <c r="AP26" s="594">
        <f>'Group Model'!BQ474</f>
        <v>12.191087646398307</v>
      </c>
      <c r="AQ26" s="594">
        <f>'Group Model'!BR474</f>
        <v>13.536357906578234</v>
      </c>
      <c r="AR26" s="594">
        <f>'Group Model'!BS474</f>
        <v>14.37579016643496</v>
      </c>
      <c r="AS26" s="595">
        <f>'Group Model'!BT474</f>
        <v>15.113016132502938</v>
      </c>
    </row>
    <row r="27" spans="1:45" ht="15.95" customHeight="1">
      <c r="B27" s="593" t="s">
        <v>102</v>
      </c>
      <c r="C27" s="594">
        <f>'Group Model'!R477</f>
        <v>1.9</v>
      </c>
      <c r="D27" s="594">
        <f>'Group Model'!S477</f>
        <v>2.8</v>
      </c>
      <c r="E27" s="594">
        <f>'Group Model'!T477</f>
        <v>2.0499999999999998</v>
      </c>
      <c r="F27" s="594">
        <f>'Group Model'!U477</f>
        <v>3.2</v>
      </c>
      <c r="G27" s="594">
        <f>'Group Model'!V477</f>
        <v>2.15</v>
      </c>
      <c r="H27" s="594">
        <f>'Group Model'!W477</f>
        <v>3.6</v>
      </c>
      <c r="I27" s="594">
        <f>'Group Model'!X477</f>
        <v>2.5</v>
      </c>
      <c r="J27" s="594">
        <f>'Group Model'!Y477</f>
        <v>1.8</v>
      </c>
      <c r="K27" s="594">
        <f>'Group Model'!Z477</f>
        <v>1.35</v>
      </c>
      <c r="L27" s="594">
        <f>'Group Model'!AA477</f>
        <v>3.35</v>
      </c>
      <c r="M27" s="594">
        <f>'Group Model'!AB477</f>
        <v>2.72</v>
      </c>
      <c r="N27" s="594">
        <f>'Group Model'!AC477</f>
        <v>3.5</v>
      </c>
      <c r="O27" s="594">
        <f>'Group Model'!AD477</f>
        <v>3</v>
      </c>
      <c r="P27" s="594">
        <f>'Group Model'!AE477</f>
        <v>4.5</v>
      </c>
      <c r="Q27" s="594">
        <f>'Group Model'!AF477</f>
        <v>2.5499999999999998</v>
      </c>
      <c r="R27" s="594">
        <f>'Group Model'!AG477</f>
        <v>3.85</v>
      </c>
      <c r="S27" s="594">
        <f>'Group Model'!AH477</f>
        <v>2.6</v>
      </c>
      <c r="T27" s="594">
        <f>'Group Model'!AI477</f>
        <v>3.9</v>
      </c>
      <c r="U27" s="594">
        <f>'Group Model'!AJ477</f>
        <v>2.8</v>
      </c>
      <c r="V27" s="594">
        <f>'Group Model'!AK477</f>
        <v>4</v>
      </c>
      <c r="W27" s="594">
        <f>'Group Model'!AL477</f>
        <v>3.4</v>
      </c>
      <c r="X27" s="594">
        <f>'Group Model'!AM477</f>
        <v>4.2</v>
      </c>
      <c r="Y27" s="594">
        <f>'Group Model'!AN477</f>
        <v>3.8</v>
      </c>
      <c r="Z27" s="594">
        <f>'Group Model'!AO477</f>
        <v>4.9000000000000004</v>
      </c>
      <c r="AA27" s="594">
        <f>'Group Model'!AP477</f>
        <v>3.9</v>
      </c>
      <c r="AB27" s="594">
        <f>'Group Model'!AQ477</f>
        <v>4.5999999999999996</v>
      </c>
      <c r="AC27" s="594">
        <f>'Group Model'!AR477</f>
        <v>4.2</v>
      </c>
      <c r="AD27" s="594">
        <f>'Group Model'!AS477</f>
        <v>5</v>
      </c>
      <c r="AE27" s="594"/>
      <c r="AF27" s="594">
        <f>'Group Model'!BG477</f>
        <v>4.6999999999999993</v>
      </c>
      <c r="AG27" s="594">
        <f>'Group Model'!BH477</f>
        <v>5.25</v>
      </c>
      <c r="AH27" s="594">
        <f>'Group Model'!BI477</f>
        <v>5.75</v>
      </c>
      <c r="AI27" s="594">
        <f>'Group Model'!BJ477</f>
        <v>4.3</v>
      </c>
      <c r="AJ27" s="594">
        <f>'Group Model'!BK477</f>
        <v>4.7</v>
      </c>
      <c r="AK27" s="594">
        <f>'Group Model'!BL477</f>
        <v>6.2200000000000006</v>
      </c>
      <c r="AL27" s="594">
        <f>'Group Model'!BM477</f>
        <v>7.5</v>
      </c>
      <c r="AM27" s="594">
        <f>'Group Model'!BN477</f>
        <v>6.4</v>
      </c>
      <c r="AN27" s="594">
        <f>'Group Model'!BO477</f>
        <v>6.5</v>
      </c>
      <c r="AO27" s="594">
        <f>'Group Model'!BP477</f>
        <v>6.8</v>
      </c>
      <c r="AP27" s="594">
        <f>'Group Model'!BQ477</f>
        <v>7.6</v>
      </c>
      <c r="AQ27" s="594">
        <f>'Group Model'!BR477</f>
        <v>8.6999999999999993</v>
      </c>
      <c r="AR27" s="594">
        <f>'Group Model'!BS477</f>
        <v>8.5</v>
      </c>
      <c r="AS27" s="595">
        <f>'Group Model'!BT477</f>
        <v>9.1999999999999993</v>
      </c>
    </row>
    <row r="28" spans="1:45" ht="15.95" customHeight="1">
      <c r="B28" s="593" t="s">
        <v>104</v>
      </c>
      <c r="C28" s="591">
        <f>'Group Model'!R578</f>
        <v>0.61585057200000004</v>
      </c>
      <c r="D28" s="591">
        <f>'Group Model'!S578</f>
        <v>0.81661083701799475</v>
      </c>
      <c r="E28" s="591">
        <f>'Group Model'!T578</f>
        <v>0.55908149130608975</v>
      </c>
      <c r="F28" s="591">
        <f>'Group Model'!U578</f>
        <v>0.83206067532467531</v>
      </c>
      <c r="G28" s="591">
        <f>'Group Model'!V578</f>
        <v>0.55864342496183206</v>
      </c>
      <c r="H28" s="591">
        <f>'Group Model'!W578</f>
        <v>0.73288149330143537</v>
      </c>
      <c r="I28" s="591">
        <f>'Group Model'!X578</f>
        <v>0.6080584540150995</v>
      </c>
      <c r="J28" s="591">
        <f>'Group Model'!Y578</f>
        <v>0.50069584992150706</v>
      </c>
      <c r="K28" s="591">
        <f>'Group Model'!Z578</f>
        <v>0.49546182380710663</v>
      </c>
      <c r="L28" s="591">
        <f>'Group Model'!AA578</f>
        <v>0.59709439061576353</v>
      </c>
      <c r="M28" s="591">
        <f>'Group Model'!AB578</f>
        <v>0.49104210459128739</v>
      </c>
      <c r="N28" s="591">
        <f>'Group Model'!AC578</f>
        <v>0.50423084096883208</v>
      </c>
      <c r="O28" s="591">
        <f>'Group Model'!AD578</f>
        <v>0.50300662125813456</v>
      </c>
      <c r="P28" s="591">
        <f>'Group Model'!AE578</f>
        <v>0.60449961522419193</v>
      </c>
      <c r="Q28" s="591">
        <f>'Group Model'!AF578</f>
        <v>0.6964775425441696</v>
      </c>
      <c r="R28" s="591">
        <f>'Group Model'!AG578</f>
        <v>0.69976542574750833</v>
      </c>
      <c r="S28" s="591">
        <f>'Group Model'!AH578</f>
        <v>0.61473937903225806</v>
      </c>
      <c r="T28" s="591">
        <f>'Group Model'!AI578</f>
        <v>0.70681874393723254</v>
      </c>
      <c r="U28" s="591">
        <f>'Group Model'!AJ578</f>
        <v>0.64482632145015106</v>
      </c>
      <c r="V28" s="591">
        <f>'Group Model'!AK578</f>
        <v>0.60752170490166679</v>
      </c>
      <c r="W28" s="591">
        <f>'Group Model'!AL578</f>
        <v>0.60410500577971671</v>
      </c>
      <c r="X28" s="591">
        <f>'Group Model'!AM578</f>
        <v>0.64326587591610751</v>
      </c>
      <c r="Y28" s="591">
        <f>'Group Model'!AN578</f>
        <v>0.61702194651525144</v>
      </c>
      <c r="Z28" s="591">
        <f>'Group Model'!AO578</f>
        <v>0.67079418434280413</v>
      </c>
      <c r="AA28" s="591">
        <f>'Group Model'!AP578</f>
        <v>0.59167074845733336</v>
      </c>
      <c r="AB28" s="591">
        <f>'Group Model'!AQ578</f>
        <v>0.59736069215787502</v>
      </c>
      <c r="AC28" s="591">
        <f>'Group Model'!AR578</f>
        <v>0.597239670216408</v>
      </c>
      <c r="AD28" s="591">
        <f>'Group Model'!AS578</f>
        <v>0.62598177781325326</v>
      </c>
      <c r="AE28" s="591"/>
      <c r="AF28" s="591">
        <f>'Group Model'!BG578</f>
        <v>0.72152816752368054</v>
      </c>
      <c r="AG28" s="591">
        <f>'Group Model'!BH578</f>
        <v>0.69882719012514671</v>
      </c>
      <c r="AH28" s="591">
        <f>'Group Model'!BI578</f>
        <v>0.6563382774983233</v>
      </c>
      <c r="AI28" s="591">
        <f>'Group Model'!BJ578</f>
        <v>0.55797425129989009</v>
      </c>
      <c r="AJ28" s="591">
        <f>'Group Model'!BK578</f>
        <v>0.56389104789386402</v>
      </c>
      <c r="AK28" s="591">
        <f>'Group Model'!BL578</f>
        <v>0.49850525906927323</v>
      </c>
      <c r="AL28" s="591">
        <f>'Group Model'!BM578</f>
        <v>0.55935462273253578</v>
      </c>
      <c r="AM28" s="591">
        <f>'Group Model'!BN578</f>
        <v>0.69844448459681996</v>
      </c>
      <c r="AN28" s="591">
        <f>'Group Model'!BO578</f>
        <v>0.66686398317631224</v>
      </c>
      <c r="AO28" s="591">
        <f>'Group Model'!BP578</f>
        <v>0.62238110413293746</v>
      </c>
      <c r="AP28" s="591">
        <f>'Group Model'!BQ578</f>
        <v>0.62510226927992574</v>
      </c>
      <c r="AQ28" s="591">
        <f>'Group Model'!BR578</f>
        <v>0.64619692444457211</v>
      </c>
      <c r="AR28" s="591">
        <f>'Group Model'!BS578</f>
        <v>0.59473648489283315</v>
      </c>
      <c r="AS28" s="592">
        <f>'Group Model'!BT578</f>
        <v>0.61252457054727716</v>
      </c>
    </row>
    <row r="29" spans="1:45" ht="15.95" customHeight="1">
      <c r="B29" s="572" t="s">
        <v>518</v>
      </c>
      <c r="C29" s="591">
        <f>'Group Model'!R520</f>
        <v>0.13944550355108482</v>
      </c>
      <c r="D29" s="591">
        <f>'Group Model'!S520</f>
        <v>0.15355019603149772</v>
      </c>
      <c r="E29" s="591">
        <f>'Group Model'!T520</f>
        <v>0.16100778317392317</v>
      </c>
      <c r="F29" s="591">
        <f>'Group Model'!U520</f>
        <v>0.16555415953158276</v>
      </c>
      <c r="G29" s="591">
        <f>'Group Model'!V520</f>
        <v>0.1587533207798186</v>
      </c>
      <c r="H29" s="591">
        <f>'Group Model'!W520</f>
        <v>0.19540146342978429</v>
      </c>
      <c r="I29" s="591">
        <f>'Group Model'!X520</f>
        <v>0.15592059500240785</v>
      </c>
      <c r="J29" s="591">
        <f>'Group Model'!Y520</f>
        <v>0.12527040314650933</v>
      </c>
      <c r="K29" s="591">
        <f>'Group Model'!Z520</f>
        <v>9.4518654174246361E-2</v>
      </c>
      <c r="L29" s="591">
        <f>'Group Model'!AA520</f>
        <v>0.19133160288344045</v>
      </c>
      <c r="M29" s="591">
        <f>'Group Model'!AB520</f>
        <v>0.17673647057485126</v>
      </c>
      <c r="N29" s="591">
        <f>'Group Model'!AC520</f>
        <v>0.20296938216178123</v>
      </c>
      <c r="O29" s="591">
        <f>'Group Model'!AD520</f>
        <v>0.15350777560468462</v>
      </c>
      <c r="P29" s="591">
        <f>'Group Model'!AE520</f>
        <v>0.17893095864006986</v>
      </c>
      <c r="Q29" s="591">
        <f>'Group Model'!AF520</f>
        <v>8.6010394188979725E-2</v>
      </c>
      <c r="R29" s="591">
        <f>'Group Model'!AG520</f>
        <v>0.12744208552591785</v>
      </c>
      <c r="S29" s="591">
        <f>'Group Model'!AH520</f>
        <v>9.775589105596233E-2</v>
      </c>
      <c r="T29" s="591">
        <f>'Group Model'!AI520</f>
        <v>0.12467829266292056</v>
      </c>
      <c r="U29" s="591">
        <f>'Group Model'!AJ520</f>
        <v>9.4424997758857085E-2</v>
      </c>
      <c r="V29" s="591">
        <f>'Group Model'!AK520</f>
        <v>0.1427770416952196</v>
      </c>
      <c r="W29" s="591">
        <f>'Group Model'!AL520</f>
        <v>0.11858665773918296</v>
      </c>
      <c r="X29" s="591">
        <f>'Group Model'!AM520</f>
        <v>0.13569347438208454</v>
      </c>
      <c r="Y29" s="591">
        <f>'Group Model'!AN520</f>
        <v>0.12491618768619281</v>
      </c>
      <c r="Z29" s="591">
        <f>'Group Model'!AO520</f>
        <v>0.14416990324455475</v>
      </c>
      <c r="AA29" s="591">
        <f>'Group Model'!AP520</f>
        <v>0.12649390459814785</v>
      </c>
      <c r="AB29" s="591">
        <f>'Group Model'!AQ520</f>
        <v>0.14476397605304162</v>
      </c>
      <c r="AC29" s="591">
        <f>'Group Model'!AR520</f>
        <v>0.12774824810694579</v>
      </c>
      <c r="AD29" s="591">
        <f>'Group Model'!AS520</f>
        <v>0.1418770733912495</v>
      </c>
      <c r="AE29" s="591"/>
      <c r="AF29" s="591">
        <f>'Group Model'!BG520</f>
        <v>0.14452883079631018</v>
      </c>
      <c r="AG29" s="591">
        <f>'Group Model'!BH520</f>
        <v>0.16021303258145364</v>
      </c>
      <c r="AH29" s="591">
        <f>'Group Model'!BI520</f>
        <v>0.17480508822322527</v>
      </c>
      <c r="AI29" s="591">
        <f>'Group Model'!BJ520</f>
        <v>0.12965864311826425</v>
      </c>
      <c r="AJ29" s="591">
        <f>'Group Model'!BK520</f>
        <v>0.13674709724238027</v>
      </c>
      <c r="AK29" s="591">
        <f>'Group Model'!BL520</f>
        <v>0.16477014110150204</v>
      </c>
      <c r="AL29" s="591">
        <f>'Group Model'!BM520</f>
        <v>0.15629618458754335</v>
      </c>
      <c r="AM29" s="591">
        <f>'Group Model'!BN520</f>
        <v>0.10519399062154655</v>
      </c>
      <c r="AN29" s="591">
        <f>'Group Model'!BO520</f>
        <v>0.10507410340536259</v>
      </c>
      <c r="AO29" s="591">
        <f>'Group Model'!BP520</f>
        <v>0.11648932839877649</v>
      </c>
      <c r="AP29" s="591">
        <f>'Group Model'!BQ520</f>
        <v>0.12473519404583105</v>
      </c>
      <c r="AQ29" s="591">
        <f>'Group Model'!BR520</f>
        <v>0.13060090068123431</v>
      </c>
      <c r="AR29" s="591">
        <f>'Group Model'!BS520</f>
        <v>0.13162677930086664</v>
      </c>
      <c r="AS29" s="592">
        <f>'Group Model'!BT520</f>
        <v>0.13083469367556663</v>
      </c>
    </row>
    <row r="30" spans="1:45" ht="15.95" customHeight="1">
      <c r="B30" s="597" t="s">
        <v>382</v>
      </c>
      <c r="C30" s="598">
        <f>'Group Model'!R522</f>
        <v>0.14977202997081937</v>
      </c>
      <c r="D30" s="598">
        <f>'Group Model'!S522</f>
        <v>0.16434324049660051</v>
      </c>
      <c r="E30" s="598">
        <f>'Group Model'!T522</f>
        <v>0.17214248463823323</v>
      </c>
      <c r="F30" s="598">
        <f>'Group Model'!U522</f>
        <v>0.17660224067893088</v>
      </c>
      <c r="G30" s="598">
        <f>'Group Model'!V522</f>
        <v>0.17401541991705927</v>
      </c>
      <c r="H30" s="598">
        <f>'Group Model'!W522</f>
        <v>0.22063342631838487</v>
      </c>
      <c r="I30" s="598">
        <f>'Group Model'!X522</f>
        <v>0.17832991646522445</v>
      </c>
      <c r="J30" s="598">
        <f>'Group Model'!Y522</f>
        <v>0.14666436424336615</v>
      </c>
      <c r="K30" s="598">
        <f>'Group Model'!Z522</f>
        <v>0.11072322181862641</v>
      </c>
      <c r="L30" s="598">
        <f>'Group Model'!AA522</f>
        <v>0.21889689201569193</v>
      </c>
      <c r="M30" s="598">
        <f>'Group Model'!AB522</f>
        <v>0.20337572697014225</v>
      </c>
      <c r="N30" s="598">
        <f>'Group Model'!AC522</f>
        <v>0.2355399077415484</v>
      </c>
      <c r="O30" s="598">
        <f>'Group Model'!AD522</f>
        <v>0.17700024530625622</v>
      </c>
      <c r="P30" s="598">
        <f>'Group Model'!AE522</f>
        <v>0.20425905628135912</v>
      </c>
      <c r="Q30" s="598">
        <f>'Group Model'!AF522</f>
        <v>9.8042612160055428E-2</v>
      </c>
      <c r="R30" s="598">
        <f>'Group Model'!AG522</f>
        <v>0.14624581373961026</v>
      </c>
      <c r="S30" s="598">
        <f>'Group Model'!AH522</f>
        <v>0.11078462052341675</v>
      </c>
      <c r="T30" s="598">
        <f>'Group Model'!AI522</f>
        <v>0.13495743960369092</v>
      </c>
      <c r="U30" s="598">
        <f>'Group Model'!AJ522</f>
        <v>9.9336632084050719E-2</v>
      </c>
      <c r="V30" s="598">
        <f>'Group Model'!AK522</f>
        <v>0.15046877827724259</v>
      </c>
      <c r="W30" s="598">
        <f>'Group Model'!AL522</f>
        <v>0.12494037915178886</v>
      </c>
      <c r="X30" s="598">
        <f>'Group Model'!AM522</f>
        <v>0.14296425062969259</v>
      </c>
      <c r="Y30" s="598">
        <f>'Group Model'!AN522</f>
        <v>0.1315143392920968</v>
      </c>
      <c r="Z30" s="598">
        <f>'Group Model'!AO522</f>
        <v>0.15159509659661649</v>
      </c>
      <c r="AA30" s="598">
        <f>'Group Model'!AP522</f>
        <v>0.13286129176645181</v>
      </c>
      <c r="AB30" s="598">
        <f>'Group Model'!AQ522</f>
        <v>0.15186884359104852</v>
      </c>
      <c r="AC30" s="598">
        <f>'Group Model'!AR522</f>
        <v>0.13382321885747792</v>
      </c>
      <c r="AD30" s="598">
        <f>'Group Model'!AS522</f>
        <v>0.14841107599477835</v>
      </c>
      <c r="AE30" s="598"/>
      <c r="AF30" s="598">
        <f>'Group Model'!BG522</f>
        <v>0.15507834359261333</v>
      </c>
      <c r="AG30" s="598">
        <f>'Group Model'!BH522</f>
        <v>0.17093388595494352</v>
      </c>
      <c r="AH30" s="598">
        <f>'Group Model'!BI522</f>
        <v>0.19180549302116165</v>
      </c>
      <c r="AI30" s="598">
        <f>'Group Model'!BJ522</f>
        <v>0.15347007586400674</v>
      </c>
      <c r="AJ30" s="598">
        <f>'Group Model'!BK522</f>
        <v>0.15457574980774161</v>
      </c>
      <c r="AK30" s="598">
        <f>'Group Model'!BL522</f>
        <v>0.18990355514305315</v>
      </c>
      <c r="AL30" s="598">
        <f>'Group Model'!BM522</f>
        <v>0.17669121658483361</v>
      </c>
      <c r="AM30" s="598">
        <f>'Group Model'!BN522</f>
        <v>0.12050501248845245</v>
      </c>
      <c r="AN30" s="598">
        <f>'Group Model'!BO522</f>
        <v>0.11028647766067982</v>
      </c>
      <c r="AO30" s="598">
        <f>'Group Model'!BP522</f>
        <v>0.1226949379670479</v>
      </c>
      <c r="AP30" s="598">
        <f>'Group Model'!BQ522</f>
        <v>0.13138215094275849</v>
      </c>
      <c r="AQ30" s="598">
        <f>'Group Model'!BR522</f>
        <v>0.13721901954220164</v>
      </c>
      <c r="AR30" s="598">
        <f>'Group Model'!BS522</f>
        <v>0.13796930514455566</v>
      </c>
      <c r="AS30" s="599">
        <f>'Group Model'!BT522</f>
        <v>0.13674857018328687</v>
      </c>
    </row>
    <row r="31" spans="1:45" ht="15.95" customHeight="1">
      <c r="B31" s="584"/>
    </row>
    <row r="32" spans="1:45" ht="15.95" customHeight="1"/>
    <row r="33" spans="1:2" ht="15.95" customHeight="1"/>
    <row r="34" spans="1:2" ht="15.95" customHeight="1"/>
    <row r="35" spans="1:2" ht="15.95" customHeight="1"/>
    <row r="36" spans="1:2" ht="15.95" customHeight="1"/>
    <row r="37" spans="1:2" ht="15.95" customHeight="1"/>
    <row r="38" spans="1:2" s="601" customFormat="1" ht="15.95" customHeight="1">
      <c r="A38" s="600"/>
      <c r="B38" s="582"/>
    </row>
    <row r="39" spans="1:2" ht="15.95" customHeight="1"/>
    <row r="40" spans="1:2" s="584" customFormat="1" ht="15.95" customHeight="1">
      <c r="A40" s="583"/>
      <c r="B40" s="601"/>
    </row>
    <row r="41" spans="1:2" ht="15.95" customHeight="1"/>
    <row r="42" spans="1:2" ht="15.95" customHeight="1">
      <c r="B42" s="584"/>
    </row>
    <row r="43" spans="1:2" s="601" customFormat="1" ht="15.95" customHeight="1">
      <c r="A43" s="600"/>
      <c r="B43" s="582"/>
    </row>
    <row r="44" spans="1:2" ht="15.95" customHeight="1"/>
    <row r="45" spans="1:2" ht="15.95" customHeight="1"/>
    <row r="46" spans="1:2" ht="15.95" customHeight="1"/>
    <row r="47" spans="1:2" ht="15.95" customHeight="1"/>
    <row r="48" spans="1:2" ht="15.95" customHeight="1"/>
    <row r="49" spans="1:1" s="584" customFormat="1" ht="15.95" customHeight="1">
      <c r="A49" s="583"/>
    </row>
    <row r="50" spans="1:1" ht="15.95" customHeight="1"/>
    <row r="51" spans="1:1" ht="15.95" customHeight="1"/>
    <row r="52" spans="1:1" ht="15.95" customHeight="1"/>
    <row r="53" spans="1:1" ht="15.95" customHeight="1"/>
    <row r="54" spans="1:1" ht="15.95" customHeight="1"/>
    <row r="55" spans="1:1" ht="15.95" customHeight="1"/>
    <row r="56" spans="1:1" ht="15.95" customHeight="1"/>
    <row r="57" spans="1:1" ht="15.95" customHeight="1"/>
    <row r="58" spans="1:1" ht="15.95" customHeight="1"/>
    <row r="59" spans="1:1" ht="15.95" customHeight="1"/>
    <row r="60" spans="1:1" ht="15.95" customHeight="1"/>
    <row r="61" spans="1:1" ht="15.95" customHeight="1"/>
    <row r="62" spans="1:1" ht="15.95" customHeight="1"/>
    <row r="63" spans="1:1" ht="15.95" customHeight="1"/>
    <row r="64" spans="1:1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</sheetData>
  <pageMargins left="0.7" right="0.7" top="0.75" bottom="0.75" header="0.3" footer="0.3"/>
  <customProperties>
    <customPr name="Qube.Worksheet.Visibility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G59"/>
  <sheetViews>
    <sheetView topLeftCell="C1" workbookViewId="0"/>
  </sheetViews>
  <sheetFormatPr defaultColWidth="9.140625" defaultRowHeight="12.75" outlineLevelCol="1"/>
  <cols>
    <col min="1" max="2" width="10.28515625" style="188" hidden="1" customWidth="1" outlineLevel="1"/>
    <col min="3" max="3" width="39.140625" style="190" customWidth="1" collapsed="1"/>
    <col min="4" max="12" width="10.5703125" style="190" hidden="1" customWidth="1" outlineLevel="1"/>
    <col min="13" max="13" width="10.28515625" style="190" hidden="1" customWidth="1" outlineLevel="1"/>
    <col min="14" max="14" width="10.7109375" style="190" hidden="1" customWidth="1" outlineLevel="1"/>
    <col min="15" max="15" width="10.28515625" style="190" hidden="1" customWidth="1" outlineLevel="1"/>
    <col min="16" max="16" width="9" style="190" customWidth="1" collapsed="1"/>
    <col min="17" max="19" width="10.28515625" style="191" customWidth="1"/>
    <col min="20" max="22" width="9" style="191" customWidth="1"/>
    <col min="23" max="27" width="9" style="191" hidden="1" customWidth="1" outlineLevel="1"/>
    <col min="28" max="28" width="13.28515625" style="191" customWidth="1" collapsed="1"/>
    <col min="29" max="30" width="15.7109375" style="188" customWidth="1"/>
    <col min="31" max="31" width="52.85546875" style="188" customWidth="1"/>
    <col min="32" max="16384" width="9.140625" style="188"/>
  </cols>
  <sheetData>
    <row r="1" spans="1:33">
      <c r="C1" s="189" t="s">
        <v>684</v>
      </c>
    </row>
    <row r="2" spans="1:33">
      <c r="C2" s="190" t="s">
        <v>685</v>
      </c>
      <c r="P2" s="192" t="s">
        <v>686</v>
      </c>
      <c r="R2" s="193" t="s">
        <v>289</v>
      </c>
      <c r="S2" s="194">
        <f>Summary!$C$10</f>
        <v>46112</v>
      </c>
    </row>
    <row r="3" spans="1:33">
      <c r="C3" s="190" t="s">
        <v>687</v>
      </c>
      <c r="O3" s="188"/>
      <c r="P3" s="195">
        <v>2012</v>
      </c>
      <c r="Q3" s="188"/>
      <c r="R3" s="193" t="s">
        <v>627</v>
      </c>
      <c r="S3" s="194">
        <f>Summary!$G$2</f>
        <v>46265</v>
      </c>
    </row>
    <row r="4" spans="1:33" s="196" customFormat="1" ht="25.5">
      <c r="C4" s="197" t="s">
        <v>688</v>
      </c>
      <c r="D4" s="197">
        <f t="shared" ref="D4:S4" si="0">+E4-1</f>
        <v>2013</v>
      </c>
      <c r="E4" s="197">
        <f t="shared" si="0"/>
        <v>2014</v>
      </c>
      <c r="F4" s="197">
        <f t="shared" si="0"/>
        <v>2015</v>
      </c>
      <c r="G4" s="197">
        <f t="shared" si="0"/>
        <v>2016</v>
      </c>
      <c r="H4" s="197">
        <f t="shared" si="0"/>
        <v>2017</v>
      </c>
      <c r="I4" s="197">
        <f t="shared" si="0"/>
        <v>2018</v>
      </c>
      <c r="J4" s="197">
        <f t="shared" si="0"/>
        <v>2019</v>
      </c>
      <c r="K4" s="197">
        <f t="shared" si="0"/>
        <v>2020</v>
      </c>
      <c r="L4" s="197">
        <f t="shared" si="0"/>
        <v>2021</v>
      </c>
      <c r="M4" s="197">
        <f t="shared" si="0"/>
        <v>2022</v>
      </c>
      <c r="N4" s="197">
        <f t="shared" si="0"/>
        <v>2023</v>
      </c>
      <c r="O4" s="197">
        <f t="shared" si="0"/>
        <v>2024</v>
      </c>
      <c r="P4" s="198">
        <f t="shared" si="0"/>
        <v>2025</v>
      </c>
      <c r="Q4" s="198">
        <f t="shared" si="0"/>
        <v>2026</v>
      </c>
      <c r="R4" s="198">
        <f t="shared" si="0"/>
        <v>2027</v>
      </c>
      <c r="S4" s="198">
        <f t="shared" si="0"/>
        <v>2028</v>
      </c>
      <c r="T4" s="198">
        <f>+U4-1</f>
        <v>2029</v>
      </c>
      <c r="U4" s="198">
        <f>MID(Summary!$G$3,3,2)+2000 - 1*0</f>
        <v>2030</v>
      </c>
      <c r="V4" s="198">
        <f t="shared" ref="V4:Y4" si="1">+U4+1</f>
        <v>2031</v>
      </c>
      <c r="W4" s="198">
        <f t="shared" si="1"/>
        <v>2032</v>
      </c>
      <c r="X4" s="198">
        <f t="shared" si="1"/>
        <v>2033</v>
      </c>
      <c r="Y4" s="198">
        <f t="shared" si="1"/>
        <v>2034</v>
      </c>
      <c r="Z4" s="198">
        <f>+Y4+1</f>
        <v>2035</v>
      </c>
      <c r="AA4" s="198">
        <f t="shared" ref="AA4" si="2">+Z4+1</f>
        <v>2036</v>
      </c>
      <c r="AB4" s="199" t="s">
        <v>689</v>
      </c>
      <c r="AC4" s="200" t="str">
        <f>"CAGR FY"&amp;D4&amp;"-FY"&amp;P4&amp;"/Avg"</f>
        <v>CAGR FY2013-FY2025/Avg</v>
      </c>
      <c r="AD4" s="200" t="str">
        <f>"CAGR FY"&amp;Q4&amp;"-FY"&amp;AA4&amp;"/Avg"</f>
        <v>CAGR FY2026-FY2036/Avg</v>
      </c>
    </row>
    <row r="5" spans="1:33">
      <c r="C5" s="201"/>
      <c r="D5" s="189"/>
      <c r="E5" s="189"/>
      <c r="F5" s="189"/>
      <c r="G5" s="189"/>
      <c r="H5" s="189"/>
      <c r="I5" s="189"/>
      <c r="J5" s="189"/>
      <c r="K5" s="189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3"/>
      <c r="W5" s="203"/>
      <c r="X5" s="203"/>
      <c r="Y5" s="203"/>
      <c r="Z5" s="203"/>
      <c r="AA5" s="203"/>
      <c r="AB5" s="203"/>
    </row>
    <row r="6" spans="1:33">
      <c r="C6" s="204" t="s">
        <v>688</v>
      </c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5">
        <f t="shared" ref="P6:Q6" si="3">MAX(0,(EOMONTH((DATE(P4,MONTH($S$2),15)),0)-$S$3)/365)</f>
        <v>0</v>
      </c>
      <c r="Q6" s="205">
        <f t="shared" si="3"/>
        <v>0</v>
      </c>
      <c r="R6" s="205">
        <f>MAX(0,(EOMONTH((DATE(R4,MONTH($S$2),15)),0)-$S$3)/365)</f>
        <v>0.58082191780821912</v>
      </c>
      <c r="S6" s="205">
        <f t="shared" ref="S6:AA6" si="4">MAX(0,(EOMONTH((DATE(S4,MONTH($S$2),15)),0)-$S$3)/365)</f>
        <v>1.5835616438356164</v>
      </c>
      <c r="T6" s="205">
        <f t="shared" si="4"/>
        <v>2.5835616438356164</v>
      </c>
      <c r="U6" s="205">
        <f t="shared" si="4"/>
        <v>3.5835616438356164</v>
      </c>
      <c r="V6" s="205">
        <f t="shared" si="4"/>
        <v>4.5835616438356164</v>
      </c>
      <c r="W6" s="205">
        <f t="shared" si="4"/>
        <v>5.5863013698630137</v>
      </c>
      <c r="X6" s="205">
        <f t="shared" si="4"/>
        <v>6.5863013698630137</v>
      </c>
      <c r="Y6" s="205">
        <f t="shared" si="4"/>
        <v>7.5863013698630137</v>
      </c>
      <c r="Z6" s="205">
        <f t="shared" si="4"/>
        <v>8.5863013698630137</v>
      </c>
      <c r="AA6" s="205">
        <f t="shared" si="4"/>
        <v>9.5890410958904102</v>
      </c>
      <c r="AB6" s="206">
        <f>AA6</f>
        <v>9.5890410958904102</v>
      </c>
      <c r="AC6" s="207"/>
      <c r="AD6" s="207"/>
    </row>
    <row r="7" spans="1:33">
      <c r="A7" s="188" t="s">
        <v>277</v>
      </c>
      <c r="C7" s="208" t="s">
        <v>690</v>
      </c>
      <c r="D7" s="209"/>
      <c r="E7" s="209"/>
      <c r="F7" s="210"/>
      <c r="G7" s="210"/>
      <c r="H7" s="210"/>
      <c r="I7" s="210"/>
      <c r="J7" s="210"/>
      <c r="K7" s="210"/>
      <c r="L7" s="210"/>
      <c r="M7" s="210"/>
      <c r="N7" s="211"/>
      <c r="O7" s="211"/>
      <c r="P7" s="211">
        <f>VLOOKUP($A7,Summary!$A$2:$G$7,7,FALSE)*100</f>
        <v>3.5000000000000004</v>
      </c>
      <c r="Q7" s="209">
        <f t="shared" ref="Q7:AA9" si="5">+P7</f>
        <v>3.5000000000000004</v>
      </c>
      <c r="R7" s="209">
        <f t="shared" si="5"/>
        <v>3.5000000000000004</v>
      </c>
      <c r="S7" s="209">
        <f t="shared" si="5"/>
        <v>3.5000000000000004</v>
      </c>
      <c r="T7" s="209">
        <f t="shared" si="5"/>
        <v>3.5000000000000004</v>
      </c>
      <c r="U7" s="209">
        <f t="shared" si="5"/>
        <v>3.5000000000000004</v>
      </c>
      <c r="V7" s="209">
        <f t="shared" si="5"/>
        <v>3.5000000000000004</v>
      </c>
      <c r="W7" s="209">
        <f t="shared" si="5"/>
        <v>3.5000000000000004</v>
      </c>
      <c r="X7" s="209">
        <f t="shared" si="5"/>
        <v>3.5000000000000004</v>
      </c>
      <c r="Y7" s="209">
        <f t="shared" si="5"/>
        <v>3.5000000000000004</v>
      </c>
      <c r="Z7" s="209">
        <f t="shared" si="5"/>
        <v>3.5000000000000004</v>
      </c>
      <c r="AA7" s="209">
        <f t="shared" si="5"/>
        <v>3.5000000000000004</v>
      </c>
      <c r="AB7" s="212"/>
      <c r="AC7" s="213"/>
      <c r="AD7" s="213"/>
    </row>
    <row r="8" spans="1:33">
      <c r="A8" s="188" t="s">
        <v>283</v>
      </c>
      <c r="C8" s="208" t="s">
        <v>691</v>
      </c>
      <c r="D8" s="209"/>
      <c r="E8" s="209"/>
      <c r="F8" s="210"/>
      <c r="G8" s="210"/>
      <c r="H8" s="210"/>
      <c r="I8" s="210"/>
      <c r="J8" s="210"/>
      <c r="K8" s="210"/>
      <c r="L8" s="210"/>
      <c r="M8" s="210"/>
      <c r="N8" s="211"/>
      <c r="O8" s="211"/>
      <c r="P8" s="211">
        <f>VLOOKUP($A8,Summary!$A$2:$G$7,7,FALSE)</f>
        <v>0.95</v>
      </c>
      <c r="Q8" s="209">
        <f t="shared" si="5"/>
        <v>0.95</v>
      </c>
      <c r="R8" s="209">
        <f t="shared" si="5"/>
        <v>0.95</v>
      </c>
      <c r="S8" s="209">
        <f t="shared" si="5"/>
        <v>0.95</v>
      </c>
      <c r="T8" s="209">
        <f t="shared" si="5"/>
        <v>0.95</v>
      </c>
      <c r="U8" s="209">
        <f t="shared" si="5"/>
        <v>0.95</v>
      </c>
      <c r="V8" s="209">
        <f t="shared" si="5"/>
        <v>0.95</v>
      </c>
      <c r="W8" s="209">
        <f t="shared" si="5"/>
        <v>0.95</v>
      </c>
      <c r="X8" s="209">
        <f t="shared" si="5"/>
        <v>0.95</v>
      </c>
      <c r="Y8" s="209">
        <f t="shared" si="5"/>
        <v>0.95</v>
      </c>
      <c r="Z8" s="209">
        <f t="shared" si="5"/>
        <v>0.95</v>
      </c>
      <c r="AA8" s="209">
        <f t="shared" si="5"/>
        <v>0.95</v>
      </c>
      <c r="AB8" s="212"/>
      <c r="AC8" s="213"/>
      <c r="AD8" s="213"/>
      <c r="AE8" s="188" t="s">
        <v>692</v>
      </c>
    </row>
    <row r="9" spans="1:33">
      <c r="A9" s="188" t="s">
        <v>280</v>
      </c>
      <c r="C9" s="208" t="s">
        <v>693</v>
      </c>
      <c r="D9" s="209"/>
      <c r="E9" s="209"/>
      <c r="F9" s="210"/>
      <c r="G9" s="210"/>
      <c r="H9" s="210"/>
      <c r="I9" s="210"/>
      <c r="J9" s="210"/>
      <c r="K9" s="210"/>
      <c r="L9" s="210"/>
      <c r="M9" s="210"/>
      <c r="N9" s="211"/>
      <c r="O9" s="211"/>
      <c r="P9" s="211">
        <f>VLOOKUP($A9,Summary!$A$2:$G$7,7,FALSE)*100</f>
        <v>6</v>
      </c>
      <c r="Q9" s="209">
        <f t="shared" si="5"/>
        <v>6</v>
      </c>
      <c r="R9" s="209">
        <f t="shared" si="5"/>
        <v>6</v>
      </c>
      <c r="S9" s="209">
        <f t="shared" si="5"/>
        <v>6</v>
      </c>
      <c r="T9" s="209">
        <f t="shared" si="5"/>
        <v>6</v>
      </c>
      <c r="U9" s="209">
        <f t="shared" si="5"/>
        <v>6</v>
      </c>
      <c r="V9" s="209">
        <f t="shared" si="5"/>
        <v>6</v>
      </c>
      <c r="W9" s="209">
        <f t="shared" si="5"/>
        <v>6</v>
      </c>
      <c r="X9" s="209">
        <f t="shared" si="5"/>
        <v>6</v>
      </c>
      <c r="Y9" s="209">
        <f t="shared" si="5"/>
        <v>6</v>
      </c>
      <c r="Z9" s="209">
        <f t="shared" si="5"/>
        <v>6</v>
      </c>
      <c r="AA9" s="209">
        <f t="shared" si="5"/>
        <v>6</v>
      </c>
      <c r="AB9" s="212"/>
      <c r="AC9" s="213"/>
      <c r="AD9" s="213"/>
    </row>
    <row r="10" spans="1:33">
      <c r="C10" s="204" t="s">
        <v>694</v>
      </c>
      <c r="D10" s="214"/>
      <c r="E10" s="214"/>
      <c r="F10" s="215"/>
      <c r="G10" s="215"/>
      <c r="H10" s="215"/>
      <c r="I10" s="215"/>
      <c r="J10" s="215"/>
      <c r="K10" s="215"/>
      <c r="L10" s="215"/>
      <c r="M10" s="215"/>
      <c r="N10" s="216"/>
      <c r="O10" s="216"/>
      <c r="P10" s="216">
        <f t="shared" ref="P10:AA10" si="6">+P7+P9*P8</f>
        <v>9.1999999999999993</v>
      </c>
      <c r="Q10" s="216">
        <f t="shared" si="6"/>
        <v>9.1999999999999993</v>
      </c>
      <c r="R10" s="216">
        <f t="shared" si="6"/>
        <v>9.1999999999999993</v>
      </c>
      <c r="S10" s="216">
        <f t="shared" si="6"/>
        <v>9.1999999999999993</v>
      </c>
      <c r="T10" s="216">
        <f t="shared" si="6"/>
        <v>9.1999999999999993</v>
      </c>
      <c r="U10" s="216">
        <f t="shared" si="6"/>
        <v>9.1999999999999993</v>
      </c>
      <c r="V10" s="216">
        <f t="shared" si="6"/>
        <v>9.1999999999999993</v>
      </c>
      <c r="W10" s="216">
        <f t="shared" si="6"/>
        <v>9.1999999999999993</v>
      </c>
      <c r="X10" s="216">
        <f t="shared" si="6"/>
        <v>9.1999999999999993</v>
      </c>
      <c r="Y10" s="216">
        <f t="shared" si="6"/>
        <v>9.1999999999999993</v>
      </c>
      <c r="Z10" s="216">
        <f t="shared" si="6"/>
        <v>9.1999999999999993</v>
      </c>
      <c r="AA10" s="216">
        <f t="shared" si="6"/>
        <v>9.1999999999999993</v>
      </c>
      <c r="AB10" s="217">
        <f>AA10</f>
        <v>9.1999999999999993</v>
      </c>
      <c r="AC10" s="213"/>
      <c r="AD10" s="213"/>
    </row>
    <row r="11" spans="1:33">
      <c r="C11" s="204"/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18"/>
      <c r="P11" s="218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20"/>
      <c r="AC11" s="220"/>
      <c r="AD11" s="220"/>
    </row>
    <row r="12" spans="1:33">
      <c r="C12" s="204"/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18"/>
      <c r="P12" s="218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20"/>
      <c r="AC12" s="220"/>
      <c r="AD12" s="220"/>
    </row>
    <row r="13" spans="1:33">
      <c r="A13" s="188" t="s">
        <v>655</v>
      </c>
      <c r="C13" s="221" t="s">
        <v>695</v>
      </c>
      <c r="D13" s="222">
        <f>VLOOKUP($A13,'Group Model'!$1:$1048576,MATCH("FY"&amp;RIGHT(D$4,2)&amp;"a",'Group Model'!$1:$1,0),FALSE)/1000</f>
        <v>144.74799999999999</v>
      </c>
      <c r="E13" s="222">
        <f>VLOOKUP($A13,'Group Model'!$1:$1048576,MATCH("FY"&amp;RIGHT(E$4,2)&amp;"a",'Group Model'!$1:$1,0),FALSE)/1000</f>
        <v>153.904</v>
      </c>
      <c r="F13" s="222">
        <f>VLOOKUP($A13,'Group Model'!$1:$1048576,MATCH("FY"&amp;RIGHT(F$4,2)&amp;"a",'Group Model'!$1:$1,0),FALSE)/1000</f>
        <v>187.976</v>
      </c>
      <c r="G13" s="222">
        <f>VLOOKUP($A13,'Group Model'!$1:$1048576,MATCH("FY"&amp;RIGHT(G$4,2)&amp;"a",'Group Model'!$1:$1,0),FALSE)/1000</f>
        <v>196.755</v>
      </c>
      <c r="H13" s="222">
        <f>VLOOKUP($A13,'Group Model'!$1:$1048576,MATCH("FY"&amp;RIGHT(H$4,2)&amp;"a",'Group Model'!$1:$1,0),FALSE)/1000</f>
        <v>182.87700000000001</v>
      </c>
      <c r="I13" s="222">
        <f>VLOOKUP($A13,'Group Model'!$1:$1048576,MATCH("FY"&amp;RIGHT(I$4,2)&amp;"a",'Group Model'!$1:$1,0),FALSE)/1000</f>
        <v>191.32499999999999</v>
      </c>
      <c r="J13" s="222">
        <f>VLOOKUP($A13,'Group Model'!$1:$1048576,MATCH("FY"&amp;RIGHT(J$4,2)&amp;"a",'Group Model'!$1:$1,0),FALSE)/1000</f>
        <v>197.75700000000001</v>
      </c>
      <c r="K13" s="222">
        <f>VLOOKUP($A13,'Group Model'!$1:$1048576,MATCH("FY"&amp;RIGHT(K$4,2)&amp;"a",'Group Model'!$1:$1,0),FALSE)/1000</f>
        <v>255.80199999999999</v>
      </c>
      <c r="L13" s="222">
        <f>VLOOKUP($A13,'Group Model'!$1:$1048576,MATCH("FY"&amp;RIGHT(L$4,2)&amp;"a",'Group Model'!$1:$1,0),FALSE)/1000</f>
        <v>245.65299999999999</v>
      </c>
      <c r="M13" s="222">
        <f>VLOOKUP($A13,'Group Model'!$1:$1048576,MATCH("FY"&amp;RIGHT(M$4,2)&amp;"a",'Group Model'!$1:$1,0),FALSE)/1000</f>
        <v>399.17599999999999</v>
      </c>
      <c r="N13" s="222">
        <f>VLOOKUP($A13,'Group Model'!$1:$1048576,MATCH("FY"&amp;RIGHT(N$4,2)&amp;"a",'Group Model'!$1:$1,0),FALSE)/1000</f>
        <v>387.87200000000001</v>
      </c>
      <c r="O13" s="222">
        <f>VLOOKUP($A13,'Group Model'!$1:$1048576,MATCH("FY"&amp;RIGHT(O$4,2)&amp;"a",'Group Model'!$1:$1,0),FALSE)/1000</f>
        <v>403.404</v>
      </c>
      <c r="P13" s="222">
        <f>VLOOKUP($A13,'Group Model'!$1:$1048576,MATCH("FY"&amp;RIGHT(P$4,2)&amp;"a",'Group Model'!$1:$1,0),FALSE)/1000</f>
        <v>445.221</v>
      </c>
      <c r="Q13" s="222">
        <f>VLOOKUP($A13,'Group Model'!$1:$1048576,MATCH("FY"&amp;RIGHT(Q$4,2)&amp;"E",'Group Model'!$1:$1,0),FALSE)/1000</f>
        <v>513.802111767219</v>
      </c>
      <c r="R13" s="222">
        <f>VLOOKUP($A13,'Group Model'!$1:$1048576,MATCH("FY"&amp;RIGHT(R$4,2)&amp;"E",'Group Model'!$1:$1,0),FALSE)/1000</f>
        <v>570.50056108416925</v>
      </c>
      <c r="S13" s="222">
        <f>VLOOKUP($A13,'Group Model'!$1:$1048576,MATCH("FY"&amp;RIGHT(S$4,2)&amp;"E",'Group Model'!$1:$1,0),FALSE)/1000</f>
        <v>616.59356907000199</v>
      </c>
      <c r="T13" s="222">
        <f>VLOOKUP($A13,'Group Model'!$1:$1048576,MATCH("FY"&amp;RIGHT(T$4,2)&amp;"E",'Group Model'!$1:$1,0),FALSE)/1000</f>
        <v>659.36191855729112</v>
      </c>
      <c r="U13" s="222">
        <f>VLOOKUP($A13,'Group Model'!$1:$1048576,MATCH("FY"&amp;RIGHT(U$4,2)&amp;"E",'Group Model'!$1:$1,0),FALSE)/1000</f>
        <v>703.81969837544375</v>
      </c>
      <c r="V13" s="223">
        <f t="shared" ref="V13:AA13" si="7">+U13*(1+V14/100)</f>
        <v>747.4714516291815</v>
      </c>
      <c r="W13" s="223">
        <f t="shared" si="7"/>
        <v>789.79102223333484</v>
      </c>
      <c r="X13" s="223">
        <f t="shared" si="7"/>
        <v>830.2383761040885</v>
      </c>
      <c r="Y13" s="223">
        <f t="shared" si="7"/>
        <v>868.27033933048313</v>
      </c>
      <c r="Z13" s="223">
        <f t="shared" si="7"/>
        <v>903.35214521400269</v>
      </c>
      <c r="AA13" s="223">
        <f t="shared" si="7"/>
        <v>934.96947029649266</v>
      </c>
      <c r="AB13" s="224"/>
      <c r="AC13" s="225">
        <f>RATE(12,,-D13,P13)*100</f>
        <v>9.8154862923232002</v>
      </c>
      <c r="AD13" s="225">
        <f>RATE(10,,-Q13,AA13)*100</f>
        <v>6.1695934927268548</v>
      </c>
      <c r="AE13" s="188" t="s">
        <v>696</v>
      </c>
    </row>
    <row r="14" spans="1:33">
      <c r="A14" s="188" t="str">
        <f>A13</f>
        <v>AD_PEAssetsTotal</v>
      </c>
      <c r="C14" s="226" t="s">
        <v>697</v>
      </c>
      <c r="D14" s="218"/>
      <c r="E14" s="227">
        <f t="shared" ref="E14:L14" si="8">+(E13-D13)/D13*100</f>
        <v>6.3254759996683934</v>
      </c>
      <c r="F14" s="227">
        <f t="shared" si="8"/>
        <v>22.138475933049175</v>
      </c>
      <c r="G14" s="227">
        <f t="shared" si="8"/>
        <v>4.6702770566455278</v>
      </c>
      <c r="H14" s="227">
        <f t="shared" si="8"/>
        <v>-7.0534420980407031</v>
      </c>
      <c r="I14" s="227">
        <f t="shared" si="8"/>
        <v>4.6194983513508969</v>
      </c>
      <c r="J14" s="227">
        <f t="shared" si="8"/>
        <v>3.3618188945511647</v>
      </c>
      <c r="K14" s="227">
        <f t="shared" si="8"/>
        <v>29.3516790808922</v>
      </c>
      <c r="L14" s="227">
        <f t="shared" si="8"/>
        <v>-3.9675217551074664</v>
      </c>
      <c r="M14" s="227">
        <f>+(M13-L13)/L13*100</f>
        <v>62.495878332444541</v>
      </c>
      <c r="N14" s="227">
        <f>+(N13-M13)/M13*100</f>
        <v>-2.8318335771689616</v>
      </c>
      <c r="O14" s="227">
        <f>+(O13-N13)/N13*100</f>
        <v>4.0044138272419723</v>
      </c>
      <c r="P14" s="227">
        <f>+(P13-O13)/O13*100</f>
        <v>10.366035041794332</v>
      </c>
      <c r="Q14" s="227">
        <f t="shared" ref="Q14:U14" si="9">+(Q13-P13)/P13*100</f>
        <v>15.403835795530535</v>
      </c>
      <c r="R14" s="227">
        <f t="shared" si="9"/>
        <v>11.035075181364338</v>
      </c>
      <c r="S14" s="227">
        <f t="shared" si="9"/>
        <v>8.0793974852957895</v>
      </c>
      <c r="T14" s="227">
        <f t="shared" si="9"/>
        <v>6.9362302224131085</v>
      </c>
      <c r="U14" s="227">
        <f t="shared" si="9"/>
        <v>6.7425458715340945</v>
      </c>
      <c r="V14" s="228">
        <f>U14+($AA14-$U14)/6</f>
        <v>6.2021215596117454</v>
      </c>
      <c r="W14" s="228">
        <f t="shared" ref="W14:Z14" si="10">V14+($AA14-$U14)/6</f>
        <v>5.6616972476893963</v>
      </c>
      <c r="X14" s="228">
        <f t="shared" si="10"/>
        <v>5.1212729357670472</v>
      </c>
      <c r="Y14" s="228">
        <f t="shared" si="10"/>
        <v>4.5808486238446982</v>
      </c>
      <c r="Z14" s="228">
        <f t="shared" si="10"/>
        <v>4.0404243119223491</v>
      </c>
      <c r="AA14" s="228">
        <f>AB19</f>
        <v>3.5000000000000004</v>
      </c>
      <c r="AB14" s="229"/>
      <c r="AC14" s="225"/>
      <c r="AD14" s="225"/>
      <c r="AE14" s="188" t="s">
        <v>698</v>
      </c>
    </row>
    <row r="15" spans="1:33">
      <c r="C15" s="226"/>
      <c r="D15" s="218"/>
      <c r="E15" s="227"/>
      <c r="F15" s="227"/>
      <c r="G15" s="227"/>
      <c r="H15" s="227"/>
      <c r="I15" s="227"/>
      <c r="J15" s="227"/>
      <c r="K15" s="227"/>
      <c r="L15" s="227"/>
      <c r="M15" s="227"/>
      <c r="N15" s="227"/>
      <c r="O15" s="227"/>
      <c r="P15" s="227"/>
      <c r="Q15" s="227"/>
      <c r="R15" s="227"/>
      <c r="S15" s="227"/>
      <c r="T15" s="227"/>
      <c r="U15" s="227"/>
      <c r="V15" s="228"/>
      <c r="W15" s="228"/>
      <c r="X15" s="228"/>
      <c r="Y15" s="228"/>
      <c r="Z15" s="228"/>
      <c r="AA15" s="228"/>
      <c r="AB15" s="229"/>
      <c r="AC15" s="225"/>
      <c r="AD15" s="225"/>
    </row>
    <row r="16" spans="1:33">
      <c r="A16" s="188" t="s">
        <v>335</v>
      </c>
      <c r="C16" s="221" t="s">
        <v>699</v>
      </c>
      <c r="D16" s="230">
        <f>VLOOKUP($A16,'Group Model'!$1:$1048576,MATCH("FY"&amp;RIGHT(D$4,2)&amp;"a",'Group Model'!$1:$1,0),FALSE)*100</f>
        <v>0.570425037034058</v>
      </c>
      <c r="E16" s="230">
        <f>VLOOKUP($A16,'Group Model'!$1:$1048576,MATCH("FY"&amp;RIGHT(E$4,2)&amp;"a",'Group Model'!$1:$1,0),FALSE)*100</f>
        <v>0.84713981490162471</v>
      </c>
      <c r="F16" s="230">
        <f>VLOOKUP($A16,'Group Model'!$1:$1048576,MATCH("FY"&amp;RIGHT(F$4,2)&amp;"a",'Group Model'!$1:$1,0),FALSE)*100</f>
        <v>0.93834093834093824</v>
      </c>
      <c r="G16" s="230">
        <f>VLOOKUP($A16,'Group Model'!$1:$1048576,MATCH("FY"&amp;RIGHT(G$4,2)&amp;"a",'Group Model'!$1:$1,0),FALSE)*100</f>
        <v>1.0724376252498498</v>
      </c>
      <c r="H16" s="230">
        <f>VLOOKUP($A16,'Group Model'!$1:$1048576,MATCH("FY"&amp;RIGHT(H$4,2)&amp;"a",'Group Model'!$1:$1,0),FALSE)*100</f>
        <v>1.1679731950941965</v>
      </c>
      <c r="I16" s="230">
        <f>VLOOKUP($A16,'Group Model'!$1:$1048576,MATCH("FY"&amp;RIGHT(I$4,2)&amp;"a",'Group Model'!$1:$1,0),FALSE)*100</f>
        <v>1.3666415465443797</v>
      </c>
      <c r="J16" s="230">
        <f>VLOOKUP($A16,'Group Model'!$1:$1048576,MATCH("FY"&amp;RIGHT(J$4,2)&amp;"a",'Group Model'!$1:$1,0),FALSE)*100</f>
        <v>1.5328388360294229</v>
      </c>
      <c r="K16" s="230">
        <f>VLOOKUP($A16,'Group Model'!$1:$1048576,MATCH("FY"&amp;RIGHT(K$4,2)&amp;"a",'Group Model'!$1:$1,0),FALSE)*100</f>
        <v>1.0676226143657985</v>
      </c>
      <c r="L16" s="230">
        <f>VLOOKUP($A16,'Group Model'!$1:$1048576,MATCH("FY"&amp;RIGHT(L$4,2)&amp;"a",'Group Model'!$1:$1,0),FALSE)*100</f>
        <v>1.2273410054019287</v>
      </c>
      <c r="M16" s="230">
        <f>VLOOKUP($A16,'Group Model'!$1:$1048576,MATCH("FY"&amp;RIGHT(M$4,2)&amp;"a",'Group Model'!$1:$1,0),FALSE)*100</f>
        <v>1.1789285929013769</v>
      </c>
      <c r="N16" s="230">
        <f>VLOOKUP($A16,'Group Model'!$1:$1048576,MATCH("FY"&amp;RIGHT(N$4,2)&amp;"a",'Group Model'!$1:$1,0),FALSE)*100</f>
        <v>1.3360077551357148</v>
      </c>
      <c r="O16" s="230">
        <f>VLOOKUP($A16,'Group Model'!$1:$1048576,MATCH("FY"&amp;RIGHT(O$4,2)&amp;"a",'Group Model'!$1:$1,0),FALSE)*100</f>
        <v>0.87307017282922328</v>
      </c>
      <c r="P16" s="230">
        <f>VLOOKUP($A16,'Group Model'!$1:$1048576,MATCH("FY"&amp;RIGHT(P$4,2)&amp;"a",'Group Model'!$1:$1,0),FALSE)*100</f>
        <v>0.83441706478355693</v>
      </c>
      <c r="Q16" s="230">
        <f>VLOOKUP($A16,'Group Model'!$1:$1048576,MATCH("FY"&amp;RIGHT(Q$4,2)&amp;"E",'Group Model'!$1:$1,0),FALSE)*100</f>
        <v>0.80865530931174268</v>
      </c>
      <c r="R16" s="230">
        <f>VLOOKUP($A16,'Group Model'!$1:$1048576,MATCH("FY"&amp;RIGHT(R$4,2)&amp;"E",'Group Model'!$1:$1,0),FALSE)*100</f>
        <v>0.8046151034105643</v>
      </c>
      <c r="S16" s="230">
        <f>VLOOKUP($A16,'Group Model'!$1:$1048576,MATCH("FY"&amp;RIGHT(S$4,2)&amp;"E",'Group Model'!$1:$1,0),FALSE)*100</f>
        <v>0.82309738098904472</v>
      </c>
      <c r="T16" s="230">
        <f>VLOOKUP($A16,'Group Model'!$1:$1048576,MATCH("FY"&amp;RIGHT(T$4,2)&amp;"E",'Group Model'!$1:$1,0),FALSE)*100</f>
        <v>0.81708328800320273</v>
      </c>
      <c r="U16" s="230">
        <f>VLOOKUP($A16,'Group Model'!$1:$1048576,MATCH("FY"&amp;RIGHT(U$4,2)&amp;"E",'Group Model'!$1:$1,0),FALSE)*100</f>
        <v>0.80444941449135943</v>
      </c>
      <c r="V16" s="231">
        <f>U16</f>
        <v>0.80444941449135943</v>
      </c>
      <c r="W16" s="231">
        <f t="shared" ref="W16:AA16" si="11">V16</f>
        <v>0.80444941449135943</v>
      </c>
      <c r="X16" s="231">
        <f t="shared" si="11"/>
        <v>0.80444941449135943</v>
      </c>
      <c r="Y16" s="231">
        <f t="shared" si="11"/>
        <v>0.80444941449135943</v>
      </c>
      <c r="Z16" s="231">
        <f t="shared" si="11"/>
        <v>0.80444941449135943</v>
      </c>
      <c r="AA16" s="231">
        <f t="shared" si="11"/>
        <v>0.80444941449135943</v>
      </c>
      <c r="AB16" s="224"/>
      <c r="AC16" s="225">
        <f t="array" ref="AC16">AVERAGE(IF(ISNUMBER(D16:P16),IF(ISNUMBER(D16:P16),D16:P16)))</f>
        <v>1.0779372460470822</v>
      </c>
      <c r="AD16" s="225">
        <f>AVERAGE(Q16:AA16)</f>
        <v>0.80769063483218806</v>
      </c>
      <c r="AE16" s="188" t="s">
        <v>700</v>
      </c>
      <c r="AG16" s="232"/>
    </row>
    <row r="17" spans="1:31">
      <c r="C17" s="226"/>
      <c r="D17" s="218"/>
      <c r="E17" s="227"/>
      <c r="F17" s="227"/>
      <c r="G17" s="227"/>
      <c r="H17" s="227"/>
      <c r="I17" s="227"/>
      <c r="J17" s="227"/>
      <c r="K17" s="227"/>
      <c r="L17" s="227"/>
      <c r="M17" s="227"/>
      <c r="N17" s="227"/>
      <c r="O17" s="227"/>
      <c r="P17" s="227"/>
      <c r="Q17" s="227"/>
      <c r="R17" s="227"/>
      <c r="S17" s="227"/>
      <c r="T17" s="221"/>
      <c r="U17" s="221"/>
      <c r="V17" s="221"/>
      <c r="W17" s="221"/>
      <c r="X17" s="221"/>
      <c r="Y17" s="221"/>
      <c r="Z17" s="221"/>
      <c r="AA17" s="221"/>
      <c r="AB17" s="229"/>
      <c r="AC17" s="225"/>
      <c r="AD17" s="225"/>
    </row>
    <row r="18" spans="1:31" ht="25.5">
      <c r="A18" s="188" t="s">
        <v>292</v>
      </c>
      <c r="C18" s="204" t="s">
        <v>701</v>
      </c>
      <c r="D18" s="233">
        <f>VLOOKUP($A18,'Group Model'!$1:$1048576,MATCH("FY"&amp;RIGHT(D$4,2)&amp;"a",'Group Model'!$1:$1,0),FALSE)/1000</f>
        <v>0.85099999999999998</v>
      </c>
      <c r="E18" s="233">
        <f>VLOOKUP($A18,'Group Model'!$1:$1048576,MATCH("FY"&amp;RIGHT(E$4,2)&amp;"a",'Group Model'!$1:$1,0),FALSE)/1000</f>
        <v>1.2649999999999999</v>
      </c>
      <c r="F18" s="233">
        <f>VLOOKUP($A18,'Group Model'!$1:$1048576,MATCH("FY"&amp;RIGHT(F$4,2)&amp;"a",'Group Model'!$1:$1,0),FALSE)/1000</f>
        <v>1.6040000000000001</v>
      </c>
      <c r="G18" s="233">
        <f>VLOOKUP($A18,'Group Model'!$1:$1048576,MATCH("FY"&amp;RIGHT(G$4,2)&amp;"a",'Group Model'!$1:$1,0),FALSE)/1000</f>
        <v>2.0630000000000002</v>
      </c>
      <c r="H18" s="233">
        <f>VLOOKUP($A18,'Group Model'!$1:$1048576,MATCH("FY"&amp;RIGHT(H$4,2)&amp;"a",'Group Model'!$1:$1,0),FALSE)/1000</f>
        <v>2.2170000000000001</v>
      </c>
      <c r="I18" s="233">
        <f>VLOOKUP($A18,'Group Model'!$1:$1048576,MATCH("FY"&amp;RIGHT(I$4,2)&amp;"a",'Group Model'!$1:$1,0),FALSE)/1000</f>
        <v>2.5569999999999999</v>
      </c>
      <c r="J18" s="233">
        <f>VLOOKUP($A18,'Group Model'!$1:$1048576,MATCH("FY"&amp;RIGHT(J$4,2)&amp;"a",'Group Model'!$1:$1,0),FALSE)/1000</f>
        <v>2.9820000000000002</v>
      </c>
      <c r="K18" s="233">
        <f>VLOOKUP($A18,'Group Model'!$1:$1048576,MATCH("FY"&amp;RIGHT(K$4,2)&amp;"a",'Group Model'!$1:$1,0),FALSE)/1000</f>
        <v>2.7309999999999999</v>
      </c>
      <c r="L18" s="233">
        <f>VLOOKUP($A18,'Group Model'!$1:$1048576,MATCH("FY"&amp;RIGHT(L$4,2)&amp;"a",'Group Model'!$1:$1,0),FALSE)/1000</f>
        <v>3.0150000000000001</v>
      </c>
      <c r="M18" s="233">
        <f>VLOOKUP($A18,'Group Model'!$1:$1048576,MATCH("FY"&amp;RIGHT(M$4,2)&amp;"a",'Group Model'!$1:$1,0),FALSE)/1000</f>
        <v>4.7060000000000004</v>
      </c>
      <c r="N18" s="233">
        <f>VLOOKUP($A18,'Group Model'!$1:$1048576,MATCH("FY"&amp;RIGHT(N$4,2)&amp;"a",'Group Model'!$1:$1,0),FALSE)/1000</f>
        <v>5.1820000000000004</v>
      </c>
      <c r="O18" s="233">
        <f>VLOOKUP($A18,'Group Model'!$1:$1048576,MATCH("FY"&amp;RIGHT(O$4,2)&amp;"a",'Group Model'!$1:$1,0),FALSE)/1000</f>
        <v>3.5219999999999998</v>
      </c>
      <c r="P18" s="233">
        <f>VLOOKUP($A18,'Group Model'!$1:$1048576,MATCH("FY"&amp;RIGHT(P$4,2)&amp;"a",'Group Model'!$1:$1,0),FALSE)/1000</f>
        <v>3.7149999999999999</v>
      </c>
      <c r="Q18" s="233">
        <f>VLOOKUP($A18,'Group Model'!$1:$1048576,MATCH("FY"&amp;RIGHT(Q$4,2)&amp;"E",'Group Model'!$1:$1,0),FALSE)/1000</f>
        <v>4.1548880561614707</v>
      </c>
      <c r="R18" s="233">
        <f>VLOOKUP($A18,'Group Model'!$1:$1048576,MATCH("FY"&amp;RIGHT(R$4,2)&amp;"E",'Group Model'!$1:$1,0),FALSE)/1000</f>
        <v>4.5903336795252381</v>
      </c>
      <c r="S18" s="233">
        <f>VLOOKUP($A18,'Group Model'!$1:$1048576,MATCH("FY"&amp;RIGHT(S$4,2)&amp;"E",'Group Model'!$1:$1,0),FALSE)/1000</f>
        <v>5.0751655183620628</v>
      </c>
      <c r="T18" s="233">
        <f>VLOOKUP($A18,'Group Model'!$1:$1048576,MATCH("FY"&amp;RIGHT(T$4,2)&amp;"E",'Group Model'!$1:$1,0),FALSE)/1000</f>
        <v>5.3875360439889146</v>
      </c>
      <c r="U18" s="233">
        <f>VLOOKUP($A18,'Group Model'!$1:$1048576,MATCH("FY"&amp;RIGHT(U$4,2)&amp;"E",'Group Model'!$1:$1,0),FALSE)/1000</f>
        <v>5.661873442656109</v>
      </c>
      <c r="V18" s="234">
        <f t="shared" ref="V18:AA18" si="12">+V16/100*((V13+U13)/2)</f>
        <v>5.8374515793885626</v>
      </c>
      <c r="W18" s="234">
        <f t="shared" si="12"/>
        <v>6.1832494850912001</v>
      </c>
      <c r="X18" s="234">
        <f t="shared" si="12"/>
        <v>6.5161585047566479</v>
      </c>
      <c r="Y18" s="234">
        <f t="shared" si="12"/>
        <v>6.83182170819906</v>
      </c>
      <c r="Z18" s="234">
        <f t="shared" si="12"/>
        <v>7.1259033519576951</v>
      </c>
      <c r="AA18" s="234">
        <f t="shared" si="12"/>
        <v>7.39418373622114</v>
      </c>
      <c r="AB18" s="217">
        <f>AA18*(1+AB19/100)</f>
        <v>7.6529801669888791</v>
      </c>
      <c r="AC18" s="225">
        <f>RATE(12,,-D18,P18)*100</f>
        <v>13.066974560167049</v>
      </c>
      <c r="AD18" s="225">
        <f>RATE(10,,-Q18,AA18)*100</f>
        <v>5.933443812567516</v>
      </c>
      <c r="AE18" s="235" t="s">
        <v>702</v>
      </c>
    </row>
    <row r="19" spans="1:31">
      <c r="C19" s="236" t="s">
        <v>697</v>
      </c>
      <c r="D19" s="218"/>
      <c r="E19" s="227">
        <f t="shared" ref="E19:L19" si="13">+(E18-D18)/D18*100</f>
        <v>48.648648648648638</v>
      </c>
      <c r="F19" s="227">
        <f t="shared" si="13"/>
        <v>26.798418972332033</v>
      </c>
      <c r="G19" s="227">
        <f t="shared" si="13"/>
        <v>28.615960099750627</v>
      </c>
      <c r="H19" s="227">
        <f t="shared" si="13"/>
        <v>7.4648570043625737</v>
      </c>
      <c r="I19" s="227">
        <f t="shared" si="13"/>
        <v>15.336039693279199</v>
      </c>
      <c r="J19" s="227">
        <f t="shared" si="13"/>
        <v>16.621040281579987</v>
      </c>
      <c r="K19" s="227">
        <f t="shared" si="13"/>
        <v>-8.4171696847753292</v>
      </c>
      <c r="L19" s="227">
        <f t="shared" si="13"/>
        <v>10.399121201025276</v>
      </c>
      <c r="M19" s="227">
        <f>+(M18-L18)/L18*100</f>
        <v>56.08623548922057</v>
      </c>
      <c r="N19" s="227">
        <f>+(N18-M18)/M18*100</f>
        <v>10.114747131321716</v>
      </c>
      <c r="O19" s="227">
        <f>+(O18-N18)/N18*100</f>
        <v>-32.033963720571215</v>
      </c>
      <c r="P19" s="227">
        <f>+(P18-O18)/O18*100</f>
        <v>5.4798409994321426</v>
      </c>
      <c r="Q19" s="227">
        <f t="shared" ref="Q19:AA19" si="14">+(Q18-P18)/P18*100</f>
        <v>11.840862884561801</v>
      </c>
      <c r="R19" s="227">
        <f t="shared" si="14"/>
        <v>10.480321430514245</v>
      </c>
      <c r="S19" s="227">
        <f t="shared" si="14"/>
        <v>10.562017332190306</v>
      </c>
      <c r="T19" s="227">
        <f t="shared" si="14"/>
        <v>6.1548835106301123</v>
      </c>
      <c r="U19" s="227">
        <f t="shared" si="14"/>
        <v>5.0920754205121916</v>
      </c>
      <c r="V19" s="227">
        <f t="shared" si="14"/>
        <v>3.1010607798058807</v>
      </c>
      <c r="W19" s="227">
        <f t="shared" si="14"/>
        <v>5.9237819963015044</v>
      </c>
      <c r="X19" s="227">
        <f t="shared" si="14"/>
        <v>5.3840463734828186</v>
      </c>
      <c r="Y19" s="227">
        <f t="shared" si="14"/>
        <v>4.8443143795839996</v>
      </c>
      <c r="Z19" s="227">
        <f t="shared" si="14"/>
        <v>4.3045860433638001</v>
      </c>
      <c r="AA19" s="227">
        <f t="shared" si="14"/>
        <v>3.764861393885456</v>
      </c>
      <c r="AB19" s="231">
        <f>Summary!$G$4*100</f>
        <v>3.5000000000000004</v>
      </c>
      <c r="AC19" s="237"/>
      <c r="AD19" s="225"/>
    </row>
    <row r="20" spans="1:31">
      <c r="A20" s="188" t="s">
        <v>101</v>
      </c>
      <c r="B20" s="188" t="s">
        <v>149</v>
      </c>
      <c r="C20" s="218" t="s">
        <v>703</v>
      </c>
      <c r="D20" s="233">
        <f>(VLOOKUP($A20,'Group Model'!$1:$1048576,MATCH("FY"&amp;RIGHT(D$4,2)&amp;"a",'Group Model'!$1:$1,0),FALSE) *
VLOOKUP($B20,'Group Model'!$1:$1048576,MATCH("FY"&amp;RIGHT(D$4,2)&amp;"a",'Group Model'!$1:$1,0),FALSE)) / 1000</f>
        <v>0.67901315600000001</v>
      </c>
      <c r="E20" s="233">
        <f>(VLOOKUP($A20,'Group Model'!$1:$1048576,MATCH("FY"&amp;RIGHT(E$4,2)&amp;"a",'Group Model'!$1:$1,0),FALSE) *
VLOOKUP($B20,'Group Model'!$1:$1048576,MATCH("FY"&amp;RIGHT(E$4,2)&amp;"a",'Group Model'!$1:$1,0),FALSE)) / 1000</f>
        <v>1.2007232425750001</v>
      </c>
      <c r="F20" s="233">
        <f>(VLOOKUP($A20,'Group Model'!$1:$1048576,MATCH("1h"&amp;RIGHT(F$4,2)&amp;"a",'Group Model'!$1:$1,0),FALSE) *
VLOOKUP($B20,'Group Model'!$1:$1048576,MATCH("1h"&amp;RIGHT(F$4,2)&amp;"a",'Group Model'!$1:$1,0),FALSE) +
VLOOKUP($A20,'Group Model'!$1:$1048576,MATCH("2h"&amp;RIGHT(F$4,2)&amp;"a",'Group Model'!$1:$1,0),FALSE) *
VLOOKUP($B20,'Group Model'!$1:$1048576,MATCH("2h"&amp;RIGHT(F$4,2)&amp;"a",'Group Model'!$1:$1,0),FALSE)) / 1000</f>
        <v>1.0844794462</v>
      </c>
      <c r="G20" s="233">
        <f>(VLOOKUP($A20,'Group Model'!$1:$1048576,MATCH("1h"&amp;RIGHT(G$4,2)&amp;"a",'Group Model'!$1:$1,0),FALSE) *
VLOOKUP($B20,'Group Model'!$1:$1048576,MATCH("1h"&amp;RIGHT(G$4,2)&amp;"a",'Group Model'!$1:$1,0),FALSE) +
VLOOKUP($A20,'Group Model'!$1:$1048576,MATCH("2h"&amp;RIGHT(G$4,2)&amp;"a",'Group Model'!$1:$1,0),FALSE) *
VLOOKUP($B20,'Group Model'!$1:$1048576,MATCH("2h"&amp;RIGHT(G$4,2)&amp;"a",'Group Model'!$1:$1,0),FALSE)) / 1000</f>
        <v>1.3503768696000003</v>
      </c>
      <c r="H20" s="233">
        <f>(VLOOKUP($A20,'Group Model'!$1:$1048576,MATCH("1h"&amp;RIGHT(H$4,2)&amp;"a",'Group Model'!$1:$1,0),FALSE) *
VLOOKUP($B20,'Group Model'!$1:$1048576,MATCH("1h"&amp;RIGHT(H$4,2)&amp;"a",'Group Model'!$1:$1,0),FALSE) +
VLOOKUP($A20,'Group Model'!$1:$1048576,MATCH("2h"&amp;RIGHT(H$4,2)&amp;"a",'Group Model'!$1:$1,0),FALSE) *
VLOOKUP($B20,'Group Model'!$1:$1048576,MATCH("2h"&amp;RIGHT(H$4,2)&amp;"a",'Group Model'!$1:$1,0),FALSE)) / 1000</f>
        <v>1.5996279473999999</v>
      </c>
      <c r="I20" s="233">
        <f>(VLOOKUP($A20,'Group Model'!$1:$1048576,MATCH("1h"&amp;RIGHT(I$4,2)&amp;"a",'Group Model'!$1:$1,0),FALSE) *
VLOOKUP($B20,'Group Model'!$1:$1048576,MATCH("1h"&amp;RIGHT(I$4,2)&amp;"a",'Group Model'!$1:$1,0),FALSE) +
VLOOKUP($A20,'Group Model'!$1:$1048576,MATCH("2h"&amp;RIGHT(I$4,2)&amp;"a",'Group Model'!$1:$1,0),FALSE) *
VLOOKUP($B20,'Group Model'!$1:$1048576,MATCH("2h"&amp;RIGHT(I$4,2)&amp;"a",'Group Model'!$1:$1,0),FALSE)) / 1000</f>
        <v>1.78690112515</v>
      </c>
      <c r="J20" s="233">
        <f>(VLOOKUP($A20,'Group Model'!$1:$1048576,MATCH("1h"&amp;RIGHT(J$4,2)&amp;"a",'Group Model'!$1:$1,0),FALSE) *
VLOOKUP($B20,'Group Model'!$1:$1048576,MATCH("1h"&amp;RIGHT(J$4,2)&amp;"a",'Group Model'!$1:$1,0),FALSE) +
VLOOKUP($A20,'Group Model'!$1:$1048576,MATCH("2h"&amp;RIGHT(J$4,2)&amp;"a",'Group Model'!$1:$1,0),FALSE) *
VLOOKUP($B20,'Group Model'!$1:$1048576,MATCH("2h"&amp;RIGHT(J$4,2)&amp;"a",'Group Model'!$1:$1,0),FALSE)) / 1000</f>
        <v>1.9572007435000001</v>
      </c>
      <c r="K20" s="233">
        <f>(VLOOKUP($A20,'Group Model'!$1:$1048576,MATCH("1h"&amp;RIGHT(K$4,2)&amp;"a",'Group Model'!$1:$1,0),FALSE) *
VLOOKUP($B20,'Group Model'!$1:$1048576,MATCH("1h"&amp;RIGHT(K$4,2)&amp;"a",'Group Model'!$1:$1,0),FALSE) +
VLOOKUP($A20,'Group Model'!$1:$1048576,MATCH("2h"&amp;RIGHT(K$4,2)&amp;"a",'Group Model'!$1:$1,0),FALSE) *
VLOOKUP($B20,'Group Model'!$1:$1048576,MATCH("2h"&amp;RIGHT(K$4,2)&amp;"a",'Group Model'!$1:$1,0),FALSE)) / 1000</f>
        <v>1.5238276802999999</v>
      </c>
      <c r="L20" s="233">
        <f>(VLOOKUP($A20,'Group Model'!$1:$1048576,MATCH("1h"&amp;RIGHT(L$4,2)&amp;"a",'Group Model'!$1:$1,0),FALSE) *
VLOOKUP($B20,'Group Model'!$1:$1048576,MATCH("1h"&amp;RIGHT(L$4,2)&amp;"a",'Group Model'!$1:$1,0),FALSE) +
VLOOKUP($A20,'Group Model'!$1:$1048576,MATCH("2h"&amp;RIGHT(L$4,2)&amp;"a",'Group Model'!$1:$1,0),FALSE) *
VLOOKUP($B20,'Group Model'!$1:$1048576,MATCH("2h"&amp;RIGHT(L$4,2)&amp;"a",'Group Model'!$1:$1,0),FALSE)) / 1000</f>
        <v>1.7001315094</v>
      </c>
      <c r="M20" s="233">
        <f>(VLOOKUP($A20,'Group Model'!$1:$1048576,MATCH("1h"&amp;RIGHT(M$4,2)&amp;"a",'Group Model'!$1:$1,0),FALSE) *
VLOOKUP($B20,'Group Model'!$1:$1048576,MATCH("1h"&amp;RIGHT(M$4,2)&amp;"a",'Group Model'!$1:$1,0),FALSE) +
VLOOKUP($A20,'Group Model'!$1:$1048576,MATCH("2h"&amp;RIGHT(M$4,2)&amp;"a",'Group Model'!$1:$1,0),FALSE) *
VLOOKUP($B20,'Group Model'!$1:$1048576,MATCH("2h"&amp;RIGHT(M$4,2)&amp;"a",'Group Model'!$1:$1,0),FALSE)) / 1000</f>
        <v>2.3459657491799999</v>
      </c>
      <c r="N20" s="233">
        <f>(VLOOKUP($A20,'Group Model'!$1:$1048576,MATCH("1h"&amp;RIGHT(N$4,2)&amp;"a",'Group Model'!$1:$1,0),FALSE) *
VLOOKUP($B20,'Group Model'!$1:$1048576,MATCH("1h"&amp;RIGHT(N$4,2)&amp;"a",'Group Model'!$1:$1,0),FALSE) +
VLOOKUP($A20,'Group Model'!$1:$1048576,MATCH("2h"&amp;RIGHT(N$4,2)&amp;"a",'Group Model'!$1:$1,0),FALSE) *
VLOOKUP($B20,'Group Model'!$1:$1048576,MATCH("2h"&amp;RIGHT(N$4,2)&amp;"a",'Group Model'!$1:$1,0),FALSE)) / 1000</f>
        <v>2.8985756550000006</v>
      </c>
      <c r="O20" s="233">
        <f>(VLOOKUP($A20,'Group Model'!$1:$1048576,MATCH("1h"&amp;RIGHT(O$4,2)&amp;"a",'Group Model'!$1:$1,0),FALSE) *
VLOOKUP($B20,'Group Model'!$1:$1048576,MATCH("1h"&amp;RIGHT(O$4,2)&amp;"a",'Group Model'!$1:$1,0),FALSE) +
VLOOKUP($A20,'Group Model'!$1:$1048576,MATCH("2h"&amp;RIGHT(O$4,2)&amp;"a",'Group Model'!$1:$1,0),FALSE) *
VLOOKUP($B20,'Group Model'!$1:$1048576,MATCH("2h"&amp;RIGHT(O$4,2)&amp;"a",'Group Model'!$1:$1,0),FALSE)) / 1000</f>
        <v>2.4599214747500002</v>
      </c>
      <c r="P20" s="233">
        <f>(VLOOKUP($A20,'Group Model'!$1:$1048576,MATCH("1h"&amp;RIGHT(P$4,2)&amp;"a",'Group Model'!$1:$1,0),FALSE) *
VLOOKUP($B20,'Group Model'!$1:$1048576,MATCH("1h"&amp;RIGHT(P$4,2)&amp;"a",'Group Model'!$1:$1,0),FALSE) +
VLOOKUP($A20,'Group Model'!$1:$1048576,MATCH("2h"&amp;RIGHT(P$4,2)&amp;"a",'Group Model'!$1:$1,0),FALSE) *
VLOOKUP($B20,'Group Model'!$1:$1048576,MATCH("2h"&amp;RIGHT(P$4,2)&amp;"a",'Group Model'!$1:$1,0),FALSE)) / 1000</f>
        <v>2.4773996975000001</v>
      </c>
      <c r="Q20" s="233" t="e">
        <f>(VLOOKUP($A20,'Group Model'!$1:$1048576,MATCH("1h"&amp;RIGHT(Q$4,2)&amp;"e",'Group Model'!$1:$1,0),FALSE) *
VLOOKUP($B20,'Group Model'!$1:$1048576,MATCH("1h"&amp;RIGHT(Q$4,2)&amp;"e",'Group Model'!$1:$1,0),FALSE) +
VLOOKUP($A20,'Group Model'!$1:$1048576,MATCH("2h"&amp;RIGHT(Q$4,2)&amp;"E",'Group Model'!$1:$1,0),FALSE) *
VLOOKUP($B20,'Group Model'!$1:$1048576,MATCH("2h"&amp;RIGHT(Q$4,2)&amp;"E",'Group Model'!$1:$1,0),FALSE)) / 1000</f>
        <v>#N/A</v>
      </c>
      <c r="R20" s="233">
        <f>(VLOOKUP($A20,'Group Model'!$1:$1048576,MATCH("1h"&amp;RIGHT(R$4,2)&amp;"E",'Group Model'!$1:$1,0),FALSE) *
VLOOKUP($B20,'Group Model'!$1:$1048576,MATCH("1h"&amp;RIGHT(R$4,2)&amp;"E",'Group Model'!$1:$1,0),FALSE) +
VLOOKUP($A20,'Group Model'!$1:$1048576,MATCH("2h"&amp;RIGHT(R$4,2)&amp;"E",'Group Model'!$1:$1,0),FALSE) *
VLOOKUP($B20,'Group Model'!$1:$1048576,MATCH("2h"&amp;RIGHT(R$4,2)&amp;"E",'Group Model'!$1:$1,0),FALSE)) / 1000</f>
        <v>2.8694279998232979</v>
      </c>
      <c r="S20" s="233">
        <f>(VLOOKUP($A20,'Group Model'!$1:$1048576,MATCH("1h"&amp;RIGHT(S$4,2)&amp;"E",'Group Model'!$1:$1,0),FALSE) *
VLOOKUP($B20,'Group Model'!$1:$1048576,MATCH("1h"&amp;RIGHT(S$4,2)&amp;"E",'Group Model'!$1:$1,0),FALSE) +
VLOOKUP($A20,'Group Model'!$1:$1048576,MATCH("2h"&amp;RIGHT(S$4,2)&amp;"E",'Group Model'!$1:$1,0),FALSE) *
VLOOKUP($B20,'Group Model'!$1:$1048576,MATCH("2h"&amp;RIGHT(S$4,2)&amp;"E",'Group Model'!$1:$1,0),FALSE)) / 1000</f>
        <v>3.279556349012708</v>
      </c>
      <c r="T20" s="233">
        <f>(VLOOKUP($A20,'Group Model'!$1:$1048576,MATCH("1h"&amp;RIGHT(T$4,2)&amp;"E",'Group Model'!$1:$1,0),FALSE) *
VLOOKUP($B20,'Group Model'!$1:$1048576,MATCH("1h"&amp;RIGHT(T$4,2)&amp;"E",'Group Model'!$1:$1,0),FALSE) +
VLOOKUP($A20,'Group Model'!$1:$1048576,MATCH("2h"&amp;RIGHT(T$4,2)&amp;"E",'Group Model'!$1:$1,0),FALSE) *
VLOOKUP($B20,'Group Model'!$1:$1048576,MATCH("2h"&amp;RIGHT(T$4,2)&amp;"E",'Group Model'!$1:$1,0),FALSE)) / 1000</f>
        <v>3.2041642490354043</v>
      </c>
      <c r="U20" s="233">
        <f>(VLOOKUP($A20,'Group Model'!$1:$1048576,MATCH("1h"&amp;RIGHT(U$4,2)&amp;"E",'Group Model'!$1:$1,0),FALSE) *
VLOOKUP($B20,'Group Model'!$1:$1048576,MATCH("1h"&amp;RIGHT(U$4,2)&amp;"E",'Group Model'!$1:$1,0),FALSE) +
VLOOKUP($A20,'Group Model'!$1:$1048576,MATCH("2h"&amp;RIGHT(U$4,2)&amp;"E",'Group Model'!$1:$1,0),FALSE) *
VLOOKUP($B20,'Group Model'!$1:$1048576,MATCH("2h"&amp;RIGHT(U$4,2)&amp;"E",'Group Model'!$1:$1,0),FALSE)) / 1000</f>
        <v>3.4680365989559667</v>
      </c>
      <c r="V20" s="227">
        <f t="shared" ref="V20:AA20" si="15">+V18*V21/100</f>
        <v>3.5755825217555044</v>
      </c>
      <c r="W20" s="227">
        <f t="shared" si="15"/>
        <v>3.7873922354421596</v>
      </c>
      <c r="X20" s="227">
        <f t="shared" si="15"/>
        <v>3.9913071897440533</v>
      </c>
      <c r="Y20" s="227">
        <f t="shared" si="15"/>
        <v>4.1846586578701945</v>
      </c>
      <c r="Z20" s="227">
        <f t="shared" si="15"/>
        <v>4.3647908904192896</v>
      </c>
      <c r="AA20" s="227">
        <f t="shared" si="15"/>
        <v>4.5291192175765147</v>
      </c>
      <c r="AB20" s="224">
        <f>AA21/100*AB18</f>
        <v>4.6876383901916929</v>
      </c>
      <c r="AC20" s="237"/>
      <c r="AD20" s="225"/>
    </row>
    <row r="21" spans="1:31" s="190" customFormat="1">
      <c r="C21" s="236" t="s">
        <v>704</v>
      </c>
      <c r="D21" s="227">
        <f>+D20/D18*100</f>
        <v>79.790030082256166</v>
      </c>
      <c r="E21" s="227">
        <f t="shared" ref="E21:L21" si="16">+E20/E18*100</f>
        <v>94.918833405138344</v>
      </c>
      <c r="F21" s="227">
        <f t="shared" si="16"/>
        <v>67.610938042394011</v>
      </c>
      <c r="G21" s="227">
        <f t="shared" si="16"/>
        <v>65.456949568589437</v>
      </c>
      <c r="H21" s="227">
        <f t="shared" si="16"/>
        <v>72.152816752368054</v>
      </c>
      <c r="I21" s="227">
        <f t="shared" si="16"/>
        <v>69.88271901251467</v>
      </c>
      <c r="J21" s="227">
        <f t="shared" si="16"/>
        <v>65.633827749832335</v>
      </c>
      <c r="K21" s="227">
        <f t="shared" si="16"/>
        <v>55.797425129989023</v>
      </c>
      <c r="L21" s="227">
        <f t="shared" si="16"/>
        <v>56.389104789386401</v>
      </c>
      <c r="M21" s="227">
        <f>+M20/M18*100</f>
        <v>49.850525906927317</v>
      </c>
      <c r="N21" s="227">
        <f t="shared" ref="N21:U21" si="17">+N20/N18*100</f>
        <v>55.935462273253577</v>
      </c>
      <c r="O21" s="227">
        <f t="shared" si="17"/>
        <v>69.844448459682013</v>
      </c>
      <c r="P21" s="227">
        <f t="shared" si="17"/>
        <v>66.68639831763123</v>
      </c>
      <c r="Q21" s="227" t="e">
        <f t="shared" si="17"/>
        <v>#N/A</v>
      </c>
      <c r="R21" s="227">
        <f t="shared" si="17"/>
        <v>62.510226927992576</v>
      </c>
      <c r="S21" s="227">
        <f t="shared" si="17"/>
        <v>64.619692444457229</v>
      </c>
      <c r="T21" s="227">
        <f t="shared" si="17"/>
        <v>59.473648489283256</v>
      </c>
      <c r="U21" s="227">
        <f t="shared" si="17"/>
        <v>61.252457054727714</v>
      </c>
      <c r="V21" s="228">
        <f t="shared" ref="V21:AA21" si="18">+U21</f>
        <v>61.252457054727714</v>
      </c>
      <c r="W21" s="228">
        <f t="shared" si="18"/>
        <v>61.252457054727714</v>
      </c>
      <c r="X21" s="228">
        <f t="shared" si="18"/>
        <v>61.252457054727714</v>
      </c>
      <c r="Y21" s="228">
        <f t="shared" si="18"/>
        <v>61.252457054727714</v>
      </c>
      <c r="Z21" s="228">
        <f t="shared" si="18"/>
        <v>61.252457054727714</v>
      </c>
      <c r="AA21" s="228">
        <f t="shared" si="18"/>
        <v>61.252457054727714</v>
      </c>
      <c r="AB21" s="224"/>
      <c r="AC21" s="225">
        <f t="array" ref="AC21">AVERAGE(IF(ISNUMBER(D21:P21),IF(ISNUMBER(D21:P21),D21:P21)))</f>
        <v>66.919190729997112</v>
      </c>
      <c r="AD21" s="225" t="e">
        <f>AVERAGE(Q21:AA21)</f>
        <v>#N/A</v>
      </c>
    </row>
    <row r="22" spans="1:31">
      <c r="A22" s="188" t="s">
        <v>106</v>
      </c>
      <c r="C22" s="236" t="s">
        <v>705</v>
      </c>
      <c r="D22" s="238" t="e">
        <f>D20/(1-30%)*30%*VLOOKUP($A22,'Group Model'!$1:$1048576,MATCH("FY"&amp;RIGHT(D$4,2)&amp;"E",'Group Model'!$1:$1,0),FALSE)</f>
        <v>#N/A</v>
      </c>
      <c r="E22" s="238" t="e">
        <f>E20/(1-30%)*30%*VLOOKUP($A22,'Group Model'!$1:$1048576,MATCH("FY"&amp;RIGHT(E$4,2)&amp;"E",'Group Model'!$1:$1,0),FALSE)</f>
        <v>#N/A</v>
      </c>
      <c r="F22" s="238" t="e">
        <f>F20/(1-30%)*30%*VLOOKUP($A22,'Group Model'!$1:$1048576,MATCH("FY"&amp;RIGHT(F$4,2)&amp;"E",'Group Model'!$1:$1,0),FALSE)</f>
        <v>#N/A</v>
      </c>
      <c r="G22" s="238" t="e">
        <f>G20/(1-30%)*30%*VLOOKUP($A22,'Group Model'!$1:$1048576,MATCH("FY"&amp;RIGHT(G$4,2)&amp;"E",'Group Model'!$1:$1,0),FALSE)</f>
        <v>#N/A</v>
      </c>
      <c r="H22" s="238" t="e">
        <f>H20/(1-30%)*30%*VLOOKUP($A22,'Group Model'!$1:$1048576,MATCH("FY"&amp;RIGHT(H$4,2)&amp;"E",'Group Model'!$1:$1,0),FALSE)</f>
        <v>#N/A</v>
      </c>
      <c r="I22" s="238" t="e">
        <f>I20/(1-30%)*30%*VLOOKUP($A22,'Group Model'!$1:$1048576,MATCH("FY"&amp;RIGHT(I$4,2)&amp;"E",'Group Model'!$1:$1,0),FALSE)</f>
        <v>#N/A</v>
      </c>
      <c r="J22" s="238" t="e">
        <f>J20/(1-30%)*30%*VLOOKUP($A22,'Group Model'!$1:$1048576,MATCH("FY"&amp;RIGHT(J$4,2)&amp;"E",'Group Model'!$1:$1,0),FALSE)</f>
        <v>#N/A</v>
      </c>
      <c r="K22" s="238" t="e">
        <f>K20/(1-30%)*30%*VLOOKUP($A22,'Group Model'!$1:$1048576,MATCH("FY"&amp;RIGHT(K$4,2)&amp;"E",'Group Model'!$1:$1,0),FALSE)</f>
        <v>#N/A</v>
      </c>
      <c r="L22" s="238" t="e">
        <f>L20/(1-30%)*30%*VLOOKUP($A22,'Group Model'!$1:$1048576,MATCH("FY"&amp;RIGHT(L$4,2)&amp;"E",'Group Model'!$1:$1,0),FALSE)</f>
        <v>#N/A</v>
      </c>
      <c r="M22" s="238" t="e">
        <f>M20/(1-30%)*30%*VLOOKUP($A22,'Group Model'!$1:$1048576,MATCH("FY"&amp;RIGHT(M$4,2)&amp;"E",'Group Model'!$1:$1,0),FALSE)</f>
        <v>#N/A</v>
      </c>
      <c r="N22" s="238" t="e">
        <f>N20/(1-30%)*30%*VLOOKUP($A22,'Group Model'!$1:$1048576,MATCH("FY"&amp;RIGHT(N$4,2)&amp;"E",'Group Model'!$1:$1,0),FALSE)</f>
        <v>#N/A</v>
      </c>
      <c r="O22" s="238" t="e">
        <f>O20/(1-30%)*30%*VLOOKUP($A22,'Group Model'!$1:$1048576,MATCH("FY"&amp;RIGHT(O$4,2)&amp;"E",'Group Model'!$1:$1,0),FALSE)</f>
        <v>#N/A</v>
      </c>
      <c r="P22" s="238">
        <f>P20/(1-30%)*30%*VLOOKUP($A22,'Group Model'!$1:$1048576,MATCH("FY"&amp;RIGHT(P$4,2)&amp;"A",'Group Model'!$1:$1,0),FALSE)</f>
        <v>0.37160995462500007</v>
      </c>
      <c r="Q22" s="238" t="e">
        <f>Q20/(1-30%)*30%*VLOOKUP($A22,'Group Model'!$1:$1048576,MATCH("FY"&amp;RIGHT(Q$4,2)&amp;"E",'Group Model'!$1:$1,0),FALSE)</f>
        <v>#N/A</v>
      </c>
      <c r="R22" s="238">
        <f>R20/(1-30%)*30%*VLOOKUP($A22,'Group Model'!$1:$1048576,MATCH("FY"&amp;RIGHT(R$4,2)&amp;"E",'Group Model'!$1:$1,0),FALSE)</f>
        <v>0.43041419997349473</v>
      </c>
      <c r="S22" s="238">
        <f>S20/(1-30%)*30%*VLOOKUP($A22,'Group Model'!$1:$1048576,MATCH("FY"&amp;RIGHT(S$4,2)&amp;"E",'Group Model'!$1:$1,0),FALSE)</f>
        <v>0.49193345235190628</v>
      </c>
      <c r="T22" s="238">
        <f>T20/(1-30%)*30%*VLOOKUP($A22,'Group Model'!$1:$1048576,MATCH("FY"&amp;RIGHT(T$4,2)&amp;"E",'Group Model'!$1:$1,0),FALSE)</f>
        <v>0.48062463735531064</v>
      </c>
      <c r="U22" s="238">
        <f>U20/(1-30%)*30%*VLOOKUP($A22,'Group Model'!$1:$1048576,MATCH("FY"&amp;RIGHT(U$4,2)&amp;"E",'Group Model'!$1:$1,0),FALSE)</f>
        <v>0.5202054898433951</v>
      </c>
      <c r="V22" s="238">
        <f>V20/(1-30%)*30%*VLOOKUP($A22,'Group Model'!$1:$1048576,MATCH("FY"&amp;RIGHT($U4,2)&amp;"E",'Group Model'!$1:$1,0),FALSE)</f>
        <v>0.53633737826332573</v>
      </c>
      <c r="W22" s="238">
        <f>W20/(1-30%)*30%*VLOOKUP($A22,'Group Model'!$1:$1048576,MATCH("FY"&amp;RIGHT($U4,2)&amp;"E",'Group Model'!$1:$1,0),FALSE)</f>
        <v>0.56810883531632383</v>
      </c>
      <c r="X22" s="238">
        <f>X20/(1-30%)*30%*VLOOKUP($A22,'Group Model'!$1:$1048576,MATCH("FY"&amp;RIGHT($U4,2)&amp;"E",'Group Model'!$1:$1,0),FALSE)</f>
        <v>0.59869607846160799</v>
      </c>
      <c r="Y22" s="238">
        <f>Y20/(1-30%)*30%*VLOOKUP($A22,'Group Model'!$1:$1048576,MATCH("FY"&amp;RIGHT($U4,2)&amp;"E",'Group Model'!$1:$1,0),FALSE)</f>
        <v>0.62769879868052914</v>
      </c>
      <c r="Z22" s="238">
        <f>Z20/(1-30%)*30%*VLOOKUP($A22,'Group Model'!$1:$1048576,MATCH("FY"&amp;RIGHT($U4,2)&amp;"E",'Group Model'!$1:$1,0),FALSE)</f>
        <v>0.65471863356289339</v>
      </c>
      <c r="AA22" s="238">
        <f>AA20/(1-30%)*30%*VLOOKUP($A22,'Group Model'!$1:$1048576,MATCH("FY"&amp;RIGHT($U4,2)&amp;"E",'Group Model'!$1:$1,0),FALSE)</f>
        <v>0.67936788263647718</v>
      </c>
      <c r="AB22" s="224">
        <f>AB20/(1-30%)*30%*100%</f>
        <v>2.0089878815107256</v>
      </c>
      <c r="AC22" s="237"/>
      <c r="AD22" s="225"/>
    </row>
    <row r="23" spans="1:31" ht="25.5">
      <c r="A23" s="188" t="s">
        <v>141</v>
      </c>
      <c r="C23" s="221" t="s">
        <v>706</v>
      </c>
      <c r="D23" s="239">
        <f>VLOOKUP($A23,'Group Model'!$1:$1048576,MATCH("FY"&amp;RIGHT(D$4,2)&amp;"a",'Group Model'!$1:$1,0),FALSE)/1000</f>
        <v>11.403</v>
      </c>
      <c r="E23" s="239">
        <f>VLOOKUP($A23,'Group Model'!$1:$1048576,MATCH("FY"&amp;RIGHT(E$4,2)&amp;"a",'Group Model'!$1:$1,0),FALSE)/1000</f>
        <v>11.417999999999999</v>
      </c>
      <c r="F23" s="239">
        <f>VLOOKUP($A23,'Group Model'!$1:$1048576,MATCH("FY"&amp;RIGHT(F$4,2)&amp;"a",'Group Model'!$1:$1,0),FALSE)/1000</f>
        <v>13.909000000000001</v>
      </c>
      <c r="G23" s="239">
        <f>VLOOKUP($A23,'Group Model'!$1:$1048576,MATCH("FY"&amp;RIGHT(G$4,2)&amp;"a",'Group Model'!$1:$1,0),FALSE)/1000</f>
        <v>15.116</v>
      </c>
      <c r="H23" s="239">
        <f>VLOOKUP($A23,'Group Model'!$1:$1048576,MATCH("FY"&amp;RIGHT(H$4,2)&amp;"a",'Group Model'!$1:$1,0),FALSE)/1000</f>
        <v>15.563000000000001</v>
      </c>
      <c r="I23" s="239">
        <f>VLOOKUP($A23,'Group Model'!$1:$1048576,MATCH("FY"&amp;RIGHT(I$4,2)&amp;"a",'Group Model'!$1:$1,0),FALSE)/1000</f>
        <v>16.356999999999999</v>
      </c>
      <c r="J23" s="239">
        <f>VLOOKUP($A23,'Group Model'!$1:$1048576,MATCH("FY"&amp;RIGHT(J$4,2)&amp;"a",'Group Model'!$1:$1,0),FALSE)/1000</f>
        <v>17.760999999999999</v>
      </c>
      <c r="K23" s="239">
        <f>VLOOKUP($A23,'Group Model'!$1:$1048576,MATCH("FY"&amp;RIGHT(K$4,2)&amp;"a",'Group Model'!$1:$1,0),FALSE)/1000</f>
        <v>21.062999999999999</v>
      </c>
      <c r="L23" s="239">
        <f>VLOOKUP($A23,'Group Model'!$1:$1048576,MATCH("FY"&amp;RIGHT(L$4,2)&amp;"a",'Group Model'!$1:$1,0),FALSE)/1000</f>
        <v>22.047999999999998</v>
      </c>
      <c r="M23" s="239">
        <f>VLOOKUP($A23,'Group Model'!$1:$1048576,MATCH("FY"&amp;RIGHT(M$4,2)&amp;"a",'Group Model'!$1:$1,0),FALSE)/1000</f>
        <v>28.561</v>
      </c>
      <c r="N23" s="239">
        <f>VLOOKUP($A23,'Group Model'!$1:$1048576,MATCH("FY"&amp;RIGHT(N$4,2)&amp;"a",'Group Model'!$1:$1,0),FALSE)/1000</f>
        <v>33.155000000000001</v>
      </c>
      <c r="O23" s="239">
        <f>VLOOKUP($A23,'Group Model'!$1:$1048576,MATCH("FY"&amp;RIGHT(O$4,2)&amp;"a",'Group Model'!$1:$1,0),FALSE)/1000</f>
        <v>33.481000000000002</v>
      </c>
      <c r="P23" s="239">
        <f>VLOOKUP($A23,'Group Model'!$1:$1048576,MATCH("FY"&amp;RIGHT(P$4,2)&amp;"a",'Group Model'!$1:$1,0),FALSE)/1000</f>
        <v>35.356000000000002</v>
      </c>
      <c r="Q23" s="239">
        <f>VLOOKUP($A23,'Group Model'!$1:$1048576,MATCH("FY"&amp;RIGHT(Q$4,2)&amp;"E",'Group Model'!$1:$1,0),FALSE)/1000</f>
        <v>35.66754236867169</v>
      </c>
      <c r="R23" s="239">
        <f>VLOOKUP($A23,'Group Model'!$1:$1048576,MATCH("FY"&amp;RIGHT(R$4,2)&amp;"E",'Group Model'!$1:$1,0),FALSE)/1000</f>
        <v>36.800629642974911</v>
      </c>
      <c r="S23" s="239">
        <f>VLOOKUP($A23,'Group Model'!$1:$1048576,MATCH("FY"&amp;RIGHT(S$4,2)&amp;"E",'Group Model'!$1:$1,0),FALSE)/1000</f>
        <v>38.860111162244827</v>
      </c>
      <c r="T23" s="239">
        <f>VLOOKUP($A23,'Group Model'!$1:$1048576,MATCH("FY"&amp;RIGHT(T$4,2)&amp;"E",'Group Model'!$1:$1,0),FALSE)/1000</f>
        <v>40.930394807232382</v>
      </c>
      <c r="U23" s="239">
        <f>VLOOKUP($A23,'Group Model'!$1:$1048576,MATCH("FY"&amp;RIGHT(U$4,2)&amp;"E",'Group Model'!$1:$1,0),FALSE)/1000</f>
        <v>43.275015850887129</v>
      </c>
      <c r="V23" s="240">
        <f>+U23+V18-V20</f>
        <v>45.536884908520186</v>
      </c>
      <c r="W23" s="240">
        <f t="shared" ref="W23:AA23" si="19">+V23+W18-W20</f>
        <v>47.932742158169226</v>
      </c>
      <c r="X23" s="240">
        <f t="shared" si="19"/>
        <v>50.457593473181817</v>
      </c>
      <c r="Y23" s="240">
        <f t="shared" si="19"/>
        <v>53.10475652351068</v>
      </c>
      <c r="Z23" s="240">
        <f t="shared" si="19"/>
        <v>55.86586898504909</v>
      </c>
      <c r="AA23" s="240">
        <f t="shared" si="19"/>
        <v>58.730933503693713</v>
      </c>
      <c r="AB23" s="206">
        <f>+AB18/(AB30/100)</f>
        <v>83.18456703248782</v>
      </c>
      <c r="AC23" s="237"/>
      <c r="AD23" s="225"/>
      <c r="AE23" s="235" t="s">
        <v>707</v>
      </c>
    </row>
    <row r="24" spans="1:31">
      <c r="C24" s="221"/>
      <c r="D24" s="239"/>
      <c r="E24" s="239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239"/>
      <c r="T24" s="239"/>
      <c r="U24" s="239"/>
      <c r="V24" s="239"/>
      <c r="W24" s="239"/>
      <c r="X24" s="239"/>
      <c r="Y24" s="239"/>
      <c r="Z24" s="239"/>
      <c r="AA24" s="239"/>
      <c r="AB24" s="224"/>
      <c r="AC24" s="237"/>
      <c r="AD24" s="237"/>
    </row>
    <row r="25" spans="1:31">
      <c r="C25" s="233" t="s">
        <v>708</v>
      </c>
      <c r="D25" s="239"/>
      <c r="E25" s="233">
        <f t="shared" ref="E25:AA25" si="20">+(E23+D23)/2*E$10/100</f>
        <v>0</v>
      </c>
      <c r="F25" s="233">
        <f t="shared" si="20"/>
        <v>0</v>
      </c>
      <c r="G25" s="233">
        <f t="shared" si="20"/>
        <v>0</v>
      </c>
      <c r="H25" s="233">
        <f t="shared" si="20"/>
        <v>0</v>
      </c>
      <c r="I25" s="233">
        <f t="shared" si="20"/>
        <v>0</v>
      </c>
      <c r="J25" s="233">
        <f t="shared" si="20"/>
        <v>0</v>
      </c>
      <c r="K25" s="233">
        <f t="shared" si="20"/>
        <v>0</v>
      </c>
      <c r="L25" s="233">
        <f t="shared" si="20"/>
        <v>0</v>
      </c>
      <c r="M25" s="233">
        <f t="shared" si="20"/>
        <v>0</v>
      </c>
      <c r="N25" s="233">
        <f t="shared" si="20"/>
        <v>0</v>
      </c>
      <c r="O25" s="233">
        <f t="shared" si="20"/>
        <v>0</v>
      </c>
      <c r="P25" s="233">
        <f t="shared" si="20"/>
        <v>3.1665019999999999</v>
      </c>
      <c r="Q25" s="233">
        <f t="shared" si="20"/>
        <v>3.2670829489588971</v>
      </c>
      <c r="R25" s="233">
        <f t="shared" si="20"/>
        <v>3.3335359125357433</v>
      </c>
      <c r="S25" s="233">
        <f t="shared" si="20"/>
        <v>3.4803940770401081</v>
      </c>
      <c r="T25" s="233">
        <f t="shared" si="20"/>
        <v>3.6703632745959514</v>
      </c>
      <c r="U25" s="233">
        <f t="shared" si="20"/>
        <v>3.8734488902734978</v>
      </c>
      <c r="V25" s="233">
        <f t="shared" si="20"/>
        <v>4.0853474349327357</v>
      </c>
      <c r="W25" s="233">
        <f t="shared" si="20"/>
        <v>4.2996028450677128</v>
      </c>
      <c r="X25" s="233">
        <f t="shared" si="20"/>
        <v>4.5259554390421473</v>
      </c>
      <c r="Y25" s="233">
        <f t="shared" si="20"/>
        <v>4.763868099847854</v>
      </c>
      <c r="Z25" s="233">
        <f t="shared" si="20"/>
        <v>5.0126487733937495</v>
      </c>
      <c r="AA25" s="233">
        <f t="shared" si="20"/>
        <v>5.2714529144821691</v>
      </c>
      <c r="AB25" s="217">
        <f>+(AB23+AA23)/2*AB$10/100</f>
        <v>6.52811302466435</v>
      </c>
      <c r="AC25" s="237"/>
      <c r="AD25" s="237"/>
      <c r="AE25" s="188" t="s">
        <v>709</v>
      </c>
    </row>
    <row r="26" spans="1:31" ht="25.5">
      <c r="C26" s="218" t="s">
        <v>710</v>
      </c>
      <c r="D26" s="239"/>
      <c r="E26" s="233">
        <f>+E18-E25</f>
        <v>1.2649999999999999</v>
      </c>
      <c r="F26" s="233">
        <f t="shared" ref="F26:AA26" si="21">+F18-F25</f>
        <v>1.6040000000000001</v>
      </c>
      <c r="G26" s="233">
        <f t="shared" si="21"/>
        <v>2.0630000000000002</v>
      </c>
      <c r="H26" s="233">
        <f t="shared" si="21"/>
        <v>2.2170000000000001</v>
      </c>
      <c r="I26" s="233">
        <f t="shared" si="21"/>
        <v>2.5569999999999999</v>
      </c>
      <c r="J26" s="233">
        <f t="shared" si="21"/>
        <v>2.9820000000000002</v>
      </c>
      <c r="K26" s="233">
        <f t="shared" si="21"/>
        <v>2.7309999999999999</v>
      </c>
      <c r="L26" s="233">
        <f t="shared" si="21"/>
        <v>3.0150000000000001</v>
      </c>
      <c r="M26" s="233">
        <f t="shared" si="21"/>
        <v>4.7060000000000004</v>
      </c>
      <c r="N26" s="233">
        <f t="shared" si="21"/>
        <v>5.1820000000000004</v>
      </c>
      <c r="O26" s="233">
        <f t="shared" si="21"/>
        <v>3.5219999999999998</v>
      </c>
      <c r="P26" s="233">
        <f t="shared" si="21"/>
        <v>0.54849799999999993</v>
      </c>
      <c r="Q26" s="233">
        <f t="shared" si="21"/>
        <v>0.88780510720257366</v>
      </c>
      <c r="R26" s="233">
        <f t="shared" si="21"/>
        <v>1.2567977669894947</v>
      </c>
      <c r="S26" s="233">
        <f t="shared" si="21"/>
        <v>1.5947714413219547</v>
      </c>
      <c r="T26" s="233">
        <f t="shared" si="21"/>
        <v>1.7171727693929633</v>
      </c>
      <c r="U26" s="233">
        <f t="shared" si="21"/>
        <v>1.7884245523826112</v>
      </c>
      <c r="V26" s="233">
        <f t="shared" si="21"/>
        <v>1.752104144455827</v>
      </c>
      <c r="W26" s="233">
        <f t="shared" si="21"/>
        <v>1.8836466400234873</v>
      </c>
      <c r="X26" s="233">
        <f t="shared" si="21"/>
        <v>1.9902030657145007</v>
      </c>
      <c r="Y26" s="233">
        <f t="shared" si="21"/>
        <v>2.067953608351206</v>
      </c>
      <c r="Z26" s="233">
        <f t="shared" si="21"/>
        <v>2.1132545785639456</v>
      </c>
      <c r="AA26" s="233">
        <f t="shared" si="21"/>
        <v>2.1227308217389709</v>
      </c>
      <c r="AB26" s="217">
        <f>+(AB18-AB25)/(AB10-AB19)*100</f>
        <v>19.734511268851389</v>
      </c>
      <c r="AC26" s="237"/>
      <c r="AD26" s="237"/>
      <c r="AE26" s="235" t="s">
        <v>711</v>
      </c>
    </row>
    <row r="27" spans="1:31">
      <c r="C27" s="236" t="s">
        <v>697</v>
      </c>
      <c r="D27" s="218"/>
      <c r="E27" s="218"/>
      <c r="F27" s="227">
        <f t="shared" ref="F27:AA27" si="22">+(F26-E26)/E26*100</f>
        <v>26.798418972332033</v>
      </c>
      <c r="G27" s="227">
        <f t="shared" si="22"/>
        <v>28.615960099750627</v>
      </c>
      <c r="H27" s="227">
        <f t="shared" si="22"/>
        <v>7.4648570043625737</v>
      </c>
      <c r="I27" s="227">
        <f t="shared" si="22"/>
        <v>15.336039693279199</v>
      </c>
      <c r="J27" s="227">
        <f t="shared" si="22"/>
        <v>16.621040281579987</v>
      </c>
      <c r="K27" s="227">
        <f t="shared" si="22"/>
        <v>-8.4171696847753292</v>
      </c>
      <c r="L27" s="227">
        <f t="shared" si="22"/>
        <v>10.399121201025276</v>
      </c>
      <c r="M27" s="227">
        <f t="shared" si="22"/>
        <v>56.08623548922057</v>
      </c>
      <c r="N27" s="227">
        <f t="shared" si="22"/>
        <v>10.114747131321716</v>
      </c>
      <c r="O27" s="227">
        <f t="shared" si="22"/>
        <v>-32.033963720571215</v>
      </c>
      <c r="P27" s="227">
        <f t="shared" si="22"/>
        <v>-84.426519023282225</v>
      </c>
      <c r="Q27" s="227">
        <f t="shared" si="22"/>
        <v>61.861138454939443</v>
      </c>
      <c r="R27" s="227">
        <f t="shared" si="22"/>
        <v>41.562349303170507</v>
      </c>
      <c r="S27" s="227">
        <f t="shared" si="22"/>
        <v>26.891651402439592</v>
      </c>
      <c r="T27" s="227">
        <f t="shared" si="22"/>
        <v>7.6751642837011413</v>
      </c>
      <c r="U27" s="227">
        <f t="shared" si="22"/>
        <v>4.1493659962262353</v>
      </c>
      <c r="V27" s="227">
        <f t="shared" si="22"/>
        <v>-2.0308605067178678</v>
      </c>
      <c r="W27" s="227">
        <f t="shared" si="22"/>
        <v>7.5076870278458872</v>
      </c>
      <c r="X27" s="227">
        <f t="shared" si="22"/>
        <v>5.6569222393901208</v>
      </c>
      <c r="Y27" s="227">
        <f t="shared" si="22"/>
        <v>3.9066637960781248</v>
      </c>
      <c r="Z27" s="227">
        <f t="shared" si="22"/>
        <v>2.190618301580681</v>
      </c>
      <c r="AA27" s="227">
        <f t="shared" si="22"/>
        <v>0.44841938454309715</v>
      </c>
      <c r="AB27" s="241"/>
      <c r="AC27" s="237"/>
      <c r="AD27" s="237"/>
    </row>
    <row r="28" spans="1:31">
      <c r="C28" s="242" t="s">
        <v>712</v>
      </c>
      <c r="D28" s="243"/>
      <c r="E28" s="234"/>
      <c r="F28" s="234"/>
      <c r="G28" s="234"/>
      <c r="H28" s="234"/>
      <c r="I28" s="234"/>
      <c r="J28" s="234"/>
      <c r="K28" s="234"/>
      <c r="L28" s="234"/>
      <c r="M28" s="234"/>
      <c r="N28" s="234"/>
      <c r="O28" s="234"/>
      <c r="P28" s="234">
        <f t="shared" ref="P28:AA28" si="23">P26/(1+P$10/100)^P$6</f>
        <v>0.54849799999999993</v>
      </c>
      <c r="Q28" s="234">
        <f t="shared" si="23"/>
        <v>0.88780510720257366</v>
      </c>
      <c r="R28" s="234">
        <f t="shared" si="23"/>
        <v>1.1941664190062353</v>
      </c>
      <c r="S28" s="234">
        <f t="shared" si="23"/>
        <v>1.3873005095815629</v>
      </c>
      <c r="T28" s="234">
        <f t="shared" si="23"/>
        <v>1.3679286655682883</v>
      </c>
      <c r="U28" s="234">
        <f t="shared" si="23"/>
        <v>1.3046602861446979</v>
      </c>
      <c r="V28" s="234">
        <f t="shared" si="23"/>
        <v>1.1704802707386015</v>
      </c>
      <c r="W28" s="234">
        <f t="shared" si="23"/>
        <v>1.1520630776027849</v>
      </c>
      <c r="X28" s="234">
        <f t="shared" si="23"/>
        <v>1.1146835073731678</v>
      </c>
      <c r="Y28" s="234">
        <f t="shared" si="23"/>
        <v>1.0606505901067482</v>
      </c>
      <c r="Z28" s="234">
        <f t="shared" si="23"/>
        <v>0.99256904400132784</v>
      </c>
      <c r="AA28" s="234">
        <f t="shared" si="23"/>
        <v>0.91280177460161194</v>
      </c>
      <c r="AB28" s="217">
        <f>AB26/(1+AB10/100)^AB6</f>
        <v>8.4860957039979201</v>
      </c>
      <c r="AC28" s="237"/>
      <c r="AD28" s="237"/>
    </row>
    <row r="29" spans="1:31">
      <c r="C29" s="221"/>
      <c r="D29" s="239"/>
      <c r="E29" s="239"/>
      <c r="F29" s="239"/>
      <c r="G29" s="239"/>
      <c r="H29" s="239"/>
      <c r="I29" s="239"/>
      <c r="J29" s="239"/>
      <c r="K29" s="239"/>
      <c r="L29" s="239"/>
      <c r="M29" s="239"/>
      <c r="N29" s="239"/>
      <c r="O29" s="239"/>
      <c r="P29" s="239"/>
      <c r="Q29" s="239"/>
      <c r="R29" s="239"/>
      <c r="S29" s="239"/>
      <c r="T29" s="239"/>
      <c r="U29" s="239"/>
      <c r="V29" s="239"/>
      <c r="W29" s="239"/>
      <c r="X29" s="239"/>
      <c r="Y29" s="239"/>
      <c r="Z29" s="239"/>
      <c r="AA29" s="239"/>
      <c r="AB29" s="224"/>
      <c r="AC29" s="225"/>
      <c r="AD29" s="225"/>
    </row>
    <row r="30" spans="1:31">
      <c r="C30" s="244" t="s">
        <v>713</v>
      </c>
      <c r="D30" s="239"/>
      <c r="E30" s="233">
        <f>+E18/(E23+D23)*200</f>
        <v>11.086280180535473</v>
      </c>
      <c r="F30" s="233">
        <f t="shared" ref="F30:AA30" si="24">+F18/(F23+E23)*200</f>
        <v>12.666324475855809</v>
      </c>
      <c r="G30" s="233">
        <f t="shared" si="24"/>
        <v>14.215331610680447</v>
      </c>
      <c r="H30" s="233">
        <f t="shared" si="24"/>
        <v>14.452883079631018</v>
      </c>
      <c r="I30" s="233">
        <f t="shared" si="24"/>
        <v>16.021303258145362</v>
      </c>
      <c r="J30" s="233">
        <f t="shared" si="24"/>
        <v>17.480508822322534</v>
      </c>
      <c r="K30" s="233">
        <f t="shared" si="24"/>
        <v>14.068617350092726</v>
      </c>
      <c r="L30" s="233">
        <f t="shared" si="24"/>
        <v>13.987149451416114</v>
      </c>
      <c r="M30" s="233">
        <f t="shared" si="24"/>
        <v>18.597482661186749</v>
      </c>
      <c r="N30" s="233">
        <f t="shared" si="24"/>
        <v>16.793052044850608</v>
      </c>
      <c r="O30" s="233">
        <f t="shared" si="24"/>
        <v>10.570862596794525</v>
      </c>
      <c r="P30" s="233">
        <f t="shared" si="24"/>
        <v>10.793613899501722</v>
      </c>
      <c r="Q30" s="221">
        <f t="shared" si="24"/>
        <v>11.700030490155282</v>
      </c>
      <c r="R30" s="221">
        <f t="shared" si="24"/>
        <v>12.668551040000045</v>
      </c>
      <c r="S30" s="221">
        <f t="shared" si="24"/>
        <v>13.415585056000227</v>
      </c>
      <c r="T30" s="221">
        <f t="shared" si="24"/>
        <v>13.504203234529793</v>
      </c>
      <c r="U30" s="221">
        <f t="shared" si="24"/>
        <v>13.447766357066421</v>
      </c>
      <c r="V30" s="221">
        <f t="shared" si="24"/>
        <v>13.145651718911639</v>
      </c>
      <c r="W30" s="221">
        <f t="shared" si="24"/>
        <v>13.23049995840794</v>
      </c>
      <c r="X30" s="221">
        <f t="shared" si="24"/>
        <v>13.245525514154954</v>
      </c>
      <c r="Y30" s="221">
        <f t="shared" si="24"/>
        <v>13.193639789783159</v>
      </c>
      <c r="Z30" s="221">
        <f t="shared" si="24"/>
        <v>13.078576577314308</v>
      </c>
      <c r="AA30" s="221">
        <f t="shared" si="24"/>
        <v>12.904694678453165</v>
      </c>
      <c r="AB30" s="245">
        <f>+AB10</f>
        <v>9.1999999999999993</v>
      </c>
      <c r="AC30" s="225">
        <f>AVERAGE(D30:P30)</f>
        <v>14.227784119251092</v>
      </c>
      <c r="AD30" s="225">
        <f>AVERAGE(Q30:AA30)</f>
        <v>13.048611310434266</v>
      </c>
    </row>
    <row r="31" spans="1:31">
      <c r="C31" s="221"/>
      <c r="D31" s="239"/>
      <c r="E31" s="239"/>
      <c r="F31" s="239"/>
      <c r="G31" s="239"/>
      <c r="H31" s="239"/>
      <c r="I31" s="239"/>
      <c r="J31" s="239"/>
      <c r="K31" s="239"/>
      <c r="L31" s="239"/>
      <c r="M31" s="239"/>
      <c r="N31" s="239"/>
      <c r="O31" s="239"/>
      <c r="P31" s="239"/>
      <c r="Q31" s="239"/>
      <c r="R31" s="239"/>
      <c r="S31" s="239"/>
      <c r="T31" s="239"/>
      <c r="U31" s="239"/>
      <c r="V31" s="239"/>
      <c r="W31" s="239"/>
      <c r="X31" s="239"/>
      <c r="Y31" s="239"/>
      <c r="Z31" s="239"/>
      <c r="AA31" s="239"/>
      <c r="AB31" s="224"/>
      <c r="AC31" s="225"/>
      <c r="AD31" s="225"/>
    </row>
    <row r="32" spans="1:31">
      <c r="A32" s="188" t="s">
        <v>714</v>
      </c>
      <c r="C32" s="233" t="s">
        <v>715</v>
      </c>
      <c r="D32" s="222">
        <f>VLOOKUP($A32,'Group Model'!$1:$1048576,MATCH("FY"&amp;RIGHT(D$4,2)&amp;"a",'Group Model'!$1:$1,0),FALSE)/1000</f>
        <v>58.372999999999998</v>
      </c>
      <c r="E32" s="222">
        <f>VLOOKUP($A32,'Group Model'!$1:$1048576,MATCH("FY"&amp;RIGHT(E$4,2)&amp;"a",'Group Model'!$1:$1,0),FALSE)/1000</f>
        <v>65.697999999999993</v>
      </c>
      <c r="F32" s="222">
        <f>VLOOKUP($A32,'Group Model'!$1:$1048576,MATCH("FY"&amp;RIGHT(F$4,2)&amp;"a",'Group Model'!$1:$1,0),FALSE)/1000</f>
        <v>86.498999999999995</v>
      </c>
      <c r="G32" s="222">
        <f>VLOOKUP($A32,'Group Model'!$1:$1048576,MATCH("FY"&amp;RIGHT(G$4,2)&amp;"a",'Group Model'!$1:$1,0),FALSE)/1000</f>
        <v>93.823999999999998</v>
      </c>
      <c r="H32" s="222">
        <f>VLOOKUP($A32,'Group Model'!$1:$1048576,MATCH("FY"&amp;RIGHT(H$4,2)&amp;"a",'Group Model'!$1:$1,0),FALSE)/1000</f>
        <v>90.016000000000005</v>
      </c>
      <c r="I32" s="222">
        <f>VLOOKUP($A32,'Group Model'!$1:$1048576,MATCH("FY"&amp;RIGHT(I$4,2)&amp;"a",'Group Model'!$1:$1,0),FALSE)/1000</f>
        <v>91.73</v>
      </c>
      <c r="J32" s="222">
        <f>VLOOKUP($A32,'Group Model'!$1:$1048576,MATCH("FY"&amp;RIGHT(J$4,2)&amp;"a",'Group Model'!$1:$1,0),FALSE)/1000</f>
        <v>77.516999999999996</v>
      </c>
      <c r="K32" s="222">
        <f>VLOOKUP($A32,'Group Model'!$1:$1048576,MATCH("FY"&amp;RIGHT(K$4,2)&amp;"a",'Group Model'!$1:$1,0),FALSE)/1000</f>
        <v>95.617999999999995</v>
      </c>
      <c r="L32" s="222">
        <f>VLOOKUP($A32,'Group Model'!$1:$1048576,MATCH("FY"&amp;RIGHT(L$4,2)&amp;"a",'Group Model'!$1:$1,0),FALSE)/1000</f>
        <v>94</v>
      </c>
      <c r="M32" s="222">
        <f>VLOOKUP($A32,'Group Model'!$1:$1048576,MATCH("FY"&amp;RIGHT(M$4,2)&amp;"a",'Group Model'!$1:$1,0),FALSE)/1000</f>
        <v>130.63999999999999</v>
      </c>
      <c r="N32" s="222">
        <f>VLOOKUP($A32,'Group Model'!$1:$1048576,MATCH("FY"&amp;RIGHT(N$4,2)&amp;"a",'Group Model'!$1:$1,0),FALSE)/1000</f>
        <v>124.23</v>
      </c>
      <c r="O32" s="222">
        <f>VLOOKUP($A32,'Group Model'!$1:$1048576,MATCH("FY"&amp;RIGHT(O$4,2)&amp;"a",'Group Model'!$1:$1,0),FALSE)/1000</f>
        <v>128.93799999999999</v>
      </c>
      <c r="P32" s="222">
        <f>VLOOKUP($A32,'Group Model'!$1:$1048576,MATCH("FY"&amp;RIGHT(P$4,2)&amp;"a",'Group Model'!$1:$1,0),FALSE)/1000</f>
        <v>149.36199999999999</v>
      </c>
      <c r="Q32" s="222">
        <f>VLOOKUP($A32,'Group Model'!$1:$1048576,MATCH("FY"&amp;RIGHT(Q$4,2)&amp;"E",'Group Model'!$1:$1,0),FALSE)/1000</f>
        <v>168.64844138930991</v>
      </c>
      <c r="R32" s="222">
        <f>VLOOKUP($A32,'Group Model'!$1:$1048576,MATCH("FY"&amp;RIGHT(R$4,2)&amp;"E",'Group Model'!$1:$1,0),FALSE)/1000</f>
        <v>173.31107293133019</v>
      </c>
      <c r="S32" s="222">
        <f>VLOOKUP($A32,'Group Model'!$1:$1048576,MATCH("FY"&amp;RIGHT(S$4,2)&amp;"E",'Group Model'!$1:$1,0),FALSE)/1000</f>
        <v>183.06732404123508</v>
      </c>
      <c r="T32" s="222">
        <f>VLOOKUP($A32,'Group Model'!$1:$1048576,MATCH("FY"&amp;RIGHT(T$4,2)&amp;"E",'Group Model'!$1:$1,0),FALSE)/1000</f>
        <v>200.5885308419783</v>
      </c>
      <c r="U32" s="222">
        <f>VLOOKUP($A32,'Group Model'!$1:$1048576,MATCH("FY"&amp;RIGHT(U$4,2)&amp;"E",'Group Model'!$1:$1,0),FALSE)/1000</f>
        <v>219.64077188333425</v>
      </c>
      <c r="V32" s="223">
        <f t="shared" ref="V32:AA32" si="25">+V33/100*V13</f>
        <v>233.26315955000817</v>
      </c>
      <c r="W32" s="223">
        <f t="shared" si="25"/>
        <v>246.46981343412432</v>
      </c>
      <c r="X32" s="223">
        <f t="shared" si="25"/>
        <v>259.09220528436163</v>
      </c>
      <c r="Y32" s="223">
        <f t="shared" si="25"/>
        <v>270.9608270046192</v>
      </c>
      <c r="Z32" s="223">
        <f t="shared" si="25"/>
        <v>281.90879413469969</v>
      </c>
      <c r="AA32" s="223">
        <f t="shared" si="25"/>
        <v>291.77560192941417</v>
      </c>
      <c r="AB32" s="224"/>
      <c r="AC32" s="225"/>
      <c r="AD32" s="225"/>
    </row>
    <row r="33" spans="1:31">
      <c r="C33" s="233" t="s">
        <v>716</v>
      </c>
      <c r="D33" s="222">
        <f t="shared" ref="D33:U33" si="26">100*(D32/D13)</f>
        <v>40.327327493298696</v>
      </c>
      <c r="E33" s="222">
        <f t="shared" si="26"/>
        <v>42.687649443809121</v>
      </c>
      <c r="F33" s="222">
        <f t="shared" si="26"/>
        <v>46.015980763501723</v>
      </c>
      <c r="G33" s="222">
        <f t="shared" si="26"/>
        <v>47.685700490457677</v>
      </c>
      <c r="H33" s="222">
        <f t="shared" si="26"/>
        <v>49.222154781629186</v>
      </c>
      <c r="I33" s="222">
        <f t="shared" si="26"/>
        <v>47.944596890108457</v>
      </c>
      <c r="J33" s="222">
        <f t="shared" si="26"/>
        <v>39.198106767396347</v>
      </c>
      <c r="K33" s="222">
        <f t="shared" si="26"/>
        <v>37.379692105612932</v>
      </c>
      <c r="L33" s="222">
        <f t="shared" si="26"/>
        <v>38.265358045698612</v>
      </c>
      <c r="M33" s="222">
        <f t="shared" si="26"/>
        <v>32.72741848207307</v>
      </c>
      <c r="N33" s="222">
        <f t="shared" si="26"/>
        <v>32.028607375629079</v>
      </c>
      <c r="O33" s="222">
        <f t="shared" si="26"/>
        <v>31.962499132383414</v>
      </c>
      <c r="P33" s="222">
        <f t="shared" si="26"/>
        <v>33.547833547833541</v>
      </c>
      <c r="Q33" s="222">
        <f t="shared" si="26"/>
        <v>32.823617795038771</v>
      </c>
      <c r="R33" s="222">
        <f t="shared" si="26"/>
        <v>30.378773440988887</v>
      </c>
      <c r="S33" s="222">
        <f t="shared" si="26"/>
        <v>29.690112454035571</v>
      </c>
      <c r="T33" s="222">
        <f t="shared" si="26"/>
        <v>30.4216129558822</v>
      </c>
      <c r="U33" s="222">
        <f t="shared" si="26"/>
        <v>31.206965703049939</v>
      </c>
      <c r="V33" s="228">
        <f>+U33</f>
        <v>31.206965703049939</v>
      </c>
      <c r="W33" s="228">
        <f t="shared" ref="W33:AA33" si="27">+V33</f>
        <v>31.206965703049939</v>
      </c>
      <c r="X33" s="228">
        <f t="shared" si="27"/>
        <v>31.206965703049939</v>
      </c>
      <c r="Y33" s="228">
        <f t="shared" si="27"/>
        <v>31.206965703049939</v>
      </c>
      <c r="Z33" s="228">
        <f t="shared" si="27"/>
        <v>31.206965703049939</v>
      </c>
      <c r="AA33" s="228">
        <f t="shared" si="27"/>
        <v>31.206965703049939</v>
      </c>
      <c r="AB33" s="224"/>
      <c r="AC33" s="225"/>
      <c r="AD33" s="225"/>
    </row>
    <row r="34" spans="1:31">
      <c r="C34" s="233" t="s">
        <v>717</v>
      </c>
      <c r="D34" s="233">
        <f>+D13/D23</f>
        <v>12.693852494957467</v>
      </c>
      <c r="E34" s="233">
        <f t="shared" ref="E34:AA34" si="28">+E13/E23</f>
        <v>13.479068138027676</v>
      </c>
      <c r="F34" s="233">
        <f t="shared" si="28"/>
        <v>13.51470271047523</v>
      </c>
      <c r="G34" s="233">
        <f t="shared" si="28"/>
        <v>13.016340301667107</v>
      </c>
      <c r="H34" s="233">
        <f t="shared" si="28"/>
        <v>11.750754995823428</v>
      </c>
      <c r="I34" s="233">
        <f t="shared" si="28"/>
        <v>11.696827046524424</v>
      </c>
      <c r="J34" s="233">
        <f t="shared" si="28"/>
        <v>11.134339282698047</v>
      </c>
      <c r="K34" s="233">
        <f t="shared" si="28"/>
        <v>12.144613777714476</v>
      </c>
      <c r="L34" s="233">
        <f t="shared" si="28"/>
        <v>11.141736211901307</v>
      </c>
      <c r="M34" s="233">
        <f t="shared" si="28"/>
        <v>13.976261335387417</v>
      </c>
      <c r="N34" s="233">
        <f t="shared" si="28"/>
        <v>11.698748303423315</v>
      </c>
      <c r="O34" s="233">
        <f t="shared" si="28"/>
        <v>12.048744063797377</v>
      </c>
      <c r="P34" s="233">
        <f t="shared" si="28"/>
        <v>12.592516121733228</v>
      </c>
      <c r="Q34" s="233">
        <f t="shared" si="28"/>
        <v>14.405313000160984</v>
      </c>
      <c r="R34" s="233">
        <f t="shared" si="28"/>
        <v>15.502467393056561</v>
      </c>
      <c r="S34" s="233">
        <f t="shared" si="28"/>
        <v>15.867004767322012</v>
      </c>
      <c r="T34" s="233">
        <f t="shared" si="28"/>
        <v>16.10934665210662</v>
      </c>
      <c r="U34" s="233">
        <f t="shared" si="28"/>
        <v>16.26388077593311</v>
      </c>
      <c r="V34" s="246">
        <f t="shared" si="28"/>
        <v>16.414637345764636</v>
      </c>
      <c r="W34" s="246">
        <f t="shared" si="28"/>
        <v>16.477067379687352</v>
      </c>
      <c r="X34" s="246">
        <f t="shared" si="28"/>
        <v>16.454181005389401</v>
      </c>
      <c r="Y34" s="246">
        <f t="shared" si="28"/>
        <v>16.350142551657875</v>
      </c>
      <c r="Z34" s="246">
        <f t="shared" si="28"/>
        <v>16.170018682708744</v>
      </c>
      <c r="AA34" s="246">
        <f t="shared" si="28"/>
        <v>15.919540428174711</v>
      </c>
      <c r="AB34" s="224"/>
      <c r="AC34" s="225">
        <f>AVERAGE(D34:P34)</f>
        <v>12.376038829548502</v>
      </c>
      <c r="AD34" s="225">
        <f>AVERAGE(Q34:AA34)</f>
        <v>15.993963634723821</v>
      </c>
      <c r="AE34" s="188" t="s">
        <v>718</v>
      </c>
    </row>
    <row r="35" spans="1:31">
      <c r="C35" s="233"/>
      <c r="D35" s="230"/>
      <c r="E35" s="230"/>
      <c r="F35" s="230"/>
      <c r="G35" s="230"/>
      <c r="H35" s="230"/>
      <c r="I35" s="230"/>
      <c r="J35" s="230"/>
      <c r="K35" s="230"/>
      <c r="L35" s="230"/>
      <c r="M35" s="230"/>
      <c r="N35" s="230"/>
      <c r="O35" s="230"/>
      <c r="P35" s="230"/>
      <c r="Q35" s="230"/>
      <c r="R35" s="230"/>
      <c r="S35" s="230"/>
      <c r="T35" s="230"/>
      <c r="U35" s="230"/>
      <c r="V35" s="230"/>
      <c r="W35" s="230"/>
      <c r="X35" s="230"/>
      <c r="Y35" s="230"/>
      <c r="Z35" s="230"/>
      <c r="AA35" s="230"/>
      <c r="AB35" s="224"/>
      <c r="AC35" s="225"/>
      <c r="AD35" s="225"/>
    </row>
    <row r="36" spans="1:31">
      <c r="A36" s="188" t="s">
        <v>116</v>
      </c>
      <c r="C36" s="233" t="s">
        <v>719</v>
      </c>
      <c r="D36" s="233">
        <f>VLOOKUP($A36,'Group Model'!$1:$1048576,MATCH("FY"&amp;RIGHT(D$4,2)&amp;"a",'Group Model'!$1:$1,0),FALSE)*100</f>
        <v>9.716821133058092</v>
      </c>
      <c r="E36" s="233">
        <f>VLOOKUP($A36,'Group Model'!$1:$1048576,MATCH("FY"&amp;RIGHT(E$4,2)&amp;"a",'Group Model'!$1:$1,0),FALSE)*100</f>
        <v>9.6167311029255078</v>
      </c>
      <c r="F36" s="233">
        <f>VLOOKUP($A36,'Group Model'!$1:$1048576,MATCH("FY"&amp;RIGHT(F$4,2)&amp;"a",'Group Model'!$1:$1,0),FALSE)*100</f>
        <v>9.7284361668921022</v>
      </c>
      <c r="G36" s="233">
        <f>VLOOKUP($A36,'Group Model'!$1:$1048576,MATCH("FY"&amp;RIGHT(G$4,2)&amp;"a",'Group Model'!$1:$1,0),FALSE)*100</f>
        <v>10.739256480218282</v>
      </c>
      <c r="H36" s="233">
        <f>VLOOKUP($A36,'Group Model'!$1:$1048576,MATCH("FY"&amp;RIGHT(H$4,2)&amp;"a",'Group Model'!$1:$1,0),FALSE)*100</f>
        <v>11.135798080341273</v>
      </c>
      <c r="I36" s="233">
        <f>VLOOKUP($A36,'Group Model'!$1:$1048576,MATCH("FY"&amp;RIGHT(I$4,2)&amp;"a",'Group Model'!$1:$1,0),FALSE)*100</f>
        <v>11.041098877139431</v>
      </c>
      <c r="J36" s="233">
        <f>VLOOKUP($A36,'Group Model'!$1:$1048576,MATCH("FY"&amp;RIGHT(J$4,2)&amp;"a",'Group Model'!$1:$1,0),FALSE)*100</f>
        <v>11.402660061663893</v>
      </c>
      <c r="K36" s="233">
        <f>VLOOKUP($A36,'Group Model'!$1:$1048576,MATCH("FY"&amp;RIGHT(K$4,2)&amp;"a",'Group Model'!$1:$1,0),FALSE)*100</f>
        <v>12.187035913740091</v>
      </c>
      <c r="L36" s="233">
        <f>VLOOKUP($A36,'Group Model'!$1:$1048576,MATCH("FY"&amp;RIGHT(L$4,2)&amp;"a",'Group Model'!$1:$1,0),FALSE)*100</f>
        <v>12.595744680851064</v>
      </c>
      <c r="M36" s="233">
        <f>VLOOKUP($A36,'Group Model'!$1:$1048576,MATCH("FY"&amp;RIGHT(M$4,2)&amp;"a",'Group Model'!$1:$1,0),FALSE)*100</f>
        <v>11.462798530312309</v>
      </c>
      <c r="N36" s="233">
        <f>VLOOKUP($A36,'Group Model'!$1:$1048576,MATCH("FY"&amp;RIGHT(N$4,2)&amp;"a",'Group Model'!$1:$1,0),FALSE)*100</f>
        <v>13.732592771472268</v>
      </c>
      <c r="O36" s="233">
        <f>VLOOKUP($A36,'Group Model'!$1:$1048576,MATCH("FY"&amp;RIGHT(O$4,2)&amp;"a",'Group Model'!$1:$1,0),FALSE)*100</f>
        <v>13.733732491585101</v>
      </c>
      <c r="P36" s="247">
        <f>VLOOKUP($A36,'Group Model'!$1:$1048576,MATCH("FY"&amp;RIGHT(P$4,2)&amp;"a",'Group Model'!$1:$1,0),FALSE)*100</f>
        <v>12.888150935311524</v>
      </c>
      <c r="Q36" s="233">
        <f>VLOOKUP($A36,'Group Model'!$1:$1048576,MATCH("FY"&amp;RIGHT(Q$4,2)&amp;"E",'Group Model'!$1:$1,0),FALSE)*100</f>
        <v>11.780542443957</v>
      </c>
      <c r="R36" s="233">
        <f>VLOOKUP($A36,'Group Model'!$1:$1048576,MATCH("FY"&amp;RIGHT(R$4,2)&amp;"E",'Group Model'!$1:$1,0),FALSE)*100</f>
        <v>11.884734914058585</v>
      </c>
      <c r="S36" s="233">
        <f>VLOOKUP($A36,'Group Model'!$1:$1048576,MATCH("FY"&amp;RIGHT(S$4,2)&amp;"E",'Group Model'!$1:$1,0),FALSE)*100</f>
        <v>12.147328949221812</v>
      </c>
      <c r="T36" s="233">
        <f>VLOOKUP($A36,'Group Model'!$1:$1048576,MATCH("FY"&amp;RIGHT(T$4,2)&amp;"E",'Group Model'!$1:$1,0),FALSE)*100</f>
        <v>11.916744373329411</v>
      </c>
      <c r="U36" s="233">
        <f>VLOOKUP($A36,'Group Model'!$1:$1048576,MATCH("FY"&amp;RIGHT(U$4,2)&amp;"E",'Group Model'!$1:$1,0),FALSE)*100</f>
        <v>11.754998888776548</v>
      </c>
      <c r="V36" s="246">
        <f t="shared" ref="V36:AA36" si="29">+V38*V37/100</f>
        <v>11.647037727435226</v>
      </c>
      <c r="W36" s="246">
        <f t="shared" si="29"/>
        <v>11.60290821435699</v>
      </c>
      <c r="X36" s="246">
        <f t="shared" si="29"/>
        <v>11.619046878460146</v>
      </c>
      <c r="Y36" s="246">
        <f t="shared" si="29"/>
        <v>11.69298064798233</v>
      </c>
      <c r="Z36" s="246">
        <f t="shared" si="29"/>
        <v>11.823233120486529</v>
      </c>
      <c r="AA36" s="246">
        <f t="shared" si="29"/>
        <v>12.009260022979715</v>
      </c>
      <c r="AB36" s="224"/>
      <c r="AC36" s="225"/>
      <c r="AD36" s="225"/>
      <c r="AE36" s="188" t="s">
        <v>718</v>
      </c>
    </row>
    <row r="37" spans="1:31">
      <c r="C37" s="248" t="s">
        <v>720</v>
      </c>
      <c r="D37" s="230">
        <f t="shared" ref="D37:AA37" si="30">+D23/D32*100</f>
        <v>19.534716392852861</v>
      </c>
      <c r="E37" s="230">
        <f t="shared" si="30"/>
        <v>17.379524490852081</v>
      </c>
      <c r="F37" s="230">
        <f t="shared" si="30"/>
        <v>16.079954681557012</v>
      </c>
      <c r="G37" s="230">
        <f t="shared" si="30"/>
        <v>16.111016371077763</v>
      </c>
      <c r="H37" s="230">
        <f t="shared" si="30"/>
        <v>17.289148595805191</v>
      </c>
      <c r="I37" s="230">
        <f t="shared" si="30"/>
        <v>17.83167993023002</v>
      </c>
      <c r="J37" s="230">
        <f t="shared" si="30"/>
        <v>22.912393410477701</v>
      </c>
      <c r="K37" s="230">
        <f t="shared" si="30"/>
        <v>22.028279194293962</v>
      </c>
      <c r="L37" s="230">
        <f t="shared" si="30"/>
        <v>23.455319148936169</v>
      </c>
      <c r="M37" s="230">
        <f t="shared" si="30"/>
        <v>21.862369871402329</v>
      </c>
      <c r="N37" s="230">
        <f t="shared" si="30"/>
        <v>26.68840054737181</v>
      </c>
      <c r="O37" s="230">
        <f t="shared" si="30"/>
        <v>25.966743706277441</v>
      </c>
      <c r="P37" s="230">
        <f t="shared" si="30"/>
        <v>23.671348803577885</v>
      </c>
      <c r="Q37" s="230">
        <f t="shared" si="30"/>
        <v>21.149049510832029</v>
      </c>
      <c r="R37" s="230">
        <f t="shared" si="30"/>
        <v>21.233859453144209</v>
      </c>
      <c r="S37" s="230">
        <f t="shared" si="30"/>
        <v>21.227224118648156</v>
      </c>
      <c r="T37" s="230">
        <f t="shared" si="30"/>
        <v>20.405152096894788</v>
      </c>
      <c r="U37" s="230">
        <f t="shared" si="30"/>
        <v>19.702633295184992</v>
      </c>
      <c r="V37" s="230">
        <f t="shared" si="30"/>
        <v>19.521678861062391</v>
      </c>
      <c r="W37" s="230">
        <f t="shared" si="30"/>
        <v>19.447713085148475</v>
      </c>
      <c r="X37" s="230">
        <f t="shared" si="30"/>
        <v>19.474763209415375</v>
      </c>
      <c r="Y37" s="230">
        <f t="shared" si="30"/>
        <v>19.598684101523421</v>
      </c>
      <c r="Z37" s="230">
        <f t="shared" si="30"/>
        <v>19.81700115334311</v>
      </c>
      <c r="AA37" s="230">
        <f t="shared" si="30"/>
        <v>20.128802105222558</v>
      </c>
      <c r="AB37" s="224"/>
      <c r="AC37" s="207"/>
      <c r="AD37" s="207"/>
    </row>
    <row r="38" spans="1:31">
      <c r="C38" s="248" t="s">
        <v>721</v>
      </c>
      <c r="D38" s="230">
        <f t="shared" ref="D38:M38" si="31">+D36/D37*100</f>
        <v>49.741296150135931</v>
      </c>
      <c r="E38" s="230">
        <f t="shared" si="31"/>
        <v>55.333683657383084</v>
      </c>
      <c r="F38" s="230">
        <f t="shared" si="31"/>
        <v>60.500395427421097</v>
      </c>
      <c r="G38" s="230">
        <f t="shared" si="31"/>
        <v>66.657845991002915</v>
      </c>
      <c r="H38" s="230">
        <f t="shared" si="31"/>
        <v>64.409175608815787</v>
      </c>
      <c r="I38" s="230">
        <f t="shared" si="31"/>
        <v>61.918444702573829</v>
      </c>
      <c r="J38" s="230">
        <f t="shared" si="31"/>
        <v>49.766341985248573</v>
      </c>
      <c r="K38" s="230">
        <f t="shared" si="31"/>
        <v>55.324502682428914</v>
      </c>
      <c r="L38" s="230">
        <f t="shared" si="31"/>
        <v>53.70101596516691</v>
      </c>
      <c r="M38" s="230">
        <f t="shared" si="31"/>
        <v>52.431637547704909</v>
      </c>
      <c r="N38" s="230">
        <f>+N36/N37*100</f>
        <v>51.455285778917201</v>
      </c>
      <c r="O38" s="230">
        <f t="shared" ref="O38:U38" si="32">+O36/O37*100</f>
        <v>52.88969863504672</v>
      </c>
      <c r="P38" s="230">
        <f t="shared" si="32"/>
        <v>54.44620432175585</v>
      </c>
      <c r="Q38" s="230">
        <f t="shared" si="32"/>
        <v>55.702467564432588</v>
      </c>
      <c r="R38" s="230">
        <f t="shared" si="32"/>
        <v>55.970677117290379</v>
      </c>
      <c r="S38" s="230">
        <f t="shared" si="32"/>
        <v>57.225235298431507</v>
      </c>
      <c r="T38" s="230">
        <f t="shared" si="32"/>
        <v>58.40066428685369</v>
      </c>
      <c r="U38" s="230">
        <f t="shared" si="32"/>
        <v>59.662070103336298</v>
      </c>
      <c r="V38" s="228">
        <f>+U38</f>
        <v>59.662070103336298</v>
      </c>
      <c r="W38" s="228">
        <f t="shared" ref="W38:AA38" si="33">+V38</f>
        <v>59.662070103336298</v>
      </c>
      <c r="X38" s="228">
        <f t="shared" si="33"/>
        <v>59.662070103336298</v>
      </c>
      <c r="Y38" s="228">
        <f t="shared" si="33"/>
        <v>59.662070103336298</v>
      </c>
      <c r="Z38" s="228">
        <f t="shared" si="33"/>
        <v>59.662070103336298</v>
      </c>
      <c r="AA38" s="228">
        <f t="shared" si="33"/>
        <v>59.662070103336298</v>
      </c>
      <c r="AB38" s="224"/>
      <c r="AC38" s="207"/>
      <c r="AD38" s="207"/>
    </row>
    <row r="39" spans="1:31">
      <c r="C39" s="233"/>
      <c r="D39" s="230"/>
      <c r="E39" s="230"/>
      <c r="F39" s="230"/>
      <c r="G39" s="230"/>
      <c r="H39" s="230"/>
      <c r="I39" s="230"/>
      <c r="J39" s="230"/>
      <c r="K39" s="230"/>
      <c r="L39" s="230"/>
      <c r="M39" s="230"/>
      <c r="N39" s="230"/>
      <c r="O39" s="230"/>
      <c r="P39" s="230"/>
      <c r="Q39" s="230"/>
      <c r="R39" s="230"/>
      <c r="S39" s="230"/>
      <c r="T39" s="230"/>
      <c r="U39" s="230"/>
      <c r="V39" s="230"/>
      <c r="W39" s="230"/>
      <c r="X39" s="230"/>
      <c r="Y39" s="230"/>
      <c r="Z39" s="230"/>
      <c r="AA39" s="230"/>
      <c r="AB39" s="224"/>
      <c r="AC39" s="237" t="s">
        <v>722</v>
      </c>
      <c r="AD39" s="207"/>
    </row>
    <row r="40" spans="1:31">
      <c r="C40" s="204" t="s">
        <v>723</v>
      </c>
      <c r="D40" s="204"/>
      <c r="E40" s="204"/>
      <c r="F40" s="204"/>
      <c r="G40" s="204"/>
      <c r="H40" s="204"/>
      <c r="I40" s="204"/>
      <c r="J40" s="204"/>
      <c r="K40" s="204"/>
      <c r="L40" s="214"/>
      <c r="M40" s="214"/>
      <c r="N40" s="214"/>
      <c r="O40" s="214"/>
      <c r="P40" s="214"/>
      <c r="Q40" s="221"/>
      <c r="R40" s="221"/>
      <c r="S40" s="221"/>
      <c r="T40" s="221"/>
      <c r="U40" s="221"/>
      <c r="V40" s="221"/>
      <c r="W40" s="221"/>
      <c r="X40" s="221"/>
      <c r="Y40" s="221"/>
      <c r="Z40" s="221"/>
      <c r="AA40" s="221"/>
      <c r="AB40" s="249">
        <f>SUMPRODUCT(P58:AA58,P23:AA23)</f>
        <v>37.66391915653189</v>
      </c>
      <c r="AC40" s="250">
        <f>AB40/AB$43*100</f>
        <v>54.555288565796765</v>
      </c>
      <c r="AD40" s="251"/>
    </row>
    <row r="41" spans="1:31">
      <c r="C41" s="204" t="s">
        <v>724</v>
      </c>
      <c r="D41" s="204"/>
      <c r="E41" s="204"/>
      <c r="F41" s="204"/>
      <c r="G41" s="204"/>
      <c r="H41" s="204"/>
      <c r="I41" s="204"/>
      <c r="J41" s="204"/>
      <c r="K41" s="204"/>
      <c r="L41" s="214"/>
      <c r="M41" s="214"/>
      <c r="N41" s="214"/>
      <c r="O41" s="214"/>
      <c r="P41" s="214"/>
      <c r="Q41" s="221"/>
      <c r="R41" s="221"/>
      <c r="S41" s="221"/>
      <c r="T41" s="221"/>
      <c r="U41" s="221"/>
      <c r="V41" s="221"/>
      <c r="W41" s="221"/>
      <c r="X41" s="221"/>
      <c r="Y41" s="221"/>
      <c r="Z41" s="221"/>
      <c r="AA41" s="221"/>
      <c r="AB41" s="249">
        <f>SUMIF(P$6:AA$6,"&gt;"&amp;0,(P28:AA28))+SUMIF(P$6:AA$6,"&gt;"&amp;0,P54:AA54)</f>
        <v>13.794468950037732</v>
      </c>
      <c r="AC41" s="250">
        <f>AB41/AB$43*100</f>
        <v>19.980959258476918</v>
      </c>
      <c r="AD41" s="207"/>
      <c r="AE41" s="188" t="s">
        <v>725</v>
      </c>
    </row>
    <row r="42" spans="1:31">
      <c r="C42" s="204" t="s">
        <v>726</v>
      </c>
      <c r="D42" s="204"/>
      <c r="E42" s="204"/>
      <c r="F42" s="204"/>
      <c r="G42" s="204"/>
      <c r="H42" s="204"/>
      <c r="I42" s="204"/>
      <c r="J42" s="204"/>
      <c r="K42" s="204"/>
      <c r="L42" s="214"/>
      <c r="M42" s="214"/>
      <c r="N42" s="214"/>
      <c r="O42" s="214"/>
      <c r="P42" s="214"/>
      <c r="Q42" s="221"/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52">
        <f>+AB28+AB54</f>
        <v>17.579683447404598</v>
      </c>
      <c r="AC42" s="250">
        <f>AB42/AB$43*100</f>
        <v>25.463752175726313</v>
      </c>
      <c r="AD42" s="207"/>
    </row>
    <row r="43" spans="1:31">
      <c r="C43" s="242" t="s">
        <v>727</v>
      </c>
      <c r="D43" s="243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06">
        <f>+AB41+AB40+AB42</f>
        <v>69.03807155397422</v>
      </c>
      <c r="AC43" s="253"/>
      <c r="AD43" s="207"/>
    </row>
    <row r="44" spans="1:31">
      <c r="C44" s="242" t="s">
        <v>728</v>
      </c>
      <c r="D44" s="243"/>
      <c r="E44" s="234"/>
      <c r="F44" s="234"/>
      <c r="G44" s="234"/>
      <c r="H44" s="234"/>
      <c r="I44" s="234"/>
      <c r="J44" s="234"/>
      <c r="K44" s="234"/>
      <c r="L44" s="234"/>
      <c r="M44" s="234"/>
      <c r="N44" s="234"/>
      <c r="O44" s="234"/>
      <c r="P44" s="234"/>
      <c r="Q44" s="234"/>
      <c r="R44" s="234"/>
      <c r="S44" s="234"/>
      <c r="T44" s="234"/>
      <c r="U44" s="234"/>
      <c r="V44" s="234"/>
      <c r="W44" s="234"/>
      <c r="X44" s="234"/>
      <c r="Y44" s="234"/>
      <c r="Z44" s="234"/>
      <c r="AA44" s="234"/>
      <c r="AB44" s="206">
        <f>AB43*1000/AB50</f>
        <v>183.14404712100537</v>
      </c>
      <c r="AC44" s="207"/>
      <c r="AD44" s="207"/>
    </row>
    <row r="45" spans="1:31">
      <c r="C45" s="218" t="s">
        <v>729</v>
      </c>
      <c r="D45" s="218"/>
      <c r="E45" s="218"/>
      <c r="F45" s="218"/>
      <c r="G45" s="218"/>
      <c r="H45" s="218"/>
      <c r="I45" s="218"/>
      <c r="J45" s="218"/>
      <c r="K45" s="218"/>
      <c r="L45" s="227"/>
      <c r="M45" s="227"/>
      <c r="N45" s="227"/>
      <c r="O45" s="227"/>
      <c r="P45" s="227"/>
      <c r="Q45" s="233"/>
      <c r="R45" s="233"/>
      <c r="S45" s="233"/>
      <c r="T45" s="233"/>
      <c r="U45" s="233"/>
      <c r="V45" s="233"/>
      <c r="W45" s="233"/>
      <c r="X45" s="233"/>
      <c r="Y45" s="233"/>
      <c r="Z45" s="233"/>
      <c r="AA45" s="233"/>
      <c r="AB45" s="254">
        <f>Summary!C5</f>
        <v>214.5</v>
      </c>
      <c r="AC45" s="213"/>
      <c r="AD45" s="213"/>
    </row>
    <row r="46" spans="1:31">
      <c r="C46" s="218" t="s">
        <v>730</v>
      </c>
      <c r="D46" s="218"/>
      <c r="E46" s="218"/>
      <c r="F46" s="218"/>
      <c r="G46" s="218"/>
      <c r="H46" s="218"/>
      <c r="I46" s="218"/>
      <c r="J46" s="218"/>
      <c r="K46" s="218"/>
      <c r="L46" s="227"/>
      <c r="M46" s="227"/>
      <c r="N46" s="227"/>
      <c r="O46" s="227"/>
      <c r="P46" s="227"/>
      <c r="Q46" s="233"/>
      <c r="R46" s="233"/>
      <c r="S46" s="233"/>
      <c r="T46" s="233"/>
      <c r="U46" s="233"/>
      <c r="V46" s="233"/>
      <c r="W46" s="233"/>
      <c r="X46" s="233"/>
      <c r="Y46" s="233"/>
      <c r="Z46" s="233"/>
      <c r="AA46" s="233"/>
      <c r="AB46" s="255">
        <f>+(AB44-AB45)/AB45*100</f>
        <v>-14.618159850347146</v>
      </c>
      <c r="AC46" s="213"/>
      <c r="AD46" s="213"/>
    </row>
    <row r="47" spans="1:31">
      <c r="C47" s="218"/>
      <c r="D47" s="218"/>
      <c r="E47" s="218"/>
      <c r="F47" s="218"/>
      <c r="G47" s="218"/>
      <c r="H47" s="218"/>
      <c r="I47" s="218"/>
      <c r="J47" s="218"/>
      <c r="K47" s="218"/>
      <c r="L47" s="227"/>
      <c r="M47" s="227"/>
      <c r="N47" s="227"/>
      <c r="O47" s="227"/>
      <c r="P47" s="227"/>
      <c r="Q47" s="233"/>
      <c r="R47" s="233"/>
      <c r="S47" s="233"/>
      <c r="T47" s="233"/>
      <c r="U47" s="233"/>
      <c r="V47" s="233"/>
      <c r="W47" s="233"/>
      <c r="X47" s="233"/>
      <c r="Y47" s="233"/>
      <c r="Z47" s="233"/>
      <c r="AA47" s="233"/>
      <c r="AB47" s="224"/>
      <c r="AC47" s="213"/>
      <c r="AD47" s="213"/>
    </row>
    <row r="48" spans="1:31">
      <c r="C48" s="242" t="s">
        <v>731</v>
      </c>
      <c r="D48" s="243"/>
      <c r="E48" s="234"/>
      <c r="F48" s="234"/>
      <c r="G48" s="234"/>
      <c r="H48" s="234"/>
      <c r="I48" s="234"/>
      <c r="J48" s="234"/>
      <c r="K48" s="234"/>
      <c r="L48" s="234"/>
      <c r="M48" s="234"/>
      <c r="N48" s="234"/>
      <c r="O48" s="234"/>
      <c r="P48" s="234"/>
      <c r="Q48" s="234"/>
      <c r="R48" s="234"/>
      <c r="S48" s="234"/>
      <c r="T48" s="234"/>
      <c r="U48" s="234"/>
      <c r="V48" s="234"/>
      <c r="W48" s="234"/>
      <c r="X48" s="234"/>
      <c r="Y48" s="234"/>
      <c r="Z48" s="234"/>
      <c r="AA48" s="234"/>
      <c r="AB48" s="256">
        <f>+AB43/AB40</f>
        <v>1.8330028605640007</v>
      </c>
      <c r="AC48" s="207"/>
      <c r="AD48" s="207"/>
    </row>
    <row r="49" spans="1:30">
      <c r="C49" s="218"/>
      <c r="D49" s="218"/>
      <c r="E49" s="218"/>
      <c r="F49" s="218"/>
      <c r="G49" s="218"/>
      <c r="H49" s="218"/>
      <c r="I49" s="218"/>
      <c r="J49" s="218"/>
      <c r="K49" s="218"/>
      <c r="L49" s="218"/>
      <c r="M49" s="218"/>
      <c r="N49" s="218"/>
      <c r="O49" s="218"/>
      <c r="P49" s="218"/>
      <c r="Q49" s="244"/>
      <c r="R49" s="244"/>
      <c r="S49" s="244"/>
      <c r="T49" s="244"/>
      <c r="U49" s="244"/>
      <c r="V49" s="244"/>
      <c r="W49" s="244"/>
      <c r="X49" s="244"/>
      <c r="Y49" s="244"/>
      <c r="Z49" s="244"/>
      <c r="AA49" s="244"/>
      <c r="AB49" s="257"/>
      <c r="AC49" s="213"/>
      <c r="AD49" s="213"/>
    </row>
    <row r="50" spans="1:30">
      <c r="C50" s="258" t="s">
        <v>732</v>
      </c>
      <c r="D50" s="259"/>
      <c r="E50" s="259"/>
      <c r="F50" s="259"/>
      <c r="G50" s="259"/>
      <c r="H50" s="259"/>
      <c r="I50" s="259"/>
      <c r="J50" s="259"/>
      <c r="K50" s="259"/>
      <c r="L50" s="260"/>
      <c r="M50" s="260"/>
      <c r="N50" s="260"/>
      <c r="O50" s="260"/>
      <c r="P50" s="260"/>
      <c r="Q50" s="261"/>
      <c r="R50" s="261"/>
      <c r="S50" s="261"/>
      <c r="T50" s="261"/>
      <c r="U50" s="261"/>
      <c r="V50" s="261"/>
      <c r="W50" s="261"/>
      <c r="X50" s="261"/>
      <c r="Y50" s="261"/>
      <c r="Z50" s="261"/>
      <c r="AA50" s="261"/>
      <c r="AB50" s="249">
        <f>SUMPRODUCT(P59:U59,P58:U58)</f>
        <v>376.96049988651816</v>
      </c>
      <c r="AC50" s="224"/>
      <c r="AD50" s="224"/>
    </row>
    <row r="51" spans="1:30">
      <c r="AB51" s="206"/>
      <c r="AC51" s="251"/>
      <c r="AD51" s="251"/>
    </row>
    <row r="52" spans="1:30">
      <c r="C52" s="233" t="s">
        <v>733</v>
      </c>
      <c r="D52" s="222"/>
      <c r="E52" s="222"/>
      <c r="F52" s="222"/>
      <c r="G52" s="222"/>
      <c r="H52" s="222"/>
      <c r="I52" s="222"/>
      <c r="J52" s="222"/>
      <c r="K52" s="222"/>
      <c r="L52" s="222"/>
      <c r="M52" s="222"/>
      <c r="N52" s="222"/>
      <c r="O52" s="222"/>
      <c r="P52" s="262">
        <f>P22/(1+P$10/100)^P$6</f>
        <v>0.37160995462500007</v>
      </c>
      <c r="Q52" s="262" t="e">
        <f t="shared" ref="Q52:AA52" si="34">Q22/(1+Q$10/100)^Q$6</f>
        <v>#N/A</v>
      </c>
      <c r="R52" s="262">
        <f>R22/(1+R$10/100)^R$6</f>
        <v>0.40896490857313733</v>
      </c>
      <c r="S52" s="262">
        <f t="shared" si="34"/>
        <v>0.42793563481567337</v>
      </c>
      <c r="T52" s="262">
        <f t="shared" si="34"/>
        <v>0.38287365752318031</v>
      </c>
      <c r="U52" s="262">
        <f t="shared" si="34"/>
        <v>0.37949123564029946</v>
      </c>
      <c r="V52" s="262">
        <f t="shared" si="34"/>
        <v>0.35829623581642994</v>
      </c>
      <c r="W52" s="262">
        <f t="shared" si="34"/>
        <v>0.34746284113016912</v>
      </c>
      <c r="X52" s="262">
        <f t="shared" si="34"/>
        <v>0.33532088061102422</v>
      </c>
      <c r="Y52" s="262">
        <f t="shared" si="34"/>
        <v>0.32194585920165908</v>
      </c>
      <c r="Z52" s="262">
        <f t="shared" si="34"/>
        <v>0.30751309132238214</v>
      </c>
      <c r="AA52" s="262">
        <f t="shared" si="34"/>
        <v>0.29213699755388595</v>
      </c>
      <c r="AB52" s="217">
        <f>AB22/(1+AB$10/100)^AB$6/((AB10-AB19)/100)</f>
        <v>15.155979572344462</v>
      </c>
      <c r="AC52" s="251"/>
      <c r="AD52" s="251"/>
    </row>
    <row r="53" spans="1:30">
      <c r="A53" s="188" t="s">
        <v>99</v>
      </c>
      <c r="C53" s="233" t="s">
        <v>734</v>
      </c>
      <c r="D53" s="233"/>
      <c r="E53" s="233"/>
      <c r="F53" s="233"/>
      <c r="G53" s="233"/>
      <c r="H53" s="233"/>
      <c r="I53" s="233"/>
      <c r="J53" s="233"/>
      <c r="K53" s="233"/>
      <c r="L53" s="233"/>
      <c r="M53" s="233"/>
      <c r="N53" s="233"/>
      <c r="O53" s="233"/>
      <c r="P53" s="247">
        <f>VLOOKUP($A53,'Group Model'!$1:$1048576,MATCH("FY"&amp;RIGHT(P$4,2)&amp;"a",'Group Model'!$1:$1,0),FALSE)*100</f>
        <v>60</v>
      </c>
      <c r="Q53" s="247">
        <f>VLOOKUP($A53,'Group Model'!$1:$1048576,MATCH("FY"&amp;RIGHT(Q$4,2)&amp;"E",'Group Model'!$1:$1,0),FALSE)*100</f>
        <v>60</v>
      </c>
      <c r="R53" s="247">
        <f>VLOOKUP($A53,'Group Model'!$1:$1048576,MATCH("FY"&amp;RIGHT(R$4,2)&amp;"E",'Group Model'!$1:$1,0),FALSE)*100</f>
        <v>60</v>
      </c>
      <c r="S53" s="247">
        <f>VLOOKUP($A53,'Group Model'!$1:$1048576,MATCH("FY"&amp;RIGHT(S$4,2)&amp;"E",'Group Model'!$1:$1,0),FALSE)*100</f>
        <v>60</v>
      </c>
      <c r="T53" s="247">
        <f>VLOOKUP($A53,'Group Model'!$1:$1048576,MATCH("FY"&amp;RIGHT(T$4,2)&amp;"E",'Group Model'!$1:$1,0),FALSE)*100</f>
        <v>60</v>
      </c>
      <c r="U53" s="247">
        <f>VLOOKUP($A53,'Group Model'!$1:$1048576,MATCH("FY"&amp;RIGHT(U$4,2)&amp;"E",'Group Model'!$1:$1,0),FALSE)*100</f>
        <v>60</v>
      </c>
      <c r="V53" s="263">
        <f>U53</f>
        <v>60</v>
      </c>
      <c r="W53" s="263">
        <f t="shared" ref="W53:AA53" si="35">V53</f>
        <v>60</v>
      </c>
      <c r="X53" s="263">
        <f t="shared" si="35"/>
        <v>60</v>
      </c>
      <c r="Y53" s="263">
        <f t="shared" si="35"/>
        <v>60</v>
      </c>
      <c r="Z53" s="263">
        <f t="shared" si="35"/>
        <v>60</v>
      </c>
      <c r="AA53" s="263">
        <f t="shared" si="35"/>
        <v>60</v>
      </c>
      <c r="AB53" s="206">
        <f>AA53</f>
        <v>60</v>
      </c>
      <c r="AC53" s="251"/>
      <c r="AD53" s="251"/>
    </row>
    <row r="54" spans="1:30">
      <c r="C54" s="233" t="s">
        <v>735</v>
      </c>
      <c r="D54" s="233"/>
      <c r="E54" s="233"/>
      <c r="F54" s="233"/>
      <c r="G54" s="233"/>
      <c r="H54" s="233"/>
      <c r="I54" s="233"/>
      <c r="J54" s="233"/>
      <c r="K54" s="233"/>
      <c r="L54" s="233"/>
      <c r="M54" s="233"/>
      <c r="N54" s="233"/>
      <c r="O54" s="233"/>
      <c r="P54" s="247">
        <f t="shared" ref="P54:Y54" si="36">P52*P53/100</f>
        <v>0.22296597277500005</v>
      </c>
      <c r="Q54" s="247" t="e">
        <f t="shared" si="36"/>
        <v>#N/A</v>
      </c>
      <c r="R54" s="247">
        <f t="shared" si="36"/>
        <v>0.24537894514388239</v>
      </c>
      <c r="S54" s="247">
        <f t="shared" si="36"/>
        <v>0.25676138088940403</v>
      </c>
      <c r="T54" s="247">
        <f t="shared" si="36"/>
        <v>0.22972419451390821</v>
      </c>
      <c r="U54" s="247">
        <f t="shared" si="36"/>
        <v>0.22769474138417969</v>
      </c>
      <c r="V54" s="247">
        <f t="shared" si="36"/>
        <v>0.21497774148985799</v>
      </c>
      <c r="W54" s="247">
        <f t="shared" si="36"/>
        <v>0.20847770467810148</v>
      </c>
      <c r="X54" s="247">
        <f t="shared" si="36"/>
        <v>0.20119252836661453</v>
      </c>
      <c r="Y54" s="247">
        <f t="shared" si="36"/>
        <v>0.19316751552099545</v>
      </c>
      <c r="Z54" s="247">
        <f>Z52*Z53/100</f>
        <v>0.18450785479342929</v>
      </c>
      <c r="AA54" s="247">
        <f t="shared" ref="AA54" si="37">AA52*AA53/100</f>
        <v>0.17528219853233157</v>
      </c>
      <c r="AB54" s="206">
        <f>AB52*AB53/100</f>
        <v>9.0935877434066779</v>
      </c>
      <c r="AC54" s="251"/>
      <c r="AD54" s="251"/>
    </row>
    <row r="57" spans="1:30">
      <c r="C57" s="264" t="s">
        <v>736</v>
      </c>
      <c r="D57" s="264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264">
        <f t="shared" ref="P57:R57" si="38">IF((IF(MONTH($S$3)&lt;=MONTH($S$2),YEAR($S$3),YEAR($S$3)+1))=P$4,IF(MONTH($S$3)&lt;=MONTH($S$2),YEAR($S$3),YEAR($S$3)+1),IF((IF(MONTH($S$3)&lt;=MONTH($S$2),YEAR($S$3),YEAR($S$3)+1))+1=P$4,O57+1,0))</f>
        <v>0</v>
      </c>
      <c r="Q57" s="265">
        <f t="shared" si="38"/>
        <v>0</v>
      </c>
      <c r="R57" s="264">
        <f t="shared" si="38"/>
        <v>2027</v>
      </c>
      <c r="S57" s="264">
        <f>IF((IF(MONTH($S$3)&lt;=MONTH($S$2),YEAR($S$3),YEAR($S$3)+1))=S$4,IF(MONTH($S$3)&lt;=MONTH($S$2),YEAR($S$3),YEAR($S$3)+1),IF((IF(MONTH($S$3)&lt;=MONTH($S$2),YEAR($S$3),YEAR($S$3)+1))+1=S$4,R57+1,0))</f>
        <v>2028</v>
      </c>
      <c r="T57" s="264">
        <f t="shared" ref="T57:AA57" si="39">IF((IF(MONTH($S$3)&lt;=MONTH($S$2),YEAR($S$3),YEAR($S$3)+1))=T$4,IF(MONTH($S$3)&lt;=MONTH($S$2),YEAR($S$3),YEAR($S$3)+1),IF((IF(MONTH($S$3)&lt;=MONTH($S$2),YEAR($S$3),YEAR($S$3)+1))+1=T$4,S57+1,0))</f>
        <v>0</v>
      </c>
      <c r="U57" s="264">
        <f t="shared" si="39"/>
        <v>0</v>
      </c>
      <c r="V57" s="264">
        <f t="shared" si="39"/>
        <v>0</v>
      </c>
      <c r="W57" s="264">
        <f t="shared" si="39"/>
        <v>0</v>
      </c>
      <c r="X57" s="264">
        <f t="shared" si="39"/>
        <v>0</v>
      </c>
      <c r="Y57" s="264">
        <f t="shared" si="39"/>
        <v>0</v>
      </c>
      <c r="Z57" s="264">
        <f t="shared" si="39"/>
        <v>0</v>
      </c>
      <c r="AA57" s="264">
        <f t="shared" si="39"/>
        <v>0</v>
      </c>
    </row>
    <row r="58" spans="1:30">
      <c r="C58" s="264" t="s">
        <v>737</v>
      </c>
      <c r="D58" s="264"/>
      <c r="E58" s="264"/>
      <c r="F58" s="264"/>
      <c r="G58" s="264"/>
      <c r="H58" s="264"/>
      <c r="I58" s="264"/>
      <c r="J58" s="264"/>
      <c r="K58" s="264"/>
      <c r="L58" s="264"/>
      <c r="M58" s="264"/>
      <c r="N58" s="264"/>
      <c r="O58" s="264"/>
      <c r="P58" s="266">
        <f t="shared" ref="P58:R58" si="40">IF(AND(N57=0,O57=0,P57&gt;0),(EOMONTH(DATE(P57,MONTH($S$2),15),0)-$S$3)/(EOMONTH(DATE(P57,MONTH($S$2),15),0)-EOMONTH(DATE(P57-1,MONTH($S$2),15),0)),IF(AND(N57=0,O57&gt;0,P57&gt;0),1-O58,0))</f>
        <v>0</v>
      </c>
      <c r="Q58" s="266">
        <f t="shared" si="40"/>
        <v>0</v>
      </c>
      <c r="R58" s="266">
        <f t="shared" si="40"/>
        <v>0.58082191780821912</v>
      </c>
      <c r="S58" s="266">
        <f>IF(AND(Q57=0,R57=0,S57&gt;0),(EOMONTH(DATE(S57,MONTH($S$2),15),0)-$S$3)/(EOMONTH(DATE(S57,MONTH($S$2),15),0)-EOMONTH(DATE(S57-1,MONTH($S$2),15),0)),IF(AND(Q57=0,R57&gt;0,S57&gt;0),1-R58,0))</f>
        <v>0.41917808219178088</v>
      </c>
      <c r="T58" s="266">
        <f t="shared" ref="T58:AA58" si="41">IF(AND(R57=0,S57=0,T57&gt;0),(EOMONTH(DATE(T57,MONTH($S$2),15),0)-$S$3)/(EOMONTH(DATE(T57,MONTH($S$2),15),0)-EOMONTH(DATE(T57-1,MONTH($S$2),15),0)),IF(AND(R57=0,S57&gt;0,T57&gt;0),1-S58,0))</f>
        <v>0</v>
      </c>
      <c r="U58" s="266">
        <f t="shared" si="41"/>
        <v>0</v>
      </c>
      <c r="V58" s="266">
        <f t="shared" si="41"/>
        <v>0</v>
      </c>
      <c r="W58" s="266">
        <f t="shared" si="41"/>
        <v>0</v>
      </c>
      <c r="X58" s="266">
        <f t="shared" si="41"/>
        <v>0</v>
      </c>
      <c r="Y58" s="266">
        <f t="shared" si="41"/>
        <v>0</v>
      </c>
      <c r="Z58" s="266">
        <f t="shared" si="41"/>
        <v>0</v>
      </c>
      <c r="AA58" s="266">
        <f t="shared" si="41"/>
        <v>0</v>
      </c>
    </row>
    <row r="59" spans="1:30">
      <c r="A59" s="188" t="s">
        <v>263</v>
      </c>
      <c r="C59" s="264" t="s">
        <v>682</v>
      </c>
      <c r="D59" s="267">
        <f>VLOOKUP($A59,'Group Model'!$1:$1048576,MATCH("FY"&amp;RIGHT(D$4,2)&amp;"a",'Group Model'!$1:$1,0),FALSE)</f>
        <v>345.23752084604433</v>
      </c>
      <c r="E59" s="267">
        <f>VLOOKUP($A59,'Group Model'!$1:$1048576,MATCH("FY"&amp;RIGHT(E$4,2)&amp;"a",'Group Model'!$1:$1,0),FALSE)</f>
        <v>321.07474999999999</v>
      </c>
      <c r="F59" s="267">
        <f>VLOOKUP($A59,'Group Model'!$1:$1048576,MATCH("FY"&amp;RIGHT(F$4,2)&amp;"a",'Group Model'!$1:$1,0),FALSE)</f>
        <v>333.45777700000002</v>
      </c>
      <c r="G59" s="267">
        <f>VLOOKUP($A59,'Group Model'!$1:$1048576,MATCH("FY"&amp;RIGHT(G$4,2)&amp;"a",'Group Model'!$1:$1,0),FALSE)</f>
        <v>340.30238900000001</v>
      </c>
      <c r="H59" s="267">
        <f>VLOOKUP($A59,'Group Model'!$1:$1048576,MATCH("FY"&amp;RIGHT(H$4,2)&amp;"a",'Group Model'!$1:$1,0),FALSE)</f>
        <v>340.35173099999997</v>
      </c>
      <c r="I59" s="267">
        <f>VLOOKUP($A59,'Group Model'!$1:$1048576,MATCH("FY"&amp;RIGHT(I$4,2)&amp;"a",'Group Model'!$1:$1,0),FALSE)</f>
        <v>340.36482000000001</v>
      </c>
      <c r="J59" s="267">
        <f>VLOOKUP($A59,'Group Model'!$1:$1048576,MATCH("FY"&amp;RIGHT(J$4,2)&amp;"a",'Group Model'!$1:$1,0),FALSE)</f>
        <v>340.38273800000002</v>
      </c>
      <c r="K59" s="267">
        <f>VLOOKUP($A59,'Group Model'!$1:$1048576,MATCH("FY"&amp;RIGHT(K$4,2)&amp;"a",'Group Model'!$1:$1,0),FALSE)</f>
        <v>354.381396</v>
      </c>
      <c r="L59" s="267">
        <f>VLOOKUP($A59,'Group Model'!$1:$1048576,MATCH("FY"&amp;RIGHT(L$4,2)&amp;"a",'Group Model'!$1:$1,0),FALSE)</f>
        <v>361.82137699999998</v>
      </c>
      <c r="M59" s="267">
        <f>VLOOKUP($A59,'Group Model'!$1:$1048576,MATCH("FY"&amp;RIGHT(M$4,2)&amp;"a",'Group Model'!$1:$1,0),FALSE)</f>
        <v>383.64763699999997</v>
      </c>
      <c r="N59" s="267">
        <f>VLOOKUP($A59,'Group Model'!$1:$1048576,MATCH("FY"&amp;RIGHT(N$4,2)&amp;"a",'Group Model'!$1:$1,0),FALSE)</f>
        <v>386.47675400000003</v>
      </c>
      <c r="O59" s="267">
        <f>VLOOKUP($A59,'Group Model'!$1:$1048576,MATCH("FY"&amp;RIGHT(O$4,2)&amp;"a",'Group Model'!$1:$1,0),FALSE)</f>
        <v>382.96253300000001</v>
      </c>
      <c r="P59" s="267">
        <f>VLOOKUP($A59,'Group Model'!$1:$1048576,MATCH("FY"&amp;RIGHT(P$4,2)&amp;"a",'Group Model'!$1:$1,0),FALSE)</f>
        <v>381.13841500000001</v>
      </c>
      <c r="Q59" s="267">
        <f>VLOOKUP($A59,'Group Model'!$1:$1048576,MATCH("FY"&amp;RIGHT(Q$4,2)&amp;"e",'Group Model'!$1:$1,0),FALSE)</f>
        <v>379.68406348563246</v>
      </c>
      <c r="R59" s="267">
        <f>VLOOKUP($A59,'Group Model'!$1:$1048576,MATCH("FY"&amp;RIGHT(R$4,2)&amp;"e",'Group Model'!$1:$1,0),FALSE)</f>
        <v>376.96049988651816</v>
      </c>
      <c r="S59" s="267">
        <f>VLOOKUP($A59,'Group Model'!$1:$1048576,MATCH("FY"&amp;RIGHT(S$4,2)&amp;"e",'Group Model'!$1:$1,0),FALSE)</f>
        <v>376.96049988651816</v>
      </c>
      <c r="T59" s="267">
        <f>VLOOKUP($A59,'Group Model'!$1:$1048576,MATCH("FY"&amp;RIGHT(T$4,2)&amp;"e",'Group Model'!$1:$1,0),FALSE)</f>
        <v>376.96049988651816</v>
      </c>
      <c r="U59" s="267">
        <f>VLOOKUP($A59,'Group Model'!$1:$1048576,MATCH("FY"&amp;RIGHT(U$4,2)&amp;"e",'Group Model'!$1:$1,0),FALSE)</f>
        <v>376.96049988651816</v>
      </c>
      <c r="V59" s="267" t="e">
        <f>VLOOKUP($A59,'Group Model'!$1:$1048576,MATCH("FY"&amp;RIGHT(V$4,2)&amp;"e",'Group Model'!$1:$1,0),FALSE)</f>
        <v>#N/A</v>
      </c>
      <c r="W59" s="267" t="e">
        <f>VLOOKUP($A59,'Group Model'!$1:$1048576,MATCH("FY"&amp;RIGHT(W$4,2)&amp;"e",'Group Model'!$1:$1,0),FALSE)</f>
        <v>#N/A</v>
      </c>
      <c r="X59" s="267" t="e">
        <f>VLOOKUP($A59,'Group Model'!$1:$1048576,MATCH("FY"&amp;RIGHT(X$4,2)&amp;"e",'Group Model'!$1:$1,0),FALSE)</f>
        <v>#N/A</v>
      </c>
      <c r="Y59" s="267" t="e">
        <f>VLOOKUP($A59,'Group Model'!$1:$1048576,MATCH("FY"&amp;RIGHT(Y$4,2)&amp;"e",'Group Model'!$1:$1,0),FALSE)</f>
        <v>#N/A</v>
      </c>
      <c r="Z59" s="267" t="e">
        <f>VLOOKUP($A59,'Group Model'!$1:$1048576,MATCH("FY"&amp;RIGHT(Z$4,2)&amp;"e",'Group Model'!$1:$1,0),FALSE)</f>
        <v>#N/A</v>
      </c>
      <c r="AA59" s="267" t="e">
        <f>VLOOKUP($A59,'Group Model'!$1:$1048576,MATCH("FY"&amp;RIGHT(AA$4,2)&amp;"e",'Group Model'!$1:$1,0),FALSE)</f>
        <v>#N/A</v>
      </c>
    </row>
  </sheetData>
  <pageMargins left="0.7" right="0.7" top="0.75" bottom="0.75" header="0.3" footer="0.3"/>
  <pageSetup paperSize="9" scale="24" orientation="landscape" r:id="rId1"/>
  <customProperties>
    <customPr name="Qube.Worksheet.Visibility" r:id="rId2"/>
    <customPr name="SHEET_UNIQUE_ID" r:id="rId3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DBDC9-0FA5-455A-8AE5-448C0F6762CB}">
  <sheetPr>
    <pageSetUpPr autoPageBreaks="0"/>
  </sheetPr>
  <dimension ref="A1:BD227"/>
  <sheetViews>
    <sheetView workbookViewId="0"/>
  </sheetViews>
  <sheetFormatPr defaultRowHeight="15" outlineLevelCol="1"/>
  <cols>
    <col min="2" max="2" width="38.42578125" customWidth="1"/>
    <col min="3" max="3" width="12.42578125" customWidth="1"/>
    <col min="4" max="13" width="9.140625" hidden="1" customWidth="1" outlineLevel="1"/>
    <col min="14" max="14" width="8.85546875" collapsed="1"/>
    <col min="16" max="16" width="11.140625" bestFit="1" customWidth="1"/>
    <col min="22" max="22" width="10" customWidth="1"/>
    <col min="33" max="36" width="9.140625" hidden="1" customWidth="1" outlineLevel="1"/>
    <col min="37" max="37" width="9.140625" collapsed="1"/>
    <col min="48" max="48" width="17.140625" customWidth="1"/>
  </cols>
  <sheetData>
    <row r="1" spans="1:50">
      <c r="A1" t="s">
        <v>1906</v>
      </c>
      <c r="C1" s="549" t="s">
        <v>1915</v>
      </c>
      <c r="R1" s="526"/>
    </row>
    <row r="2" spans="1:50">
      <c r="A2" t="s">
        <v>1916</v>
      </c>
      <c r="D2" s="4" t="str">
        <f>'Group Model'!R1</f>
        <v>1H17A</v>
      </c>
      <c r="E2" s="4" t="str">
        <f>'Group Model'!S1</f>
        <v>2H17A</v>
      </c>
      <c r="F2" s="4" t="str">
        <f>'Group Model'!T1</f>
        <v>1H18A</v>
      </c>
      <c r="G2" s="4" t="str">
        <f>'Group Model'!U1</f>
        <v>2H18A</v>
      </c>
      <c r="H2" s="4" t="str">
        <f>'Group Model'!V1</f>
        <v>1H19A</v>
      </c>
      <c r="I2" s="4" t="str">
        <f>'Group Model'!W1</f>
        <v>2H19A</v>
      </c>
      <c r="J2" s="4" t="str">
        <f>'Group Model'!X1</f>
        <v>1H20A</v>
      </c>
      <c r="K2" s="4" t="str">
        <f>'Group Model'!Y1</f>
        <v>2H20A</v>
      </c>
      <c r="L2" s="4" t="str">
        <f>'Group Model'!Z1</f>
        <v>1H21A</v>
      </c>
      <c r="M2" s="4" t="str">
        <f>'Group Model'!AA1</f>
        <v>2H21A</v>
      </c>
      <c r="N2" s="4" t="str">
        <f>'Group Model'!AB1</f>
        <v>1H22A</v>
      </c>
      <c r="O2" s="4" t="str">
        <f>'Group Model'!AC1</f>
        <v>2H22A</v>
      </c>
      <c r="P2" s="4" t="str">
        <f>'Group Model'!AD1</f>
        <v>1H23A</v>
      </c>
      <c r="Q2" s="4" t="str">
        <f>'Group Model'!AE1</f>
        <v>2H23A</v>
      </c>
      <c r="R2" s="4" t="str">
        <f>'Group Model'!AF1</f>
        <v>1H24A</v>
      </c>
      <c r="S2" s="4" t="str">
        <f>'Group Model'!AG1</f>
        <v>2H24A</v>
      </c>
      <c r="T2" s="4" t="str">
        <f>'Group Model'!AH1</f>
        <v>1H25A</v>
      </c>
      <c r="U2" s="4" t="str">
        <f>'Group Model'!AI1</f>
        <v>2H25A</v>
      </c>
      <c r="V2" s="10" t="str">
        <f>'Group Model'!AJ1</f>
        <v>1H26A</v>
      </c>
      <c r="W2" s="4" t="str">
        <f>'Group Model'!AK1</f>
        <v>2H26E</v>
      </c>
      <c r="X2" s="4" t="str">
        <f>'Group Model'!AL1</f>
        <v>1H27E</v>
      </c>
      <c r="Y2" s="4" t="str">
        <f>'Group Model'!AM1</f>
        <v>2H27E</v>
      </c>
      <c r="Z2" s="4" t="str">
        <f>'Group Model'!AN1</f>
        <v>1H28E</v>
      </c>
      <c r="AA2" s="4" t="str">
        <f>'Group Model'!AO1</f>
        <v>2H28E</v>
      </c>
      <c r="AB2" s="4" t="str">
        <f>'Group Model'!AP1</f>
        <v>1H29E</v>
      </c>
      <c r="AC2" s="4" t="str">
        <f>'Group Model'!AQ1</f>
        <v>2H29E</v>
      </c>
      <c r="AD2" s="4" t="str">
        <f>'Group Model'!AR1</f>
        <v>1H30E</v>
      </c>
      <c r="AE2" s="4" t="str">
        <f>'Group Model'!AS1</f>
        <v>2H30E</v>
      </c>
      <c r="AF2" s="529"/>
      <c r="AG2" s="4" t="str">
        <f>'Group Model'!BG1</f>
        <v>FY17A</v>
      </c>
      <c r="AH2" s="4" t="str">
        <f>'Group Model'!BH1</f>
        <v>FY18A</v>
      </c>
      <c r="AI2" s="4" t="str">
        <f>'Group Model'!BI1</f>
        <v>FY19A</v>
      </c>
      <c r="AJ2" s="4" t="str">
        <f>'Group Model'!BJ1</f>
        <v>FY20A</v>
      </c>
      <c r="AK2" s="4" t="str">
        <f>'Group Model'!BK1</f>
        <v>FY21A</v>
      </c>
      <c r="AL2" s="4" t="str">
        <f>'Group Model'!BL1</f>
        <v>FY22A</v>
      </c>
      <c r="AM2" s="4" t="str">
        <f>'Group Model'!BM1</f>
        <v>FY23A</v>
      </c>
      <c r="AN2" s="4" t="str">
        <f>'Group Model'!BN1</f>
        <v>FY24A</v>
      </c>
      <c r="AO2" s="10" t="str">
        <f>'Group Model'!BO1</f>
        <v>FY25A</v>
      </c>
      <c r="AP2" s="4" t="str">
        <f>'Group Model'!BP1</f>
        <v>FY26E</v>
      </c>
      <c r="AQ2" s="4" t="str">
        <f>'Group Model'!BQ1</f>
        <v>FY27E</v>
      </c>
      <c r="AR2" s="4" t="str">
        <f>'Group Model'!BR1</f>
        <v>FY28E</v>
      </c>
      <c r="AS2" s="4" t="str">
        <f>'Group Model'!BS1</f>
        <v>FY29E</v>
      </c>
      <c r="AT2" s="4" t="str">
        <f>'Group Model'!BT1</f>
        <v>FY30E</v>
      </c>
    </row>
    <row r="3" spans="1:50">
      <c r="D3" s="6">
        <f>'Group Model'!R3</f>
        <v>42643</v>
      </c>
      <c r="E3" s="6">
        <f>'Group Model'!S3</f>
        <v>42825</v>
      </c>
      <c r="F3" s="6">
        <f>'Group Model'!T3</f>
        <v>43008</v>
      </c>
      <c r="G3" s="6">
        <f>'Group Model'!U3</f>
        <v>43190</v>
      </c>
      <c r="H3" s="6">
        <f>'Group Model'!V3</f>
        <v>43373</v>
      </c>
      <c r="I3" s="6">
        <f>'Group Model'!W3</f>
        <v>43555</v>
      </c>
      <c r="J3" s="6">
        <f>'Group Model'!X3</f>
        <v>43738</v>
      </c>
      <c r="K3" s="6">
        <f>'Group Model'!Y3</f>
        <v>43921</v>
      </c>
      <c r="L3" s="6">
        <f>'Group Model'!Z3</f>
        <v>44104</v>
      </c>
      <c r="M3" s="6">
        <f>'Group Model'!AA3</f>
        <v>44286</v>
      </c>
      <c r="N3" s="6">
        <f>'Group Model'!AB3</f>
        <v>44469</v>
      </c>
      <c r="O3" s="6">
        <f>'Group Model'!AC3</f>
        <v>44651</v>
      </c>
      <c r="P3" s="6">
        <f>'Group Model'!AD3</f>
        <v>44834</v>
      </c>
      <c r="Q3" s="6">
        <f>'Group Model'!AE3</f>
        <v>45016</v>
      </c>
      <c r="R3" s="6">
        <f>'Group Model'!AF3</f>
        <v>45199</v>
      </c>
      <c r="S3" s="6">
        <f>'Group Model'!AG3</f>
        <v>45382</v>
      </c>
      <c r="T3" s="6">
        <f>'Group Model'!AH3</f>
        <v>45565</v>
      </c>
      <c r="U3" s="6">
        <f>'Group Model'!AI3</f>
        <v>45747</v>
      </c>
      <c r="V3" s="12">
        <f>'Group Model'!AJ3</f>
        <v>45930</v>
      </c>
      <c r="W3" s="6">
        <f>'Group Model'!AK3</f>
        <v>46112</v>
      </c>
      <c r="X3" s="6">
        <f>'Group Model'!AL3</f>
        <v>46295</v>
      </c>
      <c r="Y3" s="6">
        <f>'Group Model'!AM3</f>
        <v>46477</v>
      </c>
      <c r="Z3" s="6">
        <f>'Group Model'!AN3</f>
        <v>46660</v>
      </c>
      <c r="AA3" s="6">
        <f>'Group Model'!AO3</f>
        <v>46843</v>
      </c>
      <c r="AB3" s="6">
        <f>'Group Model'!AP3</f>
        <v>47026</v>
      </c>
      <c r="AC3" s="6">
        <f>'Group Model'!AQ3</f>
        <v>47208</v>
      </c>
      <c r="AD3" s="6">
        <f>'Group Model'!AR3</f>
        <v>47391</v>
      </c>
      <c r="AE3" s="6">
        <f>'Group Model'!AS3</f>
        <v>47573</v>
      </c>
      <c r="AF3" s="530"/>
      <c r="AG3" s="6">
        <f>'Group Model'!BG3</f>
        <v>42825</v>
      </c>
      <c r="AH3" s="6">
        <f>'Group Model'!BH3</f>
        <v>43190</v>
      </c>
      <c r="AI3" s="6">
        <f>'Group Model'!BI3</f>
        <v>43555</v>
      </c>
      <c r="AJ3" s="6">
        <f>'Group Model'!BJ3</f>
        <v>43921</v>
      </c>
      <c r="AK3" s="6">
        <f>'Group Model'!BK3</f>
        <v>44286</v>
      </c>
      <c r="AL3" s="6">
        <f>'Group Model'!BL3</f>
        <v>44651</v>
      </c>
      <c r="AM3" s="6">
        <f>'Group Model'!BM3</f>
        <v>45016</v>
      </c>
      <c r="AN3" s="6">
        <f>'Group Model'!BN3</f>
        <v>45382</v>
      </c>
      <c r="AO3" s="12">
        <f>'Group Model'!BO3</f>
        <v>45747</v>
      </c>
      <c r="AP3" s="6">
        <f>'Group Model'!BP3</f>
        <v>46112</v>
      </c>
      <c r="AQ3" s="6">
        <f>'Group Model'!BQ3</f>
        <v>46477</v>
      </c>
      <c r="AR3" s="6">
        <f>'Group Model'!BR3</f>
        <v>46843</v>
      </c>
      <c r="AS3" s="6">
        <f>'Group Model'!BS3</f>
        <v>47208</v>
      </c>
      <c r="AT3" s="6">
        <f>'Group Model'!BT3</f>
        <v>47573</v>
      </c>
    </row>
    <row r="4" spans="1:50">
      <c r="B4" s="524" t="s">
        <v>1894</v>
      </c>
      <c r="V4" s="550"/>
      <c r="AO4" s="550"/>
      <c r="AV4" s="537" t="s">
        <v>1907</v>
      </c>
      <c r="AW4" s="538"/>
      <c r="AX4" s="539"/>
    </row>
    <row r="5" spans="1:50">
      <c r="B5" s="525" t="s">
        <v>1917</v>
      </c>
      <c r="V5" s="550"/>
      <c r="AO5" s="550"/>
      <c r="AV5" s="561"/>
      <c r="AW5" s="521"/>
      <c r="AX5" s="543"/>
    </row>
    <row r="6" spans="1:50">
      <c r="C6" s="521" t="s">
        <v>1877</v>
      </c>
      <c r="D6" s="531">
        <f>D137</f>
        <v>5218</v>
      </c>
      <c r="E6" s="531">
        <f t="shared" ref="E6:AT6" si="0">E137</f>
        <v>5146</v>
      </c>
      <c r="F6" s="531">
        <f t="shared" si="0"/>
        <v>5397</v>
      </c>
      <c r="G6" s="531">
        <f t="shared" si="0"/>
        <v>5523</v>
      </c>
      <c r="H6" s="531">
        <f t="shared" si="0"/>
        <v>5830</v>
      </c>
      <c r="I6" s="531">
        <f t="shared" si="0"/>
        <v>6924</v>
      </c>
      <c r="J6" s="531">
        <f t="shared" si="0"/>
        <v>6320</v>
      </c>
      <c r="K6" s="531">
        <f t="shared" si="0"/>
        <v>6005</v>
      </c>
      <c r="L6" s="531">
        <f t="shared" si="0"/>
        <v>5519</v>
      </c>
      <c r="M6" s="531">
        <f t="shared" si="0"/>
        <v>7255</v>
      </c>
      <c r="N6" s="531">
        <f t="shared" si="0"/>
        <v>7804</v>
      </c>
      <c r="O6" s="531">
        <f t="shared" si="0"/>
        <v>9520</v>
      </c>
      <c r="P6" s="531">
        <f t="shared" si="0"/>
        <v>8624</v>
      </c>
      <c r="Q6" s="531">
        <f t="shared" si="0"/>
        <v>10498</v>
      </c>
      <c r="R6" s="531">
        <f t="shared" si="0"/>
        <v>7910</v>
      </c>
      <c r="S6" s="531">
        <f t="shared" si="0"/>
        <v>8977</v>
      </c>
      <c r="T6" s="531">
        <f t="shared" si="0"/>
        <v>8216</v>
      </c>
      <c r="U6" s="531">
        <f t="shared" si="0"/>
        <v>8992</v>
      </c>
      <c r="V6" s="551">
        <f t="shared" si="0"/>
        <v>8691</v>
      </c>
      <c r="W6" s="531">
        <f t="shared" si="0"/>
        <v>9972.1915088020978</v>
      </c>
      <c r="X6" s="531">
        <f t="shared" si="0"/>
        <v>9161.1574374384654</v>
      </c>
      <c r="Y6" s="531">
        <f t="shared" si="0"/>
        <v>9621.1345036601451</v>
      </c>
      <c r="Z6" s="531">
        <f t="shared" si="0"/>
        <v>9633.7862447486623</v>
      </c>
      <c r="AA6" s="531">
        <f t="shared" si="0"/>
        <v>10208.538467024999</v>
      </c>
      <c r="AB6" s="531">
        <f t="shared" si="0"/>
        <v>10071.008370174872</v>
      </c>
      <c r="AC6" s="531">
        <f t="shared" si="0"/>
        <v>10616.745571813393</v>
      </c>
      <c r="AD6" s="531">
        <f t="shared" si="0"/>
        <v>10519.149956391295</v>
      </c>
      <c r="AE6" s="531">
        <f t="shared" si="0"/>
        <v>10978.63240979024</v>
      </c>
      <c r="AF6" s="531">
        <f t="shared" si="0"/>
        <v>0</v>
      </c>
      <c r="AG6" s="531">
        <f t="shared" si="0"/>
        <v>10364</v>
      </c>
      <c r="AH6" s="531">
        <f t="shared" si="0"/>
        <v>10920</v>
      </c>
      <c r="AI6" s="531">
        <f t="shared" si="0"/>
        <v>12754</v>
      </c>
      <c r="AJ6" s="531">
        <f t="shared" si="0"/>
        <v>12325</v>
      </c>
      <c r="AK6" s="531">
        <f t="shared" si="0"/>
        <v>12774</v>
      </c>
      <c r="AL6" s="531">
        <f t="shared" si="0"/>
        <v>17324</v>
      </c>
      <c r="AM6" s="531">
        <f t="shared" si="0"/>
        <v>19122</v>
      </c>
      <c r="AN6" s="531">
        <f t="shared" si="0"/>
        <v>16887</v>
      </c>
      <c r="AO6" s="531">
        <f t="shared" si="0"/>
        <v>17208</v>
      </c>
      <c r="AP6" s="531">
        <f t="shared" si="0"/>
        <v>18663.191508802098</v>
      </c>
      <c r="AQ6" s="531">
        <f t="shared" si="0"/>
        <v>18782.291941098611</v>
      </c>
      <c r="AR6" s="531">
        <f t="shared" si="0"/>
        <v>19842.324711773661</v>
      </c>
      <c r="AS6" s="531">
        <f t="shared" si="0"/>
        <v>20687.753941988271</v>
      </c>
      <c r="AT6" s="531">
        <f t="shared" si="0"/>
        <v>21497.782366181535</v>
      </c>
      <c r="AV6" s="540" t="s">
        <v>1908</v>
      </c>
      <c r="AW6" s="521" t="s">
        <v>1909</v>
      </c>
      <c r="AX6" s="541">
        <f>C178</f>
        <v>221.37365092065986</v>
      </c>
    </row>
    <row r="7" spans="1:50">
      <c r="C7" s="521" t="s">
        <v>1878</v>
      </c>
      <c r="D7" s="531">
        <f>D184</f>
        <v>5218</v>
      </c>
      <c r="E7" s="531">
        <f t="shared" ref="E7:AT7" si="1">E184</f>
        <v>5146</v>
      </c>
      <c r="F7" s="531">
        <f t="shared" si="1"/>
        <v>5397</v>
      </c>
      <c r="G7" s="531">
        <f t="shared" si="1"/>
        <v>5523</v>
      </c>
      <c r="H7" s="531">
        <f t="shared" si="1"/>
        <v>5830</v>
      </c>
      <c r="I7" s="531">
        <f t="shared" si="1"/>
        <v>6924</v>
      </c>
      <c r="J7" s="531">
        <f t="shared" si="1"/>
        <v>6320</v>
      </c>
      <c r="K7" s="531">
        <f t="shared" si="1"/>
        <v>6005</v>
      </c>
      <c r="L7" s="531">
        <f t="shared" si="1"/>
        <v>5519</v>
      </c>
      <c r="M7" s="531">
        <f t="shared" si="1"/>
        <v>7255</v>
      </c>
      <c r="N7" s="531">
        <f t="shared" si="1"/>
        <v>7804</v>
      </c>
      <c r="O7" s="531">
        <f t="shared" si="1"/>
        <v>9520</v>
      </c>
      <c r="P7" s="531">
        <f t="shared" si="1"/>
        <v>8624</v>
      </c>
      <c r="Q7" s="531">
        <f t="shared" si="1"/>
        <v>10498</v>
      </c>
      <c r="R7" s="531">
        <f t="shared" si="1"/>
        <v>7910</v>
      </c>
      <c r="S7" s="531">
        <f t="shared" si="1"/>
        <v>8977</v>
      </c>
      <c r="T7" s="531">
        <f t="shared" si="1"/>
        <v>8216</v>
      </c>
      <c r="U7" s="531">
        <f t="shared" si="1"/>
        <v>8992</v>
      </c>
      <c r="V7" s="551">
        <f t="shared" si="1"/>
        <v>8691</v>
      </c>
      <c r="W7" s="531">
        <f t="shared" si="1"/>
        <v>9645.7412652496077</v>
      </c>
      <c r="X7" s="531">
        <f t="shared" si="1"/>
        <v>9061.4307877064239</v>
      </c>
      <c r="Y7" s="531">
        <f t="shared" si="1"/>
        <v>9474.2899324760965</v>
      </c>
      <c r="Z7" s="531">
        <f t="shared" si="1"/>
        <v>9475.8858716101477</v>
      </c>
      <c r="AA7" s="531">
        <f t="shared" si="1"/>
        <v>9965.1150966245605</v>
      </c>
      <c r="AB7" s="531">
        <f t="shared" si="1"/>
        <v>9869.9737206974532</v>
      </c>
      <c r="AC7" s="531">
        <f t="shared" si="1"/>
        <v>10358.088512754299</v>
      </c>
      <c r="AD7" s="531">
        <f t="shared" si="1"/>
        <v>10281.497968523197</v>
      </c>
      <c r="AE7" s="531">
        <f t="shared" si="1"/>
        <v>10773.688582995508</v>
      </c>
      <c r="AF7" s="531">
        <f t="shared" si="1"/>
        <v>0</v>
      </c>
      <c r="AG7" s="531">
        <f t="shared" si="1"/>
        <v>10364</v>
      </c>
      <c r="AH7" s="531">
        <f t="shared" si="1"/>
        <v>10920</v>
      </c>
      <c r="AI7" s="531">
        <f t="shared" si="1"/>
        <v>12754</v>
      </c>
      <c r="AJ7" s="531">
        <f t="shared" si="1"/>
        <v>12325</v>
      </c>
      <c r="AK7" s="531">
        <f t="shared" si="1"/>
        <v>12774</v>
      </c>
      <c r="AL7" s="531">
        <f t="shared" si="1"/>
        <v>17324</v>
      </c>
      <c r="AM7" s="531">
        <f t="shared" si="1"/>
        <v>19122</v>
      </c>
      <c r="AN7" s="531">
        <f t="shared" si="1"/>
        <v>16887</v>
      </c>
      <c r="AO7" s="531">
        <f t="shared" si="1"/>
        <v>17208</v>
      </c>
      <c r="AP7" s="531">
        <f t="shared" si="1"/>
        <v>18336.741265249613</v>
      </c>
      <c r="AQ7" s="531">
        <f t="shared" si="1"/>
        <v>18535.720720182526</v>
      </c>
      <c r="AR7" s="531">
        <f t="shared" si="1"/>
        <v>19441.000968234708</v>
      </c>
      <c r="AS7" s="531">
        <f t="shared" si="1"/>
        <v>20228.062233451754</v>
      </c>
      <c r="AT7" s="531">
        <f t="shared" si="1"/>
        <v>21055.186551518702</v>
      </c>
      <c r="AV7" s="540"/>
      <c r="AW7" s="521" t="s">
        <v>1878</v>
      </c>
      <c r="AX7" s="541">
        <f>C225</f>
        <v>0</v>
      </c>
    </row>
    <row r="8" spans="1:50">
      <c r="C8" s="522" t="s">
        <v>1879</v>
      </c>
      <c r="D8" s="534">
        <f>D6/D7-1</f>
        <v>0</v>
      </c>
      <c r="E8" s="534">
        <f t="shared" ref="E8:AE8" si="2">E6/E7-1</f>
        <v>0</v>
      </c>
      <c r="F8" s="534">
        <f t="shared" si="2"/>
        <v>0</v>
      </c>
      <c r="G8" s="534">
        <f t="shared" si="2"/>
        <v>0</v>
      </c>
      <c r="H8" s="534">
        <f t="shared" si="2"/>
        <v>0</v>
      </c>
      <c r="I8" s="534">
        <f t="shared" si="2"/>
        <v>0</v>
      </c>
      <c r="J8" s="534">
        <f t="shared" si="2"/>
        <v>0</v>
      </c>
      <c r="K8" s="534">
        <f t="shared" si="2"/>
        <v>0</v>
      </c>
      <c r="L8" s="534">
        <f t="shared" si="2"/>
        <v>0</v>
      </c>
      <c r="M8" s="534">
        <f t="shared" si="2"/>
        <v>0</v>
      </c>
      <c r="N8" s="534">
        <f t="shared" si="2"/>
        <v>0</v>
      </c>
      <c r="O8" s="534">
        <f t="shared" si="2"/>
        <v>0</v>
      </c>
      <c r="P8" s="534">
        <f t="shared" si="2"/>
        <v>0</v>
      </c>
      <c r="Q8" s="534">
        <f t="shared" si="2"/>
        <v>0</v>
      </c>
      <c r="R8" s="534">
        <f t="shared" si="2"/>
        <v>0</v>
      </c>
      <c r="S8" s="534">
        <f t="shared" si="2"/>
        <v>0</v>
      </c>
      <c r="T8" s="534">
        <f t="shared" si="2"/>
        <v>0</v>
      </c>
      <c r="U8" s="534">
        <f t="shared" si="2"/>
        <v>0</v>
      </c>
      <c r="V8" s="552">
        <f t="shared" si="2"/>
        <v>0</v>
      </c>
      <c r="W8" s="534">
        <f t="shared" si="2"/>
        <v>3.3843976795083774E-2</v>
      </c>
      <c r="X8" s="534">
        <f t="shared" si="2"/>
        <v>1.1005618435814712E-2</v>
      </c>
      <c r="Y8" s="534">
        <f t="shared" si="2"/>
        <v>1.5499269309955599E-2</v>
      </c>
      <c r="Z8" s="534">
        <f t="shared" si="2"/>
        <v>1.6663389078121593E-2</v>
      </c>
      <c r="AA8" s="534">
        <f t="shared" si="2"/>
        <v>2.4427552320283041E-2</v>
      </c>
      <c r="AB8" s="534">
        <f t="shared" si="2"/>
        <v>2.0368306458186991E-2</v>
      </c>
      <c r="AC8" s="534">
        <f t="shared" si="2"/>
        <v>2.4971504997336247E-2</v>
      </c>
      <c r="AD8" s="534">
        <f t="shared" si="2"/>
        <v>2.3114529477676227E-2</v>
      </c>
      <c r="AE8" s="534">
        <f t="shared" si="2"/>
        <v>1.902262398025889E-2</v>
      </c>
      <c r="AF8" s="534"/>
      <c r="AG8" s="534">
        <f t="shared" ref="AG8:AT8" si="3">AG6/AG7-1</f>
        <v>0</v>
      </c>
      <c r="AH8" s="534">
        <f t="shared" si="3"/>
        <v>0</v>
      </c>
      <c r="AI8" s="534">
        <f t="shared" si="3"/>
        <v>0</v>
      </c>
      <c r="AJ8" s="534">
        <f t="shared" si="3"/>
        <v>0</v>
      </c>
      <c r="AK8" s="534">
        <f t="shared" si="3"/>
        <v>0</v>
      </c>
      <c r="AL8" s="534">
        <f t="shared" si="3"/>
        <v>0</v>
      </c>
      <c r="AM8" s="534">
        <f t="shared" si="3"/>
        <v>0</v>
      </c>
      <c r="AN8" s="534">
        <f t="shared" si="3"/>
        <v>0</v>
      </c>
      <c r="AO8" s="552">
        <f t="shared" si="3"/>
        <v>0</v>
      </c>
      <c r="AP8" s="534">
        <f t="shared" si="3"/>
        <v>1.7803067558745944E-2</v>
      </c>
      <c r="AQ8" s="534">
        <f t="shared" si="3"/>
        <v>1.3302488996157935E-2</v>
      </c>
      <c r="AR8" s="534">
        <f t="shared" si="3"/>
        <v>2.064316257144827E-2</v>
      </c>
      <c r="AS8" s="534">
        <f t="shared" si="3"/>
        <v>2.2725444643743931E-2</v>
      </c>
      <c r="AT8" s="534">
        <f t="shared" si="3"/>
        <v>2.1020750093088569E-2</v>
      </c>
      <c r="AV8" s="540"/>
      <c r="AW8" s="521" t="s">
        <v>1879</v>
      </c>
      <c r="AX8" s="542" t="e">
        <f>AX6/AX7-1</f>
        <v>#DIV/0!</v>
      </c>
    </row>
    <row r="9" spans="1:50">
      <c r="C9" s="522" t="s">
        <v>1880</v>
      </c>
      <c r="D9" s="535">
        <f>D6-D7</f>
        <v>0</v>
      </c>
      <c r="E9" s="535">
        <f t="shared" ref="E9:AE9" si="4">E6-E7</f>
        <v>0</v>
      </c>
      <c r="F9" s="535">
        <f t="shared" si="4"/>
        <v>0</v>
      </c>
      <c r="G9" s="535">
        <f t="shared" si="4"/>
        <v>0</v>
      </c>
      <c r="H9" s="535">
        <f t="shared" si="4"/>
        <v>0</v>
      </c>
      <c r="I9" s="535">
        <f t="shared" si="4"/>
        <v>0</v>
      </c>
      <c r="J9" s="535">
        <f t="shared" si="4"/>
        <v>0</v>
      </c>
      <c r="K9" s="535">
        <f t="shared" si="4"/>
        <v>0</v>
      </c>
      <c r="L9" s="535">
        <f t="shared" si="4"/>
        <v>0</v>
      </c>
      <c r="M9" s="535">
        <f t="shared" si="4"/>
        <v>0</v>
      </c>
      <c r="N9" s="535">
        <f t="shared" si="4"/>
        <v>0</v>
      </c>
      <c r="O9" s="535">
        <f t="shared" si="4"/>
        <v>0</v>
      </c>
      <c r="P9" s="535">
        <f t="shared" si="4"/>
        <v>0</v>
      </c>
      <c r="Q9" s="535">
        <f t="shared" si="4"/>
        <v>0</v>
      </c>
      <c r="R9" s="535">
        <f t="shared" si="4"/>
        <v>0</v>
      </c>
      <c r="S9" s="535">
        <f t="shared" si="4"/>
        <v>0</v>
      </c>
      <c r="T9" s="535">
        <f t="shared" si="4"/>
        <v>0</v>
      </c>
      <c r="U9" s="535">
        <f t="shared" si="4"/>
        <v>0</v>
      </c>
      <c r="V9" s="553">
        <f t="shared" si="4"/>
        <v>0</v>
      </c>
      <c r="W9" s="535">
        <f t="shared" si="4"/>
        <v>326.45024355249006</v>
      </c>
      <c r="X9" s="535">
        <f t="shared" si="4"/>
        <v>99.726649732041551</v>
      </c>
      <c r="Y9" s="535">
        <f t="shared" si="4"/>
        <v>146.84457118404862</v>
      </c>
      <c r="Z9" s="535">
        <f t="shared" si="4"/>
        <v>157.90037313851462</v>
      </c>
      <c r="AA9" s="535">
        <f t="shared" si="4"/>
        <v>243.42337040043822</v>
      </c>
      <c r="AB9" s="535">
        <f t="shared" si="4"/>
        <v>201.0346494774185</v>
      </c>
      <c r="AC9" s="535">
        <f t="shared" si="4"/>
        <v>258.65705905909454</v>
      </c>
      <c r="AD9" s="535">
        <f t="shared" si="4"/>
        <v>237.65198786809742</v>
      </c>
      <c r="AE9" s="535">
        <f t="shared" si="4"/>
        <v>204.94382679473165</v>
      </c>
      <c r="AF9" s="535"/>
      <c r="AG9" s="535">
        <f t="shared" ref="AG9:AT9" si="5">AG6-AG7</f>
        <v>0</v>
      </c>
      <c r="AH9" s="535">
        <f t="shared" si="5"/>
        <v>0</v>
      </c>
      <c r="AI9" s="535">
        <f t="shared" si="5"/>
        <v>0</v>
      </c>
      <c r="AJ9" s="535">
        <f t="shared" si="5"/>
        <v>0</v>
      </c>
      <c r="AK9" s="535">
        <f t="shared" si="5"/>
        <v>0</v>
      </c>
      <c r="AL9" s="535">
        <f t="shared" si="5"/>
        <v>0</v>
      </c>
      <c r="AM9" s="535">
        <f t="shared" si="5"/>
        <v>0</v>
      </c>
      <c r="AN9" s="535">
        <f t="shared" si="5"/>
        <v>0</v>
      </c>
      <c r="AO9" s="553">
        <f t="shared" si="5"/>
        <v>0</v>
      </c>
      <c r="AP9" s="535">
        <f t="shared" si="5"/>
        <v>326.45024355248461</v>
      </c>
      <c r="AQ9" s="535">
        <f t="shared" si="5"/>
        <v>246.57122091608471</v>
      </c>
      <c r="AR9" s="535">
        <f t="shared" si="5"/>
        <v>401.32374353895284</v>
      </c>
      <c r="AS9" s="535">
        <f t="shared" si="5"/>
        <v>459.69170853651667</v>
      </c>
      <c r="AT9" s="535">
        <f t="shared" si="5"/>
        <v>442.59581466283271</v>
      </c>
      <c r="AV9" s="540"/>
      <c r="AW9" s="521"/>
      <c r="AX9" s="543"/>
    </row>
    <row r="10" spans="1:50">
      <c r="C10" s="522"/>
      <c r="D10" s="535"/>
      <c r="E10" s="535"/>
      <c r="F10" s="535"/>
      <c r="G10" s="535"/>
      <c r="H10" s="535"/>
      <c r="I10" s="535"/>
      <c r="J10" s="535"/>
      <c r="K10" s="535"/>
      <c r="L10" s="535"/>
      <c r="M10" s="535"/>
      <c r="N10" s="535"/>
      <c r="O10" s="535"/>
      <c r="P10" s="535"/>
      <c r="Q10" s="535"/>
      <c r="R10" s="535"/>
      <c r="S10" s="535"/>
      <c r="T10" s="535"/>
      <c r="U10" s="535"/>
      <c r="V10" s="553"/>
      <c r="W10" s="535"/>
      <c r="X10" s="535"/>
      <c r="Y10" s="535"/>
      <c r="Z10" s="535"/>
      <c r="AA10" s="535"/>
      <c r="AB10" s="535"/>
      <c r="AC10" s="535"/>
      <c r="AD10" s="535"/>
      <c r="AE10" s="535"/>
      <c r="AF10" s="535"/>
      <c r="AG10" s="535"/>
      <c r="AH10" s="535"/>
      <c r="AI10" s="535"/>
      <c r="AJ10" s="535"/>
      <c r="AK10" s="535"/>
      <c r="AL10" s="535"/>
      <c r="AM10" s="535"/>
      <c r="AN10" s="535"/>
      <c r="AO10" s="535"/>
      <c r="AP10" s="535"/>
      <c r="AQ10" s="535"/>
      <c r="AR10" s="535"/>
      <c r="AS10" s="535"/>
      <c r="AT10" s="535"/>
      <c r="AV10" s="540" t="s">
        <v>1914</v>
      </c>
      <c r="AW10" s="521" t="s">
        <v>1909</v>
      </c>
      <c r="AX10" s="541">
        <f>C179</f>
        <v>215.70838275851472</v>
      </c>
    </row>
    <row r="11" spans="1:50">
      <c r="B11" s="525" t="s">
        <v>1919</v>
      </c>
      <c r="C11" s="522"/>
      <c r="D11" s="535"/>
      <c r="E11" s="535"/>
      <c r="F11" s="535"/>
      <c r="G11" s="535"/>
      <c r="H11" s="535"/>
      <c r="I11" s="535"/>
      <c r="J11" s="535"/>
      <c r="K11" s="535"/>
      <c r="L11" s="535"/>
      <c r="M11" s="535"/>
      <c r="N11" s="535"/>
      <c r="O11" s="535"/>
      <c r="P11" s="535"/>
      <c r="Q11" s="535"/>
      <c r="R11" s="535"/>
      <c r="S11" s="535"/>
      <c r="T11" s="535"/>
      <c r="U11" s="535"/>
      <c r="V11" s="553"/>
      <c r="W11" s="535"/>
      <c r="X11" s="535"/>
      <c r="Y11" s="535"/>
      <c r="Z11" s="535"/>
      <c r="AA11" s="535"/>
      <c r="AB11" s="535"/>
      <c r="AC11" s="535"/>
      <c r="AD11" s="535"/>
      <c r="AE11" s="535"/>
      <c r="AF11" s="535"/>
      <c r="AG11" s="535"/>
      <c r="AH11" s="535"/>
      <c r="AI11" s="535"/>
      <c r="AJ11" s="535"/>
      <c r="AK11" s="535"/>
      <c r="AL11" s="535"/>
      <c r="AM11" s="535"/>
      <c r="AN11" s="535"/>
      <c r="AO11" s="535"/>
      <c r="AP11" s="535"/>
      <c r="AQ11" s="535"/>
      <c r="AR11" s="535"/>
      <c r="AS11" s="535"/>
      <c r="AT11" s="535"/>
      <c r="AV11" s="540"/>
      <c r="AW11" s="521" t="s">
        <v>1878</v>
      </c>
      <c r="AX11" s="541">
        <f>C226</f>
        <v>0</v>
      </c>
    </row>
    <row r="12" spans="1:50">
      <c r="C12" s="521" t="s">
        <v>1877</v>
      </c>
      <c r="D12" s="535">
        <f>D176</f>
        <v>1050</v>
      </c>
      <c r="E12" s="535">
        <f t="shared" ref="E12:AT12" si="6">E176</f>
        <v>1167</v>
      </c>
      <c r="F12" s="535">
        <f t="shared" si="6"/>
        <v>1248</v>
      </c>
      <c r="G12" s="535">
        <f t="shared" si="6"/>
        <v>1309</v>
      </c>
      <c r="H12" s="535">
        <f t="shared" si="6"/>
        <v>1310</v>
      </c>
      <c r="I12" s="535">
        <f t="shared" si="6"/>
        <v>1672</v>
      </c>
      <c r="J12" s="535">
        <f t="shared" si="6"/>
        <v>1457</v>
      </c>
      <c r="K12" s="535">
        <f t="shared" si="6"/>
        <v>1274</v>
      </c>
      <c r="L12" s="535">
        <f t="shared" si="6"/>
        <v>985</v>
      </c>
      <c r="M12" s="535">
        <f t="shared" si="6"/>
        <v>2030</v>
      </c>
      <c r="N12" s="535">
        <f t="shared" si="6"/>
        <v>2043</v>
      </c>
      <c r="O12" s="535">
        <f t="shared" si="6"/>
        <v>2663</v>
      </c>
      <c r="P12" s="535">
        <f t="shared" si="6"/>
        <v>2305</v>
      </c>
      <c r="Q12" s="535">
        <f t="shared" si="6"/>
        <v>2877</v>
      </c>
      <c r="R12" s="535">
        <f t="shared" si="6"/>
        <v>1415</v>
      </c>
      <c r="S12" s="535">
        <f t="shared" si="6"/>
        <v>2107</v>
      </c>
      <c r="T12" s="535">
        <f t="shared" si="6"/>
        <v>1612</v>
      </c>
      <c r="U12" s="535">
        <f t="shared" si="6"/>
        <v>2103</v>
      </c>
      <c r="V12" s="535">
        <f t="shared" si="6"/>
        <v>1655</v>
      </c>
      <c r="W12" s="535">
        <f t="shared" si="6"/>
        <v>2499.8880561614696</v>
      </c>
      <c r="X12" s="535">
        <f t="shared" si="6"/>
        <v>2129.0899562069253</v>
      </c>
      <c r="Y12" s="535">
        <f t="shared" si="6"/>
        <v>2461.2437233183127</v>
      </c>
      <c r="Z12" s="535">
        <f t="shared" si="6"/>
        <v>2321.5542131990633</v>
      </c>
      <c r="AA12" s="535">
        <f t="shared" si="6"/>
        <v>2753.611305163</v>
      </c>
      <c r="AB12" s="535">
        <f t="shared" si="6"/>
        <v>2484.7365758583487</v>
      </c>
      <c r="AC12" s="535">
        <f t="shared" si="6"/>
        <v>2902.7994681305609</v>
      </c>
      <c r="AD12" s="535">
        <f t="shared" si="6"/>
        <v>2650.9191845037622</v>
      </c>
      <c r="AE12" s="535">
        <f t="shared" si="6"/>
        <v>3010.9542581523465</v>
      </c>
      <c r="AF12" s="535">
        <f t="shared" si="6"/>
        <v>0</v>
      </c>
      <c r="AG12" s="535">
        <f t="shared" si="6"/>
        <v>2217</v>
      </c>
      <c r="AH12" s="535">
        <f t="shared" si="6"/>
        <v>2557</v>
      </c>
      <c r="AI12" s="535">
        <f t="shared" si="6"/>
        <v>2982</v>
      </c>
      <c r="AJ12" s="535">
        <f t="shared" si="6"/>
        <v>2731</v>
      </c>
      <c r="AK12" s="535">
        <f t="shared" si="6"/>
        <v>3015</v>
      </c>
      <c r="AL12" s="535">
        <f t="shared" si="6"/>
        <v>4706</v>
      </c>
      <c r="AM12" s="535">
        <f t="shared" si="6"/>
        <v>5182</v>
      </c>
      <c r="AN12" s="535">
        <f t="shared" si="6"/>
        <v>3522</v>
      </c>
      <c r="AO12" s="535">
        <f t="shared" si="6"/>
        <v>3715</v>
      </c>
      <c r="AP12" s="535">
        <f t="shared" si="6"/>
        <v>4154.8880561614706</v>
      </c>
      <c r="AQ12" s="535">
        <f t="shared" si="6"/>
        <v>4590.333679525238</v>
      </c>
      <c r="AR12" s="535">
        <f t="shared" si="6"/>
        <v>5075.1655183620624</v>
      </c>
      <c r="AS12" s="535">
        <f t="shared" si="6"/>
        <v>5387.5360439889146</v>
      </c>
      <c r="AT12" s="535">
        <f t="shared" si="6"/>
        <v>5661.8734426561086</v>
      </c>
      <c r="AV12" s="540"/>
      <c r="AW12" s="521" t="s">
        <v>1879</v>
      </c>
      <c r="AX12" s="542" t="e">
        <f>AX10/AX11-1</f>
        <v>#DIV/0!</v>
      </c>
    </row>
    <row r="13" spans="1:50">
      <c r="C13" s="521" t="s">
        <v>1878</v>
      </c>
      <c r="D13" s="535">
        <f>D223</f>
        <v>1050</v>
      </c>
      <c r="E13" s="535">
        <f t="shared" ref="E13:AT13" si="7">E223</f>
        <v>1167</v>
      </c>
      <c r="F13" s="535">
        <f t="shared" si="7"/>
        <v>1248</v>
      </c>
      <c r="G13" s="535">
        <f t="shared" si="7"/>
        <v>1309</v>
      </c>
      <c r="H13" s="535">
        <f t="shared" si="7"/>
        <v>1310</v>
      </c>
      <c r="I13" s="535">
        <f t="shared" si="7"/>
        <v>1672</v>
      </c>
      <c r="J13" s="535">
        <f t="shared" si="7"/>
        <v>1457</v>
      </c>
      <c r="K13" s="535">
        <f t="shared" si="7"/>
        <v>1274</v>
      </c>
      <c r="L13" s="535">
        <f t="shared" si="7"/>
        <v>985</v>
      </c>
      <c r="M13" s="535">
        <f t="shared" si="7"/>
        <v>2030</v>
      </c>
      <c r="N13" s="535">
        <f t="shared" si="7"/>
        <v>2043</v>
      </c>
      <c r="O13" s="535">
        <f t="shared" si="7"/>
        <v>2663</v>
      </c>
      <c r="P13" s="535">
        <f t="shared" si="7"/>
        <v>2305</v>
      </c>
      <c r="Q13" s="535">
        <f t="shared" si="7"/>
        <v>2877</v>
      </c>
      <c r="R13" s="535">
        <f t="shared" si="7"/>
        <v>1415</v>
      </c>
      <c r="S13" s="535">
        <f t="shared" si="7"/>
        <v>2107</v>
      </c>
      <c r="T13" s="535">
        <f t="shared" si="7"/>
        <v>1612</v>
      </c>
      <c r="U13" s="535">
        <f t="shared" si="7"/>
        <v>2103</v>
      </c>
      <c r="V13" s="535">
        <f t="shared" si="7"/>
        <v>1655</v>
      </c>
      <c r="W13" s="535">
        <f t="shared" si="7"/>
        <v>2533.9297868946937</v>
      </c>
      <c r="X13" s="535">
        <f t="shared" si="7"/>
        <v>2059.2813013944969</v>
      </c>
      <c r="Y13" s="535">
        <f t="shared" si="7"/>
        <v>2348.1734035065929</v>
      </c>
      <c r="Z13" s="535">
        <f t="shared" si="7"/>
        <v>2211.0239520021032</v>
      </c>
      <c r="AA13" s="535">
        <f t="shared" si="7"/>
        <v>2566.1753099546604</v>
      </c>
      <c r="AB13" s="535">
        <f t="shared" si="7"/>
        <v>2344.0123212241538</v>
      </c>
      <c r="AC13" s="535">
        <f t="shared" si="7"/>
        <v>2703.6335326550557</v>
      </c>
      <c r="AD13" s="535">
        <f t="shared" si="7"/>
        <v>2484.5627929960929</v>
      </c>
      <c r="AE13" s="535">
        <f t="shared" si="7"/>
        <v>2853.1475115203998</v>
      </c>
      <c r="AF13" s="535">
        <f t="shared" si="7"/>
        <v>0</v>
      </c>
      <c r="AG13" s="535">
        <f t="shared" si="7"/>
        <v>2217</v>
      </c>
      <c r="AH13" s="535">
        <f t="shared" si="7"/>
        <v>2557</v>
      </c>
      <c r="AI13" s="535">
        <f t="shared" si="7"/>
        <v>2982</v>
      </c>
      <c r="AJ13" s="535">
        <f t="shared" si="7"/>
        <v>2731</v>
      </c>
      <c r="AK13" s="535">
        <f t="shared" si="7"/>
        <v>3015</v>
      </c>
      <c r="AL13" s="535">
        <f t="shared" si="7"/>
        <v>4706</v>
      </c>
      <c r="AM13" s="535">
        <f t="shared" si="7"/>
        <v>5182</v>
      </c>
      <c r="AN13" s="535">
        <f t="shared" si="7"/>
        <v>3522</v>
      </c>
      <c r="AO13" s="535">
        <f t="shared" si="7"/>
        <v>3715</v>
      </c>
      <c r="AP13" s="535">
        <f t="shared" si="7"/>
        <v>4188.9297868946987</v>
      </c>
      <c r="AQ13" s="535">
        <f t="shared" si="7"/>
        <v>4407.4547049010944</v>
      </c>
      <c r="AR13" s="535">
        <f t="shared" si="7"/>
        <v>4777.1992619567645</v>
      </c>
      <c r="AS13" s="535">
        <f t="shared" si="7"/>
        <v>5047.6458538792122</v>
      </c>
      <c r="AT13" s="535">
        <f t="shared" si="7"/>
        <v>5337.7103045164895</v>
      </c>
      <c r="AV13" s="540"/>
      <c r="AW13" s="521"/>
      <c r="AX13" s="543"/>
    </row>
    <row r="14" spans="1:50">
      <c r="C14" s="522" t="s">
        <v>1879</v>
      </c>
      <c r="D14" s="534">
        <f>D12/D13-1</f>
        <v>0</v>
      </c>
      <c r="E14" s="534">
        <f t="shared" ref="E14:AE14" si="8">E12/E13-1</f>
        <v>0</v>
      </c>
      <c r="F14" s="534">
        <f t="shared" si="8"/>
        <v>0</v>
      </c>
      <c r="G14" s="534">
        <f t="shared" si="8"/>
        <v>0</v>
      </c>
      <c r="H14" s="534">
        <f t="shared" si="8"/>
        <v>0</v>
      </c>
      <c r="I14" s="534">
        <f t="shared" si="8"/>
        <v>0</v>
      </c>
      <c r="J14" s="534">
        <f t="shared" si="8"/>
        <v>0</v>
      </c>
      <c r="K14" s="534">
        <f t="shared" si="8"/>
        <v>0</v>
      </c>
      <c r="L14" s="534">
        <f t="shared" si="8"/>
        <v>0</v>
      </c>
      <c r="M14" s="534">
        <f t="shared" si="8"/>
        <v>0</v>
      </c>
      <c r="N14" s="534">
        <f t="shared" si="8"/>
        <v>0</v>
      </c>
      <c r="O14" s="534">
        <f t="shared" si="8"/>
        <v>0</v>
      </c>
      <c r="P14" s="534">
        <f t="shared" si="8"/>
        <v>0</v>
      </c>
      <c r="Q14" s="534">
        <f t="shared" si="8"/>
        <v>0</v>
      </c>
      <c r="R14" s="534">
        <f t="shared" si="8"/>
        <v>0</v>
      </c>
      <c r="S14" s="534">
        <f t="shared" si="8"/>
        <v>0</v>
      </c>
      <c r="T14" s="534">
        <f t="shared" si="8"/>
        <v>0</v>
      </c>
      <c r="U14" s="534">
        <f t="shared" si="8"/>
        <v>0</v>
      </c>
      <c r="V14" s="552">
        <f t="shared" si="8"/>
        <v>0</v>
      </c>
      <c r="W14" s="534">
        <f t="shared" si="8"/>
        <v>-1.3434362273684775E-2</v>
      </c>
      <c r="X14" s="534">
        <f t="shared" si="8"/>
        <v>3.3899523472172399E-2</v>
      </c>
      <c r="Y14" s="534">
        <f t="shared" si="8"/>
        <v>4.8152457413438432E-2</v>
      </c>
      <c r="Z14" s="534">
        <f t="shared" si="8"/>
        <v>4.9990530901700136E-2</v>
      </c>
      <c r="AA14" s="534">
        <f t="shared" si="8"/>
        <v>7.3040993918553232E-2</v>
      </c>
      <c r="AB14" s="534">
        <f t="shared" si="8"/>
        <v>6.0035629232828569E-2</v>
      </c>
      <c r="AC14" s="534">
        <f t="shared" si="8"/>
        <v>7.3666025025188153E-2</v>
      </c>
      <c r="AD14" s="534">
        <f t="shared" si="8"/>
        <v>6.6956002068703224E-2</v>
      </c>
      <c r="AE14" s="534">
        <f t="shared" si="8"/>
        <v>5.5309704806623783E-2</v>
      </c>
      <c r="AF14" s="534"/>
      <c r="AG14" s="534">
        <f t="shared" ref="AG14:AT14" si="9">AG12/AG13-1</f>
        <v>0</v>
      </c>
      <c r="AH14" s="534">
        <f t="shared" si="9"/>
        <v>0</v>
      </c>
      <c r="AI14" s="534">
        <f t="shared" si="9"/>
        <v>0</v>
      </c>
      <c r="AJ14" s="534">
        <f t="shared" si="9"/>
        <v>0</v>
      </c>
      <c r="AK14" s="534">
        <f t="shared" si="9"/>
        <v>0</v>
      </c>
      <c r="AL14" s="534">
        <f t="shared" si="9"/>
        <v>0</v>
      </c>
      <c r="AM14" s="534">
        <f t="shared" si="9"/>
        <v>0</v>
      </c>
      <c r="AN14" s="534">
        <f t="shared" si="9"/>
        <v>0</v>
      </c>
      <c r="AO14" s="552">
        <f t="shared" si="9"/>
        <v>0</v>
      </c>
      <c r="AP14" s="534">
        <f t="shared" si="9"/>
        <v>-8.1265937757489803E-3</v>
      </c>
      <c r="AQ14" s="534">
        <f t="shared" si="9"/>
        <v>4.1493103586698776E-2</v>
      </c>
      <c r="AR14" s="534">
        <f t="shared" si="9"/>
        <v>6.2372582776304197E-2</v>
      </c>
      <c r="AS14" s="534">
        <f t="shared" si="9"/>
        <v>6.7336378174885247E-2</v>
      </c>
      <c r="AT14" s="534">
        <f t="shared" si="9"/>
        <v>6.0730747763761084E-2</v>
      </c>
      <c r="AV14" s="540" t="s">
        <v>1910</v>
      </c>
      <c r="AW14" s="521" t="s">
        <v>1909</v>
      </c>
      <c r="AX14" s="541">
        <f>C180</f>
        <v>227.03891908280499</v>
      </c>
    </row>
    <row r="15" spans="1:50">
      <c r="C15" s="522" t="s">
        <v>1880</v>
      </c>
      <c r="D15" s="535">
        <f>D12-D13</f>
        <v>0</v>
      </c>
      <c r="E15" s="535">
        <f t="shared" ref="E15:AE15" si="10">E12-E13</f>
        <v>0</v>
      </c>
      <c r="F15" s="535">
        <f t="shared" si="10"/>
        <v>0</v>
      </c>
      <c r="G15" s="535">
        <f t="shared" si="10"/>
        <v>0</v>
      </c>
      <c r="H15" s="535">
        <f t="shared" si="10"/>
        <v>0</v>
      </c>
      <c r="I15" s="535">
        <f t="shared" si="10"/>
        <v>0</v>
      </c>
      <c r="J15" s="535">
        <f t="shared" si="10"/>
        <v>0</v>
      </c>
      <c r="K15" s="535">
        <f t="shared" si="10"/>
        <v>0</v>
      </c>
      <c r="L15" s="535">
        <f t="shared" si="10"/>
        <v>0</v>
      </c>
      <c r="M15" s="535">
        <f t="shared" si="10"/>
        <v>0</v>
      </c>
      <c r="N15" s="535">
        <f t="shared" si="10"/>
        <v>0</v>
      </c>
      <c r="O15" s="535">
        <f t="shared" si="10"/>
        <v>0</v>
      </c>
      <c r="P15" s="535">
        <f t="shared" si="10"/>
        <v>0</v>
      </c>
      <c r="Q15" s="535">
        <f t="shared" si="10"/>
        <v>0</v>
      </c>
      <c r="R15" s="535">
        <f t="shared" si="10"/>
        <v>0</v>
      </c>
      <c r="S15" s="535">
        <f t="shared" si="10"/>
        <v>0</v>
      </c>
      <c r="T15" s="535">
        <f t="shared" si="10"/>
        <v>0</v>
      </c>
      <c r="U15" s="535">
        <f t="shared" si="10"/>
        <v>0</v>
      </c>
      <c r="V15" s="553">
        <f t="shared" si="10"/>
        <v>0</v>
      </c>
      <c r="W15" s="535">
        <f t="shared" si="10"/>
        <v>-34.041730733224085</v>
      </c>
      <c r="X15" s="535">
        <f t="shared" si="10"/>
        <v>69.808654812428358</v>
      </c>
      <c r="Y15" s="535">
        <f t="shared" si="10"/>
        <v>113.07031981171986</v>
      </c>
      <c r="Z15" s="535">
        <f t="shared" si="10"/>
        <v>110.53026119696005</v>
      </c>
      <c r="AA15" s="535">
        <f t="shared" si="10"/>
        <v>187.43599520833959</v>
      </c>
      <c r="AB15" s="535">
        <f t="shared" si="10"/>
        <v>140.72425463419495</v>
      </c>
      <c r="AC15" s="535">
        <f t="shared" si="10"/>
        <v>199.16593547550519</v>
      </c>
      <c r="AD15" s="535">
        <f t="shared" si="10"/>
        <v>166.35639150766929</v>
      </c>
      <c r="AE15" s="535">
        <f t="shared" si="10"/>
        <v>157.80674663194668</v>
      </c>
      <c r="AF15" s="535"/>
      <c r="AG15" s="535">
        <f t="shared" ref="AG15:AT15" si="11">AG12-AG13</f>
        <v>0</v>
      </c>
      <c r="AH15" s="535">
        <f t="shared" si="11"/>
        <v>0</v>
      </c>
      <c r="AI15" s="535">
        <f t="shared" si="11"/>
        <v>0</v>
      </c>
      <c r="AJ15" s="535">
        <f t="shared" si="11"/>
        <v>0</v>
      </c>
      <c r="AK15" s="535">
        <f t="shared" si="11"/>
        <v>0</v>
      </c>
      <c r="AL15" s="535">
        <f t="shared" si="11"/>
        <v>0</v>
      </c>
      <c r="AM15" s="535">
        <f t="shared" si="11"/>
        <v>0</v>
      </c>
      <c r="AN15" s="535">
        <f t="shared" si="11"/>
        <v>0</v>
      </c>
      <c r="AO15" s="553">
        <f t="shared" si="11"/>
        <v>0</v>
      </c>
      <c r="AP15" s="535">
        <f t="shared" si="11"/>
        <v>-34.041730733228178</v>
      </c>
      <c r="AQ15" s="535">
        <f t="shared" si="11"/>
        <v>182.87897462414367</v>
      </c>
      <c r="AR15" s="535">
        <f t="shared" si="11"/>
        <v>297.96625640529783</v>
      </c>
      <c r="AS15" s="535">
        <f t="shared" si="11"/>
        <v>339.89019010970242</v>
      </c>
      <c r="AT15" s="535">
        <f t="shared" si="11"/>
        <v>324.16313813961915</v>
      </c>
      <c r="AV15" s="540"/>
      <c r="AW15" s="521" t="s">
        <v>1878</v>
      </c>
      <c r="AX15" s="541">
        <f>C227</f>
        <v>0</v>
      </c>
    </row>
    <row r="16" spans="1:50">
      <c r="B16" s="524"/>
      <c r="V16" s="550"/>
      <c r="AV16" s="544"/>
      <c r="AW16" s="545" t="s">
        <v>1879</v>
      </c>
      <c r="AX16" s="546" t="e">
        <f>AX14/AX15-1</f>
        <v>#DIV/0!</v>
      </c>
    </row>
    <row r="17" spans="2:46">
      <c r="B17" s="525" t="s">
        <v>1874</v>
      </c>
      <c r="V17" s="550"/>
      <c r="AO17" s="550"/>
    </row>
    <row r="18" spans="2:46">
      <c r="B18" t="s">
        <v>1897</v>
      </c>
      <c r="C18" s="521" t="s">
        <v>1877</v>
      </c>
      <c r="D18" s="531">
        <f>D140</f>
        <v>790</v>
      </c>
      <c r="E18" s="531">
        <f t="shared" ref="E18:AT18" si="12">E140</f>
        <v>784</v>
      </c>
      <c r="F18" s="531">
        <f t="shared" si="12"/>
        <v>775</v>
      </c>
      <c r="G18" s="531">
        <f t="shared" si="12"/>
        <v>793</v>
      </c>
      <c r="H18" s="531">
        <f t="shared" si="12"/>
        <v>879</v>
      </c>
      <c r="I18" s="531">
        <f t="shared" si="12"/>
        <v>899</v>
      </c>
      <c r="J18" s="531">
        <f t="shared" si="12"/>
        <v>950</v>
      </c>
      <c r="K18" s="531">
        <f t="shared" si="12"/>
        <v>1071</v>
      </c>
      <c r="L18" s="531">
        <f t="shared" si="12"/>
        <v>971</v>
      </c>
      <c r="M18" s="531">
        <f t="shared" si="12"/>
        <v>1014</v>
      </c>
      <c r="N18" s="531">
        <f t="shared" si="12"/>
        <v>1362</v>
      </c>
      <c r="O18" s="531">
        <f t="shared" si="12"/>
        <v>1409</v>
      </c>
      <c r="P18" s="531">
        <f t="shared" si="12"/>
        <v>1378</v>
      </c>
      <c r="Q18" s="531">
        <f t="shared" si="12"/>
        <v>1404</v>
      </c>
      <c r="R18" s="531">
        <f t="shared" si="12"/>
        <v>1407</v>
      </c>
      <c r="S18" s="531">
        <f t="shared" si="12"/>
        <v>1467</v>
      </c>
      <c r="T18" s="531">
        <f t="shared" si="12"/>
        <v>1436</v>
      </c>
      <c r="U18" s="531">
        <f t="shared" si="12"/>
        <v>1489</v>
      </c>
      <c r="V18" s="551">
        <f t="shared" si="12"/>
        <v>1465</v>
      </c>
      <c r="W18" s="531">
        <f t="shared" si="12"/>
        <v>1261.0898811034426</v>
      </c>
      <c r="X18" s="531">
        <f t="shared" si="12"/>
        <v>1071.0674896331986</v>
      </c>
      <c r="Y18" s="531">
        <f t="shared" si="12"/>
        <v>1096.2054891695614</v>
      </c>
      <c r="Z18" s="531">
        <f t="shared" si="12"/>
        <v>1115.8909408405034</v>
      </c>
      <c r="AA18" s="531">
        <f t="shared" si="12"/>
        <v>1120.9677286542715</v>
      </c>
      <c r="AB18" s="531">
        <f t="shared" si="12"/>
        <v>1129.6647421037776</v>
      </c>
      <c r="AC18" s="531">
        <f t="shared" si="12"/>
        <v>1125.5679268597075</v>
      </c>
      <c r="AD18" s="531">
        <f t="shared" si="12"/>
        <v>1126.4574300510053</v>
      </c>
      <c r="AE18" s="531">
        <f t="shared" si="12"/>
        <v>1111.9888132019828</v>
      </c>
      <c r="AF18" s="531"/>
      <c r="AG18" s="531">
        <f t="shared" si="12"/>
        <v>1574</v>
      </c>
      <c r="AH18" s="531">
        <f t="shared" si="12"/>
        <v>1568</v>
      </c>
      <c r="AI18" s="531">
        <f t="shared" si="12"/>
        <v>1778</v>
      </c>
      <c r="AJ18" s="531">
        <f t="shared" si="12"/>
        <v>2021</v>
      </c>
      <c r="AK18" s="531">
        <f t="shared" si="12"/>
        <v>1985</v>
      </c>
      <c r="AL18" s="531">
        <f t="shared" si="12"/>
        <v>2771</v>
      </c>
      <c r="AM18" s="531">
        <f t="shared" si="12"/>
        <v>2782</v>
      </c>
      <c r="AN18" s="531">
        <f t="shared" si="12"/>
        <v>2874</v>
      </c>
      <c r="AO18" s="551">
        <f t="shared" si="12"/>
        <v>2925</v>
      </c>
      <c r="AP18" s="531">
        <f t="shared" si="12"/>
        <v>2726.0898811034426</v>
      </c>
      <c r="AQ18" s="531">
        <f t="shared" si="12"/>
        <v>2167.27297880276</v>
      </c>
      <c r="AR18" s="531">
        <f t="shared" si="12"/>
        <v>2236.8586694947753</v>
      </c>
      <c r="AS18" s="531">
        <f t="shared" si="12"/>
        <v>2255.2326689634851</v>
      </c>
      <c r="AT18" s="531">
        <f t="shared" si="12"/>
        <v>2238.4462432529881</v>
      </c>
    </row>
    <row r="19" spans="2:46">
      <c r="C19" s="521" t="s">
        <v>1878</v>
      </c>
      <c r="D19" s="531">
        <f>D187</f>
        <v>790</v>
      </c>
      <c r="E19" s="531">
        <f t="shared" ref="E19:AT19" si="13">E187</f>
        <v>784</v>
      </c>
      <c r="F19" s="531">
        <f t="shared" si="13"/>
        <v>775</v>
      </c>
      <c r="G19" s="531">
        <f t="shared" si="13"/>
        <v>793</v>
      </c>
      <c r="H19" s="531">
        <f t="shared" si="13"/>
        <v>879</v>
      </c>
      <c r="I19" s="531">
        <f t="shared" si="13"/>
        <v>899</v>
      </c>
      <c r="J19" s="531">
        <f t="shared" si="13"/>
        <v>950</v>
      </c>
      <c r="K19" s="531">
        <f t="shared" si="13"/>
        <v>1071</v>
      </c>
      <c r="L19" s="531">
        <f t="shared" si="13"/>
        <v>971</v>
      </c>
      <c r="M19" s="531">
        <f t="shared" si="13"/>
        <v>1014</v>
      </c>
      <c r="N19" s="531">
        <f t="shared" si="13"/>
        <v>1362</v>
      </c>
      <c r="O19" s="531">
        <f t="shared" si="13"/>
        <v>1409</v>
      </c>
      <c r="P19" s="531">
        <f t="shared" si="13"/>
        <v>1378</v>
      </c>
      <c r="Q19" s="531">
        <f t="shared" si="13"/>
        <v>1404</v>
      </c>
      <c r="R19" s="531">
        <f t="shared" si="13"/>
        <v>1407</v>
      </c>
      <c r="S19" s="531">
        <f t="shared" si="13"/>
        <v>1467</v>
      </c>
      <c r="T19" s="531">
        <f t="shared" si="13"/>
        <v>1436</v>
      </c>
      <c r="U19" s="531">
        <f t="shared" si="13"/>
        <v>1489</v>
      </c>
      <c r="V19" s="551">
        <f t="shared" si="13"/>
        <v>1465</v>
      </c>
      <c r="W19" s="531">
        <f t="shared" si="13"/>
        <v>1261.0898811034426</v>
      </c>
      <c r="X19" s="531">
        <f t="shared" si="13"/>
        <v>1071.0674896331986</v>
      </c>
      <c r="Y19" s="531">
        <f t="shared" si="13"/>
        <v>1096.2054891695614</v>
      </c>
      <c r="Z19" s="531">
        <f t="shared" si="13"/>
        <v>1115.8909408405034</v>
      </c>
      <c r="AA19" s="531">
        <f t="shared" si="13"/>
        <v>1120.9677286542715</v>
      </c>
      <c r="AB19" s="531">
        <f t="shared" si="13"/>
        <v>1129.6647421037776</v>
      </c>
      <c r="AC19" s="531">
        <f t="shared" si="13"/>
        <v>1125.5679268597075</v>
      </c>
      <c r="AD19" s="531">
        <f t="shared" si="13"/>
        <v>1126.4574300510053</v>
      </c>
      <c r="AE19" s="531">
        <f t="shared" si="13"/>
        <v>1111.9888132019828</v>
      </c>
      <c r="AF19" s="531"/>
      <c r="AG19" s="531">
        <f t="shared" si="13"/>
        <v>1574</v>
      </c>
      <c r="AH19" s="531">
        <f t="shared" si="13"/>
        <v>1568</v>
      </c>
      <c r="AI19" s="531">
        <f t="shared" si="13"/>
        <v>1778</v>
      </c>
      <c r="AJ19" s="531">
        <f t="shared" si="13"/>
        <v>2021</v>
      </c>
      <c r="AK19" s="531">
        <f t="shared" si="13"/>
        <v>1985</v>
      </c>
      <c r="AL19" s="531">
        <f t="shared" si="13"/>
        <v>2771</v>
      </c>
      <c r="AM19" s="531">
        <f t="shared" si="13"/>
        <v>2782</v>
      </c>
      <c r="AN19" s="531">
        <f t="shared" si="13"/>
        <v>2874</v>
      </c>
      <c r="AO19" s="551">
        <f t="shared" si="13"/>
        <v>2925</v>
      </c>
      <c r="AP19" s="531">
        <f>AP187</f>
        <v>2726.0898811034426</v>
      </c>
      <c r="AQ19" s="531">
        <f t="shared" si="13"/>
        <v>2167.27297880276</v>
      </c>
      <c r="AR19" s="531">
        <f t="shared" si="13"/>
        <v>2236.8586694947753</v>
      </c>
      <c r="AS19" s="531">
        <f t="shared" si="13"/>
        <v>2255.2326689634851</v>
      </c>
      <c r="AT19" s="531">
        <f t="shared" si="13"/>
        <v>2238.4462432529881</v>
      </c>
    </row>
    <row r="20" spans="2:46">
      <c r="C20" s="522" t="s">
        <v>1879</v>
      </c>
      <c r="D20" s="534">
        <f>D18/D19-1</f>
        <v>0</v>
      </c>
      <c r="E20" s="534">
        <f t="shared" ref="E20:AT20" si="14">E18/E19-1</f>
        <v>0</v>
      </c>
      <c r="F20" s="534">
        <f t="shared" si="14"/>
        <v>0</v>
      </c>
      <c r="G20" s="534">
        <f t="shared" si="14"/>
        <v>0</v>
      </c>
      <c r="H20" s="534">
        <f t="shared" si="14"/>
        <v>0</v>
      </c>
      <c r="I20" s="534">
        <f t="shared" si="14"/>
        <v>0</v>
      </c>
      <c r="J20" s="534">
        <f t="shared" si="14"/>
        <v>0</v>
      </c>
      <c r="K20" s="534">
        <f t="shared" si="14"/>
        <v>0</v>
      </c>
      <c r="L20" s="534">
        <f t="shared" si="14"/>
        <v>0</v>
      </c>
      <c r="M20" s="534">
        <f t="shared" si="14"/>
        <v>0</v>
      </c>
      <c r="N20" s="534">
        <f t="shared" si="14"/>
        <v>0</v>
      </c>
      <c r="O20" s="534">
        <f t="shared" si="14"/>
        <v>0</v>
      </c>
      <c r="P20" s="534">
        <f t="shared" si="14"/>
        <v>0</v>
      </c>
      <c r="Q20" s="534">
        <f t="shared" si="14"/>
        <v>0</v>
      </c>
      <c r="R20" s="534">
        <f t="shared" si="14"/>
        <v>0</v>
      </c>
      <c r="S20" s="534">
        <f t="shared" si="14"/>
        <v>0</v>
      </c>
      <c r="T20" s="534">
        <f t="shared" si="14"/>
        <v>0</v>
      </c>
      <c r="U20" s="534">
        <f t="shared" si="14"/>
        <v>0</v>
      </c>
      <c r="V20" s="552">
        <f t="shared" si="14"/>
        <v>0</v>
      </c>
      <c r="W20" s="534">
        <f t="shared" si="14"/>
        <v>0</v>
      </c>
      <c r="X20" s="534">
        <f t="shared" si="14"/>
        <v>0</v>
      </c>
      <c r="Y20" s="534">
        <f t="shared" si="14"/>
        <v>0</v>
      </c>
      <c r="Z20" s="534">
        <f t="shared" si="14"/>
        <v>0</v>
      </c>
      <c r="AA20" s="534">
        <f t="shared" si="14"/>
        <v>0</v>
      </c>
      <c r="AB20" s="534">
        <f t="shared" si="14"/>
        <v>0</v>
      </c>
      <c r="AC20" s="534">
        <f t="shared" si="14"/>
        <v>0</v>
      </c>
      <c r="AD20" s="534">
        <f t="shared" si="14"/>
        <v>0</v>
      </c>
      <c r="AE20" s="534">
        <f t="shared" si="14"/>
        <v>0</v>
      </c>
      <c r="AF20" s="534"/>
      <c r="AG20" s="534">
        <f t="shared" si="14"/>
        <v>0</v>
      </c>
      <c r="AH20" s="534">
        <f t="shared" si="14"/>
        <v>0</v>
      </c>
      <c r="AI20" s="534">
        <f t="shared" si="14"/>
        <v>0</v>
      </c>
      <c r="AJ20" s="534">
        <f t="shared" si="14"/>
        <v>0</v>
      </c>
      <c r="AK20" s="534">
        <f t="shared" si="14"/>
        <v>0</v>
      </c>
      <c r="AL20" s="534">
        <f t="shared" si="14"/>
        <v>0</v>
      </c>
      <c r="AM20" s="534">
        <f t="shared" si="14"/>
        <v>0</v>
      </c>
      <c r="AN20" s="534">
        <f t="shared" si="14"/>
        <v>0</v>
      </c>
      <c r="AO20" s="552">
        <f t="shared" si="14"/>
        <v>0</v>
      </c>
      <c r="AP20" s="534">
        <f t="shared" si="14"/>
        <v>0</v>
      </c>
      <c r="AQ20" s="534">
        <f t="shared" si="14"/>
        <v>0</v>
      </c>
      <c r="AR20" s="534">
        <f t="shared" si="14"/>
        <v>0</v>
      </c>
      <c r="AS20" s="534">
        <f t="shared" si="14"/>
        <v>0</v>
      </c>
      <c r="AT20" s="534">
        <f t="shared" si="14"/>
        <v>0</v>
      </c>
    </row>
    <row r="21" spans="2:46">
      <c r="C21" s="522" t="s">
        <v>1880</v>
      </c>
      <c r="D21" s="535">
        <f>D18-D19</f>
        <v>0</v>
      </c>
      <c r="E21" s="535">
        <f t="shared" ref="E21:AT21" si="15">E18-E19</f>
        <v>0</v>
      </c>
      <c r="F21" s="535">
        <f t="shared" si="15"/>
        <v>0</v>
      </c>
      <c r="G21" s="535">
        <f t="shared" si="15"/>
        <v>0</v>
      </c>
      <c r="H21" s="535">
        <f t="shared" si="15"/>
        <v>0</v>
      </c>
      <c r="I21" s="535">
        <f t="shared" si="15"/>
        <v>0</v>
      </c>
      <c r="J21" s="535">
        <f t="shared" si="15"/>
        <v>0</v>
      </c>
      <c r="K21" s="535">
        <f t="shared" si="15"/>
        <v>0</v>
      </c>
      <c r="L21" s="535">
        <f t="shared" si="15"/>
        <v>0</v>
      </c>
      <c r="M21" s="535">
        <f t="shared" si="15"/>
        <v>0</v>
      </c>
      <c r="N21" s="535">
        <f t="shared" si="15"/>
        <v>0</v>
      </c>
      <c r="O21" s="535">
        <f t="shared" si="15"/>
        <v>0</v>
      </c>
      <c r="P21" s="535">
        <f t="shared" si="15"/>
        <v>0</v>
      </c>
      <c r="Q21" s="535">
        <f t="shared" si="15"/>
        <v>0</v>
      </c>
      <c r="R21" s="535">
        <f t="shared" si="15"/>
        <v>0</v>
      </c>
      <c r="S21" s="535">
        <f t="shared" si="15"/>
        <v>0</v>
      </c>
      <c r="T21" s="535">
        <f t="shared" si="15"/>
        <v>0</v>
      </c>
      <c r="U21" s="535">
        <f t="shared" si="15"/>
        <v>0</v>
      </c>
      <c r="V21" s="553">
        <f t="shared" si="15"/>
        <v>0</v>
      </c>
      <c r="W21" s="535">
        <f t="shared" si="15"/>
        <v>0</v>
      </c>
      <c r="X21" s="535">
        <f t="shared" si="15"/>
        <v>0</v>
      </c>
      <c r="Y21" s="535">
        <f t="shared" si="15"/>
        <v>0</v>
      </c>
      <c r="Z21" s="535">
        <f t="shared" si="15"/>
        <v>0</v>
      </c>
      <c r="AA21" s="535">
        <f t="shared" si="15"/>
        <v>0</v>
      </c>
      <c r="AB21" s="535">
        <f t="shared" si="15"/>
        <v>0</v>
      </c>
      <c r="AC21" s="535">
        <f t="shared" si="15"/>
        <v>0</v>
      </c>
      <c r="AD21" s="535">
        <f t="shared" si="15"/>
        <v>0</v>
      </c>
      <c r="AE21" s="535">
        <f t="shared" si="15"/>
        <v>0</v>
      </c>
      <c r="AF21" s="535"/>
      <c r="AG21" s="535">
        <f t="shared" si="15"/>
        <v>0</v>
      </c>
      <c r="AH21" s="535">
        <f t="shared" si="15"/>
        <v>0</v>
      </c>
      <c r="AI21" s="535">
        <f t="shared" si="15"/>
        <v>0</v>
      </c>
      <c r="AJ21" s="535">
        <f t="shared" si="15"/>
        <v>0</v>
      </c>
      <c r="AK21" s="535">
        <f t="shared" si="15"/>
        <v>0</v>
      </c>
      <c r="AL21" s="535">
        <f t="shared" si="15"/>
        <v>0</v>
      </c>
      <c r="AM21" s="535">
        <f t="shared" si="15"/>
        <v>0</v>
      </c>
      <c r="AN21" s="535">
        <f t="shared" si="15"/>
        <v>0</v>
      </c>
      <c r="AO21" s="553">
        <f t="shared" si="15"/>
        <v>0</v>
      </c>
      <c r="AP21" s="535">
        <f t="shared" si="15"/>
        <v>0</v>
      </c>
      <c r="AQ21" s="535">
        <f t="shared" si="15"/>
        <v>0</v>
      </c>
      <c r="AR21" s="535">
        <f t="shared" si="15"/>
        <v>0</v>
      </c>
      <c r="AS21" s="535">
        <f t="shared" si="15"/>
        <v>0</v>
      </c>
      <c r="AT21" s="535">
        <f t="shared" si="15"/>
        <v>0</v>
      </c>
    </row>
    <row r="22" spans="2:46">
      <c r="C22" s="521"/>
      <c r="V22" s="550"/>
      <c r="AO22" s="550"/>
    </row>
    <row r="23" spans="2:46">
      <c r="B23" t="s">
        <v>1881</v>
      </c>
      <c r="C23" s="521" t="s">
        <v>1877</v>
      </c>
      <c r="D23" s="531">
        <f>D141</f>
        <v>170</v>
      </c>
      <c r="E23" s="531">
        <f t="shared" ref="E23:AT23" si="16">E141</f>
        <v>94</v>
      </c>
      <c r="F23" s="531">
        <f t="shared" si="16"/>
        <v>537</v>
      </c>
      <c r="G23" s="531">
        <f t="shared" si="16"/>
        <v>58</v>
      </c>
      <c r="H23" s="531">
        <f t="shared" si="16"/>
        <v>282</v>
      </c>
      <c r="I23" s="531">
        <f t="shared" si="16"/>
        <v>483</v>
      </c>
      <c r="J23" s="531">
        <f t="shared" si="16"/>
        <v>546</v>
      </c>
      <c r="K23" s="531">
        <f t="shared" si="16"/>
        <v>275</v>
      </c>
      <c r="L23" s="531">
        <f t="shared" si="16"/>
        <v>413</v>
      </c>
      <c r="M23" s="531">
        <f t="shared" si="16"/>
        <v>240</v>
      </c>
      <c r="N23" s="531">
        <f t="shared" si="16"/>
        <v>177</v>
      </c>
      <c r="O23" s="531">
        <f t="shared" si="16"/>
        <v>217</v>
      </c>
      <c r="P23" s="531">
        <f t="shared" si="16"/>
        <v>237</v>
      </c>
      <c r="Q23" s="531">
        <f t="shared" si="16"/>
        <v>455</v>
      </c>
      <c r="R23" s="531">
        <f t="shared" si="16"/>
        <v>236</v>
      </c>
      <c r="S23" s="531">
        <f t="shared" si="16"/>
        <v>395</v>
      </c>
      <c r="T23" s="531">
        <f t="shared" si="16"/>
        <v>403</v>
      </c>
      <c r="U23" s="531">
        <f t="shared" si="16"/>
        <v>434</v>
      </c>
      <c r="V23" s="551">
        <f t="shared" si="16"/>
        <v>756</v>
      </c>
      <c r="W23" s="531">
        <f t="shared" si="16"/>
        <v>737.27088942157832</v>
      </c>
      <c r="X23" s="531">
        <f t="shared" si="16"/>
        <v>679.83598544359006</v>
      </c>
      <c r="Y23" s="531">
        <f t="shared" si="16"/>
        <v>672.10877660667211</v>
      </c>
      <c r="Z23" s="531">
        <f t="shared" si="16"/>
        <v>687.00819662123467</v>
      </c>
      <c r="AA23" s="531">
        <f t="shared" si="16"/>
        <v>692.46264692048828</v>
      </c>
      <c r="AB23" s="531">
        <f t="shared" si="16"/>
        <v>700.20332973494044</v>
      </c>
      <c r="AC23" s="531">
        <f t="shared" si="16"/>
        <v>699.60471762239763</v>
      </c>
      <c r="AD23" s="531">
        <f t="shared" si="16"/>
        <v>701.27442266390869</v>
      </c>
      <c r="AE23" s="531">
        <f t="shared" si="16"/>
        <v>693.00839827615744</v>
      </c>
      <c r="AF23" s="531"/>
      <c r="AG23" s="531">
        <f t="shared" si="16"/>
        <v>264</v>
      </c>
      <c r="AH23" s="531">
        <f t="shared" si="16"/>
        <v>595</v>
      </c>
      <c r="AI23" s="531">
        <f t="shared" si="16"/>
        <v>765</v>
      </c>
      <c r="AJ23" s="531">
        <f t="shared" si="16"/>
        <v>821</v>
      </c>
      <c r="AK23" s="531">
        <f t="shared" si="16"/>
        <v>653</v>
      </c>
      <c r="AL23" s="531">
        <f t="shared" si="16"/>
        <v>394</v>
      </c>
      <c r="AM23" s="531">
        <f t="shared" si="16"/>
        <v>692</v>
      </c>
      <c r="AN23" s="531">
        <f t="shared" si="16"/>
        <v>631</v>
      </c>
      <c r="AO23" s="551">
        <f t="shared" si="16"/>
        <v>837</v>
      </c>
      <c r="AP23" s="531">
        <f t="shared" si="16"/>
        <v>1493.2708894215784</v>
      </c>
      <c r="AQ23" s="531">
        <f t="shared" si="16"/>
        <v>1351.9447620502622</v>
      </c>
      <c r="AR23" s="531">
        <f t="shared" si="16"/>
        <v>1379.4708435417228</v>
      </c>
      <c r="AS23" s="531">
        <f t="shared" si="16"/>
        <v>1399.8080473573382</v>
      </c>
      <c r="AT23" s="531">
        <f t="shared" si="16"/>
        <v>1394.2828209400661</v>
      </c>
    </row>
    <row r="24" spans="2:46">
      <c r="C24" s="521" t="s">
        <v>1878</v>
      </c>
      <c r="D24" s="531">
        <f>D188</f>
        <v>170</v>
      </c>
      <c r="E24" s="531">
        <f t="shared" ref="E24:AT24" si="17">E188</f>
        <v>94</v>
      </c>
      <c r="F24" s="531">
        <f t="shared" si="17"/>
        <v>537</v>
      </c>
      <c r="G24" s="531">
        <f t="shared" si="17"/>
        <v>58</v>
      </c>
      <c r="H24" s="531">
        <f t="shared" si="17"/>
        <v>282</v>
      </c>
      <c r="I24" s="531">
        <f t="shared" si="17"/>
        <v>483</v>
      </c>
      <c r="J24" s="531">
        <f t="shared" si="17"/>
        <v>546</v>
      </c>
      <c r="K24" s="531">
        <f t="shared" si="17"/>
        <v>275</v>
      </c>
      <c r="L24" s="531">
        <f t="shared" si="17"/>
        <v>413</v>
      </c>
      <c r="M24" s="531">
        <f t="shared" si="17"/>
        <v>240</v>
      </c>
      <c r="N24" s="531">
        <f t="shared" si="17"/>
        <v>177</v>
      </c>
      <c r="O24" s="531">
        <f t="shared" si="17"/>
        <v>217</v>
      </c>
      <c r="P24" s="531">
        <f t="shared" si="17"/>
        <v>237</v>
      </c>
      <c r="Q24" s="531">
        <f t="shared" si="17"/>
        <v>455</v>
      </c>
      <c r="R24" s="531">
        <f t="shared" si="17"/>
        <v>236</v>
      </c>
      <c r="S24" s="531">
        <f t="shared" si="17"/>
        <v>395</v>
      </c>
      <c r="T24" s="531">
        <f t="shared" si="17"/>
        <v>403</v>
      </c>
      <c r="U24" s="531">
        <f t="shared" si="17"/>
        <v>434</v>
      </c>
      <c r="V24" s="551">
        <f t="shared" si="17"/>
        <v>756</v>
      </c>
      <c r="W24" s="531">
        <f t="shared" si="17"/>
        <v>737.27088942157832</v>
      </c>
      <c r="X24" s="531">
        <f t="shared" si="17"/>
        <v>679.83598544359006</v>
      </c>
      <c r="Y24" s="531">
        <f t="shared" si="17"/>
        <v>672.10877660667211</v>
      </c>
      <c r="Z24" s="531">
        <f t="shared" si="17"/>
        <v>687.00819662123467</v>
      </c>
      <c r="AA24" s="531">
        <f t="shared" si="17"/>
        <v>692.46264692048828</v>
      </c>
      <c r="AB24" s="531">
        <f t="shared" si="17"/>
        <v>700.20332973494044</v>
      </c>
      <c r="AC24" s="531">
        <f t="shared" si="17"/>
        <v>699.60471762239763</v>
      </c>
      <c r="AD24" s="531">
        <f t="shared" si="17"/>
        <v>701.27442266390869</v>
      </c>
      <c r="AE24" s="531">
        <f t="shared" si="17"/>
        <v>693.00839827615744</v>
      </c>
      <c r="AF24" s="531"/>
      <c r="AG24" s="531">
        <f t="shared" si="17"/>
        <v>264</v>
      </c>
      <c r="AH24" s="531">
        <f t="shared" si="17"/>
        <v>595</v>
      </c>
      <c r="AI24" s="531">
        <f t="shared" si="17"/>
        <v>765</v>
      </c>
      <c r="AJ24" s="531">
        <f t="shared" si="17"/>
        <v>821</v>
      </c>
      <c r="AK24" s="531">
        <f t="shared" si="17"/>
        <v>653</v>
      </c>
      <c r="AL24" s="531">
        <f t="shared" si="17"/>
        <v>394</v>
      </c>
      <c r="AM24" s="531">
        <f t="shared" si="17"/>
        <v>692</v>
      </c>
      <c r="AN24" s="531">
        <f t="shared" si="17"/>
        <v>631</v>
      </c>
      <c r="AO24" s="551">
        <f t="shared" si="17"/>
        <v>837</v>
      </c>
      <c r="AP24" s="531">
        <f t="shared" si="17"/>
        <v>1493.2708894215784</v>
      </c>
      <c r="AQ24" s="531">
        <f t="shared" si="17"/>
        <v>1351.9447620502622</v>
      </c>
      <c r="AR24" s="531">
        <f t="shared" si="17"/>
        <v>1379.4708435417228</v>
      </c>
      <c r="AS24" s="531">
        <f t="shared" si="17"/>
        <v>1399.8080473573382</v>
      </c>
      <c r="AT24" s="531">
        <f t="shared" si="17"/>
        <v>1394.2828209400661</v>
      </c>
    </row>
    <row r="25" spans="2:46">
      <c r="C25" s="522" t="s">
        <v>1879</v>
      </c>
      <c r="D25" s="534">
        <f>D23/D24-1</f>
        <v>0</v>
      </c>
      <c r="E25" s="534">
        <f t="shared" ref="E25" si="18">E23/E24-1</f>
        <v>0</v>
      </c>
      <c r="F25" s="534">
        <f t="shared" ref="F25" si="19">F23/F24-1</f>
        <v>0</v>
      </c>
      <c r="G25" s="534">
        <f t="shared" ref="G25" si="20">G23/G24-1</f>
        <v>0</v>
      </c>
      <c r="H25" s="534">
        <f t="shared" ref="H25" si="21">H23/H24-1</f>
        <v>0</v>
      </c>
      <c r="I25" s="534">
        <f t="shared" ref="I25" si="22">I23/I24-1</f>
        <v>0</v>
      </c>
      <c r="J25" s="534">
        <f t="shared" ref="J25" si="23">J23/J24-1</f>
        <v>0</v>
      </c>
      <c r="K25" s="534">
        <f t="shared" ref="K25" si="24">K23/K24-1</f>
        <v>0</v>
      </c>
      <c r="L25" s="534">
        <f t="shared" ref="L25" si="25">L23/L24-1</f>
        <v>0</v>
      </c>
      <c r="M25" s="534">
        <f t="shared" ref="M25" si="26">M23/M24-1</f>
        <v>0</v>
      </c>
      <c r="N25" s="534">
        <f t="shared" ref="N25" si="27">N23/N24-1</f>
        <v>0</v>
      </c>
      <c r="O25" s="534">
        <f t="shared" ref="O25" si="28">O23/O24-1</f>
        <v>0</v>
      </c>
      <c r="P25" s="534">
        <f t="shared" ref="P25" si="29">P23/P24-1</f>
        <v>0</v>
      </c>
      <c r="Q25" s="534">
        <f t="shared" ref="Q25" si="30">Q23/Q24-1</f>
        <v>0</v>
      </c>
      <c r="R25" s="534">
        <f t="shared" ref="R25" si="31">R23/R24-1</f>
        <v>0</v>
      </c>
      <c r="S25" s="534">
        <f t="shared" ref="S25" si="32">S23/S24-1</f>
        <v>0</v>
      </c>
      <c r="T25" s="534">
        <f t="shared" ref="T25" si="33">T23/T24-1</f>
        <v>0</v>
      </c>
      <c r="U25" s="534">
        <f t="shared" ref="U25" si="34">U23/U24-1</f>
        <v>0</v>
      </c>
      <c r="V25" s="552">
        <f t="shared" ref="V25" si="35">V23/V24-1</f>
        <v>0</v>
      </c>
      <c r="W25" s="534">
        <f t="shared" ref="W25" si="36">W23/W24-1</f>
        <v>0</v>
      </c>
      <c r="X25" s="534">
        <f t="shared" ref="X25" si="37">X23/X24-1</f>
        <v>0</v>
      </c>
      <c r="Y25" s="534">
        <f t="shared" ref="Y25" si="38">Y23/Y24-1</f>
        <v>0</v>
      </c>
      <c r="Z25" s="534">
        <f t="shared" ref="Z25" si="39">Z23/Z24-1</f>
        <v>0</v>
      </c>
      <c r="AA25" s="534">
        <f t="shared" ref="AA25" si="40">AA23/AA24-1</f>
        <v>0</v>
      </c>
      <c r="AB25" s="534">
        <f t="shared" ref="AB25" si="41">AB23/AB24-1</f>
        <v>0</v>
      </c>
      <c r="AC25" s="534">
        <f t="shared" ref="AC25" si="42">AC23/AC24-1</f>
        <v>0</v>
      </c>
      <c r="AD25" s="534">
        <f t="shared" ref="AD25" si="43">AD23/AD24-1</f>
        <v>0</v>
      </c>
      <c r="AE25" s="534">
        <f t="shared" ref="AE25" si="44">AE23/AE24-1</f>
        <v>0</v>
      </c>
      <c r="AF25" s="534"/>
      <c r="AG25" s="534">
        <f t="shared" ref="AG25" si="45">AG23/AG24-1</f>
        <v>0</v>
      </c>
      <c r="AH25" s="534">
        <f t="shared" ref="AH25" si="46">AH23/AH24-1</f>
        <v>0</v>
      </c>
      <c r="AI25" s="534">
        <f t="shared" ref="AI25" si="47">AI23/AI24-1</f>
        <v>0</v>
      </c>
      <c r="AJ25" s="534">
        <f t="shared" ref="AJ25" si="48">AJ23/AJ24-1</f>
        <v>0</v>
      </c>
      <c r="AK25" s="534">
        <f t="shared" ref="AK25" si="49">AK23/AK24-1</f>
        <v>0</v>
      </c>
      <c r="AL25" s="534">
        <f t="shared" ref="AL25" si="50">AL23/AL24-1</f>
        <v>0</v>
      </c>
      <c r="AM25" s="534">
        <f t="shared" ref="AM25" si="51">AM23/AM24-1</f>
        <v>0</v>
      </c>
      <c r="AN25" s="534">
        <f t="shared" ref="AN25" si="52">AN23/AN24-1</f>
        <v>0</v>
      </c>
      <c r="AO25" s="552">
        <f t="shared" ref="AO25" si="53">AO23/AO24-1</f>
        <v>0</v>
      </c>
      <c r="AP25" s="534">
        <f t="shared" ref="AP25" si="54">AP23/AP24-1</f>
        <v>0</v>
      </c>
      <c r="AQ25" s="534">
        <f t="shared" ref="AQ25" si="55">AQ23/AQ24-1</f>
        <v>0</v>
      </c>
      <c r="AR25" s="534">
        <f t="shared" ref="AR25" si="56">AR23/AR24-1</f>
        <v>0</v>
      </c>
      <c r="AS25" s="534">
        <f t="shared" ref="AS25" si="57">AS23/AS24-1</f>
        <v>0</v>
      </c>
      <c r="AT25" s="534">
        <f t="shared" ref="AT25" si="58">AT23/AT24-1</f>
        <v>0</v>
      </c>
    </row>
    <row r="26" spans="2:46">
      <c r="C26" s="522" t="s">
        <v>1880</v>
      </c>
      <c r="D26" s="535">
        <f>D23-D24</f>
        <v>0</v>
      </c>
      <c r="E26" s="535">
        <f t="shared" ref="E26:AE26" si="59">E23-E24</f>
        <v>0</v>
      </c>
      <c r="F26" s="535">
        <f t="shared" si="59"/>
        <v>0</v>
      </c>
      <c r="G26" s="535">
        <f t="shared" si="59"/>
        <v>0</v>
      </c>
      <c r="H26" s="535">
        <f t="shared" si="59"/>
        <v>0</v>
      </c>
      <c r="I26" s="535">
        <f t="shared" si="59"/>
        <v>0</v>
      </c>
      <c r="J26" s="535">
        <f t="shared" si="59"/>
        <v>0</v>
      </c>
      <c r="K26" s="535">
        <f t="shared" si="59"/>
        <v>0</v>
      </c>
      <c r="L26" s="535">
        <f t="shared" si="59"/>
        <v>0</v>
      </c>
      <c r="M26" s="535">
        <f t="shared" si="59"/>
        <v>0</v>
      </c>
      <c r="N26" s="535">
        <f t="shared" si="59"/>
        <v>0</v>
      </c>
      <c r="O26" s="535">
        <f t="shared" si="59"/>
        <v>0</v>
      </c>
      <c r="P26" s="535">
        <f t="shared" si="59"/>
        <v>0</v>
      </c>
      <c r="Q26" s="535">
        <f t="shared" si="59"/>
        <v>0</v>
      </c>
      <c r="R26" s="535">
        <f t="shared" si="59"/>
        <v>0</v>
      </c>
      <c r="S26" s="535">
        <f t="shared" si="59"/>
        <v>0</v>
      </c>
      <c r="T26" s="535">
        <f t="shared" si="59"/>
        <v>0</v>
      </c>
      <c r="U26" s="535">
        <f t="shared" si="59"/>
        <v>0</v>
      </c>
      <c r="V26" s="553">
        <f t="shared" si="59"/>
        <v>0</v>
      </c>
      <c r="W26" s="535">
        <f t="shared" si="59"/>
        <v>0</v>
      </c>
      <c r="X26" s="535">
        <f t="shared" si="59"/>
        <v>0</v>
      </c>
      <c r="Y26" s="535">
        <f t="shared" si="59"/>
        <v>0</v>
      </c>
      <c r="Z26" s="535">
        <f t="shared" si="59"/>
        <v>0</v>
      </c>
      <c r="AA26" s="535">
        <f t="shared" si="59"/>
        <v>0</v>
      </c>
      <c r="AB26" s="535">
        <f t="shared" si="59"/>
        <v>0</v>
      </c>
      <c r="AC26" s="535">
        <f t="shared" si="59"/>
        <v>0</v>
      </c>
      <c r="AD26" s="535">
        <f t="shared" si="59"/>
        <v>0</v>
      </c>
      <c r="AE26" s="535">
        <f t="shared" si="59"/>
        <v>0</v>
      </c>
      <c r="AF26" s="535"/>
      <c r="AG26" s="535">
        <f t="shared" ref="AG26:AT26" si="60">AG23-AG24</f>
        <v>0</v>
      </c>
      <c r="AH26" s="535">
        <f t="shared" si="60"/>
        <v>0</v>
      </c>
      <c r="AI26" s="535">
        <f t="shared" si="60"/>
        <v>0</v>
      </c>
      <c r="AJ26" s="535">
        <f t="shared" si="60"/>
        <v>0</v>
      </c>
      <c r="AK26" s="535">
        <f t="shared" si="60"/>
        <v>0</v>
      </c>
      <c r="AL26" s="535">
        <f t="shared" si="60"/>
        <v>0</v>
      </c>
      <c r="AM26" s="535">
        <f t="shared" si="60"/>
        <v>0</v>
      </c>
      <c r="AN26" s="535">
        <f t="shared" si="60"/>
        <v>0</v>
      </c>
      <c r="AO26" s="553">
        <f t="shared" si="60"/>
        <v>0</v>
      </c>
      <c r="AP26" s="535">
        <f t="shared" si="60"/>
        <v>0</v>
      </c>
      <c r="AQ26" s="535">
        <f t="shared" si="60"/>
        <v>0</v>
      </c>
      <c r="AR26" s="535">
        <f t="shared" si="60"/>
        <v>0</v>
      </c>
      <c r="AS26" s="535">
        <f t="shared" si="60"/>
        <v>0</v>
      </c>
      <c r="AT26" s="535">
        <f t="shared" si="60"/>
        <v>0</v>
      </c>
    </row>
    <row r="27" spans="2:46">
      <c r="C27" s="521"/>
      <c r="V27" s="550"/>
      <c r="AO27" s="550"/>
    </row>
    <row r="28" spans="2:46">
      <c r="B28" t="s">
        <v>1882</v>
      </c>
      <c r="C28" s="521" t="s">
        <v>1877</v>
      </c>
      <c r="D28" s="531">
        <f>D142</f>
        <v>0</v>
      </c>
      <c r="E28" s="531">
        <f t="shared" ref="E28:AT28" si="61">E142</f>
        <v>0</v>
      </c>
      <c r="F28" s="531">
        <f t="shared" si="61"/>
        <v>0</v>
      </c>
      <c r="G28" s="531">
        <f t="shared" si="61"/>
        <v>0</v>
      </c>
      <c r="H28" s="531">
        <f t="shared" si="61"/>
        <v>0</v>
      </c>
      <c r="I28" s="531">
        <f t="shared" si="61"/>
        <v>0</v>
      </c>
      <c r="J28" s="531">
        <f t="shared" si="61"/>
        <v>52</v>
      </c>
      <c r="K28" s="531">
        <f t="shared" si="61"/>
        <v>201</v>
      </c>
      <c r="L28" s="531">
        <f t="shared" si="61"/>
        <v>371</v>
      </c>
      <c r="M28" s="531">
        <f t="shared" si="61"/>
        <v>240</v>
      </c>
      <c r="N28" s="531">
        <f t="shared" si="61"/>
        <v>62</v>
      </c>
      <c r="O28" s="531">
        <f t="shared" si="61"/>
        <v>1498</v>
      </c>
      <c r="P28" s="531">
        <f t="shared" si="61"/>
        <v>877</v>
      </c>
      <c r="Q28" s="531">
        <f t="shared" si="61"/>
        <v>271</v>
      </c>
      <c r="R28" s="531">
        <f t="shared" si="61"/>
        <v>49</v>
      </c>
      <c r="S28" s="531">
        <f t="shared" si="61"/>
        <v>298</v>
      </c>
      <c r="T28" s="531">
        <f t="shared" si="61"/>
        <v>171</v>
      </c>
      <c r="U28" s="531">
        <f t="shared" si="61"/>
        <v>435</v>
      </c>
      <c r="V28" s="551">
        <f t="shared" si="61"/>
        <v>7</v>
      </c>
      <c r="W28" s="531">
        <f t="shared" si="61"/>
        <v>402</v>
      </c>
      <c r="X28" s="531">
        <f t="shared" si="61"/>
        <v>0</v>
      </c>
      <c r="Y28" s="531">
        <f t="shared" si="61"/>
        <v>0</v>
      </c>
      <c r="Z28" s="531">
        <f t="shared" si="61"/>
        <v>0</v>
      </c>
      <c r="AA28" s="531">
        <f t="shared" si="61"/>
        <v>0</v>
      </c>
      <c r="AB28" s="531">
        <f t="shared" si="61"/>
        <v>0</v>
      </c>
      <c r="AC28" s="531">
        <f t="shared" si="61"/>
        <v>0</v>
      </c>
      <c r="AD28" s="531">
        <f t="shared" si="61"/>
        <v>0</v>
      </c>
      <c r="AE28" s="531">
        <f t="shared" si="61"/>
        <v>0</v>
      </c>
      <c r="AF28" s="531"/>
      <c r="AG28" s="531">
        <f t="shared" si="61"/>
        <v>0</v>
      </c>
      <c r="AH28" s="531">
        <f t="shared" si="61"/>
        <v>0</v>
      </c>
      <c r="AI28" s="531">
        <f t="shared" si="61"/>
        <v>0</v>
      </c>
      <c r="AJ28" s="531">
        <f t="shared" si="61"/>
        <v>253</v>
      </c>
      <c r="AK28" s="531">
        <f t="shared" si="61"/>
        <v>611</v>
      </c>
      <c r="AL28" s="531">
        <f t="shared" si="61"/>
        <v>1560</v>
      </c>
      <c r="AM28" s="531">
        <f t="shared" si="61"/>
        <v>1148</v>
      </c>
      <c r="AN28" s="531">
        <f t="shared" si="61"/>
        <v>347</v>
      </c>
      <c r="AO28" s="551">
        <f t="shared" si="61"/>
        <v>606</v>
      </c>
      <c r="AP28" s="531">
        <f t="shared" si="61"/>
        <v>409</v>
      </c>
      <c r="AQ28" s="531">
        <f t="shared" si="61"/>
        <v>0</v>
      </c>
      <c r="AR28" s="531">
        <f t="shared" si="61"/>
        <v>0</v>
      </c>
      <c r="AS28" s="531">
        <f t="shared" si="61"/>
        <v>0</v>
      </c>
      <c r="AT28" s="531">
        <f t="shared" si="61"/>
        <v>0</v>
      </c>
    </row>
    <row r="29" spans="2:46">
      <c r="C29" s="521" t="s">
        <v>1878</v>
      </c>
      <c r="D29" s="531">
        <f>D189</f>
        <v>0</v>
      </c>
      <c r="E29" s="531">
        <f t="shared" ref="E29:AT29" si="62">E189</f>
        <v>0</v>
      </c>
      <c r="F29" s="531">
        <f t="shared" si="62"/>
        <v>0</v>
      </c>
      <c r="G29" s="531">
        <f t="shared" si="62"/>
        <v>0</v>
      </c>
      <c r="H29" s="531">
        <f t="shared" si="62"/>
        <v>0</v>
      </c>
      <c r="I29" s="531">
        <f t="shared" si="62"/>
        <v>0</v>
      </c>
      <c r="J29" s="531">
        <f t="shared" si="62"/>
        <v>52</v>
      </c>
      <c r="K29" s="531">
        <f t="shared" si="62"/>
        <v>201</v>
      </c>
      <c r="L29" s="531">
        <f t="shared" si="62"/>
        <v>371</v>
      </c>
      <c r="M29" s="531">
        <f t="shared" si="62"/>
        <v>240</v>
      </c>
      <c r="N29" s="531">
        <f t="shared" si="62"/>
        <v>62</v>
      </c>
      <c r="O29" s="531">
        <f t="shared" si="62"/>
        <v>1498</v>
      </c>
      <c r="P29" s="531">
        <f t="shared" si="62"/>
        <v>877</v>
      </c>
      <c r="Q29" s="531">
        <f t="shared" si="62"/>
        <v>271</v>
      </c>
      <c r="R29" s="531">
        <f t="shared" si="62"/>
        <v>49</v>
      </c>
      <c r="S29" s="531">
        <f t="shared" si="62"/>
        <v>298</v>
      </c>
      <c r="T29" s="531">
        <f t="shared" si="62"/>
        <v>171</v>
      </c>
      <c r="U29" s="531">
        <f t="shared" si="62"/>
        <v>435</v>
      </c>
      <c r="V29" s="551">
        <f t="shared" si="62"/>
        <v>7</v>
      </c>
      <c r="W29" s="531">
        <f t="shared" si="62"/>
        <v>402</v>
      </c>
      <c r="X29" s="531">
        <f t="shared" si="62"/>
        <v>0</v>
      </c>
      <c r="Y29" s="531">
        <f t="shared" si="62"/>
        <v>0</v>
      </c>
      <c r="Z29" s="531">
        <f t="shared" si="62"/>
        <v>0</v>
      </c>
      <c r="AA29" s="531">
        <f t="shared" si="62"/>
        <v>0</v>
      </c>
      <c r="AB29" s="531">
        <f t="shared" si="62"/>
        <v>0</v>
      </c>
      <c r="AC29" s="531">
        <f t="shared" si="62"/>
        <v>0</v>
      </c>
      <c r="AD29" s="531">
        <f t="shared" si="62"/>
        <v>0</v>
      </c>
      <c r="AE29" s="531">
        <f t="shared" si="62"/>
        <v>0</v>
      </c>
      <c r="AF29" s="531"/>
      <c r="AG29" s="531">
        <f t="shared" si="62"/>
        <v>0</v>
      </c>
      <c r="AH29" s="531">
        <f t="shared" si="62"/>
        <v>0</v>
      </c>
      <c r="AI29" s="531">
        <f t="shared" si="62"/>
        <v>0</v>
      </c>
      <c r="AJ29" s="531">
        <f t="shared" si="62"/>
        <v>253</v>
      </c>
      <c r="AK29" s="531">
        <f t="shared" si="62"/>
        <v>611</v>
      </c>
      <c r="AL29" s="531">
        <f t="shared" si="62"/>
        <v>1560</v>
      </c>
      <c r="AM29" s="531">
        <f t="shared" si="62"/>
        <v>1148</v>
      </c>
      <c r="AN29" s="531">
        <f t="shared" si="62"/>
        <v>347</v>
      </c>
      <c r="AO29" s="551">
        <f t="shared" si="62"/>
        <v>606</v>
      </c>
      <c r="AP29" s="531">
        <f t="shared" si="62"/>
        <v>409</v>
      </c>
      <c r="AQ29" s="531">
        <f t="shared" si="62"/>
        <v>0</v>
      </c>
      <c r="AR29" s="531">
        <f t="shared" si="62"/>
        <v>0</v>
      </c>
      <c r="AS29" s="531">
        <f t="shared" si="62"/>
        <v>0</v>
      </c>
      <c r="AT29" s="531">
        <f t="shared" si="62"/>
        <v>0</v>
      </c>
    </row>
    <row r="30" spans="2:46">
      <c r="C30" s="522" t="s">
        <v>1879</v>
      </c>
      <c r="D30" s="534"/>
      <c r="E30" s="534"/>
      <c r="F30" s="534"/>
      <c r="G30" s="534"/>
      <c r="H30" s="534"/>
      <c r="I30" s="534"/>
      <c r="J30" s="534">
        <f t="shared" ref="J30" si="63">J28/J29-1</f>
        <v>0</v>
      </c>
      <c r="K30" s="534">
        <f t="shared" ref="K30" si="64">K28/K29-1</f>
        <v>0</v>
      </c>
      <c r="L30" s="534">
        <f t="shared" ref="L30" si="65">L28/L29-1</f>
        <v>0</v>
      </c>
      <c r="M30" s="534">
        <f t="shared" ref="M30" si="66">M28/M29-1</f>
        <v>0</v>
      </c>
      <c r="N30" s="534">
        <f t="shared" ref="N30" si="67">N28/N29-1</f>
        <v>0</v>
      </c>
      <c r="O30" s="534">
        <f t="shared" ref="O30" si="68">O28/O29-1</f>
        <v>0</v>
      </c>
      <c r="P30" s="534">
        <f t="shared" ref="P30" si="69">P28/P29-1</f>
        <v>0</v>
      </c>
      <c r="Q30" s="534">
        <f t="shared" ref="Q30" si="70">Q28/Q29-1</f>
        <v>0</v>
      </c>
      <c r="R30" s="534">
        <f t="shared" ref="R30" si="71">R28/R29-1</f>
        <v>0</v>
      </c>
      <c r="S30" s="534">
        <f t="shared" ref="S30" si="72">S28/S29-1</f>
        <v>0</v>
      </c>
      <c r="T30" s="534">
        <f t="shared" ref="T30" si="73">T28/T29-1</f>
        <v>0</v>
      </c>
      <c r="U30" s="534">
        <f t="shared" ref="U30" si="74">U28/U29-1</f>
        <v>0</v>
      </c>
      <c r="V30" s="552">
        <f t="shared" ref="V30" si="75">V28/V29-1</f>
        <v>0</v>
      </c>
      <c r="W30" s="534">
        <f t="shared" ref="W30" si="76">W28/W29-1</f>
        <v>0</v>
      </c>
      <c r="X30" s="563" t="e">
        <f t="shared" ref="X30" si="77">X28/X29-1</f>
        <v>#DIV/0!</v>
      </c>
      <c r="Y30" s="534" t="e">
        <f t="shared" ref="Y30" si="78">Y28/Y29-1</f>
        <v>#DIV/0!</v>
      </c>
      <c r="Z30" s="563" t="e">
        <f t="shared" ref="Z30" si="79">Z28/Z29-1</f>
        <v>#DIV/0!</v>
      </c>
      <c r="AA30" s="534" t="e">
        <f t="shared" ref="AA30" si="80">AA28/AA29-1</f>
        <v>#DIV/0!</v>
      </c>
      <c r="AB30" s="563" t="e">
        <f t="shared" ref="AB30" si="81">AB28/AB29-1</f>
        <v>#DIV/0!</v>
      </c>
      <c r="AC30" s="534" t="e">
        <f t="shared" ref="AC30" si="82">AC28/AC29-1</f>
        <v>#DIV/0!</v>
      </c>
      <c r="AD30" s="563" t="e">
        <f t="shared" ref="AD30" si="83">AD28/AD29-1</f>
        <v>#DIV/0!</v>
      </c>
      <c r="AE30" s="534" t="e">
        <f t="shared" ref="AE30" si="84">AE28/AE29-1</f>
        <v>#DIV/0!</v>
      </c>
      <c r="AF30" s="534"/>
      <c r="AG30" s="534" t="e">
        <f t="shared" ref="AG30" si="85">AG28/AG29-1</f>
        <v>#DIV/0!</v>
      </c>
      <c r="AH30" s="534" t="e">
        <f t="shared" ref="AH30" si="86">AH28/AH29-1</f>
        <v>#DIV/0!</v>
      </c>
      <c r="AI30" s="534" t="e">
        <f t="shared" ref="AI30" si="87">AI28/AI29-1</f>
        <v>#DIV/0!</v>
      </c>
      <c r="AJ30" s="534">
        <f t="shared" ref="AJ30" si="88">AJ28/AJ29-1</f>
        <v>0</v>
      </c>
      <c r="AK30" s="534">
        <f t="shared" ref="AK30" si="89">AK28/AK29-1</f>
        <v>0</v>
      </c>
      <c r="AL30" s="534">
        <f t="shared" ref="AL30" si="90">AL28/AL29-1</f>
        <v>0</v>
      </c>
      <c r="AM30" s="534">
        <f t="shared" ref="AM30" si="91">AM28/AM29-1</f>
        <v>0</v>
      </c>
      <c r="AN30" s="534">
        <f t="shared" ref="AN30" si="92">AN28/AN29-1</f>
        <v>0</v>
      </c>
      <c r="AO30" s="552">
        <f t="shared" ref="AO30" si="93">AO28/AO29-1</f>
        <v>0</v>
      </c>
      <c r="AP30" s="563">
        <f t="shared" ref="AP30" si="94">AP28/AP29-1</f>
        <v>0</v>
      </c>
      <c r="AQ30" s="563" t="e">
        <f t="shared" ref="AQ30" si="95">AQ28/AQ29-1</f>
        <v>#DIV/0!</v>
      </c>
      <c r="AR30" s="563" t="e">
        <f t="shared" ref="AR30" si="96">AR28/AR29-1</f>
        <v>#DIV/0!</v>
      </c>
      <c r="AS30" s="563" t="e">
        <f t="shared" ref="AS30" si="97">AS28/AS29-1</f>
        <v>#DIV/0!</v>
      </c>
      <c r="AT30" s="563" t="e">
        <f t="shared" ref="AT30" si="98">AT28/AT29-1</f>
        <v>#DIV/0!</v>
      </c>
    </row>
    <row r="31" spans="2:46">
      <c r="C31" s="522" t="s">
        <v>1880</v>
      </c>
      <c r="D31" s="535"/>
      <c r="E31" s="535"/>
      <c r="F31" s="535"/>
      <c r="G31" s="535"/>
      <c r="H31" s="535"/>
      <c r="I31" s="535"/>
      <c r="J31" s="535">
        <f t="shared" ref="J31:AE31" si="99">J28-J29</f>
        <v>0</v>
      </c>
      <c r="K31" s="535">
        <f t="shared" si="99"/>
        <v>0</v>
      </c>
      <c r="L31" s="535">
        <f t="shared" si="99"/>
        <v>0</v>
      </c>
      <c r="M31" s="535">
        <f t="shared" si="99"/>
        <v>0</v>
      </c>
      <c r="N31" s="535">
        <f t="shared" si="99"/>
        <v>0</v>
      </c>
      <c r="O31" s="535">
        <f t="shared" si="99"/>
        <v>0</v>
      </c>
      <c r="P31" s="535">
        <f t="shared" si="99"/>
        <v>0</v>
      </c>
      <c r="Q31" s="535">
        <f t="shared" si="99"/>
        <v>0</v>
      </c>
      <c r="R31" s="535">
        <f t="shared" si="99"/>
        <v>0</v>
      </c>
      <c r="S31" s="535">
        <f t="shared" si="99"/>
        <v>0</v>
      </c>
      <c r="T31" s="535">
        <f t="shared" si="99"/>
        <v>0</v>
      </c>
      <c r="U31" s="535">
        <f t="shared" si="99"/>
        <v>0</v>
      </c>
      <c r="V31" s="553">
        <f t="shared" si="99"/>
        <v>0</v>
      </c>
      <c r="W31" s="535">
        <f t="shared" si="99"/>
        <v>0</v>
      </c>
      <c r="X31" s="535">
        <f t="shared" si="99"/>
        <v>0</v>
      </c>
      <c r="Y31" s="535">
        <f t="shared" si="99"/>
        <v>0</v>
      </c>
      <c r="Z31" s="535">
        <f t="shared" si="99"/>
        <v>0</v>
      </c>
      <c r="AA31" s="535">
        <f t="shared" si="99"/>
        <v>0</v>
      </c>
      <c r="AB31" s="535">
        <f t="shared" si="99"/>
        <v>0</v>
      </c>
      <c r="AC31" s="535">
        <f t="shared" si="99"/>
        <v>0</v>
      </c>
      <c r="AD31" s="535">
        <f t="shared" si="99"/>
        <v>0</v>
      </c>
      <c r="AE31" s="535">
        <f t="shared" si="99"/>
        <v>0</v>
      </c>
      <c r="AF31" s="535"/>
      <c r="AG31" s="535">
        <f t="shared" ref="AG31:AT31" si="100">AG28-AG29</f>
        <v>0</v>
      </c>
      <c r="AH31" s="535">
        <f t="shared" si="100"/>
        <v>0</v>
      </c>
      <c r="AI31" s="535">
        <f t="shared" si="100"/>
        <v>0</v>
      </c>
      <c r="AJ31" s="535">
        <f t="shared" si="100"/>
        <v>0</v>
      </c>
      <c r="AK31" s="535">
        <f t="shared" si="100"/>
        <v>0</v>
      </c>
      <c r="AL31" s="535">
        <f t="shared" si="100"/>
        <v>0</v>
      </c>
      <c r="AM31" s="535">
        <f t="shared" si="100"/>
        <v>0</v>
      </c>
      <c r="AN31" s="535">
        <f t="shared" si="100"/>
        <v>0</v>
      </c>
      <c r="AO31" s="553">
        <f t="shared" si="100"/>
        <v>0</v>
      </c>
      <c r="AP31" s="535">
        <f t="shared" si="100"/>
        <v>0</v>
      </c>
      <c r="AQ31" s="535">
        <f t="shared" si="100"/>
        <v>0</v>
      </c>
      <c r="AR31" s="535">
        <f t="shared" si="100"/>
        <v>0</v>
      </c>
      <c r="AS31" s="535">
        <f t="shared" si="100"/>
        <v>0</v>
      </c>
      <c r="AT31" s="535">
        <f t="shared" si="100"/>
        <v>0</v>
      </c>
    </row>
    <row r="32" spans="2:46">
      <c r="C32" s="521"/>
      <c r="V32" s="550"/>
      <c r="AO32" s="550"/>
    </row>
    <row r="33" spans="2:46">
      <c r="B33" t="s">
        <v>1883</v>
      </c>
      <c r="C33" s="521" t="s">
        <v>1877</v>
      </c>
      <c r="D33" s="531">
        <f>D143</f>
        <v>0</v>
      </c>
      <c r="E33" s="531">
        <f t="shared" ref="E33:AT33" si="101">E143</f>
        <v>0</v>
      </c>
      <c r="F33" s="531">
        <f t="shared" si="101"/>
        <v>0</v>
      </c>
      <c r="G33" s="531">
        <f t="shared" si="101"/>
        <v>0</v>
      </c>
      <c r="H33" s="531">
        <f t="shared" si="101"/>
        <v>0</v>
      </c>
      <c r="I33" s="531">
        <f t="shared" si="101"/>
        <v>0</v>
      </c>
      <c r="J33" s="531">
        <f t="shared" si="101"/>
        <v>0</v>
      </c>
      <c r="K33" s="531">
        <f t="shared" si="101"/>
        <v>0</v>
      </c>
      <c r="L33" s="531">
        <f t="shared" si="101"/>
        <v>-72</v>
      </c>
      <c r="M33" s="531">
        <f t="shared" si="101"/>
        <v>-78</v>
      </c>
      <c r="N33" s="531">
        <f t="shared" si="101"/>
        <v>22</v>
      </c>
      <c r="O33" s="531">
        <f t="shared" si="101"/>
        <v>-48</v>
      </c>
      <c r="P33" s="531">
        <f t="shared" si="101"/>
        <v>-115</v>
      </c>
      <c r="Q33" s="531">
        <f t="shared" si="101"/>
        <v>-74</v>
      </c>
      <c r="R33" s="531">
        <f t="shared" si="101"/>
        <v>-184</v>
      </c>
      <c r="S33" s="531">
        <f t="shared" si="101"/>
        <v>-198</v>
      </c>
      <c r="T33" s="531">
        <f t="shared" si="101"/>
        <v>-238</v>
      </c>
      <c r="U33" s="531">
        <f t="shared" si="101"/>
        <v>-331</v>
      </c>
      <c r="V33" s="551">
        <f t="shared" si="101"/>
        <v>0</v>
      </c>
      <c r="W33" s="531">
        <f t="shared" si="101"/>
        <v>0</v>
      </c>
      <c r="X33" s="531">
        <f t="shared" si="101"/>
        <v>0</v>
      </c>
      <c r="Y33" s="531">
        <f t="shared" si="101"/>
        <v>0</v>
      </c>
      <c r="Z33" s="531">
        <f t="shared" si="101"/>
        <v>0</v>
      </c>
      <c r="AA33" s="531">
        <f t="shared" si="101"/>
        <v>0</v>
      </c>
      <c r="AB33" s="531">
        <f t="shared" si="101"/>
        <v>0</v>
      </c>
      <c r="AC33" s="531">
        <f t="shared" si="101"/>
        <v>0</v>
      </c>
      <c r="AD33" s="531">
        <f t="shared" si="101"/>
        <v>0</v>
      </c>
      <c r="AE33" s="531">
        <f t="shared" si="101"/>
        <v>0</v>
      </c>
      <c r="AF33" s="531"/>
      <c r="AG33" s="531">
        <f t="shared" si="101"/>
        <v>0</v>
      </c>
      <c r="AH33" s="531">
        <f t="shared" si="101"/>
        <v>0</v>
      </c>
      <c r="AI33" s="531">
        <f t="shared" si="101"/>
        <v>0</v>
      </c>
      <c r="AJ33" s="531">
        <f t="shared" si="101"/>
        <v>0</v>
      </c>
      <c r="AK33" s="531">
        <f t="shared" si="101"/>
        <v>-150</v>
      </c>
      <c r="AL33" s="531">
        <f t="shared" si="101"/>
        <v>-26</v>
      </c>
      <c r="AM33" s="531">
        <f t="shared" si="101"/>
        <v>-189</v>
      </c>
      <c r="AN33" s="531">
        <f t="shared" si="101"/>
        <v>-382</v>
      </c>
      <c r="AO33" s="551">
        <f t="shared" si="101"/>
        <v>-569</v>
      </c>
      <c r="AP33" s="531">
        <f t="shared" si="101"/>
        <v>0</v>
      </c>
      <c r="AQ33" s="531">
        <f t="shared" si="101"/>
        <v>0</v>
      </c>
      <c r="AR33" s="531">
        <f t="shared" si="101"/>
        <v>0</v>
      </c>
      <c r="AS33" s="531">
        <f t="shared" si="101"/>
        <v>0</v>
      </c>
      <c r="AT33" s="531">
        <f t="shared" si="101"/>
        <v>0</v>
      </c>
    </row>
    <row r="34" spans="2:46">
      <c r="C34" s="521" t="s">
        <v>1878</v>
      </c>
      <c r="D34" s="531">
        <f>D190</f>
        <v>0</v>
      </c>
      <c r="E34" s="531">
        <f t="shared" ref="E34:AT34" si="102">E190</f>
        <v>0</v>
      </c>
      <c r="F34" s="531">
        <f t="shared" si="102"/>
        <v>0</v>
      </c>
      <c r="G34" s="531">
        <f t="shared" si="102"/>
        <v>0</v>
      </c>
      <c r="H34" s="531">
        <f t="shared" si="102"/>
        <v>0</v>
      </c>
      <c r="I34" s="531">
        <f t="shared" si="102"/>
        <v>0</v>
      </c>
      <c r="J34" s="531">
        <f t="shared" si="102"/>
        <v>0</v>
      </c>
      <c r="K34" s="531">
        <f t="shared" si="102"/>
        <v>0</v>
      </c>
      <c r="L34" s="531">
        <f t="shared" si="102"/>
        <v>-72</v>
      </c>
      <c r="M34" s="531">
        <f t="shared" si="102"/>
        <v>-78</v>
      </c>
      <c r="N34" s="531">
        <f t="shared" si="102"/>
        <v>22</v>
      </c>
      <c r="O34" s="531">
        <f t="shared" si="102"/>
        <v>-48</v>
      </c>
      <c r="P34" s="531">
        <f t="shared" si="102"/>
        <v>-115</v>
      </c>
      <c r="Q34" s="531">
        <f t="shared" si="102"/>
        <v>-74</v>
      </c>
      <c r="R34" s="531">
        <f t="shared" si="102"/>
        <v>-184</v>
      </c>
      <c r="S34" s="531">
        <f t="shared" si="102"/>
        <v>-198</v>
      </c>
      <c r="T34" s="531">
        <f t="shared" si="102"/>
        <v>-238</v>
      </c>
      <c r="U34" s="531">
        <f t="shared" si="102"/>
        <v>-331</v>
      </c>
      <c r="V34" s="551">
        <f t="shared" si="102"/>
        <v>0</v>
      </c>
      <c r="W34" s="531">
        <f t="shared" si="102"/>
        <v>0</v>
      </c>
      <c r="X34" s="531">
        <f t="shared" si="102"/>
        <v>0</v>
      </c>
      <c r="Y34" s="531">
        <f t="shared" si="102"/>
        <v>0</v>
      </c>
      <c r="Z34" s="531">
        <f t="shared" si="102"/>
        <v>0</v>
      </c>
      <c r="AA34" s="531">
        <f t="shared" si="102"/>
        <v>0</v>
      </c>
      <c r="AB34" s="531">
        <f t="shared" si="102"/>
        <v>0</v>
      </c>
      <c r="AC34" s="531">
        <f t="shared" si="102"/>
        <v>0</v>
      </c>
      <c r="AD34" s="531">
        <f t="shared" si="102"/>
        <v>0</v>
      </c>
      <c r="AE34" s="531">
        <f t="shared" si="102"/>
        <v>0</v>
      </c>
      <c r="AF34" s="531"/>
      <c r="AG34" s="531">
        <f t="shared" si="102"/>
        <v>0</v>
      </c>
      <c r="AH34" s="531">
        <f t="shared" si="102"/>
        <v>0</v>
      </c>
      <c r="AI34" s="531">
        <f t="shared" si="102"/>
        <v>0</v>
      </c>
      <c r="AJ34" s="531">
        <f t="shared" si="102"/>
        <v>0</v>
      </c>
      <c r="AK34" s="531">
        <f t="shared" si="102"/>
        <v>-150</v>
      </c>
      <c r="AL34" s="531">
        <f t="shared" si="102"/>
        <v>-26</v>
      </c>
      <c r="AM34" s="531">
        <f t="shared" si="102"/>
        <v>-189</v>
      </c>
      <c r="AN34" s="531">
        <f t="shared" si="102"/>
        <v>-382</v>
      </c>
      <c r="AO34" s="551">
        <f t="shared" si="102"/>
        <v>-569</v>
      </c>
      <c r="AP34" s="531">
        <f t="shared" si="102"/>
        <v>0</v>
      </c>
      <c r="AQ34" s="531">
        <f t="shared" si="102"/>
        <v>0</v>
      </c>
      <c r="AR34" s="531">
        <f t="shared" si="102"/>
        <v>0</v>
      </c>
      <c r="AS34" s="531">
        <f t="shared" si="102"/>
        <v>0</v>
      </c>
      <c r="AT34" s="531">
        <f t="shared" si="102"/>
        <v>0</v>
      </c>
    </row>
    <row r="35" spans="2:46">
      <c r="C35" s="522" t="s">
        <v>1879</v>
      </c>
      <c r="D35" s="534"/>
      <c r="E35" s="534"/>
      <c r="F35" s="534"/>
      <c r="G35" s="534"/>
      <c r="H35" s="534"/>
      <c r="I35" s="534"/>
      <c r="J35" s="534"/>
      <c r="K35" s="534"/>
      <c r="L35" s="534">
        <f t="shared" ref="L35" si="103">L33/L34-1</f>
        <v>0</v>
      </c>
      <c r="M35" s="534">
        <f t="shared" ref="M35" si="104">M33/M34-1</f>
        <v>0</v>
      </c>
      <c r="N35" s="534">
        <f t="shared" ref="N35" si="105">N33/N34-1</f>
        <v>0</v>
      </c>
      <c r="O35" s="534">
        <f t="shared" ref="O35" si="106">O33/O34-1</f>
        <v>0</v>
      </c>
      <c r="P35" s="534">
        <f t="shared" ref="P35" si="107">P33/P34-1</f>
        <v>0</v>
      </c>
      <c r="Q35" s="534">
        <f t="shared" ref="Q35" si="108">Q33/Q34-1</f>
        <v>0</v>
      </c>
      <c r="R35" s="534">
        <f t="shared" ref="R35" si="109">R33/R34-1</f>
        <v>0</v>
      </c>
      <c r="S35" s="534">
        <f t="shared" ref="S35" si="110">S33/S34-1</f>
        <v>0</v>
      </c>
      <c r="T35" s="534">
        <f t="shared" ref="T35" si="111">T33/T34-1</f>
        <v>0</v>
      </c>
      <c r="U35" s="534">
        <f t="shared" ref="U35" si="112">U33/U34-1</f>
        <v>0</v>
      </c>
      <c r="V35" s="562" t="e">
        <f t="shared" ref="V35" si="113">V33/V34-1</f>
        <v>#DIV/0!</v>
      </c>
      <c r="W35" s="563" t="e">
        <f t="shared" ref="W35" si="114">W33/W34-1</f>
        <v>#DIV/0!</v>
      </c>
      <c r="X35" s="563" t="e">
        <f t="shared" ref="X35" si="115">X33/X34-1</f>
        <v>#DIV/0!</v>
      </c>
      <c r="Y35" s="563" t="e">
        <f t="shared" ref="Y35" si="116">Y33/Y34-1</f>
        <v>#DIV/0!</v>
      </c>
      <c r="Z35" s="563" t="e">
        <f t="shared" ref="Z35" si="117">Z33/Z34-1</f>
        <v>#DIV/0!</v>
      </c>
      <c r="AA35" s="563" t="e">
        <f t="shared" ref="AA35" si="118">AA33/AA34-1</f>
        <v>#DIV/0!</v>
      </c>
      <c r="AB35" s="563" t="e">
        <f t="shared" ref="AB35" si="119">AB33/AB34-1</f>
        <v>#DIV/0!</v>
      </c>
      <c r="AC35" s="563" t="e">
        <f t="shared" ref="AC35" si="120">AC33/AC34-1</f>
        <v>#DIV/0!</v>
      </c>
      <c r="AD35" s="563" t="e">
        <f t="shared" ref="AD35" si="121">AD33/AD34-1</f>
        <v>#DIV/0!</v>
      </c>
      <c r="AE35" s="563" t="e">
        <f t="shared" ref="AE35" si="122">AE33/AE34-1</f>
        <v>#DIV/0!</v>
      </c>
      <c r="AF35" s="534"/>
      <c r="AG35" s="534" t="e">
        <f t="shared" ref="AG35" si="123">AG33/AG34-1</f>
        <v>#DIV/0!</v>
      </c>
      <c r="AH35" s="534" t="e">
        <f t="shared" ref="AH35" si="124">AH33/AH34-1</f>
        <v>#DIV/0!</v>
      </c>
      <c r="AI35" s="534" t="e">
        <f t="shared" ref="AI35" si="125">AI33/AI34-1</f>
        <v>#DIV/0!</v>
      </c>
      <c r="AJ35" s="534" t="e">
        <f t="shared" ref="AJ35" si="126">AJ33/AJ34-1</f>
        <v>#DIV/0!</v>
      </c>
      <c r="AK35" s="534">
        <f t="shared" ref="AK35" si="127">AK33/AK34-1</f>
        <v>0</v>
      </c>
      <c r="AL35" s="534">
        <f t="shared" ref="AL35" si="128">AL33/AL34-1</f>
        <v>0</v>
      </c>
      <c r="AM35" s="534">
        <f t="shared" ref="AM35" si="129">AM33/AM34-1</f>
        <v>0</v>
      </c>
      <c r="AN35" s="534">
        <f t="shared" ref="AN35" si="130">AN33/AN34-1</f>
        <v>0</v>
      </c>
      <c r="AO35" s="552">
        <f t="shared" ref="AO35" si="131">AO33/AO34-1</f>
        <v>0</v>
      </c>
      <c r="AP35" s="563" t="e">
        <f t="shared" ref="AP35" si="132">AP33/AP34-1</f>
        <v>#DIV/0!</v>
      </c>
      <c r="AQ35" s="563" t="e">
        <f t="shared" ref="AQ35" si="133">AQ33/AQ34-1</f>
        <v>#DIV/0!</v>
      </c>
      <c r="AR35" s="563" t="e">
        <f t="shared" ref="AR35" si="134">AR33/AR34-1</f>
        <v>#DIV/0!</v>
      </c>
      <c r="AS35" s="563" t="e">
        <f t="shared" ref="AS35" si="135">AS33/AS34-1</f>
        <v>#DIV/0!</v>
      </c>
      <c r="AT35" s="563" t="e">
        <f t="shared" ref="AT35" si="136">AT33/AT34-1</f>
        <v>#DIV/0!</v>
      </c>
    </row>
    <row r="36" spans="2:46">
      <c r="C36" s="522" t="s">
        <v>1880</v>
      </c>
      <c r="D36" s="535">
        <f>D33-D34</f>
        <v>0</v>
      </c>
      <c r="E36" s="535">
        <f t="shared" ref="E36:AE36" si="137">E33-E34</f>
        <v>0</v>
      </c>
      <c r="F36" s="535">
        <f t="shared" si="137"/>
        <v>0</v>
      </c>
      <c r="G36" s="535">
        <f t="shared" si="137"/>
        <v>0</v>
      </c>
      <c r="H36" s="535">
        <f t="shared" si="137"/>
        <v>0</v>
      </c>
      <c r="I36" s="535">
        <f t="shared" si="137"/>
        <v>0</v>
      </c>
      <c r="J36" s="535">
        <f t="shared" si="137"/>
        <v>0</v>
      </c>
      <c r="K36" s="535">
        <f t="shared" si="137"/>
        <v>0</v>
      </c>
      <c r="L36" s="535">
        <f t="shared" si="137"/>
        <v>0</v>
      </c>
      <c r="M36" s="535">
        <f t="shared" si="137"/>
        <v>0</v>
      </c>
      <c r="N36" s="535">
        <f t="shared" si="137"/>
        <v>0</v>
      </c>
      <c r="O36" s="535">
        <f t="shared" si="137"/>
        <v>0</v>
      </c>
      <c r="P36" s="535">
        <f t="shared" si="137"/>
        <v>0</v>
      </c>
      <c r="Q36" s="535">
        <f t="shared" si="137"/>
        <v>0</v>
      </c>
      <c r="R36" s="535">
        <f t="shared" si="137"/>
        <v>0</v>
      </c>
      <c r="S36" s="535">
        <f t="shared" si="137"/>
        <v>0</v>
      </c>
      <c r="T36" s="535">
        <f t="shared" si="137"/>
        <v>0</v>
      </c>
      <c r="U36" s="535">
        <f t="shared" si="137"/>
        <v>0</v>
      </c>
      <c r="V36" s="553">
        <f t="shared" si="137"/>
        <v>0</v>
      </c>
      <c r="W36" s="535">
        <f t="shared" si="137"/>
        <v>0</v>
      </c>
      <c r="X36" s="535">
        <f t="shared" si="137"/>
        <v>0</v>
      </c>
      <c r="Y36" s="535">
        <f t="shared" si="137"/>
        <v>0</v>
      </c>
      <c r="Z36" s="535">
        <f t="shared" si="137"/>
        <v>0</v>
      </c>
      <c r="AA36" s="535">
        <f t="shared" si="137"/>
        <v>0</v>
      </c>
      <c r="AB36" s="535">
        <f t="shared" si="137"/>
        <v>0</v>
      </c>
      <c r="AC36" s="535">
        <f t="shared" si="137"/>
        <v>0</v>
      </c>
      <c r="AD36" s="535">
        <f t="shared" si="137"/>
        <v>0</v>
      </c>
      <c r="AE36" s="535">
        <f t="shared" si="137"/>
        <v>0</v>
      </c>
      <c r="AF36" s="535"/>
      <c r="AG36" s="535">
        <f t="shared" ref="AG36:AT36" si="138">AG33-AG34</f>
        <v>0</v>
      </c>
      <c r="AH36" s="535">
        <f t="shared" si="138"/>
        <v>0</v>
      </c>
      <c r="AI36" s="535">
        <f t="shared" si="138"/>
        <v>0</v>
      </c>
      <c r="AJ36" s="535">
        <f t="shared" si="138"/>
        <v>0</v>
      </c>
      <c r="AK36" s="535">
        <f t="shared" si="138"/>
        <v>0</v>
      </c>
      <c r="AL36" s="535">
        <f t="shared" si="138"/>
        <v>0</v>
      </c>
      <c r="AM36" s="535">
        <f t="shared" si="138"/>
        <v>0</v>
      </c>
      <c r="AN36" s="535">
        <f t="shared" si="138"/>
        <v>0</v>
      </c>
      <c r="AO36" s="553">
        <f t="shared" si="138"/>
        <v>0</v>
      </c>
      <c r="AP36" s="535">
        <f t="shared" si="138"/>
        <v>0</v>
      </c>
      <c r="AQ36" s="535">
        <f t="shared" si="138"/>
        <v>0</v>
      </c>
      <c r="AR36" s="535">
        <f t="shared" si="138"/>
        <v>0</v>
      </c>
      <c r="AS36" s="535">
        <f t="shared" si="138"/>
        <v>0</v>
      </c>
      <c r="AT36" s="535">
        <f t="shared" si="138"/>
        <v>0</v>
      </c>
    </row>
    <row r="37" spans="2:46">
      <c r="C37" s="522"/>
      <c r="V37" s="550"/>
      <c r="AO37" s="550"/>
    </row>
    <row r="38" spans="2:46">
      <c r="B38" s="525" t="s">
        <v>507</v>
      </c>
      <c r="C38" s="521"/>
      <c r="P38" s="566"/>
      <c r="Q38" s="566"/>
      <c r="R38" s="566"/>
      <c r="S38" s="566"/>
      <c r="T38" s="566"/>
      <c r="U38" s="566"/>
      <c r="V38" s="567"/>
      <c r="AO38" s="550"/>
    </row>
    <row r="39" spans="2:46">
      <c r="B39" t="s">
        <v>1884</v>
      </c>
      <c r="C39" s="521" t="s">
        <v>1877</v>
      </c>
      <c r="D39" s="531">
        <f>D146</f>
        <v>498</v>
      </c>
      <c r="E39" s="531">
        <f t="shared" ref="E39:AT39" si="139">E146</f>
        <v>551</v>
      </c>
      <c r="F39" s="531">
        <f t="shared" si="139"/>
        <v>787</v>
      </c>
      <c r="G39" s="531">
        <f t="shared" si="139"/>
        <v>797</v>
      </c>
      <c r="H39" s="531">
        <f t="shared" si="139"/>
        <v>834</v>
      </c>
      <c r="I39" s="531">
        <f t="shared" si="139"/>
        <v>844</v>
      </c>
      <c r="J39" s="531">
        <f t="shared" si="139"/>
        <v>838</v>
      </c>
      <c r="K39" s="531">
        <f t="shared" si="139"/>
        <v>890</v>
      </c>
      <c r="L39" s="531">
        <f t="shared" si="139"/>
        <v>844</v>
      </c>
      <c r="M39" s="531">
        <f t="shared" si="139"/>
        <v>902</v>
      </c>
      <c r="N39" s="531">
        <f t="shared" si="139"/>
        <v>974</v>
      </c>
      <c r="O39" s="531">
        <f t="shared" si="139"/>
        <v>998</v>
      </c>
      <c r="P39" s="531">
        <f t="shared" si="139"/>
        <v>1197</v>
      </c>
      <c r="Q39" s="531">
        <f t="shared" si="139"/>
        <v>1323</v>
      </c>
      <c r="R39" s="531">
        <f t="shared" si="139"/>
        <v>1360</v>
      </c>
      <c r="S39" s="531">
        <f t="shared" si="139"/>
        <v>1285</v>
      </c>
      <c r="T39" s="531">
        <f t="shared" si="139"/>
        <v>1326</v>
      </c>
      <c r="U39" s="531">
        <f t="shared" si="139"/>
        <v>1391</v>
      </c>
      <c r="V39" s="551">
        <f t="shared" si="139"/>
        <v>1456</v>
      </c>
      <c r="W39" s="531">
        <f t="shared" si="139"/>
        <v>1456.2088231227017</v>
      </c>
      <c r="X39" s="531">
        <f t="shared" si="139"/>
        <v>1537.1357947375461</v>
      </c>
      <c r="Y39" s="531">
        <f t="shared" si="139"/>
        <v>1606.3424205590488</v>
      </c>
      <c r="Z39" s="531">
        <f t="shared" si="139"/>
        <v>1683.4236814378783</v>
      </c>
      <c r="AA39" s="531">
        <f t="shared" si="139"/>
        <v>1742.4312336760486</v>
      </c>
      <c r="AB39" s="531">
        <f t="shared" si="139"/>
        <v>1799.066055340237</v>
      </c>
      <c r="AC39" s="531">
        <f t="shared" si="139"/>
        <v>1837.1870870056916</v>
      </c>
      <c r="AD39" s="531">
        <f t="shared" si="139"/>
        <v>1895.8208692417152</v>
      </c>
      <c r="AE39" s="531">
        <f t="shared" si="139"/>
        <v>1933.9697405335116</v>
      </c>
      <c r="AF39" s="531"/>
      <c r="AG39" s="531">
        <f t="shared" si="139"/>
        <v>1049</v>
      </c>
      <c r="AH39" s="531">
        <f t="shared" si="139"/>
        <v>1584</v>
      </c>
      <c r="AI39" s="531">
        <f t="shared" si="139"/>
        <v>1678</v>
      </c>
      <c r="AJ39" s="531">
        <f t="shared" si="139"/>
        <v>1728</v>
      </c>
      <c r="AK39" s="531">
        <f t="shared" si="139"/>
        <v>1746</v>
      </c>
      <c r="AL39" s="531">
        <f t="shared" si="139"/>
        <v>1972</v>
      </c>
      <c r="AM39" s="531">
        <f t="shared" si="139"/>
        <v>2520</v>
      </c>
      <c r="AN39" s="531">
        <f t="shared" si="139"/>
        <v>2645</v>
      </c>
      <c r="AO39" s="551">
        <f t="shared" si="139"/>
        <v>2717</v>
      </c>
      <c r="AP39" s="531">
        <f t="shared" si="139"/>
        <v>2912.2088231227017</v>
      </c>
      <c r="AQ39" s="531">
        <f t="shared" si="139"/>
        <v>3143.478215296595</v>
      </c>
      <c r="AR39" s="531">
        <f t="shared" si="139"/>
        <v>3425.8549151139268</v>
      </c>
      <c r="AS39" s="531">
        <f t="shared" si="139"/>
        <v>3636.2531423459286</v>
      </c>
      <c r="AT39" s="531">
        <f t="shared" si="139"/>
        <v>3829.7906097752266</v>
      </c>
    </row>
    <row r="40" spans="2:46">
      <c r="B40" s="524"/>
      <c r="C40" s="521" t="s">
        <v>1878</v>
      </c>
      <c r="D40" s="531">
        <f>D193</f>
        <v>498</v>
      </c>
      <c r="E40" s="531">
        <f t="shared" ref="E40:AT40" si="140">E193</f>
        <v>551</v>
      </c>
      <c r="F40" s="531">
        <f t="shared" si="140"/>
        <v>787</v>
      </c>
      <c r="G40" s="531">
        <f t="shared" si="140"/>
        <v>797</v>
      </c>
      <c r="H40" s="531">
        <f t="shared" si="140"/>
        <v>834</v>
      </c>
      <c r="I40" s="531">
        <f t="shared" si="140"/>
        <v>844</v>
      </c>
      <c r="J40" s="531">
        <f t="shared" si="140"/>
        <v>838</v>
      </c>
      <c r="K40" s="531">
        <f t="shared" si="140"/>
        <v>890</v>
      </c>
      <c r="L40" s="531">
        <f t="shared" si="140"/>
        <v>844</v>
      </c>
      <c r="M40" s="531">
        <f t="shared" si="140"/>
        <v>902</v>
      </c>
      <c r="N40" s="531">
        <f t="shared" si="140"/>
        <v>974</v>
      </c>
      <c r="O40" s="531">
        <f t="shared" si="140"/>
        <v>998</v>
      </c>
      <c r="P40" s="531">
        <f t="shared" si="140"/>
        <v>1197</v>
      </c>
      <c r="Q40" s="531">
        <f t="shared" si="140"/>
        <v>1323</v>
      </c>
      <c r="R40" s="531">
        <f t="shared" si="140"/>
        <v>1360</v>
      </c>
      <c r="S40" s="531">
        <f t="shared" si="140"/>
        <v>1285</v>
      </c>
      <c r="T40" s="531">
        <f t="shared" si="140"/>
        <v>1326</v>
      </c>
      <c r="U40" s="531">
        <f t="shared" si="140"/>
        <v>1391</v>
      </c>
      <c r="V40" s="551">
        <f t="shared" si="140"/>
        <v>1456</v>
      </c>
      <c r="W40" s="531">
        <f t="shared" si="140"/>
        <v>1535.528156705486</v>
      </c>
      <c r="X40" s="531">
        <f t="shared" si="140"/>
        <v>1614.2470304202898</v>
      </c>
      <c r="Y40" s="531">
        <f t="shared" si="140"/>
        <v>1661.6202424829182</v>
      </c>
      <c r="Z40" s="531">
        <f t="shared" si="140"/>
        <v>1706.9300738394261</v>
      </c>
      <c r="AA40" s="531">
        <f t="shared" si="140"/>
        <v>1739.091354431567</v>
      </c>
      <c r="AB40" s="531">
        <f t="shared" si="140"/>
        <v>1787.398188596103</v>
      </c>
      <c r="AC40" s="531">
        <f t="shared" si="140"/>
        <v>1820.9298598537848</v>
      </c>
      <c r="AD40" s="531">
        <f t="shared" si="140"/>
        <v>1881.2319012757107</v>
      </c>
      <c r="AE40" s="531">
        <f t="shared" si="140"/>
        <v>1921.4239151263753</v>
      </c>
      <c r="AF40" s="531"/>
      <c r="AG40" s="531">
        <f t="shared" si="140"/>
        <v>1049</v>
      </c>
      <c r="AH40" s="531">
        <f t="shared" si="140"/>
        <v>1584</v>
      </c>
      <c r="AI40" s="531">
        <f t="shared" si="140"/>
        <v>1678</v>
      </c>
      <c r="AJ40" s="531">
        <f t="shared" si="140"/>
        <v>1728</v>
      </c>
      <c r="AK40" s="531">
        <f t="shared" si="140"/>
        <v>1746</v>
      </c>
      <c r="AL40" s="531">
        <f t="shared" si="140"/>
        <v>1972</v>
      </c>
      <c r="AM40" s="531">
        <f t="shared" si="140"/>
        <v>2520</v>
      </c>
      <c r="AN40" s="531">
        <f t="shared" si="140"/>
        <v>2645</v>
      </c>
      <c r="AO40" s="551">
        <f t="shared" si="140"/>
        <v>2717</v>
      </c>
      <c r="AP40" s="531">
        <f t="shared" si="140"/>
        <v>2991.5281567054863</v>
      </c>
      <c r="AQ40" s="531">
        <f t="shared" si="140"/>
        <v>3275.8672729032078</v>
      </c>
      <c r="AR40" s="531">
        <f t="shared" si="140"/>
        <v>3446.0214282709931</v>
      </c>
      <c r="AS40" s="531">
        <f t="shared" si="140"/>
        <v>3608.3280484498878</v>
      </c>
      <c r="AT40" s="531">
        <f t="shared" si="140"/>
        <v>3802.6558164020862</v>
      </c>
    </row>
    <row r="41" spans="2:46">
      <c r="C41" s="522" t="s">
        <v>1879</v>
      </c>
      <c r="D41" s="534">
        <f>D39/D40-1</f>
        <v>0</v>
      </c>
      <c r="E41" s="534">
        <f t="shared" ref="E41" si="141">E39/E40-1</f>
        <v>0</v>
      </c>
      <c r="F41" s="534">
        <f t="shared" ref="F41" si="142">F39/F40-1</f>
        <v>0</v>
      </c>
      <c r="G41" s="534">
        <f t="shared" ref="G41" si="143">G39/G40-1</f>
        <v>0</v>
      </c>
      <c r="H41" s="534">
        <f t="shared" ref="H41" si="144">H39/H40-1</f>
        <v>0</v>
      </c>
      <c r="I41" s="534">
        <f t="shared" ref="I41" si="145">I39/I40-1</f>
        <v>0</v>
      </c>
      <c r="J41" s="534">
        <f t="shared" ref="J41" si="146">J39/J40-1</f>
        <v>0</v>
      </c>
      <c r="K41" s="534">
        <f t="shared" ref="K41" si="147">K39/K40-1</f>
        <v>0</v>
      </c>
      <c r="L41" s="534">
        <f t="shared" ref="L41" si="148">L39/L40-1</f>
        <v>0</v>
      </c>
      <c r="M41" s="534">
        <f t="shared" ref="M41" si="149">M39/M40-1</f>
        <v>0</v>
      </c>
      <c r="N41" s="534">
        <f t="shared" ref="N41" si="150">N39/N40-1</f>
        <v>0</v>
      </c>
      <c r="O41" s="534">
        <f t="shared" ref="O41" si="151">O39/O40-1</f>
        <v>0</v>
      </c>
      <c r="P41" s="534">
        <f t="shared" ref="P41" si="152">P39/P40-1</f>
        <v>0</v>
      </c>
      <c r="Q41" s="534">
        <f t="shared" ref="Q41" si="153">Q39/Q40-1</f>
        <v>0</v>
      </c>
      <c r="R41" s="534">
        <f t="shared" ref="R41" si="154">R39/R40-1</f>
        <v>0</v>
      </c>
      <c r="S41" s="534">
        <f t="shared" ref="S41" si="155">S39/S40-1</f>
        <v>0</v>
      </c>
      <c r="T41" s="534">
        <f t="shared" ref="T41" si="156">T39/T40-1</f>
        <v>0</v>
      </c>
      <c r="U41" s="534">
        <f t="shared" ref="U41" si="157">U39/U40-1</f>
        <v>0</v>
      </c>
      <c r="V41" s="552">
        <f t="shared" ref="V41" si="158">V39/V40-1</f>
        <v>0</v>
      </c>
      <c r="W41" s="534">
        <f t="shared" ref="W41" si="159">W39/W40-1</f>
        <v>-5.1656059341149363E-2</v>
      </c>
      <c r="X41" s="534">
        <f t="shared" ref="X41" si="160">X39/X40-1</f>
        <v>-4.7769166818703579E-2</v>
      </c>
      <c r="Y41" s="534">
        <f t="shared" ref="Y41" si="161">Y39/Y40-1</f>
        <v>-3.3267422068275376E-2</v>
      </c>
      <c r="Z41" s="534">
        <f t="shared" ref="Z41" si="162">Z39/Z40-1</f>
        <v>-1.3771151356349653E-2</v>
      </c>
      <c r="AA41" s="534">
        <f t="shared" ref="AA41" si="163">AA39/AA40-1</f>
        <v>1.9204737209295164E-3</v>
      </c>
      <c r="AB41" s="534">
        <f t="shared" ref="AB41" si="164">AB39/AB40-1</f>
        <v>6.5278497083509635E-3</v>
      </c>
      <c r="AC41" s="534">
        <f t="shared" ref="AC41" si="165">AC39/AC40-1</f>
        <v>8.9279809784723607E-3</v>
      </c>
      <c r="AD41" s="534">
        <f t="shared" ref="AD41" si="166">AD39/AD40-1</f>
        <v>7.7550077457815281E-3</v>
      </c>
      <c r="AE41" s="534">
        <f t="shared" ref="AE41" si="167">AE39/AE40-1</f>
        <v>6.5294416856007675E-3</v>
      </c>
      <c r="AF41" s="534"/>
      <c r="AG41" s="534">
        <f t="shared" ref="AG41" si="168">AG39/AG40-1</f>
        <v>0</v>
      </c>
      <c r="AH41" s="534">
        <f t="shared" ref="AH41" si="169">AH39/AH40-1</f>
        <v>0</v>
      </c>
      <c r="AI41" s="534">
        <f t="shared" ref="AI41" si="170">AI39/AI40-1</f>
        <v>0</v>
      </c>
      <c r="AJ41" s="534">
        <f t="shared" ref="AJ41" si="171">AJ39/AJ40-1</f>
        <v>0</v>
      </c>
      <c r="AK41" s="534">
        <f t="shared" ref="AK41" si="172">AK39/AK40-1</f>
        <v>0</v>
      </c>
      <c r="AL41" s="534">
        <f t="shared" ref="AL41" si="173">AL39/AL40-1</f>
        <v>0</v>
      </c>
      <c r="AM41" s="534">
        <f t="shared" ref="AM41" si="174">AM39/AM40-1</f>
        <v>0</v>
      </c>
      <c r="AN41" s="534">
        <f t="shared" ref="AN41" si="175">AN39/AN40-1</f>
        <v>0</v>
      </c>
      <c r="AO41" s="552">
        <f t="shared" ref="AO41" si="176">AO39/AO40-1</f>
        <v>0</v>
      </c>
      <c r="AP41" s="534">
        <f t="shared" ref="AP41" si="177">AP39/AP40-1</f>
        <v>-2.6514653858427106E-2</v>
      </c>
      <c r="AQ41" s="534">
        <f t="shared" ref="AQ41" si="178">AQ39/AQ40-1</f>
        <v>-4.0413437596110047E-2</v>
      </c>
      <c r="AR41" s="534">
        <f t="shared" ref="AR41" si="179">AR39/AR40-1</f>
        <v>-5.8521148451431415E-3</v>
      </c>
      <c r="AS41" s="534">
        <f t="shared" ref="AS41" si="180">AS39/AS40-1</f>
        <v>7.7390673799841991E-3</v>
      </c>
      <c r="AT41" s="534">
        <f t="shared" ref="AT41" si="181">AT39/AT40-1</f>
        <v>7.1357479307223581E-3</v>
      </c>
    </row>
    <row r="42" spans="2:46">
      <c r="C42" s="522" t="s">
        <v>1880</v>
      </c>
      <c r="D42" s="535">
        <f>D39-D40</f>
        <v>0</v>
      </c>
      <c r="E42" s="535">
        <f t="shared" ref="E42:AE42" si="182">E39-E40</f>
        <v>0</v>
      </c>
      <c r="F42" s="535">
        <f t="shared" si="182"/>
        <v>0</v>
      </c>
      <c r="G42" s="535">
        <f t="shared" si="182"/>
        <v>0</v>
      </c>
      <c r="H42" s="535">
        <f t="shared" si="182"/>
        <v>0</v>
      </c>
      <c r="I42" s="535">
        <f t="shared" si="182"/>
        <v>0</v>
      </c>
      <c r="J42" s="535">
        <f t="shared" si="182"/>
        <v>0</v>
      </c>
      <c r="K42" s="535">
        <f t="shared" si="182"/>
        <v>0</v>
      </c>
      <c r="L42" s="535">
        <f t="shared" si="182"/>
        <v>0</v>
      </c>
      <c r="M42" s="535">
        <f t="shared" si="182"/>
        <v>0</v>
      </c>
      <c r="N42" s="535">
        <f t="shared" si="182"/>
        <v>0</v>
      </c>
      <c r="O42" s="535">
        <f t="shared" si="182"/>
        <v>0</v>
      </c>
      <c r="P42" s="535">
        <f t="shared" si="182"/>
        <v>0</v>
      </c>
      <c r="Q42" s="535">
        <f t="shared" si="182"/>
        <v>0</v>
      </c>
      <c r="R42" s="535">
        <f t="shared" si="182"/>
        <v>0</v>
      </c>
      <c r="S42" s="535">
        <f t="shared" si="182"/>
        <v>0</v>
      </c>
      <c r="T42" s="535">
        <f t="shared" si="182"/>
        <v>0</v>
      </c>
      <c r="U42" s="535">
        <f t="shared" si="182"/>
        <v>0</v>
      </c>
      <c r="V42" s="553">
        <f t="shared" si="182"/>
        <v>0</v>
      </c>
      <c r="W42" s="535">
        <f t="shared" si="182"/>
        <v>-79.319333582784338</v>
      </c>
      <c r="X42" s="535">
        <f t="shared" si="182"/>
        <v>-77.111235682743654</v>
      </c>
      <c r="Y42" s="535">
        <f t="shared" si="182"/>
        <v>-55.277821923869396</v>
      </c>
      <c r="Z42" s="535">
        <f t="shared" si="182"/>
        <v>-23.506392401547828</v>
      </c>
      <c r="AA42" s="535">
        <f t="shared" si="182"/>
        <v>3.3398792444816081</v>
      </c>
      <c r="AB42" s="535">
        <f t="shared" si="182"/>
        <v>11.667866744134017</v>
      </c>
      <c r="AC42" s="535">
        <f t="shared" si="182"/>
        <v>16.257227151906818</v>
      </c>
      <c r="AD42" s="535">
        <f t="shared" si="182"/>
        <v>14.588967966004475</v>
      </c>
      <c r="AE42" s="535">
        <f t="shared" si="182"/>
        <v>12.545825407136363</v>
      </c>
      <c r="AF42" s="535"/>
      <c r="AG42" s="535">
        <f t="shared" ref="AG42:AT42" si="183">AG39-AG40</f>
        <v>0</v>
      </c>
      <c r="AH42" s="535">
        <f t="shared" si="183"/>
        <v>0</v>
      </c>
      <c r="AI42" s="535">
        <f t="shared" si="183"/>
        <v>0</v>
      </c>
      <c r="AJ42" s="535">
        <f t="shared" si="183"/>
        <v>0</v>
      </c>
      <c r="AK42" s="535">
        <f t="shared" si="183"/>
        <v>0</v>
      </c>
      <c r="AL42" s="535">
        <f t="shared" si="183"/>
        <v>0</v>
      </c>
      <c r="AM42" s="535">
        <f t="shared" si="183"/>
        <v>0</v>
      </c>
      <c r="AN42" s="535">
        <f t="shared" si="183"/>
        <v>0</v>
      </c>
      <c r="AO42" s="553">
        <f t="shared" si="183"/>
        <v>0</v>
      </c>
      <c r="AP42" s="535">
        <f t="shared" si="183"/>
        <v>-79.319333582784566</v>
      </c>
      <c r="AQ42" s="535">
        <f t="shared" si="183"/>
        <v>-132.38905760661282</v>
      </c>
      <c r="AR42" s="535">
        <f t="shared" si="183"/>
        <v>-20.16651315706622</v>
      </c>
      <c r="AS42" s="535">
        <f t="shared" si="183"/>
        <v>27.925093896040835</v>
      </c>
      <c r="AT42" s="535">
        <f t="shared" si="183"/>
        <v>27.134793373140383</v>
      </c>
    </row>
    <row r="43" spans="2:46">
      <c r="C43" s="521"/>
      <c r="V43" s="550"/>
      <c r="AO43" s="550"/>
    </row>
    <row r="44" spans="2:46">
      <c r="B44" t="s">
        <v>1889</v>
      </c>
      <c r="C44" s="521" t="s">
        <v>1877</v>
      </c>
      <c r="D44" s="531">
        <f>D147</f>
        <v>256</v>
      </c>
      <c r="E44" s="531">
        <f t="shared" ref="E44:AT44" si="184">E147</f>
        <v>216</v>
      </c>
      <c r="F44" s="531">
        <f t="shared" si="184"/>
        <v>248</v>
      </c>
      <c r="G44" s="531">
        <f t="shared" si="184"/>
        <v>244</v>
      </c>
      <c r="H44" s="531">
        <f t="shared" si="184"/>
        <v>244</v>
      </c>
      <c r="I44" s="531">
        <f t="shared" si="184"/>
        <v>232</v>
      </c>
      <c r="J44" s="531">
        <f t="shared" si="184"/>
        <v>226</v>
      </c>
      <c r="K44" s="531">
        <f t="shared" si="184"/>
        <v>219</v>
      </c>
      <c r="L44" s="531">
        <f t="shared" si="184"/>
        <v>203</v>
      </c>
      <c r="M44" s="531">
        <f t="shared" si="184"/>
        <v>216</v>
      </c>
      <c r="N44" s="531">
        <f t="shared" si="184"/>
        <v>220</v>
      </c>
      <c r="O44" s="531">
        <f t="shared" si="184"/>
        <v>237</v>
      </c>
      <c r="P44" s="531">
        <f t="shared" si="184"/>
        <v>249</v>
      </c>
      <c r="Q44" s="531">
        <f t="shared" si="184"/>
        <v>255</v>
      </c>
      <c r="R44" s="531">
        <f t="shared" si="184"/>
        <v>273</v>
      </c>
      <c r="S44" s="531">
        <f t="shared" si="184"/>
        <v>281</v>
      </c>
      <c r="T44" s="531">
        <f t="shared" si="184"/>
        <v>304</v>
      </c>
      <c r="U44" s="531">
        <f t="shared" si="184"/>
        <v>307</v>
      </c>
      <c r="V44" s="551">
        <f t="shared" si="184"/>
        <v>329</v>
      </c>
      <c r="W44" s="531">
        <f t="shared" si="184"/>
        <v>336.608</v>
      </c>
      <c r="X44" s="531">
        <f t="shared" si="184"/>
        <v>346.34624000000002</v>
      </c>
      <c r="Y44" s="531">
        <f t="shared" si="184"/>
        <v>356.37662720000003</v>
      </c>
      <c r="Z44" s="531">
        <f t="shared" si="184"/>
        <v>366.70792601600004</v>
      </c>
      <c r="AA44" s="531">
        <f t="shared" si="184"/>
        <v>377.34916379648007</v>
      </c>
      <c r="AB44" s="531">
        <f t="shared" si="184"/>
        <v>388.30963871037449</v>
      </c>
      <c r="AC44" s="531">
        <f t="shared" si="184"/>
        <v>399.5989278716857</v>
      </c>
      <c r="AD44" s="531">
        <f t="shared" si="184"/>
        <v>411.22689570783626</v>
      </c>
      <c r="AE44" s="531">
        <f t="shared" si="184"/>
        <v>423.20370257907138</v>
      </c>
      <c r="AF44" s="531"/>
      <c r="AG44" s="531">
        <f t="shared" si="184"/>
        <v>472</v>
      </c>
      <c r="AH44" s="531">
        <f t="shared" si="184"/>
        <v>492</v>
      </c>
      <c r="AI44" s="531">
        <f t="shared" si="184"/>
        <v>476</v>
      </c>
      <c r="AJ44" s="531">
        <f t="shared" si="184"/>
        <v>445</v>
      </c>
      <c r="AK44" s="531">
        <f t="shared" si="184"/>
        <v>419</v>
      </c>
      <c r="AL44" s="531">
        <f t="shared" si="184"/>
        <v>457</v>
      </c>
      <c r="AM44" s="531">
        <f t="shared" si="184"/>
        <v>504</v>
      </c>
      <c r="AN44" s="531">
        <f t="shared" si="184"/>
        <v>554</v>
      </c>
      <c r="AO44" s="551">
        <f t="shared" si="184"/>
        <v>611</v>
      </c>
      <c r="AP44" s="531">
        <f t="shared" si="184"/>
        <v>665.60799999999995</v>
      </c>
      <c r="AQ44" s="531">
        <f t="shared" si="184"/>
        <v>702.72286720000011</v>
      </c>
      <c r="AR44" s="531">
        <f t="shared" si="184"/>
        <v>744.05708981248017</v>
      </c>
      <c r="AS44" s="531">
        <f t="shared" si="184"/>
        <v>787.90856658206019</v>
      </c>
      <c r="AT44" s="531">
        <f t="shared" si="184"/>
        <v>834.43059828690764</v>
      </c>
    </row>
    <row r="45" spans="2:46">
      <c r="C45" s="521" t="s">
        <v>1878</v>
      </c>
      <c r="D45" s="531">
        <f>D194</f>
        <v>256</v>
      </c>
      <c r="E45" s="531">
        <f t="shared" ref="E45:AT45" si="185">E194</f>
        <v>216</v>
      </c>
      <c r="F45" s="531">
        <f t="shared" si="185"/>
        <v>248</v>
      </c>
      <c r="G45" s="531">
        <f t="shared" si="185"/>
        <v>244</v>
      </c>
      <c r="H45" s="531">
        <f t="shared" si="185"/>
        <v>244</v>
      </c>
      <c r="I45" s="531">
        <f t="shared" si="185"/>
        <v>232</v>
      </c>
      <c r="J45" s="531">
        <f t="shared" si="185"/>
        <v>226</v>
      </c>
      <c r="K45" s="531">
        <f t="shared" si="185"/>
        <v>219</v>
      </c>
      <c r="L45" s="531">
        <f t="shared" si="185"/>
        <v>203</v>
      </c>
      <c r="M45" s="531">
        <f t="shared" si="185"/>
        <v>216</v>
      </c>
      <c r="N45" s="531">
        <f t="shared" si="185"/>
        <v>220</v>
      </c>
      <c r="O45" s="531">
        <f t="shared" si="185"/>
        <v>237</v>
      </c>
      <c r="P45" s="531">
        <f t="shared" si="185"/>
        <v>249</v>
      </c>
      <c r="Q45" s="531">
        <f t="shared" si="185"/>
        <v>255</v>
      </c>
      <c r="R45" s="531">
        <f t="shared" si="185"/>
        <v>273</v>
      </c>
      <c r="S45" s="531">
        <f t="shared" si="185"/>
        <v>281</v>
      </c>
      <c r="T45" s="531">
        <f t="shared" si="185"/>
        <v>304</v>
      </c>
      <c r="U45" s="531">
        <f t="shared" si="185"/>
        <v>307</v>
      </c>
      <c r="V45" s="551">
        <f t="shared" si="185"/>
        <v>329</v>
      </c>
      <c r="W45" s="531">
        <f t="shared" si="185"/>
        <v>336.608</v>
      </c>
      <c r="X45" s="531">
        <f t="shared" si="185"/>
        <v>346.34624000000002</v>
      </c>
      <c r="Y45" s="531">
        <f t="shared" si="185"/>
        <v>356.37662720000003</v>
      </c>
      <c r="Z45" s="531">
        <f t="shared" si="185"/>
        <v>366.70792601600004</v>
      </c>
      <c r="AA45" s="531">
        <f t="shared" si="185"/>
        <v>377.34916379648007</v>
      </c>
      <c r="AB45" s="531">
        <f t="shared" si="185"/>
        <v>388.30963871037449</v>
      </c>
      <c r="AC45" s="531">
        <f t="shared" si="185"/>
        <v>399.5989278716857</v>
      </c>
      <c r="AD45" s="531">
        <f t="shared" si="185"/>
        <v>411.22689570783626</v>
      </c>
      <c r="AE45" s="531">
        <f t="shared" si="185"/>
        <v>423.20370257907138</v>
      </c>
      <c r="AF45" s="531"/>
      <c r="AG45" s="531">
        <f t="shared" si="185"/>
        <v>472</v>
      </c>
      <c r="AH45" s="531">
        <f t="shared" si="185"/>
        <v>492</v>
      </c>
      <c r="AI45" s="531">
        <f t="shared" si="185"/>
        <v>476</v>
      </c>
      <c r="AJ45" s="531">
        <f t="shared" si="185"/>
        <v>445</v>
      </c>
      <c r="AK45" s="531">
        <f t="shared" si="185"/>
        <v>419</v>
      </c>
      <c r="AL45" s="531">
        <f t="shared" si="185"/>
        <v>457</v>
      </c>
      <c r="AM45" s="531">
        <f t="shared" si="185"/>
        <v>504</v>
      </c>
      <c r="AN45" s="531">
        <f t="shared" si="185"/>
        <v>554</v>
      </c>
      <c r="AO45" s="551">
        <f t="shared" si="185"/>
        <v>611</v>
      </c>
      <c r="AP45" s="531">
        <f t="shared" si="185"/>
        <v>665.60799999999995</v>
      </c>
      <c r="AQ45" s="531">
        <f t="shared" si="185"/>
        <v>702.72286720000011</v>
      </c>
      <c r="AR45" s="531">
        <f t="shared" si="185"/>
        <v>744.05708981248017</v>
      </c>
      <c r="AS45" s="531">
        <f t="shared" si="185"/>
        <v>787.90856658206019</v>
      </c>
      <c r="AT45" s="531">
        <f t="shared" si="185"/>
        <v>834.43059828690764</v>
      </c>
    </row>
    <row r="46" spans="2:46">
      <c r="C46" s="522" t="s">
        <v>1879</v>
      </c>
      <c r="D46" s="534">
        <f>D44/D45-1</f>
        <v>0</v>
      </c>
      <c r="E46" s="534">
        <f t="shared" ref="E46" si="186">E44/E45-1</f>
        <v>0</v>
      </c>
      <c r="F46" s="534">
        <f t="shared" ref="F46" si="187">F44/F45-1</f>
        <v>0</v>
      </c>
      <c r="G46" s="534">
        <f t="shared" ref="G46" si="188">G44/G45-1</f>
        <v>0</v>
      </c>
      <c r="H46" s="534">
        <f t="shared" ref="H46" si="189">H44/H45-1</f>
        <v>0</v>
      </c>
      <c r="I46" s="534">
        <f t="shared" ref="I46" si="190">I44/I45-1</f>
        <v>0</v>
      </c>
      <c r="J46" s="534">
        <f t="shared" ref="J46" si="191">J44/J45-1</f>
        <v>0</v>
      </c>
      <c r="K46" s="534">
        <f t="shared" ref="K46" si="192">K44/K45-1</f>
        <v>0</v>
      </c>
      <c r="L46" s="534">
        <f t="shared" ref="L46" si="193">L44/L45-1</f>
        <v>0</v>
      </c>
      <c r="M46" s="534">
        <f t="shared" ref="M46" si="194">M44/M45-1</f>
        <v>0</v>
      </c>
      <c r="N46" s="534">
        <f t="shared" ref="N46" si="195">N44/N45-1</f>
        <v>0</v>
      </c>
      <c r="O46" s="534">
        <f t="shared" ref="O46" si="196">O44/O45-1</f>
        <v>0</v>
      </c>
      <c r="P46" s="534">
        <f t="shared" ref="P46" si="197">P44/P45-1</f>
        <v>0</v>
      </c>
      <c r="Q46" s="534">
        <f t="shared" ref="Q46" si="198">Q44/Q45-1</f>
        <v>0</v>
      </c>
      <c r="R46" s="534">
        <f t="shared" ref="R46" si="199">R44/R45-1</f>
        <v>0</v>
      </c>
      <c r="S46" s="534">
        <f t="shared" ref="S46" si="200">S44/S45-1</f>
        <v>0</v>
      </c>
      <c r="T46" s="534">
        <f t="shared" ref="T46" si="201">T44/T45-1</f>
        <v>0</v>
      </c>
      <c r="U46" s="534">
        <f t="shared" ref="U46" si="202">U44/U45-1</f>
        <v>0</v>
      </c>
      <c r="V46" s="552">
        <f t="shared" ref="V46" si="203">V44/V45-1</f>
        <v>0</v>
      </c>
      <c r="W46" s="534">
        <f t="shared" ref="W46" si="204">W44/W45-1</f>
        <v>0</v>
      </c>
      <c r="X46" s="534">
        <f t="shared" ref="X46" si="205">X44/X45-1</f>
        <v>0</v>
      </c>
      <c r="Y46" s="534">
        <f t="shared" ref="Y46" si="206">Y44/Y45-1</f>
        <v>0</v>
      </c>
      <c r="Z46" s="534">
        <f t="shared" ref="Z46" si="207">Z44/Z45-1</f>
        <v>0</v>
      </c>
      <c r="AA46" s="534">
        <f t="shared" ref="AA46" si="208">AA44/AA45-1</f>
        <v>0</v>
      </c>
      <c r="AB46" s="534">
        <f t="shared" ref="AB46" si="209">AB44/AB45-1</f>
        <v>0</v>
      </c>
      <c r="AC46" s="534">
        <f t="shared" ref="AC46" si="210">AC44/AC45-1</f>
        <v>0</v>
      </c>
      <c r="AD46" s="534">
        <f t="shared" ref="AD46" si="211">AD44/AD45-1</f>
        <v>0</v>
      </c>
      <c r="AE46" s="534">
        <f t="shared" ref="AE46" si="212">AE44/AE45-1</f>
        <v>0</v>
      </c>
      <c r="AF46" s="534"/>
      <c r="AG46" s="534">
        <f t="shared" ref="AG46" si="213">AG44/AG45-1</f>
        <v>0</v>
      </c>
      <c r="AH46" s="534">
        <f t="shared" ref="AH46" si="214">AH44/AH45-1</f>
        <v>0</v>
      </c>
      <c r="AI46" s="534">
        <f t="shared" ref="AI46" si="215">AI44/AI45-1</f>
        <v>0</v>
      </c>
      <c r="AJ46" s="534">
        <f t="shared" ref="AJ46" si="216">AJ44/AJ45-1</f>
        <v>0</v>
      </c>
      <c r="AK46" s="534">
        <f t="shared" ref="AK46" si="217">AK44/AK45-1</f>
        <v>0</v>
      </c>
      <c r="AL46" s="534">
        <f t="shared" ref="AL46" si="218">AL44/AL45-1</f>
        <v>0</v>
      </c>
      <c r="AM46" s="534">
        <f t="shared" ref="AM46" si="219">AM44/AM45-1</f>
        <v>0</v>
      </c>
      <c r="AN46" s="534">
        <f t="shared" ref="AN46" si="220">AN44/AN45-1</f>
        <v>0</v>
      </c>
      <c r="AO46" s="552">
        <f t="shared" ref="AO46" si="221">AO44/AO45-1</f>
        <v>0</v>
      </c>
      <c r="AP46" s="534">
        <f t="shared" ref="AP46" si="222">AP44/AP45-1</f>
        <v>0</v>
      </c>
      <c r="AQ46" s="534">
        <f t="shared" ref="AQ46" si="223">AQ44/AQ45-1</f>
        <v>0</v>
      </c>
      <c r="AR46" s="534">
        <f t="shared" ref="AR46" si="224">AR44/AR45-1</f>
        <v>0</v>
      </c>
      <c r="AS46" s="534">
        <f t="shared" ref="AS46" si="225">AS44/AS45-1</f>
        <v>0</v>
      </c>
      <c r="AT46" s="534">
        <f t="shared" ref="AT46" si="226">AT44/AT45-1</f>
        <v>0</v>
      </c>
    </row>
    <row r="47" spans="2:46">
      <c r="C47" s="522" t="s">
        <v>1880</v>
      </c>
      <c r="D47" s="535">
        <f>D44-D45</f>
        <v>0</v>
      </c>
      <c r="E47" s="535">
        <f t="shared" ref="E47:AE47" si="227">E44-E45</f>
        <v>0</v>
      </c>
      <c r="F47" s="535">
        <f t="shared" si="227"/>
        <v>0</v>
      </c>
      <c r="G47" s="535">
        <f t="shared" si="227"/>
        <v>0</v>
      </c>
      <c r="H47" s="535">
        <f t="shared" si="227"/>
        <v>0</v>
      </c>
      <c r="I47" s="535">
        <f t="shared" si="227"/>
        <v>0</v>
      </c>
      <c r="J47" s="535">
        <f t="shared" si="227"/>
        <v>0</v>
      </c>
      <c r="K47" s="535">
        <f t="shared" si="227"/>
        <v>0</v>
      </c>
      <c r="L47" s="535">
        <f t="shared" si="227"/>
        <v>0</v>
      </c>
      <c r="M47" s="535">
        <f t="shared" si="227"/>
        <v>0</v>
      </c>
      <c r="N47" s="535">
        <f t="shared" si="227"/>
        <v>0</v>
      </c>
      <c r="O47" s="535">
        <f t="shared" si="227"/>
        <v>0</v>
      </c>
      <c r="P47" s="535">
        <f t="shared" si="227"/>
        <v>0</v>
      </c>
      <c r="Q47" s="535">
        <f t="shared" si="227"/>
        <v>0</v>
      </c>
      <c r="R47" s="535">
        <f t="shared" si="227"/>
        <v>0</v>
      </c>
      <c r="S47" s="535">
        <f t="shared" si="227"/>
        <v>0</v>
      </c>
      <c r="T47" s="535">
        <f t="shared" si="227"/>
        <v>0</v>
      </c>
      <c r="U47" s="535">
        <f t="shared" si="227"/>
        <v>0</v>
      </c>
      <c r="V47" s="553">
        <f t="shared" si="227"/>
        <v>0</v>
      </c>
      <c r="W47" s="535">
        <f t="shared" si="227"/>
        <v>0</v>
      </c>
      <c r="X47" s="535">
        <f t="shared" si="227"/>
        <v>0</v>
      </c>
      <c r="Y47" s="535">
        <f t="shared" si="227"/>
        <v>0</v>
      </c>
      <c r="Z47" s="535">
        <f t="shared" si="227"/>
        <v>0</v>
      </c>
      <c r="AA47" s="535">
        <f t="shared" si="227"/>
        <v>0</v>
      </c>
      <c r="AB47" s="535">
        <f t="shared" si="227"/>
        <v>0</v>
      </c>
      <c r="AC47" s="535">
        <f t="shared" si="227"/>
        <v>0</v>
      </c>
      <c r="AD47" s="535">
        <f t="shared" si="227"/>
        <v>0</v>
      </c>
      <c r="AE47" s="535">
        <f t="shared" si="227"/>
        <v>0</v>
      </c>
      <c r="AF47" s="535"/>
      <c r="AG47" s="535">
        <f t="shared" ref="AG47:AT47" si="228">AG44-AG45</f>
        <v>0</v>
      </c>
      <c r="AH47" s="535">
        <f t="shared" si="228"/>
        <v>0</v>
      </c>
      <c r="AI47" s="535">
        <f t="shared" si="228"/>
        <v>0</v>
      </c>
      <c r="AJ47" s="535">
        <f t="shared" si="228"/>
        <v>0</v>
      </c>
      <c r="AK47" s="535">
        <f t="shared" si="228"/>
        <v>0</v>
      </c>
      <c r="AL47" s="535">
        <f t="shared" si="228"/>
        <v>0</v>
      </c>
      <c r="AM47" s="535">
        <f t="shared" si="228"/>
        <v>0</v>
      </c>
      <c r="AN47" s="535">
        <f t="shared" si="228"/>
        <v>0</v>
      </c>
      <c r="AO47" s="553">
        <f t="shared" si="228"/>
        <v>0</v>
      </c>
      <c r="AP47" s="535">
        <f t="shared" si="228"/>
        <v>0</v>
      </c>
      <c r="AQ47" s="535">
        <f t="shared" si="228"/>
        <v>0</v>
      </c>
      <c r="AR47" s="535">
        <f t="shared" si="228"/>
        <v>0</v>
      </c>
      <c r="AS47" s="535">
        <f t="shared" si="228"/>
        <v>0</v>
      </c>
      <c r="AT47" s="535">
        <f t="shared" si="228"/>
        <v>0</v>
      </c>
    </row>
    <row r="48" spans="2:46">
      <c r="C48" s="521"/>
      <c r="V48" s="550"/>
      <c r="AO48" s="550"/>
    </row>
    <row r="49" spans="2:46">
      <c r="B49" t="s">
        <v>1885</v>
      </c>
      <c r="C49" s="521" t="s">
        <v>1877</v>
      </c>
      <c r="D49" s="531">
        <f>D195</f>
        <v>-32</v>
      </c>
      <c r="E49" s="531">
        <f t="shared" ref="E49:AT49" si="229">E195</f>
        <v>-6</v>
      </c>
      <c r="F49" s="531">
        <f t="shared" si="229"/>
        <v>-34</v>
      </c>
      <c r="G49" s="531">
        <f t="shared" si="229"/>
        <v>-33</v>
      </c>
      <c r="H49" s="531">
        <f t="shared" si="229"/>
        <v>-28</v>
      </c>
      <c r="I49" s="531">
        <f t="shared" si="229"/>
        <v>-39</v>
      </c>
      <c r="J49" s="531">
        <f t="shared" si="229"/>
        <v>-42</v>
      </c>
      <c r="K49" s="531">
        <f t="shared" si="229"/>
        <v>-106</v>
      </c>
      <c r="L49" s="531">
        <f t="shared" si="229"/>
        <v>-78</v>
      </c>
      <c r="M49" s="531">
        <f t="shared" si="229"/>
        <v>-37</v>
      </c>
      <c r="N49" s="531">
        <f t="shared" si="229"/>
        <v>-31</v>
      </c>
      <c r="O49" s="531">
        <f t="shared" si="229"/>
        <v>53</v>
      </c>
      <c r="P49" s="531">
        <f t="shared" si="229"/>
        <v>-9</v>
      </c>
      <c r="Q49" s="531">
        <f t="shared" si="229"/>
        <v>-25</v>
      </c>
      <c r="R49" s="531">
        <f t="shared" si="229"/>
        <v>-23</v>
      </c>
      <c r="S49" s="531">
        <f t="shared" si="229"/>
        <v>38</v>
      </c>
      <c r="T49" s="531">
        <f t="shared" si="229"/>
        <v>-21</v>
      </c>
      <c r="U49" s="531">
        <f t="shared" si="229"/>
        <v>-24</v>
      </c>
      <c r="V49" s="551">
        <f t="shared" si="229"/>
        <v>-24</v>
      </c>
      <c r="W49" s="531">
        <f t="shared" si="229"/>
        <v>-24</v>
      </c>
      <c r="X49" s="531">
        <f t="shared" si="229"/>
        <v>-17.77885799435667</v>
      </c>
      <c r="Y49" s="531">
        <f t="shared" si="229"/>
        <v>-23.351804902210379</v>
      </c>
      <c r="Z49" s="531">
        <f t="shared" si="229"/>
        <v>-27.961246978226573</v>
      </c>
      <c r="AA49" s="531">
        <f t="shared" si="229"/>
        <v>-27.812583959754985</v>
      </c>
      <c r="AB49" s="531">
        <f t="shared" si="229"/>
        <v>-34.12707874274146</v>
      </c>
      <c r="AC49" s="531">
        <f t="shared" si="229"/>
        <v>-34.183713200890104</v>
      </c>
      <c r="AD49" s="531">
        <f t="shared" si="229"/>
        <v>-34.402899598671674</v>
      </c>
      <c r="AE49" s="531">
        <f t="shared" si="229"/>
        <v>-34.558774535432939</v>
      </c>
      <c r="AF49" s="531"/>
      <c r="AG49" s="531">
        <f t="shared" si="229"/>
        <v>-38</v>
      </c>
      <c r="AH49" s="531">
        <f t="shared" si="229"/>
        <v>-67</v>
      </c>
      <c r="AI49" s="531">
        <f t="shared" si="229"/>
        <v>-67</v>
      </c>
      <c r="AJ49" s="531">
        <f t="shared" si="229"/>
        <v>-148</v>
      </c>
      <c r="AK49" s="531">
        <f t="shared" si="229"/>
        <v>-115</v>
      </c>
      <c r="AL49" s="531">
        <f t="shared" si="229"/>
        <v>22</v>
      </c>
      <c r="AM49" s="531">
        <f t="shared" si="229"/>
        <v>-34</v>
      </c>
      <c r="AN49" s="531">
        <f t="shared" si="229"/>
        <v>15</v>
      </c>
      <c r="AO49" s="551">
        <f t="shared" si="229"/>
        <v>-45</v>
      </c>
      <c r="AP49" s="531">
        <f t="shared" si="229"/>
        <v>-48</v>
      </c>
      <c r="AQ49" s="531">
        <f t="shared" si="229"/>
        <v>-41.130662896567046</v>
      </c>
      <c r="AR49" s="531">
        <f t="shared" si="229"/>
        <v>-55.773830937981558</v>
      </c>
      <c r="AS49" s="531">
        <f t="shared" si="229"/>
        <v>-68.310791943631557</v>
      </c>
      <c r="AT49" s="531">
        <f t="shared" si="229"/>
        <v>-68.961674134104612</v>
      </c>
    </row>
    <row r="50" spans="2:46">
      <c r="C50" s="521" t="s">
        <v>1878</v>
      </c>
      <c r="D50" s="531">
        <f>D195</f>
        <v>-32</v>
      </c>
      <c r="E50" s="531">
        <f t="shared" ref="E50:AT50" si="230">E195</f>
        <v>-6</v>
      </c>
      <c r="F50" s="531">
        <f t="shared" si="230"/>
        <v>-34</v>
      </c>
      <c r="G50" s="531">
        <f t="shared" si="230"/>
        <v>-33</v>
      </c>
      <c r="H50" s="531">
        <f t="shared" si="230"/>
        <v>-28</v>
      </c>
      <c r="I50" s="531">
        <f t="shared" si="230"/>
        <v>-39</v>
      </c>
      <c r="J50" s="531">
        <f t="shared" si="230"/>
        <v>-42</v>
      </c>
      <c r="K50" s="531">
        <f t="shared" si="230"/>
        <v>-106</v>
      </c>
      <c r="L50" s="531">
        <f t="shared" si="230"/>
        <v>-78</v>
      </c>
      <c r="M50" s="531">
        <f t="shared" si="230"/>
        <v>-37</v>
      </c>
      <c r="N50" s="531">
        <f t="shared" si="230"/>
        <v>-31</v>
      </c>
      <c r="O50" s="531">
        <f t="shared" si="230"/>
        <v>53</v>
      </c>
      <c r="P50" s="531">
        <f t="shared" si="230"/>
        <v>-9</v>
      </c>
      <c r="Q50" s="531">
        <f t="shared" si="230"/>
        <v>-25</v>
      </c>
      <c r="R50" s="531">
        <f t="shared" si="230"/>
        <v>-23</v>
      </c>
      <c r="S50" s="531">
        <f t="shared" si="230"/>
        <v>38</v>
      </c>
      <c r="T50" s="531">
        <f t="shared" si="230"/>
        <v>-21</v>
      </c>
      <c r="U50" s="531">
        <f t="shared" si="230"/>
        <v>-24</v>
      </c>
      <c r="V50" s="551">
        <f t="shared" si="230"/>
        <v>-24</v>
      </c>
      <c r="W50" s="531">
        <f t="shared" si="230"/>
        <v>-24</v>
      </c>
      <c r="X50" s="531">
        <f t="shared" si="230"/>
        <v>-17.77885799435667</v>
      </c>
      <c r="Y50" s="531">
        <f t="shared" si="230"/>
        <v>-23.351804902210379</v>
      </c>
      <c r="Z50" s="531">
        <f t="shared" si="230"/>
        <v>-27.961246978226573</v>
      </c>
      <c r="AA50" s="531">
        <f t="shared" si="230"/>
        <v>-27.812583959754985</v>
      </c>
      <c r="AB50" s="531">
        <f t="shared" si="230"/>
        <v>-34.12707874274146</v>
      </c>
      <c r="AC50" s="531">
        <f t="shared" si="230"/>
        <v>-34.183713200890104</v>
      </c>
      <c r="AD50" s="531">
        <f t="shared" si="230"/>
        <v>-34.402899598671674</v>
      </c>
      <c r="AE50" s="531">
        <f t="shared" si="230"/>
        <v>-34.558774535432939</v>
      </c>
      <c r="AF50" s="531"/>
      <c r="AG50" s="531">
        <f t="shared" si="230"/>
        <v>-38</v>
      </c>
      <c r="AH50" s="531">
        <f t="shared" si="230"/>
        <v>-67</v>
      </c>
      <c r="AI50" s="531">
        <f t="shared" si="230"/>
        <v>-67</v>
      </c>
      <c r="AJ50" s="531">
        <f t="shared" si="230"/>
        <v>-148</v>
      </c>
      <c r="AK50" s="531">
        <f t="shared" si="230"/>
        <v>-115</v>
      </c>
      <c r="AL50" s="531">
        <f t="shared" si="230"/>
        <v>22</v>
      </c>
      <c r="AM50" s="531">
        <f t="shared" si="230"/>
        <v>-34</v>
      </c>
      <c r="AN50" s="531">
        <f t="shared" si="230"/>
        <v>15</v>
      </c>
      <c r="AO50" s="551">
        <f t="shared" si="230"/>
        <v>-45</v>
      </c>
      <c r="AP50" s="531">
        <f t="shared" si="230"/>
        <v>-48</v>
      </c>
      <c r="AQ50" s="531">
        <f t="shared" si="230"/>
        <v>-41.130662896567046</v>
      </c>
      <c r="AR50" s="531">
        <f t="shared" si="230"/>
        <v>-55.773830937981558</v>
      </c>
      <c r="AS50" s="531">
        <f t="shared" si="230"/>
        <v>-68.310791943631557</v>
      </c>
      <c r="AT50" s="531">
        <f t="shared" si="230"/>
        <v>-68.961674134104612</v>
      </c>
    </row>
    <row r="51" spans="2:46">
      <c r="C51" s="522" t="s">
        <v>1879</v>
      </c>
      <c r="D51" s="532">
        <v>0</v>
      </c>
      <c r="E51" s="532">
        <v>0</v>
      </c>
      <c r="F51" s="532">
        <v>0</v>
      </c>
      <c r="G51" s="532">
        <v>0</v>
      </c>
      <c r="H51" s="532">
        <v>0</v>
      </c>
      <c r="I51" s="532">
        <v>0</v>
      </c>
      <c r="J51" s="532">
        <v>0</v>
      </c>
      <c r="K51" s="532">
        <v>0</v>
      </c>
      <c r="L51" s="532">
        <v>0</v>
      </c>
      <c r="M51" s="532">
        <v>0</v>
      </c>
      <c r="N51" s="532">
        <v>0</v>
      </c>
      <c r="O51" s="532">
        <v>0</v>
      </c>
      <c r="P51" s="532">
        <v>0</v>
      </c>
      <c r="Q51" s="532">
        <v>0</v>
      </c>
      <c r="R51" s="532">
        <v>0</v>
      </c>
      <c r="S51" s="532">
        <v>0</v>
      </c>
      <c r="T51" s="532">
        <v>0</v>
      </c>
      <c r="U51" s="532">
        <v>0</v>
      </c>
      <c r="V51" s="554">
        <v>-1.1128319070530246E-4</v>
      </c>
      <c r="W51" s="532">
        <v>-9.623888051757401E-5</v>
      </c>
      <c r="X51" s="532">
        <v>2.3361406096045201E-5</v>
      </c>
      <c r="Y51" s="532">
        <v>2.3361406096045201E-5</v>
      </c>
      <c r="Z51" s="532">
        <v>2.3361406096267245E-5</v>
      </c>
      <c r="AA51" s="532">
        <v>2.3361406096045201E-5</v>
      </c>
      <c r="AB51" s="532">
        <v>2.3361406096267245E-5</v>
      </c>
      <c r="AC51" s="532">
        <v>2.3361406095601112E-5</v>
      </c>
      <c r="AD51" s="532">
        <v>2.3361406096267245E-5</v>
      </c>
      <c r="AE51" s="532">
        <v>2.3361406096267245E-5</v>
      </c>
      <c r="AF51" s="532"/>
      <c r="AG51" s="532">
        <v>0</v>
      </c>
      <c r="AH51" s="532">
        <v>0</v>
      </c>
      <c r="AI51" s="532">
        <v>0</v>
      </c>
      <c r="AJ51" s="532">
        <v>0</v>
      </c>
      <c r="AK51" s="532">
        <v>0</v>
      </c>
      <c r="AL51" s="532">
        <v>0</v>
      </c>
      <c r="AM51" s="532">
        <v>0</v>
      </c>
      <c r="AN51" s="532">
        <v>0</v>
      </c>
      <c r="AO51" s="554">
        <v>0</v>
      </c>
      <c r="AP51" s="532">
        <v>-1.0341403349400924E-4</v>
      </c>
      <c r="AQ51" s="532">
        <v>2.3361406096045201E-5</v>
      </c>
      <c r="AR51" s="532">
        <v>2.3361406096267245E-5</v>
      </c>
      <c r="AS51" s="532">
        <v>2.3361406096045201E-5</v>
      </c>
      <c r="AT51" s="532">
        <v>2.336140609648929E-5</v>
      </c>
    </row>
    <row r="52" spans="2:46">
      <c r="C52" s="522" t="s">
        <v>1880</v>
      </c>
      <c r="D52" s="531">
        <v>0</v>
      </c>
      <c r="E52" s="531">
        <v>0</v>
      </c>
      <c r="F52" s="531">
        <v>0</v>
      </c>
      <c r="G52" s="531">
        <v>0</v>
      </c>
      <c r="H52" s="531">
        <v>0</v>
      </c>
      <c r="I52" s="531">
        <v>0</v>
      </c>
      <c r="J52" s="531">
        <v>0</v>
      </c>
      <c r="K52" s="531">
        <v>0</v>
      </c>
      <c r="L52" s="531">
        <v>0</v>
      </c>
      <c r="M52" s="531">
        <v>0</v>
      </c>
      <c r="N52" s="531">
        <v>0</v>
      </c>
      <c r="O52" s="531">
        <v>0</v>
      </c>
      <c r="P52" s="531">
        <v>0</v>
      </c>
      <c r="Q52" s="531">
        <v>0</v>
      </c>
      <c r="R52" s="531">
        <v>0</v>
      </c>
      <c r="S52" s="531">
        <v>0</v>
      </c>
      <c r="T52" s="531">
        <v>0</v>
      </c>
      <c r="U52" s="531">
        <v>0</v>
      </c>
      <c r="V52" s="551">
        <v>-5.2406473717269364E-2</v>
      </c>
      <c r="W52" s="531">
        <v>-4.9705333095062088E-2</v>
      </c>
      <c r="X52" s="531">
        <v>1.1568701024486927E-2</v>
      </c>
      <c r="Y52" s="531">
        <v>1.3249423738329824E-2</v>
      </c>
      <c r="Z52" s="531">
        <v>1.3002685164110517E-2</v>
      </c>
      <c r="AA52" s="531">
        <v>1.4477468676432181E-2</v>
      </c>
      <c r="AB52" s="531">
        <v>1.3868815104501664E-2</v>
      </c>
      <c r="AC52" s="531">
        <v>1.5396620544493089E-2</v>
      </c>
      <c r="AD52" s="531">
        <v>1.5124699410080211E-2</v>
      </c>
      <c r="AE52" s="531">
        <v>1.6014023958973667E-2</v>
      </c>
      <c r="AF52" s="531"/>
      <c r="AG52" s="531">
        <v>0</v>
      </c>
      <c r="AH52" s="531">
        <v>0</v>
      </c>
      <c r="AI52" s="531">
        <v>0</v>
      </c>
      <c r="AJ52" s="531">
        <v>0</v>
      </c>
      <c r="AK52" s="531">
        <v>0</v>
      </c>
      <c r="AL52" s="531">
        <v>0</v>
      </c>
      <c r="AM52" s="531">
        <v>0</v>
      </c>
      <c r="AN52" s="531">
        <v>0</v>
      </c>
      <c r="AO52" s="551">
        <v>0</v>
      </c>
      <c r="AP52" s="531">
        <v>-0.10211180681233145</v>
      </c>
      <c r="AQ52" s="531">
        <v>2.4818124762759908E-2</v>
      </c>
      <c r="AR52" s="531">
        <v>2.7480153840542698E-2</v>
      </c>
      <c r="AS52" s="531">
        <v>2.9265435648994753E-2</v>
      </c>
      <c r="AT52" s="531">
        <v>3.1138723369167565E-2</v>
      </c>
    </row>
    <row r="53" spans="2:46">
      <c r="C53" s="522"/>
      <c r="V53" s="550"/>
      <c r="AO53" s="550"/>
    </row>
    <row r="54" spans="2:46">
      <c r="B54" s="525" t="s">
        <v>1875</v>
      </c>
      <c r="C54" s="521"/>
      <c r="O54" s="570"/>
      <c r="P54" s="570"/>
      <c r="Q54" s="570"/>
      <c r="R54" s="570"/>
      <c r="S54" s="570"/>
      <c r="T54" s="570"/>
      <c r="U54" s="570"/>
      <c r="V54" s="570"/>
      <c r="AK54" s="554">
        <f>AK55/AK6</f>
        <v>0.20909660247377485</v>
      </c>
      <c r="AL54" s="554">
        <f t="shared" ref="AL54:AO54" si="231">AL55/AL6</f>
        <v>0.19187254675594551</v>
      </c>
      <c r="AM54" s="554">
        <f t="shared" si="231"/>
        <v>0.32010249973852106</v>
      </c>
      <c r="AN54" s="554">
        <f t="shared" si="231"/>
        <v>0.20820749689109966</v>
      </c>
      <c r="AO54" s="554">
        <f t="shared" si="231"/>
        <v>0.17549976754997676</v>
      </c>
    </row>
    <row r="55" spans="2:46">
      <c r="B55" t="s">
        <v>1890</v>
      </c>
      <c r="C55" s="521" t="s">
        <v>1877</v>
      </c>
      <c r="D55" s="531">
        <f>D151</f>
        <v>505</v>
      </c>
      <c r="E55" s="531">
        <f t="shared" ref="E55:AT55" si="232">E151</f>
        <v>627</v>
      </c>
      <c r="F55" s="531">
        <f t="shared" si="232"/>
        <v>435</v>
      </c>
      <c r="G55" s="531">
        <f t="shared" si="232"/>
        <v>658</v>
      </c>
      <c r="H55" s="531">
        <f t="shared" si="232"/>
        <v>806</v>
      </c>
      <c r="I55" s="531">
        <f t="shared" si="232"/>
        <v>1177</v>
      </c>
      <c r="J55" s="531">
        <f t="shared" si="232"/>
        <v>1049</v>
      </c>
      <c r="K55" s="531">
        <f t="shared" si="232"/>
        <v>689</v>
      </c>
      <c r="L55" s="531">
        <f t="shared" si="232"/>
        <v>1112</v>
      </c>
      <c r="M55" s="531">
        <f t="shared" si="232"/>
        <v>1559</v>
      </c>
      <c r="N55" s="531">
        <f t="shared" si="232"/>
        <v>1254</v>
      </c>
      <c r="O55" s="531">
        <f t="shared" si="232"/>
        <v>2070</v>
      </c>
      <c r="P55" s="531">
        <f t="shared" si="232"/>
        <v>1889</v>
      </c>
      <c r="Q55" s="531">
        <f t="shared" si="232"/>
        <v>4232</v>
      </c>
      <c r="R55" s="531">
        <f t="shared" si="232"/>
        <v>1534</v>
      </c>
      <c r="S55" s="531">
        <f t="shared" si="232"/>
        <v>1982</v>
      </c>
      <c r="T55" s="531">
        <f t="shared" si="232"/>
        <v>1406</v>
      </c>
      <c r="U55" s="531">
        <f t="shared" si="232"/>
        <v>1614</v>
      </c>
      <c r="V55" s="551">
        <f t="shared" si="232"/>
        <v>1380</v>
      </c>
      <c r="W55" s="531">
        <f t="shared" si="232"/>
        <v>2084.6999999999998</v>
      </c>
      <c r="X55" s="531">
        <f t="shared" si="232"/>
        <v>1690.3804999999998</v>
      </c>
      <c r="Y55" s="531">
        <f t="shared" si="232"/>
        <v>1943.8387424999996</v>
      </c>
      <c r="Z55" s="531">
        <f t="shared" si="232"/>
        <v>1799.7647891624997</v>
      </c>
      <c r="AA55" s="531">
        <f t="shared" si="232"/>
        <v>2127.7796310269996</v>
      </c>
      <c r="AB55" s="531">
        <f t="shared" si="232"/>
        <v>1872.0529602856648</v>
      </c>
      <c r="AC55" s="531">
        <f t="shared" si="232"/>
        <v>2213.2351364896904</v>
      </c>
      <c r="AD55" s="531">
        <f t="shared" si="232"/>
        <v>1980.2000623141157</v>
      </c>
      <c r="AE55" s="531">
        <f t="shared" si="232"/>
        <v>2253.5593954811661</v>
      </c>
      <c r="AF55" s="531"/>
      <c r="AG55" s="531">
        <f t="shared" si="232"/>
        <v>1132</v>
      </c>
      <c r="AH55" s="531">
        <f t="shared" si="232"/>
        <v>1093</v>
      </c>
      <c r="AI55" s="531">
        <f t="shared" si="232"/>
        <v>1983</v>
      </c>
      <c r="AJ55" s="531">
        <f t="shared" si="232"/>
        <v>1738</v>
      </c>
      <c r="AK55" s="531">
        <f t="shared" si="232"/>
        <v>2671</v>
      </c>
      <c r="AL55" s="531">
        <f t="shared" si="232"/>
        <v>3324</v>
      </c>
      <c r="AM55" s="531">
        <f t="shared" si="232"/>
        <v>6121</v>
      </c>
      <c r="AN55" s="531">
        <f t="shared" si="232"/>
        <v>3516</v>
      </c>
      <c r="AO55" s="551">
        <f t="shared" si="232"/>
        <v>3020</v>
      </c>
      <c r="AP55" s="531">
        <f t="shared" si="232"/>
        <v>3464.7</v>
      </c>
      <c r="AQ55" s="531">
        <f t="shared" si="232"/>
        <v>3634.2192424999994</v>
      </c>
      <c r="AR55" s="531">
        <f t="shared" si="232"/>
        <v>3927.5444201894993</v>
      </c>
      <c r="AS55" s="531">
        <f t="shared" si="232"/>
        <v>4085.2880967753554</v>
      </c>
      <c r="AT55" s="531">
        <f t="shared" si="232"/>
        <v>4233.7594577952823</v>
      </c>
    </row>
    <row r="56" spans="2:46">
      <c r="C56" s="521" t="s">
        <v>1878</v>
      </c>
      <c r="D56" s="531">
        <f>D198</f>
        <v>505</v>
      </c>
      <c r="E56" s="531">
        <f t="shared" ref="E56:AT56" si="233">E198</f>
        <v>627</v>
      </c>
      <c r="F56" s="531">
        <f t="shared" si="233"/>
        <v>435</v>
      </c>
      <c r="G56" s="531">
        <f t="shared" si="233"/>
        <v>658</v>
      </c>
      <c r="H56" s="531">
        <f t="shared" si="233"/>
        <v>806</v>
      </c>
      <c r="I56" s="531">
        <f t="shared" si="233"/>
        <v>1177</v>
      </c>
      <c r="J56" s="531">
        <f t="shared" si="233"/>
        <v>1049</v>
      </c>
      <c r="K56" s="531">
        <f t="shared" si="233"/>
        <v>689</v>
      </c>
      <c r="L56" s="531">
        <f t="shared" si="233"/>
        <v>1112</v>
      </c>
      <c r="M56" s="531">
        <f t="shared" si="233"/>
        <v>1559</v>
      </c>
      <c r="N56" s="531">
        <f t="shared" si="233"/>
        <v>1254</v>
      </c>
      <c r="O56" s="531">
        <f t="shared" si="233"/>
        <v>2070</v>
      </c>
      <c r="P56" s="531">
        <f t="shared" si="233"/>
        <v>1889</v>
      </c>
      <c r="Q56" s="531">
        <f t="shared" si="233"/>
        <v>4232</v>
      </c>
      <c r="R56" s="531">
        <f t="shared" si="233"/>
        <v>1534</v>
      </c>
      <c r="S56" s="531">
        <f t="shared" si="233"/>
        <v>1982</v>
      </c>
      <c r="T56" s="531">
        <f t="shared" si="233"/>
        <v>1406</v>
      </c>
      <c r="U56" s="531">
        <f t="shared" si="233"/>
        <v>1614</v>
      </c>
      <c r="V56" s="551">
        <f t="shared" si="233"/>
        <v>1380</v>
      </c>
      <c r="W56" s="531">
        <f t="shared" si="233"/>
        <v>1673.35</v>
      </c>
      <c r="X56" s="531">
        <f t="shared" si="233"/>
        <v>1516.6889999999999</v>
      </c>
      <c r="Y56" s="531">
        <f t="shared" si="233"/>
        <v>1748.5114050000002</v>
      </c>
      <c r="Z56" s="531">
        <f t="shared" si="233"/>
        <v>1642.4690987250001</v>
      </c>
      <c r="AA56" s="531">
        <f t="shared" si="233"/>
        <v>1922.7540660119998</v>
      </c>
      <c r="AB56" s="531">
        <f t="shared" si="233"/>
        <v>1737.4095231759898</v>
      </c>
      <c r="AC56" s="531">
        <f t="shared" si="233"/>
        <v>2033.8474243082596</v>
      </c>
      <c r="AD56" s="531">
        <f t="shared" si="233"/>
        <v>1838.3691608127062</v>
      </c>
      <c r="AE56" s="531">
        <f t="shared" si="233"/>
        <v>2151.9672033351553</v>
      </c>
      <c r="AF56" s="531"/>
      <c r="AG56" s="531">
        <f t="shared" si="233"/>
        <v>1132</v>
      </c>
      <c r="AH56" s="531">
        <f t="shared" si="233"/>
        <v>1093</v>
      </c>
      <c r="AI56" s="531">
        <f t="shared" si="233"/>
        <v>1983</v>
      </c>
      <c r="AJ56" s="531">
        <f t="shared" si="233"/>
        <v>1738</v>
      </c>
      <c r="AK56" s="531">
        <f t="shared" si="233"/>
        <v>2671</v>
      </c>
      <c r="AL56" s="531">
        <f t="shared" si="233"/>
        <v>3324</v>
      </c>
      <c r="AM56" s="531">
        <f t="shared" si="233"/>
        <v>6121</v>
      </c>
      <c r="AN56" s="531">
        <f t="shared" si="233"/>
        <v>3516</v>
      </c>
      <c r="AO56" s="551">
        <f t="shared" si="233"/>
        <v>3020</v>
      </c>
      <c r="AP56" s="531">
        <f t="shared" si="233"/>
        <v>3053.35</v>
      </c>
      <c r="AQ56" s="531">
        <f t="shared" si="233"/>
        <v>3265.200405</v>
      </c>
      <c r="AR56" s="531">
        <f t="shared" si="233"/>
        <v>3565.2231647369999</v>
      </c>
      <c r="AS56" s="531">
        <f t="shared" si="233"/>
        <v>3771.2569474842494</v>
      </c>
      <c r="AT56" s="531">
        <f t="shared" si="233"/>
        <v>3990.3363641478618</v>
      </c>
    </row>
    <row r="57" spans="2:46">
      <c r="C57" s="522" t="s">
        <v>1879</v>
      </c>
      <c r="D57" s="532">
        <f>D55/D56-1</f>
        <v>0</v>
      </c>
      <c r="E57" s="532">
        <f t="shared" ref="E57" si="234">E55/E56-1</f>
        <v>0</v>
      </c>
      <c r="F57" s="532">
        <f t="shared" ref="F57" si="235">F55/F56-1</f>
        <v>0</v>
      </c>
      <c r="G57" s="532">
        <f t="shared" ref="G57" si="236">G55/G56-1</f>
        <v>0</v>
      </c>
      <c r="H57" s="532">
        <f t="shared" ref="H57" si="237">H55/H56-1</f>
        <v>0</v>
      </c>
      <c r="I57" s="532">
        <f t="shared" ref="I57" si="238">I55/I56-1</f>
        <v>0</v>
      </c>
      <c r="J57" s="532">
        <f t="shared" ref="J57" si="239">J55/J56-1</f>
        <v>0</v>
      </c>
      <c r="K57" s="532">
        <f t="shared" ref="K57" si="240">K55/K56-1</f>
        <v>0</v>
      </c>
      <c r="L57" s="532">
        <f t="shared" ref="L57" si="241">L55/L56-1</f>
        <v>0</v>
      </c>
      <c r="M57" s="532">
        <f t="shared" ref="M57" si="242">M55/M56-1</f>
        <v>0</v>
      </c>
      <c r="N57" s="532">
        <f t="shared" ref="N57" si="243">N55/N56-1</f>
        <v>0</v>
      </c>
      <c r="O57" s="532">
        <f t="shared" ref="O57" si="244">O55/O56-1</f>
        <v>0</v>
      </c>
      <c r="P57" s="532">
        <f t="shared" ref="P57" si="245">P55/P56-1</f>
        <v>0</v>
      </c>
      <c r="Q57" s="532">
        <f t="shared" ref="Q57" si="246">Q55/Q56-1</f>
        <v>0</v>
      </c>
      <c r="R57" s="532">
        <f t="shared" ref="R57" si="247">R55/R56-1</f>
        <v>0</v>
      </c>
      <c r="S57" s="532">
        <f t="shared" ref="S57" si="248">S55/S56-1</f>
        <v>0</v>
      </c>
      <c r="T57" s="532">
        <f t="shared" ref="T57" si="249">T55/T56-1</f>
        <v>0</v>
      </c>
      <c r="U57" s="532">
        <f t="shared" ref="U57" si="250">U55/U56-1</f>
        <v>0</v>
      </c>
      <c r="V57" s="554">
        <f t="shared" ref="V57" si="251">V55/V56-1</f>
        <v>0</v>
      </c>
      <c r="W57" s="532">
        <f t="shared" ref="W57" si="252">W55/W56-1</f>
        <v>0.24582424477843845</v>
      </c>
      <c r="X57" s="532">
        <f t="shared" ref="X57" si="253">X55/X56-1</f>
        <v>0.11452018179072954</v>
      </c>
      <c r="Y57" s="532">
        <f t="shared" ref="Y57" si="254">Y55/Y56-1</f>
        <v>0.11171064537608744</v>
      </c>
      <c r="Z57" s="532">
        <f t="shared" ref="Z57" si="255">Z55/Z56-1</f>
        <v>9.5767823309189648E-2</v>
      </c>
      <c r="AA57" s="532">
        <f t="shared" ref="AA57" si="256">AA55/AA56-1</f>
        <v>0.10663119565792667</v>
      </c>
      <c r="AB57" s="532">
        <f t="shared" ref="AB57" si="257">AB55/AB56-1</f>
        <v>7.7496661157667956E-2</v>
      </c>
      <c r="AC57" s="532">
        <f t="shared" ref="AC57" si="258">AC55/AC56-1</f>
        <v>8.8201164963218837E-2</v>
      </c>
      <c r="AD57" s="532">
        <f t="shared" ref="AD57" si="259">AD55/AD56-1</f>
        <v>7.7150392056570816E-2</v>
      </c>
      <c r="AE57" s="532">
        <f t="shared" ref="AE57" si="260">AE55/AE56-1</f>
        <v>4.7208987194861329E-2</v>
      </c>
      <c r="AF57" s="532"/>
      <c r="AG57" s="532">
        <f t="shared" ref="AG57" si="261">AG55/AG56-1</f>
        <v>0</v>
      </c>
      <c r="AH57" s="532">
        <f t="shared" ref="AH57" si="262">AH55/AH56-1</f>
        <v>0</v>
      </c>
      <c r="AI57" s="532">
        <f t="shared" ref="AI57" si="263">AI55/AI56-1</f>
        <v>0</v>
      </c>
      <c r="AJ57" s="532">
        <f t="shared" ref="AJ57" si="264">AJ55/AJ56-1</f>
        <v>0</v>
      </c>
      <c r="AK57" s="532">
        <f t="shared" ref="AK57" si="265">AK55/AK56-1</f>
        <v>0</v>
      </c>
      <c r="AL57" s="532">
        <f t="shared" ref="AL57" si="266">AL55/AL56-1</f>
        <v>0</v>
      </c>
      <c r="AM57" s="532">
        <f t="shared" ref="AM57" si="267">AM55/AM56-1</f>
        <v>0</v>
      </c>
      <c r="AN57" s="532">
        <f t="shared" ref="AN57" si="268">AN55/AN56-1</f>
        <v>0</v>
      </c>
      <c r="AO57" s="554">
        <f t="shared" ref="AO57" si="269">AO55/AO56-1</f>
        <v>0</v>
      </c>
      <c r="AP57" s="532">
        <f t="shared" ref="AP57" si="270">AP55/AP56-1</f>
        <v>0.13472088034453966</v>
      </c>
      <c r="AQ57" s="532">
        <f t="shared" ref="AQ57" si="271">AQ55/AQ56-1</f>
        <v>0.1130156779764333</v>
      </c>
      <c r="AR57" s="532">
        <f t="shared" ref="AR57" si="272">AR55/AR56-1</f>
        <v>0.1016265290308207</v>
      </c>
      <c r="AS57" s="532">
        <f t="shared" ref="AS57" si="273">AS55/AS56-1</f>
        <v>8.3269624335883918E-2</v>
      </c>
      <c r="AT57" s="532">
        <f t="shared" ref="AT57" si="274">AT55/AT56-1</f>
        <v>6.1003151472270423E-2</v>
      </c>
    </row>
    <row r="58" spans="2:46">
      <c r="C58" s="522" t="s">
        <v>1880</v>
      </c>
      <c r="D58" s="531">
        <f>D55-D56</f>
        <v>0</v>
      </c>
      <c r="E58" s="531">
        <f t="shared" ref="E58:AE58" si="275">E55-E56</f>
        <v>0</v>
      </c>
      <c r="F58" s="531">
        <f t="shared" si="275"/>
        <v>0</v>
      </c>
      <c r="G58" s="531">
        <f t="shared" si="275"/>
        <v>0</v>
      </c>
      <c r="H58" s="531">
        <f t="shared" si="275"/>
        <v>0</v>
      </c>
      <c r="I58" s="531">
        <f t="shared" si="275"/>
        <v>0</v>
      </c>
      <c r="J58" s="531">
        <f t="shared" si="275"/>
        <v>0</v>
      </c>
      <c r="K58" s="531">
        <f t="shared" si="275"/>
        <v>0</v>
      </c>
      <c r="L58" s="531">
        <f t="shared" si="275"/>
        <v>0</v>
      </c>
      <c r="M58" s="531">
        <f t="shared" si="275"/>
        <v>0</v>
      </c>
      <c r="N58" s="531">
        <f t="shared" si="275"/>
        <v>0</v>
      </c>
      <c r="O58" s="531">
        <f t="shared" si="275"/>
        <v>0</v>
      </c>
      <c r="P58" s="531">
        <f t="shared" si="275"/>
        <v>0</v>
      </c>
      <c r="Q58" s="531">
        <f t="shared" si="275"/>
        <v>0</v>
      </c>
      <c r="R58" s="531">
        <f t="shared" si="275"/>
        <v>0</v>
      </c>
      <c r="S58" s="531">
        <f t="shared" si="275"/>
        <v>0</v>
      </c>
      <c r="T58" s="531">
        <f t="shared" si="275"/>
        <v>0</v>
      </c>
      <c r="U58" s="531">
        <f t="shared" si="275"/>
        <v>0</v>
      </c>
      <c r="V58" s="551">
        <f t="shared" si="275"/>
        <v>0</v>
      </c>
      <c r="W58" s="531">
        <f t="shared" si="275"/>
        <v>411.34999999999991</v>
      </c>
      <c r="X58" s="531">
        <f t="shared" si="275"/>
        <v>173.69149999999991</v>
      </c>
      <c r="Y58" s="531">
        <f t="shared" si="275"/>
        <v>195.32733749999943</v>
      </c>
      <c r="Z58" s="531">
        <f t="shared" si="275"/>
        <v>157.29569043749962</v>
      </c>
      <c r="AA58" s="531">
        <f t="shared" si="275"/>
        <v>205.02556501499976</v>
      </c>
      <c r="AB58" s="531">
        <f t="shared" si="275"/>
        <v>134.64343710967501</v>
      </c>
      <c r="AC58" s="531">
        <f t="shared" si="275"/>
        <v>179.38771218143074</v>
      </c>
      <c r="AD58" s="531">
        <f t="shared" si="275"/>
        <v>141.83090150140947</v>
      </c>
      <c r="AE58" s="531">
        <f t="shared" si="275"/>
        <v>101.5921921460108</v>
      </c>
      <c r="AF58" s="531"/>
      <c r="AG58" s="531">
        <f t="shared" ref="AG58:AT58" si="276">AG55-AG56</f>
        <v>0</v>
      </c>
      <c r="AH58" s="531">
        <f t="shared" si="276"/>
        <v>0</v>
      </c>
      <c r="AI58" s="531">
        <f t="shared" si="276"/>
        <v>0</v>
      </c>
      <c r="AJ58" s="531">
        <f t="shared" si="276"/>
        <v>0</v>
      </c>
      <c r="AK58" s="531">
        <f t="shared" si="276"/>
        <v>0</v>
      </c>
      <c r="AL58" s="531">
        <f t="shared" si="276"/>
        <v>0</v>
      </c>
      <c r="AM58" s="531">
        <f t="shared" si="276"/>
        <v>0</v>
      </c>
      <c r="AN58" s="531">
        <f t="shared" si="276"/>
        <v>0</v>
      </c>
      <c r="AO58" s="551">
        <f t="shared" si="276"/>
        <v>0</v>
      </c>
      <c r="AP58" s="531">
        <f t="shared" si="276"/>
        <v>411.34999999999991</v>
      </c>
      <c r="AQ58" s="531">
        <f t="shared" si="276"/>
        <v>369.01883749999934</v>
      </c>
      <c r="AR58" s="531">
        <f t="shared" si="276"/>
        <v>362.32125545249937</v>
      </c>
      <c r="AS58" s="531">
        <f t="shared" si="276"/>
        <v>314.03114929110598</v>
      </c>
      <c r="AT58" s="531">
        <f t="shared" si="276"/>
        <v>243.4230936474205</v>
      </c>
    </row>
    <row r="59" spans="2:46">
      <c r="C59" s="521"/>
      <c r="V59" s="550"/>
      <c r="AO59" s="550"/>
    </row>
    <row r="60" spans="2:46">
      <c r="B60" t="s">
        <v>1891</v>
      </c>
      <c r="C60" s="521" t="s">
        <v>1877</v>
      </c>
      <c r="D60" s="531">
        <f>D152</f>
        <v>430</v>
      </c>
      <c r="E60" s="531">
        <f t="shared" ref="E60:AT60" si="277">E152</f>
        <v>498</v>
      </c>
      <c r="F60" s="531">
        <f t="shared" si="277"/>
        <v>469</v>
      </c>
      <c r="G60" s="531">
        <f t="shared" si="277"/>
        <v>398</v>
      </c>
      <c r="H60" s="531">
        <f t="shared" si="277"/>
        <v>551</v>
      </c>
      <c r="I60" s="531">
        <f t="shared" si="277"/>
        <v>406</v>
      </c>
      <c r="J60" s="531">
        <f t="shared" si="277"/>
        <v>641</v>
      </c>
      <c r="K60" s="531">
        <f t="shared" si="277"/>
        <v>578</v>
      </c>
      <c r="L60" s="531">
        <f t="shared" si="277"/>
        <v>625</v>
      </c>
      <c r="M60" s="531">
        <f t="shared" si="277"/>
        <v>560</v>
      </c>
      <c r="N60" s="531">
        <f t="shared" si="277"/>
        <v>624</v>
      </c>
      <c r="O60" s="531">
        <f t="shared" si="277"/>
        <v>784</v>
      </c>
      <c r="P60" s="531">
        <f t="shared" si="277"/>
        <v>885</v>
      </c>
      <c r="Q60" s="531">
        <f t="shared" si="277"/>
        <v>633</v>
      </c>
      <c r="R60" s="531">
        <f t="shared" si="277"/>
        <v>829</v>
      </c>
      <c r="S60" s="531">
        <f t="shared" si="277"/>
        <v>811</v>
      </c>
      <c r="T60" s="531">
        <f t="shared" si="277"/>
        <v>863</v>
      </c>
      <c r="U60" s="531">
        <f t="shared" si="277"/>
        <v>1007</v>
      </c>
      <c r="V60" s="551">
        <f t="shared" si="277"/>
        <v>941</v>
      </c>
      <c r="W60" s="531">
        <f t="shared" si="277"/>
        <v>1058.625</v>
      </c>
      <c r="X60" s="531">
        <f t="shared" si="277"/>
        <v>1042.745625</v>
      </c>
      <c r="Y60" s="531">
        <f t="shared" si="277"/>
        <v>1063.6005375</v>
      </c>
      <c r="Z60" s="531">
        <f t="shared" si="277"/>
        <v>1084.8725482499999</v>
      </c>
      <c r="AA60" s="531">
        <f t="shared" si="277"/>
        <v>1106.5699992149998</v>
      </c>
      <c r="AB60" s="531">
        <f t="shared" si="277"/>
        <v>1128.7013991992999</v>
      </c>
      <c r="AC60" s="531">
        <f t="shared" si="277"/>
        <v>1151.275427183286</v>
      </c>
      <c r="AD60" s="531">
        <f t="shared" si="277"/>
        <v>1174.3009357269516</v>
      </c>
      <c r="AE60" s="531">
        <f t="shared" si="277"/>
        <v>1197.7869544414907</v>
      </c>
      <c r="AF60" s="531"/>
      <c r="AG60" s="531">
        <f t="shared" si="277"/>
        <v>928</v>
      </c>
      <c r="AH60" s="531">
        <f t="shared" si="277"/>
        <v>867</v>
      </c>
      <c r="AI60" s="531">
        <f t="shared" si="277"/>
        <v>957</v>
      </c>
      <c r="AJ60" s="531">
        <f t="shared" si="277"/>
        <v>1219</v>
      </c>
      <c r="AK60" s="531">
        <f t="shared" si="277"/>
        <v>1185</v>
      </c>
      <c r="AL60" s="531">
        <f t="shared" si="277"/>
        <v>1408</v>
      </c>
      <c r="AM60" s="531">
        <f t="shared" si="277"/>
        <v>1518</v>
      </c>
      <c r="AN60" s="531">
        <f t="shared" si="277"/>
        <v>1640</v>
      </c>
      <c r="AO60" s="551">
        <f t="shared" si="277"/>
        <v>1870</v>
      </c>
      <c r="AP60" s="531">
        <f t="shared" si="277"/>
        <v>1999.625</v>
      </c>
      <c r="AQ60" s="531">
        <f t="shared" si="277"/>
        <v>2106.3461625</v>
      </c>
      <c r="AR60" s="531">
        <f t="shared" si="277"/>
        <v>2191.4425474649997</v>
      </c>
      <c r="AS60" s="531">
        <f t="shared" si="277"/>
        <v>2279.9768263825858</v>
      </c>
      <c r="AT60" s="531">
        <f t="shared" si="277"/>
        <v>2372.0878901684423</v>
      </c>
    </row>
    <row r="61" spans="2:46">
      <c r="C61" s="521" t="s">
        <v>1878</v>
      </c>
      <c r="D61" s="531">
        <f>D199</f>
        <v>430</v>
      </c>
      <c r="E61" s="531">
        <f t="shared" ref="E61:AT61" si="278">E199</f>
        <v>498</v>
      </c>
      <c r="F61" s="531">
        <f t="shared" si="278"/>
        <v>469</v>
      </c>
      <c r="G61" s="531">
        <f t="shared" si="278"/>
        <v>398</v>
      </c>
      <c r="H61" s="531">
        <f t="shared" si="278"/>
        <v>551</v>
      </c>
      <c r="I61" s="531">
        <f t="shared" si="278"/>
        <v>406</v>
      </c>
      <c r="J61" s="531">
        <f t="shared" si="278"/>
        <v>641</v>
      </c>
      <c r="K61" s="531">
        <f t="shared" si="278"/>
        <v>578</v>
      </c>
      <c r="L61" s="531">
        <f t="shared" si="278"/>
        <v>625</v>
      </c>
      <c r="M61" s="531">
        <f t="shared" si="278"/>
        <v>560</v>
      </c>
      <c r="N61" s="531">
        <f t="shared" si="278"/>
        <v>624</v>
      </c>
      <c r="O61" s="531">
        <f t="shared" si="278"/>
        <v>784</v>
      </c>
      <c r="P61" s="531">
        <f t="shared" si="278"/>
        <v>885</v>
      </c>
      <c r="Q61" s="531">
        <f t="shared" si="278"/>
        <v>633</v>
      </c>
      <c r="R61" s="531">
        <f t="shared" si="278"/>
        <v>829</v>
      </c>
      <c r="S61" s="531">
        <f t="shared" si="278"/>
        <v>811</v>
      </c>
      <c r="T61" s="531">
        <f t="shared" si="278"/>
        <v>863</v>
      </c>
      <c r="U61" s="531">
        <f t="shared" si="278"/>
        <v>1007</v>
      </c>
      <c r="V61" s="551">
        <f t="shared" si="278"/>
        <v>941</v>
      </c>
      <c r="W61" s="531">
        <f t="shared" si="278"/>
        <v>1058.625</v>
      </c>
      <c r="X61" s="531">
        <f t="shared" si="278"/>
        <v>1042.745625</v>
      </c>
      <c r="Y61" s="531">
        <f t="shared" si="278"/>
        <v>1063.6005375</v>
      </c>
      <c r="Z61" s="531">
        <f t="shared" si="278"/>
        <v>1084.8725482499999</v>
      </c>
      <c r="AA61" s="531">
        <f t="shared" si="278"/>
        <v>1106.5699992149998</v>
      </c>
      <c r="AB61" s="531">
        <f t="shared" si="278"/>
        <v>1128.7013991992999</v>
      </c>
      <c r="AC61" s="531">
        <f t="shared" si="278"/>
        <v>1151.275427183286</v>
      </c>
      <c r="AD61" s="531">
        <f t="shared" si="278"/>
        <v>1174.3009357269516</v>
      </c>
      <c r="AE61" s="531">
        <f t="shared" si="278"/>
        <v>1197.7869544414907</v>
      </c>
      <c r="AF61" s="531"/>
      <c r="AG61" s="531">
        <f t="shared" si="278"/>
        <v>928</v>
      </c>
      <c r="AH61" s="531">
        <f t="shared" si="278"/>
        <v>867</v>
      </c>
      <c r="AI61" s="531">
        <f t="shared" si="278"/>
        <v>957</v>
      </c>
      <c r="AJ61" s="531">
        <f t="shared" si="278"/>
        <v>1219</v>
      </c>
      <c r="AK61" s="531">
        <f t="shared" si="278"/>
        <v>1185</v>
      </c>
      <c r="AL61" s="531">
        <f t="shared" si="278"/>
        <v>1408</v>
      </c>
      <c r="AM61" s="531">
        <f t="shared" si="278"/>
        <v>1518</v>
      </c>
      <c r="AN61" s="531">
        <f t="shared" si="278"/>
        <v>1640</v>
      </c>
      <c r="AO61" s="551">
        <f t="shared" si="278"/>
        <v>1870</v>
      </c>
      <c r="AP61" s="531">
        <f t="shared" si="278"/>
        <v>1999.625</v>
      </c>
      <c r="AQ61" s="531">
        <f t="shared" si="278"/>
        <v>2106.3461625</v>
      </c>
      <c r="AR61" s="531">
        <f t="shared" si="278"/>
        <v>2191.4425474649997</v>
      </c>
      <c r="AS61" s="531">
        <f t="shared" si="278"/>
        <v>2279.9768263825858</v>
      </c>
      <c r="AT61" s="531">
        <f t="shared" si="278"/>
        <v>2372.0878901684423</v>
      </c>
    </row>
    <row r="62" spans="2:46">
      <c r="C62" s="522" t="s">
        <v>1879</v>
      </c>
      <c r="D62" s="532">
        <f>D60/D61-1</f>
        <v>0</v>
      </c>
      <c r="E62" s="532">
        <f t="shared" ref="E62" si="279">E60/E61-1</f>
        <v>0</v>
      </c>
      <c r="F62" s="532">
        <f t="shared" ref="F62" si="280">F60/F61-1</f>
        <v>0</v>
      </c>
      <c r="G62" s="532">
        <f t="shared" ref="G62" si="281">G60/G61-1</f>
        <v>0</v>
      </c>
      <c r="H62" s="532">
        <f t="shared" ref="H62" si="282">H60/H61-1</f>
        <v>0</v>
      </c>
      <c r="I62" s="532">
        <f t="shared" ref="I62" si="283">I60/I61-1</f>
        <v>0</v>
      </c>
      <c r="J62" s="532">
        <f t="shared" ref="J62" si="284">J60/J61-1</f>
        <v>0</v>
      </c>
      <c r="K62" s="532">
        <f t="shared" ref="K62" si="285">K60/K61-1</f>
        <v>0</v>
      </c>
      <c r="L62" s="532">
        <f t="shared" ref="L62" si="286">L60/L61-1</f>
        <v>0</v>
      </c>
      <c r="M62" s="532">
        <f t="shared" ref="M62" si="287">M60/M61-1</f>
        <v>0</v>
      </c>
      <c r="N62" s="532">
        <f t="shared" ref="N62" si="288">N60/N61-1</f>
        <v>0</v>
      </c>
      <c r="O62" s="532">
        <f t="shared" ref="O62" si="289">O60/O61-1</f>
        <v>0</v>
      </c>
      <c r="P62" s="532">
        <f t="shared" ref="P62" si="290">P60/P61-1</f>
        <v>0</v>
      </c>
      <c r="Q62" s="532">
        <f t="shared" ref="Q62" si="291">Q60/Q61-1</f>
        <v>0</v>
      </c>
      <c r="R62" s="532">
        <f t="shared" ref="R62" si="292">R60/R61-1</f>
        <v>0</v>
      </c>
      <c r="S62" s="532">
        <f t="shared" ref="S62" si="293">S60/S61-1</f>
        <v>0</v>
      </c>
      <c r="T62" s="532">
        <f t="shared" ref="T62" si="294">T60/T61-1</f>
        <v>0</v>
      </c>
      <c r="U62" s="532">
        <f t="shared" ref="U62" si="295">U60/U61-1</f>
        <v>0</v>
      </c>
      <c r="V62" s="554">
        <f t="shared" ref="V62" si="296">V60/V61-1</f>
        <v>0</v>
      </c>
      <c r="W62" s="532">
        <f t="shared" ref="W62" si="297">W60/W61-1</f>
        <v>0</v>
      </c>
      <c r="X62" s="532">
        <f t="shared" ref="X62" si="298">X60/X61-1</f>
        <v>0</v>
      </c>
      <c r="Y62" s="532">
        <f t="shared" ref="Y62" si="299">Y60/Y61-1</f>
        <v>0</v>
      </c>
      <c r="Z62" s="532">
        <f t="shared" ref="Z62" si="300">Z60/Z61-1</f>
        <v>0</v>
      </c>
      <c r="AA62" s="532">
        <f t="shared" ref="AA62" si="301">AA60/AA61-1</f>
        <v>0</v>
      </c>
      <c r="AB62" s="532">
        <f t="shared" ref="AB62" si="302">AB60/AB61-1</f>
        <v>0</v>
      </c>
      <c r="AC62" s="532">
        <f t="shared" ref="AC62" si="303">AC60/AC61-1</f>
        <v>0</v>
      </c>
      <c r="AD62" s="532">
        <f t="shared" ref="AD62" si="304">AD60/AD61-1</f>
        <v>0</v>
      </c>
      <c r="AE62" s="532">
        <f t="shared" ref="AE62" si="305">AE60/AE61-1</f>
        <v>0</v>
      </c>
      <c r="AF62" s="532"/>
      <c r="AG62" s="532">
        <f t="shared" ref="AG62" si="306">AG60/AG61-1</f>
        <v>0</v>
      </c>
      <c r="AH62" s="532">
        <f t="shared" ref="AH62" si="307">AH60/AH61-1</f>
        <v>0</v>
      </c>
      <c r="AI62" s="532">
        <f t="shared" ref="AI62" si="308">AI60/AI61-1</f>
        <v>0</v>
      </c>
      <c r="AJ62" s="532">
        <f t="shared" ref="AJ62" si="309">AJ60/AJ61-1</f>
        <v>0</v>
      </c>
      <c r="AK62" s="532">
        <f t="shared" ref="AK62" si="310">AK60/AK61-1</f>
        <v>0</v>
      </c>
      <c r="AL62" s="532">
        <f t="shared" ref="AL62" si="311">AL60/AL61-1</f>
        <v>0</v>
      </c>
      <c r="AM62" s="532">
        <f t="shared" ref="AM62" si="312">AM60/AM61-1</f>
        <v>0</v>
      </c>
      <c r="AN62" s="532">
        <f t="shared" ref="AN62" si="313">AN60/AN61-1</f>
        <v>0</v>
      </c>
      <c r="AO62" s="554">
        <f t="shared" ref="AO62" si="314">AO60/AO61-1</f>
        <v>0</v>
      </c>
      <c r="AP62" s="532">
        <f t="shared" ref="AP62" si="315">AP60/AP61-1</f>
        <v>0</v>
      </c>
      <c r="AQ62" s="532">
        <f t="shared" ref="AQ62" si="316">AQ60/AQ61-1</f>
        <v>0</v>
      </c>
      <c r="AR62" s="532">
        <f t="shared" ref="AR62" si="317">AR60/AR61-1</f>
        <v>0</v>
      </c>
      <c r="AS62" s="532">
        <f t="shared" ref="AS62" si="318">AS60/AS61-1</f>
        <v>0</v>
      </c>
      <c r="AT62" s="532">
        <f t="shared" ref="AT62" si="319">AT60/AT61-1</f>
        <v>0</v>
      </c>
    </row>
    <row r="63" spans="2:46">
      <c r="C63" s="522" t="s">
        <v>1880</v>
      </c>
      <c r="D63" s="531">
        <f>D60-D61</f>
        <v>0</v>
      </c>
      <c r="E63" s="531">
        <f t="shared" ref="E63:AE63" si="320">E60-E61</f>
        <v>0</v>
      </c>
      <c r="F63" s="531">
        <f t="shared" si="320"/>
        <v>0</v>
      </c>
      <c r="G63" s="531">
        <f t="shared" si="320"/>
        <v>0</v>
      </c>
      <c r="H63" s="531">
        <f t="shared" si="320"/>
        <v>0</v>
      </c>
      <c r="I63" s="531">
        <f t="shared" si="320"/>
        <v>0</v>
      </c>
      <c r="J63" s="531">
        <f t="shared" si="320"/>
        <v>0</v>
      </c>
      <c r="K63" s="531">
        <f t="shared" si="320"/>
        <v>0</v>
      </c>
      <c r="L63" s="531">
        <f t="shared" si="320"/>
        <v>0</v>
      </c>
      <c r="M63" s="531">
        <f t="shared" si="320"/>
        <v>0</v>
      </c>
      <c r="N63" s="531">
        <f t="shared" si="320"/>
        <v>0</v>
      </c>
      <c r="O63" s="531">
        <f t="shared" si="320"/>
        <v>0</v>
      </c>
      <c r="P63" s="531">
        <f t="shared" si="320"/>
        <v>0</v>
      </c>
      <c r="Q63" s="531">
        <f t="shared" si="320"/>
        <v>0</v>
      </c>
      <c r="R63" s="531">
        <f t="shared" si="320"/>
        <v>0</v>
      </c>
      <c r="S63" s="531">
        <f t="shared" si="320"/>
        <v>0</v>
      </c>
      <c r="T63" s="531">
        <f t="shared" si="320"/>
        <v>0</v>
      </c>
      <c r="U63" s="531">
        <f t="shared" si="320"/>
        <v>0</v>
      </c>
      <c r="V63" s="551">
        <f t="shared" si="320"/>
        <v>0</v>
      </c>
      <c r="W63" s="531">
        <f t="shared" si="320"/>
        <v>0</v>
      </c>
      <c r="X63" s="531">
        <f t="shared" si="320"/>
        <v>0</v>
      </c>
      <c r="Y63" s="531">
        <f t="shared" si="320"/>
        <v>0</v>
      </c>
      <c r="Z63" s="531">
        <f t="shared" si="320"/>
        <v>0</v>
      </c>
      <c r="AA63" s="531">
        <f t="shared" si="320"/>
        <v>0</v>
      </c>
      <c r="AB63" s="531">
        <f t="shared" si="320"/>
        <v>0</v>
      </c>
      <c r="AC63" s="531">
        <f t="shared" si="320"/>
        <v>0</v>
      </c>
      <c r="AD63" s="531">
        <f t="shared" si="320"/>
        <v>0</v>
      </c>
      <c r="AE63" s="531">
        <f t="shared" si="320"/>
        <v>0</v>
      </c>
      <c r="AF63" s="531"/>
      <c r="AG63" s="531">
        <f t="shared" ref="AG63:AT63" si="321">AG60-AG61</f>
        <v>0</v>
      </c>
      <c r="AH63" s="531">
        <f t="shared" si="321"/>
        <v>0</v>
      </c>
      <c r="AI63" s="531">
        <f t="shared" si="321"/>
        <v>0</v>
      </c>
      <c r="AJ63" s="531">
        <f t="shared" si="321"/>
        <v>0</v>
      </c>
      <c r="AK63" s="531">
        <f t="shared" si="321"/>
        <v>0</v>
      </c>
      <c r="AL63" s="531">
        <f t="shared" si="321"/>
        <v>0</v>
      </c>
      <c r="AM63" s="531">
        <f t="shared" si="321"/>
        <v>0</v>
      </c>
      <c r="AN63" s="531">
        <f t="shared" si="321"/>
        <v>0</v>
      </c>
      <c r="AO63" s="551">
        <f t="shared" si="321"/>
        <v>0</v>
      </c>
      <c r="AP63" s="531">
        <f t="shared" si="321"/>
        <v>0</v>
      </c>
      <c r="AQ63" s="531">
        <f t="shared" si="321"/>
        <v>0</v>
      </c>
      <c r="AR63" s="531">
        <f t="shared" si="321"/>
        <v>0</v>
      </c>
      <c r="AS63" s="531">
        <f t="shared" si="321"/>
        <v>0</v>
      </c>
      <c r="AT63" s="531">
        <f t="shared" si="321"/>
        <v>0</v>
      </c>
    </row>
    <row r="64" spans="2:46">
      <c r="C64" s="521"/>
      <c r="V64" s="550"/>
      <c r="AO64" s="550"/>
    </row>
    <row r="65" spans="2:46">
      <c r="B65" t="s">
        <v>1893</v>
      </c>
      <c r="C65" s="521" t="s">
        <v>1877</v>
      </c>
      <c r="D65" s="531">
        <f>D153</f>
        <v>447</v>
      </c>
      <c r="E65" s="531">
        <f t="shared" ref="E65:AT65" si="322">E153</f>
        <v>410</v>
      </c>
      <c r="F65" s="531">
        <f t="shared" si="322"/>
        <v>436</v>
      </c>
      <c r="G65" s="531">
        <f t="shared" si="322"/>
        <v>457</v>
      </c>
      <c r="H65" s="531">
        <f t="shared" si="322"/>
        <v>611</v>
      </c>
      <c r="I65" s="531">
        <f t="shared" si="322"/>
        <v>611</v>
      </c>
      <c r="J65" s="531">
        <f t="shared" si="322"/>
        <v>283</v>
      </c>
      <c r="K65" s="531">
        <f t="shared" si="322"/>
        <v>347</v>
      </c>
      <c r="L65" s="531">
        <f t="shared" si="322"/>
        <v>257</v>
      </c>
      <c r="M65" s="531">
        <f t="shared" si="322"/>
        <v>228</v>
      </c>
      <c r="N65" s="531">
        <f t="shared" si="322"/>
        <v>228</v>
      </c>
      <c r="O65" s="531">
        <f t="shared" si="322"/>
        <v>279</v>
      </c>
      <c r="P65" s="531">
        <f t="shared" si="322"/>
        <v>279</v>
      </c>
      <c r="Q65" s="531">
        <f t="shared" si="322"/>
        <v>307</v>
      </c>
      <c r="R65" s="531">
        <f t="shared" si="322"/>
        <v>283</v>
      </c>
      <c r="S65" s="531">
        <f t="shared" si="322"/>
        <v>303</v>
      </c>
      <c r="T65" s="531">
        <f t="shared" si="322"/>
        <v>289</v>
      </c>
      <c r="U65" s="531">
        <f t="shared" si="322"/>
        <v>240</v>
      </c>
      <c r="V65" s="551">
        <f t="shared" si="322"/>
        <v>318</v>
      </c>
      <c r="W65" s="531">
        <f t="shared" si="322"/>
        <v>362.1</v>
      </c>
      <c r="X65" s="531">
        <f t="shared" si="322"/>
        <v>374.91750000000002</v>
      </c>
      <c r="Y65" s="531">
        <f t="shared" si="322"/>
        <v>388.27012500000001</v>
      </c>
      <c r="Z65" s="531">
        <f t="shared" si="322"/>
        <v>402.18251625000005</v>
      </c>
      <c r="AA65" s="531">
        <f t="shared" si="322"/>
        <v>416.68050476250005</v>
      </c>
      <c r="AB65" s="531">
        <f t="shared" si="322"/>
        <v>431.7911699546251</v>
      </c>
      <c r="AC65" s="531">
        <f t="shared" si="322"/>
        <v>447.54290120543635</v>
      </c>
      <c r="AD65" s="531">
        <f t="shared" si="322"/>
        <v>463.96546247384981</v>
      </c>
      <c r="AE65" s="531">
        <f t="shared" si="322"/>
        <v>481.09006012984673</v>
      </c>
      <c r="AF65" s="531"/>
      <c r="AG65" s="531">
        <f t="shared" si="322"/>
        <v>857</v>
      </c>
      <c r="AH65" s="531">
        <f t="shared" si="322"/>
        <v>893</v>
      </c>
      <c r="AI65" s="531">
        <f t="shared" si="322"/>
        <v>1222</v>
      </c>
      <c r="AJ65" s="531">
        <f t="shared" si="322"/>
        <v>630</v>
      </c>
      <c r="AK65" s="531">
        <f t="shared" si="322"/>
        <v>485</v>
      </c>
      <c r="AL65" s="531">
        <f t="shared" si="322"/>
        <v>507</v>
      </c>
      <c r="AM65" s="531">
        <f t="shared" si="322"/>
        <v>586</v>
      </c>
      <c r="AN65" s="531">
        <f t="shared" si="322"/>
        <v>586</v>
      </c>
      <c r="AO65" s="551">
        <f t="shared" si="322"/>
        <v>529</v>
      </c>
      <c r="AP65" s="531">
        <f t="shared" si="322"/>
        <v>680.1</v>
      </c>
      <c r="AQ65" s="531">
        <f t="shared" si="322"/>
        <v>763.18762500000003</v>
      </c>
      <c r="AR65" s="531">
        <f t="shared" si="322"/>
        <v>818.86302101250021</v>
      </c>
      <c r="AS65" s="531">
        <f t="shared" si="322"/>
        <v>879.33407116006151</v>
      </c>
      <c r="AT65" s="531">
        <f t="shared" si="322"/>
        <v>945.05552260369655</v>
      </c>
    </row>
    <row r="66" spans="2:46">
      <c r="C66" s="521" t="s">
        <v>1878</v>
      </c>
      <c r="D66" s="531">
        <f>D200</f>
        <v>447</v>
      </c>
      <c r="E66" s="531">
        <f t="shared" ref="E66:AT66" si="323">E200</f>
        <v>410</v>
      </c>
      <c r="F66" s="531">
        <f t="shared" si="323"/>
        <v>436</v>
      </c>
      <c r="G66" s="531">
        <f t="shared" si="323"/>
        <v>457</v>
      </c>
      <c r="H66" s="531">
        <f t="shared" si="323"/>
        <v>611</v>
      </c>
      <c r="I66" s="531">
        <f t="shared" si="323"/>
        <v>611</v>
      </c>
      <c r="J66" s="531">
        <f t="shared" si="323"/>
        <v>283</v>
      </c>
      <c r="K66" s="531">
        <f t="shared" si="323"/>
        <v>347</v>
      </c>
      <c r="L66" s="531">
        <f t="shared" si="323"/>
        <v>257</v>
      </c>
      <c r="M66" s="531">
        <f t="shared" si="323"/>
        <v>228</v>
      </c>
      <c r="N66" s="531">
        <f t="shared" si="323"/>
        <v>228</v>
      </c>
      <c r="O66" s="531">
        <f t="shared" si="323"/>
        <v>279</v>
      </c>
      <c r="P66" s="531">
        <f t="shared" si="323"/>
        <v>279</v>
      </c>
      <c r="Q66" s="531">
        <f t="shared" si="323"/>
        <v>307</v>
      </c>
      <c r="R66" s="531">
        <f t="shared" si="323"/>
        <v>283</v>
      </c>
      <c r="S66" s="531">
        <f t="shared" si="323"/>
        <v>303</v>
      </c>
      <c r="T66" s="531">
        <f t="shared" si="323"/>
        <v>289</v>
      </c>
      <c r="U66" s="531">
        <f t="shared" si="323"/>
        <v>240</v>
      </c>
      <c r="V66" s="551">
        <f t="shared" si="323"/>
        <v>318</v>
      </c>
      <c r="W66" s="531">
        <f t="shared" si="323"/>
        <v>349.74</v>
      </c>
      <c r="X66" s="531">
        <f t="shared" si="323"/>
        <v>356.73480000000001</v>
      </c>
      <c r="Y66" s="531">
        <f t="shared" si="323"/>
        <v>363.86949600000003</v>
      </c>
      <c r="Z66" s="531">
        <f t="shared" si="323"/>
        <v>371.14688592000005</v>
      </c>
      <c r="AA66" s="531">
        <f t="shared" si="323"/>
        <v>378.56982363840007</v>
      </c>
      <c r="AB66" s="531">
        <f t="shared" si="323"/>
        <v>386.14122011116808</v>
      </c>
      <c r="AC66" s="531">
        <f t="shared" si="323"/>
        <v>393.86404451339138</v>
      </c>
      <c r="AD66" s="531">
        <f t="shared" si="323"/>
        <v>401.74132540365929</v>
      </c>
      <c r="AE66" s="531">
        <f t="shared" si="323"/>
        <v>409.77615191173243</v>
      </c>
      <c r="AF66" s="531"/>
      <c r="AG66" s="531">
        <f t="shared" si="323"/>
        <v>857</v>
      </c>
      <c r="AH66" s="531">
        <f t="shared" si="323"/>
        <v>893</v>
      </c>
      <c r="AI66" s="531">
        <f t="shared" si="323"/>
        <v>1222</v>
      </c>
      <c r="AJ66" s="531">
        <f t="shared" si="323"/>
        <v>630</v>
      </c>
      <c r="AK66" s="531">
        <f t="shared" si="323"/>
        <v>485</v>
      </c>
      <c r="AL66" s="531">
        <f t="shared" si="323"/>
        <v>507</v>
      </c>
      <c r="AM66" s="531">
        <f t="shared" si="323"/>
        <v>586</v>
      </c>
      <c r="AN66" s="531">
        <f t="shared" si="323"/>
        <v>586</v>
      </c>
      <c r="AO66" s="551">
        <f t="shared" si="323"/>
        <v>529</v>
      </c>
      <c r="AP66" s="531">
        <f t="shared" si="323"/>
        <v>667.74</v>
      </c>
      <c r="AQ66" s="531">
        <f t="shared" si="323"/>
        <v>720.60429599999998</v>
      </c>
      <c r="AR66" s="531">
        <f t="shared" si="323"/>
        <v>749.7167095584</v>
      </c>
      <c r="AS66" s="531">
        <f t="shared" si="323"/>
        <v>780.00526462455946</v>
      </c>
      <c r="AT66" s="531">
        <f t="shared" si="323"/>
        <v>811.51747731539172</v>
      </c>
    </row>
    <row r="67" spans="2:46">
      <c r="C67" s="522" t="s">
        <v>1879</v>
      </c>
      <c r="D67" s="532">
        <f>D65/D66-1</f>
        <v>0</v>
      </c>
      <c r="E67" s="532">
        <f t="shared" ref="E67" si="324">E65/E66-1</f>
        <v>0</v>
      </c>
      <c r="F67" s="532">
        <f t="shared" ref="F67" si="325">F65/F66-1</f>
        <v>0</v>
      </c>
      <c r="G67" s="532">
        <f t="shared" ref="G67" si="326">G65/G66-1</f>
        <v>0</v>
      </c>
      <c r="H67" s="532">
        <f t="shared" ref="H67" si="327">H65/H66-1</f>
        <v>0</v>
      </c>
      <c r="I67" s="532">
        <f t="shared" ref="I67" si="328">I65/I66-1</f>
        <v>0</v>
      </c>
      <c r="J67" s="532">
        <f t="shared" ref="J67" si="329">J65/J66-1</f>
        <v>0</v>
      </c>
      <c r="K67" s="532">
        <f t="shared" ref="K67" si="330">K65/K66-1</f>
        <v>0</v>
      </c>
      <c r="L67" s="532">
        <f t="shared" ref="L67" si="331">L65/L66-1</f>
        <v>0</v>
      </c>
      <c r="M67" s="532">
        <f t="shared" ref="M67" si="332">M65/M66-1</f>
        <v>0</v>
      </c>
      <c r="N67" s="532">
        <f t="shared" ref="N67" si="333">N65/N66-1</f>
        <v>0</v>
      </c>
      <c r="O67" s="532">
        <f t="shared" ref="O67" si="334">O65/O66-1</f>
        <v>0</v>
      </c>
      <c r="P67" s="532">
        <f t="shared" ref="P67" si="335">P65/P66-1</f>
        <v>0</v>
      </c>
      <c r="Q67" s="532">
        <f t="shared" ref="Q67" si="336">Q65/Q66-1</f>
        <v>0</v>
      </c>
      <c r="R67" s="532">
        <f t="shared" ref="R67" si="337">R65/R66-1</f>
        <v>0</v>
      </c>
      <c r="S67" s="532">
        <f t="shared" ref="S67" si="338">S65/S66-1</f>
        <v>0</v>
      </c>
      <c r="T67" s="532">
        <f t="shared" ref="T67" si="339">T65/T66-1</f>
        <v>0</v>
      </c>
      <c r="U67" s="532">
        <f t="shared" ref="U67" si="340">U65/U66-1</f>
        <v>0</v>
      </c>
      <c r="V67" s="554">
        <f t="shared" ref="V67" si="341">V65/V66-1</f>
        <v>0</v>
      </c>
      <c r="W67" s="532">
        <f t="shared" ref="W67" si="342">W65/W66-1</f>
        <v>3.534053868588094E-2</v>
      </c>
      <c r="X67" s="532">
        <f t="shared" ref="X67" si="343">X65/X66-1</f>
        <v>5.0969796050175153E-2</v>
      </c>
      <c r="Y67" s="532">
        <f t="shared" ref="Y67" si="344">Y65/Y66-1</f>
        <v>6.7058737454595452E-2</v>
      </c>
      <c r="Z67" s="532">
        <f t="shared" ref="Z67" si="345">Z65/Z66-1</f>
        <v>8.3620883017969438E-2</v>
      </c>
      <c r="AA67" s="532">
        <f t="shared" ref="AA67" si="346">AA65/AA66-1</f>
        <v>0.10067015050967787</v>
      </c>
      <c r="AB67" s="532">
        <f t="shared" ref="AB67" si="347">AB65/AB66-1</f>
        <v>0.11822086704526047</v>
      </c>
      <c r="AC67" s="532">
        <f t="shared" ref="AC67" si="348">AC65/AC66-1</f>
        <v>0.13628778112600703</v>
      </c>
      <c r="AD67" s="532">
        <f t="shared" ref="AD67" si="349">AD65/AD66-1</f>
        <v>0.15488607503265772</v>
      </c>
      <c r="AE67" s="532">
        <f t="shared" ref="AE67" si="350">AE65/AE66-1</f>
        <v>0.17403137758362197</v>
      </c>
      <c r="AF67" s="532"/>
      <c r="AG67" s="532">
        <f t="shared" ref="AG67" si="351">AG65/AG66-1</f>
        <v>0</v>
      </c>
      <c r="AH67" s="532">
        <f t="shared" ref="AH67" si="352">AH65/AH66-1</f>
        <v>0</v>
      </c>
      <c r="AI67" s="532">
        <f t="shared" ref="AI67" si="353">AI65/AI66-1</f>
        <v>0</v>
      </c>
      <c r="AJ67" s="532">
        <f t="shared" ref="AJ67" si="354">AJ65/AJ66-1</f>
        <v>0</v>
      </c>
      <c r="AK67" s="532">
        <f t="shared" ref="AK67" si="355">AK65/AK66-1</f>
        <v>0</v>
      </c>
      <c r="AL67" s="532">
        <f t="shared" ref="AL67" si="356">AL65/AL66-1</f>
        <v>0</v>
      </c>
      <c r="AM67" s="532">
        <f t="shared" ref="AM67" si="357">AM65/AM66-1</f>
        <v>0</v>
      </c>
      <c r="AN67" s="532">
        <f t="shared" ref="AN67" si="358">AN65/AN66-1</f>
        <v>0</v>
      </c>
      <c r="AO67" s="554">
        <f t="shared" ref="AO67" si="359">AO65/AO66-1</f>
        <v>0</v>
      </c>
      <c r="AP67" s="532">
        <f t="shared" ref="AP67" si="360">AP65/AP66-1</f>
        <v>1.8510198580285797E-2</v>
      </c>
      <c r="AQ67" s="532">
        <f t="shared" ref="AQ67" si="361">AQ65/AQ66-1</f>
        <v>5.9093914977159656E-2</v>
      </c>
      <c r="AR67" s="532">
        <f t="shared" ref="AR67" si="362">AR65/AR66-1</f>
        <v>9.2229919078139488E-2</v>
      </c>
      <c r="AS67" s="532">
        <f t="shared" ref="AS67" si="363">AS65/AS66-1</f>
        <v>0.12734376425435023</v>
      </c>
      <c r="AT67" s="532">
        <f t="shared" ref="AT67" si="364">AT65/AT66-1</f>
        <v>0.16455350503363952</v>
      </c>
    </row>
    <row r="68" spans="2:46">
      <c r="C68" s="522" t="s">
        <v>1880</v>
      </c>
      <c r="D68" s="531">
        <f>D65-D66</f>
        <v>0</v>
      </c>
      <c r="E68" s="531">
        <f t="shared" ref="E68:AE68" si="365">E65-E66</f>
        <v>0</v>
      </c>
      <c r="F68" s="531">
        <f t="shared" si="365"/>
        <v>0</v>
      </c>
      <c r="G68" s="531">
        <f t="shared" si="365"/>
        <v>0</v>
      </c>
      <c r="H68" s="531">
        <f t="shared" si="365"/>
        <v>0</v>
      </c>
      <c r="I68" s="531">
        <f t="shared" si="365"/>
        <v>0</v>
      </c>
      <c r="J68" s="531">
        <f t="shared" si="365"/>
        <v>0</v>
      </c>
      <c r="K68" s="531">
        <f t="shared" si="365"/>
        <v>0</v>
      </c>
      <c r="L68" s="531">
        <f t="shared" si="365"/>
        <v>0</v>
      </c>
      <c r="M68" s="531">
        <f t="shared" si="365"/>
        <v>0</v>
      </c>
      <c r="N68" s="531">
        <f t="shared" si="365"/>
        <v>0</v>
      </c>
      <c r="O68" s="531">
        <f t="shared" si="365"/>
        <v>0</v>
      </c>
      <c r="P68" s="531">
        <f t="shared" si="365"/>
        <v>0</v>
      </c>
      <c r="Q68" s="531">
        <f t="shared" si="365"/>
        <v>0</v>
      </c>
      <c r="R68" s="531">
        <f t="shared" si="365"/>
        <v>0</v>
      </c>
      <c r="S68" s="531">
        <f t="shared" si="365"/>
        <v>0</v>
      </c>
      <c r="T68" s="531">
        <f t="shared" si="365"/>
        <v>0</v>
      </c>
      <c r="U68" s="531">
        <f t="shared" si="365"/>
        <v>0</v>
      </c>
      <c r="V68" s="551">
        <f t="shared" si="365"/>
        <v>0</v>
      </c>
      <c r="W68" s="531">
        <f t="shared" si="365"/>
        <v>12.360000000000014</v>
      </c>
      <c r="X68" s="531">
        <f t="shared" si="365"/>
        <v>18.182700000000011</v>
      </c>
      <c r="Y68" s="531">
        <f t="shared" si="365"/>
        <v>24.400628999999981</v>
      </c>
      <c r="Z68" s="531">
        <f t="shared" si="365"/>
        <v>31.035630330000004</v>
      </c>
      <c r="AA68" s="531">
        <f t="shared" si="365"/>
        <v>38.110681124099983</v>
      </c>
      <c r="AB68" s="531">
        <f t="shared" si="365"/>
        <v>45.649949843457023</v>
      </c>
      <c r="AC68" s="531">
        <f t="shared" si="365"/>
        <v>53.678856692044974</v>
      </c>
      <c r="AD68" s="531">
        <f t="shared" si="365"/>
        <v>62.224137070190523</v>
      </c>
      <c r="AE68" s="531">
        <f t="shared" si="365"/>
        <v>71.313908218114307</v>
      </c>
      <c r="AF68" s="531"/>
      <c r="AG68" s="531">
        <f t="shared" ref="AG68:AT68" si="366">AG65-AG66</f>
        <v>0</v>
      </c>
      <c r="AH68" s="531">
        <f t="shared" si="366"/>
        <v>0</v>
      </c>
      <c r="AI68" s="531">
        <f t="shared" si="366"/>
        <v>0</v>
      </c>
      <c r="AJ68" s="531">
        <f t="shared" si="366"/>
        <v>0</v>
      </c>
      <c r="AK68" s="531">
        <f t="shared" si="366"/>
        <v>0</v>
      </c>
      <c r="AL68" s="531">
        <f t="shared" si="366"/>
        <v>0</v>
      </c>
      <c r="AM68" s="531">
        <f t="shared" si="366"/>
        <v>0</v>
      </c>
      <c r="AN68" s="531">
        <f t="shared" si="366"/>
        <v>0</v>
      </c>
      <c r="AO68" s="551">
        <f t="shared" si="366"/>
        <v>0</v>
      </c>
      <c r="AP68" s="531">
        <f t="shared" si="366"/>
        <v>12.360000000000014</v>
      </c>
      <c r="AQ68" s="531">
        <f t="shared" si="366"/>
        <v>42.583329000000049</v>
      </c>
      <c r="AR68" s="531">
        <f t="shared" si="366"/>
        <v>69.146311454100214</v>
      </c>
      <c r="AS68" s="531">
        <f t="shared" si="366"/>
        <v>99.328806535502054</v>
      </c>
      <c r="AT68" s="531">
        <f t="shared" si="366"/>
        <v>133.53804528830483</v>
      </c>
    </row>
    <row r="69" spans="2:46">
      <c r="C69" s="521"/>
      <c r="V69" s="550"/>
      <c r="AO69" s="550"/>
    </row>
    <row r="70" spans="2:46">
      <c r="B70" t="s">
        <v>1892</v>
      </c>
      <c r="C70" s="521" t="s">
        <v>1877</v>
      </c>
      <c r="D70" s="531">
        <f>D154</f>
        <v>-41</v>
      </c>
      <c r="E70" s="531">
        <f t="shared" ref="E70:AT70" si="367">E154</f>
        <v>-88</v>
      </c>
      <c r="F70" s="531">
        <f t="shared" si="367"/>
        <v>-56</v>
      </c>
      <c r="G70" s="531">
        <f t="shared" si="367"/>
        <v>-32</v>
      </c>
      <c r="H70" s="531">
        <f t="shared" si="367"/>
        <v>-18</v>
      </c>
      <c r="I70" s="531">
        <f t="shared" si="367"/>
        <v>-147</v>
      </c>
      <c r="J70" s="531">
        <f t="shared" si="367"/>
        <v>-32</v>
      </c>
      <c r="K70" s="531">
        <f t="shared" si="367"/>
        <v>-211</v>
      </c>
      <c r="L70" s="531">
        <f t="shared" si="367"/>
        <v>-166</v>
      </c>
      <c r="M70" s="531">
        <f t="shared" si="367"/>
        <v>-71</v>
      </c>
      <c r="N70" s="531">
        <f t="shared" si="367"/>
        <v>-58</v>
      </c>
      <c r="O70" s="531">
        <f t="shared" si="367"/>
        <v>-7</v>
      </c>
      <c r="P70" s="531">
        <f t="shared" si="367"/>
        <v>-35</v>
      </c>
      <c r="Q70" s="531">
        <f t="shared" si="367"/>
        <v>-22</v>
      </c>
      <c r="R70" s="531">
        <f t="shared" si="367"/>
        <v>-21</v>
      </c>
      <c r="S70" s="531">
        <f t="shared" si="367"/>
        <v>32</v>
      </c>
      <c r="T70" s="531">
        <f t="shared" si="367"/>
        <v>-16</v>
      </c>
      <c r="U70" s="531">
        <f t="shared" si="367"/>
        <v>-81</v>
      </c>
      <c r="V70" s="551">
        <f t="shared" si="367"/>
        <v>-68</v>
      </c>
      <c r="W70" s="565">
        <f t="shared" si="367"/>
        <v>-60.2</v>
      </c>
      <c r="X70" s="531">
        <f t="shared" si="367"/>
        <v>-45.370569785561955</v>
      </c>
      <c r="Y70" s="531">
        <f t="shared" si="367"/>
        <v>-58.66199416470635</v>
      </c>
      <c r="Z70" s="531">
        <f t="shared" si="367"/>
        <v>-68.244020913078117</v>
      </c>
      <c r="AA70" s="531">
        <f t="shared" si="367"/>
        <v>-66.576743278839359</v>
      </c>
      <c r="AB70" s="531">
        <f t="shared" si="367"/>
        <v>-79.571082497757502</v>
      </c>
      <c r="AC70" s="531">
        <f t="shared" si="367"/>
        <v>-79.747587025292631</v>
      </c>
      <c r="AD70" s="531">
        <f t="shared" si="367"/>
        <v>-80.308542128300758</v>
      </c>
      <c r="AE70" s="531">
        <f t="shared" si="367"/>
        <v>-80.698120611447493</v>
      </c>
      <c r="AF70" s="531"/>
      <c r="AG70" s="531">
        <f t="shared" si="367"/>
        <v>-129</v>
      </c>
      <c r="AH70" s="531">
        <f t="shared" si="367"/>
        <v>-88</v>
      </c>
      <c r="AI70" s="531">
        <f t="shared" si="367"/>
        <v>-165</v>
      </c>
      <c r="AJ70" s="531">
        <f t="shared" si="367"/>
        <v>-243</v>
      </c>
      <c r="AK70" s="531">
        <f t="shared" si="367"/>
        <v>-237</v>
      </c>
      <c r="AL70" s="531">
        <f t="shared" si="367"/>
        <v>-65</v>
      </c>
      <c r="AM70" s="531">
        <f t="shared" si="367"/>
        <v>-57</v>
      </c>
      <c r="AN70" s="531">
        <f t="shared" si="367"/>
        <v>11</v>
      </c>
      <c r="AO70" s="551">
        <f t="shared" si="367"/>
        <v>-97</v>
      </c>
      <c r="AP70" s="531">
        <f t="shared" si="367"/>
        <v>-128.19999999999999</v>
      </c>
      <c r="AQ70" s="531">
        <f t="shared" si="367"/>
        <v>-104.0325639502683</v>
      </c>
      <c r="AR70" s="531">
        <f t="shared" si="367"/>
        <v>-134.82076419191748</v>
      </c>
      <c r="AS70" s="531">
        <f t="shared" si="367"/>
        <v>-159.31866952305012</v>
      </c>
      <c r="AT70" s="531">
        <f t="shared" si="367"/>
        <v>-161.00666273974826</v>
      </c>
    </row>
    <row r="71" spans="2:46">
      <c r="C71" s="521" t="s">
        <v>1878</v>
      </c>
      <c r="D71" s="531">
        <f>D201</f>
        <v>-41</v>
      </c>
      <c r="E71" s="531">
        <f t="shared" ref="E71:AT71" si="368">E201</f>
        <v>-88</v>
      </c>
      <c r="F71" s="531">
        <f t="shared" si="368"/>
        <v>-56</v>
      </c>
      <c r="G71" s="531">
        <f t="shared" si="368"/>
        <v>-32</v>
      </c>
      <c r="H71" s="531">
        <f t="shared" si="368"/>
        <v>-18</v>
      </c>
      <c r="I71" s="531">
        <f t="shared" si="368"/>
        <v>-147</v>
      </c>
      <c r="J71" s="531">
        <f t="shared" si="368"/>
        <v>-32</v>
      </c>
      <c r="K71" s="531">
        <f t="shared" si="368"/>
        <v>-211</v>
      </c>
      <c r="L71" s="531">
        <f t="shared" si="368"/>
        <v>-166</v>
      </c>
      <c r="M71" s="531">
        <f t="shared" si="368"/>
        <v>-71</v>
      </c>
      <c r="N71" s="531">
        <f t="shared" si="368"/>
        <v>-58</v>
      </c>
      <c r="O71" s="531">
        <f t="shared" si="368"/>
        <v>-7</v>
      </c>
      <c r="P71" s="531">
        <f t="shared" si="368"/>
        <v>-35</v>
      </c>
      <c r="Q71" s="531">
        <f t="shared" si="368"/>
        <v>-22</v>
      </c>
      <c r="R71" s="531">
        <f t="shared" si="368"/>
        <v>-21</v>
      </c>
      <c r="S71" s="531">
        <f t="shared" si="368"/>
        <v>32</v>
      </c>
      <c r="T71" s="531">
        <f t="shared" si="368"/>
        <v>-16</v>
      </c>
      <c r="U71" s="531">
        <f t="shared" si="368"/>
        <v>-81</v>
      </c>
      <c r="V71" s="551">
        <f t="shared" si="368"/>
        <v>-68</v>
      </c>
      <c r="W71" s="531">
        <f t="shared" si="368"/>
        <v>-60.2</v>
      </c>
      <c r="X71" s="531">
        <f t="shared" si="368"/>
        <v>-44.595302135844648</v>
      </c>
      <c r="Y71" s="531">
        <f t="shared" si="368"/>
        <v>-58.574110629711029</v>
      </c>
      <c r="Z71" s="531">
        <f t="shared" si="368"/>
        <v>-70.136127837051646</v>
      </c>
      <c r="AA71" s="531">
        <f t="shared" si="368"/>
        <v>-69.76323143238541</v>
      </c>
      <c r="AB71" s="531">
        <f t="shared" si="368"/>
        <v>-85.602089179709822</v>
      </c>
      <c r="AC71" s="531">
        <f t="shared" si="368"/>
        <v>-85.744147278899334</v>
      </c>
      <c r="AD71" s="531">
        <f t="shared" si="368"/>
        <v>-86.293939826668108</v>
      </c>
      <c r="AE71" s="531">
        <f t="shared" si="368"/>
        <v>-86.684926126377619</v>
      </c>
      <c r="AF71" s="531"/>
      <c r="AG71" s="531">
        <f t="shared" si="368"/>
        <v>-129</v>
      </c>
      <c r="AH71" s="531">
        <f t="shared" si="368"/>
        <v>-88</v>
      </c>
      <c r="AI71" s="531">
        <f t="shared" si="368"/>
        <v>-165</v>
      </c>
      <c r="AJ71" s="531">
        <f t="shared" si="368"/>
        <v>-243</v>
      </c>
      <c r="AK71" s="531">
        <f t="shared" si="368"/>
        <v>-237</v>
      </c>
      <c r="AL71" s="531">
        <f t="shared" si="368"/>
        <v>-65</v>
      </c>
      <c r="AM71" s="531">
        <f t="shared" si="368"/>
        <v>-57</v>
      </c>
      <c r="AN71" s="531">
        <f t="shared" si="368"/>
        <v>11</v>
      </c>
      <c r="AO71" s="551">
        <f t="shared" si="368"/>
        <v>-97</v>
      </c>
      <c r="AP71" s="531">
        <f t="shared" si="368"/>
        <v>-128.19999999999999</v>
      </c>
      <c r="AQ71" s="531">
        <f t="shared" si="368"/>
        <v>-103.16941276555568</v>
      </c>
      <c r="AR71" s="531">
        <f t="shared" si="368"/>
        <v>-139.89935926943707</v>
      </c>
      <c r="AS71" s="531">
        <f t="shared" si="368"/>
        <v>-171.34623645860916</v>
      </c>
      <c r="AT71" s="531">
        <f t="shared" si="368"/>
        <v>-172.97886595304573</v>
      </c>
    </row>
    <row r="72" spans="2:46">
      <c r="C72" s="522" t="s">
        <v>1879</v>
      </c>
      <c r="D72" s="532">
        <f>D70/D71-1</f>
        <v>0</v>
      </c>
      <c r="E72" s="532">
        <f t="shared" ref="E72" si="369">E70/E71-1</f>
        <v>0</v>
      </c>
      <c r="F72" s="532">
        <f t="shared" ref="F72" si="370">F70/F71-1</f>
        <v>0</v>
      </c>
      <c r="G72" s="532">
        <f t="shared" ref="G72" si="371">G70/G71-1</f>
        <v>0</v>
      </c>
      <c r="H72" s="532">
        <f t="shared" ref="H72" si="372">H70/H71-1</f>
        <v>0</v>
      </c>
      <c r="I72" s="532">
        <f t="shared" ref="I72" si="373">I70/I71-1</f>
        <v>0</v>
      </c>
      <c r="J72" s="532">
        <f t="shared" ref="J72" si="374">J70/J71-1</f>
        <v>0</v>
      </c>
      <c r="K72" s="532">
        <f t="shared" ref="K72" si="375">K70/K71-1</f>
        <v>0</v>
      </c>
      <c r="L72" s="532">
        <f t="shared" ref="L72" si="376">L70/L71-1</f>
        <v>0</v>
      </c>
      <c r="M72" s="532">
        <f t="shared" ref="M72" si="377">M70/M71-1</f>
        <v>0</v>
      </c>
      <c r="N72" s="532">
        <f t="shared" ref="N72" si="378">N70/N71-1</f>
        <v>0</v>
      </c>
      <c r="O72" s="532">
        <f t="shared" ref="O72" si="379">O70/O71-1</f>
        <v>0</v>
      </c>
      <c r="P72" s="532">
        <f t="shared" ref="P72" si="380">P70/P71-1</f>
        <v>0</v>
      </c>
      <c r="Q72" s="532">
        <f t="shared" ref="Q72" si="381">Q70/Q71-1</f>
        <v>0</v>
      </c>
      <c r="R72" s="532">
        <f t="shared" ref="R72" si="382">R70/R71-1</f>
        <v>0</v>
      </c>
      <c r="S72" s="532">
        <f t="shared" ref="S72" si="383">S70/S71-1</f>
        <v>0</v>
      </c>
      <c r="T72" s="532">
        <f t="shared" ref="T72" si="384">T70/T71-1</f>
        <v>0</v>
      </c>
      <c r="U72" s="532">
        <f t="shared" ref="U72" si="385">U70/U71-1</f>
        <v>0</v>
      </c>
      <c r="V72" s="554">
        <f t="shared" ref="V72" si="386">V70/V71-1</f>
        <v>0</v>
      </c>
      <c r="W72" s="564">
        <f t="shared" ref="W72" si="387">W70/W71-1</f>
        <v>0</v>
      </c>
      <c r="X72" s="532">
        <f t="shared" ref="X72" si="388">X70/X71-1</f>
        <v>1.7384513896905762E-2</v>
      </c>
      <c r="Y72" s="532">
        <f t="shared" ref="Y72" si="389">Y70/Y71-1</f>
        <v>1.500381893135172E-3</v>
      </c>
      <c r="Z72" s="532">
        <f t="shared" ref="Z72" si="390">Z70/Z71-1</f>
        <v>-2.6977635953463142E-2</v>
      </c>
      <c r="AA72" s="532">
        <f t="shared" ref="AA72" si="391">AA70/AA71-1</f>
        <v>-4.5675753374962214E-2</v>
      </c>
      <c r="AB72" s="532">
        <f t="shared" ref="AB72" si="392">AB70/AB71-1</f>
        <v>-7.045396601584164E-2</v>
      </c>
      <c r="AC72" s="532">
        <f t="shared" ref="AC72" si="393">AC70/AC71-1</f>
        <v>-6.9935505150010235E-2</v>
      </c>
      <c r="AD72" s="532">
        <f t="shared" ref="AD72" si="394">AD70/AD71-1</f>
        <v>-6.936057978566923E-2</v>
      </c>
      <c r="AE72" s="532">
        <f t="shared" ref="AE72" si="395">AE70/AE71-1</f>
        <v>-6.9063974354687474E-2</v>
      </c>
      <c r="AF72" s="532"/>
      <c r="AG72" s="532">
        <f t="shared" ref="AG72" si="396">AG70/AG71-1</f>
        <v>0</v>
      </c>
      <c r="AH72" s="532">
        <f t="shared" ref="AH72" si="397">AH70/AH71-1</f>
        <v>0</v>
      </c>
      <c r="AI72" s="532">
        <f t="shared" ref="AI72" si="398">AI70/AI71-1</f>
        <v>0</v>
      </c>
      <c r="AJ72" s="532">
        <f t="shared" ref="AJ72" si="399">AJ70/AJ71-1</f>
        <v>0</v>
      </c>
      <c r="AK72" s="532">
        <f t="shared" ref="AK72" si="400">AK70/AK71-1</f>
        <v>0</v>
      </c>
      <c r="AL72" s="532">
        <f t="shared" ref="AL72" si="401">AL70/AL71-1</f>
        <v>0</v>
      </c>
      <c r="AM72" s="532">
        <f t="shared" ref="AM72" si="402">AM70/AM71-1</f>
        <v>0</v>
      </c>
      <c r="AN72" s="532">
        <f t="shared" ref="AN72" si="403">AN70/AN71-1</f>
        <v>0</v>
      </c>
      <c r="AO72" s="554">
        <f t="shared" ref="AO72" si="404">AO70/AO71-1</f>
        <v>0</v>
      </c>
      <c r="AP72" s="532">
        <f t="shared" ref="AP72" si="405">AP70/AP71-1</f>
        <v>0</v>
      </c>
      <c r="AQ72" s="532">
        <f t="shared" ref="AQ72" si="406">AQ70/AQ71-1</f>
        <v>8.3663477534186015E-3</v>
      </c>
      <c r="AR72" s="532">
        <f t="shared" ref="AR72" si="407">AR70/AR71-1</f>
        <v>-3.6301775104906286E-2</v>
      </c>
      <c r="AS72" s="532">
        <f t="shared" ref="AS72" si="408">AS70/AS71-1</f>
        <v>-7.0194520662637649E-2</v>
      </c>
      <c r="AT72" s="532">
        <f t="shared" ref="AT72" si="409">AT70/AT71-1</f>
        <v>-6.9211941859690818E-2</v>
      </c>
    </row>
    <row r="73" spans="2:46">
      <c r="C73" s="522" t="s">
        <v>1880</v>
      </c>
      <c r="D73" s="531">
        <f>D70-D71</f>
        <v>0</v>
      </c>
      <c r="E73" s="531">
        <f t="shared" ref="E73:AE73" si="410">E70-E71</f>
        <v>0</v>
      </c>
      <c r="F73" s="531">
        <f t="shared" si="410"/>
        <v>0</v>
      </c>
      <c r="G73" s="531">
        <f t="shared" si="410"/>
        <v>0</v>
      </c>
      <c r="H73" s="531">
        <f t="shared" si="410"/>
        <v>0</v>
      </c>
      <c r="I73" s="531">
        <f t="shared" si="410"/>
        <v>0</v>
      </c>
      <c r="J73" s="531">
        <f t="shared" si="410"/>
        <v>0</v>
      </c>
      <c r="K73" s="531">
        <f t="shared" si="410"/>
        <v>0</v>
      </c>
      <c r="L73" s="531">
        <f t="shared" si="410"/>
        <v>0</v>
      </c>
      <c r="M73" s="531">
        <f t="shared" si="410"/>
        <v>0</v>
      </c>
      <c r="N73" s="531">
        <f t="shared" si="410"/>
        <v>0</v>
      </c>
      <c r="O73" s="531">
        <f t="shared" si="410"/>
        <v>0</v>
      </c>
      <c r="P73" s="531">
        <f t="shared" si="410"/>
        <v>0</v>
      </c>
      <c r="Q73" s="531">
        <f t="shared" si="410"/>
        <v>0</v>
      </c>
      <c r="R73" s="531">
        <f t="shared" si="410"/>
        <v>0</v>
      </c>
      <c r="S73" s="531">
        <f t="shared" si="410"/>
        <v>0</v>
      </c>
      <c r="T73" s="531">
        <f t="shared" si="410"/>
        <v>0</v>
      </c>
      <c r="U73" s="531">
        <f t="shared" si="410"/>
        <v>0</v>
      </c>
      <c r="V73" s="551">
        <f t="shared" si="410"/>
        <v>0</v>
      </c>
      <c r="W73" s="531">
        <f t="shared" si="410"/>
        <v>0</v>
      </c>
      <c r="X73" s="531">
        <f t="shared" si="410"/>
        <v>-0.77526764971730699</v>
      </c>
      <c r="Y73" s="531">
        <f t="shared" si="410"/>
        <v>-8.7883534995320645E-2</v>
      </c>
      <c r="Z73" s="531">
        <f t="shared" si="410"/>
        <v>1.8921069239735289</v>
      </c>
      <c r="AA73" s="531">
        <f t="shared" si="410"/>
        <v>3.1864881535460512</v>
      </c>
      <c r="AB73" s="531">
        <f t="shared" si="410"/>
        <v>6.03100668195232</v>
      </c>
      <c r="AC73" s="531">
        <f t="shared" si="410"/>
        <v>5.9965602536067024</v>
      </c>
      <c r="AD73" s="531">
        <f t="shared" si="410"/>
        <v>5.9853976983673505</v>
      </c>
      <c r="AE73" s="531">
        <f t="shared" si="410"/>
        <v>5.9868055149301256</v>
      </c>
      <c r="AF73" s="531"/>
      <c r="AG73" s="531">
        <f t="shared" ref="AG73:AT73" si="411">AG70-AG71</f>
        <v>0</v>
      </c>
      <c r="AH73" s="531">
        <f t="shared" si="411"/>
        <v>0</v>
      </c>
      <c r="AI73" s="531">
        <f t="shared" si="411"/>
        <v>0</v>
      </c>
      <c r="AJ73" s="531">
        <f t="shared" si="411"/>
        <v>0</v>
      </c>
      <c r="AK73" s="531">
        <f t="shared" si="411"/>
        <v>0</v>
      </c>
      <c r="AL73" s="531">
        <f t="shared" si="411"/>
        <v>0</v>
      </c>
      <c r="AM73" s="531">
        <f t="shared" si="411"/>
        <v>0</v>
      </c>
      <c r="AN73" s="531">
        <f t="shared" si="411"/>
        <v>0</v>
      </c>
      <c r="AO73" s="551">
        <f t="shared" si="411"/>
        <v>0</v>
      </c>
      <c r="AP73" s="531">
        <f t="shared" si="411"/>
        <v>0</v>
      </c>
      <c r="AQ73" s="531">
        <f t="shared" si="411"/>
        <v>-0.86315118471262053</v>
      </c>
      <c r="AR73" s="531">
        <f t="shared" si="411"/>
        <v>5.0785950775195943</v>
      </c>
      <c r="AS73" s="531">
        <f t="shared" si="411"/>
        <v>12.027566935559037</v>
      </c>
      <c r="AT73" s="531">
        <f t="shared" si="411"/>
        <v>11.972203213297462</v>
      </c>
    </row>
    <row r="74" spans="2:46">
      <c r="C74" s="522"/>
      <c r="V74" s="550"/>
      <c r="AO74" s="550"/>
    </row>
    <row r="75" spans="2:46">
      <c r="B75" s="525" t="s">
        <v>1876</v>
      </c>
      <c r="C75" s="521"/>
      <c r="V75" s="550"/>
      <c r="AO75" s="550"/>
    </row>
    <row r="76" spans="2:46">
      <c r="B76" t="s">
        <v>1886</v>
      </c>
      <c r="C76" s="521" t="s">
        <v>1877</v>
      </c>
      <c r="D76" s="531">
        <f>D157</f>
        <v>11</v>
      </c>
      <c r="E76" s="531">
        <f t="shared" ref="E76:AT76" si="412">E157</f>
        <v>-8</v>
      </c>
      <c r="F76" s="531">
        <f t="shared" si="412"/>
        <v>-54</v>
      </c>
      <c r="G76" s="531">
        <f t="shared" si="412"/>
        <v>-11</v>
      </c>
      <c r="H76" s="531">
        <f t="shared" si="412"/>
        <v>61</v>
      </c>
      <c r="I76" s="531">
        <f t="shared" si="412"/>
        <v>26</v>
      </c>
      <c r="J76" s="531">
        <f t="shared" si="412"/>
        <v>-20</v>
      </c>
      <c r="K76" s="531">
        <f t="shared" si="412"/>
        <v>-39</v>
      </c>
      <c r="L76" s="531">
        <f t="shared" si="412"/>
        <v>6</v>
      </c>
      <c r="M76" s="531">
        <f t="shared" si="412"/>
        <v>63</v>
      </c>
      <c r="N76" s="531">
        <f t="shared" si="412"/>
        <v>158</v>
      </c>
      <c r="O76" s="531">
        <f t="shared" si="412"/>
        <v>256</v>
      </c>
      <c r="P76" s="531">
        <f t="shared" si="412"/>
        <v>154</v>
      </c>
      <c r="Q76" s="531">
        <f t="shared" si="412"/>
        <v>256</v>
      </c>
      <c r="R76" s="531">
        <f t="shared" si="412"/>
        <v>334</v>
      </c>
      <c r="S76" s="531">
        <f t="shared" si="412"/>
        <v>356</v>
      </c>
      <c r="T76" s="531">
        <f t="shared" si="412"/>
        <v>322</v>
      </c>
      <c r="U76" s="531">
        <f t="shared" si="412"/>
        <v>490</v>
      </c>
      <c r="V76" s="551">
        <f t="shared" si="412"/>
        <v>497</v>
      </c>
      <c r="W76" s="531">
        <f t="shared" si="412"/>
        <v>494.30496496980157</v>
      </c>
      <c r="X76" s="531">
        <f t="shared" si="412"/>
        <v>514.93640406565351</v>
      </c>
      <c r="Y76" s="531">
        <f t="shared" si="412"/>
        <v>536.42896394590196</v>
      </c>
      <c r="Z76" s="531">
        <f t="shared" si="412"/>
        <v>558.81858631106877</v>
      </c>
      <c r="AA76" s="531">
        <f t="shared" si="412"/>
        <v>582.14271300644043</v>
      </c>
      <c r="AB76" s="531">
        <f t="shared" si="412"/>
        <v>606.44034863553054</v>
      </c>
      <c r="AC76" s="531">
        <f t="shared" si="412"/>
        <v>631.75212578692037</v>
      </c>
      <c r="AD76" s="531">
        <f t="shared" si="412"/>
        <v>658.12037298355563</v>
      </c>
      <c r="AE76" s="531">
        <f t="shared" si="412"/>
        <v>685.58918546813004</v>
      </c>
      <c r="AF76" s="531"/>
      <c r="AG76" s="531">
        <f t="shared" si="412"/>
        <v>3</v>
      </c>
      <c r="AH76" s="531">
        <f t="shared" si="412"/>
        <v>-65</v>
      </c>
      <c r="AI76" s="531">
        <f t="shared" si="412"/>
        <v>87</v>
      </c>
      <c r="AJ76" s="531">
        <f t="shared" si="412"/>
        <v>-59</v>
      </c>
      <c r="AK76" s="531">
        <f t="shared" si="412"/>
        <v>69</v>
      </c>
      <c r="AL76" s="531">
        <f t="shared" si="412"/>
        <v>414</v>
      </c>
      <c r="AM76" s="531">
        <f t="shared" si="412"/>
        <v>410</v>
      </c>
      <c r="AN76" s="531">
        <f t="shared" si="412"/>
        <v>690</v>
      </c>
      <c r="AO76" s="551">
        <f t="shared" si="412"/>
        <v>812</v>
      </c>
      <c r="AP76" s="531">
        <f t="shared" si="412"/>
        <v>991.30496496980163</v>
      </c>
      <c r="AQ76" s="531">
        <f t="shared" si="412"/>
        <v>1051.3653680115553</v>
      </c>
      <c r="AR76" s="531">
        <f t="shared" si="412"/>
        <v>1140.9612993175092</v>
      </c>
      <c r="AS76" s="531">
        <f t="shared" si="412"/>
        <v>1238.1924744224509</v>
      </c>
      <c r="AT76" s="531">
        <f t="shared" si="412"/>
        <v>1343.7095584516856</v>
      </c>
    </row>
    <row r="77" spans="2:46">
      <c r="C77" s="521" t="s">
        <v>1878</v>
      </c>
      <c r="D77" s="531">
        <f>D204</f>
        <v>11</v>
      </c>
      <c r="E77" s="531">
        <f t="shared" ref="E77:AT77" si="413">E204</f>
        <v>-8</v>
      </c>
      <c r="F77" s="531">
        <f t="shared" si="413"/>
        <v>-54</v>
      </c>
      <c r="G77" s="531">
        <f t="shared" si="413"/>
        <v>-11</v>
      </c>
      <c r="H77" s="531">
        <f t="shared" si="413"/>
        <v>61</v>
      </c>
      <c r="I77" s="531">
        <f t="shared" si="413"/>
        <v>26</v>
      </c>
      <c r="J77" s="531">
        <f t="shared" si="413"/>
        <v>-20</v>
      </c>
      <c r="K77" s="531">
        <f t="shared" si="413"/>
        <v>-39</v>
      </c>
      <c r="L77" s="531">
        <f t="shared" si="413"/>
        <v>6</v>
      </c>
      <c r="M77" s="531">
        <f t="shared" si="413"/>
        <v>63</v>
      </c>
      <c r="N77" s="531">
        <f t="shared" si="413"/>
        <v>158</v>
      </c>
      <c r="O77" s="531">
        <f t="shared" si="413"/>
        <v>256</v>
      </c>
      <c r="P77" s="531">
        <f t="shared" si="413"/>
        <v>154</v>
      </c>
      <c r="Q77" s="531">
        <f t="shared" si="413"/>
        <v>256</v>
      </c>
      <c r="R77" s="531">
        <f t="shared" si="413"/>
        <v>334</v>
      </c>
      <c r="S77" s="531">
        <f t="shared" si="413"/>
        <v>356</v>
      </c>
      <c r="T77" s="531">
        <f t="shared" si="413"/>
        <v>322</v>
      </c>
      <c r="U77" s="531">
        <f t="shared" si="413"/>
        <v>490</v>
      </c>
      <c r="V77" s="551">
        <f t="shared" si="413"/>
        <v>497</v>
      </c>
      <c r="W77" s="531">
        <f t="shared" si="413"/>
        <v>494.30496496980157</v>
      </c>
      <c r="X77" s="531">
        <f t="shared" si="413"/>
        <v>514.93640406565351</v>
      </c>
      <c r="Y77" s="531">
        <f t="shared" si="413"/>
        <v>536.42896394590196</v>
      </c>
      <c r="Z77" s="531">
        <f t="shared" si="413"/>
        <v>558.81858631106877</v>
      </c>
      <c r="AA77" s="531">
        <f t="shared" si="413"/>
        <v>582.14271300644043</v>
      </c>
      <c r="AB77" s="531">
        <f t="shared" si="413"/>
        <v>606.44034863553054</v>
      </c>
      <c r="AC77" s="531">
        <f t="shared" si="413"/>
        <v>631.75212578692037</v>
      </c>
      <c r="AD77" s="531">
        <f t="shared" si="413"/>
        <v>658.12037298355563</v>
      </c>
      <c r="AE77" s="531">
        <f t="shared" si="413"/>
        <v>685.58918546813004</v>
      </c>
      <c r="AF77" s="531"/>
      <c r="AG77" s="531">
        <f t="shared" si="413"/>
        <v>3</v>
      </c>
      <c r="AH77" s="531">
        <f t="shared" si="413"/>
        <v>-65</v>
      </c>
      <c r="AI77" s="531">
        <f t="shared" si="413"/>
        <v>87</v>
      </c>
      <c r="AJ77" s="531">
        <f t="shared" si="413"/>
        <v>-59</v>
      </c>
      <c r="AK77" s="531">
        <f t="shared" si="413"/>
        <v>69</v>
      </c>
      <c r="AL77" s="531">
        <f t="shared" si="413"/>
        <v>414</v>
      </c>
      <c r="AM77" s="531">
        <f t="shared" si="413"/>
        <v>410</v>
      </c>
      <c r="AN77" s="531">
        <f t="shared" si="413"/>
        <v>690</v>
      </c>
      <c r="AO77" s="551">
        <f t="shared" si="413"/>
        <v>812</v>
      </c>
      <c r="AP77" s="531">
        <f t="shared" si="413"/>
        <v>991.30496496980163</v>
      </c>
      <c r="AQ77" s="531">
        <f t="shared" si="413"/>
        <v>1051.3653680115553</v>
      </c>
      <c r="AR77" s="531">
        <f t="shared" si="413"/>
        <v>1140.9612993175092</v>
      </c>
      <c r="AS77" s="531">
        <f t="shared" si="413"/>
        <v>1238.1924744224509</v>
      </c>
      <c r="AT77" s="531">
        <f t="shared" si="413"/>
        <v>1343.7095584516856</v>
      </c>
    </row>
    <row r="78" spans="2:46">
      <c r="C78" s="522" t="s">
        <v>1879</v>
      </c>
      <c r="D78" s="532">
        <f>D76/D77-1</f>
        <v>0</v>
      </c>
      <c r="E78" s="532">
        <f t="shared" ref="E78" si="414">E76/E77-1</f>
        <v>0</v>
      </c>
      <c r="F78" s="532">
        <f t="shared" ref="F78" si="415">F76/F77-1</f>
        <v>0</v>
      </c>
      <c r="G78" s="532">
        <f t="shared" ref="G78" si="416">G76/G77-1</f>
        <v>0</v>
      </c>
      <c r="H78" s="532">
        <f t="shared" ref="H78" si="417">H76/H77-1</f>
        <v>0</v>
      </c>
      <c r="I78" s="532">
        <f t="shared" ref="I78" si="418">I76/I77-1</f>
        <v>0</v>
      </c>
      <c r="J78" s="532">
        <f t="shared" ref="J78" si="419">J76/J77-1</f>
        <v>0</v>
      </c>
      <c r="K78" s="532">
        <f t="shared" ref="K78" si="420">K76/K77-1</f>
        <v>0</v>
      </c>
      <c r="L78" s="532">
        <f t="shared" ref="L78" si="421">L76/L77-1</f>
        <v>0</v>
      </c>
      <c r="M78" s="532">
        <f t="shared" ref="M78" si="422">M76/M77-1</f>
        <v>0</v>
      </c>
      <c r="N78" s="532">
        <f t="shared" ref="N78" si="423">N76/N77-1</f>
        <v>0</v>
      </c>
      <c r="O78" s="532">
        <f t="shared" ref="O78" si="424">O76/O77-1</f>
        <v>0</v>
      </c>
      <c r="P78" s="532">
        <f t="shared" ref="P78" si="425">P76/P77-1</f>
        <v>0</v>
      </c>
      <c r="Q78" s="532">
        <f t="shared" ref="Q78" si="426">Q76/Q77-1</f>
        <v>0</v>
      </c>
      <c r="R78" s="532">
        <f t="shared" ref="R78" si="427">R76/R77-1</f>
        <v>0</v>
      </c>
      <c r="S78" s="532">
        <f t="shared" ref="S78" si="428">S76/S77-1</f>
        <v>0</v>
      </c>
      <c r="T78" s="532">
        <f t="shared" ref="T78" si="429">T76/T77-1</f>
        <v>0</v>
      </c>
      <c r="U78" s="532">
        <f t="shared" ref="U78" si="430">U76/U77-1</f>
        <v>0</v>
      </c>
      <c r="V78" s="554">
        <f t="shared" ref="V78" si="431">V76/V77-1</f>
        <v>0</v>
      </c>
      <c r="W78" s="532">
        <f t="shared" ref="W78" si="432">W76/W77-1</f>
        <v>0</v>
      </c>
      <c r="X78" s="532">
        <f t="shared" ref="X78" si="433">X76/X77-1</f>
        <v>0</v>
      </c>
      <c r="Y78" s="532">
        <f t="shared" ref="Y78" si="434">Y76/Y77-1</f>
        <v>0</v>
      </c>
      <c r="Z78" s="532">
        <f t="shared" ref="Z78" si="435">Z76/Z77-1</f>
        <v>0</v>
      </c>
      <c r="AA78" s="532">
        <f t="shared" ref="AA78" si="436">AA76/AA77-1</f>
        <v>0</v>
      </c>
      <c r="AB78" s="532">
        <f t="shared" ref="AB78" si="437">AB76/AB77-1</f>
        <v>0</v>
      </c>
      <c r="AC78" s="532">
        <f t="shared" ref="AC78" si="438">AC76/AC77-1</f>
        <v>0</v>
      </c>
      <c r="AD78" s="532">
        <f t="shared" ref="AD78" si="439">AD76/AD77-1</f>
        <v>0</v>
      </c>
      <c r="AE78" s="532">
        <f t="shared" ref="AE78" si="440">AE76/AE77-1</f>
        <v>0</v>
      </c>
      <c r="AF78" s="532"/>
      <c r="AG78" s="532">
        <f t="shared" ref="AG78" si="441">AG76/AG77-1</f>
        <v>0</v>
      </c>
      <c r="AH78" s="532">
        <f t="shared" ref="AH78" si="442">AH76/AH77-1</f>
        <v>0</v>
      </c>
      <c r="AI78" s="532">
        <f t="shared" ref="AI78" si="443">AI76/AI77-1</f>
        <v>0</v>
      </c>
      <c r="AJ78" s="532">
        <f t="shared" ref="AJ78" si="444">AJ76/AJ77-1</f>
        <v>0</v>
      </c>
      <c r="AK78" s="532">
        <f t="shared" ref="AK78" si="445">AK76/AK77-1</f>
        <v>0</v>
      </c>
      <c r="AL78" s="532">
        <f t="shared" ref="AL78" si="446">AL76/AL77-1</f>
        <v>0</v>
      </c>
      <c r="AM78" s="532">
        <f t="shared" ref="AM78" si="447">AM76/AM77-1</f>
        <v>0</v>
      </c>
      <c r="AN78" s="532">
        <f t="shared" ref="AN78" si="448">AN76/AN77-1</f>
        <v>0</v>
      </c>
      <c r="AO78" s="554">
        <f t="shared" ref="AO78" si="449">AO76/AO77-1</f>
        <v>0</v>
      </c>
      <c r="AP78" s="532">
        <f t="shared" ref="AP78" si="450">AP76/AP77-1</f>
        <v>0</v>
      </c>
      <c r="AQ78" s="532">
        <f t="shared" ref="AQ78" si="451">AQ76/AQ77-1</f>
        <v>0</v>
      </c>
      <c r="AR78" s="532">
        <f t="shared" ref="AR78" si="452">AR76/AR77-1</f>
        <v>0</v>
      </c>
      <c r="AS78" s="532">
        <f t="shared" ref="AS78" si="453">AS76/AS77-1</f>
        <v>0</v>
      </c>
      <c r="AT78" s="532">
        <f t="shared" ref="AT78" si="454">AT76/AT77-1</f>
        <v>0</v>
      </c>
    </row>
    <row r="79" spans="2:46">
      <c r="C79" s="522" t="s">
        <v>1880</v>
      </c>
      <c r="D79" s="531">
        <f>D76-D77</f>
        <v>0</v>
      </c>
      <c r="E79" s="531">
        <f t="shared" ref="E79:AE79" si="455">E76-E77</f>
        <v>0</v>
      </c>
      <c r="F79" s="531">
        <f t="shared" si="455"/>
        <v>0</v>
      </c>
      <c r="G79" s="531">
        <f t="shared" si="455"/>
        <v>0</v>
      </c>
      <c r="H79" s="531">
        <f t="shared" si="455"/>
        <v>0</v>
      </c>
      <c r="I79" s="531">
        <f t="shared" si="455"/>
        <v>0</v>
      </c>
      <c r="J79" s="531">
        <f t="shared" si="455"/>
        <v>0</v>
      </c>
      <c r="K79" s="531">
        <f t="shared" si="455"/>
        <v>0</v>
      </c>
      <c r="L79" s="531">
        <f t="shared" si="455"/>
        <v>0</v>
      </c>
      <c r="M79" s="531">
        <f t="shared" si="455"/>
        <v>0</v>
      </c>
      <c r="N79" s="531">
        <f t="shared" si="455"/>
        <v>0</v>
      </c>
      <c r="O79" s="531">
        <f t="shared" si="455"/>
        <v>0</v>
      </c>
      <c r="P79" s="531">
        <f t="shared" si="455"/>
        <v>0</v>
      </c>
      <c r="Q79" s="531">
        <f t="shared" si="455"/>
        <v>0</v>
      </c>
      <c r="R79" s="531">
        <f t="shared" si="455"/>
        <v>0</v>
      </c>
      <c r="S79" s="531">
        <f t="shared" si="455"/>
        <v>0</v>
      </c>
      <c r="T79" s="531">
        <f t="shared" si="455"/>
        <v>0</v>
      </c>
      <c r="U79" s="531">
        <f t="shared" si="455"/>
        <v>0</v>
      </c>
      <c r="V79" s="551">
        <f t="shared" si="455"/>
        <v>0</v>
      </c>
      <c r="W79" s="531">
        <f t="shared" si="455"/>
        <v>0</v>
      </c>
      <c r="X79" s="531">
        <f t="shared" si="455"/>
        <v>0</v>
      </c>
      <c r="Y79" s="531">
        <f t="shared" si="455"/>
        <v>0</v>
      </c>
      <c r="Z79" s="531">
        <f t="shared" si="455"/>
        <v>0</v>
      </c>
      <c r="AA79" s="531">
        <f t="shared" si="455"/>
        <v>0</v>
      </c>
      <c r="AB79" s="531">
        <f t="shared" si="455"/>
        <v>0</v>
      </c>
      <c r="AC79" s="531">
        <f t="shared" si="455"/>
        <v>0</v>
      </c>
      <c r="AD79" s="531">
        <f t="shared" si="455"/>
        <v>0</v>
      </c>
      <c r="AE79" s="531">
        <f t="shared" si="455"/>
        <v>0</v>
      </c>
      <c r="AF79" s="531"/>
      <c r="AG79" s="531">
        <f t="shared" ref="AG79:AT79" si="456">AG76-AG77</f>
        <v>0</v>
      </c>
      <c r="AH79" s="531">
        <f t="shared" si="456"/>
        <v>0</v>
      </c>
      <c r="AI79" s="531">
        <f t="shared" si="456"/>
        <v>0</v>
      </c>
      <c r="AJ79" s="531">
        <f t="shared" si="456"/>
        <v>0</v>
      </c>
      <c r="AK79" s="531">
        <f t="shared" si="456"/>
        <v>0</v>
      </c>
      <c r="AL79" s="531">
        <f t="shared" si="456"/>
        <v>0</v>
      </c>
      <c r="AM79" s="531">
        <f t="shared" si="456"/>
        <v>0</v>
      </c>
      <c r="AN79" s="531">
        <f t="shared" si="456"/>
        <v>0</v>
      </c>
      <c r="AO79" s="551">
        <f t="shared" si="456"/>
        <v>0</v>
      </c>
      <c r="AP79" s="531">
        <f t="shared" si="456"/>
        <v>0</v>
      </c>
      <c r="AQ79" s="531">
        <f t="shared" si="456"/>
        <v>0</v>
      </c>
      <c r="AR79" s="531">
        <f t="shared" si="456"/>
        <v>0</v>
      </c>
      <c r="AS79" s="531">
        <f t="shared" si="456"/>
        <v>0</v>
      </c>
      <c r="AT79" s="531">
        <f t="shared" si="456"/>
        <v>0</v>
      </c>
    </row>
    <row r="80" spans="2:46">
      <c r="C80" s="521"/>
      <c r="V80" s="550"/>
      <c r="AO80" s="550"/>
    </row>
    <row r="81" spans="2:46">
      <c r="C81" s="521"/>
      <c r="V81" s="550"/>
      <c r="Z81" s="571"/>
      <c r="AA81" s="571"/>
      <c r="AB81" s="571"/>
      <c r="AC81" s="571"/>
      <c r="AO81" s="550"/>
    </row>
    <row r="82" spans="2:46">
      <c r="B82" t="s">
        <v>1882</v>
      </c>
      <c r="C82" s="521" t="s">
        <v>1877</v>
      </c>
      <c r="D82" s="531">
        <f>D158</f>
        <v>0</v>
      </c>
      <c r="E82" s="531">
        <f t="shared" ref="E82:AT82" si="457">E158</f>
        <v>0</v>
      </c>
      <c r="F82" s="531">
        <f t="shared" si="457"/>
        <v>0</v>
      </c>
      <c r="G82" s="531">
        <f t="shared" si="457"/>
        <v>0</v>
      </c>
      <c r="H82" s="531">
        <f t="shared" si="457"/>
        <v>0</v>
      </c>
      <c r="I82" s="531">
        <f t="shared" si="457"/>
        <v>0</v>
      </c>
      <c r="J82" s="531">
        <f t="shared" si="457"/>
        <v>590</v>
      </c>
      <c r="K82" s="531">
        <f t="shared" si="457"/>
        <v>827</v>
      </c>
      <c r="L82" s="531">
        <f t="shared" si="457"/>
        <v>123</v>
      </c>
      <c r="M82" s="531">
        <f t="shared" si="457"/>
        <v>998</v>
      </c>
      <c r="N82" s="531">
        <f t="shared" si="457"/>
        <v>418</v>
      </c>
      <c r="O82" s="531">
        <f t="shared" si="457"/>
        <v>725</v>
      </c>
      <c r="P82" s="531">
        <f t="shared" si="457"/>
        <v>693</v>
      </c>
      <c r="Q82" s="531">
        <f t="shared" si="457"/>
        <v>184</v>
      </c>
      <c r="R82" s="531">
        <f t="shared" si="457"/>
        <v>253</v>
      </c>
      <c r="S82" s="531">
        <f t="shared" si="457"/>
        <v>430</v>
      </c>
      <c r="T82" s="531">
        <f t="shared" si="457"/>
        <v>309</v>
      </c>
      <c r="U82" s="531">
        <f t="shared" si="457"/>
        <v>303</v>
      </c>
      <c r="V82" s="551">
        <f t="shared" si="457"/>
        <v>292</v>
      </c>
      <c r="W82" s="531">
        <f t="shared" si="457"/>
        <v>350</v>
      </c>
      <c r="X82" s="531">
        <f t="shared" si="457"/>
        <v>335.79999999999995</v>
      </c>
      <c r="Y82" s="531">
        <f t="shared" si="457"/>
        <v>362.66399999999999</v>
      </c>
      <c r="Z82" s="531">
        <f t="shared" si="457"/>
        <v>391.67712</v>
      </c>
      <c r="AA82" s="531">
        <f t="shared" si="457"/>
        <v>423.01128960000005</v>
      </c>
      <c r="AB82" s="531">
        <f t="shared" si="457"/>
        <v>456.85219276800007</v>
      </c>
      <c r="AC82" s="531">
        <f t="shared" si="457"/>
        <v>479.69480240640007</v>
      </c>
      <c r="AD82" s="531">
        <f t="shared" si="457"/>
        <v>503.67954252672007</v>
      </c>
      <c r="AE82" s="531">
        <f t="shared" si="457"/>
        <v>518.78992880252167</v>
      </c>
      <c r="AF82" s="531"/>
      <c r="AG82" s="531">
        <f t="shared" si="457"/>
        <v>0</v>
      </c>
      <c r="AH82" s="531">
        <f t="shared" si="457"/>
        <v>0</v>
      </c>
      <c r="AI82" s="531">
        <f t="shared" si="457"/>
        <v>0</v>
      </c>
      <c r="AJ82" s="531">
        <f t="shared" si="457"/>
        <v>1417</v>
      </c>
      <c r="AK82" s="531">
        <f t="shared" si="457"/>
        <v>1121</v>
      </c>
      <c r="AL82" s="531">
        <f t="shared" si="457"/>
        <v>1143</v>
      </c>
      <c r="AM82" s="531">
        <f t="shared" si="457"/>
        <v>877</v>
      </c>
      <c r="AN82" s="531">
        <f t="shared" si="457"/>
        <v>683</v>
      </c>
      <c r="AO82" s="551">
        <f t="shared" si="457"/>
        <v>612</v>
      </c>
      <c r="AP82" s="531">
        <f t="shared" si="457"/>
        <v>642</v>
      </c>
      <c r="AQ82" s="531">
        <f t="shared" si="457"/>
        <v>698.46399999999994</v>
      </c>
      <c r="AR82" s="531">
        <f t="shared" si="457"/>
        <v>814.68840960000011</v>
      </c>
      <c r="AS82" s="531">
        <f t="shared" si="457"/>
        <v>936.54699517440008</v>
      </c>
      <c r="AT82" s="531">
        <f t="shared" si="457"/>
        <v>1022.4694713292417</v>
      </c>
    </row>
    <row r="83" spans="2:46">
      <c r="C83" s="521" t="s">
        <v>1878</v>
      </c>
      <c r="D83" s="531">
        <f>D205</f>
        <v>0</v>
      </c>
      <c r="E83" s="531">
        <f t="shared" ref="E83:AT83" si="458">E205</f>
        <v>0</v>
      </c>
      <c r="F83" s="531">
        <f t="shared" si="458"/>
        <v>0</v>
      </c>
      <c r="G83" s="531">
        <f t="shared" si="458"/>
        <v>0</v>
      </c>
      <c r="H83" s="531">
        <f t="shared" si="458"/>
        <v>0</v>
      </c>
      <c r="I83" s="531">
        <f t="shared" si="458"/>
        <v>0</v>
      </c>
      <c r="J83" s="531">
        <f t="shared" si="458"/>
        <v>590</v>
      </c>
      <c r="K83" s="531">
        <f t="shared" si="458"/>
        <v>827</v>
      </c>
      <c r="L83" s="531">
        <f t="shared" si="458"/>
        <v>123</v>
      </c>
      <c r="M83" s="531">
        <f t="shared" si="458"/>
        <v>998</v>
      </c>
      <c r="N83" s="531">
        <f t="shared" si="458"/>
        <v>418</v>
      </c>
      <c r="O83" s="531">
        <f t="shared" si="458"/>
        <v>725</v>
      </c>
      <c r="P83" s="531">
        <f t="shared" si="458"/>
        <v>693</v>
      </c>
      <c r="Q83" s="531">
        <f t="shared" si="458"/>
        <v>184</v>
      </c>
      <c r="R83" s="531">
        <f t="shared" si="458"/>
        <v>253</v>
      </c>
      <c r="S83" s="531">
        <f t="shared" si="458"/>
        <v>430</v>
      </c>
      <c r="T83" s="531">
        <f t="shared" si="458"/>
        <v>309</v>
      </c>
      <c r="U83" s="531">
        <f t="shared" si="458"/>
        <v>303</v>
      </c>
      <c r="V83" s="551">
        <f t="shared" si="458"/>
        <v>292</v>
      </c>
      <c r="W83" s="531">
        <f t="shared" si="458"/>
        <v>350</v>
      </c>
      <c r="X83" s="531">
        <f t="shared" si="458"/>
        <v>335.79999999999995</v>
      </c>
      <c r="Y83" s="531">
        <f t="shared" si="458"/>
        <v>362.66399999999999</v>
      </c>
      <c r="Z83" s="531">
        <f t="shared" si="458"/>
        <v>391.67712</v>
      </c>
      <c r="AA83" s="531">
        <f t="shared" si="458"/>
        <v>423.01128960000005</v>
      </c>
      <c r="AB83" s="531">
        <f t="shared" si="458"/>
        <v>456.85219276800007</v>
      </c>
      <c r="AC83" s="531">
        <f t="shared" si="458"/>
        <v>479.69480240640007</v>
      </c>
      <c r="AD83" s="531">
        <f t="shared" si="458"/>
        <v>503.67954252672007</v>
      </c>
      <c r="AE83" s="531">
        <f t="shared" si="458"/>
        <v>518.78992880252167</v>
      </c>
      <c r="AF83" s="531"/>
      <c r="AG83" s="531">
        <f t="shared" si="458"/>
        <v>0</v>
      </c>
      <c r="AH83" s="531">
        <f t="shared" si="458"/>
        <v>0</v>
      </c>
      <c r="AI83" s="531">
        <f t="shared" si="458"/>
        <v>0</v>
      </c>
      <c r="AJ83" s="531">
        <f t="shared" si="458"/>
        <v>1417</v>
      </c>
      <c r="AK83" s="531">
        <f t="shared" si="458"/>
        <v>1121</v>
      </c>
      <c r="AL83" s="531">
        <f t="shared" si="458"/>
        <v>1143</v>
      </c>
      <c r="AM83" s="531">
        <f t="shared" si="458"/>
        <v>877</v>
      </c>
      <c r="AN83" s="531">
        <f t="shared" si="458"/>
        <v>683</v>
      </c>
      <c r="AO83" s="551">
        <f t="shared" si="458"/>
        <v>612</v>
      </c>
      <c r="AP83" s="531">
        <f t="shared" si="458"/>
        <v>642</v>
      </c>
      <c r="AQ83" s="531">
        <f t="shared" si="458"/>
        <v>698.46399999999994</v>
      </c>
      <c r="AR83" s="531">
        <f t="shared" si="458"/>
        <v>814.68840960000011</v>
      </c>
      <c r="AS83" s="531">
        <f t="shared" si="458"/>
        <v>936.54699517440008</v>
      </c>
      <c r="AT83" s="531">
        <f t="shared" si="458"/>
        <v>1022.4694713292417</v>
      </c>
    </row>
    <row r="84" spans="2:46">
      <c r="C84" s="522" t="s">
        <v>1879</v>
      </c>
      <c r="D84" s="532"/>
      <c r="E84" s="532"/>
      <c r="F84" s="532"/>
      <c r="G84" s="532"/>
      <c r="H84" s="532"/>
      <c r="I84" s="532"/>
      <c r="J84" s="532">
        <f t="shared" ref="J84" si="459">J82/J83-1</f>
        <v>0</v>
      </c>
      <c r="K84" s="532">
        <f t="shared" ref="K84" si="460">K82/K83-1</f>
        <v>0</v>
      </c>
      <c r="L84" s="532">
        <f t="shared" ref="L84" si="461">L82/L83-1</f>
        <v>0</v>
      </c>
      <c r="M84" s="532">
        <f t="shared" ref="M84" si="462">M82/M83-1</f>
        <v>0</v>
      </c>
      <c r="N84" s="532">
        <f t="shared" ref="N84" si="463">N82/N83-1</f>
        <v>0</v>
      </c>
      <c r="O84" s="532">
        <f t="shared" ref="O84" si="464">O82/O83-1</f>
        <v>0</v>
      </c>
      <c r="P84" s="532">
        <f t="shared" ref="P84" si="465">P82/P83-1</f>
        <v>0</v>
      </c>
      <c r="Q84" s="532">
        <f t="shared" ref="Q84" si="466">Q82/Q83-1</f>
        <v>0</v>
      </c>
      <c r="R84" s="532">
        <f t="shared" ref="R84" si="467">R82/R83-1</f>
        <v>0</v>
      </c>
      <c r="S84" s="532">
        <f t="shared" ref="S84" si="468">S82/S83-1</f>
        <v>0</v>
      </c>
      <c r="T84" s="532">
        <f t="shared" ref="T84" si="469">T82/T83-1</f>
        <v>0</v>
      </c>
      <c r="U84" s="532">
        <f t="shared" ref="U84" si="470">U82/U83-1</f>
        <v>0</v>
      </c>
      <c r="V84" s="554">
        <f t="shared" ref="V84" si="471">V82/V83-1</f>
        <v>0</v>
      </c>
      <c r="W84" s="532">
        <f t="shared" ref="W84" si="472">W82/W83-1</f>
        <v>0</v>
      </c>
      <c r="X84" s="532">
        <f t="shared" ref="X84" si="473">X82/X83-1</f>
        <v>0</v>
      </c>
      <c r="Y84" s="532">
        <f t="shared" ref="Y84" si="474">Y82/Y83-1</f>
        <v>0</v>
      </c>
      <c r="Z84" s="532">
        <f t="shared" ref="Z84" si="475">Z82/Z83-1</f>
        <v>0</v>
      </c>
      <c r="AA84" s="532">
        <f t="shared" ref="AA84" si="476">AA82/AA83-1</f>
        <v>0</v>
      </c>
      <c r="AB84" s="532">
        <f t="shared" ref="AB84" si="477">AB82/AB83-1</f>
        <v>0</v>
      </c>
      <c r="AC84" s="532">
        <f t="shared" ref="AC84" si="478">AC82/AC83-1</f>
        <v>0</v>
      </c>
      <c r="AD84" s="532">
        <f t="shared" ref="AD84" si="479">AD82/AD83-1</f>
        <v>0</v>
      </c>
      <c r="AE84" s="532">
        <f t="shared" ref="AE84" si="480">AE82/AE83-1</f>
        <v>0</v>
      </c>
      <c r="AF84" s="532"/>
      <c r="AG84" s="532" t="e">
        <f t="shared" ref="AG84" si="481">AG82/AG83-1</f>
        <v>#DIV/0!</v>
      </c>
      <c r="AH84" s="532" t="e">
        <f t="shared" ref="AH84" si="482">AH82/AH83-1</f>
        <v>#DIV/0!</v>
      </c>
      <c r="AI84" s="532" t="e">
        <f t="shared" ref="AI84" si="483">AI82/AI83-1</f>
        <v>#DIV/0!</v>
      </c>
      <c r="AJ84" s="532">
        <f t="shared" ref="AJ84" si="484">AJ82/AJ83-1</f>
        <v>0</v>
      </c>
      <c r="AK84" s="532">
        <f t="shared" ref="AK84" si="485">AK82/AK83-1</f>
        <v>0</v>
      </c>
      <c r="AL84" s="532">
        <f t="shared" ref="AL84" si="486">AL82/AL83-1</f>
        <v>0</v>
      </c>
      <c r="AM84" s="532">
        <f t="shared" ref="AM84" si="487">AM82/AM83-1</f>
        <v>0</v>
      </c>
      <c r="AN84" s="532">
        <f t="shared" ref="AN84" si="488">AN82/AN83-1</f>
        <v>0</v>
      </c>
      <c r="AO84" s="554">
        <f t="shared" ref="AO84" si="489">AO82/AO83-1</f>
        <v>0</v>
      </c>
      <c r="AP84" s="532">
        <f t="shared" ref="AP84" si="490">AP82/AP83-1</f>
        <v>0</v>
      </c>
      <c r="AQ84" s="532">
        <f t="shared" ref="AQ84" si="491">AQ82/AQ83-1</f>
        <v>0</v>
      </c>
      <c r="AR84" s="532">
        <f t="shared" ref="AR84" si="492">AR82/AR83-1</f>
        <v>0</v>
      </c>
      <c r="AS84" s="532">
        <f t="shared" ref="AS84" si="493">AS82/AS83-1</f>
        <v>0</v>
      </c>
      <c r="AT84" s="532">
        <f t="shared" ref="AT84" si="494">AT82/AT83-1</f>
        <v>0</v>
      </c>
    </row>
    <row r="85" spans="2:46">
      <c r="C85" s="522" t="s">
        <v>1880</v>
      </c>
      <c r="D85" s="531">
        <f>D82-D83</f>
        <v>0</v>
      </c>
      <c r="E85" s="531">
        <f t="shared" ref="E85:AE85" si="495">E82-E83</f>
        <v>0</v>
      </c>
      <c r="F85" s="531">
        <f t="shared" si="495"/>
        <v>0</v>
      </c>
      <c r="G85" s="531">
        <f t="shared" si="495"/>
        <v>0</v>
      </c>
      <c r="H85" s="531">
        <f t="shared" si="495"/>
        <v>0</v>
      </c>
      <c r="I85" s="531">
        <f t="shared" si="495"/>
        <v>0</v>
      </c>
      <c r="J85" s="531">
        <f t="shared" si="495"/>
        <v>0</v>
      </c>
      <c r="K85" s="531">
        <f t="shared" si="495"/>
        <v>0</v>
      </c>
      <c r="L85" s="531">
        <f t="shared" si="495"/>
        <v>0</v>
      </c>
      <c r="M85" s="531">
        <f t="shared" si="495"/>
        <v>0</v>
      </c>
      <c r="N85" s="531">
        <f t="shared" si="495"/>
        <v>0</v>
      </c>
      <c r="O85" s="531">
        <f t="shared" si="495"/>
        <v>0</v>
      </c>
      <c r="P85" s="531">
        <f t="shared" si="495"/>
        <v>0</v>
      </c>
      <c r="Q85" s="531">
        <f t="shared" si="495"/>
        <v>0</v>
      </c>
      <c r="R85" s="531">
        <f t="shared" si="495"/>
        <v>0</v>
      </c>
      <c r="S85" s="531">
        <f t="shared" si="495"/>
        <v>0</v>
      </c>
      <c r="T85" s="531">
        <f t="shared" si="495"/>
        <v>0</v>
      </c>
      <c r="U85" s="531">
        <f t="shared" si="495"/>
        <v>0</v>
      </c>
      <c r="V85" s="551">
        <f t="shared" si="495"/>
        <v>0</v>
      </c>
      <c r="W85" s="531">
        <f t="shared" si="495"/>
        <v>0</v>
      </c>
      <c r="X85" s="531">
        <f t="shared" si="495"/>
        <v>0</v>
      </c>
      <c r="Y85" s="531">
        <f t="shared" si="495"/>
        <v>0</v>
      </c>
      <c r="Z85" s="531">
        <f t="shared" si="495"/>
        <v>0</v>
      </c>
      <c r="AA85" s="531">
        <f t="shared" si="495"/>
        <v>0</v>
      </c>
      <c r="AB85" s="531">
        <f t="shared" si="495"/>
        <v>0</v>
      </c>
      <c r="AC85" s="531">
        <f t="shared" si="495"/>
        <v>0</v>
      </c>
      <c r="AD85" s="531">
        <f t="shared" si="495"/>
        <v>0</v>
      </c>
      <c r="AE85" s="531">
        <f t="shared" si="495"/>
        <v>0</v>
      </c>
      <c r="AF85" s="531"/>
      <c r="AG85" s="531">
        <f t="shared" ref="AG85:AT85" si="496">AG82-AG83</f>
        <v>0</v>
      </c>
      <c r="AH85" s="531">
        <f t="shared" si="496"/>
        <v>0</v>
      </c>
      <c r="AI85" s="531">
        <f t="shared" si="496"/>
        <v>0</v>
      </c>
      <c r="AJ85" s="531">
        <f t="shared" si="496"/>
        <v>0</v>
      </c>
      <c r="AK85" s="531">
        <f t="shared" si="496"/>
        <v>0</v>
      </c>
      <c r="AL85" s="531">
        <f t="shared" si="496"/>
        <v>0</v>
      </c>
      <c r="AM85" s="531">
        <f t="shared" si="496"/>
        <v>0</v>
      </c>
      <c r="AN85" s="531">
        <f t="shared" si="496"/>
        <v>0</v>
      </c>
      <c r="AO85" s="551">
        <f t="shared" si="496"/>
        <v>0</v>
      </c>
      <c r="AP85" s="531">
        <f t="shared" si="496"/>
        <v>0</v>
      </c>
      <c r="AQ85" s="531">
        <f t="shared" si="496"/>
        <v>0</v>
      </c>
      <c r="AR85" s="531">
        <f t="shared" si="496"/>
        <v>0</v>
      </c>
      <c r="AS85" s="531">
        <f t="shared" si="496"/>
        <v>0</v>
      </c>
      <c r="AT85" s="531">
        <f t="shared" si="496"/>
        <v>0</v>
      </c>
    </row>
    <row r="86" spans="2:46">
      <c r="C86" s="521"/>
      <c r="V86" s="550"/>
      <c r="AO86" s="550"/>
    </row>
    <row r="87" spans="2:46">
      <c r="B87" t="s">
        <v>20</v>
      </c>
      <c r="C87" s="521" t="s">
        <v>1877</v>
      </c>
      <c r="D87" s="531">
        <f>D159</f>
        <v>416</v>
      </c>
      <c r="E87" s="531">
        <f t="shared" ref="E87:AT87" si="497">E159</f>
        <v>471</v>
      </c>
      <c r="F87" s="531">
        <f t="shared" si="497"/>
        <v>422</v>
      </c>
      <c r="G87" s="531">
        <f t="shared" si="497"/>
        <v>423</v>
      </c>
      <c r="H87" s="531">
        <f t="shared" si="497"/>
        <v>526</v>
      </c>
      <c r="I87" s="531">
        <f t="shared" si="497"/>
        <v>497</v>
      </c>
      <c r="J87" s="531">
        <f t="shared" si="497"/>
        <v>415</v>
      </c>
      <c r="K87" s="531">
        <f t="shared" si="497"/>
        <v>536</v>
      </c>
      <c r="L87" s="531">
        <f t="shared" si="497"/>
        <v>397.2456030150754</v>
      </c>
      <c r="M87" s="531">
        <f t="shared" si="497"/>
        <v>431.2952261306533</v>
      </c>
      <c r="N87" s="531">
        <f t="shared" si="497"/>
        <v>618</v>
      </c>
      <c r="O87" s="531">
        <f t="shared" si="497"/>
        <v>755</v>
      </c>
      <c r="P87" s="531">
        <f t="shared" si="497"/>
        <v>438</v>
      </c>
      <c r="Q87" s="531">
        <f t="shared" si="497"/>
        <v>413.3743718592965</v>
      </c>
      <c r="R87" s="531">
        <f t="shared" si="497"/>
        <v>408</v>
      </c>
      <c r="S87" s="531">
        <f t="shared" si="497"/>
        <v>335</v>
      </c>
      <c r="T87" s="531">
        <f t="shared" si="497"/>
        <v>413</v>
      </c>
      <c r="U87" s="531">
        <f t="shared" si="497"/>
        <v>503</v>
      </c>
      <c r="V87" s="551">
        <f t="shared" si="497"/>
        <v>558</v>
      </c>
      <c r="W87" s="531">
        <f t="shared" si="497"/>
        <v>440.125</v>
      </c>
      <c r="X87" s="531">
        <f t="shared" si="497"/>
        <v>513.36</v>
      </c>
      <c r="Y87" s="531">
        <f t="shared" si="497"/>
        <v>510.54499999999996</v>
      </c>
      <c r="Z87" s="531">
        <f t="shared" si="497"/>
        <v>528.76080000000002</v>
      </c>
      <c r="AA87" s="531">
        <f t="shared" si="497"/>
        <v>530.96679999999992</v>
      </c>
      <c r="AB87" s="531">
        <f t="shared" si="497"/>
        <v>549.91123200000004</v>
      </c>
      <c r="AC87" s="531">
        <f t="shared" si="497"/>
        <v>552.20547199999999</v>
      </c>
      <c r="AD87" s="531">
        <f t="shared" si="497"/>
        <v>571.90768128000002</v>
      </c>
      <c r="AE87" s="531">
        <f t="shared" si="497"/>
        <v>574.29369087999999</v>
      </c>
      <c r="AF87" s="531"/>
      <c r="AG87" s="531">
        <f t="shared" si="497"/>
        <v>887</v>
      </c>
      <c r="AH87" s="531">
        <f t="shared" si="497"/>
        <v>845</v>
      </c>
      <c r="AI87" s="531">
        <f t="shared" si="497"/>
        <v>1023</v>
      </c>
      <c r="AJ87" s="531">
        <f t="shared" si="497"/>
        <v>951</v>
      </c>
      <c r="AK87" s="531">
        <f t="shared" si="497"/>
        <v>828.54082914572871</v>
      </c>
      <c r="AL87" s="531">
        <f t="shared" si="497"/>
        <v>1373</v>
      </c>
      <c r="AM87" s="531">
        <f t="shared" si="497"/>
        <v>851.3743718592965</v>
      </c>
      <c r="AN87" s="531">
        <f t="shared" si="497"/>
        <v>743</v>
      </c>
      <c r="AO87" s="551">
        <f t="shared" si="497"/>
        <v>916</v>
      </c>
      <c r="AP87" s="531">
        <f t="shared" si="497"/>
        <v>998.125</v>
      </c>
      <c r="AQ87" s="531">
        <f t="shared" si="497"/>
        <v>1023.905</v>
      </c>
      <c r="AR87" s="531">
        <f t="shared" si="497"/>
        <v>1059.7275999999999</v>
      </c>
      <c r="AS87" s="531">
        <f t="shared" si="497"/>
        <v>1102.116704</v>
      </c>
      <c r="AT87" s="531">
        <f t="shared" si="497"/>
        <v>1146.2013721600001</v>
      </c>
    </row>
    <row r="88" spans="2:46">
      <c r="C88" s="521" t="s">
        <v>1878</v>
      </c>
      <c r="D88" s="531">
        <f>D206</f>
        <v>416</v>
      </c>
      <c r="E88" s="531">
        <f t="shared" ref="E88:AT88" si="498">E206</f>
        <v>471</v>
      </c>
      <c r="F88" s="531">
        <f t="shared" si="498"/>
        <v>422</v>
      </c>
      <c r="G88" s="531">
        <f t="shared" si="498"/>
        <v>423</v>
      </c>
      <c r="H88" s="531">
        <f t="shared" si="498"/>
        <v>526</v>
      </c>
      <c r="I88" s="531">
        <f t="shared" si="498"/>
        <v>497</v>
      </c>
      <c r="J88" s="531">
        <f t="shared" si="498"/>
        <v>415</v>
      </c>
      <c r="K88" s="531">
        <f t="shared" si="498"/>
        <v>536</v>
      </c>
      <c r="L88" s="531">
        <f t="shared" si="498"/>
        <v>397.2456030150754</v>
      </c>
      <c r="M88" s="531">
        <f t="shared" si="498"/>
        <v>431.2952261306533</v>
      </c>
      <c r="N88" s="531">
        <f t="shared" si="498"/>
        <v>618</v>
      </c>
      <c r="O88" s="531">
        <f t="shared" si="498"/>
        <v>755</v>
      </c>
      <c r="P88" s="531">
        <f t="shared" si="498"/>
        <v>438</v>
      </c>
      <c r="Q88" s="531">
        <f t="shared" si="498"/>
        <v>413.3743718592965</v>
      </c>
      <c r="R88" s="531">
        <f t="shared" si="498"/>
        <v>408</v>
      </c>
      <c r="S88" s="531">
        <f t="shared" si="498"/>
        <v>335</v>
      </c>
      <c r="T88" s="531">
        <f t="shared" si="498"/>
        <v>413</v>
      </c>
      <c r="U88" s="531">
        <f t="shared" si="498"/>
        <v>503</v>
      </c>
      <c r="V88" s="551">
        <f t="shared" si="498"/>
        <v>558</v>
      </c>
      <c r="W88" s="531">
        <f t="shared" si="498"/>
        <v>440.125</v>
      </c>
      <c r="X88" s="531">
        <f t="shared" si="498"/>
        <v>513.36</v>
      </c>
      <c r="Y88" s="531">
        <f t="shared" si="498"/>
        <v>510.54499999999996</v>
      </c>
      <c r="Z88" s="531">
        <f t="shared" si="498"/>
        <v>528.76080000000002</v>
      </c>
      <c r="AA88" s="531">
        <f t="shared" si="498"/>
        <v>530.96679999999992</v>
      </c>
      <c r="AB88" s="531">
        <f t="shared" si="498"/>
        <v>549.91123200000004</v>
      </c>
      <c r="AC88" s="531">
        <f t="shared" si="498"/>
        <v>552.20547199999999</v>
      </c>
      <c r="AD88" s="531">
        <f t="shared" si="498"/>
        <v>571.90768128000002</v>
      </c>
      <c r="AE88" s="531">
        <f t="shared" si="498"/>
        <v>574.29369087999999</v>
      </c>
      <c r="AF88" s="531"/>
      <c r="AG88" s="531">
        <f t="shared" si="498"/>
        <v>887</v>
      </c>
      <c r="AH88" s="531">
        <f t="shared" si="498"/>
        <v>845</v>
      </c>
      <c r="AI88" s="531">
        <f t="shared" si="498"/>
        <v>1023</v>
      </c>
      <c r="AJ88" s="531">
        <f t="shared" si="498"/>
        <v>951</v>
      </c>
      <c r="AK88" s="531">
        <f t="shared" si="498"/>
        <v>828.54082914572871</v>
      </c>
      <c r="AL88" s="531">
        <f t="shared" si="498"/>
        <v>1373</v>
      </c>
      <c r="AM88" s="531">
        <f t="shared" si="498"/>
        <v>851.3743718592965</v>
      </c>
      <c r="AN88" s="531">
        <f t="shared" si="498"/>
        <v>743</v>
      </c>
      <c r="AO88" s="551">
        <f t="shared" si="498"/>
        <v>916</v>
      </c>
      <c r="AP88" s="531">
        <f t="shared" si="498"/>
        <v>998.125</v>
      </c>
      <c r="AQ88" s="531">
        <f t="shared" si="498"/>
        <v>1023.905</v>
      </c>
      <c r="AR88" s="531">
        <f t="shared" si="498"/>
        <v>1059.7275999999999</v>
      </c>
      <c r="AS88" s="531">
        <f t="shared" si="498"/>
        <v>1102.116704</v>
      </c>
      <c r="AT88" s="531">
        <f t="shared" si="498"/>
        <v>1146.2013721600001</v>
      </c>
    </row>
    <row r="89" spans="2:46">
      <c r="C89" s="522" t="s">
        <v>1879</v>
      </c>
      <c r="D89" s="532">
        <f>D87/D88-1</f>
        <v>0</v>
      </c>
      <c r="E89" s="532">
        <f t="shared" ref="E89" si="499">E87/E88-1</f>
        <v>0</v>
      </c>
      <c r="F89" s="532">
        <f t="shared" ref="F89" si="500">F87/F88-1</f>
        <v>0</v>
      </c>
      <c r="G89" s="532">
        <f t="shared" ref="G89" si="501">G87/G88-1</f>
        <v>0</v>
      </c>
      <c r="H89" s="532">
        <f t="shared" ref="H89" si="502">H87/H88-1</f>
        <v>0</v>
      </c>
      <c r="I89" s="532">
        <f t="shared" ref="I89" si="503">I87/I88-1</f>
        <v>0</v>
      </c>
      <c r="J89" s="532">
        <f t="shared" ref="J89" si="504">J87/J88-1</f>
        <v>0</v>
      </c>
      <c r="K89" s="532">
        <f t="shared" ref="K89" si="505">K87/K88-1</f>
        <v>0</v>
      </c>
      <c r="L89" s="532">
        <f t="shared" ref="L89" si="506">L87/L88-1</f>
        <v>0</v>
      </c>
      <c r="M89" s="532">
        <f t="shared" ref="M89" si="507">M87/M88-1</f>
        <v>0</v>
      </c>
      <c r="N89" s="532">
        <f t="shared" ref="N89" si="508">N87/N88-1</f>
        <v>0</v>
      </c>
      <c r="O89" s="532">
        <f t="shared" ref="O89" si="509">O87/O88-1</f>
        <v>0</v>
      </c>
      <c r="P89" s="532">
        <f t="shared" ref="P89" si="510">P87/P88-1</f>
        <v>0</v>
      </c>
      <c r="Q89" s="532">
        <f t="shared" ref="Q89" si="511">Q87/Q88-1</f>
        <v>0</v>
      </c>
      <c r="R89" s="532">
        <f t="shared" ref="R89" si="512">R87/R88-1</f>
        <v>0</v>
      </c>
      <c r="S89" s="532">
        <f t="shared" ref="S89" si="513">S87/S88-1</f>
        <v>0</v>
      </c>
      <c r="T89" s="532">
        <f t="shared" ref="T89" si="514">T87/T88-1</f>
        <v>0</v>
      </c>
      <c r="U89" s="532">
        <f t="shared" ref="U89" si="515">U87/U88-1</f>
        <v>0</v>
      </c>
      <c r="V89" s="554">
        <f t="shared" ref="V89" si="516">V87/V88-1</f>
        <v>0</v>
      </c>
      <c r="W89" s="532">
        <f t="shared" ref="W89" si="517">W87/W88-1</f>
        <v>0</v>
      </c>
      <c r="X89" s="532">
        <f t="shared" ref="X89" si="518">X87/X88-1</f>
        <v>0</v>
      </c>
      <c r="Y89" s="532">
        <f t="shared" ref="Y89" si="519">Y87/Y88-1</f>
        <v>0</v>
      </c>
      <c r="Z89" s="532">
        <f t="shared" ref="Z89" si="520">Z87/Z88-1</f>
        <v>0</v>
      </c>
      <c r="AA89" s="532">
        <f t="shared" ref="AA89" si="521">AA87/AA88-1</f>
        <v>0</v>
      </c>
      <c r="AB89" s="532">
        <f t="shared" ref="AB89" si="522">AB87/AB88-1</f>
        <v>0</v>
      </c>
      <c r="AC89" s="532">
        <f t="shared" ref="AC89" si="523">AC87/AC88-1</f>
        <v>0</v>
      </c>
      <c r="AD89" s="532">
        <f t="shared" ref="AD89" si="524">AD87/AD88-1</f>
        <v>0</v>
      </c>
      <c r="AE89" s="532">
        <f t="shared" ref="AE89" si="525">AE87/AE88-1</f>
        <v>0</v>
      </c>
      <c r="AF89" s="532"/>
      <c r="AG89" s="532">
        <f t="shared" ref="AG89" si="526">AG87/AG88-1</f>
        <v>0</v>
      </c>
      <c r="AH89" s="532">
        <f t="shared" ref="AH89" si="527">AH87/AH88-1</f>
        <v>0</v>
      </c>
      <c r="AI89" s="532">
        <f t="shared" ref="AI89" si="528">AI87/AI88-1</f>
        <v>0</v>
      </c>
      <c r="AJ89" s="532">
        <f t="shared" ref="AJ89" si="529">AJ87/AJ88-1</f>
        <v>0</v>
      </c>
      <c r="AK89" s="532">
        <f t="shared" ref="AK89" si="530">AK87/AK88-1</f>
        <v>0</v>
      </c>
      <c r="AL89" s="532">
        <f t="shared" ref="AL89" si="531">AL87/AL88-1</f>
        <v>0</v>
      </c>
      <c r="AM89" s="532">
        <f t="shared" ref="AM89" si="532">AM87/AM88-1</f>
        <v>0</v>
      </c>
      <c r="AN89" s="532">
        <f t="shared" ref="AN89" si="533">AN87/AN88-1</f>
        <v>0</v>
      </c>
      <c r="AO89" s="554">
        <f t="shared" ref="AO89" si="534">AO87/AO88-1</f>
        <v>0</v>
      </c>
      <c r="AP89" s="532">
        <f t="shared" ref="AP89" si="535">AP87/AP88-1</f>
        <v>0</v>
      </c>
      <c r="AQ89" s="532">
        <f t="shared" ref="AQ89" si="536">AQ87/AQ88-1</f>
        <v>0</v>
      </c>
      <c r="AR89" s="532">
        <f t="shared" ref="AR89" si="537">AR87/AR88-1</f>
        <v>0</v>
      </c>
      <c r="AS89" s="532">
        <f t="shared" ref="AS89" si="538">AS87/AS88-1</f>
        <v>0</v>
      </c>
      <c r="AT89" s="532">
        <f t="shared" ref="AT89" si="539">AT87/AT88-1</f>
        <v>0</v>
      </c>
    </row>
    <row r="90" spans="2:46">
      <c r="C90" s="522" t="s">
        <v>1880</v>
      </c>
      <c r="D90" s="531">
        <f>D87-D88</f>
        <v>0</v>
      </c>
      <c r="E90" s="531">
        <f t="shared" ref="E90:AE90" si="540">E87-E88</f>
        <v>0</v>
      </c>
      <c r="F90" s="531">
        <f t="shared" si="540"/>
        <v>0</v>
      </c>
      <c r="G90" s="531">
        <f t="shared" si="540"/>
        <v>0</v>
      </c>
      <c r="H90" s="531">
        <f t="shared" si="540"/>
        <v>0</v>
      </c>
      <c r="I90" s="531">
        <f t="shared" si="540"/>
        <v>0</v>
      </c>
      <c r="J90" s="531">
        <f t="shared" si="540"/>
        <v>0</v>
      </c>
      <c r="K90" s="531">
        <f t="shared" si="540"/>
        <v>0</v>
      </c>
      <c r="L90" s="531">
        <f t="shared" si="540"/>
        <v>0</v>
      </c>
      <c r="M90" s="531">
        <f t="shared" si="540"/>
        <v>0</v>
      </c>
      <c r="N90" s="531">
        <f t="shared" si="540"/>
        <v>0</v>
      </c>
      <c r="O90" s="531">
        <f t="shared" si="540"/>
        <v>0</v>
      </c>
      <c r="P90" s="531">
        <f t="shared" si="540"/>
        <v>0</v>
      </c>
      <c r="Q90" s="531">
        <f t="shared" si="540"/>
        <v>0</v>
      </c>
      <c r="R90" s="531">
        <f t="shared" si="540"/>
        <v>0</v>
      </c>
      <c r="S90" s="531">
        <f t="shared" si="540"/>
        <v>0</v>
      </c>
      <c r="T90" s="531">
        <f t="shared" si="540"/>
        <v>0</v>
      </c>
      <c r="U90" s="531">
        <f t="shared" si="540"/>
        <v>0</v>
      </c>
      <c r="V90" s="551">
        <f t="shared" si="540"/>
        <v>0</v>
      </c>
      <c r="W90" s="531">
        <f t="shared" si="540"/>
        <v>0</v>
      </c>
      <c r="X90" s="531">
        <f t="shared" si="540"/>
        <v>0</v>
      </c>
      <c r="Y90" s="531">
        <f t="shared" si="540"/>
        <v>0</v>
      </c>
      <c r="Z90" s="531">
        <f t="shared" si="540"/>
        <v>0</v>
      </c>
      <c r="AA90" s="531">
        <f t="shared" si="540"/>
        <v>0</v>
      </c>
      <c r="AB90" s="531">
        <f t="shared" si="540"/>
        <v>0</v>
      </c>
      <c r="AC90" s="531">
        <f t="shared" si="540"/>
        <v>0</v>
      </c>
      <c r="AD90" s="531">
        <f t="shared" si="540"/>
        <v>0</v>
      </c>
      <c r="AE90" s="531">
        <f t="shared" si="540"/>
        <v>0</v>
      </c>
      <c r="AF90" s="531"/>
      <c r="AG90" s="531">
        <f t="shared" ref="AG90:AT90" si="541">AG87-AG88</f>
        <v>0</v>
      </c>
      <c r="AH90" s="531">
        <f t="shared" si="541"/>
        <v>0</v>
      </c>
      <c r="AI90" s="531">
        <f t="shared" si="541"/>
        <v>0</v>
      </c>
      <c r="AJ90" s="531">
        <f t="shared" si="541"/>
        <v>0</v>
      </c>
      <c r="AK90" s="531">
        <f t="shared" si="541"/>
        <v>0</v>
      </c>
      <c r="AL90" s="531">
        <f t="shared" si="541"/>
        <v>0</v>
      </c>
      <c r="AM90" s="531">
        <f t="shared" si="541"/>
        <v>0</v>
      </c>
      <c r="AN90" s="531">
        <f t="shared" si="541"/>
        <v>0</v>
      </c>
      <c r="AO90" s="551">
        <f t="shared" si="541"/>
        <v>0</v>
      </c>
      <c r="AP90" s="531">
        <f t="shared" si="541"/>
        <v>0</v>
      </c>
      <c r="AQ90" s="531">
        <f t="shared" si="541"/>
        <v>0</v>
      </c>
      <c r="AR90" s="531">
        <f t="shared" si="541"/>
        <v>0</v>
      </c>
      <c r="AS90" s="531">
        <f t="shared" si="541"/>
        <v>0</v>
      </c>
      <c r="AT90" s="531">
        <f t="shared" si="541"/>
        <v>0</v>
      </c>
    </row>
    <row r="91" spans="2:46">
      <c r="C91" s="521"/>
      <c r="V91" s="550"/>
      <c r="AO91" s="550"/>
    </row>
    <row r="92" spans="2:46">
      <c r="B92" t="s">
        <v>1887</v>
      </c>
      <c r="C92" s="521" t="s">
        <v>1877</v>
      </c>
      <c r="D92" s="531">
        <f>D160</f>
        <v>-55</v>
      </c>
      <c r="E92" s="531">
        <f t="shared" ref="E92:AT92" si="542">E160</f>
        <v>3</v>
      </c>
      <c r="F92" s="531">
        <f t="shared" si="542"/>
        <v>-18</v>
      </c>
      <c r="G92" s="531">
        <f t="shared" si="542"/>
        <v>-38</v>
      </c>
      <c r="H92" s="531">
        <f t="shared" si="542"/>
        <v>4</v>
      </c>
      <c r="I92" s="531">
        <f t="shared" si="542"/>
        <v>-179</v>
      </c>
      <c r="J92" s="531">
        <f t="shared" si="542"/>
        <v>-62</v>
      </c>
      <c r="K92" s="531">
        <f t="shared" si="542"/>
        <v>-220</v>
      </c>
      <c r="L92" s="531">
        <f t="shared" si="542"/>
        <v>-119</v>
      </c>
      <c r="M92" s="531">
        <f t="shared" si="542"/>
        <v>-110</v>
      </c>
      <c r="N92" s="531">
        <f t="shared" si="542"/>
        <v>-137</v>
      </c>
      <c r="O92" s="531">
        <f t="shared" si="542"/>
        <v>-225</v>
      </c>
      <c r="P92" s="531">
        <f t="shared" si="542"/>
        <v>-195</v>
      </c>
      <c r="Q92" s="531">
        <f t="shared" si="542"/>
        <v>-99</v>
      </c>
      <c r="R92" s="531">
        <f t="shared" si="542"/>
        <v>33</v>
      </c>
      <c r="S92" s="531">
        <f t="shared" si="542"/>
        <v>131</v>
      </c>
      <c r="T92" s="531">
        <f t="shared" si="542"/>
        <v>-42</v>
      </c>
      <c r="U92" s="531">
        <f t="shared" si="542"/>
        <v>-73</v>
      </c>
      <c r="V92" s="551">
        <f t="shared" si="542"/>
        <v>-13</v>
      </c>
      <c r="W92" s="531">
        <f t="shared" si="542"/>
        <v>-17.7</v>
      </c>
      <c r="X92" s="531">
        <f t="shared" si="542"/>
        <v>-22.125</v>
      </c>
      <c r="Y92" s="531">
        <f t="shared" si="542"/>
        <v>-28.606575298226716</v>
      </c>
      <c r="Z92" s="531">
        <f t="shared" si="542"/>
        <v>-33.279259437079865</v>
      </c>
      <c r="AA92" s="531">
        <f t="shared" si="542"/>
        <v>-32.466209968407085</v>
      </c>
      <c r="AB92" s="531">
        <f t="shared" si="542"/>
        <v>-38.802911415565312</v>
      </c>
      <c r="AC92" s="531">
        <f t="shared" si="542"/>
        <v>-38.888984010425197</v>
      </c>
      <c r="AD92" s="531">
        <f t="shared" si="542"/>
        <v>-39.162534281288323</v>
      </c>
      <c r="AE92" s="531">
        <f t="shared" si="542"/>
        <v>-39.352512586175393</v>
      </c>
      <c r="AF92" s="531"/>
      <c r="AG92" s="531">
        <f t="shared" si="542"/>
        <v>-52</v>
      </c>
      <c r="AH92" s="531">
        <f t="shared" si="542"/>
        <v>-56</v>
      </c>
      <c r="AI92" s="531">
        <f t="shared" si="542"/>
        <v>-175</v>
      </c>
      <c r="AJ92" s="531">
        <f t="shared" si="542"/>
        <v>-282</v>
      </c>
      <c r="AK92" s="531">
        <f t="shared" si="542"/>
        <v>-229</v>
      </c>
      <c r="AL92" s="531">
        <f t="shared" si="542"/>
        <v>-362</v>
      </c>
      <c r="AM92" s="531">
        <f t="shared" si="542"/>
        <v>-294</v>
      </c>
      <c r="AN92" s="531">
        <f t="shared" si="542"/>
        <v>164</v>
      </c>
      <c r="AO92" s="551">
        <f t="shared" si="542"/>
        <v>-115</v>
      </c>
      <c r="AP92" s="531">
        <f t="shared" si="542"/>
        <v>-30.7</v>
      </c>
      <c r="AQ92" s="531">
        <f t="shared" si="542"/>
        <v>-50.731575298226716</v>
      </c>
      <c r="AR92" s="531">
        <f t="shared" si="542"/>
        <v>-65.745469405486944</v>
      </c>
      <c r="AS92" s="531">
        <f t="shared" si="542"/>
        <v>-77.691895425990509</v>
      </c>
      <c r="AT92" s="531">
        <f t="shared" si="542"/>
        <v>-78.515046867463724</v>
      </c>
    </row>
    <row r="93" spans="2:46">
      <c r="C93" s="521" t="s">
        <v>1878</v>
      </c>
      <c r="D93" s="531">
        <f>D207</f>
        <v>-55</v>
      </c>
      <c r="E93" s="531">
        <f t="shared" ref="E93:AT93" si="543">E207</f>
        <v>3</v>
      </c>
      <c r="F93" s="531">
        <f t="shared" si="543"/>
        <v>-18</v>
      </c>
      <c r="G93" s="531">
        <f t="shared" si="543"/>
        <v>-38</v>
      </c>
      <c r="H93" s="531">
        <f t="shared" si="543"/>
        <v>4</v>
      </c>
      <c r="I93" s="531">
        <f t="shared" si="543"/>
        <v>-179</v>
      </c>
      <c r="J93" s="531">
        <f t="shared" si="543"/>
        <v>-62</v>
      </c>
      <c r="K93" s="531">
        <f t="shared" si="543"/>
        <v>-220</v>
      </c>
      <c r="L93" s="531">
        <f t="shared" si="543"/>
        <v>-119</v>
      </c>
      <c r="M93" s="531">
        <f t="shared" si="543"/>
        <v>-110</v>
      </c>
      <c r="N93" s="531">
        <f t="shared" si="543"/>
        <v>-137</v>
      </c>
      <c r="O93" s="531">
        <f t="shared" si="543"/>
        <v>-225</v>
      </c>
      <c r="P93" s="531">
        <f t="shared" si="543"/>
        <v>-195</v>
      </c>
      <c r="Q93" s="531">
        <f t="shared" si="543"/>
        <v>-99</v>
      </c>
      <c r="R93" s="531">
        <f t="shared" si="543"/>
        <v>33</v>
      </c>
      <c r="S93" s="531">
        <f t="shared" si="543"/>
        <v>131</v>
      </c>
      <c r="T93" s="531">
        <f t="shared" si="543"/>
        <v>-42</v>
      </c>
      <c r="U93" s="531">
        <f t="shared" si="543"/>
        <v>-73</v>
      </c>
      <c r="V93" s="551">
        <f t="shared" si="543"/>
        <v>-13</v>
      </c>
      <c r="W93" s="531">
        <f t="shared" si="543"/>
        <v>-17.7</v>
      </c>
      <c r="X93" s="531">
        <f t="shared" si="543"/>
        <v>-22.125</v>
      </c>
      <c r="Y93" s="531">
        <f t="shared" si="543"/>
        <v>-29.060285178350679</v>
      </c>
      <c r="Z93" s="531">
        <f t="shared" si="543"/>
        <v>-34.796531340181197</v>
      </c>
      <c r="AA93" s="531">
        <f t="shared" si="543"/>
        <v>-34.611526809253064</v>
      </c>
      <c r="AB93" s="531">
        <f t="shared" si="543"/>
        <v>-42.469635418811762</v>
      </c>
      <c r="AC93" s="531">
        <f t="shared" si="543"/>
        <v>-42.540114489342415</v>
      </c>
      <c r="AD93" s="531">
        <f t="shared" si="543"/>
        <v>-42.812882236992834</v>
      </c>
      <c r="AE93" s="531">
        <f t="shared" si="543"/>
        <v>-43.006861680269658</v>
      </c>
      <c r="AF93" s="531"/>
      <c r="AG93" s="531">
        <f t="shared" si="543"/>
        <v>-52</v>
      </c>
      <c r="AH93" s="531">
        <f t="shared" si="543"/>
        <v>-56</v>
      </c>
      <c r="AI93" s="531">
        <f t="shared" si="543"/>
        <v>-175</v>
      </c>
      <c r="AJ93" s="531">
        <f t="shared" si="543"/>
        <v>-282</v>
      </c>
      <c r="AK93" s="531">
        <f t="shared" si="543"/>
        <v>-229</v>
      </c>
      <c r="AL93" s="531">
        <f t="shared" si="543"/>
        <v>-362</v>
      </c>
      <c r="AM93" s="531">
        <f t="shared" si="543"/>
        <v>-294</v>
      </c>
      <c r="AN93" s="531">
        <f t="shared" si="543"/>
        <v>164</v>
      </c>
      <c r="AO93" s="551">
        <f t="shared" si="543"/>
        <v>-115</v>
      </c>
      <c r="AP93" s="531">
        <f t="shared" si="543"/>
        <v>-30.7</v>
      </c>
      <c r="AQ93" s="531">
        <f t="shared" si="543"/>
        <v>-51.185285178350682</v>
      </c>
      <c r="AR93" s="531">
        <f t="shared" si="543"/>
        <v>-69.408058149434254</v>
      </c>
      <c r="AS93" s="531">
        <f t="shared" si="543"/>
        <v>-85.009749908154177</v>
      </c>
      <c r="AT93" s="531">
        <f t="shared" si="543"/>
        <v>-85.819743917262485</v>
      </c>
    </row>
    <row r="94" spans="2:46">
      <c r="C94" s="522" t="s">
        <v>1879</v>
      </c>
      <c r="D94" s="532">
        <f>D92/D93-1</f>
        <v>0</v>
      </c>
      <c r="E94" s="532">
        <f t="shared" ref="E94" si="544">E92/E93-1</f>
        <v>0</v>
      </c>
      <c r="F94" s="532">
        <f t="shared" ref="F94" si="545">F92/F93-1</f>
        <v>0</v>
      </c>
      <c r="G94" s="532">
        <f t="shared" ref="G94" si="546">G92/G93-1</f>
        <v>0</v>
      </c>
      <c r="H94" s="532">
        <f t="shared" ref="H94" si="547">H92/H93-1</f>
        <v>0</v>
      </c>
      <c r="I94" s="532">
        <f t="shared" ref="I94" si="548">I92/I93-1</f>
        <v>0</v>
      </c>
      <c r="J94" s="532">
        <f t="shared" ref="J94" si="549">J92/J93-1</f>
        <v>0</v>
      </c>
      <c r="K94" s="532">
        <f t="shared" ref="K94" si="550">K92/K93-1</f>
        <v>0</v>
      </c>
      <c r="L94" s="532">
        <f t="shared" ref="L94" si="551">L92/L93-1</f>
        <v>0</v>
      </c>
      <c r="M94" s="532">
        <f t="shared" ref="M94" si="552">M92/M93-1</f>
        <v>0</v>
      </c>
      <c r="N94" s="532">
        <f t="shared" ref="N94" si="553">N92/N93-1</f>
        <v>0</v>
      </c>
      <c r="O94" s="532">
        <f t="shared" ref="O94" si="554">O92/O93-1</f>
        <v>0</v>
      </c>
      <c r="P94" s="532">
        <f t="shared" ref="P94" si="555">P92/P93-1</f>
        <v>0</v>
      </c>
      <c r="Q94" s="532">
        <f t="shared" ref="Q94" si="556">Q92/Q93-1</f>
        <v>0</v>
      </c>
      <c r="R94" s="532">
        <f t="shared" ref="R94" si="557">R92/R93-1</f>
        <v>0</v>
      </c>
      <c r="S94" s="532">
        <f t="shared" ref="S94" si="558">S92/S93-1</f>
        <v>0</v>
      </c>
      <c r="T94" s="532">
        <f t="shared" ref="T94" si="559">T92/T93-1</f>
        <v>0</v>
      </c>
      <c r="U94" s="532">
        <f t="shared" ref="U94" si="560">U92/U93-1</f>
        <v>0</v>
      </c>
      <c r="V94" s="554">
        <f t="shared" ref="V94" si="561">V92/V93-1</f>
        <v>0</v>
      </c>
      <c r="W94" s="532">
        <f t="shared" ref="W94" si="562">W92/W93-1</f>
        <v>0</v>
      </c>
      <c r="X94" s="532">
        <f t="shared" ref="X94" si="563">X92/X93-1</f>
        <v>0</v>
      </c>
      <c r="Y94" s="532">
        <f t="shared" ref="Y94" si="564">Y92/Y93-1</f>
        <v>-1.5612712584870514E-2</v>
      </c>
      <c r="Z94" s="532">
        <f t="shared" ref="Z94" si="565">Z92/Z93-1</f>
        <v>-4.3604113532697664E-2</v>
      </c>
      <c r="AA94" s="532">
        <f t="shared" ref="AA94" si="566">AA92/AA93-1</f>
        <v>-6.1982727681127558E-2</v>
      </c>
      <c r="AB94" s="532">
        <f t="shared" ref="AB94" si="567">AB92/AB93-1</f>
        <v>-8.6337543684735452E-2</v>
      </c>
      <c r="AC94" s="532">
        <f t="shared" ref="AC94" si="568">AC92/AC93-1</f>
        <v>-8.582794199653454E-2</v>
      </c>
      <c r="AD94" s="532">
        <f t="shared" ref="AD94" si="569">AD92/AD93-1</f>
        <v>-8.526284064450107E-2</v>
      </c>
      <c r="AE94" s="532">
        <f t="shared" ref="AE94" si="570">AE92/AE93-1</f>
        <v>-8.4971303445998236E-2</v>
      </c>
      <c r="AF94" s="532"/>
      <c r="AG94" s="532">
        <f t="shared" ref="AG94" si="571">AG92/AG93-1</f>
        <v>0</v>
      </c>
      <c r="AH94" s="532">
        <f t="shared" ref="AH94" si="572">AH92/AH93-1</f>
        <v>0</v>
      </c>
      <c r="AI94" s="532">
        <f t="shared" ref="AI94" si="573">AI92/AI93-1</f>
        <v>0</v>
      </c>
      <c r="AJ94" s="532">
        <f t="shared" ref="AJ94" si="574">AJ92/AJ93-1</f>
        <v>0</v>
      </c>
      <c r="AK94" s="532">
        <f t="shared" ref="AK94" si="575">AK92/AK93-1</f>
        <v>0</v>
      </c>
      <c r="AL94" s="532">
        <f t="shared" ref="AL94" si="576">AL92/AL93-1</f>
        <v>0</v>
      </c>
      <c r="AM94" s="532">
        <f t="shared" ref="AM94" si="577">AM92/AM93-1</f>
        <v>0</v>
      </c>
      <c r="AN94" s="532">
        <f t="shared" ref="AN94" si="578">AN92/AN93-1</f>
        <v>0</v>
      </c>
      <c r="AO94" s="554">
        <f t="shared" ref="AO94" si="579">AO92/AO93-1</f>
        <v>0</v>
      </c>
      <c r="AP94" s="532">
        <f t="shared" ref="AP94" si="580">AP92/AP93-1</f>
        <v>0</v>
      </c>
      <c r="AQ94" s="532">
        <f t="shared" ref="AQ94" si="581">AQ92/AQ93-1</f>
        <v>-8.864068619390375E-3</v>
      </c>
      <c r="AR94" s="532">
        <f t="shared" ref="AR94" si="582">AR92/AR93-1</f>
        <v>-5.2768926859498411E-2</v>
      </c>
      <c r="AS94" s="532">
        <f t="shared" ref="AS94" si="583">AS92/AS93-1</f>
        <v>-8.6082531592787781E-2</v>
      </c>
      <c r="AT94" s="532">
        <f t="shared" ref="AT94" si="584">AT92/AT93-1</f>
        <v>-8.5116742562656778E-2</v>
      </c>
    </row>
    <row r="95" spans="2:46">
      <c r="C95" s="522" t="s">
        <v>1880</v>
      </c>
      <c r="D95" s="531">
        <f>D92-D93</f>
        <v>0</v>
      </c>
      <c r="E95" s="531">
        <f t="shared" ref="E95:AE95" si="585">E92-E93</f>
        <v>0</v>
      </c>
      <c r="F95" s="531">
        <f t="shared" si="585"/>
        <v>0</v>
      </c>
      <c r="G95" s="531">
        <f t="shared" si="585"/>
        <v>0</v>
      </c>
      <c r="H95" s="531">
        <f t="shared" si="585"/>
        <v>0</v>
      </c>
      <c r="I95" s="531">
        <f t="shared" si="585"/>
        <v>0</v>
      </c>
      <c r="J95" s="531">
        <f t="shared" si="585"/>
        <v>0</v>
      </c>
      <c r="K95" s="531">
        <f t="shared" si="585"/>
        <v>0</v>
      </c>
      <c r="L95" s="531">
        <f t="shared" si="585"/>
        <v>0</v>
      </c>
      <c r="M95" s="531">
        <f t="shared" si="585"/>
        <v>0</v>
      </c>
      <c r="N95" s="531">
        <f t="shared" si="585"/>
        <v>0</v>
      </c>
      <c r="O95" s="531">
        <f t="shared" si="585"/>
        <v>0</v>
      </c>
      <c r="P95" s="531">
        <f t="shared" si="585"/>
        <v>0</v>
      </c>
      <c r="Q95" s="531">
        <f t="shared" si="585"/>
        <v>0</v>
      </c>
      <c r="R95" s="531">
        <f t="shared" si="585"/>
        <v>0</v>
      </c>
      <c r="S95" s="531">
        <f t="shared" si="585"/>
        <v>0</v>
      </c>
      <c r="T95" s="531">
        <f t="shared" si="585"/>
        <v>0</v>
      </c>
      <c r="U95" s="531">
        <f t="shared" si="585"/>
        <v>0</v>
      </c>
      <c r="V95" s="551">
        <f t="shared" si="585"/>
        <v>0</v>
      </c>
      <c r="W95" s="531">
        <f t="shared" si="585"/>
        <v>0</v>
      </c>
      <c r="X95" s="531">
        <f t="shared" si="585"/>
        <v>0</v>
      </c>
      <c r="Y95" s="531">
        <f t="shared" si="585"/>
        <v>0.45370988012396296</v>
      </c>
      <c r="Z95" s="531">
        <f t="shared" si="585"/>
        <v>1.5172719031013315</v>
      </c>
      <c r="AA95" s="531">
        <f t="shared" si="585"/>
        <v>2.1453168408459788</v>
      </c>
      <c r="AB95" s="531">
        <f t="shared" si="585"/>
        <v>3.6667240032464505</v>
      </c>
      <c r="AC95" s="531">
        <f t="shared" si="585"/>
        <v>3.6511304789172172</v>
      </c>
      <c r="AD95" s="531">
        <f t="shared" si="585"/>
        <v>3.6503479557045111</v>
      </c>
      <c r="AE95" s="531">
        <f t="shared" si="585"/>
        <v>3.6543490940942647</v>
      </c>
      <c r="AF95" s="531"/>
      <c r="AG95" s="531">
        <f t="shared" ref="AG95:AT95" si="586">AG92-AG93</f>
        <v>0</v>
      </c>
      <c r="AH95" s="531">
        <f t="shared" si="586"/>
        <v>0</v>
      </c>
      <c r="AI95" s="531">
        <f t="shared" si="586"/>
        <v>0</v>
      </c>
      <c r="AJ95" s="531">
        <f t="shared" si="586"/>
        <v>0</v>
      </c>
      <c r="AK95" s="531">
        <f t="shared" si="586"/>
        <v>0</v>
      </c>
      <c r="AL95" s="531">
        <f t="shared" si="586"/>
        <v>0</v>
      </c>
      <c r="AM95" s="531">
        <f t="shared" si="586"/>
        <v>0</v>
      </c>
      <c r="AN95" s="531">
        <f t="shared" si="586"/>
        <v>0</v>
      </c>
      <c r="AO95" s="551">
        <f t="shared" si="586"/>
        <v>0</v>
      </c>
      <c r="AP95" s="531">
        <f t="shared" si="586"/>
        <v>0</v>
      </c>
      <c r="AQ95" s="531">
        <f t="shared" si="586"/>
        <v>0.45370988012396651</v>
      </c>
      <c r="AR95" s="531">
        <f t="shared" si="586"/>
        <v>3.6625887439473104</v>
      </c>
      <c r="AS95" s="531">
        <f t="shared" si="586"/>
        <v>7.3178544821636677</v>
      </c>
      <c r="AT95" s="531">
        <f t="shared" si="586"/>
        <v>7.3046970497987616</v>
      </c>
    </row>
    <row r="96" spans="2:46">
      <c r="C96" s="522"/>
      <c r="V96" s="550"/>
      <c r="AO96" s="550"/>
    </row>
    <row r="97" spans="2:46">
      <c r="B97" s="525" t="s">
        <v>509</v>
      </c>
      <c r="V97" s="550"/>
      <c r="AO97" s="550"/>
    </row>
    <row r="98" spans="2:46">
      <c r="B98" t="s">
        <v>1888</v>
      </c>
      <c r="C98" s="521" t="s">
        <v>1877</v>
      </c>
      <c r="D98" s="531">
        <f>D163</f>
        <v>88</v>
      </c>
      <c r="E98" s="531">
        <f t="shared" ref="E98:AT98" si="587">E163</f>
        <v>84</v>
      </c>
      <c r="F98" s="531">
        <f t="shared" si="587"/>
        <v>142</v>
      </c>
      <c r="G98" s="531">
        <f t="shared" si="587"/>
        <v>201</v>
      </c>
      <c r="H98" s="531">
        <f t="shared" si="587"/>
        <v>194</v>
      </c>
      <c r="I98" s="531">
        <f t="shared" si="587"/>
        <v>121</v>
      </c>
      <c r="J98" s="531">
        <f t="shared" si="587"/>
        <v>167</v>
      </c>
      <c r="K98" s="531">
        <f t="shared" si="587"/>
        <v>329</v>
      </c>
      <c r="L98" s="531">
        <f t="shared" si="587"/>
        <v>56</v>
      </c>
      <c r="M98" s="531">
        <f t="shared" si="587"/>
        <v>199</v>
      </c>
      <c r="N98" s="531">
        <f t="shared" si="587"/>
        <v>157</v>
      </c>
      <c r="O98" s="531">
        <f t="shared" si="587"/>
        <v>-178</v>
      </c>
      <c r="P98" s="531">
        <f t="shared" si="587"/>
        <v>188</v>
      </c>
      <c r="Q98" s="531">
        <f t="shared" si="587"/>
        <v>240</v>
      </c>
      <c r="R98" s="531">
        <f t="shared" si="587"/>
        <v>453</v>
      </c>
      <c r="S98" s="531">
        <f t="shared" si="587"/>
        <v>520</v>
      </c>
      <c r="T98" s="531">
        <f t="shared" si="587"/>
        <v>505</v>
      </c>
      <c r="U98" s="531">
        <f t="shared" si="587"/>
        <v>529</v>
      </c>
      <c r="V98" s="551">
        <f t="shared" si="587"/>
        <v>430</v>
      </c>
      <c r="W98" s="531">
        <f t="shared" si="587"/>
        <v>540.6</v>
      </c>
      <c r="X98" s="531">
        <f t="shared" si="587"/>
        <v>601.41000000000008</v>
      </c>
      <c r="Y98" s="531">
        <f t="shared" si="587"/>
        <v>590.66430000000014</v>
      </c>
      <c r="Z98" s="531">
        <f t="shared" si="587"/>
        <v>580.06938900000011</v>
      </c>
      <c r="AA98" s="531">
        <f t="shared" si="587"/>
        <v>569.62545747000013</v>
      </c>
      <c r="AB98" s="531">
        <f t="shared" si="587"/>
        <v>559.33253175810012</v>
      </c>
      <c r="AC98" s="531">
        <f t="shared" si="587"/>
        <v>549.19048538856316</v>
      </c>
      <c r="AD98" s="531">
        <f t="shared" si="587"/>
        <v>539.19904973313555</v>
      </c>
      <c r="AE98" s="531">
        <f t="shared" si="587"/>
        <v>529.35782408819944</v>
      </c>
      <c r="AF98" s="531"/>
      <c r="AG98" s="531">
        <f t="shared" si="587"/>
        <v>172</v>
      </c>
      <c r="AH98" s="531">
        <f t="shared" si="587"/>
        <v>343</v>
      </c>
      <c r="AI98" s="531">
        <f t="shared" si="587"/>
        <v>315</v>
      </c>
      <c r="AJ98" s="531">
        <f t="shared" si="587"/>
        <v>496</v>
      </c>
      <c r="AK98" s="531">
        <f t="shared" si="587"/>
        <v>255</v>
      </c>
      <c r="AL98" s="531">
        <f t="shared" si="587"/>
        <v>-21</v>
      </c>
      <c r="AM98" s="531">
        <f t="shared" si="587"/>
        <v>428</v>
      </c>
      <c r="AN98" s="531">
        <f t="shared" si="587"/>
        <v>973</v>
      </c>
      <c r="AO98" s="551">
        <f t="shared" si="587"/>
        <v>1034</v>
      </c>
      <c r="AP98" s="531">
        <f t="shared" si="587"/>
        <v>970.59999999999991</v>
      </c>
      <c r="AQ98" s="531">
        <f t="shared" si="587"/>
        <v>1192.0743000000002</v>
      </c>
      <c r="AR98" s="531">
        <f t="shared" si="587"/>
        <v>1149.6948464700001</v>
      </c>
      <c r="AS98" s="531">
        <f t="shared" si="587"/>
        <v>1108.5230171466633</v>
      </c>
      <c r="AT98" s="531">
        <f t="shared" si="587"/>
        <v>1068.5568738213351</v>
      </c>
    </row>
    <row r="99" spans="2:46">
      <c r="C99" s="521" t="s">
        <v>1878</v>
      </c>
      <c r="D99" s="531">
        <f>D210</f>
        <v>88</v>
      </c>
      <c r="E99" s="531">
        <f t="shared" ref="E99:AT99" si="588">E210</f>
        <v>84</v>
      </c>
      <c r="F99" s="531">
        <f t="shared" si="588"/>
        <v>142</v>
      </c>
      <c r="G99" s="531">
        <f t="shared" si="588"/>
        <v>201</v>
      </c>
      <c r="H99" s="531">
        <f t="shared" si="588"/>
        <v>194</v>
      </c>
      <c r="I99" s="531">
        <f t="shared" si="588"/>
        <v>121</v>
      </c>
      <c r="J99" s="531">
        <f t="shared" si="588"/>
        <v>167</v>
      </c>
      <c r="K99" s="531">
        <f t="shared" si="588"/>
        <v>329</v>
      </c>
      <c r="L99" s="531">
        <f t="shared" si="588"/>
        <v>56</v>
      </c>
      <c r="M99" s="531">
        <f t="shared" si="588"/>
        <v>199</v>
      </c>
      <c r="N99" s="531">
        <f t="shared" si="588"/>
        <v>157</v>
      </c>
      <c r="O99" s="531">
        <f t="shared" si="588"/>
        <v>-178</v>
      </c>
      <c r="P99" s="531">
        <f t="shared" si="588"/>
        <v>188</v>
      </c>
      <c r="Q99" s="531">
        <f t="shared" si="588"/>
        <v>240</v>
      </c>
      <c r="R99" s="531">
        <f t="shared" si="588"/>
        <v>453</v>
      </c>
      <c r="S99" s="531">
        <f t="shared" si="588"/>
        <v>520</v>
      </c>
      <c r="T99" s="531">
        <f t="shared" si="588"/>
        <v>505</v>
      </c>
      <c r="U99" s="531">
        <f t="shared" si="588"/>
        <v>529</v>
      </c>
      <c r="V99" s="551">
        <f t="shared" si="588"/>
        <v>430</v>
      </c>
      <c r="W99" s="531">
        <f t="shared" si="588"/>
        <v>540.6</v>
      </c>
      <c r="X99" s="531">
        <f t="shared" si="588"/>
        <v>601.41000000000008</v>
      </c>
      <c r="Y99" s="531">
        <f t="shared" si="588"/>
        <v>590.66430000000014</v>
      </c>
      <c r="Z99" s="531">
        <f t="shared" si="588"/>
        <v>580.06938900000011</v>
      </c>
      <c r="AA99" s="531">
        <f t="shared" si="588"/>
        <v>569.62545747000013</v>
      </c>
      <c r="AB99" s="531">
        <f t="shared" si="588"/>
        <v>559.33253175810012</v>
      </c>
      <c r="AC99" s="531">
        <f t="shared" si="588"/>
        <v>549.19048538856316</v>
      </c>
      <c r="AD99" s="531">
        <f t="shared" si="588"/>
        <v>539.19904973313555</v>
      </c>
      <c r="AE99" s="531">
        <f t="shared" si="588"/>
        <v>529.35782408819944</v>
      </c>
      <c r="AF99" s="531"/>
      <c r="AG99" s="531">
        <f t="shared" si="588"/>
        <v>172</v>
      </c>
      <c r="AH99" s="531">
        <f t="shared" si="588"/>
        <v>343</v>
      </c>
      <c r="AI99" s="531">
        <f t="shared" si="588"/>
        <v>315</v>
      </c>
      <c r="AJ99" s="531">
        <f t="shared" si="588"/>
        <v>496</v>
      </c>
      <c r="AK99" s="531">
        <f t="shared" si="588"/>
        <v>255</v>
      </c>
      <c r="AL99" s="531">
        <f t="shared" si="588"/>
        <v>-21</v>
      </c>
      <c r="AM99" s="531">
        <f t="shared" si="588"/>
        <v>428</v>
      </c>
      <c r="AN99" s="531">
        <f t="shared" si="588"/>
        <v>973</v>
      </c>
      <c r="AO99" s="551">
        <f t="shared" si="588"/>
        <v>1034</v>
      </c>
      <c r="AP99" s="531">
        <f t="shared" si="588"/>
        <v>970.59999999999991</v>
      </c>
      <c r="AQ99" s="531">
        <f t="shared" si="588"/>
        <v>1192.0743000000002</v>
      </c>
      <c r="AR99" s="531">
        <f t="shared" si="588"/>
        <v>1149.6948464700001</v>
      </c>
      <c r="AS99" s="531">
        <f t="shared" si="588"/>
        <v>1108.5230171466633</v>
      </c>
      <c r="AT99" s="531">
        <f t="shared" si="588"/>
        <v>1068.5568738213351</v>
      </c>
    </row>
    <row r="100" spans="2:46">
      <c r="C100" s="522" t="s">
        <v>1879</v>
      </c>
      <c r="D100" s="532">
        <f>D98/D99-1</f>
        <v>0</v>
      </c>
      <c r="E100" s="532">
        <f t="shared" ref="E100" si="589">E98/E99-1</f>
        <v>0</v>
      </c>
      <c r="F100" s="532">
        <f t="shared" ref="F100" si="590">F98/F99-1</f>
        <v>0</v>
      </c>
      <c r="G100" s="532">
        <f t="shared" ref="G100" si="591">G98/G99-1</f>
        <v>0</v>
      </c>
      <c r="H100" s="532">
        <f t="shared" ref="H100" si="592">H98/H99-1</f>
        <v>0</v>
      </c>
      <c r="I100" s="532">
        <f t="shared" ref="I100" si="593">I98/I99-1</f>
        <v>0</v>
      </c>
      <c r="J100" s="532">
        <f t="shared" ref="J100" si="594">J98/J99-1</f>
        <v>0</v>
      </c>
      <c r="K100" s="532">
        <f t="shared" ref="K100" si="595">K98/K99-1</f>
        <v>0</v>
      </c>
      <c r="L100" s="532">
        <f t="shared" ref="L100" si="596">L98/L99-1</f>
        <v>0</v>
      </c>
      <c r="M100" s="532">
        <f t="shared" ref="M100" si="597">M98/M99-1</f>
        <v>0</v>
      </c>
      <c r="N100" s="532">
        <f t="shared" ref="N100" si="598">N98/N99-1</f>
        <v>0</v>
      </c>
      <c r="O100" s="532">
        <f t="shared" ref="O100" si="599">O98/O99-1</f>
        <v>0</v>
      </c>
      <c r="P100" s="532">
        <f t="shared" ref="P100" si="600">P98/P99-1</f>
        <v>0</v>
      </c>
      <c r="Q100" s="532">
        <f t="shared" ref="Q100" si="601">Q98/Q99-1</f>
        <v>0</v>
      </c>
      <c r="R100" s="532">
        <f t="shared" ref="R100" si="602">R98/R99-1</f>
        <v>0</v>
      </c>
      <c r="S100" s="532">
        <f t="shared" ref="S100" si="603">S98/S99-1</f>
        <v>0</v>
      </c>
      <c r="T100" s="532">
        <f t="shared" ref="T100" si="604">T98/T99-1</f>
        <v>0</v>
      </c>
      <c r="U100" s="532">
        <f t="shared" ref="U100" si="605">U98/U99-1</f>
        <v>0</v>
      </c>
      <c r="V100" s="554">
        <f t="shared" ref="V100" si="606">V98/V99-1</f>
        <v>0</v>
      </c>
      <c r="W100" s="532">
        <f t="shared" ref="W100" si="607">W98/W99-1</f>
        <v>0</v>
      </c>
      <c r="X100" s="532">
        <f t="shared" ref="X100" si="608">X98/X99-1</f>
        <v>0</v>
      </c>
      <c r="Y100" s="532">
        <f t="shared" ref="Y100" si="609">Y98/Y99-1</f>
        <v>0</v>
      </c>
      <c r="Z100" s="532">
        <f t="shared" ref="Z100" si="610">Z98/Z99-1</f>
        <v>0</v>
      </c>
      <c r="AA100" s="532">
        <f t="shared" ref="AA100" si="611">AA98/AA99-1</f>
        <v>0</v>
      </c>
      <c r="AB100" s="532">
        <f t="shared" ref="AB100" si="612">AB98/AB99-1</f>
        <v>0</v>
      </c>
      <c r="AC100" s="532">
        <f t="shared" ref="AC100" si="613">AC98/AC99-1</f>
        <v>0</v>
      </c>
      <c r="AD100" s="532">
        <f t="shared" ref="AD100" si="614">AD98/AD99-1</f>
        <v>0</v>
      </c>
      <c r="AE100" s="532">
        <f t="shared" ref="AE100" si="615">AE98/AE99-1</f>
        <v>0</v>
      </c>
      <c r="AF100" s="532"/>
      <c r="AG100" s="532">
        <f t="shared" ref="AG100" si="616">AG98/AG99-1</f>
        <v>0</v>
      </c>
      <c r="AH100" s="532">
        <f t="shared" ref="AH100" si="617">AH98/AH99-1</f>
        <v>0</v>
      </c>
      <c r="AI100" s="532">
        <f t="shared" ref="AI100" si="618">AI98/AI99-1</f>
        <v>0</v>
      </c>
      <c r="AJ100" s="532">
        <f t="shared" ref="AJ100" si="619">AJ98/AJ99-1</f>
        <v>0</v>
      </c>
      <c r="AK100" s="532">
        <f t="shared" ref="AK100" si="620">AK98/AK99-1</f>
        <v>0</v>
      </c>
      <c r="AL100" s="532">
        <f t="shared" ref="AL100" si="621">AL98/AL99-1</f>
        <v>0</v>
      </c>
      <c r="AM100" s="532">
        <f t="shared" ref="AM100" si="622">AM98/AM99-1</f>
        <v>0</v>
      </c>
      <c r="AN100" s="532">
        <f t="shared" ref="AN100" si="623">AN98/AN99-1</f>
        <v>0</v>
      </c>
      <c r="AO100" s="554">
        <f t="shared" ref="AO100" si="624">AO98/AO99-1</f>
        <v>0</v>
      </c>
      <c r="AP100" s="532">
        <f t="shared" ref="AP100" si="625">AP98/AP99-1</f>
        <v>0</v>
      </c>
      <c r="AQ100" s="532">
        <f t="shared" ref="AQ100" si="626">AQ98/AQ99-1</f>
        <v>0</v>
      </c>
      <c r="AR100" s="532">
        <f t="shared" ref="AR100" si="627">AR98/AR99-1</f>
        <v>0</v>
      </c>
      <c r="AS100" s="532">
        <f t="shared" ref="AS100" si="628">AS98/AS99-1</f>
        <v>0</v>
      </c>
      <c r="AT100" s="532">
        <f t="shared" ref="AT100" si="629">AT98/AT99-1</f>
        <v>0</v>
      </c>
    </row>
    <row r="101" spans="2:46">
      <c r="C101" s="522" t="s">
        <v>1880</v>
      </c>
      <c r="D101" s="531">
        <f>D98-D99</f>
        <v>0</v>
      </c>
      <c r="E101" s="531">
        <f t="shared" ref="E101:AE101" si="630">E98-E99</f>
        <v>0</v>
      </c>
      <c r="F101" s="531">
        <f t="shared" si="630"/>
        <v>0</v>
      </c>
      <c r="G101" s="531">
        <f t="shared" si="630"/>
        <v>0</v>
      </c>
      <c r="H101" s="531">
        <f t="shared" si="630"/>
        <v>0</v>
      </c>
      <c r="I101" s="531">
        <f t="shared" si="630"/>
        <v>0</v>
      </c>
      <c r="J101" s="531">
        <f t="shared" si="630"/>
        <v>0</v>
      </c>
      <c r="K101" s="531">
        <f t="shared" si="630"/>
        <v>0</v>
      </c>
      <c r="L101" s="531">
        <f t="shared" si="630"/>
        <v>0</v>
      </c>
      <c r="M101" s="531">
        <f t="shared" si="630"/>
        <v>0</v>
      </c>
      <c r="N101" s="531">
        <f t="shared" si="630"/>
        <v>0</v>
      </c>
      <c r="O101" s="531">
        <f t="shared" si="630"/>
        <v>0</v>
      </c>
      <c r="P101" s="531">
        <f t="shared" si="630"/>
        <v>0</v>
      </c>
      <c r="Q101" s="531">
        <f t="shared" si="630"/>
        <v>0</v>
      </c>
      <c r="R101" s="531">
        <f t="shared" si="630"/>
        <v>0</v>
      </c>
      <c r="S101" s="531">
        <f t="shared" si="630"/>
        <v>0</v>
      </c>
      <c r="T101" s="531">
        <f t="shared" si="630"/>
        <v>0</v>
      </c>
      <c r="U101" s="531">
        <f t="shared" si="630"/>
        <v>0</v>
      </c>
      <c r="V101" s="551">
        <f t="shared" si="630"/>
        <v>0</v>
      </c>
      <c r="W101" s="531">
        <f t="shared" si="630"/>
        <v>0</v>
      </c>
      <c r="X101" s="531">
        <f t="shared" si="630"/>
        <v>0</v>
      </c>
      <c r="Y101" s="531">
        <f t="shared" si="630"/>
        <v>0</v>
      </c>
      <c r="Z101" s="531">
        <f t="shared" si="630"/>
        <v>0</v>
      </c>
      <c r="AA101" s="531">
        <f t="shared" si="630"/>
        <v>0</v>
      </c>
      <c r="AB101" s="531">
        <f t="shared" si="630"/>
        <v>0</v>
      </c>
      <c r="AC101" s="531">
        <f t="shared" si="630"/>
        <v>0</v>
      </c>
      <c r="AD101" s="531">
        <f t="shared" si="630"/>
        <v>0</v>
      </c>
      <c r="AE101" s="531">
        <f t="shared" si="630"/>
        <v>0</v>
      </c>
      <c r="AF101" s="531"/>
      <c r="AG101" s="531">
        <f t="shared" ref="AG101:AT101" si="631">AG98-AG99</f>
        <v>0</v>
      </c>
      <c r="AH101" s="531">
        <f t="shared" si="631"/>
        <v>0</v>
      </c>
      <c r="AI101" s="531">
        <f t="shared" si="631"/>
        <v>0</v>
      </c>
      <c r="AJ101" s="531">
        <f t="shared" si="631"/>
        <v>0</v>
      </c>
      <c r="AK101" s="531">
        <f t="shared" si="631"/>
        <v>0</v>
      </c>
      <c r="AL101" s="531">
        <f t="shared" si="631"/>
        <v>0</v>
      </c>
      <c r="AM101" s="531">
        <f t="shared" si="631"/>
        <v>0</v>
      </c>
      <c r="AN101" s="531">
        <f t="shared" si="631"/>
        <v>0</v>
      </c>
      <c r="AO101" s="551">
        <f t="shared" si="631"/>
        <v>0</v>
      </c>
      <c r="AP101" s="531">
        <f t="shared" si="631"/>
        <v>0</v>
      </c>
      <c r="AQ101" s="531">
        <f t="shared" si="631"/>
        <v>0</v>
      </c>
      <c r="AR101" s="531">
        <f t="shared" si="631"/>
        <v>0</v>
      </c>
      <c r="AS101" s="531">
        <f t="shared" si="631"/>
        <v>0</v>
      </c>
      <c r="AT101" s="531">
        <f t="shared" si="631"/>
        <v>0</v>
      </c>
    </row>
    <row r="102" spans="2:46">
      <c r="C102" s="522"/>
      <c r="V102" s="550"/>
      <c r="AO102" s="550"/>
    </row>
    <row r="103" spans="2:46">
      <c r="B103" s="524" t="s">
        <v>1896</v>
      </c>
      <c r="C103" s="521"/>
      <c r="V103" s="550"/>
      <c r="AO103" s="550"/>
    </row>
    <row r="104" spans="2:46">
      <c r="B104" t="s">
        <v>1895</v>
      </c>
      <c r="C104" s="521" t="s">
        <v>1877</v>
      </c>
      <c r="D104" s="531">
        <f>D166</f>
        <v>-3733</v>
      </c>
      <c r="E104" s="531">
        <f t="shared" ref="E104:AT104" si="632">E166</f>
        <v>-3527</v>
      </c>
      <c r="F104" s="531">
        <f t="shared" si="632"/>
        <v>-3693</v>
      </c>
      <c r="G104" s="531">
        <f t="shared" si="632"/>
        <v>-3763</v>
      </c>
      <c r="H104" s="531">
        <f t="shared" si="632"/>
        <v>-4125</v>
      </c>
      <c r="I104" s="531">
        <f t="shared" si="632"/>
        <v>-4762</v>
      </c>
      <c r="J104" s="531">
        <f t="shared" si="632"/>
        <v>-4480</v>
      </c>
      <c r="K104" s="531">
        <f t="shared" si="632"/>
        <v>-4391</v>
      </c>
      <c r="L104" s="531">
        <f t="shared" si="632"/>
        <v>-4266</v>
      </c>
      <c r="M104" s="531">
        <f t="shared" si="632"/>
        <v>-4601</v>
      </c>
      <c r="N104" s="531">
        <f t="shared" si="632"/>
        <v>-5069</v>
      </c>
      <c r="O104" s="531">
        <f t="shared" si="632"/>
        <v>-5716</v>
      </c>
      <c r="P104" s="531">
        <f t="shared" si="632"/>
        <v>-5596</v>
      </c>
      <c r="Q104" s="531">
        <f t="shared" si="632"/>
        <v>-6534</v>
      </c>
      <c r="R104" s="531">
        <f t="shared" si="632"/>
        <v>-5919</v>
      </c>
      <c r="S104" s="531">
        <f t="shared" si="632"/>
        <v>-6142</v>
      </c>
      <c r="T104" s="531">
        <f t="shared" si="632"/>
        <v>-5919</v>
      </c>
      <c r="U104" s="531">
        <f t="shared" si="632"/>
        <v>-6221</v>
      </c>
      <c r="V104" s="551">
        <f t="shared" si="632"/>
        <v>-6239</v>
      </c>
      <c r="W104" s="531">
        <f t="shared" si="632"/>
        <v>-6363.7799999999988</v>
      </c>
      <c r="X104" s="531">
        <f t="shared" si="632"/>
        <v>-6082.4575000000004</v>
      </c>
      <c r="Y104" s="531">
        <f t="shared" si="632"/>
        <v>-6390.9478499999987</v>
      </c>
      <c r="Z104" s="531">
        <f t="shared" si="632"/>
        <v>-6280.13736875</v>
      </c>
      <c r="AA104" s="531">
        <f t="shared" si="632"/>
        <v>-6598.6536551249992</v>
      </c>
      <c r="AB104" s="531">
        <f t="shared" si="632"/>
        <v>-6484.2418332343732</v>
      </c>
      <c r="AC104" s="531">
        <f t="shared" si="632"/>
        <v>-6813.1098989165603</v>
      </c>
      <c r="AD104" s="531">
        <f t="shared" si="632"/>
        <v>-6694.9796928144915</v>
      </c>
      <c r="AE104" s="531">
        <f t="shared" si="632"/>
        <v>-7034.5359706313484</v>
      </c>
      <c r="AF104" s="531"/>
      <c r="AG104" s="531">
        <f t="shared" si="632"/>
        <v>-7260</v>
      </c>
      <c r="AH104" s="531">
        <f t="shared" si="632"/>
        <v>-7456</v>
      </c>
      <c r="AI104" s="531">
        <f t="shared" si="632"/>
        <v>-8887</v>
      </c>
      <c r="AJ104" s="531">
        <f t="shared" si="632"/>
        <v>-8871</v>
      </c>
      <c r="AK104" s="531">
        <f t="shared" si="632"/>
        <v>-8867</v>
      </c>
      <c r="AL104" s="531">
        <f t="shared" si="632"/>
        <v>-10785</v>
      </c>
      <c r="AM104" s="531">
        <f t="shared" si="632"/>
        <v>-12130</v>
      </c>
      <c r="AN104" s="531">
        <f t="shared" si="632"/>
        <v>-12061</v>
      </c>
      <c r="AO104" s="551">
        <f t="shared" si="632"/>
        <v>-12140</v>
      </c>
      <c r="AP104" s="531">
        <f t="shared" si="632"/>
        <v>-12602.779999999999</v>
      </c>
      <c r="AQ104" s="531">
        <f t="shared" si="632"/>
        <v>-12473.405349999997</v>
      </c>
      <c r="AR104" s="531">
        <f t="shared" si="632"/>
        <v>-12878.791023875001</v>
      </c>
      <c r="AS104" s="531">
        <f t="shared" si="632"/>
        <v>-13297.351732150935</v>
      </c>
      <c r="AT104" s="531">
        <f t="shared" si="632"/>
        <v>-13729.51566344584</v>
      </c>
    </row>
    <row r="105" spans="2:46">
      <c r="C105" s="521" t="s">
        <v>1878</v>
      </c>
      <c r="D105" s="531">
        <f>D213</f>
        <v>-3733</v>
      </c>
      <c r="E105" s="531">
        <f t="shared" ref="E105:AT105" si="633">E213</f>
        <v>-3527</v>
      </c>
      <c r="F105" s="531">
        <f t="shared" si="633"/>
        <v>-3693</v>
      </c>
      <c r="G105" s="531">
        <f t="shared" si="633"/>
        <v>-3763</v>
      </c>
      <c r="H105" s="531">
        <f t="shared" si="633"/>
        <v>-4125</v>
      </c>
      <c r="I105" s="531">
        <f t="shared" si="633"/>
        <v>-4762</v>
      </c>
      <c r="J105" s="531">
        <f t="shared" si="633"/>
        <v>-4480</v>
      </c>
      <c r="K105" s="531">
        <f t="shared" si="633"/>
        <v>-4391</v>
      </c>
      <c r="L105" s="531">
        <f t="shared" si="633"/>
        <v>-4266</v>
      </c>
      <c r="M105" s="531">
        <f t="shared" si="633"/>
        <v>-4601</v>
      </c>
      <c r="N105" s="531">
        <f t="shared" si="633"/>
        <v>-5069</v>
      </c>
      <c r="O105" s="531">
        <f t="shared" si="633"/>
        <v>-5716</v>
      </c>
      <c r="P105" s="531">
        <f t="shared" si="633"/>
        <v>-5596</v>
      </c>
      <c r="Q105" s="531">
        <f t="shared" si="633"/>
        <v>-6534</v>
      </c>
      <c r="R105" s="531">
        <f t="shared" si="633"/>
        <v>-5919</v>
      </c>
      <c r="S105" s="531">
        <f t="shared" si="633"/>
        <v>-6142</v>
      </c>
      <c r="T105" s="531">
        <f t="shared" si="633"/>
        <v>-5919</v>
      </c>
      <c r="U105" s="531">
        <f t="shared" si="633"/>
        <v>-6221</v>
      </c>
      <c r="V105" s="551">
        <f t="shared" si="633"/>
        <v>-6239</v>
      </c>
      <c r="W105" s="531">
        <f t="shared" si="633"/>
        <v>-6363.7800000000007</v>
      </c>
      <c r="X105" s="531">
        <f t="shared" si="633"/>
        <v>-6082.4574999999995</v>
      </c>
      <c r="Y105" s="531">
        <f t="shared" si="633"/>
        <v>-6390.9478500000014</v>
      </c>
      <c r="Z105" s="531">
        <f t="shared" si="633"/>
        <v>-6280.13736875</v>
      </c>
      <c r="AA105" s="531">
        <f t="shared" si="633"/>
        <v>-6598.653655125001</v>
      </c>
      <c r="AB105" s="531">
        <f t="shared" si="633"/>
        <v>-6484.2418332343759</v>
      </c>
      <c r="AC105" s="531">
        <f t="shared" si="633"/>
        <v>-6813.1098989165639</v>
      </c>
      <c r="AD105" s="531">
        <f t="shared" si="633"/>
        <v>-6694.9796928144933</v>
      </c>
      <c r="AE105" s="531">
        <f t="shared" si="633"/>
        <v>-7034.535970631352</v>
      </c>
      <c r="AF105" s="531"/>
      <c r="AG105" s="531">
        <f t="shared" si="633"/>
        <v>-7260</v>
      </c>
      <c r="AH105" s="531">
        <f t="shared" si="633"/>
        <v>-7456</v>
      </c>
      <c r="AI105" s="531">
        <f t="shared" si="633"/>
        <v>-8887</v>
      </c>
      <c r="AJ105" s="531">
        <f t="shared" si="633"/>
        <v>-8871</v>
      </c>
      <c r="AK105" s="531">
        <f t="shared" si="633"/>
        <v>-8867</v>
      </c>
      <c r="AL105" s="531">
        <f t="shared" si="633"/>
        <v>-10785</v>
      </c>
      <c r="AM105" s="531">
        <f t="shared" si="633"/>
        <v>-12130</v>
      </c>
      <c r="AN105" s="531">
        <f t="shared" si="633"/>
        <v>-12061</v>
      </c>
      <c r="AO105" s="551">
        <f t="shared" si="633"/>
        <v>-12140</v>
      </c>
      <c r="AP105" s="531">
        <f t="shared" si="633"/>
        <v>-12602.78</v>
      </c>
      <c r="AQ105" s="531">
        <f t="shared" si="633"/>
        <v>-12473.405350000001</v>
      </c>
      <c r="AR105" s="531">
        <f t="shared" si="633"/>
        <v>-12878.791023875001</v>
      </c>
      <c r="AS105" s="531">
        <f t="shared" si="633"/>
        <v>-13297.351732150939</v>
      </c>
      <c r="AT105" s="531">
        <f t="shared" si="633"/>
        <v>-13729.515663445845</v>
      </c>
    </row>
    <row r="106" spans="2:46">
      <c r="C106" s="522" t="s">
        <v>1879</v>
      </c>
      <c r="D106" s="532">
        <f>D104/D105-1</f>
        <v>0</v>
      </c>
      <c r="E106" s="532">
        <f t="shared" ref="E106" si="634">E104/E105-1</f>
        <v>0</v>
      </c>
      <c r="F106" s="532">
        <f t="shared" ref="F106" si="635">F104/F105-1</f>
        <v>0</v>
      </c>
      <c r="G106" s="532">
        <f t="shared" ref="G106" si="636">G104/G105-1</f>
        <v>0</v>
      </c>
      <c r="H106" s="532">
        <f t="shared" ref="H106" si="637">H104/H105-1</f>
        <v>0</v>
      </c>
      <c r="I106" s="532">
        <f t="shared" ref="I106" si="638">I104/I105-1</f>
        <v>0</v>
      </c>
      <c r="J106" s="532">
        <f t="shared" ref="J106" si="639">J104/J105-1</f>
        <v>0</v>
      </c>
      <c r="K106" s="532">
        <f t="shared" ref="K106" si="640">K104/K105-1</f>
        <v>0</v>
      </c>
      <c r="L106" s="532">
        <f t="shared" ref="L106" si="641">L104/L105-1</f>
        <v>0</v>
      </c>
      <c r="M106" s="532">
        <f t="shared" ref="M106" si="642">M104/M105-1</f>
        <v>0</v>
      </c>
      <c r="N106" s="532">
        <f t="shared" ref="N106" si="643">N104/N105-1</f>
        <v>0</v>
      </c>
      <c r="O106" s="532">
        <f t="shared" ref="O106" si="644">O104/O105-1</f>
        <v>0</v>
      </c>
      <c r="P106" s="532">
        <f t="shared" ref="P106" si="645">P104/P105-1</f>
        <v>0</v>
      </c>
      <c r="Q106" s="532">
        <f t="shared" ref="Q106" si="646">Q104/Q105-1</f>
        <v>0</v>
      </c>
      <c r="R106" s="532">
        <f t="shared" ref="R106" si="647">R104/R105-1</f>
        <v>0</v>
      </c>
      <c r="S106" s="532">
        <f t="shared" ref="S106" si="648">S104/S105-1</f>
        <v>0</v>
      </c>
      <c r="T106" s="532">
        <f t="shared" ref="T106" si="649">T104/T105-1</f>
        <v>0</v>
      </c>
      <c r="U106" s="532">
        <f t="shared" ref="U106" si="650">U104/U105-1</f>
        <v>0</v>
      </c>
      <c r="V106" s="554">
        <f t="shared" ref="V106" si="651">V104/V105-1</f>
        <v>0</v>
      </c>
      <c r="W106" s="532">
        <f t="shared" ref="W106" si="652">W104/W105-1</f>
        <v>0</v>
      </c>
      <c r="X106" s="532">
        <f t="shared" ref="X106" si="653">X104/X105-1</f>
        <v>0</v>
      </c>
      <c r="Y106" s="532">
        <f t="shared" ref="Y106" si="654">Y104/Y105-1</f>
        <v>0</v>
      </c>
      <c r="Z106" s="532">
        <f t="shared" ref="Z106" si="655">Z104/Z105-1</f>
        <v>0</v>
      </c>
      <c r="AA106" s="532">
        <f t="shared" ref="AA106" si="656">AA104/AA105-1</f>
        <v>0</v>
      </c>
      <c r="AB106" s="532">
        <f t="shared" ref="AB106" si="657">AB104/AB105-1</f>
        <v>0</v>
      </c>
      <c r="AC106" s="532">
        <f t="shared" ref="AC106" si="658">AC104/AC105-1</f>
        <v>0</v>
      </c>
      <c r="AD106" s="532">
        <f t="shared" ref="AD106" si="659">AD104/AD105-1</f>
        <v>0</v>
      </c>
      <c r="AE106" s="532">
        <f t="shared" ref="AE106" si="660">AE104/AE105-1</f>
        <v>0</v>
      </c>
      <c r="AF106" s="532"/>
      <c r="AG106" s="532">
        <f t="shared" ref="AG106" si="661">AG104/AG105-1</f>
        <v>0</v>
      </c>
      <c r="AH106" s="532">
        <f t="shared" ref="AH106" si="662">AH104/AH105-1</f>
        <v>0</v>
      </c>
      <c r="AI106" s="532">
        <f t="shared" ref="AI106" si="663">AI104/AI105-1</f>
        <v>0</v>
      </c>
      <c r="AJ106" s="532">
        <f t="shared" ref="AJ106" si="664">AJ104/AJ105-1</f>
        <v>0</v>
      </c>
      <c r="AK106" s="532">
        <f t="shared" ref="AK106" si="665">AK104/AK105-1</f>
        <v>0</v>
      </c>
      <c r="AL106" s="532">
        <f t="shared" ref="AL106" si="666">AL104/AL105-1</f>
        <v>0</v>
      </c>
      <c r="AM106" s="532">
        <f t="shared" ref="AM106" si="667">AM104/AM105-1</f>
        <v>0</v>
      </c>
      <c r="AN106" s="532">
        <f t="shared" ref="AN106" si="668">AN104/AN105-1</f>
        <v>0</v>
      </c>
      <c r="AO106" s="554">
        <f t="shared" ref="AO106" si="669">AO104/AO105-1</f>
        <v>0</v>
      </c>
      <c r="AP106" s="532">
        <f t="shared" ref="AP106" si="670">AP104/AP105-1</f>
        <v>0</v>
      </c>
      <c r="AQ106" s="532">
        <f t="shared" ref="AQ106" si="671">AQ104/AQ105-1</f>
        <v>0</v>
      </c>
      <c r="AR106" s="532">
        <f t="shared" ref="AR106" si="672">AR104/AR105-1</f>
        <v>0</v>
      </c>
      <c r="AS106" s="532">
        <f t="shared" ref="AS106" si="673">AS104/AS105-1</f>
        <v>0</v>
      </c>
      <c r="AT106" s="532">
        <f t="shared" ref="AT106" si="674">AT104/AT105-1</f>
        <v>0</v>
      </c>
    </row>
    <row r="107" spans="2:46">
      <c r="C107" s="522" t="s">
        <v>1880</v>
      </c>
      <c r="D107" s="531">
        <f>D104-D105</f>
        <v>0</v>
      </c>
      <c r="E107" s="531">
        <f t="shared" ref="E107:AE107" si="675">E104-E105</f>
        <v>0</v>
      </c>
      <c r="F107" s="531">
        <f t="shared" si="675"/>
        <v>0</v>
      </c>
      <c r="G107" s="531">
        <f t="shared" si="675"/>
        <v>0</v>
      </c>
      <c r="H107" s="531">
        <f t="shared" si="675"/>
        <v>0</v>
      </c>
      <c r="I107" s="531">
        <f t="shared" si="675"/>
        <v>0</v>
      </c>
      <c r="J107" s="531">
        <f t="shared" si="675"/>
        <v>0</v>
      </c>
      <c r="K107" s="531">
        <f t="shared" si="675"/>
        <v>0</v>
      </c>
      <c r="L107" s="531">
        <f t="shared" si="675"/>
        <v>0</v>
      </c>
      <c r="M107" s="531">
        <f t="shared" si="675"/>
        <v>0</v>
      </c>
      <c r="N107" s="531">
        <f t="shared" si="675"/>
        <v>0</v>
      </c>
      <c r="O107" s="531">
        <f t="shared" si="675"/>
        <v>0</v>
      </c>
      <c r="P107" s="531">
        <f t="shared" si="675"/>
        <v>0</v>
      </c>
      <c r="Q107" s="531">
        <f t="shared" si="675"/>
        <v>0</v>
      </c>
      <c r="R107" s="531">
        <f t="shared" si="675"/>
        <v>0</v>
      </c>
      <c r="S107" s="531">
        <f t="shared" si="675"/>
        <v>0</v>
      </c>
      <c r="T107" s="531">
        <f t="shared" si="675"/>
        <v>0</v>
      </c>
      <c r="U107" s="531">
        <f t="shared" si="675"/>
        <v>0</v>
      </c>
      <c r="V107" s="551">
        <f t="shared" si="675"/>
        <v>0</v>
      </c>
      <c r="W107" s="531">
        <f>W104-W105</f>
        <v>0</v>
      </c>
      <c r="X107" s="531">
        <f>X104-X105</f>
        <v>0</v>
      </c>
      <c r="Y107" s="531">
        <f>Y104-Y105</f>
        <v>0</v>
      </c>
      <c r="Z107" s="531">
        <f>Z104-Z105</f>
        <v>0</v>
      </c>
      <c r="AA107" s="531">
        <f t="shared" si="675"/>
        <v>0</v>
      </c>
      <c r="AB107" s="531">
        <f t="shared" si="675"/>
        <v>0</v>
      </c>
      <c r="AC107" s="531">
        <f t="shared" si="675"/>
        <v>0</v>
      </c>
      <c r="AD107" s="531">
        <f t="shared" si="675"/>
        <v>0</v>
      </c>
      <c r="AE107" s="531">
        <f t="shared" si="675"/>
        <v>0</v>
      </c>
      <c r="AF107" s="531"/>
      <c r="AG107" s="531">
        <f t="shared" ref="AG107:AT107" si="676">AG104-AG105</f>
        <v>0</v>
      </c>
      <c r="AH107" s="531">
        <f t="shared" si="676"/>
        <v>0</v>
      </c>
      <c r="AI107" s="531">
        <f t="shared" si="676"/>
        <v>0</v>
      </c>
      <c r="AJ107" s="531">
        <f t="shared" si="676"/>
        <v>0</v>
      </c>
      <c r="AK107" s="531">
        <f t="shared" si="676"/>
        <v>0</v>
      </c>
      <c r="AL107" s="531">
        <f t="shared" si="676"/>
        <v>0</v>
      </c>
      <c r="AM107" s="531">
        <f t="shared" si="676"/>
        <v>0</v>
      </c>
      <c r="AN107" s="531">
        <f t="shared" si="676"/>
        <v>0</v>
      </c>
      <c r="AO107" s="551">
        <f t="shared" si="676"/>
        <v>0</v>
      </c>
      <c r="AP107" s="531">
        <f t="shared" si="676"/>
        <v>0</v>
      </c>
      <c r="AQ107" s="531">
        <f t="shared" si="676"/>
        <v>0</v>
      </c>
      <c r="AR107" s="531">
        <f t="shared" si="676"/>
        <v>0</v>
      </c>
      <c r="AS107" s="531">
        <f t="shared" si="676"/>
        <v>0</v>
      </c>
      <c r="AT107" s="531">
        <f t="shared" si="676"/>
        <v>0</v>
      </c>
    </row>
    <row r="108" spans="2:46">
      <c r="C108" s="522"/>
      <c r="F108" s="531"/>
      <c r="G108" s="531"/>
      <c r="V108" s="550"/>
      <c r="AO108" s="550"/>
    </row>
    <row r="109" spans="2:46">
      <c r="B109" s="524" t="s">
        <v>1898</v>
      </c>
      <c r="C109" s="522"/>
      <c r="F109" s="531"/>
      <c r="G109" s="531"/>
      <c r="V109" s="550"/>
      <c r="AO109" s="550"/>
    </row>
    <row r="110" spans="2:46">
      <c r="B110" t="s">
        <v>1899</v>
      </c>
      <c r="C110" s="521" t="s">
        <v>1877</v>
      </c>
      <c r="F110" s="531"/>
      <c r="G110" s="531"/>
      <c r="Q110" s="533">
        <f t="shared" ref="Q110:AE110" si="677">Q169</f>
        <v>0.10672718585762071</v>
      </c>
      <c r="R110" s="533">
        <f t="shared" si="677"/>
        <v>8.2977335164835145E-2</v>
      </c>
      <c r="S110" s="533">
        <f t="shared" si="677"/>
        <v>0.1229865220249835</v>
      </c>
      <c r="T110" s="533">
        <f t="shared" si="677"/>
        <v>0.15211486626580967</v>
      </c>
      <c r="U110" s="533">
        <f t="shared" si="677"/>
        <v>0.20091408591408599</v>
      </c>
      <c r="V110" s="555">
        <f t="shared" si="677"/>
        <v>0.28805771774521766</v>
      </c>
      <c r="W110" s="533">
        <f t="shared" si="677"/>
        <v>0.5384763936246717</v>
      </c>
      <c r="X110" s="533">
        <f t="shared" si="677"/>
        <v>0.44266321363167338</v>
      </c>
      <c r="Y110" s="533">
        <f t="shared" si="677"/>
        <v>0.45569425082021003</v>
      </c>
      <c r="Z110" s="533">
        <f t="shared" si="677"/>
        <v>0.43037402943453806</v>
      </c>
      <c r="AA110" s="533">
        <f t="shared" si="677"/>
        <v>0.45298844575527103</v>
      </c>
      <c r="AB110" s="533">
        <f t="shared" si="677"/>
        <v>0.42507660734002273</v>
      </c>
      <c r="AC110" s="533">
        <f t="shared" si="677"/>
        <v>0.44528645377331338</v>
      </c>
      <c r="AD110" s="533">
        <f t="shared" si="677"/>
        <v>0.41162557891139351</v>
      </c>
      <c r="AE110" s="533">
        <f t="shared" si="677"/>
        <v>0.42382441207130994</v>
      </c>
      <c r="AF110" s="533"/>
      <c r="AG110" s="533"/>
      <c r="AH110" s="533"/>
      <c r="AI110" s="533"/>
      <c r="AJ110" s="533"/>
      <c r="AK110" s="533"/>
      <c r="AL110" s="533"/>
      <c r="AM110" s="533"/>
      <c r="AN110" s="533">
        <f t="shared" ref="AN110:AT110" si="678">AN169</f>
        <v>0.10743362831858404</v>
      </c>
      <c r="AO110" s="555">
        <f t="shared" si="678"/>
        <v>0.16719298245614039</v>
      </c>
      <c r="AP110" s="533">
        <f t="shared" si="678"/>
        <v>0.42081784127239485</v>
      </c>
      <c r="AQ110" s="533">
        <f t="shared" si="678"/>
        <v>0.44836656477785103</v>
      </c>
      <c r="AR110" s="533">
        <f t="shared" si="678"/>
        <v>0.44087396943150353</v>
      </c>
      <c r="AS110" s="533">
        <f t="shared" si="678"/>
        <v>0.43410662259857619</v>
      </c>
      <c r="AT110" s="533">
        <f t="shared" si="678"/>
        <v>0.41654584617943224</v>
      </c>
    </row>
    <row r="111" spans="2:46">
      <c r="C111" s="521" t="s">
        <v>1878</v>
      </c>
      <c r="F111" s="531"/>
      <c r="G111" s="531"/>
      <c r="Q111" s="533">
        <f>Q216</f>
        <v>0.10672718585762071</v>
      </c>
      <c r="R111" s="533">
        <f t="shared" ref="R111:AT111" si="679">R216</f>
        <v>8.2977335164835145E-2</v>
      </c>
      <c r="S111" s="533">
        <f t="shared" si="679"/>
        <v>0.1229865220249835</v>
      </c>
      <c r="T111" s="533">
        <f t="shared" si="679"/>
        <v>0.15211486626580967</v>
      </c>
      <c r="U111" s="533">
        <f t="shared" si="679"/>
        <v>0.20091408591408599</v>
      </c>
      <c r="V111" s="555">
        <f t="shared" si="679"/>
        <v>0.14494742309549655</v>
      </c>
      <c r="W111" s="533">
        <f t="shared" si="679"/>
        <v>0.20379535076354538</v>
      </c>
      <c r="X111" s="533">
        <f t="shared" si="679"/>
        <v>0.15023036102885995</v>
      </c>
      <c r="Y111" s="533">
        <f t="shared" si="679"/>
        <v>0.19708708286640769</v>
      </c>
      <c r="Z111" s="533">
        <f t="shared" si="679"/>
        <v>0.17178443991300679</v>
      </c>
      <c r="AA111" s="533">
        <f t="shared" si="679"/>
        <v>0.20557765469104397</v>
      </c>
      <c r="AB111" s="533">
        <f t="shared" si="679"/>
        <v>0.17933520755293547</v>
      </c>
      <c r="AC111" s="533">
        <f t="shared" si="679"/>
        <v>0.20938088585660503</v>
      </c>
      <c r="AD111" s="533">
        <f t="shared" si="679"/>
        <v>0.19128111403537895</v>
      </c>
      <c r="AE111" s="533">
        <f t="shared" si="679"/>
        <v>0.21437561814791972</v>
      </c>
      <c r="AF111" s="533"/>
      <c r="AG111" s="533"/>
      <c r="AH111" s="533"/>
      <c r="AI111" s="533"/>
      <c r="AJ111" s="533"/>
      <c r="AK111" s="533"/>
      <c r="AL111" s="533"/>
      <c r="AM111" s="533"/>
      <c r="AN111" s="533">
        <f t="shared" si="679"/>
        <v>0.10743362831858404</v>
      </c>
      <c r="AO111" s="555">
        <f t="shared" si="679"/>
        <v>0.16719298245614039</v>
      </c>
      <c r="AP111" s="533">
        <f t="shared" si="679"/>
        <v>0.17273966692290521</v>
      </c>
      <c r="AQ111" s="533">
        <f t="shared" si="679"/>
        <v>0.17331659015380307</v>
      </c>
      <c r="AR111" s="533">
        <f t="shared" si="679"/>
        <v>0.18822511044540349</v>
      </c>
      <c r="AS111" s="533">
        <f t="shared" si="679"/>
        <v>0.19390324571245793</v>
      </c>
      <c r="AT111" s="533">
        <f t="shared" si="679"/>
        <v>0.20224755676911471</v>
      </c>
    </row>
    <row r="112" spans="2:46">
      <c r="C112" s="522" t="s">
        <v>1879</v>
      </c>
      <c r="F112" s="531"/>
      <c r="G112" s="531"/>
      <c r="Q112" s="536">
        <f>(Q110-Q111)*10000</f>
        <v>0</v>
      </c>
      <c r="R112" s="536">
        <f t="shared" ref="R112:AE112" si="680">(R110-R111)*10000</f>
        <v>0</v>
      </c>
      <c r="S112" s="536">
        <f t="shared" si="680"/>
        <v>0</v>
      </c>
      <c r="T112" s="536">
        <f t="shared" si="680"/>
        <v>0</v>
      </c>
      <c r="U112" s="536">
        <f t="shared" si="680"/>
        <v>0</v>
      </c>
      <c r="V112" s="556">
        <f t="shared" si="680"/>
        <v>1431.1029464972112</v>
      </c>
      <c r="W112" s="536">
        <f t="shared" si="680"/>
        <v>3346.8104286112634</v>
      </c>
      <c r="X112" s="536">
        <f t="shared" si="680"/>
        <v>2924.3285260281341</v>
      </c>
      <c r="Y112" s="536">
        <f t="shared" si="680"/>
        <v>2586.0716795380235</v>
      </c>
      <c r="Z112" s="536">
        <f t="shared" si="680"/>
        <v>2585.8958952153125</v>
      </c>
      <c r="AA112" s="536">
        <f t="shared" si="680"/>
        <v>2474.1079106422708</v>
      </c>
      <c r="AB112" s="536">
        <f t="shared" si="680"/>
        <v>2457.4139978708727</v>
      </c>
      <c r="AC112" s="536">
        <f t="shared" si="680"/>
        <v>2359.0556791670838</v>
      </c>
      <c r="AD112" s="536">
        <f t="shared" si="680"/>
        <v>2203.4446487601454</v>
      </c>
      <c r="AE112" s="536">
        <f t="shared" si="680"/>
        <v>2094.4879392339021</v>
      </c>
      <c r="AN112" s="536">
        <f>(AN110-AN111)*10000</f>
        <v>0</v>
      </c>
      <c r="AO112" s="556">
        <f t="shared" ref="AO112:AT112" si="681">(AO110-AO111)*10000</f>
        <v>0</v>
      </c>
      <c r="AP112" s="536">
        <f t="shared" si="681"/>
        <v>2480.7817434948965</v>
      </c>
      <c r="AQ112" s="536">
        <f t="shared" si="681"/>
        <v>2750.4997462404795</v>
      </c>
      <c r="AR112" s="536">
        <f t="shared" si="681"/>
        <v>2526.488589861</v>
      </c>
      <c r="AS112" s="536">
        <f t="shared" si="681"/>
        <v>2402.0337688611826</v>
      </c>
      <c r="AT112" s="536">
        <f t="shared" si="681"/>
        <v>2142.9828941031751</v>
      </c>
    </row>
    <row r="113" spans="2:46">
      <c r="C113" s="522" t="s">
        <v>1880</v>
      </c>
      <c r="F113" s="531"/>
      <c r="G113" s="531"/>
      <c r="V113" s="550"/>
      <c r="AO113" s="550"/>
    </row>
    <row r="114" spans="2:46">
      <c r="C114" s="522"/>
      <c r="F114" s="531"/>
      <c r="G114" s="531"/>
      <c r="V114" s="550"/>
      <c r="AO114" s="550"/>
    </row>
    <row r="115" spans="2:46">
      <c r="B115" t="s">
        <v>1900</v>
      </c>
      <c r="C115" s="521" t="s">
        <v>1877</v>
      </c>
      <c r="F115" s="531"/>
      <c r="G115" s="531"/>
      <c r="Q115" s="533">
        <f t="shared" ref="Q115:AE115" si="682">Q170</f>
        <v>0.14401360544217681</v>
      </c>
      <c r="R115" s="533">
        <f t="shared" si="682"/>
        <v>0.14038461538461539</v>
      </c>
      <c r="S115" s="533">
        <f t="shared" si="682"/>
        <v>0.13061872909698999</v>
      </c>
      <c r="T115" s="533">
        <f t="shared" si="682"/>
        <v>0.13035714285714289</v>
      </c>
      <c r="U115" s="533">
        <f t="shared" si="682"/>
        <v>0.13320075446941121</v>
      </c>
      <c r="V115" s="555">
        <f t="shared" si="682"/>
        <v>0.13537087912087914</v>
      </c>
      <c r="W115" s="533">
        <f t="shared" si="682"/>
        <v>0.1168647029104344</v>
      </c>
      <c r="X115" s="533">
        <f t="shared" si="682"/>
        <v>0.119132560166215</v>
      </c>
      <c r="Y115" s="533">
        <f t="shared" si="682"/>
        <v>0.11993080585599529</v>
      </c>
      <c r="Z115" s="533">
        <f t="shared" si="682"/>
        <v>0.12202139839078462</v>
      </c>
      <c r="AA115" s="533">
        <f t="shared" si="682"/>
        <v>0.12199238738470763</v>
      </c>
      <c r="AB115" s="533">
        <f t="shared" si="682"/>
        <v>0.12094445648486583</v>
      </c>
      <c r="AC115" s="533">
        <f t="shared" si="682"/>
        <v>0.1196630879982212</v>
      </c>
      <c r="AD115" s="533">
        <f t="shared" si="682"/>
        <v>0.11938438680107126</v>
      </c>
      <c r="AE115" s="533">
        <f t="shared" si="682"/>
        <v>0.11806291294534074</v>
      </c>
      <c r="AF115" s="533"/>
      <c r="AG115" s="533"/>
      <c r="AH115" s="533"/>
      <c r="AI115" s="533"/>
      <c r="AJ115" s="533"/>
      <c r="AK115" s="533"/>
      <c r="AL115" s="533"/>
      <c r="AM115" s="533"/>
      <c r="AN115" s="533">
        <f t="shared" ref="AN115:AT115" si="683">AN170</f>
        <v>0.13500000000000001</v>
      </c>
      <c r="AO115" s="555">
        <f t="shared" si="683"/>
        <v>0.13250000000000001</v>
      </c>
      <c r="AP115" s="533">
        <f t="shared" si="683"/>
        <v>0.12609569587509828</v>
      </c>
      <c r="AQ115" s="533">
        <f t="shared" si="683"/>
        <v>0.11923125176951511</v>
      </c>
      <c r="AR115" s="533">
        <f t="shared" si="683"/>
        <v>0.12169918614591087</v>
      </c>
      <c r="AS115" s="533">
        <f t="shared" si="683"/>
        <v>0.11992729884868081</v>
      </c>
      <c r="AT115" s="533">
        <f t="shared" si="683"/>
        <v>0.11832114281625844</v>
      </c>
    </row>
    <row r="116" spans="2:46">
      <c r="C116" s="521" t="s">
        <v>1878</v>
      </c>
      <c r="F116" s="531"/>
      <c r="G116" s="531"/>
      <c r="Q116" s="533">
        <f t="shared" ref="Q116:AE116" si="684">Q217</f>
        <v>0.14401360544217681</v>
      </c>
      <c r="R116" s="533">
        <f t="shared" si="684"/>
        <v>0.14038461538461539</v>
      </c>
      <c r="S116" s="533">
        <f t="shared" si="684"/>
        <v>0.13061872909698999</v>
      </c>
      <c r="T116" s="533">
        <f t="shared" si="684"/>
        <v>0.13035714285714289</v>
      </c>
      <c r="U116" s="533">
        <f t="shared" si="684"/>
        <v>0.13320075446941121</v>
      </c>
      <c r="V116" s="555">
        <f t="shared" si="684"/>
        <v>0.13887219034508624</v>
      </c>
      <c r="W116" s="533">
        <f t="shared" si="684"/>
        <v>0.13862818823458362</v>
      </c>
      <c r="X116" s="533">
        <f t="shared" si="684"/>
        <v>0.13756822017356365</v>
      </c>
      <c r="Y116" s="533">
        <f t="shared" si="684"/>
        <v>0.13701831009474635</v>
      </c>
      <c r="Z116" s="533">
        <f t="shared" si="684"/>
        <v>0.1371477021941967</v>
      </c>
      <c r="AA116" s="533">
        <f t="shared" si="684"/>
        <v>0.13614436068759023</v>
      </c>
      <c r="AB116" s="533">
        <f t="shared" si="684"/>
        <v>0.13546027248520129</v>
      </c>
      <c r="AC116" s="533">
        <f t="shared" si="684"/>
        <v>0.1340064562646977</v>
      </c>
      <c r="AD116" s="533">
        <f t="shared" si="684"/>
        <v>0.13456995621083101</v>
      </c>
      <c r="AE116" s="533">
        <f t="shared" si="684"/>
        <v>0.13170699870877464</v>
      </c>
      <c r="AF116" s="533"/>
      <c r="AG116" s="533"/>
      <c r="AH116" s="533"/>
      <c r="AI116" s="533"/>
      <c r="AJ116" s="533"/>
      <c r="AK116" s="533"/>
      <c r="AL116" s="533"/>
      <c r="AM116" s="533"/>
      <c r="AN116" s="533">
        <f t="shared" ref="AN116:AT116" si="685">AN217</f>
        <v>0.13500000000000001</v>
      </c>
      <c r="AO116" s="555">
        <f t="shared" si="685"/>
        <v>0.13250000000000001</v>
      </c>
      <c r="AP116" s="533">
        <f t="shared" si="685"/>
        <v>0.13819023028306684</v>
      </c>
      <c r="AQ116" s="533">
        <f t="shared" si="685"/>
        <v>0.13681611482245301</v>
      </c>
      <c r="AR116" s="533">
        <f t="shared" si="685"/>
        <v>0.13620609224349686</v>
      </c>
      <c r="AS116" s="533">
        <f t="shared" si="685"/>
        <v>0.13431317262841005</v>
      </c>
      <c r="AT116" s="533">
        <f t="shared" si="685"/>
        <v>0.13269142887410543</v>
      </c>
    </row>
    <row r="117" spans="2:46">
      <c r="C117" s="522" t="s">
        <v>1905</v>
      </c>
      <c r="Q117" s="536">
        <f>(Q115-Q116)*10000</f>
        <v>0</v>
      </c>
      <c r="R117" s="536">
        <f t="shared" ref="R117:AE117" si="686">(R115-R116)*10000</f>
        <v>0</v>
      </c>
      <c r="S117" s="536">
        <f t="shared" si="686"/>
        <v>0</v>
      </c>
      <c r="T117" s="536">
        <f t="shared" si="686"/>
        <v>0</v>
      </c>
      <c r="U117" s="536">
        <f t="shared" si="686"/>
        <v>0</v>
      </c>
      <c r="V117" s="556">
        <f t="shared" si="686"/>
        <v>-35.013112242071045</v>
      </c>
      <c r="W117" s="536">
        <f t="shared" si="686"/>
        <v>-217.63485324149221</v>
      </c>
      <c r="X117" s="536">
        <f t="shared" si="686"/>
        <v>-184.35660007348656</v>
      </c>
      <c r="Y117" s="536">
        <f t="shared" si="686"/>
        <v>-170.87504238751063</v>
      </c>
      <c r="Z117" s="536">
        <f t="shared" si="686"/>
        <v>-151.2630380341208</v>
      </c>
      <c r="AA117" s="536">
        <f t="shared" si="686"/>
        <v>-141.51973302882593</v>
      </c>
      <c r="AB117" s="536">
        <f t="shared" si="686"/>
        <v>-145.15816000335454</v>
      </c>
      <c r="AC117" s="536">
        <f t="shared" si="686"/>
        <v>-143.43368266476503</v>
      </c>
      <c r="AD117" s="536">
        <f t="shared" si="686"/>
        <v>-151.85569409759751</v>
      </c>
      <c r="AE117" s="536">
        <f t="shared" si="686"/>
        <v>-136.44085763433901</v>
      </c>
      <c r="AN117" s="536">
        <f>(AN115-AN116)*10000</f>
        <v>0</v>
      </c>
      <c r="AO117" s="556">
        <f t="shared" ref="AO117" si="687">(AO115-AO116)*10000</f>
        <v>0</v>
      </c>
      <c r="AP117" s="536">
        <f t="shared" ref="AP117" si="688">(AP115-AP116)*10000</f>
        <v>-120.94534407968565</v>
      </c>
      <c r="AQ117" s="536">
        <f t="shared" ref="AQ117" si="689">(AQ115-AQ116)*10000</f>
        <v>-175.84863052937897</v>
      </c>
      <c r="AR117" s="536">
        <f t="shared" ref="AR117" si="690">(AR115-AR116)*10000</f>
        <v>-145.06906097585994</v>
      </c>
      <c r="AS117" s="536">
        <f t="shared" ref="AS117" si="691">(AS115-AS116)*10000</f>
        <v>-143.85873779729246</v>
      </c>
      <c r="AT117" s="536">
        <f t="shared" ref="AT117" si="692">(AT115-AT116)*10000</f>
        <v>-143.70286057846988</v>
      </c>
    </row>
    <row r="118" spans="2:46">
      <c r="C118" s="522"/>
      <c r="V118" s="550"/>
      <c r="AO118" s="550"/>
    </row>
    <row r="119" spans="2:46">
      <c r="B119" t="s">
        <v>1901</v>
      </c>
      <c r="C119" s="521" t="s">
        <v>1877</v>
      </c>
      <c r="Q119" s="533">
        <f t="shared" ref="Q119:AE119" si="693">Q171</f>
        <v>0.53493147477522496</v>
      </c>
      <c r="R119" s="533">
        <f t="shared" si="693"/>
        <v>0.14697181143324758</v>
      </c>
      <c r="S119" s="533">
        <f t="shared" si="693"/>
        <v>0.22188394288003657</v>
      </c>
      <c r="T119" s="533">
        <f t="shared" si="693"/>
        <v>0.14657504485310607</v>
      </c>
      <c r="U119" s="533">
        <f t="shared" si="693"/>
        <v>0.15171373098055785</v>
      </c>
      <c r="V119" s="555">
        <f t="shared" si="693"/>
        <v>0.10878017072213497</v>
      </c>
      <c r="W119" s="533">
        <f t="shared" si="693"/>
        <v>0.19316842728913969</v>
      </c>
      <c r="X119" s="533">
        <f t="shared" si="693"/>
        <v>0.13283696847897966</v>
      </c>
      <c r="Y119" s="533">
        <f t="shared" si="693"/>
        <v>0.15657054696439893</v>
      </c>
      <c r="Z119" s="533">
        <f t="shared" si="693"/>
        <v>0.13304249682248598</v>
      </c>
      <c r="AA119" s="533">
        <f t="shared" si="693"/>
        <v>0.17151147380485587</v>
      </c>
      <c r="AB119" s="533">
        <f t="shared" si="693"/>
        <v>0.14064301251186978</v>
      </c>
      <c r="AC119" s="533">
        <f t="shared" si="693"/>
        <v>0.1822064642917291</v>
      </c>
      <c r="AD119" s="533">
        <f t="shared" si="693"/>
        <v>0.15588196764663312</v>
      </c>
      <c r="AE119" s="533">
        <f t="shared" si="693"/>
        <v>0.19081601196467374</v>
      </c>
      <c r="AF119" s="533"/>
      <c r="AG119" s="533"/>
      <c r="AH119" s="533"/>
      <c r="AI119" s="533"/>
      <c r="AJ119" s="533"/>
      <c r="AK119" s="533"/>
      <c r="AL119" s="533"/>
      <c r="AM119" s="533"/>
      <c r="AN119" s="533">
        <f t="shared" ref="AN119:AT119" si="694">AN171</f>
        <v>0.18239583333333331</v>
      </c>
      <c r="AO119" s="555">
        <f t="shared" si="694"/>
        <v>0.14451923076923076</v>
      </c>
      <c r="AP119" s="533">
        <f t="shared" si="694"/>
        <v>0.15163791317414971</v>
      </c>
      <c r="AQ119" s="533">
        <f t="shared" si="694"/>
        <v>0.14459751759216932</v>
      </c>
      <c r="AR119" s="533">
        <f t="shared" si="694"/>
        <v>0.15211000332309332</v>
      </c>
      <c r="AS119" s="533">
        <f t="shared" si="694"/>
        <v>0.16110132521141618</v>
      </c>
      <c r="AT119" s="533">
        <f t="shared" si="694"/>
        <v>0.17292572739838888</v>
      </c>
    </row>
    <row r="120" spans="2:46">
      <c r="C120" s="521" t="s">
        <v>1878</v>
      </c>
      <c r="Q120" s="533">
        <f t="shared" ref="Q120:AE120" si="695">Q218</f>
        <v>0.53493147477522496</v>
      </c>
      <c r="R120" s="533">
        <f t="shared" si="695"/>
        <v>0.14697181143324758</v>
      </c>
      <c r="S120" s="533">
        <f t="shared" si="695"/>
        <v>0.22188394288003657</v>
      </c>
      <c r="T120" s="533">
        <f t="shared" si="695"/>
        <v>0.14657504485310607</v>
      </c>
      <c r="U120" s="533">
        <f t="shared" si="695"/>
        <v>0.15171373098055785</v>
      </c>
      <c r="V120" s="555">
        <f t="shared" si="695"/>
        <v>0.14439808186276379</v>
      </c>
      <c r="W120" s="533">
        <f t="shared" si="695"/>
        <v>0.16061672744133743</v>
      </c>
      <c r="X120" s="533">
        <f t="shared" si="695"/>
        <v>0.12915505637627334</v>
      </c>
      <c r="Y120" s="533">
        <f t="shared" si="695"/>
        <v>0.15397516284806545</v>
      </c>
      <c r="Z120" s="533">
        <f t="shared" si="695"/>
        <v>0.12934276912255113</v>
      </c>
      <c r="AA120" s="533">
        <f t="shared" si="695"/>
        <v>0.16129290437772145</v>
      </c>
      <c r="AB120" s="533">
        <f t="shared" si="695"/>
        <v>0.13953022184532074</v>
      </c>
      <c r="AC120" s="533">
        <f t="shared" si="695"/>
        <v>0.17370993528463366</v>
      </c>
      <c r="AD120" s="533">
        <f t="shared" si="695"/>
        <v>0.15249728891878883</v>
      </c>
      <c r="AE120" s="533">
        <f t="shared" si="695"/>
        <v>0.18889930815483058</v>
      </c>
      <c r="AF120" s="533"/>
      <c r="AG120" s="533"/>
      <c r="AH120" s="533"/>
      <c r="AI120" s="533"/>
      <c r="AJ120" s="533"/>
      <c r="AK120" s="533"/>
      <c r="AL120" s="533"/>
      <c r="AM120" s="533"/>
      <c r="AN120" s="533">
        <f t="shared" ref="AN120:AT120" si="696">AN218</f>
        <v>0.18239583333333331</v>
      </c>
      <c r="AO120" s="555">
        <f t="shared" si="696"/>
        <v>0.14451923076923076</v>
      </c>
      <c r="AP120" s="533">
        <f t="shared" si="696"/>
        <v>0.15205274054544832</v>
      </c>
      <c r="AQ120" s="533">
        <f t="shared" si="696"/>
        <v>0.14129040315246891</v>
      </c>
      <c r="AR120" s="533">
        <f t="shared" si="696"/>
        <v>0.14503006995483728</v>
      </c>
      <c r="AS120" s="533">
        <f t="shared" si="696"/>
        <v>0.15631549924671997</v>
      </c>
      <c r="AT120" s="533">
        <f t="shared" si="696"/>
        <v>0.17025181915930104</v>
      </c>
    </row>
    <row r="121" spans="2:46">
      <c r="C121" s="522" t="s">
        <v>1879</v>
      </c>
      <c r="Q121" s="536">
        <f>(Q119-Q120)*10000</f>
        <v>0</v>
      </c>
      <c r="R121" s="536">
        <f t="shared" ref="R121" si="697">(R119-R120)*10000</f>
        <v>0</v>
      </c>
      <c r="S121" s="536">
        <f t="shared" ref="S121" si="698">(S119-S120)*10000</f>
        <v>0</v>
      </c>
      <c r="T121" s="536">
        <f t="shared" ref="T121" si="699">(T119-T120)*10000</f>
        <v>0</v>
      </c>
      <c r="U121" s="536">
        <f t="shared" ref="U121" si="700">(U119-U120)*10000</f>
        <v>0</v>
      </c>
      <c r="V121" s="556">
        <f t="shared" ref="V121" si="701">(V119-V120)*10000</f>
        <v>-356.17911140628814</v>
      </c>
      <c r="W121" s="536">
        <f t="shared" ref="W121" si="702">(W119-W120)*10000</f>
        <v>325.51699847802263</v>
      </c>
      <c r="X121" s="536">
        <f t="shared" ref="X121" si="703">(X119-X120)*10000</f>
        <v>36.819121027063254</v>
      </c>
      <c r="Y121" s="536">
        <f t="shared" ref="Y121" si="704">(Y119-Y120)*10000</f>
        <v>25.953841163334769</v>
      </c>
      <c r="Z121" s="536">
        <f t="shared" ref="Z121" si="705">(Z119-Z120)*10000</f>
        <v>36.997276999348458</v>
      </c>
      <c r="AA121" s="536">
        <f t="shared" ref="AA121" si="706">(AA119-AA120)*10000</f>
        <v>102.18569427134422</v>
      </c>
      <c r="AB121" s="536">
        <f t="shared" ref="AB121" si="707">(AB119-AB120)*10000</f>
        <v>11.127906665490405</v>
      </c>
      <c r="AC121" s="536">
        <f t="shared" ref="AC121" si="708">(AC119-AC120)*10000</f>
        <v>84.965290070954381</v>
      </c>
      <c r="AD121" s="536">
        <f t="shared" ref="AD121" si="709">(AD119-AD120)*10000</f>
        <v>33.846787278442868</v>
      </c>
      <c r="AE121" s="536">
        <f t="shared" ref="AE121" si="710">(AE119-AE120)*10000</f>
        <v>19.167038098431565</v>
      </c>
      <c r="AN121" s="536">
        <f>(AN119-AN120)*10000</f>
        <v>0</v>
      </c>
      <c r="AO121" s="556">
        <f t="shared" ref="AO121" si="711">(AO119-AO120)*10000</f>
        <v>0</v>
      </c>
      <c r="AP121" s="536">
        <f t="shared" ref="AP121" si="712">(AP119-AP120)*10000</f>
        <v>-4.1482737129860947</v>
      </c>
      <c r="AQ121" s="536">
        <f t="shared" ref="AQ121" si="713">(AQ119-AQ120)*10000</f>
        <v>33.071144397004147</v>
      </c>
      <c r="AR121" s="536">
        <f t="shared" ref="AR121" si="714">(AR119-AR120)*10000</f>
        <v>70.799333682560473</v>
      </c>
      <c r="AS121" s="536">
        <f t="shared" ref="AS121" si="715">(AS119-AS120)*10000</f>
        <v>47.858259646962054</v>
      </c>
      <c r="AT121" s="536">
        <f t="shared" ref="AT121" si="716">(AT119-AT120)*10000</f>
        <v>26.739082390878355</v>
      </c>
    </row>
    <row r="122" spans="2:46">
      <c r="C122" s="522"/>
      <c r="V122" s="550"/>
      <c r="AO122" s="550"/>
    </row>
    <row r="123" spans="2:46">
      <c r="B123" t="s">
        <v>1902</v>
      </c>
      <c r="C123" s="521" t="s">
        <v>1877</v>
      </c>
      <c r="Q123" s="533">
        <f t="shared" ref="Q123:AE123" si="717">Q172</f>
        <v>5.980239639878198E-2</v>
      </c>
      <c r="R123" s="533">
        <f t="shared" si="717"/>
        <v>9.5260989010989006E-2</v>
      </c>
      <c r="S123" s="533">
        <f t="shared" si="717"/>
        <v>0.12613766184310746</v>
      </c>
      <c r="T123" s="533">
        <f t="shared" si="717"/>
        <v>7.5206043956043966E-2</v>
      </c>
      <c r="U123" s="533">
        <f t="shared" si="717"/>
        <v>0.12900422989708704</v>
      </c>
      <c r="V123" s="555">
        <f t="shared" si="717"/>
        <v>0.14038461538461541</v>
      </c>
      <c r="W123" s="533">
        <f t="shared" si="717"/>
        <v>0.10827443435992029</v>
      </c>
      <c r="X123" s="533">
        <f t="shared" si="717"/>
        <v>0.11427799810754856</v>
      </c>
      <c r="Y123" s="533">
        <f t="shared" si="717"/>
        <v>0.1159487856576793</v>
      </c>
      <c r="Z123" s="533">
        <f t="shared" si="717"/>
        <v>0.12241086147436646</v>
      </c>
      <c r="AA123" s="533">
        <f t="shared" si="717"/>
        <v>0.12867488818987038</v>
      </c>
      <c r="AB123" s="533">
        <f t="shared" si="717"/>
        <v>0.13750229515893764</v>
      </c>
      <c r="AC123" s="533">
        <f t="shared" si="717"/>
        <v>0.14401034097047566</v>
      </c>
      <c r="AD123" s="533">
        <f t="shared" si="717"/>
        <v>0.152380671091014</v>
      </c>
      <c r="AE123" s="533">
        <f t="shared" si="717"/>
        <v>0.15779923358633088</v>
      </c>
      <c r="AF123" s="533"/>
      <c r="AG123" s="533"/>
      <c r="AH123" s="533"/>
      <c r="AI123" s="533"/>
      <c r="AJ123" s="533"/>
      <c r="AK123" s="533"/>
      <c r="AL123" s="533"/>
      <c r="AM123" s="533"/>
      <c r="AN123" s="533">
        <f t="shared" ref="AN123:AT123" si="718">AN172</f>
        <v>0.11020833333333338</v>
      </c>
      <c r="AO123" s="555">
        <f t="shared" si="718"/>
        <v>0.10316666666666667</v>
      </c>
      <c r="AP123" s="533">
        <f t="shared" si="718"/>
        <v>0.12140662474313413</v>
      </c>
      <c r="AQ123" s="533">
        <f t="shared" si="718"/>
        <v>0.11490386954354952</v>
      </c>
      <c r="AR123" s="533">
        <f t="shared" si="718"/>
        <v>0.12531793964757049</v>
      </c>
      <c r="AS123" s="533">
        <f t="shared" si="718"/>
        <v>0.14041285383438823</v>
      </c>
      <c r="AT123" s="533">
        <f t="shared" si="718"/>
        <v>0.15466286241064803</v>
      </c>
    </row>
    <row r="124" spans="2:46">
      <c r="C124" s="521" t="s">
        <v>1878</v>
      </c>
      <c r="Q124" s="533">
        <f t="shared" ref="Q124:AE124" si="719">Q219</f>
        <v>5.980239639878198E-2</v>
      </c>
      <c r="R124" s="533">
        <f t="shared" si="719"/>
        <v>9.5260989010989006E-2</v>
      </c>
      <c r="S124" s="533">
        <f t="shared" si="719"/>
        <v>0.12613766184310746</v>
      </c>
      <c r="T124" s="533">
        <f t="shared" si="719"/>
        <v>7.5206043956043966E-2</v>
      </c>
      <c r="U124" s="533">
        <f t="shared" si="719"/>
        <v>0.12900422989708704</v>
      </c>
      <c r="V124" s="555">
        <f t="shared" si="719"/>
        <v>8.8899758520192329E-2</v>
      </c>
      <c r="W124" s="533">
        <f t="shared" si="719"/>
        <v>0.11749501030781978</v>
      </c>
      <c r="X124" s="533">
        <f t="shared" si="719"/>
        <v>0.10219404134854744</v>
      </c>
      <c r="Y124" s="533">
        <f t="shared" si="719"/>
        <v>0.11850086779214287</v>
      </c>
      <c r="Z124" s="533">
        <f t="shared" si="719"/>
        <v>0.1031669401450737</v>
      </c>
      <c r="AA124" s="533">
        <f t="shared" si="719"/>
        <v>0.11898221164953177</v>
      </c>
      <c r="AB124" s="533">
        <f t="shared" si="719"/>
        <v>0.11539333494337638</v>
      </c>
      <c r="AC124" s="533">
        <f t="shared" si="719"/>
        <v>0.13314446721132581</v>
      </c>
      <c r="AD124" s="533">
        <f t="shared" si="719"/>
        <v>0.129023557871182</v>
      </c>
      <c r="AE124" s="533">
        <f t="shared" si="719"/>
        <v>0.14608709765853845</v>
      </c>
      <c r="AF124" s="533"/>
      <c r="AG124" s="533"/>
      <c r="AH124" s="533"/>
      <c r="AI124" s="533"/>
      <c r="AJ124" s="533"/>
      <c r="AK124" s="533"/>
      <c r="AL124" s="533"/>
      <c r="AM124" s="533"/>
      <c r="AN124" s="533">
        <f t="shared" ref="AN124:AT124" si="720">AN219</f>
        <v>0.11020833333333338</v>
      </c>
      <c r="AO124" s="555">
        <f t="shared" si="720"/>
        <v>0.10316666666666667</v>
      </c>
      <c r="AP124" s="533">
        <f t="shared" si="720"/>
        <v>0.10135495436509867</v>
      </c>
      <c r="AQ124" s="533">
        <f t="shared" si="720"/>
        <v>0.11013234719476039</v>
      </c>
      <c r="AR124" s="533">
        <f t="shared" si="720"/>
        <v>0.1108442825250535</v>
      </c>
      <c r="AS124" s="533">
        <f t="shared" si="720"/>
        <v>0.12402024400794322</v>
      </c>
      <c r="AT124" s="533">
        <f t="shared" si="720"/>
        <v>0.13720404727699573</v>
      </c>
    </row>
    <row r="125" spans="2:46">
      <c r="C125" s="522" t="s">
        <v>1879</v>
      </c>
      <c r="Q125" s="536">
        <f>(Q123-Q124)*10000</f>
        <v>0</v>
      </c>
      <c r="R125" s="536">
        <f t="shared" ref="R125" si="721">(R123-R124)*10000</f>
        <v>0</v>
      </c>
      <c r="S125" s="536">
        <f t="shared" ref="S125" si="722">(S123-S124)*10000</f>
        <v>0</v>
      </c>
      <c r="T125" s="536">
        <f t="shared" ref="T125" si="723">(T123-T124)*10000</f>
        <v>0</v>
      </c>
      <c r="U125" s="536">
        <f t="shared" ref="U125" si="724">(U123-U124)*10000</f>
        <v>0</v>
      </c>
      <c r="V125" s="556">
        <f t="shared" ref="V125" si="725">(V123-V124)*10000</f>
        <v>514.8485686442308</v>
      </c>
      <c r="W125" s="536">
        <f t="shared" ref="W125" si="726">(W123-W124)*10000</f>
        <v>-92.205759478994892</v>
      </c>
      <c r="X125" s="536">
        <f t="shared" ref="X125" si="727">(X123-X124)*10000</f>
        <v>120.83956759001119</v>
      </c>
      <c r="Y125" s="536">
        <f t="shared" ref="Y125" si="728">(Y123-Y124)*10000</f>
        <v>-25.520821344635763</v>
      </c>
      <c r="Z125" s="536">
        <f t="shared" ref="Z125" si="729">(Z123-Z124)*10000</f>
        <v>192.43921329292758</v>
      </c>
      <c r="AA125" s="536">
        <f t="shared" ref="AA125" si="730">(AA123-AA124)*10000</f>
        <v>96.926765403386185</v>
      </c>
      <c r="AB125" s="536">
        <f t="shared" ref="AB125" si="731">(AB123-AB124)*10000</f>
        <v>221.0896021556126</v>
      </c>
      <c r="AC125" s="536">
        <f t="shared" ref="AC125" si="732">(AC123-AC124)*10000</f>
        <v>108.65873759149852</v>
      </c>
      <c r="AD125" s="536">
        <f t="shared" ref="AD125" si="733">(AD123-AD124)*10000</f>
        <v>233.57113219831999</v>
      </c>
      <c r="AE125" s="536">
        <f t="shared" ref="AE125" si="734">(AE123-AE124)*10000</f>
        <v>117.12135927792438</v>
      </c>
      <c r="AN125" s="536">
        <f>(AN123-AN124)*10000</f>
        <v>0</v>
      </c>
      <c r="AO125" s="556">
        <f t="shared" ref="AO125" si="735">(AO123-AO124)*10000</f>
        <v>0</v>
      </c>
      <c r="AP125" s="536">
        <f t="shared" ref="AP125" si="736">(AP123-AP124)*10000</f>
        <v>200.51670378035459</v>
      </c>
      <c r="AQ125" s="536">
        <f t="shared" ref="AQ125" si="737">(AQ123-AQ124)*10000</f>
        <v>47.71522348789123</v>
      </c>
      <c r="AR125" s="536">
        <f t="shared" ref="AR125" si="738">(AR123-AR124)*10000</f>
        <v>144.73657122516983</v>
      </c>
      <c r="AS125" s="536">
        <f t="shared" ref="AS125" si="739">(AS123-AS124)*10000</f>
        <v>163.92609826445013</v>
      </c>
      <c r="AT125" s="536">
        <f t="shared" ref="AT125" si="740">(AT123-AT124)*10000</f>
        <v>174.588151336523</v>
      </c>
    </row>
    <row r="126" spans="2:46">
      <c r="C126" s="522"/>
      <c r="V126" s="550"/>
      <c r="AO126" s="550"/>
    </row>
    <row r="127" spans="2:46">
      <c r="B127" t="s">
        <v>1903</v>
      </c>
      <c r="C127" s="521" t="s">
        <v>1877</v>
      </c>
      <c r="Q127" s="533">
        <f t="shared" ref="Q127:AE127" si="741">Q173</f>
        <v>-6.696262994479027E-2</v>
      </c>
      <c r="R127" s="533">
        <f t="shared" si="741"/>
        <v>-3.0334324362997225E-2</v>
      </c>
      <c r="S127" s="533">
        <f t="shared" si="741"/>
        <v>-1.7654000928648147E-3</v>
      </c>
      <c r="T127" s="533">
        <f t="shared" si="741"/>
        <v>-4.1880445530700201E-2</v>
      </c>
      <c r="U127" s="533">
        <f t="shared" si="741"/>
        <v>-3.4595034595034595E-2</v>
      </c>
      <c r="V127" s="555">
        <f t="shared" si="741"/>
        <v>-0.28800597277574835</v>
      </c>
      <c r="W127" s="533">
        <f t="shared" si="741"/>
        <v>-0.14821101740440165</v>
      </c>
      <c r="X127" s="533">
        <f t="shared" si="741"/>
        <v>-3.2131917384589981E-2</v>
      </c>
      <c r="Y127" s="533">
        <f t="shared" si="741"/>
        <v>-9.5838440833217239E-3</v>
      </c>
      <c r="Z127" s="533">
        <f t="shared" si="741"/>
        <v>-3.5462241405825948E-2</v>
      </c>
      <c r="AA127" s="533">
        <f t="shared" si="741"/>
        <v>-8.3174614845269081E-3</v>
      </c>
      <c r="AB127" s="533">
        <f t="shared" si="741"/>
        <v>-4.8478289338487711E-2</v>
      </c>
      <c r="AC127" s="533">
        <f t="shared" si="741"/>
        <v>-2.9552320358176728E-2</v>
      </c>
      <c r="AD127" s="533">
        <f t="shared" si="741"/>
        <v>-6.2739907822895041E-2</v>
      </c>
      <c r="AE127" s="533">
        <f t="shared" si="741"/>
        <v>-4.6055953143674361E-2</v>
      </c>
      <c r="AF127" s="533"/>
      <c r="AG127" s="533"/>
      <c r="AH127" s="533"/>
      <c r="AI127" s="533"/>
      <c r="AJ127" s="533"/>
      <c r="AK127" s="533"/>
      <c r="AL127" s="533"/>
      <c r="AM127" s="533"/>
      <c r="AN127" s="533">
        <f t="shared" ref="AN127:AT127" si="742">AN173</f>
        <v>-1.5779864371413609E-2</v>
      </c>
      <c r="AO127" s="555">
        <f t="shared" si="742"/>
        <v>-3.5144039874968322E-2</v>
      </c>
      <c r="AP127" s="533">
        <f t="shared" si="742"/>
        <v>-0.18398028502023597</v>
      </c>
      <c r="AQ127" s="533">
        <f t="shared" si="742"/>
        <v>-2.0816435373673729E-2</v>
      </c>
      <c r="AR127" s="533">
        <f t="shared" si="742"/>
        <v>-2.0984898241399343E-2</v>
      </c>
      <c r="AS127" s="533">
        <f t="shared" si="742"/>
        <v>-3.7435958612221973E-2</v>
      </c>
      <c r="AT127" s="533">
        <f t="shared" si="742"/>
        <v>-5.3075759232639338E-2</v>
      </c>
    </row>
    <row r="128" spans="2:46">
      <c r="C128" s="521" t="s">
        <v>1878</v>
      </c>
      <c r="Q128" s="533">
        <f t="shared" ref="Q128:AE128" si="743">Q220</f>
        <v>-6.696262994479027E-2</v>
      </c>
      <c r="R128" s="533">
        <f t="shared" si="743"/>
        <v>-3.0334324362997225E-2</v>
      </c>
      <c r="S128" s="533">
        <f t="shared" si="743"/>
        <v>-1.7654000928648147E-3</v>
      </c>
      <c r="T128" s="533">
        <f t="shared" si="743"/>
        <v>-4.1880445530700201E-2</v>
      </c>
      <c r="U128" s="533">
        <f t="shared" si="743"/>
        <v>-3.4595034595034595E-2</v>
      </c>
      <c r="V128" s="555">
        <f t="shared" si="743"/>
        <v>-8.9094684020685169E-2</v>
      </c>
      <c r="W128" s="533">
        <f t="shared" si="743"/>
        <v>-3.1054057710758823E-2</v>
      </c>
      <c r="X128" s="533">
        <f t="shared" si="743"/>
        <v>-1.5334718272567428E-2</v>
      </c>
      <c r="Y128" s="533">
        <f t="shared" si="743"/>
        <v>-1.2243516715213069E-2</v>
      </c>
      <c r="Z128" s="533">
        <f t="shared" si="743"/>
        <v>-2.8893377025786003E-2</v>
      </c>
      <c r="AA128" s="533">
        <f t="shared" si="743"/>
        <v>-3.031143089102719E-2</v>
      </c>
      <c r="AB128" s="533">
        <f t="shared" si="743"/>
        <v>-4.2003557922451119E-2</v>
      </c>
      <c r="AC128" s="533">
        <f t="shared" si="743"/>
        <v>-4.9324231909689681E-2</v>
      </c>
      <c r="AD128" s="533">
        <f t="shared" si="743"/>
        <v>-5.9853185463176348E-2</v>
      </c>
      <c r="AE128" s="533">
        <f t="shared" si="743"/>
        <v>-6.6489160868043892E-2</v>
      </c>
      <c r="AF128" s="533"/>
      <c r="AG128" s="533"/>
      <c r="AH128" s="533"/>
      <c r="AI128" s="533"/>
      <c r="AJ128" s="533"/>
      <c r="AK128" s="533"/>
      <c r="AL128" s="533"/>
      <c r="AM128" s="533"/>
      <c r="AN128" s="533">
        <f t="shared" ref="AN128:AT128" si="744">AN220</f>
        <v>-1.5779864371413609E-2</v>
      </c>
      <c r="AO128" s="555">
        <f t="shared" si="744"/>
        <v>-3.5144039874968322E-2</v>
      </c>
      <c r="AP128" s="533">
        <f t="shared" si="744"/>
        <v>-5.8374532307882372E-2</v>
      </c>
      <c r="AQ128" s="533">
        <f t="shared" si="744"/>
        <v>-1.3307152280182854E-2</v>
      </c>
      <c r="AR128" s="533">
        <f t="shared" si="744"/>
        <v>-2.847074314988101E-2</v>
      </c>
      <c r="AS128" s="533">
        <f t="shared" si="744"/>
        <v>-4.4016769736599383E-2</v>
      </c>
      <c r="AT128" s="533">
        <f t="shared" si="744"/>
        <v>-6.1422347834925013E-2</v>
      </c>
    </row>
    <row r="129" spans="2:56">
      <c r="C129" s="522" t="s">
        <v>1879</v>
      </c>
      <c r="Q129" s="536">
        <f>(Q127-Q128)*10000</f>
        <v>0</v>
      </c>
      <c r="R129" s="536">
        <f t="shared" ref="R129" si="745">(R127-R128)*10000</f>
        <v>0</v>
      </c>
      <c r="S129" s="536">
        <f t="shared" ref="S129" si="746">(S127-S128)*10000</f>
        <v>0</v>
      </c>
      <c r="T129" s="536">
        <f t="shared" ref="T129" si="747">(T127-T128)*10000</f>
        <v>0</v>
      </c>
      <c r="U129" s="536">
        <f t="shared" ref="U129" si="748">(U127-U128)*10000</f>
        <v>0</v>
      </c>
      <c r="V129" s="556">
        <f t="shared" ref="V129" si="749">(V127-V128)*10000</f>
        <v>-1989.112887550632</v>
      </c>
      <c r="W129" s="536">
        <f t="shared" ref="W129" si="750">(W127-W128)*10000</f>
        <v>-1171.5695969364283</v>
      </c>
      <c r="X129" s="536">
        <f t="shared" ref="X129" si="751">(X127-X128)*10000</f>
        <v>-167.97199112022554</v>
      </c>
      <c r="Y129" s="536">
        <f t="shared" ref="Y129" si="752">(Y127-Y128)*10000</f>
        <v>26.596726318913447</v>
      </c>
      <c r="Z129" s="536">
        <f t="shared" ref="Z129" si="753">(Z127-Z128)*10000</f>
        <v>-65.688643800399447</v>
      </c>
      <c r="AA129" s="536">
        <f t="shared" ref="AA129" si="754">(AA127-AA128)*10000</f>
        <v>219.93969406500281</v>
      </c>
      <c r="AB129" s="536">
        <f t="shared" ref="AB129" si="755">(AB127-AB128)*10000</f>
        <v>-64.747314160365917</v>
      </c>
      <c r="AC129" s="536">
        <f t="shared" ref="AC129" si="756">(AC127-AC128)*10000</f>
        <v>197.71911551512952</v>
      </c>
      <c r="AD129" s="536">
        <f t="shared" ref="AD129" si="757">(AD127-AD128)*10000</f>
        <v>-28.867223597186936</v>
      </c>
      <c r="AE129" s="536">
        <f t="shared" ref="AE129" si="758">(AE127-AE128)*10000</f>
        <v>204.33207724369532</v>
      </c>
      <c r="AN129" s="536">
        <f>(AN127-AN128)*10000</f>
        <v>0</v>
      </c>
      <c r="AO129" s="556">
        <f t="shared" ref="AO129" si="759">(AO127-AO128)*10000</f>
        <v>0</v>
      </c>
      <c r="AP129" s="536">
        <f t="shared" ref="AP129" si="760">(AP127-AP128)*10000</f>
        <v>-1256.0575271235361</v>
      </c>
      <c r="AQ129" s="536">
        <f t="shared" ref="AQ129" si="761">(AQ127-AQ128)*10000</f>
        <v>-75.092830934908747</v>
      </c>
      <c r="AR129" s="536">
        <f t="shared" ref="AR129" si="762">(AR127-AR128)*10000</f>
        <v>74.858449084816669</v>
      </c>
      <c r="AS129" s="536">
        <f t="shared" ref="AS129" si="763">(AS127-AS128)*10000</f>
        <v>65.808111243774107</v>
      </c>
      <c r="AT129" s="536">
        <f t="shared" ref="AT129" si="764">(AT127-AT128)*10000</f>
        <v>83.465886022856751</v>
      </c>
    </row>
    <row r="130" spans="2:56">
      <c r="C130" s="522"/>
      <c r="V130" s="550"/>
      <c r="AO130" s="550"/>
    </row>
    <row r="131" spans="2:56">
      <c r="B131" s="524" t="s">
        <v>1904</v>
      </c>
      <c r="C131" s="521" t="s">
        <v>1877</v>
      </c>
      <c r="Q131" s="533">
        <f t="shared" ref="Q131:AE131" si="765">Q174</f>
        <v>0.17893095864006986</v>
      </c>
      <c r="R131" s="533">
        <f t="shared" si="765"/>
        <v>8.6246686480707685E-2</v>
      </c>
      <c r="S131" s="533">
        <f t="shared" si="765"/>
        <v>0.12779220114549456</v>
      </c>
      <c r="T131" s="533">
        <f t="shared" si="765"/>
        <v>9.82930113364896E-2</v>
      </c>
      <c r="U131" s="533">
        <f t="shared" si="765"/>
        <v>0.12467829266292056</v>
      </c>
      <c r="V131" s="555">
        <f t="shared" si="765"/>
        <v>9.4943816427861774E-2</v>
      </c>
      <c r="W131" s="533">
        <f t="shared" si="765"/>
        <v>0.14277704169521949</v>
      </c>
      <c r="X131" s="533">
        <f t="shared" si="765"/>
        <v>0.11923823278170595</v>
      </c>
      <c r="Y131" s="533">
        <f t="shared" si="765"/>
        <v>0.13569347438208459</v>
      </c>
      <c r="Z131" s="533">
        <f t="shared" si="765"/>
        <v>0.12525936402599008</v>
      </c>
      <c r="AA131" s="533">
        <f t="shared" si="765"/>
        <v>0.14456597440731472</v>
      </c>
      <c r="AB131" s="533">
        <f t="shared" si="765"/>
        <v>0.12718892605198384</v>
      </c>
      <c r="AC131" s="533">
        <f t="shared" si="765"/>
        <v>0.14476397605304159</v>
      </c>
      <c r="AD131" s="533">
        <f t="shared" si="765"/>
        <v>0.12845016155808295</v>
      </c>
      <c r="AE131" s="533">
        <f t="shared" si="765"/>
        <v>0.14187707339124947</v>
      </c>
      <c r="AF131" s="533"/>
      <c r="AG131" s="533"/>
      <c r="AH131" s="533"/>
      <c r="AI131" s="533"/>
      <c r="AJ131" s="533"/>
      <c r="AK131" s="533"/>
      <c r="AL131" s="533"/>
      <c r="AM131" s="533"/>
      <c r="AN131" s="533">
        <f t="shared" ref="AN131:AT131" si="766">AN174</f>
        <v>0.10570862596794527</v>
      </c>
      <c r="AO131" s="555">
        <f t="shared" si="766"/>
        <v>0.10793613899501721</v>
      </c>
      <c r="AP131" s="533">
        <f t="shared" si="766"/>
        <v>0.11700030490155273</v>
      </c>
      <c r="AQ131" s="533">
        <f t="shared" si="766"/>
        <v>0.12668551040000045</v>
      </c>
      <c r="AR131" s="533">
        <f t="shared" si="766"/>
        <v>0.13415585056000234</v>
      </c>
      <c r="AS131" s="533">
        <f t="shared" si="766"/>
        <v>0.13504203234529774</v>
      </c>
      <c r="AT131" s="533">
        <f t="shared" si="766"/>
        <v>0.13447766357066424</v>
      </c>
    </row>
    <row r="132" spans="2:56">
      <c r="C132" s="521" t="s">
        <v>1878</v>
      </c>
      <c r="Q132" s="533">
        <f t="shared" ref="Q132:AE132" si="767">Q221</f>
        <v>0.17893095864006986</v>
      </c>
      <c r="R132" s="533">
        <f t="shared" si="767"/>
        <v>8.6246686480707685E-2</v>
      </c>
      <c r="S132" s="533">
        <f t="shared" si="767"/>
        <v>0.12779220114549456</v>
      </c>
      <c r="T132" s="533">
        <f t="shared" si="767"/>
        <v>9.82930113364896E-2</v>
      </c>
      <c r="U132" s="533">
        <f t="shared" si="767"/>
        <v>0.12467829266292056</v>
      </c>
      <c r="V132" s="555">
        <f t="shared" si="767"/>
        <v>0.1003816037558334</v>
      </c>
      <c r="W132" s="533">
        <f t="shared" si="767"/>
        <v>0.12773870390342079</v>
      </c>
      <c r="X132" s="533">
        <f t="shared" si="767"/>
        <v>0.109332514992771</v>
      </c>
      <c r="Y132" s="533">
        <f t="shared" si="767"/>
        <v>0.12871700272757416</v>
      </c>
      <c r="Z132" s="533">
        <f t="shared" si="767"/>
        <v>0.11272688625981099</v>
      </c>
      <c r="AA132" s="533">
        <f t="shared" si="767"/>
        <v>0.13031276836392855</v>
      </c>
      <c r="AB132" s="533">
        <f t="shared" si="767"/>
        <v>0.11721365141870344</v>
      </c>
      <c r="AC132" s="533">
        <f t="shared" si="767"/>
        <v>0.13378576227219977</v>
      </c>
      <c r="AD132" s="533">
        <f t="shared" si="767"/>
        <v>0.12175331235730866</v>
      </c>
      <c r="AE132" s="533">
        <f t="shared" si="767"/>
        <v>0.13565393160232814</v>
      </c>
      <c r="AF132" s="533"/>
      <c r="AG132" s="533"/>
      <c r="AH132" s="533"/>
      <c r="AI132" s="533"/>
      <c r="AJ132" s="533"/>
      <c r="AK132" s="533"/>
      <c r="AL132" s="533"/>
      <c r="AM132" s="533"/>
      <c r="AN132" s="533">
        <f t="shared" ref="AN132:AT132" si="768">AN221</f>
        <v>0.10570862596794527</v>
      </c>
      <c r="AO132" s="555">
        <f t="shared" si="768"/>
        <v>0.10793613899501721</v>
      </c>
      <c r="AP132" s="533">
        <f t="shared" si="768"/>
        <v>0.11316965546526281</v>
      </c>
      <c r="AQ132" s="533">
        <f t="shared" si="768"/>
        <v>0.118204265682315</v>
      </c>
      <c r="AR132" s="533">
        <f t="shared" si="768"/>
        <v>0.12069376380380172</v>
      </c>
      <c r="AS132" s="533">
        <f t="shared" si="768"/>
        <v>0.12468046081011866</v>
      </c>
      <c r="AT132" s="533">
        <f t="shared" si="768"/>
        <v>0.12792883956125045</v>
      </c>
    </row>
    <row r="133" spans="2:56">
      <c r="C133" s="522" t="s">
        <v>1879</v>
      </c>
      <c r="Q133" s="536">
        <f>(Q131-Q132)*10000</f>
        <v>0</v>
      </c>
      <c r="R133" s="536">
        <f t="shared" ref="R133" si="769">(R131-R132)*10000</f>
        <v>0</v>
      </c>
      <c r="S133" s="536">
        <f t="shared" ref="S133" si="770">(S131-S132)*10000</f>
        <v>0</v>
      </c>
      <c r="T133" s="536">
        <f t="shared" ref="T133" si="771">(T131-T132)*10000</f>
        <v>0</v>
      </c>
      <c r="U133" s="536">
        <f t="shared" ref="U133" si="772">(U131-U132)*10000</f>
        <v>0</v>
      </c>
      <c r="V133" s="556">
        <f t="shared" ref="V133" si="773">(V131-V132)*10000</f>
        <v>-54.377873279716212</v>
      </c>
      <c r="W133" s="536">
        <f t="shared" ref="W133" si="774">(W131-W132)*10000</f>
        <v>150.38337791798696</v>
      </c>
      <c r="X133" s="536">
        <f t="shared" ref="X133" si="775">(X131-X132)*10000</f>
        <v>99.057177889349532</v>
      </c>
      <c r="Y133" s="536">
        <f t="shared" ref="Y133" si="776">(Y131-Y132)*10000</f>
        <v>69.764716545104307</v>
      </c>
      <c r="Z133" s="536">
        <f t="shared" ref="Z133" si="777">(Z131-Z132)*10000</f>
        <v>125.32477766179093</v>
      </c>
      <c r="AA133" s="536">
        <f t="shared" ref="AA133" si="778">(AA131-AA132)*10000</f>
        <v>142.53206043386174</v>
      </c>
      <c r="AB133" s="536">
        <f t="shared" ref="AB133" si="779">(AB131-AB132)*10000</f>
        <v>99.752746332804065</v>
      </c>
      <c r="AC133" s="536">
        <f t="shared" ref="AC133" si="780">(AC131-AC132)*10000</f>
        <v>109.78213780841823</v>
      </c>
      <c r="AD133" s="536">
        <f t="shared" ref="AD133" si="781">(AD131-AD132)*10000</f>
        <v>66.96849200774291</v>
      </c>
      <c r="AE133" s="536">
        <f t="shared" ref="AE133" si="782">(AE131-AE132)*10000</f>
        <v>62.231417889213326</v>
      </c>
      <c r="AN133" s="536">
        <f>(AN131-AN132)*10000</f>
        <v>0</v>
      </c>
      <c r="AO133" s="556">
        <f t="shared" ref="AO133:AT133" si="783">(AO131-AO132)*10000</f>
        <v>0</v>
      </c>
      <c r="AP133" s="536">
        <f t="shared" si="783"/>
        <v>38.306494362899265</v>
      </c>
      <c r="AQ133" s="536">
        <f t="shared" si="783"/>
        <v>84.812447176854519</v>
      </c>
      <c r="AR133" s="536">
        <f t="shared" si="783"/>
        <v>134.62086756200628</v>
      </c>
      <c r="AS133" s="536">
        <f t="shared" si="783"/>
        <v>103.61571535179081</v>
      </c>
      <c r="AT133" s="536">
        <f t="shared" si="783"/>
        <v>65.488240094137836</v>
      </c>
    </row>
    <row r="134" spans="2:56">
      <c r="B134" s="527"/>
      <c r="C134" s="528"/>
      <c r="D134" s="527"/>
      <c r="E134" s="527"/>
      <c r="F134" s="527"/>
      <c r="G134" s="527"/>
      <c r="H134" s="527"/>
      <c r="I134" s="527"/>
      <c r="J134" s="527"/>
      <c r="K134" s="527"/>
      <c r="L134" s="527"/>
      <c r="M134" s="527"/>
      <c r="N134" s="527"/>
      <c r="O134" s="527"/>
      <c r="P134" s="527"/>
      <c r="Q134" s="527"/>
      <c r="R134" s="527"/>
      <c r="S134" s="527"/>
      <c r="T134" s="527"/>
      <c r="U134" s="527"/>
      <c r="V134" s="557"/>
      <c r="W134" s="527"/>
      <c r="X134" s="527"/>
      <c r="Y134" s="527"/>
      <c r="Z134" s="527"/>
      <c r="AA134" s="527"/>
      <c r="AB134" s="527"/>
      <c r="AC134" s="527"/>
      <c r="AD134" s="527"/>
      <c r="AE134" s="527"/>
      <c r="AF134" s="527"/>
      <c r="AG134" s="527"/>
      <c r="AH134" s="527"/>
      <c r="AI134" s="527"/>
      <c r="AJ134" s="527"/>
      <c r="AK134" s="527"/>
      <c r="AL134" s="527"/>
      <c r="AM134" s="527"/>
      <c r="AN134" s="527"/>
      <c r="AO134" s="557"/>
      <c r="AP134" s="527"/>
      <c r="AQ134" s="527"/>
      <c r="AR134" s="527"/>
      <c r="AS134" s="527"/>
      <c r="AT134" s="527"/>
      <c r="AU134" s="527"/>
      <c r="AV134" s="527"/>
      <c r="AW134" s="527"/>
      <c r="AX134" s="527"/>
      <c r="AY134" s="527"/>
      <c r="AZ134" s="527"/>
      <c r="BA134" s="527"/>
      <c r="BB134" s="527"/>
      <c r="BC134" s="527"/>
      <c r="BD134" s="527"/>
    </row>
    <row r="135" spans="2:56">
      <c r="B135" s="523" t="s">
        <v>1877</v>
      </c>
    </row>
    <row r="136" spans="2:56">
      <c r="B136" s="524" t="s">
        <v>1894</v>
      </c>
    </row>
    <row r="137" spans="2:56">
      <c r="B137" t="s">
        <v>1917</v>
      </c>
      <c r="D137" s="531">
        <f>'Group Model'!R73</f>
        <v>5218</v>
      </c>
      <c r="E137" s="531">
        <f>'Group Model'!S73</f>
        <v>5146</v>
      </c>
      <c r="F137" s="531">
        <f>'Group Model'!T73</f>
        <v>5397</v>
      </c>
      <c r="G137" s="531">
        <f>'Group Model'!U73</f>
        <v>5523</v>
      </c>
      <c r="H137" s="531">
        <f>'Group Model'!V73</f>
        <v>5830</v>
      </c>
      <c r="I137" s="531">
        <f>'Group Model'!W73</f>
        <v>6924</v>
      </c>
      <c r="J137" s="531">
        <f>'Group Model'!X73</f>
        <v>6320</v>
      </c>
      <c r="K137" s="531">
        <f>'Group Model'!Y73</f>
        <v>6005</v>
      </c>
      <c r="L137" s="531">
        <f>'Group Model'!Z73</f>
        <v>5519</v>
      </c>
      <c r="M137" s="531">
        <f>'Group Model'!AA73</f>
        <v>7255</v>
      </c>
      <c r="N137" s="531">
        <f>'Group Model'!AB73</f>
        <v>7804</v>
      </c>
      <c r="O137" s="531">
        <f>'Group Model'!AC73</f>
        <v>9520</v>
      </c>
      <c r="P137" s="531">
        <f>'Group Model'!AD73</f>
        <v>8624</v>
      </c>
      <c r="Q137" s="531">
        <f>'Group Model'!AE73</f>
        <v>10498</v>
      </c>
      <c r="R137" s="531">
        <f>'Group Model'!AF73</f>
        <v>7910</v>
      </c>
      <c r="S137" s="531">
        <f>'Group Model'!AG73</f>
        <v>8977</v>
      </c>
      <c r="T137" s="531">
        <f>'Group Model'!AH73</f>
        <v>8216</v>
      </c>
      <c r="U137" s="531">
        <f>'Group Model'!AI73</f>
        <v>8992</v>
      </c>
      <c r="V137" s="531">
        <f>'Group Model'!AJ73</f>
        <v>8691</v>
      </c>
      <c r="W137" s="531">
        <f>'Group Model'!AK73</f>
        <v>9972.1915088020978</v>
      </c>
      <c r="X137" s="531">
        <f>'Group Model'!AL73</f>
        <v>9161.1574374384654</v>
      </c>
      <c r="Y137" s="531">
        <f>'Group Model'!AM73</f>
        <v>9621.1345036601451</v>
      </c>
      <c r="Z137" s="531">
        <f>'Group Model'!AN73</f>
        <v>9633.7862447486623</v>
      </c>
      <c r="AA137" s="531">
        <f>'Group Model'!AO73</f>
        <v>10208.538467024999</v>
      </c>
      <c r="AB137" s="531">
        <f>'Group Model'!AP73</f>
        <v>10071.008370174872</v>
      </c>
      <c r="AC137" s="531">
        <f>'Group Model'!AQ73</f>
        <v>10616.745571813393</v>
      </c>
      <c r="AD137" s="531">
        <f>'Group Model'!AR73</f>
        <v>10519.149956391295</v>
      </c>
      <c r="AE137" s="531">
        <f>'Group Model'!AS73</f>
        <v>10978.63240979024</v>
      </c>
      <c r="AG137" s="531">
        <f>'Group Model'!BG73</f>
        <v>10364</v>
      </c>
      <c r="AH137" s="531">
        <f>'Group Model'!BH73</f>
        <v>10920</v>
      </c>
      <c r="AI137" s="531">
        <f>'Group Model'!BI73</f>
        <v>12754</v>
      </c>
      <c r="AJ137" s="531">
        <f>'Group Model'!BJ73</f>
        <v>12325</v>
      </c>
      <c r="AK137" s="531">
        <f>'Group Model'!BK73</f>
        <v>12774</v>
      </c>
      <c r="AL137" s="531">
        <f>'Group Model'!BL73</f>
        <v>17324</v>
      </c>
      <c r="AM137" s="531">
        <f>'Group Model'!BM73</f>
        <v>19122</v>
      </c>
      <c r="AN137" s="531">
        <f>'Group Model'!BN73</f>
        <v>16887</v>
      </c>
      <c r="AO137" s="531">
        <f>'Group Model'!BO73</f>
        <v>17208</v>
      </c>
      <c r="AP137" s="531">
        <f>'Group Model'!BP73</f>
        <v>18663.191508802098</v>
      </c>
      <c r="AQ137" s="531">
        <f>'Group Model'!BQ73</f>
        <v>18782.291941098611</v>
      </c>
      <c r="AR137" s="531">
        <f>'Group Model'!BR73</f>
        <v>19842.324711773661</v>
      </c>
      <c r="AS137" s="531">
        <f>'Group Model'!BS73</f>
        <v>20687.753941988271</v>
      </c>
      <c r="AT137" s="531">
        <f>'Group Model'!BT73</f>
        <v>21497.782366181535</v>
      </c>
    </row>
    <row r="138" spans="2:56">
      <c r="B138" s="524"/>
    </row>
    <row r="139" spans="2:56">
      <c r="B139" s="525" t="s">
        <v>1874</v>
      </c>
    </row>
    <row r="140" spans="2:56">
      <c r="B140" t="s">
        <v>1897</v>
      </c>
      <c r="D140" s="531">
        <f>SUM('Divisional Model'!Q81:Q82)</f>
        <v>790</v>
      </c>
      <c r="E140" s="531">
        <f>SUM('Divisional Model'!R81:R82)</f>
        <v>784</v>
      </c>
      <c r="F140" s="531">
        <f>SUM('Divisional Model'!S81:S82)</f>
        <v>775</v>
      </c>
      <c r="G140" s="531">
        <f>SUM('Divisional Model'!T81:T82)</f>
        <v>793</v>
      </c>
      <c r="H140" s="531">
        <f>SUM('Divisional Model'!U81:U82)</f>
        <v>879</v>
      </c>
      <c r="I140" s="531">
        <f>SUM('Divisional Model'!V81:V82)</f>
        <v>899</v>
      </c>
      <c r="J140" s="531">
        <f>SUM('Divisional Model'!W81:W82)</f>
        <v>950</v>
      </c>
      <c r="K140" s="531">
        <f>SUM('Divisional Model'!X81:X82)</f>
        <v>1071</v>
      </c>
      <c r="L140" s="531">
        <f>SUM('Divisional Model'!Y81:Y82)</f>
        <v>971</v>
      </c>
      <c r="M140" s="531">
        <f>SUM('Divisional Model'!Z81:Z82)</f>
        <v>1014</v>
      </c>
      <c r="N140" s="531">
        <f>SUM('Divisional Model'!AA81:AA82)</f>
        <v>1362</v>
      </c>
      <c r="O140" s="531">
        <f>SUM('Divisional Model'!AB81:AB82)</f>
        <v>1409</v>
      </c>
      <c r="P140" s="531">
        <f>SUM('Divisional Model'!AC81:AC82)</f>
        <v>1378</v>
      </c>
      <c r="Q140" s="531">
        <f>SUM('Divisional Model'!AD81:AD82)</f>
        <v>1404</v>
      </c>
      <c r="R140" s="531">
        <f>SUM('Divisional Model'!AE81:AE82)</f>
        <v>1407</v>
      </c>
      <c r="S140" s="531">
        <f>SUM('Divisional Model'!AF81:AF82)</f>
        <v>1467</v>
      </c>
      <c r="T140" s="531">
        <f>SUM('Divisional Model'!AG81:AG82)</f>
        <v>1436</v>
      </c>
      <c r="U140" s="531">
        <f>SUM('Divisional Model'!AH81:AH82)</f>
        <v>1489</v>
      </c>
      <c r="V140" s="531">
        <f>SUM('Divisional Model'!AI81:AI82)</f>
        <v>1465</v>
      </c>
      <c r="W140" s="531">
        <f>SUM('Divisional Model'!AJ81:AJ82)</f>
        <v>1261.0898811034426</v>
      </c>
      <c r="X140" s="531">
        <f>SUM('Divisional Model'!AK81:AK82)</f>
        <v>1071.0674896331986</v>
      </c>
      <c r="Y140" s="531">
        <f>SUM('Divisional Model'!AL81:AL82)</f>
        <v>1096.2054891695614</v>
      </c>
      <c r="Z140" s="531">
        <f>SUM('Divisional Model'!AM81:AM82)</f>
        <v>1115.8909408405034</v>
      </c>
      <c r="AA140" s="531">
        <f>SUM('Divisional Model'!AN81:AN82)</f>
        <v>1120.9677286542715</v>
      </c>
      <c r="AB140" s="531">
        <f>SUM('Divisional Model'!AO81:AO82)</f>
        <v>1129.6647421037776</v>
      </c>
      <c r="AC140" s="531">
        <f>SUM('Divisional Model'!AP81:AP82)</f>
        <v>1125.5679268597075</v>
      </c>
      <c r="AD140" s="531">
        <f>SUM('Divisional Model'!AQ81:AQ82)</f>
        <v>1126.4574300510053</v>
      </c>
      <c r="AE140" s="531">
        <f>SUM('Divisional Model'!AR81:AR82)</f>
        <v>1111.9888132019828</v>
      </c>
      <c r="AF140" s="531"/>
      <c r="AG140" s="531">
        <f>SUM('Divisional Model'!BA81:BA82)</f>
        <v>1574</v>
      </c>
      <c r="AH140" s="531">
        <f>SUM('Divisional Model'!BB81:BB82)</f>
        <v>1568</v>
      </c>
      <c r="AI140" s="531">
        <f>SUM('Divisional Model'!BC81:BC82)</f>
        <v>1778</v>
      </c>
      <c r="AJ140" s="531">
        <f>SUM('Divisional Model'!BD81:BD82)</f>
        <v>2021</v>
      </c>
      <c r="AK140" s="531">
        <f>SUM('Divisional Model'!BE81:BE82)</f>
        <v>1985</v>
      </c>
      <c r="AL140" s="531">
        <f>SUM('Divisional Model'!BF81:BF82)</f>
        <v>2771</v>
      </c>
      <c r="AM140" s="531">
        <f>SUM('Divisional Model'!BG81:BG82)</f>
        <v>2782</v>
      </c>
      <c r="AN140" s="531">
        <f>SUM('Divisional Model'!BH81:BH82)</f>
        <v>2874</v>
      </c>
      <c r="AO140" s="531">
        <f>SUM('Divisional Model'!BI81:BI82)</f>
        <v>2925</v>
      </c>
      <c r="AP140" s="531">
        <f>SUM('Divisional Model'!BJ81:BJ82)</f>
        <v>2726.0898811034426</v>
      </c>
      <c r="AQ140" s="531">
        <f>SUM('Divisional Model'!BK81:BK82)</f>
        <v>2167.27297880276</v>
      </c>
      <c r="AR140" s="531">
        <f>SUM('Divisional Model'!BL81:BL82)</f>
        <v>2236.8586694947753</v>
      </c>
      <c r="AS140" s="531">
        <f>SUM('Divisional Model'!BM81:BM82)</f>
        <v>2255.2326689634851</v>
      </c>
      <c r="AT140" s="531">
        <f>SUM('Divisional Model'!BN81:BN82)</f>
        <v>2238.4462432529881</v>
      </c>
    </row>
    <row r="141" spans="2:56">
      <c r="B141" t="s">
        <v>1881</v>
      </c>
      <c r="D141" s="531">
        <f>SUM('Divisional Model'!Q83:Q84)</f>
        <v>170</v>
      </c>
      <c r="E141" s="531">
        <f>SUM('Divisional Model'!R83:R84)</f>
        <v>94</v>
      </c>
      <c r="F141" s="531">
        <f>SUM('Divisional Model'!S83:S84)</f>
        <v>537</v>
      </c>
      <c r="G141" s="531">
        <f>SUM('Divisional Model'!T83:T84)</f>
        <v>58</v>
      </c>
      <c r="H141" s="531">
        <f>SUM('Divisional Model'!U83:U84)</f>
        <v>282</v>
      </c>
      <c r="I141" s="531">
        <f>SUM('Divisional Model'!V83:V84)</f>
        <v>483</v>
      </c>
      <c r="J141" s="531">
        <f>SUM('Divisional Model'!W83:W84)</f>
        <v>546</v>
      </c>
      <c r="K141" s="531">
        <f>SUM('Divisional Model'!X83:X84)</f>
        <v>275</v>
      </c>
      <c r="L141" s="531">
        <f>SUM('Divisional Model'!Y83:Y84)</f>
        <v>413</v>
      </c>
      <c r="M141" s="531">
        <f>SUM('Divisional Model'!Z83:Z84)</f>
        <v>240</v>
      </c>
      <c r="N141" s="531">
        <f>SUM('Divisional Model'!AA83:AA84)</f>
        <v>177</v>
      </c>
      <c r="O141" s="531">
        <f>SUM('Divisional Model'!AB83:AB84)</f>
        <v>217</v>
      </c>
      <c r="P141" s="531">
        <f>SUM('Divisional Model'!AC83:AC84)</f>
        <v>237</v>
      </c>
      <c r="Q141" s="531">
        <f>SUM('Divisional Model'!AD83:AD84)</f>
        <v>455</v>
      </c>
      <c r="R141" s="531">
        <f>SUM('Divisional Model'!AE83:AE84)</f>
        <v>236</v>
      </c>
      <c r="S141" s="531">
        <f>SUM('Divisional Model'!AF83:AF84)</f>
        <v>395</v>
      </c>
      <c r="T141" s="531">
        <f>SUM('Divisional Model'!AG83:AG84)</f>
        <v>403</v>
      </c>
      <c r="U141" s="531">
        <f>SUM('Divisional Model'!AH83:AH84)</f>
        <v>434</v>
      </c>
      <c r="V141" s="531">
        <f>SUM('Divisional Model'!AI83:AI84)</f>
        <v>756</v>
      </c>
      <c r="W141" s="531">
        <f>SUM('Divisional Model'!AJ83:AJ84)</f>
        <v>737.27088942157832</v>
      </c>
      <c r="X141" s="531">
        <f>SUM('Divisional Model'!AK83:AK84)</f>
        <v>679.83598544359006</v>
      </c>
      <c r="Y141" s="531">
        <f>SUM('Divisional Model'!AL83:AL84)</f>
        <v>672.10877660667211</v>
      </c>
      <c r="Z141" s="531">
        <f>SUM('Divisional Model'!AM83:AM84)</f>
        <v>687.00819662123467</v>
      </c>
      <c r="AA141" s="531">
        <f>SUM('Divisional Model'!AN83:AN84)</f>
        <v>692.46264692048828</v>
      </c>
      <c r="AB141" s="531">
        <f>SUM('Divisional Model'!AO83:AO84)</f>
        <v>700.20332973494044</v>
      </c>
      <c r="AC141" s="531">
        <f>SUM('Divisional Model'!AP83:AP84)</f>
        <v>699.60471762239763</v>
      </c>
      <c r="AD141" s="531">
        <f>SUM('Divisional Model'!AQ83:AQ84)</f>
        <v>701.27442266390869</v>
      </c>
      <c r="AE141" s="531">
        <f>SUM('Divisional Model'!AR83:AR84)</f>
        <v>693.00839827615744</v>
      </c>
      <c r="AF141" s="531"/>
      <c r="AG141" s="531">
        <f>SUM('Divisional Model'!BA83:BA84)</f>
        <v>264</v>
      </c>
      <c r="AH141" s="531">
        <f>SUM('Divisional Model'!BB83:BB84)</f>
        <v>595</v>
      </c>
      <c r="AI141" s="531">
        <f>SUM('Divisional Model'!BC83:BC84)</f>
        <v>765</v>
      </c>
      <c r="AJ141" s="531">
        <f>SUM('Divisional Model'!BD83:BD84)</f>
        <v>821</v>
      </c>
      <c r="AK141" s="531">
        <f>SUM('Divisional Model'!BE83:BE84)</f>
        <v>653</v>
      </c>
      <c r="AL141" s="531">
        <f>SUM('Divisional Model'!BF83:BF84)</f>
        <v>394</v>
      </c>
      <c r="AM141" s="531">
        <f>SUM('Divisional Model'!BG83:BG84)</f>
        <v>692</v>
      </c>
      <c r="AN141" s="531">
        <f>SUM('Divisional Model'!BH83:BH84)</f>
        <v>631</v>
      </c>
      <c r="AO141" s="531">
        <f>SUM('Divisional Model'!BI83:BI84)</f>
        <v>837</v>
      </c>
      <c r="AP141" s="531">
        <f>SUM('Divisional Model'!BJ83:BJ84)</f>
        <v>1493.2708894215784</v>
      </c>
      <c r="AQ141" s="531">
        <f>SUM('Divisional Model'!BK83:BK84)</f>
        <v>1351.9447620502622</v>
      </c>
      <c r="AR141" s="531">
        <f>SUM('Divisional Model'!BL83:BL84)</f>
        <v>1379.4708435417228</v>
      </c>
      <c r="AS141" s="531">
        <f>SUM('Divisional Model'!BM83:BM84)</f>
        <v>1399.8080473573382</v>
      </c>
      <c r="AT141" s="531">
        <f>SUM('Divisional Model'!BN83:BN84)</f>
        <v>1394.2828209400661</v>
      </c>
    </row>
    <row r="142" spans="2:56">
      <c r="B142" t="s">
        <v>1882</v>
      </c>
      <c r="D142" s="531">
        <f>'Divisional Model'!Q92</f>
        <v>0</v>
      </c>
      <c r="E142" s="531">
        <f>'Divisional Model'!R92</f>
        <v>0</v>
      </c>
      <c r="F142" s="531">
        <f>'Divisional Model'!S92</f>
        <v>0</v>
      </c>
      <c r="G142" s="531">
        <f>'Divisional Model'!T92</f>
        <v>0</v>
      </c>
      <c r="H142" s="531">
        <f>'Divisional Model'!U92</f>
        <v>0</v>
      </c>
      <c r="I142" s="531">
        <f>'Divisional Model'!V92</f>
        <v>0</v>
      </c>
      <c r="J142" s="531">
        <f>'Divisional Model'!W92</f>
        <v>52</v>
      </c>
      <c r="K142" s="531">
        <f>'Divisional Model'!X92</f>
        <v>201</v>
      </c>
      <c r="L142" s="531">
        <f>'Divisional Model'!Y92</f>
        <v>371</v>
      </c>
      <c r="M142" s="531">
        <f>'Divisional Model'!Z92</f>
        <v>240</v>
      </c>
      <c r="N142" s="531">
        <f>'Divisional Model'!AA92</f>
        <v>62</v>
      </c>
      <c r="O142" s="531">
        <f>'Divisional Model'!AB92</f>
        <v>1498</v>
      </c>
      <c r="P142" s="531">
        <f>'Divisional Model'!AC92</f>
        <v>877</v>
      </c>
      <c r="Q142" s="531">
        <f>'Divisional Model'!AD92</f>
        <v>271</v>
      </c>
      <c r="R142" s="531">
        <f>'Divisional Model'!AE92</f>
        <v>49</v>
      </c>
      <c r="S142" s="531">
        <f>'Divisional Model'!AF92</f>
        <v>298</v>
      </c>
      <c r="T142" s="531">
        <f>'Divisional Model'!AG92</f>
        <v>171</v>
      </c>
      <c r="U142" s="531">
        <f>'Divisional Model'!AH92</f>
        <v>435</v>
      </c>
      <c r="V142" s="531">
        <f>'Divisional Model'!AI92</f>
        <v>7</v>
      </c>
      <c r="W142" s="531">
        <f>'Divisional Model'!AJ92</f>
        <v>402</v>
      </c>
      <c r="X142" s="531">
        <f>'Divisional Model'!AK92</f>
        <v>0</v>
      </c>
      <c r="Y142" s="531">
        <f>'Divisional Model'!AL92</f>
        <v>0</v>
      </c>
      <c r="Z142" s="531">
        <f>'Divisional Model'!AM92</f>
        <v>0</v>
      </c>
      <c r="AA142" s="531">
        <f>'Divisional Model'!AN92</f>
        <v>0</v>
      </c>
      <c r="AB142" s="531">
        <f>'Divisional Model'!AO92</f>
        <v>0</v>
      </c>
      <c r="AC142" s="531">
        <f>'Divisional Model'!AP92</f>
        <v>0</v>
      </c>
      <c r="AD142" s="531">
        <f>'Divisional Model'!AQ92</f>
        <v>0</v>
      </c>
      <c r="AE142" s="531">
        <f>'Divisional Model'!AR92</f>
        <v>0</v>
      </c>
      <c r="AF142" s="531"/>
      <c r="AG142" s="531">
        <f>'Divisional Model'!BA92</f>
        <v>0</v>
      </c>
      <c r="AH142" s="531">
        <f>'Divisional Model'!BB92</f>
        <v>0</v>
      </c>
      <c r="AI142" s="531">
        <f>'Divisional Model'!BC92</f>
        <v>0</v>
      </c>
      <c r="AJ142" s="531">
        <f>'Divisional Model'!BD92</f>
        <v>253</v>
      </c>
      <c r="AK142" s="531">
        <f>'Divisional Model'!BE92</f>
        <v>611</v>
      </c>
      <c r="AL142" s="531">
        <f>'Divisional Model'!BF92</f>
        <v>1560</v>
      </c>
      <c r="AM142" s="531">
        <f>'Divisional Model'!BG92</f>
        <v>1148</v>
      </c>
      <c r="AN142" s="531">
        <f>'Divisional Model'!BH92</f>
        <v>347</v>
      </c>
      <c r="AO142" s="531">
        <f>'Divisional Model'!BI92</f>
        <v>606</v>
      </c>
      <c r="AP142" s="531">
        <f>'Divisional Model'!BJ92</f>
        <v>409</v>
      </c>
      <c r="AQ142" s="531">
        <f>'Divisional Model'!BK92</f>
        <v>0</v>
      </c>
      <c r="AR142" s="531">
        <f>'Divisional Model'!BL92</f>
        <v>0</v>
      </c>
      <c r="AS142" s="531">
        <f>'Divisional Model'!BM92</f>
        <v>0</v>
      </c>
      <c r="AT142" s="531">
        <f>'Divisional Model'!BN92</f>
        <v>0</v>
      </c>
    </row>
    <row r="143" spans="2:56">
      <c r="B143" t="s">
        <v>1883</v>
      </c>
      <c r="D143" s="531">
        <f>'Divisional Model'!Q93</f>
        <v>0</v>
      </c>
      <c r="E143" s="531">
        <f>'Divisional Model'!R93</f>
        <v>0</v>
      </c>
      <c r="F143" s="531">
        <f>'Divisional Model'!S93</f>
        <v>0</v>
      </c>
      <c r="G143" s="531">
        <f>'Divisional Model'!T93</f>
        <v>0</v>
      </c>
      <c r="H143" s="531">
        <f>'Divisional Model'!U93</f>
        <v>0</v>
      </c>
      <c r="I143" s="531">
        <f>'Divisional Model'!V93</f>
        <v>0</v>
      </c>
      <c r="J143" s="531">
        <f>'Divisional Model'!W93</f>
        <v>0</v>
      </c>
      <c r="K143" s="531">
        <f>'Divisional Model'!X93</f>
        <v>0</v>
      </c>
      <c r="L143" s="531">
        <f>'Divisional Model'!Y93</f>
        <v>-72</v>
      </c>
      <c r="M143" s="531">
        <f>'Divisional Model'!Z93</f>
        <v>-78</v>
      </c>
      <c r="N143" s="531">
        <f>'Divisional Model'!AA93</f>
        <v>22</v>
      </c>
      <c r="O143" s="531">
        <f>'Divisional Model'!AB93</f>
        <v>-48</v>
      </c>
      <c r="P143" s="531">
        <f>'Divisional Model'!AC93</f>
        <v>-115</v>
      </c>
      <c r="Q143" s="531">
        <f>'Divisional Model'!AD93</f>
        <v>-74</v>
      </c>
      <c r="R143" s="531">
        <f>'Divisional Model'!AE93</f>
        <v>-184</v>
      </c>
      <c r="S143" s="531">
        <f>'Divisional Model'!AF93</f>
        <v>-198</v>
      </c>
      <c r="T143" s="531">
        <f>'Divisional Model'!AG93</f>
        <v>-238</v>
      </c>
      <c r="U143" s="531">
        <f>'Divisional Model'!AH93</f>
        <v>-331</v>
      </c>
      <c r="V143" s="531">
        <f>'Divisional Model'!AI93</f>
        <v>0</v>
      </c>
      <c r="W143" s="531">
        <f>'Divisional Model'!AJ93</f>
        <v>0</v>
      </c>
      <c r="X143" s="531">
        <f>'Divisional Model'!AK93</f>
        <v>0</v>
      </c>
      <c r="Y143" s="531">
        <f>'Divisional Model'!AL93</f>
        <v>0</v>
      </c>
      <c r="Z143" s="531">
        <f>'Divisional Model'!AM93</f>
        <v>0</v>
      </c>
      <c r="AA143" s="531">
        <f>'Divisional Model'!AN93</f>
        <v>0</v>
      </c>
      <c r="AB143" s="531">
        <f>'Divisional Model'!AO93</f>
        <v>0</v>
      </c>
      <c r="AC143" s="531">
        <f>'Divisional Model'!AP93</f>
        <v>0</v>
      </c>
      <c r="AD143" s="531">
        <f>'Divisional Model'!AQ93</f>
        <v>0</v>
      </c>
      <c r="AE143" s="531">
        <f>'Divisional Model'!AR93</f>
        <v>0</v>
      </c>
      <c r="AF143" s="531"/>
      <c r="AG143" s="531">
        <f>'Divisional Model'!BA93</f>
        <v>0</v>
      </c>
      <c r="AH143" s="531">
        <f>'Divisional Model'!BB93</f>
        <v>0</v>
      </c>
      <c r="AI143" s="531">
        <f>'Divisional Model'!BC93</f>
        <v>0</v>
      </c>
      <c r="AJ143" s="531">
        <f>'Divisional Model'!BD93</f>
        <v>0</v>
      </c>
      <c r="AK143" s="531">
        <f>'Divisional Model'!BE93</f>
        <v>-150</v>
      </c>
      <c r="AL143" s="531">
        <f>'Divisional Model'!BF93</f>
        <v>-26</v>
      </c>
      <c r="AM143" s="531">
        <f>'Divisional Model'!BG93</f>
        <v>-189</v>
      </c>
      <c r="AN143" s="531">
        <f>'Divisional Model'!BH93</f>
        <v>-382</v>
      </c>
      <c r="AO143" s="531">
        <f>'Divisional Model'!BI93</f>
        <v>-569</v>
      </c>
      <c r="AP143" s="531">
        <f>'Divisional Model'!BJ93</f>
        <v>0</v>
      </c>
      <c r="AQ143" s="531">
        <f>'Divisional Model'!BK93</f>
        <v>0</v>
      </c>
      <c r="AR143" s="531">
        <f>'Divisional Model'!BL93</f>
        <v>0</v>
      </c>
      <c r="AS143" s="531">
        <f>'Divisional Model'!BM93</f>
        <v>0</v>
      </c>
      <c r="AT143" s="531">
        <f>'Divisional Model'!BN93</f>
        <v>0</v>
      </c>
    </row>
    <row r="145" spans="2:46">
      <c r="B145" s="525" t="s">
        <v>507</v>
      </c>
    </row>
    <row r="146" spans="2:46">
      <c r="B146" t="s">
        <v>1884</v>
      </c>
      <c r="D146" s="531">
        <f>'Divisional Model'!Q158</f>
        <v>498</v>
      </c>
      <c r="E146" s="531">
        <f>'Divisional Model'!R158</f>
        <v>551</v>
      </c>
      <c r="F146" s="531">
        <f>'Divisional Model'!S158</f>
        <v>787</v>
      </c>
      <c r="G146" s="531">
        <f>'Divisional Model'!T158</f>
        <v>797</v>
      </c>
      <c r="H146" s="531">
        <f>'Divisional Model'!U158</f>
        <v>834</v>
      </c>
      <c r="I146" s="531">
        <f>'Divisional Model'!V158</f>
        <v>844</v>
      </c>
      <c r="J146" s="531">
        <f>'Divisional Model'!W158</f>
        <v>838</v>
      </c>
      <c r="K146" s="531">
        <f>'Divisional Model'!X158</f>
        <v>890</v>
      </c>
      <c r="L146" s="531">
        <f>'Divisional Model'!Y158</f>
        <v>844</v>
      </c>
      <c r="M146" s="531">
        <f>'Divisional Model'!Z158</f>
        <v>902</v>
      </c>
      <c r="N146" s="531">
        <f>'Divisional Model'!AA158</f>
        <v>974</v>
      </c>
      <c r="O146" s="531">
        <f>'Divisional Model'!AB158</f>
        <v>998</v>
      </c>
      <c r="P146" s="531">
        <f>'Divisional Model'!AC158</f>
        <v>1197</v>
      </c>
      <c r="Q146" s="531">
        <f>'Divisional Model'!AD158</f>
        <v>1323</v>
      </c>
      <c r="R146" s="531">
        <f>'Divisional Model'!AE158</f>
        <v>1360</v>
      </c>
      <c r="S146" s="531">
        <f>'Divisional Model'!AF158</f>
        <v>1285</v>
      </c>
      <c r="T146" s="531">
        <f>'Divisional Model'!AG158</f>
        <v>1326</v>
      </c>
      <c r="U146" s="531">
        <f>'Divisional Model'!AH158</f>
        <v>1391</v>
      </c>
      <c r="V146" s="531">
        <f>'Divisional Model'!AI158</f>
        <v>1456</v>
      </c>
      <c r="W146" s="531">
        <f>'Divisional Model'!AJ158</f>
        <v>1456.2088231227017</v>
      </c>
      <c r="X146" s="531">
        <f>'Divisional Model'!AK158</f>
        <v>1537.1357947375461</v>
      </c>
      <c r="Y146" s="531">
        <f>'Divisional Model'!AL158</f>
        <v>1606.3424205590488</v>
      </c>
      <c r="Z146" s="531">
        <f>'Divisional Model'!AM158</f>
        <v>1683.4236814378783</v>
      </c>
      <c r="AA146" s="531">
        <f>'Divisional Model'!AN158</f>
        <v>1742.4312336760486</v>
      </c>
      <c r="AB146" s="531">
        <f>'Divisional Model'!AO158</f>
        <v>1799.066055340237</v>
      </c>
      <c r="AC146" s="531">
        <f>'Divisional Model'!AP158</f>
        <v>1837.1870870056916</v>
      </c>
      <c r="AD146" s="531">
        <f>'Divisional Model'!AQ158</f>
        <v>1895.8208692417152</v>
      </c>
      <c r="AE146" s="531">
        <f>'Divisional Model'!AR158</f>
        <v>1933.9697405335116</v>
      </c>
      <c r="AF146" s="531"/>
      <c r="AG146" s="531">
        <f>'Divisional Model'!BA158</f>
        <v>1049</v>
      </c>
      <c r="AH146" s="531">
        <f>'Divisional Model'!BB158</f>
        <v>1584</v>
      </c>
      <c r="AI146" s="531">
        <f>'Divisional Model'!BC158</f>
        <v>1678</v>
      </c>
      <c r="AJ146" s="531">
        <f>'Divisional Model'!BD158</f>
        <v>1728</v>
      </c>
      <c r="AK146" s="531">
        <f>'Divisional Model'!BE158</f>
        <v>1746</v>
      </c>
      <c r="AL146" s="531">
        <f>'Divisional Model'!BF158</f>
        <v>1972</v>
      </c>
      <c r="AM146" s="531">
        <f>'Divisional Model'!BG158</f>
        <v>2520</v>
      </c>
      <c r="AN146" s="531">
        <f>'Divisional Model'!BH158</f>
        <v>2645</v>
      </c>
      <c r="AO146" s="531">
        <f>'Divisional Model'!BI158</f>
        <v>2717</v>
      </c>
      <c r="AP146" s="531">
        <f>'Divisional Model'!BJ158</f>
        <v>2912.2088231227017</v>
      </c>
      <c r="AQ146" s="531">
        <f>'Divisional Model'!BK158</f>
        <v>3143.478215296595</v>
      </c>
      <c r="AR146" s="531">
        <f>'Divisional Model'!BL158</f>
        <v>3425.8549151139268</v>
      </c>
      <c r="AS146" s="531">
        <f>'Divisional Model'!BM158</f>
        <v>3636.2531423459286</v>
      </c>
      <c r="AT146" s="531">
        <f>'Divisional Model'!BN158</f>
        <v>3829.7906097752266</v>
      </c>
    </row>
    <row r="147" spans="2:46">
      <c r="B147" t="s">
        <v>1889</v>
      </c>
      <c r="D147" s="531">
        <f>'Divisional Model'!Q166</f>
        <v>256</v>
      </c>
      <c r="E147" s="531">
        <f>'Divisional Model'!R166</f>
        <v>216</v>
      </c>
      <c r="F147" s="531">
        <f>'Divisional Model'!S166</f>
        <v>248</v>
      </c>
      <c r="G147" s="531">
        <f>'Divisional Model'!T166</f>
        <v>244</v>
      </c>
      <c r="H147" s="531">
        <f>'Divisional Model'!U166</f>
        <v>244</v>
      </c>
      <c r="I147" s="531">
        <f>'Divisional Model'!V166</f>
        <v>232</v>
      </c>
      <c r="J147" s="531">
        <f>'Divisional Model'!W166</f>
        <v>226</v>
      </c>
      <c r="K147" s="531">
        <f>'Divisional Model'!X166</f>
        <v>219</v>
      </c>
      <c r="L147" s="531">
        <f>'Divisional Model'!Y166</f>
        <v>203</v>
      </c>
      <c r="M147" s="531">
        <f>'Divisional Model'!Z166</f>
        <v>216</v>
      </c>
      <c r="N147" s="531">
        <f>'Divisional Model'!AA166</f>
        <v>220</v>
      </c>
      <c r="O147" s="531">
        <f>'Divisional Model'!AB166</f>
        <v>237</v>
      </c>
      <c r="P147" s="531">
        <f>'Divisional Model'!AC166</f>
        <v>249</v>
      </c>
      <c r="Q147" s="531">
        <f>'Divisional Model'!AD166</f>
        <v>255</v>
      </c>
      <c r="R147" s="531">
        <f>'Divisional Model'!AE166</f>
        <v>273</v>
      </c>
      <c r="S147" s="531">
        <f>'Divisional Model'!AF166</f>
        <v>281</v>
      </c>
      <c r="T147" s="531">
        <f>'Divisional Model'!AG166</f>
        <v>304</v>
      </c>
      <c r="U147" s="531">
        <f>'Divisional Model'!AH166</f>
        <v>307</v>
      </c>
      <c r="V147" s="531">
        <f>'Divisional Model'!AI166</f>
        <v>329</v>
      </c>
      <c r="W147" s="531">
        <f>'Divisional Model'!AJ166</f>
        <v>336.608</v>
      </c>
      <c r="X147" s="531">
        <f>'Divisional Model'!AK166</f>
        <v>346.34624000000002</v>
      </c>
      <c r="Y147" s="531">
        <f>'Divisional Model'!AL166</f>
        <v>356.37662720000003</v>
      </c>
      <c r="Z147" s="531">
        <f>'Divisional Model'!AM166</f>
        <v>366.70792601600004</v>
      </c>
      <c r="AA147" s="531">
        <f>'Divisional Model'!AN166</f>
        <v>377.34916379648007</v>
      </c>
      <c r="AB147" s="531">
        <f>'Divisional Model'!AO166</f>
        <v>388.30963871037449</v>
      </c>
      <c r="AC147" s="531">
        <f>'Divisional Model'!AP166</f>
        <v>399.5989278716857</v>
      </c>
      <c r="AD147" s="531">
        <f>'Divisional Model'!AQ166</f>
        <v>411.22689570783626</v>
      </c>
      <c r="AE147" s="531">
        <f>'Divisional Model'!AR166</f>
        <v>423.20370257907138</v>
      </c>
      <c r="AF147" s="531"/>
      <c r="AG147" s="531">
        <f>'Divisional Model'!BA166</f>
        <v>472</v>
      </c>
      <c r="AH147" s="531">
        <f>'Divisional Model'!BB166</f>
        <v>492</v>
      </c>
      <c r="AI147" s="531">
        <f>'Divisional Model'!BC166</f>
        <v>476</v>
      </c>
      <c r="AJ147" s="531">
        <f>'Divisional Model'!BD166</f>
        <v>445</v>
      </c>
      <c r="AK147" s="531">
        <f>'Divisional Model'!BE166</f>
        <v>419</v>
      </c>
      <c r="AL147" s="531">
        <f>'Divisional Model'!BF166</f>
        <v>457</v>
      </c>
      <c r="AM147" s="531">
        <f>'Divisional Model'!BG166</f>
        <v>504</v>
      </c>
      <c r="AN147" s="531">
        <f>'Divisional Model'!BH166</f>
        <v>554</v>
      </c>
      <c r="AO147" s="531">
        <f>'Divisional Model'!BI166</f>
        <v>611</v>
      </c>
      <c r="AP147" s="531">
        <f>'Divisional Model'!BJ166</f>
        <v>665.60799999999995</v>
      </c>
      <c r="AQ147" s="531">
        <f>'Divisional Model'!BK166</f>
        <v>702.72286720000011</v>
      </c>
      <c r="AR147" s="531">
        <f>'Divisional Model'!BL166</f>
        <v>744.05708981248017</v>
      </c>
      <c r="AS147" s="531">
        <f>'Divisional Model'!BM166</f>
        <v>787.90856658206019</v>
      </c>
      <c r="AT147" s="531">
        <f>'Divisional Model'!BN166</f>
        <v>834.43059828690764</v>
      </c>
    </row>
    <row r="148" spans="2:46">
      <c r="B148" t="s">
        <v>1885</v>
      </c>
      <c r="D148" s="531">
        <f>'Divisional Model'!Q169</f>
        <v>-32</v>
      </c>
      <c r="E148" s="531">
        <f>'Divisional Model'!R169</f>
        <v>-6</v>
      </c>
      <c r="F148" s="531">
        <f>'Divisional Model'!S169</f>
        <v>-34</v>
      </c>
      <c r="G148" s="531">
        <f>'Divisional Model'!T169</f>
        <v>-33</v>
      </c>
      <c r="H148" s="531">
        <f>'Divisional Model'!U169</f>
        <v>-28</v>
      </c>
      <c r="I148" s="531">
        <f>'Divisional Model'!V169</f>
        <v>-39</v>
      </c>
      <c r="J148" s="531">
        <f>'Divisional Model'!W169</f>
        <v>-42</v>
      </c>
      <c r="K148" s="531">
        <f>'Divisional Model'!X169</f>
        <v>-106</v>
      </c>
      <c r="L148" s="531">
        <f>'Divisional Model'!Y169</f>
        <v>-78</v>
      </c>
      <c r="M148" s="531">
        <f>'Divisional Model'!Z169</f>
        <v>-37</v>
      </c>
      <c r="N148" s="531">
        <f>'Divisional Model'!AA169</f>
        <v>-31</v>
      </c>
      <c r="O148" s="531">
        <f>'Divisional Model'!AB169</f>
        <v>53</v>
      </c>
      <c r="P148" s="531">
        <f>'Divisional Model'!AC169</f>
        <v>-9</v>
      </c>
      <c r="Q148" s="531">
        <f>'Divisional Model'!AD169</f>
        <v>-25</v>
      </c>
      <c r="R148" s="531">
        <f>'Divisional Model'!AE169</f>
        <v>-23</v>
      </c>
      <c r="S148" s="531">
        <f>'Divisional Model'!AF169</f>
        <v>38</v>
      </c>
      <c r="T148" s="531">
        <f>'Divisional Model'!AG169</f>
        <v>-21</v>
      </c>
      <c r="U148" s="531">
        <f>'Divisional Model'!AH169</f>
        <v>-24</v>
      </c>
      <c r="V148" s="531">
        <f>'Divisional Model'!AI169</f>
        <v>-24</v>
      </c>
      <c r="W148" s="531">
        <f>'Divisional Model'!AJ169</f>
        <v>-24</v>
      </c>
      <c r="X148" s="531">
        <f>'Divisional Model'!AK169</f>
        <v>-18.08793479823068</v>
      </c>
      <c r="Y148" s="531">
        <f>'Divisional Model'!AL169</f>
        <v>-23.38684152745768</v>
      </c>
      <c r="Z148" s="531">
        <f>'Divisional Model'!AM169</f>
        <v>-27.206918636443103</v>
      </c>
      <c r="AA148" s="531">
        <f>'Divisional Model'!AN169</f>
        <v>-26.54222323408878</v>
      </c>
      <c r="AB148" s="531">
        <f>'Divisional Model'!AO169</f>
        <v>-31.722690696780401</v>
      </c>
      <c r="AC148" s="531">
        <f>'Divisional Model'!AP169</f>
        <v>-31.793057950282783</v>
      </c>
      <c r="AD148" s="531">
        <f>'Divisional Model'!AQ169</f>
        <v>-32.016694536199644</v>
      </c>
      <c r="AE148" s="531">
        <f>'Divisional Model'!AR169</f>
        <v>-32.172008217188377</v>
      </c>
      <c r="AF148" s="531"/>
      <c r="AG148" s="531">
        <f>'Divisional Model'!BA169</f>
        <v>-38</v>
      </c>
      <c r="AH148" s="531">
        <f>'Divisional Model'!BB169</f>
        <v>-67</v>
      </c>
      <c r="AI148" s="531">
        <f>'Divisional Model'!BC169</f>
        <v>-67</v>
      </c>
      <c r="AJ148" s="531">
        <f>'Divisional Model'!BD169</f>
        <v>-148</v>
      </c>
      <c r="AK148" s="531">
        <f>'Divisional Model'!BE169</f>
        <v>-115</v>
      </c>
      <c r="AL148" s="531">
        <f>'Divisional Model'!BF169</f>
        <v>22</v>
      </c>
      <c r="AM148" s="531">
        <f>'Divisional Model'!BG169</f>
        <v>-34</v>
      </c>
      <c r="AN148" s="531">
        <f>'Divisional Model'!BH169</f>
        <v>15</v>
      </c>
      <c r="AO148" s="531">
        <f>'Divisional Model'!BI169</f>
        <v>-45</v>
      </c>
      <c r="AP148" s="531">
        <f>'Divisional Model'!BJ169</f>
        <v>-48</v>
      </c>
      <c r="AQ148" s="531">
        <f>'Divisional Model'!BK169</f>
        <v>-41.47477632568836</v>
      </c>
      <c r="AR148" s="531">
        <f>'Divisional Model'!BL169</f>
        <v>-53.749141870531886</v>
      </c>
      <c r="AS148" s="531">
        <f>'Divisional Model'!BM169</f>
        <v>-63.515748647063184</v>
      </c>
      <c r="AT148" s="531">
        <f>'Divisional Model'!BN169</f>
        <v>-64.188702753388014</v>
      </c>
    </row>
    <row r="150" spans="2:46">
      <c r="B150" s="525" t="s">
        <v>1875</v>
      </c>
    </row>
    <row r="151" spans="2:46">
      <c r="B151" t="s">
        <v>1890</v>
      </c>
      <c r="D151" s="531">
        <f>'Divisional Model'!Q242</f>
        <v>505</v>
      </c>
      <c r="E151" s="531">
        <f>'Divisional Model'!R242</f>
        <v>627</v>
      </c>
      <c r="F151" s="531">
        <f>'Divisional Model'!S242</f>
        <v>435</v>
      </c>
      <c r="G151" s="531">
        <f>'Divisional Model'!T242</f>
        <v>658</v>
      </c>
      <c r="H151" s="531">
        <f>'Divisional Model'!U242</f>
        <v>806</v>
      </c>
      <c r="I151" s="531">
        <f>'Divisional Model'!V242</f>
        <v>1177</v>
      </c>
      <c r="J151" s="531">
        <f>'Divisional Model'!W242</f>
        <v>1049</v>
      </c>
      <c r="K151" s="531">
        <f>'Divisional Model'!X242</f>
        <v>689</v>
      </c>
      <c r="L151" s="531">
        <f>'Divisional Model'!Y242</f>
        <v>1112</v>
      </c>
      <c r="M151" s="531">
        <f>'Divisional Model'!Z242</f>
        <v>1559</v>
      </c>
      <c r="N151" s="531">
        <f>'Divisional Model'!AA242</f>
        <v>1254</v>
      </c>
      <c r="O151" s="531">
        <f>'Divisional Model'!AB242</f>
        <v>2070</v>
      </c>
      <c r="P151" s="531">
        <f>'Divisional Model'!AC242</f>
        <v>1889</v>
      </c>
      <c r="Q151" s="531">
        <f>'Divisional Model'!AD242</f>
        <v>4232</v>
      </c>
      <c r="R151" s="531">
        <f>'Divisional Model'!AE242</f>
        <v>1534</v>
      </c>
      <c r="S151" s="531">
        <f>'Divisional Model'!AF242</f>
        <v>1982</v>
      </c>
      <c r="T151" s="531">
        <f>'Divisional Model'!AG242</f>
        <v>1406</v>
      </c>
      <c r="U151" s="531">
        <f>'Divisional Model'!AH242</f>
        <v>1614</v>
      </c>
      <c r="V151" s="531">
        <f>'Divisional Model'!AI242</f>
        <v>1380</v>
      </c>
      <c r="W151" s="531">
        <f>'Divisional Model'!AJ242</f>
        <v>2084.6999999999998</v>
      </c>
      <c r="X151" s="531">
        <f>'Divisional Model'!AK242</f>
        <v>1690.3804999999998</v>
      </c>
      <c r="Y151" s="531">
        <f>'Divisional Model'!AL242</f>
        <v>1943.8387424999996</v>
      </c>
      <c r="Z151" s="531">
        <f>'Divisional Model'!AM242</f>
        <v>1799.7647891624997</v>
      </c>
      <c r="AA151" s="531">
        <f>'Divisional Model'!AN242</f>
        <v>2127.7796310269996</v>
      </c>
      <c r="AB151" s="531">
        <f>'Divisional Model'!AO242</f>
        <v>1872.0529602856648</v>
      </c>
      <c r="AC151" s="531">
        <f>'Divisional Model'!AP242</f>
        <v>2213.2351364896904</v>
      </c>
      <c r="AD151" s="531">
        <f>'Divisional Model'!AQ242</f>
        <v>1980.2000623141157</v>
      </c>
      <c r="AE151" s="531">
        <f>'Divisional Model'!AR242</f>
        <v>2253.5593954811661</v>
      </c>
      <c r="AF151" s="531"/>
      <c r="AG151" s="531">
        <f>'Divisional Model'!BA242</f>
        <v>1132</v>
      </c>
      <c r="AH151" s="531">
        <f>'Divisional Model'!BB242</f>
        <v>1093</v>
      </c>
      <c r="AI151" s="531">
        <f>'Divisional Model'!BC242</f>
        <v>1983</v>
      </c>
      <c r="AJ151" s="531">
        <f>'Divisional Model'!BD242</f>
        <v>1738</v>
      </c>
      <c r="AK151" s="531">
        <f>'Divisional Model'!BE242</f>
        <v>2671</v>
      </c>
      <c r="AL151" s="531">
        <f>'Divisional Model'!BF242</f>
        <v>3324</v>
      </c>
      <c r="AM151" s="531">
        <f>'Divisional Model'!BG242</f>
        <v>6121</v>
      </c>
      <c r="AN151" s="531">
        <f>'Divisional Model'!BH242</f>
        <v>3516</v>
      </c>
      <c r="AO151" s="531">
        <f>'Divisional Model'!BI242</f>
        <v>3020</v>
      </c>
      <c r="AP151" s="531">
        <f>'Divisional Model'!BJ242</f>
        <v>3464.7</v>
      </c>
      <c r="AQ151" s="531">
        <f>'Divisional Model'!BK242</f>
        <v>3634.2192424999994</v>
      </c>
      <c r="AR151" s="531">
        <f>'Divisional Model'!BL242</f>
        <v>3927.5444201894993</v>
      </c>
      <c r="AS151" s="531">
        <f>'Divisional Model'!BM242</f>
        <v>4085.2880967753554</v>
      </c>
      <c r="AT151" s="531">
        <f>'Divisional Model'!BN242</f>
        <v>4233.7594577952823</v>
      </c>
    </row>
    <row r="152" spans="2:46">
      <c r="B152" t="s">
        <v>1891</v>
      </c>
      <c r="D152" s="531">
        <f>'Divisional Model'!Q243</f>
        <v>430</v>
      </c>
      <c r="E152" s="531">
        <f>'Divisional Model'!R243</f>
        <v>498</v>
      </c>
      <c r="F152" s="531">
        <f>'Divisional Model'!S243</f>
        <v>469</v>
      </c>
      <c r="G152" s="531">
        <f>'Divisional Model'!T243</f>
        <v>398</v>
      </c>
      <c r="H152" s="531">
        <f>'Divisional Model'!U243</f>
        <v>551</v>
      </c>
      <c r="I152" s="531">
        <f>'Divisional Model'!V243</f>
        <v>406</v>
      </c>
      <c r="J152" s="531">
        <f>'Divisional Model'!W243</f>
        <v>641</v>
      </c>
      <c r="K152" s="531">
        <f>'Divisional Model'!X243</f>
        <v>578</v>
      </c>
      <c r="L152" s="531">
        <f>'Divisional Model'!Y243</f>
        <v>625</v>
      </c>
      <c r="M152" s="531">
        <f>'Divisional Model'!Z243</f>
        <v>560</v>
      </c>
      <c r="N152" s="531">
        <f>'Divisional Model'!AA243</f>
        <v>624</v>
      </c>
      <c r="O152" s="531">
        <f>'Divisional Model'!AB243</f>
        <v>784</v>
      </c>
      <c r="P152" s="531">
        <f>'Divisional Model'!AC243</f>
        <v>885</v>
      </c>
      <c r="Q152" s="531">
        <f>'Divisional Model'!AD243</f>
        <v>633</v>
      </c>
      <c r="R152" s="531">
        <f>'Divisional Model'!AE243</f>
        <v>829</v>
      </c>
      <c r="S152" s="531">
        <f>'Divisional Model'!AF243</f>
        <v>811</v>
      </c>
      <c r="T152" s="531">
        <f>'Divisional Model'!AG243</f>
        <v>863</v>
      </c>
      <c r="U152" s="531">
        <f>'Divisional Model'!AH243</f>
        <v>1007</v>
      </c>
      <c r="V152" s="531">
        <f>'Divisional Model'!AI243</f>
        <v>941</v>
      </c>
      <c r="W152" s="531">
        <f>'Divisional Model'!AJ243</f>
        <v>1058.625</v>
      </c>
      <c r="X152" s="531">
        <f>'Divisional Model'!AK243</f>
        <v>1042.745625</v>
      </c>
      <c r="Y152" s="531">
        <f>'Divisional Model'!AL243</f>
        <v>1063.6005375</v>
      </c>
      <c r="Z152" s="531">
        <f>'Divisional Model'!AM243</f>
        <v>1084.8725482499999</v>
      </c>
      <c r="AA152" s="531">
        <f>'Divisional Model'!AN243</f>
        <v>1106.5699992149998</v>
      </c>
      <c r="AB152" s="531">
        <f>'Divisional Model'!AO243</f>
        <v>1128.7013991992999</v>
      </c>
      <c r="AC152" s="531">
        <f>'Divisional Model'!AP243</f>
        <v>1151.275427183286</v>
      </c>
      <c r="AD152" s="531">
        <f>'Divisional Model'!AQ243</f>
        <v>1174.3009357269516</v>
      </c>
      <c r="AE152" s="531">
        <f>'Divisional Model'!AR243</f>
        <v>1197.7869544414907</v>
      </c>
      <c r="AF152" s="531"/>
      <c r="AG152" s="531">
        <f>'Divisional Model'!BA243</f>
        <v>928</v>
      </c>
      <c r="AH152" s="531">
        <f>'Divisional Model'!BB243</f>
        <v>867</v>
      </c>
      <c r="AI152" s="531">
        <f>'Divisional Model'!BC243</f>
        <v>957</v>
      </c>
      <c r="AJ152" s="531">
        <f>'Divisional Model'!BD243</f>
        <v>1219</v>
      </c>
      <c r="AK152" s="531">
        <f>'Divisional Model'!BE243</f>
        <v>1185</v>
      </c>
      <c r="AL152" s="531">
        <f>'Divisional Model'!BF243</f>
        <v>1408</v>
      </c>
      <c r="AM152" s="531">
        <f>'Divisional Model'!BG243</f>
        <v>1518</v>
      </c>
      <c r="AN152" s="531">
        <f>'Divisional Model'!BH243</f>
        <v>1640</v>
      </c>
      <c r="AO152" s="531">
        <f>'Divisional Model'!BI243</f>
        <v>1870</v>
      </c>
      <c r="AP152" s="531">
        <f>'Divisional Model'!BJ243</f>
        <v>1999.625</v>
      </c>
      <c r="AQ152" s="531">
        <f>'Divisional Model'!BK243</f>
        <v>2106.3461625</v>
      </c>
      <c r="AR152" s="531">
        <f>'Divisional Model'!BL243</f>
        <v>2191.4425474649997</v>
      </c>
      <c r="AS152" s="531">
        <f>'Divisional Model'!BM243</f>
        <v>2279.9768263825858</v>
      </c>
      <c r="AT152" s="531">
        <f>'Divisional Model'!BN243</f>
        <v>2372.0878901684423</v>
      </c>
    </row>
    <row r="153" spans="2:46">
      <c r="B153" t="s">
        <v>1893</v>
      </c>
      <c r="D153" s="531">
        <f>'Divisional Model'!Q238</f>
        <v>447</v>
      </c>
      <c r="E153" s="531">
        <f>'Divisional Model'!R238</f>
        <v>410</v>
      </c>
      <c r="F153" s="531">
        <f>'Divisional Model'!S238</f>
        <v>436</v>
      </c>
      <c r="G153" s="531">
        <f>'Divisional Model'!T238</f>
        <v>457</v>
      </c>
      <c r="H153" s="531">
        <f>'Divisional Model'!U238</f>
        <v>611</v>
      </c>
      <c r="I153" s="531">
        <f>'Divisional Model'!V238</f>
        <v>611</v>
      </c>
      <c r="J153" s="531">
        <f>'Divisional Model'!W238</f>
        <v>283</v>
      </c>
      <c r="K153" s="531">
        <f>'Divisional Model'!X238</f>
        <v>347</v>
      </c>
      <c r="L153" s="531">
        <f>'Divisional Model'!Y238</f>
        <v>257</v>
      </c>
      <c r="M153" s="531">
        <f>'Divisional Model'!Z238</f>
        <v>228</v>
      </c>
      <c r="N153" s="531">
        <f>'Divisional Model'!AA238</f>
        <v>228</v>
      </c>
      <c r="O153" s="531">
        <f>'Divisional Model'!AB238</f>
        <v>279</v>
      </c>
      <c r="P153" s="531">
        <f>'Divisional Model'!AC238</f>
        <v>279</v>
      </c>
      <c r="Q153" s="531">
        <f>'Divisional Model'!AD238</f>
        <v>307</v>
      </c>
      <c r="R153" s="531">
        <f>'Divisional Model'!AE238</f>
        <v>283</v>
      </c>
      <c r="S153" s="531">
        <f>'Divisional Model'!AF238</f>
        <v>303</v>
      </c>
      <c r="T153" s="531">
        <f>'Divisional Model'!AG238</f>
        <v>289</v>
      </c>
      <c r="U153" s="531">
        <f>'Divisional Model'!AH238</f>
        <v>240</v>
      </c>
      <c r="V153" s="531">
        <f>'Divisional Model'!AI238</f>
        <v>318</v>
      </c>
      <c r="W153" s="531">
        <f>'Divisional Model'!AJ238</f>
        <v>362.1</v>
      </c>
      <c r="X153" s="531">
        <f>'Divisional Model'!AK238</f>
        <v>374.91750000000002</v>
      </c>
      <c r="Y153" s="531">
        <f>'Divisional Model'!AL238</f>
        <v>388.27012500000001</v>
      </c>
      <c r="Z153" s="531">
        <f>'Divisional Model'!AM238</f>
        <v>402.18251625000005</v>
      </c>
      <c r="AA153" s="531">
        <f>'Divisional Model'!AN238</f>
        <v>416.68050476250005</v>
      </c>
      <c r="AB153" s="531">
        <f>'Divisional Model'!AO238</f>
        <v>431.7911699546251</v>
      </c>
      <c r="AC153" s="531">
        <f>'Divisional Model'!AP238</f>
        <v>447.54290120543635</v>
      </c>
      <c r="AD153" s="531">
        <f>'Divisional Model'!AQ238</f>
        <v>463.96546247384981</v>
      </c>
      <c r="AE153" s="531">
        <f>'Divisional Model'!AR238</f>
        <v>481.09006012984673</v>
      </c>
      <c r="AF153" s="531"/>
      <c r="AG153" s="531">
        <f>'Divisional Model'!BA238</f>
        <v>857</v>
      </c>
      <c r="AH153" s="531">
        <f>'Divisional Model'!BB238</f>
        <v>893</v>
      </c>
      <c r="AI153" s="531">
        <f>'Divisional Model'!BC238</f>
        <v>1222</v>
      </c>
      <c r="AJ153" s="531">
        <f>'Divisional Model'!BD238</f>
        <v>630</v>
      </c>
      <c r="AK153" s="531">
        <f>'Divisional Model'!BE238</f>
        <v>485</v>
      </c>
      <c r="AL153" s="531">
        <f>'Divisional Model'!BF238</f>
        <v>507</v>
      </c>
      <c r="AM153" s="531">
        <f>'Divisional Model'!BG238</f>
        <v>586</v>
      </c>
      <c r="AN153" s="531">
        <f>'Divisional Model'!BH238</f>
        <v>586</v>
      </c>
      <c r="AO153" s="531">
        <f>'Divisional Model'!BI238</f>
        <v>529</v>
      </c>
      <c r="AP153" s="531">
        <f>'Divisional Model'!BJ238</f>
        <v>680.1</v>
      </c>
      <c r="AQ153" s="531">
        <f>'Divisional Model'!BK238</f>
        <v>763.18762500000003</v>
      </c>
      <c r="AR153" s="531">
        <f>'Divisional Model'!BL238</f>
        <v>818.86302101250021</v>
      </c>
      <c r="AS153" s="531">
        <f>'Divisional Model'!BM238</f>
        <v>879.33407116006151</v>
      </c>
      <c r="AT153" s="531">
        <f>'Divisional Model'!BN238</f>
        <v>945.05552260369655</v>
      </c>
    </row>
    <row r="154" spans="2:46">
      <c r="B154" t="s">
        <v>1892</v>
      </c>
      <c r="D154" s="531">
        <f>'Divisional Model'!Q245</f>
        <v>-41</v>
      </c>
      <c r="E154" s="531">
        <f>'Divisional Model'!R245</f>
        <v>-88</v>
      </c>
      <c r="F154" s="531">
        <f>'Divisional Model'!S245</f>
        <v>-56</v>
      </c>
      <c r="G154" s="531">
        <f>'Divisional Model'!T245</f>
        <v>-32</v>
      </c>
      <c r="H154" s="531">
        <f>'Divisional Model'!U245</f>
        <v>-18</v>
      </c>
      <c r="I154" s="531">
        <f>'Divisional Model'!V245</f>
        <v>-147</v>
      </c>
      <c r="J154" s="531">
        <f>'Divisional Model'!W245</f>
        <v>-32</v>
      </c>
      <c r="K154" s="531">
        <f>'Divisional Model'!X245</f>
        <v>-211</v>
      </c>
      <c r="L154" s="531">
        <f>'Divisional Model'!Y245</f>
        <v>-166</v>
      </c>
      <c r="M154" s="531">
        <f>'Divisional Model'!Z245</f>
        <v>-71</v>
      </c>
      <c r="N154" s="531">
        <f>'Divisional Model'!AA245</f>
        <v>-58</v>
      </c>
      <c r="O154" s="531">
        <f>'Divisional Model'!AB245</f>
        <v>-7</v>
      </c>
      <c r="P154" s="531">
        <f>'Divisional Model'!AC245</f>
        <v>-35</v>
      </c>
      <c r="Q154" s="531">
        <f>'Divisional Model'!AD245</f>
        <v>-22</v>
      </c>
      <c r="R154" s="531">
        <f>'Divisional Model'!AE245</f>
        <v>-21</v>
      </c>
      <c r="S154" s="531">
        <f>'Divisional Model'!AF245</f>
        <v>32</v>
      </c>
      <c r="T154" s="531">
        <f>'Divisional Model'!AG245</f>
        <v>-16</v>
      </c>
      <c r="U154" s="531">
        <f>'Divisional Model'!AH245</f>
        <v>-81</v>
      </c>
      <c r="V154" s="531">
        <f>'Divisional Model'!AI245</f>
        <v>-68</v>
      </c>
      <c r="W154" s="531">
        <f>'Divisional Model'!AJ245</f>
        <v>-60.2</v>
      </c>
      <c r="X154" s="531">
        <f>'Divisional Model'!AK245</f>
        <v>-45.370569785561955</v>
      </c>
      <c r="Y154" s="531">
        <f>'Divisional Model'!AL245</f>
        <v>-58.66199416470635</v>
      </c>
      <c r="Z154" s="531">
        <f>'Divisional Model'!AM245</f>
        <v>-68.244020913078117</v>
      </c>
      <c r="AA154" s="531">
        <f>'Divisional Model'!AN245</f>
        <v>-66.576743278839359</v>
      </c>
      <c r="AB154" s="531">
        <f>'Divisional Model'!AO245</f>
        <v>-79.571082497757502</v>
      </c>
      <c r="AC154" s="531">
        <f>'Divisional Model'!AP245</f>
        <v>-79.747587025292631</v>
      </c>
      <c r="AD154" s="531">
        <f>'Divisional Model'!AQ245</f>
        <v>-80.308542128300758</v>
      </c>
      <c r="AE154" s="531">
        <f>'Divisional Model'!AR245</f>
        <v>-80.698120611447493</v>
      </c>
      <c r="AF154" s="531"/>
      <c r="AG154" s="531">
        <f>'Divisional Model'!BA245</f>
        <v>-129</v>
      </c>
      <c r="AH154" s="531">
        <f>'Divisional Model'!BB245</f>
        <v>-88</v>
      </c>
      <c r="AI154" s="531">
        <f>'Divisional Model'!BC245</f>
        <v>-165</v>
      </c>
      <c r="AJ154" s="531">
        <f>'Divisional Model'!BD245</f>
        <v>-243</v>
      </c>
      <c r="AK154" s="531">
        <f>'Divisional Model'!BE245</f>
        <v>-237</v>
      </c>
      <c r="AL154" s="531">
        <f>'Divisional Model'!BF245</f>
        <v>-65</v>
      </c>
      <c r="AM154" s="531">
        <f>'Divisional Model'!BG245</f>
        <v>-57</v>
      </c>
      <c r="AN154" s="531">
        <f>'Divisional Model'!BH245</f>
        <v>11</v>
      </c>
      <c r="AO154" s="531">
        <f>'Divisional Model'!BI245</f>
        <v>-97</v>
      </c>
      <c r="AP154" s="531">
        <f>'Divisional Model'!BJ245</f>
        <v>-128.19999999999999</v>
      </c>
      <c r="AQ154" s="531">
        <f>'Divisional Model'!BK245</f>
        <v>-104.0325639502683</v>
      </c>
      <c r="AR154" s="531">
        <f>'Divisional Model'!BL245</f>
        <v>-134.82076419191748</v>
      </c>
      <c r="AS154" s="531">
        <f>'Divisional Model'!BM245</f>
        <v>-159.31866952305012</v>
      </c>
      <c r="AT154" s="531">
        <f>'Divisional Model'!BN245</f>
        <v>-161.00666273974826</v>
      </c>
    </row>
    <row r="156" spans="2:46">
      <c r="B156" s="525" t="s">
        <v>1876</v>
      </c>
    </row>
    <row r="157" spans="2:46">
      <c r="B157" t="s">
        <v>1886</v>
      </c>
      <c r="D157" s="531">
        <f>'Divisional Model'!Q319</f>
        <v>11</v>
      </c>
      <c r="E157" s="531">
        <f>'Divisional Model'!R319</f>
        <v>-8</v>
      </c>
      <c r="F157" s="531">
        <f>'Divisional Model'!S319</f>
        <v>-54</v>
      </c>
      <c r="G157" s="531">
        <f>'Divisional Model'!T319</f>
        <v>-11</v>
      </c>
      <c r="H157" s="531">
        <f>'Divisional Model'!U319</f>
        <v>61</v>
      </c>
      <c r="I157" s="531">
        <f>'Divisional Model'!V319</f>
        <v>26</v>
      </c>
      <c r="J157" s="531">
        <f>'Divisional Model'!W319</f>
        <v>-20</v>
      </c>
      <c r="K157" s="531">
        <f>'Divisional Model'!X319</f>
        <v>-39</v>
      </c>
      <c r="L157" s="531">
        <f>'Divisional Model'!Y319</f>
        <v>6</v>
      </c>
      <c r="M157" s="531">
        <f>'Divisional Model'!Z319</f>
        <v>63</v>
      </c>
      <c r="N157" s="531">
        <f>'Divisional Model'!AA319</f>
        <v>158</v>
      </c>
      <c r="O157" s="531">
        <f>'Divisional Model'!AB319</f>
        <v>256</v>
      </c>
      <c r="P157" s="531">
        <f>'Divisional Model'!AC319</f>
        <v>154</v>
      </c>
      <c r="Q157" s="531">
        <f>'Divisional Model'!AD319</f>
        <v>256</v>
      </c>
      <c r="R157" s="531">
        <f>'Divisional Model'!AE319</f>
        <v>334</v>
      </c>
      <c r="S157" s="531">
        <f>'Divisional Model'!AF319</f>
        <v>356</v>
      </c>
      <c r="T157" s="531">
        <f>'Divisional Model'!AG319</f>
        <v>322</v>
      </c>
      <c r="U157" s="531">
        <f>'Divisional Model'!AH319</f>
        <v>490</v>
      </c>
      <c r="V157" s="531">
        <f>'Divisional Model'!AI319</f>
        <v>497</v>
      </c>
      <c r="W157" s="531">
        <f>'Divisional Model'!AJ319</f>
        <v>494.30496496980157</v>
      </c>
      <c r="X157" s="531">
        <f>'Divisional Model'!AK319</f>
        <v>514.93640406565351</v>
      </c>
      <c r="Y157" s="531">
        <f>'Divisional Model'!AL319</f>
        <v>536.42896394590196</v>
      </c>
      <c r="Z157" s="531">
        <f>'Divisional Model'!AM319</f>
        <v>558.81858631106877</v>
      </c>
      <c r="AA157" s="531">
        <f>'Divisional Model'!AN319</f>
        <v>582.14271300644043</v>
      </c>
      <c r="AB157" s="531">
        <f>'Divisional Model'!AO319</f>
        <v>606.44034863553054</v>
      </c>
      <c r="AC157" s="531">
        <f>'Divisional Model'!AP319</f>
        <v>631.75212578692037</v>
      </c>
      <c r="AD157" s="531">
        <f>'Divisional Model'!AQ319</f>
        <v>658.12037298355563</v>
      </c>
      <c r="AE157" s="531">
        <f>'Divisional Model'!AR319</f>
        <v>685.58918546813004</v>
      </c>
      <c r="AF157" s="531"/>
      <c r="AG157" s="531">
        <f>'Divisional Model'!BA319</f>
        <v>3</v>
      </c>
      <c r="AH157" s="531">
        <f>'Divisional Model'!BB319</f>
        <v>-65</v>
      </c>
      <c r="AI157" s="531">
        <f>'Divisional Model'!BC319</f>
        <v>87</v>
      </c>
      <c r="AJ157" s="531">
        <f>'Divisional Model'!BD319</f>
        <v>-59</v>
      </c>
      <c r="AK157" s="531">
        <f>'Divisional Model'!BE319</f>
        <v>69</v>
      </c>
      <c r="AL157" s="531">
        <f>'Divisional Model'!BF319</f>
        <v>414</v>
      </c>
      <c r="AM157" s="531">
        <f>'Divisional Model'!BG319</f>
        <v>410</v>
      </c>
      <c r="AN157" s="531">
        <f>'Divisional Model'!BH319</f>
        <v>690</v>
      </c>
      <c r="AO157" s="531">
        <f>'Divisional Model'!BI319</f>
        <v>812</v>
      </c>
      <c r="AP157" s="531">
        <f>'Divisional Model'!BJ319</f>
        <v>991.30496496980163</v>
      </c>
      <c r="AQ157" s="531">
        <f>'Divisional Model'!BK319</f>
        <v>1051.3653680115553</v>
      </c>
      <c r="AR157" s="531">
        <f>'Divisional Model'!BL319</f>
        <v>1140.9612993175092</v>
      </c>
      <c r="AS157" s="531">
        <f>'Divisional Model'!BM319</f>
        <v>1238.1924744224509</v>
      </c>
      <c r="AT157" s="531">
        <f>'Divisional Model'!BN319</f>
        <v>1343.7095584516856</v>
      </c>
    </row>
    <row r="158" spans="2:46">
      <c r="B158" t="s">
        <v>1882</v>
      </c>
      <c r="D158" s="531">
        <f>'Divisional Model'!Q322</f>
        <v>0</v>
      </c>
      <c r="E158" s="531">
        <f>'Divisional Model'!R322</f>
        <v>0</v>
      </c>
      <c r="F158" s="531">
        <f>'Divisional Model'!S322</f>
        <v>0</v>
      </c>
      <c r="G158" s="531">
        <f>'Divisional Model'!T322</f>
        <v>0</v>
      </c>
      <c r="H158" s="531">
        <f>'Divisional Model'!U322</f>
        <v>0</v>
      </c>
      <c r="I158" s="531">
        <f>'Divisional Model'!V322</f>
        <v>0</v>
      </c>
      <c r="J158" s="531">
        <f>'Divisional Model'!W322</f>
        <v>590</v>
      </c>
      <c r="K158" s="531">
        <f>'Divisional Model'!X322</f>
        <v>827</v>
      </c>
      <c r="L158" s="531">
        <f>'Divisional Model'!Y322</f>
        <v>123</v>
      </c>
      <c r="M158" s="531">
        <f>'Divisional Model'!Z322</f>
        <v>998</v>
      </c>
      <c r="N158" s="531">
        <f>'Divisional Model'!AA322</f>
        <v>418</v>
      </c>
      <c r="O158" s="531">
        <f>'Divisional Model'!AB322</f>
        <v>725</v>
      </c>
      <c r="P158" s="531">
        <f>'Divisional Model'!AC322</f>
        <v>693</v>
      </c>
      <c r="Q158" s="531">
        <f>'Divisional Model'!AD322</f>
        <v>184</v>
      </c>
      <c r="R158" s="531">
        <f>'Divisional Model'!AE322</f>
        <v>253</v>
      </c>
      <c r="S158" s="531">
        <f>'Divisional Model'!AF322</f>
        <v>430</v>
      </c>
      <c r="T158" s="531">
        <f>'Divisional Model'!AG322</f>
        <v>309</v>
      </c>
      <c r="U158" s="531">
        <f>'Divisional Model'!AH322</f>
        <v>303</v>
      </c>
      <c r="V158" s="531">
        <f>'Divisional Model'!AI322</f>
        <v>292</v>
      </c>
      <c r="W158" s="531">
        <f>'Divisional Model'!AJ322</f>
        <v>350</v>
      </c>
      <c r="X158" s="531">
        <f>'Divisional Model'!AK322</f>
        <v>335.79999999999995</v>
      </c>
      <c r="Y158" s="531">
        <f>'Divisional Model'!AL322</f>
        <v>362.66399999999999</v>
      </c>
      <c r="Z158" s="531">
        <f>'Divisional Model'!AM322</f>
        <v>391.67712</v>
      </c>
      <c r="AA158" s="531">
        <f>'Divisional Model'!AN322</f>
        <v>423.01128960000005</v>
      </c>
      <c r="AB158" s="531">
        <f>'Divisional Model'!AO322</f>
        <v>456.85219276800007</v>
      </c>
      <c r="AC158" s="531">
        <f>'Divisional Model'!AP322</f>
        <v>479.69480240640007</v>
      </c>
      <c r="AD158" s="531">
        <f>'Divisional Model'!AQ322</f>
        <v>503.67954252672007</v>
      </c>
      <c r="AE158" s="531">
        <f>'Divisional Model'!AR322</f>
        <v>518.78992880252167</v>
      </c>
      <c r="AF158" s="531"/>
      <c r="AG158" s="531">
        <f>'Divisional Model'!BA322</f>
        <v>0</v>
      </c>
      <c r="AH158" s="531">
        <f>'Divisional Model'!BB322</f>
        <v>0</v>
      </c>
      <c r="AI158" s="531">
        <f>'Divisional Model'!BC322</f>
        <v>0</v>
      </c>
      <c r="AJ158" s="531">
        <f>'Divisional Model'!BD322</f>
        <v>1417</v>
      </c>
      <c r="AK158" s="531">
        <f>'Divisional Model'!BE322</f>
        <v>1121</v>
      </c>
      <c r="AL158" s="531">
        <f>'Divisional Model'!BF322</f>
        <v>1143</v>
      </c>
      <c r="AM158" s="531">
        <f>'Divisional Model'!BG322</f>
        <v>877</v>
      </c>
      <c r="AN158" s="531">
        <f>'Divisional Model'!BH322</f>
        <v>683</v>
      </c>
      <c r="AO158" s="531">
        <f>'Divisional Model'!BI322</f>
        <v>612</v>
      </c>
      <c r="AP158" s="531">
        <f>'Divisional Model'!BJ322</f>
        <v>642</v>
      </c>
      <c r="AQ158" s="531">
        <f>'Divisional Model'!BK322</f>
        <v>698.46399999999994</v>
      </c>
      <c r="AR158" s="531">
        <f>'Divisional Model'!BL322</f>
        <v>814.68840960000011</v>
      </c>
      <c r="AS158" s="531">
        <f>'Divisional Model'!BM322</f>
        <v>936.54699517440008</v>
      </c>
      <c r="AT158" s="531">
        <f>'Divisional Model'!BN322</f>
        <v>1022.4694713292417</v>
      </c>
    </row>
    <row r="159" spans="2:46">
      <c r="B159" t="s">
        <v>20</v>
      </c>
      <c r="D159" s="531">
        <f>'Divisional Model'!Q315</f>
        <v>416</v>
      </c>
      <c r="E159" s="531">
        <f>'Divisional Model'!R315</f>
        <v>471</v>
      </c>
      <c r="F159" s="531">
        <f>'Divisional Model'!S315</f>
        <v>422</v>
      </c>
      <c r="G159" s="531">
        <f>'Divisional Model'!T315</f>
        <v>423</v>
      </c>
      <c r="H159" s="531">
        <f>'Divisional Model'!U315</f>
        <v>526</v>
      </c>
      <c r="I159" s="531">
        <f>'Divisional Model'!V315</f>
        <v>497</v>
      </c>
      <c r="J159" s="531">
        <f>'Divisional Model'!W315</f>
        <v>415</v>
      </c>
      <c r="K159" s="531">
        <f>'Divisional Model'!X315</f>
        <v>536</v>
      </c>
      <c r="L159" s="531">
        <f>'Divisional Model'!Y315</f>
        <v>397.2456030150754</v>
      </c>
      <c r="M159" s="531">
        <f>'Divisional Model'!Z315</f>
        <v>431.2952261306533</v>
      </c>
      <c r="N159" s="531">
        <f>'Divisional Model'!AA315</f>
        <v>618</v>
      </c>
      <c r="O159" s="531">
        <f>'Divisional Model'!AB315</f>
        <v>755</v>
      </c>
      <c r="P159" s="531">
        <f>'Divisional Model'!AC315</f>
        <v>438</v>
      </c>
      <c r="Q159" s="531">
        <f>'Divisional Model'!AD315</f>
        <v>413.3743718592965</v>
      </c>
      <c r="R159" s="531">
        <f>'Divisional Model'!AE315</f>
        <v>408</v>
      </c>
      <c r="S159" s="531">
        <f>'Divisional Model'!AF315</f>
        <v>335</v>
      </c>
      <c r="T159" s="531">
        <f>'Divisional Model'!AG315</f>
        <v>413</v>
      </c>
      <c r="U159" s="531">
        <f>'Divisional Model'!AH315</f>
        <v>503</v>
      </c>
      <c r="V159" s="531">
        <f>'Divisional Model'!AI315</f>
        <v>558</v>
      </c>
      <c r="W159" s="531">
        <f>'Divisional Model'!AJ315</f>
        <v>440.125</v>
      </c>
      <c r="X159" s="531">
        <f>'Divisional Model'!AK315</f>
        <v>513.36</v>
      </c>
      <c r="Y159" s="531">
        <f>'Divisional Model'!AL315</f>
        <v>510.54499999999996</v>
      </c>
      <c r="Z159" s="531">
        <f>'Divisional Model'!AM315</f>
        <v>528.76080000000002</v>
      </c>
      <c r="AA159" s="531">
        <f>'Divisional Model'!AN315</f>
        <v>530.96679999999992</v>
      </c>
      <c r="AB159" s="531">
        <f>'Divisional Model'!AO315</f>
        <v>549.91123200000004</v>
      </c>
      <c r="AC159" s="531">
        <f>'Divisional Model'!AP315</f>
        <v>552.20547199999999</v>
      </c>
      <c r="AD159" s="531">
        <f>'Divisional Model'!AQ315</f>
        <v>571.90768128000002</v>
      </c>
      <c r="AE159" s="531">
        <f>'Divisional Model'!AR315</f>
        <v>574.29369087999999</v>
      </c>
      <c r="AF159" s="531"/>
      <c r="AG159" s="531">
        <f>'Divisional Model'!BA315</f>
        <v>887</v>
      </c>
      <c r="AH159" s="531">
        <f>'Divisional Model'!BB315</f>
        <v>845</v>
      </c>
      <c r="AI159" s="531">
        <f>'Divisional Model'!BC315</f>
        <v>1023</v>
      </c>
      <c r="AJ159" s="531">
        <f>'Divisional Model'!BD315</f>
        <v>951</v>
      </c>
      <c r="AK159" s="531">
        <f>'Divisional Model'!BE315</f>
        <v>828.54082914572871</v>
      </c>
      <c r="AL159" s="531">
        <f>'Divisional Model'!BF315</f>
        <v>1373</v>
      </c>
      <c r="AM159" s="531">
        <f>'Divisional Model'!BG315</f>
        <v>851.3743718592965</v>
      </c>
      <c r="AN159" s="531">
        <f>'Divisional Model'!BH315</f>
        <v>743</v>
      </c>
      <c r="AO159" s="531">
        <f>'Divisional Model'!BI315</f>
        <v>916</v>
      </c>
      <c r="AP159" s="531">
        <f>'Divisional Model'!BJ315</f>
        <v>998.125</v>
      </c>
      <c r="AQ159" s="531">
        <f>'Divisional Model'!BK315</f>
        <v>1023.905</v>
      </c>
      <c r="AR159" s="531">
        <f>'Divisional Model'!BL315</f>
        <v>1059.7275999999999</v>
      </c>
      <c r="AS159" s="531">
        <f>'Divisional Model'!BM315</f>
        <v>1102.116704</v>
      </c>
      <c r="AT159" s="531">
        <f>'Divisional Model'!BN315</f>
        <v>1146.2013721600001</v>
      </c>
    </row>
    <row r="160" spans="2:46">
      <c r="B160" t="s">
        <v>1887</v>
      </c>
      <c r="D160" s="531">
        <f>'Divisional Model'!Q321</f>
        <v>-55</v>
      </c>
      <c r="E160" s="531">
        <f>'Divisional Model'!R321</f>
        <v>3</v>
      </c>
      <c r="F160" s="531">
        <f>'Divisional Model'!S321</f>
        <v>-18</v>
      </c>
      <c r="G160" s="531">
        <f>'Divisional Model'!T321</f>
        <v>-38</v>
      </c>
      <c r="H160" s="531">
        <f>'Divisional Model'!U321</f>
        <v>4</v>
      </c>
      <c r="I160" s="531">
        <f>'Divisional Model'!V321</f>
        <v>-179</v>
      </c>
      <c r="J160" s="531">
        <f>'Divisional Model'!W321</f>
        <v>-62</v>
      </c>
      <c r="K160" s="531">
        <f>'Divisional Model'!X321</f>
        <v>-220</v>
      </c>
      <c r="L160" s="531">
        <f>'Divisional Model'!Y321</f>
        <v>-119</v>
      </c>
      <c r="M160" s="531">
        <f>'Divisional Model'!Z321</f>
        <v>-110</v>
      </c>
      <c r="N160" s="531">
        <f>'Divisional Model'!AA321</f>
        <v>-137</v>
      </c>
      <c r="O160" s="531">
        <f>'Divisional Model'!AB321</f>
        <v>-225</v>
      </c>
      <c r="P160" s="531">
        <f>'Divisional Model'!AC321</f>
        <v>-195</v>
      </c>
      <c r="Q160" s="531">
        <f>'Divisional Model'!AD321</f>
        <v>-99</v>
      </c>
      <c r="R160" s="531">
        <f>'Divisional Model'!AE321</f>
        <v>33</v>
      </c>
      <c r="S160" s="531">
        <f>'Divisional Model'!AF321</f>
        <v>131</v>
      </c>
      <c r="T160" s="531">
        <f>'Divisional Model'!AG321</f>
        <v>-42</v>
      </c>
      <c r="U160" s="531">
        <f>'Divisional Model'!AH321</f>
        <v>-73</v>
      </c>
      <c r="V160" s="531">
        <f>'Divisional Model'!AI321</f>
        <v>-13</v>
      </c>
      <c r="W160" s="531">
        <f>'Divisional Model'!AJ321</f>
        <v>-17.7</v>
      </c>
      <c r="X160" s="531">
        <f>'Divisional Model'!AK321</f>
        <v>-22.125</v>
      </c>
      <c r="Y160" s="531">
        <f>'Divisional Model'!AL321</f>
        <v>-28.606575298226716</v>
      </c>
      <c r="Z160" s="531">
        <f>'Divisional Model'!AM321</f>
        <v>-33.279259437079865</v>
      </c>
      <c r="AA160" s="531">
        <f>'Divisional Model'!AN321</f>
        <v>-32.466209968407085</v>
      </c>
      <c r="AB160" s="531">
        <f>'Divisional Model'!AO321</f>
        <v>-38.802911415565312</v>
      </c>
      <c r="AC160" s="531">
        <f>'Divisional Model'!AP321</f>
        <v>-38.888984010425197</v>
      </c>
      <c r="AD160" s="531">
        <f>'Divisional Model'!AQ321</f>
        <v>-39.162534281288323</v>
      </c>
      <c r="AE160" s="531">
        <f>'Divisional Model'!AR321</f>
        <v>-39.352512586175393</v>
      </c>
      <c r="AF160" s="531"/>
      <c r="AG160" s="531">
        <f>'Divisional Model'!BA321</f>
        <v>-52</v>
      </c>
      <c r="AH160" s="531">
        <f>'Divisional Model'!BB321</f>
        <v>-56</v>
      </c>
      <c r="AI160" s="531">
        <f>'Divisional Model'!BC321</f>
        <v>-175</v>
      </c>
      <c r="AJ160" s="531">
        <f>'Divisional Model'!BD321</f>
        <v>-282</v>
      </c>
      <c r="AK160" s="531">
        <f>'Divisional Model'!BE321</f>
        <v>-229</v>
      </c>
      <c r="AL160" s="531">
        <f>'Divisional Model'!BF321</f>
        <v>-362</v>
      </c>
      <c r="AM160" s="531">
        <f>'Divisional Model'!BG321</f>
        <v>-294</v>
      </c>
      <c r="AN160" s="531">
        <f>'Divisional Model'!BH321</f>
        <v>164</v>
      </c>
      <c r="AO160" s="531">
        <f>'Divisional Model'!BI321</f>
        <v>-115</v>
      </c>
      <c r="AP160" s="531">
        <f>'Divisional Model'!BJ321</f>
        <v>-30.7</v>
      </c>
      <c r="AQ160" s="531">
        <f>'Divisional Model'!BK321</f>
        <v>-50.731575298226716</v>
      </c>
      <c r="AR160" s="531">
        <f>'Divisional Model'!BL321</f>
        <v>-65.745469405486944</v>
      </c>
      <c r="AS160" s="531">
        <f>'Divisional Model'!BM321</f>
        <v>-77.691895425990509</v>
      </c>
      <c r="AT160" s="531">
        <f>'Divisional Model'!BN321</f>
        <v>-78.515046867463724</v>
      </c>
    </row>
    <row r="162" spans="2:46">
      <c r="B162" s="525" t="s">
        <v>509</v>
      </c>
    </row>
    <row r="163" spans="2:46">
      <c r="B163" t="s">
        <v>1888</v>
      </c>
      <c r="D163" s="531">
        <f>'Divisional Model'!Q453+'Divisional Model'!Q462</f>
        <v>88</v>
      </c>
      <c r="E163" s="531">
        <f>'Divisional Model'!R453+'Divisional Model'!R462</f>
        <v>84</v>
      </c>
      <c r="F163" s="531">
        <f>'Divisional Model'!S453+'Divisional Model'!S462</f>
        <v>142</v>
      </c>
      <c r="G163" s="531">
        <f>'Divisional Model'!T453+'Divisional Model'!T462</f>
        <v>201</v>
      </c>
      <c r="H163" s="531">
        <f>'Divisional Model'!U453+'Divisional Model'!U462</f>
        <v>194</v>
      </c>
      <c r="I163" s="531">
        <f>'Divisional Model'!V453+'Divisional Model'!V462</f>
        <v>121</v>
      </c>
      <c r="J163" s="531">
        <f>'Divisional Model'!W453+'Divisional Model'!W462</f>
        <v>167</v>
      </c>
      <c r="K163" s="531">
        <f>'Divisional Model'!X453+'Divisional Model'!X462</f>
        <v>329</v>
      </c>
      <c r="L163" s="531">
        <f>'Divisional Model'!Y453+'Divisional Model'!Y462</f>
        <v>56</v>
      </c>
      <c r="M163" s="531">
        <f>'Divisional Model'!Z453+'Divisional Model'!Z462</f>
        <v>199</v>
      </c>
      <c r="N163" s="531">
        <f>'Divisional Model'!AA453+'Divisional Model'!AA462</f>
        <v>157</v>
      </c>
      <c r="O163" s="531">
        <f>'Divisional Model'!AB453+'Divisional Model'!AB462</f>
        <v>-178</v>
      </c>
      <c r="P163" s="531">
        <f>'Divisional Model'!AC453+'Divisional Model'!AC462</f>
        <v>188</v>
      </c>
      <c r="Q163" s="531">
        <f>'Divisional Model'!AD453+'Divisional Model'!AD462</f>
        <v>240</v>
      </c>
      <c r="R163" s="531">
        <f>'Divisional Model'!AE453+'Divisional Model'!AE462</f>
        <v>453</v>
      </c>
      <c r="S163" s="531">
        <f>'Divisional Model'!AF453+'Divisional Model'!AF462</f>
        <v>520</v>
      </c>
      <c r="T163" s="531">
        <f>'Divisional Model'!AG453+'Divisional Model'!AG462</f>
        <v>505</v>
      </c>
      <c r="U163" s="531">
        <f>'Divisional Model'!AH453+'Divisional Model'!AH462</f>
        <v>529</v>
      </c>
      <c r="V163" s="531">
        <f>'Divisional Model'!AI453+'Divisional Model'!AI462</f>
        <v>430</v>
      </c>
      <c r="W163" s="531">
        <f>'Divisional Model'!AJ453+'Divisional Model'!AJ462</f>
        <v>540.6</v>
      </c>
      <c r="X163" s="531">
        <f>'Divisional Model'!AK453+'Divisional Model'!AK462</f>
        <v>601.41000000000008</v>
      </c>
      <c r="Y163" s="531">
        <f>'Divisional Model'!AL453+'Divisional Model'!AL462</f>
        <v>590.66430000000014</v>
      </c>
      <c r="Z163" s="531">
        <f>'Divisional Model'!AM453+'Divisional Model'!AM462</f>
        <v>580.06938900000011</v>
      </c>
      <c r="AA163" s="531">
        <f>'Divisional Model'!AN453+'Divisional Model'!AN462</f>
        <v>569.62545747000013</v>
      </c>
      <c r="AB163" s="531">
        <f>'Divisional Model'!AO453+'Divisional Model'!AO462</f>
        <v>559.33253175810012</v>
      </c>
      <c r="AC163" s="531">
        <f>'Divisional Model'!AP453+'Divisional Model'!AP462</f>
        <v>549.19048538856316</v>
      </c>
      <c r="AD163" s="531">
        <f>'Divisional Model'!AQ453+'Divisional Model'!AQ462</f>
        <v>539.19904973313555</v>
      </c>
      <c r="AE163" s="531">
        <f>'Divisional Model'!AR453+'Divisional Model'!AR462</f>
        <v>529.35782408819944</v>
      </c>
      <c r="AF163" s="531"/>
      <c r="AG163" s="531">
        <f>'Divisional Model'!BA453+'Divisional Model'!BA462</f>
        <v>172</v>
      </c>
      <c r="AH163" s="531">
        <f>'Divisional Model'!BB453+'Divisional Model'!BB462</f>
        <v>343</v>
      </c>
      <c r="AI163" s="531">
        <f>'Divisional Model'!BC453+'Divisional Model'!BC462</f>
        <v>315</v>
      </c>
      <c r="AJ163" s="531">
        <f>'Divisional Model'!BD453+'Divisional Model'!BD462</f>
        <v>496</v>
      </c>
      <c r="AK163" s="531">
        <f>'Divisional Model'!BE453+'Divisional Model'!BE462</f>
        <v>255</v>
      </c>
      <c r="AL163" s="531">
        <f>'Divisional Model'!BF453+'Divisional Model'!BF462</f>
        <v>-21</v>
      </c>
      <c r="AM163" s="531">
        <f>'Divisional Model'!BG453+'Divisional Model'!BG462</f>
        <v>428</v>
      </c>
      <c r="AN163" s="531">
        <f>'Divisional Model'!BH453+'Divisional Model'!BH462</f>
        <v>973</v>
      </c>
      <c r="AO163" s="531">
        <f>'Divisional Model'!BI453+'Divisional Model'!BI462</f>
        <v>1034</v>
      </c>
      <c r="AP163" s="531">
        <f>'Divisional Model'!BJ453+'Divisional Model'!BJ462</f>
        <v>970.59999999999991</v>
      </c>
      <c r="AQ163" s="531">
        <f>'Divisional Model'!BK453+'Divisional Model'!BK462</f>
        <v>1192.0743000000002</v>
      </c>
      <c r="AR163" s="531">
        <f>'Divisional Model'!BL453+'Divisional Model'!BL462</f>
        <v>1149.6948464700001</v>
      </c>
      <c r="AS163" s="531">
        <f>'Divisional Model'!BM453+'Divisional Model'!BM462</f>
        <v>1108.5230171466633</v>
      </c>
      <c r="AT163" s="531">
        <f>'Divisional Model'!BN453+'Divisional Model'!BN462</f>
        <v>1068.5568738213351</v>
      </c>
    </row>
    <row r="165" spans="2:46">
      <c r="B165" s="524" t="s">
        <v>1896</v>
      </c>
    </row>
    <row r="166" spans="2:46">
      <c r="B166" t="s">
        <v>1895</v>
      </c>
      <c r="D166" s="531">
        <f>SUM('Divisional Model'!Q29:Q31)</f>
        <v>-3733</v>
      </c>
      <c r="E166" s="531">
        <f>SUM('Divisional Model'!R29:R31)</f>
        <v>-3527</v>
      </c>
      <c r="F166" s="531">
        <f>SUM('Divisional Model'!S29:S31)</f>
        <v>-3693</v>
      </c>
      <c r="G166" s="531">
        <f>SUM('Divisional Model'!T29:T31)</f>
        <v>-3763</v>
      </c>
      <c r="H166" s="531">
        <f>SUM('Divisional Model'!U29:U31)</f>
        <v>-4125</v>
      </c>
      <c r="I166" s="531">
        <f>SUM('Divisional Model'!V29:V31)</f>
        <v>-4762</v>
      </c>
      <c r="J166" s="531">
        <f>SUM('Divisional Model'!W29:W31)</f>
        <v>-4480</v>
      </c>
      <c r="K166" s="531">
        <f>SUM('Divisional Model'!X29:X31)</f>
        <v>-4391</v>
      </c>
      <c r="L166" s="531">
        <f>SUM('Divisional Model'!Y29:Y31)</f>
        <v>-4266</v>
      </c>
      <c r="M166" s="531">
        <f>SUM('Divisional Model'!Z29:Z31)</f>
        <v>-4601</v>
      </c>
      <c r="N166" s="531">
        <f>SUM('Divisional Model'!AA29:AA31)</f>
        <v>-5069</v>
      </c>
      <c r="O166" s="531">
        <f>SUM('Divisional Model'!AB29:AB31)</f>
        <v>-5716</v>
      </c>
      <c r="P166" s="531">
        <f>SUM('Divisional Model'!AC29:AC31)</f>
        <v>-5596</v>
      </c>
      <c r="Q166" s="531">
        <f>SUM('Divisional Model'!AD29:AD31)</f>
        <v>-6534</v>
      </c>
      <c r="R166" s="531">
        <f>SUM('Divisional Model'!AE29:AE31)</f>
        <v>-5919</v>
      </c>
      <c r="S166" s="531">
        <f>SUM('Divisional Model'!AF29:AF31)</f>
        <v>-6142</v>
      </c>
      <c r="T166" s="531">
        <f>SUM('Divisional Model'!AG29:AG31)</f>
        <v>-5919</v>
      </c>
      <c r="U166" s="531">
        <f>SUM('Divisional Model'!AH29:AH31)</f>
        <v>-6221</v>
      </c>
      <c r="V166" s="531">
        <f>SUM('Divisional Model'!AI29:AI31)</f>
        <v>-6239</v>
      </c>
      <c r="W166" s="531">
        <f>SUM('Divisional Model'!AJ29:AJ31)</f>
        <v>-6363.7799999999988</v>
      </c>
      <c r="X166" s="531">
        <f>SUM('Divisional Model'!AK29:AK31)</f>
        <v>-6082.4575000000004</v>
      </c>
      <c r="Y166" s="531">
        <f>SUM('Divisional Model'!AL29:AL31)</f>
        <v>-6390.9478499999987</v>
      </c>
      <c r="Z166" s="531">
        <f>SUM('Divisional Model'!AM29:AM31)</f>
        <v>-6280.13736875</v>
      </c>
      <c r="AA166" s="531">
        <f>SUM('Divisional Model'!AN29:AN31)</f>
        <v>-6598.6536551249992</v>
      </c>
      <c r="AB166" s="531">
        <f>SUM('Divisional Model'!AO29:AO31)</f>
        <v>-6484.2418332343732</v>
      </c>
      <c r="AC166" s="531">
        <f>SUM('Divisional Model'!AP29:AP31)</f>
        <v>-6813.1098989165603</v>
      </c>
      <c r="AD166" s="531">
        <f>SUM('Divisional Model'!AQ29:AQ31)</f>
        <v>-6694.9796928144915</v>
      </c>
      <c r="AE166" s="531">
        <f>SUM('Divisional Model'!AR29:AR31)</f>
        <v>-7034.5359706313484</v>
      </c>
      <c r="AF166" s="531"/>
      <c r="AG166" s="531">
        <f>SUM('Divisional Model'!BA29:BA31)</f>
        <v>-7260</v>
      </c>
      <c r="AH166" s="531">
        <f>SUM('Divisional Model'!BB29:BB31)</f>
        <v>-7456</v>
      </c>
      <c r="AI166" s="531">
        <f>SUM('Divisional Model'!BC29:BC31)</f>
        <v>-8887</v>
      </c>
      <c r="AJ166" s="531">
        <f>SUM('Divisional Model'!BD29:BD31)</f>
        <v>-8871</v>
      </c>
      <c r="AK166" s="531">
        <f>SUM('Divisional Model'!BE29:BE31)</f>
        <v>-8867</v>
      </c>
      <c r="AL166" s="531">
        <f>SUM('Divisional Model'!BF29:BF31)</f>
        <v>-10785</v>
      </c>
      <c r="AM166" s="531">
        <f>SUM('Divisional Model'!BG29:BG31)</f>
        <v>-12130</v>
      </c>
      <c r="AN166" s="531">
        <f>SUM('Divisional Model'!BH29:BH31)</f>
        <v>-12061</v>
      </c>
      <c r="AO166" s="531">
        <f>SUM('Divisional Model'!BI29:BI31)</f>
        <v>-12140</v>
      </c>
      <c r="AP166" s="531">
        <f>SUM('Divisional Model'!BJ29:BJ31)</f>
        <v>-12602.779999999999</v>
      </c>
      <c r="AQ166" s="531">
        <f>SUM('Divisional Model'!BK29:BK31)</f>
        <v>-12473.405349999997</v>
      </c>
      <c r="AR166" s="531">
        <f>SUM('Divisional Model'!BL29:BL31)</f>
        <v>-12878.791023875001</v>
      </c>
      <c r="AS166" s="531">
        <f>SUM('Divisional Model'!BM29:BM31)</f>
        <v>-13297.351732150935</v>
      </c>
      <c r="AT166" s="531">
        <f>SUM('Divisional Model'!BN29:BN31)</f>
        <v>-13729.51566344584</v>
      </c>
    </row>
    <row r="168" spans="2:46">
      <c r="B168" s="524" t="s">
        <v>1898</v>
      </c>
    </row>
    <row r="169" spans="2:46">
      <c r="B169" t="s">
        <v>1899</v>
      </c>
      <c r="Q169" s="532">
        <f>'[2]MQG - Consolidation Analysis'!C86</f>
        <v>0.10672718585762071</v>
      </c>
      <c r="R169" s="532">
        <f>'[2]MQG - Consolidation Analysis'!D86</f>
        <v>8.2977335164835145E-2</v>
      </c>
      <c r="S169" s="532">
        <f>'[2]MQG - Consolidation Analysis'!E86</f>
        <v>0.1229865220249835</v>
      </c>
      <c r="T169" s="532">
        <f>'[2]MQG - Consolidation Analysis'!F86</f>
        <v>0.15211486626580967</v>
      </c>
      <c r="U169" s="532">
        <f>'[2]MQG - Consolidation Analysis'!G86</f>
        <v>0.20091408591408599</v>
      </c>
      <c r="V169" s="532">
        <f>'[2]MQG - Consolidation Analysis'!H86</f>
        <v>0.28805771774521766</v>
      </c>
      <c r="W169" s="532">
        <f>'[2]MQG - Consolidation Analysis'!I86</f>
        <v>0.5384763936246717</v>
      </c>
      <c r="X169" s="532">
        <f>'[2]MQG - Consolidation Analysis'!J86</f>
        <v>0.44266321363167338</v>
      </c>
      <c r="Y169" s="532">
        <f>'[2]MQG - Consolidation Analysis'!K86</f>
        <v>0.45569425082021003</v>
      </c>
      <c r="Z169" s="532">
        <f>'[2]MQG - Consolidation Analysis'!L86</f>
        <v>0.43037402943453806</v>
      </c>
      <c r="AA169" s="532">
        <f>'[2]MQG - Consolidation Analysis'!M86</f>
        <v>0.45298844575527103</v>
      </c>
      <c r="AB169" s="532">
        <f>'[2]MQG - Consolidation Analysis'!N86</f>
        <v>0.42507660734002273</v>
      </c>
      <c r="AC169" s="532">
        <f>'[2]MQG - Consolidation Analysis'!O86</f>
        <v>0.44528645377331338</v>
      </c>
      <c r="AD169" s="532">
        <f>'[2]MQG - Consolidation Analysis'!P86</f>
        <v>0.41162557891139351</v>
      </c>
      <c r="AE169" s="532">
        <f>'[2]MQG - Consolidation Analysis'!Q86</f>
        <v>0.42382441207130994</v>
      </c>
      <c r="AF169" s="532"/>
      <c r="AG169" s="532"/>
      <c r="AH169" s="533"/>
      <c r="AI169" s="533"/>
      <c r="AJ169" s="533"/>
      <c r="AK169" s="533"/>
      <c r="AL169" s="533"/>
      <c r="AM169" s="533"/>
      <c r="AN169" s="532">
        <f>'[2]MQG - Consolidation Analysis'!T86</f>
        <v>0.10743362831858404</v>
      </c>
      <c r="AO169" s="532">
        <f>'[2]MQG - Consolidation Analysis'!U86</f>
        <v>0.16719298245614039</v>
      </c>
      <c r="AP169" s="532">
        <f>'[2]MQG - Consolidation Analysis'!V86</f>
        <v>0.42081784127239485</v>
      </c>
      <c r="AQ169" s="532">
        <f>'[2]MQG - Consolidation Analysis'!W86</f>
        <v>0.44836656477785103</v>
      </c>
      <c r="AR169" s="532">
        <f>'[2]MQG - Consolidation Analysis'!X86</f>
        <v>0.44087396943150353</v>
      </c>
      <c r="AS169" s="532">
        <f>'[2]MQG - Consolidation Analysis'!Y86</f>
        <v>0.43410662259857619</v>
      </c>
      <c r="AT169" s="532">
        <f>'[2]MQG - Consolidation Analysis'!Z86</f>
        <v>0.41654584617943224</v>
      </c>
    </row>
    <row r="170" spans="2:46">
      <c r="B170" t="s">
        <v>1900</v>
      </c>
      <c r="Q170" s="532">
        <f>'[2]MQG - Consolidation Analysis'!C87</f>
        <v>0.14401360544217681</v>
      </c>
      <c r="R170" s="532">
        <f>'[2]MQG - Consolidation Analysis'!D87</f>
        <v>0.14038461538461539</v>
      </c>
      <c r="S170" s="532">
        <f>'[2]MQG - Consolidation Analysis'!E87</f>
        <v>0.13061872909698999</v>
      </c>
      <c r="T170" s="532">
        <f>'[2]MQG - Consolidation Analysis'!F87</f>
        <v>0.13035714285714289</v>
      </c>
      <c r="U170" s="532">
        <f>'[2]MQG - Consolidation Analysis'!G87</f>
        <v>0.13320075446941121</v>
      </c>
      <c r="V170" s="532">
        <f>'[2]MQG - Consolidation Analysis'!H87</f>
        <v>0.13537087912087914</v>
      </c>
      <c r="W170" s="532">
        <f>'[2]MQG - Consolidation Analysis'!I87</f>
        <v>0.1168647029104344</v>
      </c>
      <c r="X170" s="532">
        <f>'[2]MQG - Consolidation Analysis'!J87</f>
        <v>0.119132560166215</v>
      </c>
      <c r="Y170" s="532">
        <f>'[2]MQG - Consolidation Analysis'!K87</f>
        <v>0.11993080585599529</v>
      </c>
      <c r="Z170" s="532">
        <f>'[2]MQG - Consolidation Analysis'!L87</f>
        <v>0.12202139839078462</v>
      </c>
      <c r="AA170" s="532">
        <f>'[2]MQG - Consolidation Analysis'!M87</f>
        <v>0.12199238738470763</v>
      </c>
      <c r="AB170" s="532">
        <f>'[2]MQG - Consolidation Analysis'!N87</f>
        <v>0.12094445648486583</v>
      </c>
      <c r="AC170" s="532">
        <f>'[2]MQG - Consolidation Analysis'!O87</f>
        <v>0.1196630879982212</v>
      </c>
      <c r="AD170" s="532">
        <f>'[2]MQG - Consolidation Analysis'!P87</f>
        <v>0.11938438680107126</v>
      </c>
      <c r="AE170" s="532">
        <f>'[2]MQG - Consolidation Analysis'!Q87</f>
        <v>0.11806291294534074</v>
      </c>
      <c r="AF170" s="532"/>
      <c r="AG170" s="532"/>
      <c r="AH170" s="533"/>
      <c r="AI170" s="533"/>
      <c r="AJ170" s="533"/>
      <c r="AK170" s="533"/>
      <c r="AL170" s="533"/>
      <c r="AM170" s="533"/>
      <c r="AN170" s="532">
        <f>'[2]MQG - Consolidation Analysis'!T87</f>
        <v>0.13500000000000001</v>
      </c>
      <c r="AO170" s="532">
        <f>'[2]MQG - Consolidation Analysis'!U87</f>
        <v>0.13250000000000001</v>
      </c>
      <c r="AP170" s="532">
        <f>'[2]MQG - Consolidation Analysis'!V87</f>
        <v>0.12609569587509828</v>
      </c>
      <c r="AQ170" s="532">
        <f>'[2]MQG - Consolidation Analysis'!W87</f>
        <v>0.11923125176951511</v>
      </c>
      <c r="AR170" s="532">
        <f>'[2]MQG - Consolidation Analysis'!X87</f>
        <v>0.12169918614591087</v>
      </c>
      <c r="AS170" s="532">
        <f>'[2]MQG - Consolidation Analysis'!Y87</f>
        <v>0.11992729884868081</v>
      </c>
      <c r="AT170" s="532">
        <f>'[2]MQG - Consolidation Analysis'!Z87</f>
        <v>0.11832114281625844</v>
      </c>
    </row>
    <row r="171" spans="2:46">
      <c r="B171" t="s">
        <v>1901</v>
      </c>
      <c r="Q171" s="532">
        <f>'[2]MQG - Consolidation Analysis'!C88</f>
        <v>0.53493147477522496</v>
      </c>
      <c r="R171" s="532">
        <f>'[2]MQG - Consolidation Analysis'!D88</f>
        <v>0.14697181143324758</v>
      </c>
      <c r="S171" s="532">
        <f>'[2]MQG - Consolidation Analysis'!E88</f>
        <v>0.22188394288003657</v>
      </c>
      <c r="T171" s="532">
        <f>'[2]MQG - Consolidation Analysis'!F88</f>
        <v>0.14657504485310607</v>
      </c>
      <c r="U171" s="532">
        <f>'[2]MQG - Consolidation Analysis'!G88</f>
        <v>0.15171373098055785</v>
      </c>
      <c r="V171" s="532">
        <f>'[2]MQG - Consolidation Analysis'!H88</f>
        <v>0.10878017072213497</v>
      </c>
      <c r="W171" s="532">
        <f>'[2]MQG - Consolidation Analysis'!I88</f>
        <v>0.19316842728913969</v>
      </c>
      <c r="X171" s="532">
        <f>'[2]MQG - Consolidation Analysis'!J88</f>
        <v>0.13283696847897966</v>
      </c>
      <c r="Y171" s="532">
        <f>'[2]MQG - Consolidation Analysis'!K88</f>
        <v>0.15657054696439893</v>
      </c>
      <c r="Z171" s="532">
        <f>'[2]MQG - Consolidation Analysis'!L88</f>
        <v>0.13304249682248598</v>
      </c>
      <c r="AA171" s="532">
        <f>'[2]MQG - Consolidation Analysis'!M88</f>
        <v>0.17151147380485587</v>
      </c>
      <c r="AB171" s="532">
        <f>'[2]MQG - Consolidation Analysis'!N88</f>
        <v>0.14064301251186978</v>
      </c>
      <c r="AC171" s="532">
        <f>'[2]MQG - Consolidation Analysis'!O88</f>
        <v>0.1822064642917291</v>
      </c>
      <c r="AD171" s="532">
        <f>'[2]MQG - Consolidation Analysis'!P88</f>
        <v>0.15588196764663312</v>
      </c>
      <c r="AE171" s="532">
        <f>'[2]MQG - Consolidation Analysis'!Q88</f>
        <v>0.19081601196467374</v>
      </c>
      <c r="AF171" s="532"/>
      <c r="AG171" s="532"/>
      <c r="AH171" s="533"/>
      <c r="AI171" s="533"/>
      <c r="AJ171" s="533"/>
      <c r="AK171" s="533"/>
      <c r="AL171" s="533"/>
      <c r="AM171" s="533"/>
      <c r="AN171" s="532">
        <f>'[2]MQG - Consolidation Analysis'!T88</f>
        <v>0.18239583333333331</v>
      </c>
      <c r="AO171" s="532">
        <f>'[2]MQG - Consolidation Analysis'!U88</f>
        <v>0.14451923076923076</v>
      </c>
      <c r="AP171" s="532">
        <f>'[2]MQG - Consolidation Analysis'!V88</f>
        <v>0.15163791317414971</v>
      </c>
      <c r="AQ171" s="532">
        <f>'[2]MQG - Consolidation Analysis'!W88</f>
        <v>0.14459751759216932</v>
      </c>
      <c r="AR171" s="532">
        <f>'[2]MQG - Consolidation Analysis'!X88</f>
        <v>0.15211000332309332</v>
      </c>
      <c r="AS171" s="532">
        <f>'[2]MQG - Consolidation Analysis'!Y88</f>
        <v>0.16110132521141618</v>
      </c>
      <c r="AT171" s="532">
        <f>'[2]MQG - Consolidation Analysis'!Z88</f>
        <v>0.17292572739838888</v>
      </c>
    </row>
    <row r="172" spans="2:46">
      <c r="B172" t="s">
        <v>1902</v>
      </c>
      <c r="Q172" s="532">
        <f>'[2]MQG - Consolidation Analysis'!C89</f>
        <v>5.980239639878198E-2</v>
      </c>
      <c r="R172" s="532">
        <f>'[2]MQG - Consolidation Analysis'!D89</f>
        <v>9.5260989010989006E-2</v>
      </c>
      <c r="S172" s="532">
        <f>'[2]MQG - Consolidation Analysis'!E89</f>
        <v>0.12613766184310746</v>
      </c>
      <c r="T172" s="532">
        <f>'[2]MQG - Consolidation Analysis'!F89</f>
        <v>7.5206043956043966E-2</v>
      </c>
      <c r="U172" s="532">
        <f>'[2]MQG - Consolidation Analysis'!G89</f>
        <v>0.12900422989708704</v>
      </c>
      <c r="V172" s="532">
        <f>'[2]MQG - Consolidation Analysis'!H89</f>
        <v>0.14038461538461541</v>
      </c>
      <c r="W172" s="532">
        <f>'[2]MQG - Consolidation Analysis'!I89</f>
        <v>0.10827443435992029</v>
      </c>
      <c r="X172" s="532">
        <f>'[2]MQG - Consolidation Analysis'!J89</f>
        <v>0.11427799810754856</v>
      </c>
      <c r="Y172" s="532">
        <f>'[2]MQG - Consolidation Analysis'!K89</f>
        <v>0.1159487856576793</v>
      </c>
      <c r="Z172" s="532">
        <f>'[2]MQG - Consolidation Analysis'!L89</f>
        <v>0.12241086147436646</v>
      </c>
      <c r="AA172" s="532">
        <f>'[2]MQG - Consolidation Analysis'!M89</f>
        <v>0.12867488818987038</v>
      </c>
      <c r="AB172" s="532">
        <f>'[2]MQG - Consolidation Analysis'!N89</f>
        <v>0.13750229515893764</v>
      </c>
      <c r="AC172" s="532">
        <f>'[2]MQG - Consolidation Analysis'!O89</f>
        <v>0.14401034097047566</v>
      </c>
      <c r="AD172" s="532">
        <f>'[2]MQG - Consolidation Analysis'!P89</f>
        <v>0.152380671091014</v>
      </c>
      <c r="AE172" s="532">
        <f>'[2]MQG - Consolidation Analysis'!Q89</f>
        <v>0.15779923358633088</v>
      </c>
      <c r="AF172" s="532"/>
      <c r="AG172" s="532"/>
      <c r="AH172" s="533"/>
      <c r="AI172" s="533"/>
      <c r="AJ172" s="533"/>
      <c r="AK172" s="533"/>
      <c r="AL172" s="533"/>
      <c r="AM172" s="533"/>
      <c r="AN172" s="532">
        <f>'[2]MQG - Consolidation Analysis'!T89</f>
        <v>0.11020833333333338</v>
      </c>
      <c r="AO172" s="532">
        <f>'[2]MQG - Consolidation Analysis'!U89</f>
        <v>0.10316666666666667</v>
      </c>
      <c r="AP172" s="532">
        <f>'[2]MQG - Consolidation Analysis'!V89</f>
        <v>0.12140662474313413</v>
      </c>
      <c r="AQ172" s="532">
        <f>'[2]MQG - Consolidation Analysis'!W89</f>
        <v>0.11490386954354952</v>
      </c>
      <c r="AR172" s="532">
        <f>'[2]MQG - Consolidation Analysis'!X89</f>
        <v>0.12531793964757049</v>
      </c>
      <c r="AS172" s="532">
        <f>'[2]MQG - Consolidation Analysis'!Y89</f>
        <v>0.14041285383438823</v>
      </c>
      <c r="AT172" s="532">
        <f>'[2]MQG - Consolidation Analysis'!Z89</f>
        <v>0.15466286241064803</v>
      </c>
    </row>
    <row r="173" spans="2:46">
      <c r="B173" t="s">
        <v>1903</v>
      </c>
      <c r="Q173" s="532">
        <f>'[2]MQG - Consolidation Analysis'!C90</f>
        <v>-6.696262994479027E-2</v>
      </c>
      <c r="R173" s="532">
        <f>'[2]MQG - Consolidation Analysis'!D90</f>
        <v>-3.0334324362997225E-2</v>
      </c>
      <c r="S173" s="532">
        <f>'[2]MQG - Consolidation Analysis'!E90</f>
        <v>-1.7654000928648147E-3</v>
      </c>
      <c r="T173" s="532">
        <f>'[2]MQG - Consolidation Analysis'!F90</f>
        <v>-4.1880445530700201E-2</v>
      </c>
      <c r="U173" s="532">
        <f>'[2]MQG - Consolidation Analysis'!G90</f>
        <v>-3.4595034595034595E-2</v>
      </c>
      <c r="V173" s="532">
        <f>'[2]MQG - Consolidation Analysis'!H90</f>
        <v>-0.28800597277574835</v>
      </c>
      <c r="W173" s="532">
        <f>'[2]MQG - Consolidation Analysis'!I90</f>
        <v>-0.14821101740440165</v>
      </c>
      <c r="X173" s="532">
        <f>'[2]MQG - Consolidation Analysis'!J90</f>
        <v>-3.2131917384589981E-2</v>
      </c>
      <c r="Y173" s="532">
        <f>'[2]MQG - Consolidation Analysis'!K90</f>
        <v>-9.5838440833217239E-3</v>
      </c>
      <c r="Z173" s="532">
        <f>'[2]MQG - Consolidation Analysis'!L90</f>
        <v>-3.5462241405825948E-2</v>
      </c>
      <c r="AA173" s="532">
        <f>'[2]MQG - Consolidation Analysis'!M90</f>
        <v>-8.3174614845269081E-3</v>
      </c>
      <c r="AB173" s="532">
        <f>'[2]MQG - Consolidation Analysis'!N90</f>
        <v>-4.8478289338487711E-2</v>
      </c>
      <c r="AC173" s="532">
        <f>'[2]MQG - Consolidation Analysis'!O90</f>
        <v>-2.9552320358176728E-2</v>
      </c>
      <c r="AD173" s="532">
        <f>'[2]MQG - Consolidation Analysis'!P90</f>
        <v>-6.2739907822895041E-2</v>
      </c>
      <c r="AE173" s="532">
        <f>'[2]MQG - Consolidation Analysis'!Q90</f>
        <v>-4.6055953143674361E-2</v>
      </c>
      <c r="AF173" s="532"/>
      <c r="AG173" s="532"/>
      <c r="AH173" s="533"/>
      <c r="AI173" s="533"/>
      <c r="AJ173" s="533"/>
      <c r="AK173" s="533"/>
      <c r="AL173" s="533"/>
      <c r="AM173" s="533"/>
      <c r="AN173" s="532">
        <f>'[2]MQG - Consolidation Analysis'!T90</f>
        <v>-1.5779864371413609E-2</v>
      </c>
      <c r="AO173" s="532">
        <f>'[2]MQG - Consolidation Analysis'!U90</f>
        <v>-3.5144039874968322E-2</v>
      </c>
      <c r="AP173" s="532">
        <f>'[2]MQG - Consolidation Analysis'!V90</f>
        <v>-0.18398028502023597</v>
      </c>
      <c r="AQ173" s="532">
        <f>'[2]MQG - Consolidation Analysis'!W90</f>
        <v>-2.0816435373673729E-2</v>
      </c>
      <c r="AR173" s="532">
        <f>'[2]MQG - Consolidation Analysis'!X90</f>
        <v>-2.0984898241399343E-2</v>
      </c>
      <c r="AS173" s="532">
        <f>'[2]MQG - Consolidation Analysis'!Y90</f>
        <v>-3.7435958612221973E-2</v>
      </c>
      <c r="AT173" s="532">
        <f>'[2]MQG - Consolidation Analysis'!Z90</f>
        <v>-5.3075759232639338E-2</v>
      </c>
    </row>
    <row r="174" spans="2:46">
      <c r="B174" t="s">
        <v>1904</v>
      </c>
      <c r="Q174" s="534">
        <f>'[2]MQG - Consolidation Analysis'!C91</f>
        <v>0.17893095864006986</v>
      </c>
      <c r="R174" s="534">
        <f>'[2]MQG - Consolidation Analysis'!D91</f>
        <v>8.6246686480707685E-2</v>
      </c>
      <c r="S174" s="534">
        <f>'[2]MQG - Consolidation Analysis'!E91</f>
        <v>0.12779220114549456</v>
      </c>
      <c r="T174" s="534">
        <f>'[2]MQG - Consolidation Analysis'!F91</f>
        <v>9.82930113364896E-2</v>
      </c>
      <c r="U174" s="534">
        <f>'[2]MQG - Consolidation Analysis'!G91</f>
        <v>0.12467829266292056</v>
      </c>
      <c r="V174" s="534">
        <f>'[2]MQG - Consolidation Analysis'!H91</f>
        <v>9.4943816427861774E-2</v>
      </c>
      <c r="W174" s="534">
        <f>'[2]MQG - Consolidation Analysis'!I91</f>
        <v>0.14277704169521949</v>
      </c>
      <c r="X174" s="534">
        <f>'[2]MQG - Consolidation Analysis'!J91</f>
        <v>0.11923823278170595</v>
      </c>
      <c r="Y174" s="534">
        <f>'[2]MQG - Consolidation Analysis'!K91</f>
        <v>0.13569347438208459</v>
      </c>
      <c r="Z174" s="534">
        <f>'[2]MQG - Consolidation Analysis'!L91</f>
        <v>0.12525936402599008</v>
      </c>
      <c r="AA174" s="534">
        <f>'[2]MQG - Consolidation Analysis'!M91</f>
        <v>0.14456597440731472</v>
      </c>
      <c r="AB174" s="534">
        <f>'[2]MQG - Consolidation Analysis'!N91</f>
        <v>0.12718892605198384</v>
      </c>
      <c r="AC174" s="534">
        <f>'[2]MQG - Consolidation Analysis'!O91</f>
        <v>0.14476397605304159</v>
      </c>
      <c r="AD174" s="534">
        <f>'[2]MQG - Consolidation Analysis'!P91</f>
        <v>0.12845016155808295</v>
      </c>
      <c r="AE174" s="534">
        <f>'[2]MQG - Consolidation Analysis'!Q91</f>
        <v>0.14187707339124947</v>
      </c>
      <c r="AF174" s="534"/>
      <c r="AG174" s="534"/>
      <c r="AH174" s="533"/>
      <c r="AI174" s="533"/>
      <c r="AJ174" s="533"/>
      <c r="AK174" s="533"/>
      <c r="AL174" s="533"/>
      <c r="AM174" s="533"/>
      <c r="AN174" s="534">
        <f>'[2]MQG - Consolidation Analysis'!T91</f>
        <v>0.10570862596794527</v>
      </c>
      <c r="AO174" s="534">
        <f>'[2]MQG - Consolidation Analysis'!U91</f>
        <v>0.10793613899501721</v>
      </c>
      <c r="AP174" s="534">
        <f>'[2]MQG - Consolidation Analysis'!V91</f>
        <v>0.11700030490155273</v>
      </c>
      <c r="AQ174" s="534">
        <f>'[2]MQG - Consolidation Analysis'!W91</f>
        <v>0.12668551040000045</v>
      </c>
      <c r="AR174" s="534">
        <f>'[2]MQG - Consolidation Analysis'!X91</f>
        <v>0.13415585056000234</v>
      </c>
      <c r="AS174" s="534">
        <f>'[2]MQG - Consolidation Analysis'!Y91</f>
        <v>0.13504203234529774</v>
      </c>
      <c r="AT174" s="534">
        <f>'[2]MQG - Consolidation Analysis'!Z91</f>
        <v>0.13447766357066424</v>
      </c>
    </row>
    <row r="175" spans="2:46">
      <c r="Q175" s="534"/>
      <c r="R175" s="534"/>
      <c r="S175" s="534"/>
      <c r="T175" s="534"/>
      <c r="U175" s="534"/>
      <c r="V175" s="534"/>
      <c r="W175" s="534"/>
      <c r="X175" s="534"/>
      <c r="Y175" s="534"/>
      <c r="Z175" s="534"/>
      <c r="AA175" s="534"/>
      <c r="AB175" s="534"/>
      <c r="AC175" s="534"/>
      <c r="AD175" s="534"/>
      <c r="AE175" s="534"/>
      <c r="AF175" s="534"/>
      <c r="AG175" s="534"/>
      <c r="AH175" s="533"/>
      <c r="AI175" s="533"/>
      <c r="AJ175" s="533"/>
      <c r="AK175" s="533"/>
      <c r="AL175" s="533"/>
      <c r="AM175" s="533"/>
      <c r="AN175" s="534"/>
      <c r="AO175" s="534"/>
      <c r="AP175" s="534"/>
      <c r="AQ175" s="534"/>
      <c r="AR175" s="534"/>
      <c r="AS175" s="534"/>
      <c r="AT175" s="534"/>
    </row>
    <row r="176" spans="2:46">
      <c r="B176" t="s">
        <v>1919</v>
      </c>
      <c r="D176" s="531">
        <f>'Group Model'!R81</f>
        <v>1050</v>
      </c>
      <c r="E176" s="531">
        <f>'Group Model'!S81</f>
        <v>1167</v>
      </c>
      <c r="F176" s="531">
        <f>'Group Model'!T81</f>
        <v>1248</v>
      </c>
      <c r="G176" s="531">
        <f>'Group Model'!U81</f>
        <v>1309</v>
      </c>
      <c r="H176" s="531">
        <f>'Group Model'!V81</f>
        <v>1310</v>
      </c>
      <c r="I176" s="531">
        <f>'Group Model'!W81</f>
        <v>1672</v>
      </c>
      <c r="J176" s="531">
        <f>'Group Model'!X81</f>
        <v>1457</v>
      </c>
      <c r="K176" s="531">
        <f>'Group Model'!Y81</f>
        <v>1274</v>
      </c>
      <c r="L176" s="531">
        <f>'Group Model'!Z81</f>
        <v>985</v>
      </c>
      <c r="M176" s="531">
        <f>'Group Model'!AA81</f>
        <v>2030</v>
      </c>
      <c r="N176" s="531">
        <f>'Group Model'!AB81</f>
        <v>2043</v>
      </c>
      <c r="O176" s="531">
        <f>'Group Model'!AC81</f>
        <v>2663</v>
      </c>
      <c r="P176" s="531">
        <f>'Group Model'!AD81</f>
        <v>2305</v>
      </c>
      <c r="Q176" s="531">
        <f>'Group Model'!AE81</f>
        <v>2877</v>
      </c>
      <c r="R176" s="531">
        <f>'Group Model'!AF81</f>
        <v>1415</v>
      </c>
      <c r="S176" s="531">
        <f>'Group Model'!AG81</f>
        <v>2107</v>
      </c>
      <c r="T176" s="531">
        <f>'Group Model'!AH81</f>
        <v>1612</v>
      </c>
      <c r="U176" s="531">
        <f>'Group Model'!AI81</f>
        <v>2103</v>
      </c>
      <c r="V176" s="531">
        <f>'Group Model'!AJ81</f>
        <v>1655</v>
      </c>
      <c r="W176" s="531">
        <f>'Group Model'!AK81</f>
        <v>2499.8880561614696</v>
      </c>
      <c r="X176" s="531">
        <f>'Group Model'!AL81</f>
        <v>2129.0899562069253</v>
      </c>
      <c r="Y176" s="531">
        <f>'Group Model'!AM81</f>
        <v>2461.2437233183127</v>
      </c>
      <c r="Z176" s="531">
        <f>'Group Model'!AN81</f>
        <v>2321.5542131990633</v>
      </c>
      <c r="AA176" s="531">
        <f>'Group Model'!AO81</f>
        <v>2753.611305163</v>
      </c>
      <c r="AB176" s="531">
        <f>'Group Model'!AP81</f>
        <v>2484.7365758583487</v>
      </c>
      <c r="AC176" s="531">
        <f>'Group Model'!AQ81</f>
        <v>2902.7994681305609</v>
      </c>
      <c r="AD176" s="531">
        <f>'Group Model'!AR81</f>
        <v>2650.9191845037622</v>
      </c>
      <c r="AE176" s="531">
        <f>'Group Model'!AS81</f>
        <v>3010.9542581523465</v>
      </c>
      <c r="AF176" s="534"/>
      <c r="AG176" s="531">
        <f>'Group Model'!BG81</f>
        <v>2217</v>
      </c>
      <c r="AH176" s="531">
        <f>'Group Model'!BH81</f>
        <v>2557</v>
      </c>
      <c r="AI176" s="531">
        <f>'Group Model'!BI81</f>
        <v>2982</v>
      </c>
      <c r="AJ176" s="531">
        <f>'Group Model'!BJ81</f>
        <v>2731</v>
      </c>
      <c r="AK176" s="531">
        <f>'Group Model'!BK81</f>
        <v>3015</v>
      </c>
      <c r="AL176" s="531">
        <f>'Group Model'!BL81</f>
        <v>4706</v>
      </c>
      <c r="AM176" s="531">
        <f>'Group Model'!BM81</f>
        <v>5182</v>
      </c>
      <c r="AN176" s="531">
        <f>'Group Model'!BN81</f>
        <v>3522</v>
      </c>
      <c r="AO176" s="531">
        <f>'Group Model'!BO81</f>
        <v>3715</v>
      </c>
      <c r="AP176" s="531">
        <f>'Group Model'!BP81</f>
        <v>4154.8880561614706</v>
      </c>
      <c r="AQ176" s="531">
        <f>'Group Model'!BQ81</f>
        <v>4590.333679525238</v>
      </c>
      <c r="AR176" s="531">
        <f>'Group Model'!BR81</f>
        <v>5075.1655183620624</v>
      </c>
      <c r="AS176" s="531">
        <f>'Group Model'!BS81</f>
        <v>5387.5360439889146</v>
      </c>
      <c r="AT176" s="531">
        <f>'Group Model'!BT81</f>
        <v>5661.8734426561086</v>
      </c>
    </row>
    <row r="177" spans="2:48">
      <c r="Q177" s="534"/>
      <c r="R177" s="534"/>
      <c r="S177" s="534"/>
      <c r="T177" s="534"/>
      <c r="U177" s="534"/>
      <c r="V177" s="534"/>
      <c r="W177" s="534"/>
      <c r="X177" s="534"/>
      <c r="Y177" s="534"/>
      <c r="Z177" s="534"/>
      <c r="AA177" s="534"/>
      <c r="AB177" s="534"/>
      <c r="AC177" s="534"/>
      <c r="AD177" s="534"/>
      <c r="AE177" s="534"/>
      <c r="AF177" s="534"/>
      <c r="AG177" s="534"/>
      <c r="AH177" s="533"/>
      <c r="AI177" s="533"/>
      <c r="AJ177" s="533"/>
      <c r="AK177" s="533"/>
      <c r="AL177" s="533"/>
      <c r="AM177" s="533"/>
      <c r="AN177" s="534"/>
      <c r="AO177" s="534"/>
      <c r="AP177" s="534"/>
      <c r="AQ177" s="534"/>
      <c r="AR177" s="534"/>
      <c r="AS177" s="534"/>
      <c r="AT177" s="534"/>
    </row>
    <row r="178" spans="2:48">
      <c r="B178" s="521" t="s">
        <v>1908</v>
      </c>
      <c r="C178" s="547">
        <f>Summary!C184</f>
        <v>221.37365092065986</v>
      </c>
      <c r="Q178" s="534"/>
      <c r="R178" s="534"/>
      <c r="S178" s="534"/>
      <c r="T178" s="534"/>
      <c r="U178" s="534"/>
      <c r="V178" s="534"/>
      <c r="W178" s="534"/>
      <c r="X178" s="534"/>
      <c r="Y178" s="534"/>
      <c r="Z178" s="534"/>
      <c r="AA178" s="534"/>
      <c r="AB178" s="534"/>
      <c r="AC178" s="534"/>
      <c r="AD178" s="534"/>
      <c r="AE178" s="534"/>
      <c r="AF178" s="534"/>
      <c r="AG178" s="534"/>
      <c r="AH178" s="533"/>
      <c r="AI178" s="533"/>
      <c r="AJ178" s="533"/>
      <c r="AK178" s="533"/>
      <c r="AL178" s="533"/>
      <c r="AM178" s="533"/>
      <c r="AN178" s="534"/>
      <c r="AO178" s="534"/>
      <c r="AP178" s="534"/>
      <c r="AQ178" s="534"/>
      <c r="AR178" s="534"/>
      <c r="AS178" s="534"/>
      <c r="AT178" s="534"/>
    </row>
    <row r="179" spans="2:48">
      <c r="B179" s="521" t="s">
        <v>1913</v>
      </c>
      <c r="C179" s="547">
        <f>Summary!C181</f>
        <v>215.70838275851472</v>
      </c>
      <c r="Q179" s="534"/>
      <c r="R179" s="534"/>
      <c r="S179" s="534"/>
      <c r="T179" s="534"/>
      <c r="U179" s="534"/>
      <c r="V179" s="534"/>
      <c r="W179" s="534"/>
      <c r="X179" s="534"/>
      <c r="Y179" s="534"/>
      <c r="Z179" s="534"/>
      <c r="AA179" s="534"/>
      <c r="AB179" s="534"/>
      <c r="AC179" s="534"/>
      <c r="AD179" s="534"/>
      <c r="AE179" s="534"/>
      <c r="AF179" s="534"/>
      <c r="AG179" s="534"/>
      <c r="AH179" s="533"/>
      <c r="AI179" s="533"/>
      <c r="AJ179" s="533"/>
      <c r="AK179" s="533"/>
      <c r="AL179" s="533"/>
      <c r="AM179" s="533"/>
      <c r="AN179" s="534"/>
      <c r="AO179" s="534"/>
      <c r="AP179" s="534"/>
      <c r="AQ179" s="534"/>
      <c r="AR179" s="534"/>
      <c r="AS179" s="534"/>
      <c r="AT179" s="534"/>
    </row>
    <row r="180" spans="2:48">
      <c r="B180" s="521" t="s">
        <v>1912</v>
      </c>
      <c r="C180" s="547">
        <f>Summary!C183</f>
        <v>227.03891908280499</v>
      </c>
    </row>
    <row r="181" spans="2:48">
      <c r="B181" s="521"/>
      <c r="C181" s="547"/>
    </row>
    <row r="182" spans="2:48">
      <c r="B182" s="523" t="s">
        <v>1878</v>
      </c>
    </row>
    <row r="183" spans="2:48">
      <c r="B183" s="524" t="s">
        <v>1894</v>
      </c>
    </row>
    <row r="184" spans="2:48">
      <c r="B184" t="s">
        <v>1917</v>
      </c>
      <c r="D184" s="531">
        <f>'[3]Group Model'!R73</f>
        <v>5218</v>
      </c>
      <c r="E184" s="531">
        <f>'[3]Group Model'!S73</f>
        <v>5146</v>
      </c>
      <c r="F184" s="531">
        <f>'[3]Group Model'!T73</f>
        <v>5397</v>
      </c>
      <c r="G184" s="531">
        <f>'[3]Group Model'!U73</f>
        <v>5523</v>
      </c>
      <c r="H184" s="531">
        <f>'[3]Group Model'!V73</f>
        <v>5830</v>
      </c>
      <c r="I184" s="531">
        <f>'[3]Group Model'!W73</f>
        <v>6924</v>
      </c>
      <c r="J184" s="531">
        <f>'[3]Group Model'!X73</f>
        <v>6320</v>
      </c>
      <c r="K184" s="531">
        <f>'[3]Group Model'!Y73</f>
        <v>6005</v>
      </c>
      <c r="L184" s="531">
        <f>'[3]Group Model'!Z73</f>
        <v>5519</v>
      </c>
      <c r="M184" s="531">
        <f>'[3]Group Model'!AA73</f>
        <v>7255</v>
      </c>
      <c r="N184" s="531">
        <f>'[3]Group Model'!AB73</f>
        <v>7804</v>
      </c>
      <c r="O184" s="531">
        <f>'[3]Group Model'!AC73</f>
        <v>9520</v>
      </c>
      <c r="P184" s="531">
        <f>'[3]Group Model'!AD73</f>
        <v>8624</v>
      </c>
      <c r="Q184" s="531">
        <f>'[3]Group Model'!AE73</f>
        <v>10498</v>
      </c>
      <c r="R184" s="531">
        <f>'[3]Group Model'!AF73</f>
        <v>7910</v>
      </c>
      <c r="S184" s="531">
        <f>'[3]Group Model'!AG73</f>
        <v>8977</v>
      </c>
      <c r="T184" s="531">
        <f>'[3]Group Model'!AH73</f>
        <v>8216</v>
      </c>
      <c r="U184" s="531">
        <f>'[3]Group Model'!AI73</f>
        <v>8992</v>
      </c>
      <c r="V184" s="531">
        <f>'[3]Group Model'!AJ73</f>
        <v>8691</v>
      </c>
      <c r="W184" s="531">
        <f>'[3]Group Model'!AK73</f>
        <v>9645.7412652496077</v>
      </c>
      <c r="X184" s="531">
        <f>'[3]Group Model'!AL73</f>
        <v>9061.4307877064239</v>
      </c>
      <c r="Y184" s="531">
        <f>'[3]Group Model'!AM73</f>
        <v>9474.2899324760965</v>
      </c>
      <c r="Z184" s="531">
        <f>'[3]Group Model'!AN73</f>
        <v>9475.8858716101477</v>
      </c>
      <c r="AA184" s="531">
        <f>'[3]Group Model'!AO73</f>
        <v>9965.1150966245605</v>
      </c>
      <c r="AB184" s="531">
        <f>'[3]Group Model'!AP73</f>
        <v>9869.9737206974532</v>
      </c>
      <c r="AC184" s="531">
        <f>'[3]Group Model'!AQ73</f>
        <v>10358.088512754299</v>
      </c>
      <c r="AD184" s="531">
        <f>'[3]Group Model'!AR73</f>
        <v>10281.497968523197</v>
      </c>
      <c r="AE184" s="531">
        <f>'[3]Group Model'!AS73</f>
        <v>10773.688582995508</v>
      </c>
      <c r="AF184" s="531"/>
      <c r="AG184" s="531">
        <f>'[3]Group Model'!BG73</f>
        <v>10364</v>
      </c>
      <c r="AH184" s="531">
        <f>'[3]Group Model'!BH73</f>
        <v>10920</v>
      </c>
      <c r="AI184" s="531">
        <f>'[3]Group Model'!BI73</f>
        <v>12754</v>
      </c>
      <c r="AJ184" s="531">
        <f>'[3]Group Model'!BJ73</f>
        <v>12325</v>
      </c>
      <c r="AK184" s="531">
        <f>'[3]Group Model'!BK73</f>
        <v>12774</v>
      </c>
      <c r="AL184" s="531">
        <f>'[3]Group Model'!BL73</f>
        <v>17324</v>
      </c>
      <c r="AM184" s="531">
        <f>'[3]Group Model'!BM73</f>
        <v>19122</v>
      </c>
      <c r="AN184" s="531">
        <f>'[3]Group Model'!BN73</f>
        <v>16887</v>
      </c>
      <c r="AO184" s="531">
        <f>'[3]Group Model'!BO73</f>
        <v>17208</v>
      </c>
      <c r="AP184" s="531">
        <f>'[3]Group Model'!BP73</f>
        <v>18336.741265249613</v>
      </c>
      <c r="AQ184" s="531">
        <f>'[3]Group Model'!BQ73</f>
        <v>18535.720720182526</v>
      </c>
      <c r="AR184" s="531">
        <f>'[3]Group Model'!BR73</f>
        <v>19441.000968234708</v>
      </c>
      <c r="AS184" s="531">
        <f>'[3]Group Model'!BS73</f>
        <v>20228.062233451754</v>
      </c>
      <c r="AT184" s="531">
        <f>'[3]Group Model'!BT73</f>
        <v>21055.186551518702</v>
      </c>
    </row>
    <row r="185" spans="2:48">
      <c r="B185" s="524"/>
    </row>
    <row r="186" spans="2:48">
      <c r="B186" s="525" t="s">
        <v>1874</v>
      </c>
    </row>
    <row r="187" spans="2:48">
      <c r="B187" t="s">
        <v>1897</v>
      </c>
      <c r="D187" s="531">
        <f>SUM('[3]Divisional Model'!Q81:Q82)</f>
        <v>790</v>
      </c>
      <c r="E187" s="531">
        <f>SUM('[3]Divisional Model'!R81:R82)</f>
        <v>784</v>
      </c>
      <c r="F187" s="531">
        <f>SUM('[3]Divisional Model'!S81:S82)</f>
        <v>775</v>
      </c>
      <c r="G187" s="531">
        <f>SUM('[3]Divisional Model'!T81:T82)</f>
        <v>793</v>
      </c>
      <c r="H187" s="531">
        <f>SUM('[3]Divisional Model'!U81:U82)</f>
        <v>879</v>
      </c>
      <c r="I187" s="531">
        <f>SUM('[3]Divisional Model'!V81:V82)</f>
        <v>899</v>
      </c>
      <c r="J187" s="531">
        <f>SUM('[3]Divisional Model'!W81:W82)</f>
        <v>950</v>
      </c>
      <c r="K187" s="531">
        <f>SUM('[3]Divisional Model'!X81:X82)</f>
        <v>1071</v>
      </c>
      <c r="L187" s="531">
        <f>SUM('[3]Divisional Model'!Y81:Y82)</f>
        <v>971</v>
      </c>
      <c r="M187" s="531">
        <f>SUM('[3]Divisional Model'!Z81:Z82)</f>
        <v>1014</v>
      </c>
      <c r="N187" s="531">
        <f>SUM('[3]Divisional Model'!AA81:AA82)</f>
        <v>1362</v>
      </c>
      <c r="O187" s="531">
        <f>SUM('[3]Divisional Model'!AB81:AB82)</f>
        <v>1409</v>
      </c>
      <c r="P187" s="531">
        <f>SUM('[3]Divisional Model'!AC81:AC82)</f>
        <v>1378</v>
      </c>
      <c r="Q187" s="531">
        <f>SUM('[3]Divisional Model'!AD81:AD82)</f>
        <v>1404</v>
      </c>
      <c r="R187" s="531">
        <f>SUM('[3]Divisional Model'!AE81:AE82)</f>
        <v>1407</v>
      </c>
      <c r="S187" s="531">
        <f>SUM('[3]Divisional Model'!AF81:AF82)</f>
        <v>1467</v>
      </c>
      <c r="T187" s="531">
        <f>SUM('[3]Divisional Model'!AG81:AG82)</f>
        <v>1436</v>
      </c>
      <c r="U187" s="531">
        <f>SUM('[3]Divisional Model'!AH81:AH82)</f>
        <v>1489</v>
      </c>
      <c r="V187" s="531">
        <f>SUM('[3]Divisional Model'!AI81:AI82)</f>
        <v>1465</v>
      </c>
      <c r="W187" s="531">
        <f>SUM('[3]Divisional Model'!AJ81:AJ82)</f>
        <v>1261.0898811034426</v>
      </c>
      <c r="X187" s="531">
        <f>SUM('[3]Divisional Model'!AK81:AK82)</f>
        <v>1071.0674896331986</v>
      </c>
      <c r="Y187" s="531">
        <f>SUM('[3]Divisional Model'!AL81:AL82)</f>
        <v>1096.2054891695614</v>
      </c>
      <c r="Z187" s="531">
        <f>SUM('[3]Divisional Model'!AM81:AM82)</f>
        <v>1115.8909408405034</v>
      </c>
      <c r="AA187" s="531">
        <f>SUM('[3]Divisional Model'!AN81:AN82)</f>
        <v>1120.9677286542715</v>
      </c>
      <c r="AB187" s="531">
        <f>SUM('[3]Divisional Model'!AO81:AO82)</f>
        <v>1129.6647421037776</v>
      </c>
      <c r="AC187" s="531">
        <f>SUM('[3]Divisional Model'!AP81:AP82)</f>
        <v>1125.5679268597075</v>
      </c>
      <c r="AD187" s="531">
        <f>SUM('[3]Divisional Model'!AQ81:AQ82)</f>
        <v>1126.4574300510053</v>
      </c>
      <c r="AE187" s="531">
        <f>SUM('[3]Divisional Model'!AR81:AR82)</f>
        <v>1111.9888132019828</v>
      </c>
      <c r="AF187" s="531"/>
      <c r="AG187" s="531">
        <f>SUM('[3]Divisional Model'!BA81:BA82)</f>
        <v>1574</v>
      </c>
      <c r="AH187" s="531">
        <f>SUM('[3]Divisional Model'!BB81:BB82)</f>
        <v>1568</v>
      </c>
      <c r="AI187" s="531">
        <f>SUM('[3]Divisional Model'!BC81:BC82)</f>
        <v>1778</v>
      </c>
      <c r="AJ187" s="531">
        <f>SUM('[3]Divisional Model'!BD81:BD82)</f>
        <v>2021</v>
      </c>
      <c r="AK187" s="531">
        <f>SUM('[3]Divisional Model'!BE81:BE82)</f>
        <v>1985</v>
      </c>
      <c r="AL187" s="531">
        <f>SUM('[3]Divisional Model'!BF81:BF82)</f>
        <v>2771</v>
      </c>
      <c r="AM187" s="531">
        <f>SUM('[3]Divisional Model'!BG81:BG82)</f>
        <v>2782</v>
      </c>
      <c r="AN187" s="531">
        <f>SUM('[3]Divisional Model'!BH81:BH82)</f>
        <v>2874</v>
      </c>
      <c r="AO187" s="531">
        <f>SUM('[3]Divisional Model'!BI81:BI82)</f>
        <v>2925</v>
      </c>
      <c r="AP187" s="531">
        <f>SUM('[3]Divisional Model'!BJ81:BJ82)</f>
        <v>2726.0898811034426</v>
      </c>
      <c r="AQ187" s="531">
        <f>SUM('[3]Divisional Model'!BK81:BK82)</f>
        <v>2167.27297880276</v>
      </c>
      <c r="AR187" s="531">
        <f>SUM('[3]Divisional Model'!BL81:BL82)</f>
        <v>2236.8586694947753</v>
      </c>
      <c r="AS187" s="531">
        <f>SUM('[3]Divisional Model'!BM81:BM82)</f>
        <v>2255.2326689634851</v>
      </c>
      <c r="AT187" s="531">
        <f>SUM('[3]Divisional Model'!BN81:BN82)</f>
        <v>2238.4462432529881</v>
      </c>
      <c r="AU187" s="531"/>
      <c r="AV187" s="531"/>
    </row>
    <row r="188" spans="2:48">
      <c r="B188" t="s">
        <v>1881</v>
      </c>
      <c r="D188" s="531">
        <f>SUM('[3]Divisional Model'!Q83:Q84)</f>
        <v>170</v>
      </c>
      <c r="E188" s="531">
        <f>SUM('[3]Divisional Model'!R83:R84)</f>
        <v>94</v>
      </c>
      <c r="F188" s="531">
        <f>SUM('[3]Divisional Model'!S83:S84)</f>
        <v>537</v>
      </c>
      <c r="G188" s="531">
        <f>SUM('[3]Divisional Model'!T83:T84)</f>
        <v>58</v>
      </c>
      <c r="H188" s="531">
        <f>SUM('[3]Divisional Model'!U83:U84)</f>
        <v>282</v>
      </c>
      <c r="I188" s="531">
        <f>SUM('[3]Divisional Model'!V83:V84)</f>
        <v>483</v>
      </c>
      <c r="J188" s="531">
        <f>SUM('[3]Divisional Model'!W83:W84)</f>
        <v>546</v>
      </c>
      <c r="K188" s="531">
        <f>SUM('[3]Divisional Model'!X83:X84)</f>
        <v>275</v>
      </c>
      <c r="L188" s="531">
        <f>SUM('[3]Divisional Model'!Y83:Y84)</f>
        <v>413</v>
      </c>
      <c r="M188" s="531">
        <f>SUM('[3]Divisional Model'!Z83:Z84)</f>
        <v>240</v>
      </c>
      <c r="N188" s="531">
        <f>SUM('[3]Divisional Model'!AA83:AA84)</f>
        <v>177</v>
      </c>
      <c r="O188" s="531">
        <f>SUM('[3]Divisional Model'!AB83:AB84)</f>
        <v>217</v>
      </c>
      <c r="P188" s="531">
        <f>SUM('[3]Divisional Model'!AC83:AC84)</f>
        <v>237</v>
      </c>
      <c r="Q188" s="531">
        <f>SUM('[3]Divisional Model'!AD83:AD84)</f>
        <v>455</v>
      </c>
      <c r="R188" s="531">
        <f>SUM('[3]Divisional Model'!AE83:AE84)</f>
        <v>236</v>
      </c>
      <c r="S188" s="531">
        <f>SUM('[3]Divisional Model'!AF83:AF84)</f>
        <v>395</v>
      </c>
      <c r="T188" s="531">
        <f>SUM('[3]Divisional Model'!AG83:AG84)</f>
        <v>403</v>
      </c>
      <c r="U188" s="531">
        <f>SUM('[3]Divisional Model'!AH83:AH84)</f>
        <v>434</v>
      </c>
      <c r="V188" s="531">
        <f>SUM('[3]Divisional Model'!AI83:AI84)</f>
        <v>756</v>
      </c>
      <c r="W188" s="531">
        <f>SUM('[3]Divisional Model'!AJ83:AJ84)</f>
        <v>737.27088942157832</v>
      </c>
      <c r="X188" s="531">
        <f>SUM('[3]Divisional Model'!AK83:AK84)</f>
        <v>679.83598544359006</v>
      </c>
      <c r="Y188" s="531">
        <f>SUM('[3]Divisional Model'!AL83:AL84)</f>
        <v>672.10877660667211</v>
      </c>
      <c r="Z188" s="531">
        <f>SUM('[3]Divisional Model'!AM83:AM84)</f>
        <v>687.00819662123467</v>
      </c>
      <c r="AA188" s="531">
        <f>SUM('[3]Divisional Model'!AN83:AN84)</f>
        <v>692.46264692048828</v>
      </c>
      <c r="AB188" s="531">
        <f>SUM('[3]Divisional Model'!AO83:AO84)</f>
        <v>700.20332973494044</v>
      </c>
      <c r="AC188" s="531">
        <f>SUM('[3]Divisional Model'!AP83:AP84)</f>
        <v>699.60471762239763</v>
      </c>
      <c r="AD188" s="531">
        <f>SUM('[3]Divisional Model'!AQ83:AQ84)</f>
        <v>701.27442266390869</v>
      </c>
      <c r="AE188" s="531">
        <f>SUM('[3]Divisional Model'!AR83:AR84)</f>
        <v>693.00839827615744</v>
      </c>
      <c r="AF188" s="531"/>
      <c r="AG188" s="531">
        <f>SUM('[3]Divisional Model'!BA83:BA84)</f>
        <v>264</v>
      </c>
      <c r="AH188" s="531">
        <f>SUM('[3]Divisional Model'!BB83:BB84)</f>
        <v>595</v>
      </c>
      <c r="AI188" s="531">
        <f>SUM('[3]Divisional Model'!BC83:BC84)</f>
        <v>765</v>
      </c>
      <c r="AJ188" s="531">
        <f>SUM('[3]Divisional Model'!BD83:BD84)</f>
        <v>821</v>
      </c>
      <c r="AK188" s="531">
        <f>SUM('[3]Divisional Model'!BE83:BE84)</f>
        <v>653</v>
      </c>
      <c r="AL188" s="531">
        <f>SUM('[3]Divisional Model'!BF83:BF84)</f>
        <v>394</v>
      </c>
      <c r="AM188" s="531">
        <f>SUM('[3]Divisional Model'!BG83:BG84)</f>
        <v>692</v>
      </c>
      <c r="AN188" s="531">
        <f>SUM('[3]Divisional Model'!BH83:BH84)</f>
        <v>631</v>
      </c>
      <c r="AO188" s="531">
        <f>SUM('[3]Divisional Model'!BI83:BI84)</f>
        <v>837</v>
      </c>
      <c r="AP188" s="531">
        <f>SUM('[3]Divisional Model'!BJ83:BJ84)</f>
        <v>1493.2708894215784</v>
      </c>
      <c r="AQ188" s="531">
        <f>SUM('[3]Divisional Model'!BK83:BK84)</f>
        <v>1351.9447620502622</v>
      </c>
      <c r="AR188" s="531">
        <f>SUM('[3]Divisional Model'!BL83:BL84)</f>
        <v>1379.4708435417228</v>
      </c>
      <c r="AS188" s="531">
        <f>SUM('[3]Divisional Model'!BM83:BM84)</f>
        <v>1399.8080473573382</v>
      </c>
      <c r="AT188" s="531">
        <f>SUM('[3]Divisional Model'!BN83:BN84)</f>
        <v>1394.2828209400661</v>
      </c>
      <c r="AU188" s="531"/>
      <c r="AV188" s="531"/>
    </row>
    <row r="189" spans="2:48">
      <c r="B189" t="s">
        <v>1882</v>
      </c>
      <c r="D189" s="531">
        <f>'[3]Divisional Model'!Q92</f>
        <v>0</v>
      </c>
      <c r="E189" s="531">
        <f>'[3]Divisional Model'!R92</f>
        <v>0</v>
      </c>
      <c r="F189" s="531">
        <f>'[3]Divisional Model'!S92</f>
        <v>0</v>
      </c>
      <c r="G189" s="531">
        <f>'[3]Divisional Model'!T92</f>
        <v>0</v>
      </c>
      <c r="H189" s="531">
        <f>'[3]Divisional Model'!U92</f>
        <v>0</v>
      </c>
      <c r="I189" s="531">
        <f>'[3]Divisional Model'!V92</f>
        <v>0</v>
      </c>
      <c r="J189" s="531">
        <f>'[3]Divisional Model'!W92</f>
        <v>52</v>
      </c>
      <c r="K189" s="531">
        <f>'[3]Divisional Model'!X92</f>
        <v>201</v>
      </c>
      <c r="L189" s="531">
        <f>'[3]Divisional Model'!Y92</f>
        <v>371</v>
      </c>
      <c r="M189" s="531">
        <f>'[3]Divisional Model'!Z92</f>
        <v>240</v>
      </c>
      <c r="N189" s="531">
        <f>'[3]Divisional Model'!AA92</f>
        <v>62</v>
      </c>
      <c r="O189" s="531">
        <f>'[3]Divisional Model'!AB92</f>
        <v>1498</v>
      </c>
      <c r="P189" s="531">
        <f>'[3]Divisional Model'!AC92</f>
        <v>877</v>
      </c>
      <c r="Q189" s="531">
        <f>'[3]Divisional Model'!AD92</f>
        <v>271</v>
      </c>
      <c r="R189" s="531">
        <f>'[3]Divisional Model'!AE92</f>
        <v>49</v>
      </c>
      <c r="S189" s="531">
        <f>'[3]Divisional Model'!AF92</f>
        <v>298</v>
      </c>
      <c r="T189" s="531">
        <f>'[3]Divisional Model'!AG92</f>
        <v>171</v>
      </c>
      <c r="U189" s="531">
        <f>'[3]Divisional Model'!AH92</f>
        <v>435</v>
      </c>
      <c r="V189" s="531">
        <f>'[3]Divisional Model'!AI92</f>
        <v>7</v>
      </c>
      <c r="W189" s="531">
        <f>'[3]Divisional Model'!AJ92</f>
        <v>402</v>
      </c>
      <c r="X189" s="531">
        <f>'[3]Divisional Model'!AK92</f>
        <v>0</v>
      </c>
      <c r="Y189" s="531">
        <f>'[3]Divisional Model'!AL92</f>
        <v>0</v>
      </c>
      <c r="Z189" s="531">
        <f>'[3]Divisional Model'!AM92</f>
        <v>0</v>
      </c>
      <c r="AA189" s="531">
        <f>'[3]Divisional Model'!AN92</f>
        <v>0</v>
      </c>
      <c r="AB189" s="531">
        <f>'[3]Divisional Model'!AO92</f>
        <v>0</v>
      </c>
      <c r="AC189" s="531">
        <f>'[3]Divisional Model'!AP92</f>
        <v>0</v>
      </c>
      <c r="AD189" s="531">
        <f>'[3]Divisional Model'!AQ92</f>
        <v>0</v>
      </c>
      <c r="AE189" s="531">
        <f>'[3]Divisional Model'!AR92</f>
        <v>0</v>
      </c>
      <c r="AF189" s="531"/>
      <c r="AG189" s="531">
        <f>'[3]Divisional Model'!BA92</f>
        <v>0</v>
      </c>
      <c r="AH189" s="531">
        <f>'[3]Divisional Model'!BB92</f>
        <v>0</v>
      </c>
      <c r="AI189" s="531">
        <f>'[3]Divisional Model'!BC92</f>
        <v>0</v>
      </c>
      <c r="AJ189" s="531">
        <f>'[3]Divisional Model'!BD92</f>
        <v>253</v>
      </c>
      <c r="AK189" s="531">
        <f>'[3]Divisional Model'!BE92</f>
        <v>611</v>
      </c>
      <c r="AL189" s="531">
        <f>'[3]Divisional Model'!BF92</f>
        <v>1560</v>
      </c>
      <c r="AM189" s="531">
        <f>'[3]Divisional Model'!BG92</f>
        <v>1148</v>
      </c>
      <c r="AN189" s="531">
        <f>'[3]Divisional Model'!BH92</f>
        <v>347</v>
      </c>
      <c r="AO189" s="531">
        <f>'[3]Divisional Model'!BI92</f>
        <v>606</v>
      </c>
      <c r="AP189" s="531">
        <f>'[3]Divisional Model'!BJ92</f>
        <v>409</v>
      </c>
      <c r="AQ189" s="531">
        <f>'[3]Divisional Model'!BK92</f>
        <v>0</v>
      </c>
      <c r="AR189" s="531">
        <f>'[3]Divisional Model'!BL92</f>
        <v>0</v>
      </c>
      <c r="AS189" s="531">
        <f>'[3]Divisional Model'!BM92</f>
        <v>0</v>
      </c>
      <c r="AT189" s="531">
        <f>'[3]Divisional Model'!BN92</f>
        <v>0</v>
      </c>
      <c r="AU189" s="531"/>
      <c r="AV189" s="531"/>
    </row>
    <row r="190" spans="2:48">
      <c r="B190" t="s">
        <v>1883</v>
      </c>
      <c r="D190" s="531">
        <f>'[3]Divisional Model'!Q93</f>
        <v>0</v>
      </c>
      <c r="E190" s="531">
        <f>'[3]Divisional Model'!R93</f>
        <v>0</v>
      </c>
      <c r="F190" s="531">
        <f>'[3]Divisional Model'!S93</f>
        <v>0</v>
      </c>
      <c r="G190" s="531">
        <f>'[3]Divisional Model'!T93</f>
        <v>0</v>
      </c>
      <c r="H190" s="531">
        <f>'[3]Divisional Model'!U93</f>
        <v>0</v>
      </c>
      <c r="I190" s="531">
        <f>'[3]Divisional Model'!V93</f>
        <v>0</v>
      </c>
      <c r="J190" s="531">
        <f>'[3]Divisional Model'!W93</f>
        <v>0</v>
      </c>
      <c r="K190" s="531">
        <f>'[3]Divisional Model'!X93</f>
        <v>0</v>
      </c>
      <c r="L190" s="531">
        <f>'[3]Divisional Model'!Y93</f>
        <v>-72</v>
      </c>
      <c r="M190" s="531">
        <f>'[3]Divisional Model'!Z93</f>
        <v>-78</v>
      </c>
      <c r="N190" s="531">
        <f>'[3]Divisional Model'!AA93</f>
        <v>22</v>
      </c>
      <c r="O190" s="531">
        <f>'[3]Divisional Model'!AB93</f>
        <v>-48</v>
      </c>
      <c r="P190" s="531">
        <f>'[3]Divisional Model'!AC93</f>
        <v>-115</v>
      </c>
      <c r="Q190" s="531">
        <f>'[3]Divisional Model'!AD93</f>
        <v>-74</v>
      </c>
      <c r="R190" s="531">
        <f>'[3]Divisional Model'!AE93</f>
        <v>-184</v>
      </c>
      <c r="S190" s="531">
        <f>'[3]Divisional Model'!AF93</f>
        <v>-198</v>
      </c>
      <c r="T190" s="531">
        <f>'[3]Divisional Model'!AG93</f>
        <v>-238</v>
      </c>
      <c r="U190" s="531">
        <f>'[3]Divisional Model'!AH93</f>
        <v>-331</v>
      </c>
      <c r="V190" s="531">
        <f>'[3]Divisional Model'!AI93</f>
        <v>0</v>
      </c>
      <c r="W190" s="531">
        <f>'[3]Divisional Model'!AJ93</f>
        <v>0</v>
      </c>
      <c r="X190" s="531">
        <f>'[3]Divisional Model'!AK93</f>
        <v>0</v>
      </c>
      <c r="Y190" s="531">
        <f>'[3]Divisional Model'!AL93</f>
        <v>0</v>
      </c>
      <c r="Z190" s="531">
        <f>'[3]Divisional Model'!AM93</f>
        <v>0</v>
      </c>
      <c r="AA190" s="531">
        <f>'[3]Divisional Model'!AN93</f>
        <v>0</v>
      </c>
      <c r="AB190" s="531">
        <f>'[3]Divisional Model'!AO93</f>
        <v>0</v>
      </c>
      <c r="AC190" s="531">
        <f>'[3]Divisional Model'!AP93</f>
        <v>0</v>
      </c>
      <c r="AD190" s="531">
        <f>'[3]Divisional Model'!AQ93</f>
        <v>0</v>
      </c>
      <c r="AE190" s="531">
        <f>'[3]Divisional Model'!AR93</f>
        <v>0</v>
      </c>
      <c r="AF190" s="531"/>
      <c r="AG190" s="531">
        <f>'[3]Divisional Model'!BA93</f>
        <v>0</v>
      </c>
      <c r="AH190" s="531">
        <f>'[3]Divisional Model'!BB93</f>
        <v>0</v>
      </c>
      <c r="AI190" s="531">
        <f>'[3]Divisional Model'!BC93</f>
        <v>0</v>
      </c>
      <c r="AJ190" s="531">
        <f>'[3]Divisional Model'!BD93</f>
        <v>0</v>
      </c>
      <c r="AK190" s="531">
        <f>'[3]Divisional Model'!BE93</f>
        <v>-150</v>
      </c>
      <c r="AL190" s="531">
        <f>'[3]Divisional Model'!BF93</f>
        <v>-26</v>
      </c>
      <c r="AM190" s="531">
        <f>'[3]Divisional Model'!BG93</f>
        <v>-189</v>
      </c>
      <c r="AN190" s="531">
        <f>'[3]Divisional Model'!BH93</f>
        <v>-382</v>
      </c>
      <c r="AO190" s="531">
        <f>'[3]Divisional Model'!BI93</f>
        <v>-569</v>
      </c>
      <c r="AP190" s="531">
        <f>'[3]Divisional Model'!BJ93</f>
        <v>0</v>
      </c>
      <c r="AQ190" s="531">
        <f>'[3]Divisional Model'!BK93</f>
        <v>0</v>
      </c>
      <c r="AR190" s="531">
        <f>'[3]Divisional Model'!BL93</f>
        <v>0</v>
      </c>
      <c r="AS190" s="531">
        <f>'[3]Divisional Model'!BM93</f>
        <v>0</v>
      </c>
      <c r="AT190" s="531">
        <f>'[3]Divisional Model'!BN93</f>
        <v>0</v>
      </c>
      <c r="AU190" s="531"/>
      <c r="AV190" s="531"/>
    </row>
    <row r="192" spans="2:48">
      <c r="B192" s="525" t="s">
        <v>507</v>
      </c>
    </row>
    <row r="193" spans="2:48">
      <c r="B193" t="s">
        <v>1884</v>
      </c>
      <c r="D193" s="531">
        <f>'[3]Divisional Model'!Q158</f>
        <v>498</v>
      </c>
      <c r="E193" s="531">
        <f>'[3]Divisional Model'!R158</f>
        <v>551</v>
      </c>
      <c r="F193" s="531">
        <f>'[3]Divisional Model'!S158</f>
        <v>787</v>
      </c>
      <c r="G193" s="531">
        <f>'[3]Divisional Model'!T158</f>
        <v>797</v>
      </c>
      <c r="H193" s="531">
        <f>'[3]Divisional Model'!U158</f>
        <v>834</v>
      </c>
      <c r="I193" s="531">
        <f>'[3]Divisional Model'!V158</f>
        <v>844</v>
      </c>
      <c r="J193" s="531">
        <f>'[3]Divisional Model'!W158</f>
        <v>838</v>
      </c>
      <c r="K193" s="531">
        <f>'[3]Divisional Model'!X158</f>
        <v>890</v>
      </c>
      <c r="L193" s="531">
        <f>'[3]Divisional Model'!Y158</f>
        <v>844</v>
      </c>
      <c r="M193" s="531">
        <f>'[3]Divisional Model'!Z158</f>
        <v>902</v>
      </c>
      <c r="N193" s="531">
        <f>'[3]Divisional Model'!AA158</f>
        <v>974</v>
      </c>
      <c r="O193" s="531">
        <f>'[3]Divisional Model'!AB158</f>
        <v>998</v>
      </c>
      <c r="P193" s="531">
        <f>'[3]Divisional Model'!AC158</f>
        <v>1197</v>
      </c>
      <c r="Q193" s="531">
        <f>'[3]Divisional Model'!AD158</f>
        <v>1323</v>
      </c>
      <c r="R193" s="531">
        <f>'[3]Divisional Model'!AE158</f>
        <v>1360</v>
      </c>
      <c r="S193" s="531">
        <f>'[3]Divisional Model'!AF158</f>
        <v>1285</v>
      </c>
      <c r="T193" s="531">
        <f>'[3]Divisional Model'!AG158</f>
        <v>1326</v>
      </c>
      <c r="U193" s="531">
        <f>'[3]Divisional Model'!AH158</f>
        <v>1391</v>
      </c>
      <c r="V193" s="531">
        <f>'[3]Divisional Model'!AI158</f>
        <v>1456</v>
      </c>
      <c r="W193" s="531">
        <f>'[3]Divisional Model'!AJ158</f>
        <v>1535.528156705486</v>
      </c>
      <c r="X193" s="531">
        <f>'[3]Divisional Model'!AK158</f>
        <v>1614.2470304202898</v>
      </c>
      <c r="Y193" s="531">
        <f>'[3]Divisional Model'!AL158</f>
        <v>1661.6202424829182</v>
      </c>
      <c r="Z193" s="531">
        <f>'[3]Divisional Model'!AM158</f>
        <v>1706.9300738394261</v>
      </c>
      <c r="AA193" s="531">
        <f>'[3]Divisional Model'!AN158</f>
        <v>1739.091354431567</v>
      </c>
      <c r="AB193" s="531">
        <f>'[3]Divisional Model'!AO158</f>
        <v>1787.398188596103</v>
      </c>
      <c r="AC193" s="531">
        <f>'[3]Divisional Model'!AP158</f>
        <v>1820.9298598537848</v>
      </c>
      <c r="AD193" s="531">
        <f>'[3]Divisional Model'!AQ158</f>
        <v>1881.2319012757107</v>
      </c>
      <c r="AE193" s="531">
        <f>'[3]Divisional Model'!AR158</f>
        <v>1921.4239151263753</v>
      </c>
      <c r="AF193" s="531"/>
      <c r="AG193" s="531">
        <f>'[3]Divisional Model'!BA158</f>
        <v>1049</v>
      </c>
      <c r="AH193" s="531">
        <f>'[3]Divisional Model'!BB158</f>
        <v>1584</v>
      </c>
      <c r="AI193" s="531">
        <f>'[3]Divisional Model'!BC158</f>
        <v>1678</v>
      </c>
      <c r="AJ193" s="531">
        <f>'[3]Divisional Model'!BD158</f>
        <v>1728</v>
      </c>
      <c r="AK193" s="531">
        <f>'[3]Divisional Model'!BE158</f>
        <v>1746</v>
      </c>
      <c r="AL193" s="531">
        <f>'[3]Divisional Model'!BF158</f>
        <v>1972</v>
      </c>
      <c r="AM193" s="531">
        <f>'[3]Divisional Model'!BG158</f>
        <v>2520</v>
      </c>
      <c r="AN193" s="531">
        <f>'[3]Divisional Model'!BH158</f>
        <v>2645</v>
      </c>
      <c r="AO193" s="531">
        <f>'[3]Divisional Model'!BI158</f>
        <v>2717</v>
      </c>
      <c r="AP193" s="531">
        <f>'[3]Divisional Model'!BJ158</f>
        <v>2991.5281567054863</v>
      </c>
      <c r="AQ193" s="531">
        <f>'[3]Divisional Model'!BK158</f>
        <v>3275.8672729032078</v>
      </c>
      <c r="AR193" s="531">
        <f>'[3]Divisional Model'!BL158</f>
        <v>3446.0214282709931</v>
      </c>
      <c r="AS193" s="531">
        <f>'[3]Divisional Model'!BM158</f>
        <v>3608.3280484498878</v>
      </c>
      <c r="AT193" s="531">
        <f>'[3]Divisional Model'!BN158</f>
        <v>3802.6558164020862</v>
      </c>
      <c r="AU193" s="531"/>
      <c r="AV193" s="531"/>
    </row>
    <row r="194" spans="2:48">
      <c r="B194" t="s">
        <v>1889</v>
      </c>
      <c r="D194" s="531">
        <f>'[3]Divisional Model'!Q166</f>
        <v>256</v>
      </c>
      <c r="E194" s="531">
        <f>'[3]Divisional Model'!R166</f>
        <v>216</v>
      </c>
      <c r="F194" s="531">
        <f>'[3]Divisional Model'!S166</f>
        <v>248</v>
      </c>
      <c r="G194" s="531">
        <f>'[3]Divisional Model'!T166</f>
        <v>244</v>
      </c>
      <c r="H194" s="531">
        <f>'[3]Divisional Model'!U166</f>
        <v>244</v>
      </c>
      <c r="I194" s="531">
        <f>'[3]Divisional Model'!V166</f>
        <v>232</v>
      </c>
      <c r="J194" s="531">
        <f>'[3]Divisional Model'!W166</f>
        <v>226</v>
      </c>
      <c r="K194" s="531">
        <f>'[3]Divisional Model'!X166</f>
        <v>219</v>
      </c>
      <c r="L194" s="531">
        <f>'[3]Divisional Model'!Y166</f>
        <v>203</v>
      </c>
      <c r="M194" s="531">
        <f>'[3]Divisional Model'!Z166</f>
        <v>216</v>
      </c>
      <c r="N194" s="531">
        <f>'[3]Divisional Model'!AA166</f>
        <v>220</v>
      </c>
      <c r="O194" s="531">
        <f>'[3]Divisional Model'!AB166</f>
        <v>237</v>
      </c>
      <c r="P194" s="531">
        <f>'[3]Divisional Model'!AC166</f>
        <v>249</v>
      </c>
      <c r="Q194" s="531">
        <f>'[3]Divisional Model'!AD166</f>
        <v>255</v>
      </c>
      <c r="R194" s="531">
        <f>'[3]Divisional Model'!AE166</f>
        <v>273</v>
      </c>
      <c r="S194" s="531">
        <f>'[3]Divisional Model'!AF166</f>
        <v>281</v>
      </c>
      <c r="T194" s="531">
        <f>'[3]Divisional Model'!AG166</f>
        <v>304</v>
      </c>
      <c r="U194" s="531">
        <f>'[3]Divisional Model'!AH166</f>
        <v>307</v>
      </c>
      <c r="V194" s="531">
        <f>'[3]Divisional Model'!AI166</f>
        <v>329</v>
      </c>
      <c r="W194" s="531">
        <f>'[3]Divisional Model'!AJ166</f>
        <v>336.608</v>
      </c>
      <c r="X194" s="531">
        <f>'[3]Divisional Model'!AK166</f>
        <v>346.34624000000002</v>
      </c>
      <c r="Y194" s="531">
        <f>'[3]Divisional Model'!AL166</f>
        <v>356.37662720000003</v>
      </c>
      <c r="Z194" s="531">
        <f>'[3]Divisional Model'!AM166</f>
        <v>366.70792601600004</v>
      </c>
      <c r="AA194" s="531">
        <f>'[3]Divisional Model'!AN166</f>
        <v>377.34916379648007</v>
      </c>
      <c r="AB194" s="531">
        <f>'[3]Divisional Model'!AO166</f>
        <v>388.30963871037449</v>
      </c>
      <c r="AC194" s="531">
        <f>'[3]Divisional Model'!AP166</f>
        <v>399.5989278716857</v>
      </c>
      <c r="AD194" s="531">
        <f>'[3]Divisional Model'!AQ166</f>
        <v>411.22689570783626</v>
      </c>
      <c r="AE194" s="531">
        <f>'[3]Divisional Model'!AR166</f>
        <v>423.20370257907138</v>
      </c>
      <c r="AF194" s="531"/>
      <c r="AG194" s="531">
        <f>'[3]Divisional Model'!BA166</f>
        <v>472</v>
      </c>
      <c r="AH194" s="531">
        <f>'[3]Divisional Model'!BB166</f>
        <v>492</v>
      </c>
      <c r="AI194" s="531">
        <f>'[3]Divisional Model'!BC166</f>
        <v>476</v>
      </c>
      <c r="AJ194" s="531">
        <f>'[3]Divisional Model'!BD166</f>
        <v>445</v>
      </c>
      <c r="AK194" s="531">
        <f>'[3]Divisional Model'!BE166</f>
        <v>419</v>
      </c>
      <c r="AL194" s="531">
        <f>'[3]Divisional Model'!BF166</f>
        <v>457</v>
      </c>
      <c r="AM194" s="531">
        <f>'[3]Divisional Model'!BG166</f>
        <v>504</v>
      </c>
      <c r="AN194" s="531">
        <f>'[3]Divisional Model'!BH166</f>
        <v>554</v>
      </c>
      <c r="AO194" s="531">
        <f>'[3]Divisional Model'!BI166</f>
        <v>611</v>
      </c>
      <c r="AP194" s="531">
        <f>'[3]Divisional Model'!BJ166</f>
        <v>665.60799999999995</v>
      </c>
      <c r="AQ194" s="531">
        <f>'[3]Divisional Model'!BK166</f>
        <v>702.72286720000011</v>
      </c>
      <c r="AR194" s="531">
        <f>'[3]Divisional Model'!BL166</f>
        <v>744.05708981248017</v>
      </c>
      <c r="AS194" s="531">
        <f>'[3]Divisional Model'!BM166</f>
        <v>787.90856658206019</v>
      </c>
      <c r="AT194" s="531">
        <f>'[3]Divisional Model'!BN166</f>
        <v>834.43059828690764</v>
      </c>
      <c r="AU194" s="531"/>
      <c r="AV194" s="531"/>
    </row>
    <row r="195" spans="2:48">
      <c r="B195" t="s">
        <v>1885</v>
      </c>
      <c r="D195" s="531">
        <f>'[3]Divisional Model'!Q169</f>
        <v>-32</v>
      </c>
      <c r="E195" s="531">
        <f>'[3]Divisional Model'!R169</f>
        <v>-6</v>
      </c>
      <c r="F195" s="531">
        <f>'[3]Divisional Model'!S169</f>
        <v>-34</v>
      </c>
      <c r="G195" s="531">
        <f>'[3]Divisional Model'!T169</f>
        <v>-33</v>
      </c>
      <c r="H195" s="531">
        <f>'[3]Divisional Model'!U169</f>
        <v>-28</v>
      </c>
      <c r="I195" s="531">
        <f>'[3]Divisional Model'!V169</f>
        <v>-39</v>
      </c>
      <c r="J195" s="531">
        <f>'[3]Divisional Model'!W169</f>
        <v>-42</v>
      </c>
      <c r="K195" s="531">
        <f>'[3]Divisional Model'!X169</f>
        <v>-106</v>
      </c>
      <c r="L195" s="531">
        <f>'[3]Divisional Model'!Y169</f>
        <v>-78</v>
      </c>
      <c r="M195" s="531">
        <f>'[3]Divisional Model'!Z169</f>
        <v>-37</v>
      </c>
      <c r="N195" s="531">
        <f>'[3]Divisional Model'!AA169</f>
        <v>-31</v>
      </c>
      <c r="O195" s="531">
        <f>'[3]Divisional Model'!AB169</f>
        <v>53</v>
      </c>
      <c r="P195" s="531">
        <f>'[3]Divisional Model'!AC169</f>
        <v>-9</v>
      </c>
      <c r="Q195" s="531">
        <f>'[3]Divisional Model'!AD169</f>
        <v>-25</v>
      </c>
      <c r="R195" s="531">
        <f>'[3]Divisional Model'!AE169</f>
        <v>-23</v>
      </c>
      <c r="S195" s="531">
        <f>'[3]Divisional Model'!AF169</f>
        <v>38</v>
      </c>
      <c r="T195" s="531">
        <f>'[3]Divisional Model'!AG169</f>
        <v>-21</v>
      </c>
      <c r="U195" s="531">
        <f>'[3]Divisional Model'!AH169</f>
        <v>-24</v>
      </c>
      <c r="V195" s="531">
        <f>'[3]Divisional Model'!AI169</f>
        <v>-24</v>
      </c>
      <c r="W195" s="531">
        <f>'[3]Divisional Model'!AJ169</f>
        <v>-24</v>
      </c>
      <c r="X195" s="531">
        <f>'[3]Divisional Model'!AK169</f>
        <v>-17.77885799435667</v>
      </c>
      <c r="Y195" s="531">
        <f>'[3]Divisional Model'!AL169</f>
        <v>-23.351804902210379</v>
      </c>
      <c r="Z195" s="531">
        <f>'[3]Divisional Model'!AM169</f>
        <v>-27.961246978226573</v>
      </c>
      <c r="AA195" s="531">
        <f>'[3]Divisional Model'!AN169</f>
        <v>-27.812583959754985</v>
      </c>
      <c r="AB195" s="531">
        <f>'[3]Divisional Model'!AO169</f>
        <v>-34.12707874274146</v>
      </c>
      <c r="AC195" s="531">
        <f>'[3]Divisional Model'!AP169</f>
        <v>-34.183713200890104</v>
      </c>
      <c r="AD195" s="531">
        <f>'[3]Divisional Model'!AQ169</f>
        <v>-34.402899598671674</v>
      </c>
      <c r="AE195" s="531">
        <f>'[3]Divisional Model'!AR169</f>
        <v>-34.558774535432939</v>
      </c>
      <c r="AF195" s="531"/>
      <c r="AG195" s="531">
        <f>'[3]Divisional Model'!BA169</f>
        <v>-38</v>
      </c>
      <c r="AH195" s="531">
        <f>'[3]Divisional Model'!BB169</f>
        <v>-67</v>
      </c>
      <c r="AI195" s="531">
        <f>'[3]Divisional Model'!BC169</f>
        <v>-67</v>
      </c>
      <c r="AJ195" s="531">
        <f>'[3]Divisional Model'!BD169</f>
        <v>-148</v>
      </c>
      <c r="AK195" s="531">
        <f>'[3]Divisional Model'!BE169</f>
        <v>-115</v>
      </c>
      <c r="AL195" s="531">
        <f>'[3]Divisional Model'!BF169</f>
        <v>22</v>
      </c>
      <c r="AM195" s="531">
        <f>'[3]Divisional Model'!BG169</f>
        <v>-34</v>
      </c>
      <c r="AN195" s="531">
        <f>'[3]Divisional Model'!BH169</f>
        <v>15</v>
      </c>
      <c r="AO195" s="531">
        <f>'[3]Divisional Model'!BI169</f>
        <v>-45</v>
      </c>
      <c r="AP195" s="531">
        <f>'[3]Divisional Model'!BJ169</f>
        <v>-48</v>
      </c>
      <c r="AQ195" s="531">
        <f>'[3]Divisional Model'!BK169</f>
        <v>-41.130662896567046</v>
      </c>
      <c r="AR195" s="531">
        <f>'[3]Divisional Model'!BL169</f>
        <v>-55.773830937981558</v>
      </c>
      <c r="AS195" s="531">
        <f>'[3]Divisional Model'!BM169</f>
        <v>-68.310791943631557</v>
      </c>
      <c r="AT195" s="531">
        <f>'[3]Divisional Model'!BN169</f>
        <v>-68.961674134104612</v>
      </c>
      <c r="AU195" s="531"/>
      <c r="AV195" s="531"/>
    </row>
    <row r="197" spans="2:48">
      <c r="B197" s="525" t="s">
        <v>1875</v>
      </c>
    </row>
    <row r="198" spans="2:48">
      <c r="B198" t="s">
        <v>1890</v>
      </c>
      <c r="D198" s="531">
        <f>'[3]Divisional Model'!Q242</f>
        <v>505</v>
      </c>
      <c r="E198" s="531">
        <f>'[3]Divisional Model'!R242</f>
        <v>627</v>
      </c>
      <c r="F198" s="531">
        <f>'[3]Divisional Model'!S242</f>
        <v>435</v>
      </c>
      <c r="G198" s="531">
        <f>'[3]Divisional Model'!T242</f>
        <v>658</v>
      </c>
      <c r="H198" s="531">
        <f>'[3]Divisional Model'!U242</f>
        <v>806</v>
      </c>
      <c r="I198" s="531">
        <f>'[3]Divisional Model'!V242</f>
        <v>1177</v>
      </c>
      <c r="J198" s="531">
        <f>'[3]Divisional Model'!W242</f>
        <v>1049</v>
      </c>
      <c r="K198" s="531">
        <f>'[3]Divisional Model'!X242</f>
        <v>689</v>
      </c>
      <c r="L198" s="531">
        <f>'[3]Divisional Model'!Y242</f>
        <v>1112</v>
      </c>
      <c r="M198" s="531">
        <f>'[3]Divisional Model'!Z242</f>
        <v>1559</v>
      </c>
      <c r="N198" s="531">
        <f>'[3]Divisional Model'!AA242</f>
        <v>1254</v>
      </c>
      <c r="O198" s="531">
        <f>'[3]Divisional Model'!AB242</f>
        <v>2070</v>
      </c>
      <c r="P198" s="531">
        <f>'[3]Divisional Model'!AC242</f>
        <v>1889</v>
      </c>
      <c r="Q198" s="531">
        <f>'[3]Divisional Model'!AD242</f>
        <v>4232</v>
      </c>
      <c r="R198" s="531">
        <f>'[3]Divisional Model'!AE242</f>
        <v>1534</v>
      </c>
      <c r="S198" s="531">
        <f>'[3]Divisional Model'!AF242</f>
        <v>1982</v>
      </c>
      <c r="T198" s="531">
        <f>'[3]Divisional Model'!AG242</f>
        <v>1406</v>
      </c>
      <c r="U198" s="531">
        <f>'[3]Divisional Model'!AH242</f>
        <v>1614</v>
      </c>
      <c r="V198" s="531">
        <f>'[3]Divisional Model'!AI242</f>
        <v>1380</v>
      </c>
      <c r="W198" s="531">
        <f>'[3]Divisional Model'!AJ242</f>
        <v>1673.35</v>
      </c>
      <c r="X198" s="531">
        <f>'[3]Divisional Model'!AK242</f>
        <v>1516.6889999999999</v>
      </c>
      <c r="Y198" s="531">
        <f>'[3]Divisional Model'!AL242</f>
        <v>1748.5114050000002</v>
      </c>
      <c r="Z198" s="531">
        <f>'[3]Divisional Model'!AM242</f>
        <v>1642.4690987250001</v>
      </c>
      <c r="AA198" s="531">
        <f>'[3]Divisional Model'!AN242</f>
        <v>1922.7540660119998</v>
      </c>
      <c r="AB198" s="531">
        <f>'[3]Divisional Model'!AO242</f>
        <v>1737.4095231759898</v>
      </c>
      <c r="AC198" s="531">
        <f>'[3]Divisional Model'!AP242</f>
        <v>2033.8474243082596</v>
      </c>
      <c r="AD198" s="531">
        <f>'[3]Divisional Model'!AQ242</f>
        <v>1838.3691608127062</v>
      </c>
      <c r="AE198" s="531">
        <f>'[3]Divisional Model'!AR242</f>
        <v>2151.9672033351553</v>
      </c>
      <c r="AF198" s="531"/>
      <c r="AG198" s="531">
        <f>'[3]Divisional Model'!BA242</f>
        <v>1132</v>
      </c>
      <c r="AH198" s="531">
        <f>'[3]Divisional Model'!BB242</f>
        <v>1093</v>
      </c>
      <c r="AI198" s="531">
        <f>'[3]Divisional Model'!BC242</f>
        <v>1983</v>
      </c>
      <c r="AJ198" s="531">
        <f>'[3]Divisional Model'!BD242</f>
        <v>1738</v>
      </c>
      <c r="AK198" s="531">
        <f>'[3]Divisional Model'!BE242</f>
        <v>2671</v>
      </c>
      <c r="AL198" s="531">
        <f>'[3]Divisional Model'!BF242</f>
        <v>3324</v>
      </c>
      <c r="AM198" s="531">
        <f>'[3]Divisional Model'!BG242</f>
        <v>6121</v>
      </c>
      <c r="AN198" s="531">
        <f>'[3]Divisional Model'!BH242</f>
        <v>3516</v>
      </c>
      <c r="AO198" s="531">
        <f>'[3]Divisional Model'!BI242</f>
        <v>3020</v>
      </c>
      <c r="AP198" s="531">
        <f>'[3]Divisional Model'!BJ242</f>
        <v>3053.35</v>
      </c>
      <c r="AQ198" s="531">
        <f>'[3]Divisional Model'!BK242</f>
        <v>3265.200405</v>
      </c>
      <c r="AR198" s="531">
        <f>'[3]Divisional Model'!BL242</f>
        <v>3565.2231647369999</v>
      </c>
      <c r="AS198" s="531">
        <f>'[3]Divisional Model'!BM242</f>
        <v>3771.2569474842494</v>
      </c>
      <c r="AT198" s="531">
        <f>'[3]Divisional Model'!BN242</f>
        <v>3990.3363641478618</v>
      </c>
      <c r="AU198" s="531"/>
      <c r="AV198" s="531"/>
    </row>
    <row r="199" spans="2:48">
      <c r="B199" t="s">
        <v>1891</v>
      </c>
      <c r="D199" s="531">
        <f>'[3]Divisional Model'!Q243</f>
        <v>430</v>
      </c>
      <c r="E199" s="531">
        <f>'[3]Divisional Model'!R243</f>
        <v>498</v>
      </c>
      <c r="F199" s="531">
        <f>'[3]Divisional Model'!S243</f>
        <v>469</v>
      </c>
      <c r="G199" s="531">
        <f>'[3]Divisional Model'!T243</f>
        <v>398</v>
      </c>
      <c r="H199" s="531">
        <f>'[3]Divisional Model'!U243</f>
        <v>551</v>
      </c>
      <c r="I199" s="531">
        <f>'[3]Divisional Model'!V243</f>
        <v>406</v>
      </c>
      <c r="J199" s="531">
        <f>'[3]Divisional Model'!W243</f>
        <v>641</v>
      </c>
      <c r="K199" s="531">
        <f>'[3]Divisional Model'!X243</f>
        <v>578</v>
      </c>
      <c r="L199" s="531">
        <f>'[3]Divisional Model'!Y243</f>
        <v>625</v>
      </c>
      <c r="M199" s="531">
        <f>'[3]Divisional Model'!Z243</f>
        <v>560</v>
      </c>
      <c r="N199" s="531">
        <f>'[3]Divisional Model'!AA243</f>
        <v>624</v>
      </c>
      <c r="O199" s="531">
        <f>'[3]Divisional Model'!AB243</f>
        <v>784</v>
      </c>
      <c r="P199" s="531">
        <f>'[3]Divisional Model'!AC243</f>
        <v>885</v>
      </c>
      <c r="Q199" s="531">
        <f>'[3]Divisional Model'!AD243</f>
        <v>633</v>
      </c>
      <c r="R199" s="531">
        <f>'[3]Divisional Model'!AE243</f>
        <v>829</v>
      </c>
      <c r="S199" s="531">
        <f>'[3]Divisional Model'!AF243</f>
        <v>811</v>
      </c>
      <c r="T199" s="531">
        <f>'[3]Divisional Model'!AG243</f>
        <v>863</v>
      </c>
      <c r="U199" s="531">
        <f>'[3]Divisional Model'!AH243</f>
        <v>1007</v>
      </c>
      <c r="V199" s="531">
        <f>'[3]Divisional Model'!AI243</f>
        <v>941</v>
      </c>
      <c r="W199" s="531">
        <f>'[3]Divisional Model'!AJ243</f>
        <v>1058.625</v>
      </c>
      <c r="X199" s="531">
        <f>'[3]Divisional Model'!AK243</f>
        <v>1042.745625</v>
      </c>
      <c r="Y199" s="531">
        <f>'[3]Divisional Model'!AL243</f>
        <v>1063.6005375</v>
      </c>
      <c r="Z199" s="531">
        <f>'[3]Divisional Model'!AM243</f>
        <v>1084.8725482499999</v>
      </c>
      <c r="AA199" s="531">
        <f>'[3]Divisional Model'!AN243</f>
        <v>1106.5699992149998</v>
      </c>
      <c r="AB199" s="531">
        <f>'[3]Divisional Model'!AO243</f>
        <v>1128.7013991992999</v>
      </c>
      <c r="AC199" s="531">
        <f>'[3]Divisional Model'!AP243</f>
        <v>1151.275427183286</v>
      </c>
      <c r="AD199" s="531">
        <f>'[3]Divisional Model'!AQ243</f>
        <v>1174.3009357269516</v>
      </c>
      <c r="AE199" s="531">
        <f>'[3]Divisional Model'!AR243</f>
        <v>1197.7869544414907</v>
      </c>
      <c r="AF199" s="531"/>
      <c r="AG199" s="531">
        <f>'[3]Divisional Model'!BA243</f>
        <v>928</v>
      </c>
      <c r="AH199" s="531">
        <f>'[3]Divisional Model'!BB243</f>
        <v>867</v>
      </c>
      <c r="AI199" s="531">
        <f>'[3]Divisional Model'!BC243</f>
        <v>957</v>
      </c>
      <c r="AJ199" s="531">
        <f>'[3]Divisional Model'!BD243</f>
        <v>1219</v>
      </c>
      <c r="AK199" s="531">
        <f>'[3]Divisional Model'!BE243</f>
        <v>1185</v>
      </c>
      <c r="AL199" s="531">
        <f>'[3]Divisional Model'!BF243</f>
        <v>1408</v>
      </c>
      <c r="AM199" s="531">
        <f>'[3]Divisional Model'!BG243</f>
        <v>1518</v>
      </c>
      <c r="AN199" s="531">
        <f>'[3]Divisional Model'!BH243</f>
        <v>1640</v>
      </c>
      <c r="AO199" s="531">
        <f>'[3]Divisional Model'!BI243</f>
        <v>1870</v>
      </c>
      <c r="AP199" s="531">
        <f>'[3]Divisional Model'!BJ243</f>
        <v>1999.625</v>
      </c>
      <c r="AQ199" s="531">
        <f>'[3]Divisional Model'!BK243</f>
        <v>2106.3461625</v>
      </c>
      <c r="AR199" s="531">
        <f>'[3]Divisional Model'!BL243</f>
        <v>2191.4425474649997</v>
      </c>
      <c r="AS199" s="531">
        <f>'[3]Divisional Model'!BM243</f>
        <v>2279.9768263825858</v>
      </c>
      <c r="AT199" s="531">
        <f>'[3]Divisional Model'!BN243</f>
        <v>2372.0878901684423</v>
      </c>
      <c r="AU199" s="531"/>
      <c r="AV199" s="531"/>
    </row>
    <row r="200" spans="2:48">
      <c r="B200" t="s">
        <v>1893</v>
      </c>
      <c r="D200" s="531">
        <f>'[3]Divisional Model'!Q238</f>
        <v>447</v>
      </c>
      <c r="E200" s="531">
        <f>'[3]Divisional Model'!R238</f>
        <v>410</v>
      </c>
      <c r="F200" s="531">
        <f>'[3]Divisional Model'!S238</f>
        <v>436</v>
      </c>
      <c r="G200" s="531">
        <f>'[3]Divisional Model'!T238</f>
        <v>457</v>
      </c>
      <c r="H200" s="531">
        <f>'[3]Divisional Model'!U238</f>
        <v>611</v>
      </c>
      <c r="I200" s="531">
        <f>'[3]Divisional Model'!V238</f>
        <v>611</v>
      </c>
      <c r="J200" s="531">
        <f>'[3]Divisional Model'!W238</f>
        <v>283</v>
      </c>
      <c r="K200" s="531">
        <f>'[3]Divisional Model'!X238</f>
        <v>347</v>
      </c>
      <c r="L200" s="531">
        <f>'[3]Divisional Model'!Y238</f>
        <v>257</v>
      </c>
      <c r="M200" s="531">
        <f>'[3]Divisional Model'!Z238</f>
        <v>228</v>
      </c>
      <c r="N200" s="531">
        <f>'[3]Divisional Model'!AA238</f>
        <v>228</v>
      </c>
      <c r="O200" s="531">
        <f>'[3]Divisional Model'!AB238</f>
        <v>279</v>
      </c>
      <c r="P200" s="531">
        <f>'[3]Divisional Model'!AC238</f>
        <v>279</v>
      </c>
      <c r="Q200" s="531">
        <f>'[3]Divisional Model'!AD238</f>
        <v>307</v>
      </c>
      <c r="R200" s="531">
        <f>'[3]Divisional Model'!AE238</f>
        <v>283</v>
      </c>
      <c r="S200" s="531">
        <f>'[3]Divisional Model'!AF238</f>
        <v>303</v>
      </c>
      <c r="T200" s="531">
        <f>'[3]Divisional Model'!AG238</f>
        <v>289</v>
      </c>
      <c r="U200" s="531">
        <f>'[3]Divisional Model'!AH238</f>
        <v>240</v>
      </c>
      <c r="V200" s="531">
        <f>'[3]Divisional Model'!AI238</f>
        <v>318</v>
      </c>
      <c r="W200" s="531">
        <f>'[3]Divisional Model'!AJ238</f>
        <v>349.74</v>
      </c>
      <c r="X200" s="531">
        <f>'[3]Divisional Model'!AK238</f>
        <v>356.73480000000001</v>
      </c>
      <c r="Y200" s="531">
        <f>'[3]Divisional Model'!AL238</f>
        <v>363.86949600000003</v>
      </c>
      <c r="Z200" s="531">
        <f>'[3]Divisional Model'!AM238</f>
        <v>371.14688592000005</v>
      </c>
      <c r="AA200" s="531">
        <f>'[3]Divisional Model'!AN238</f>
        <v>378.56982363840007</v>
      </c>
      <c r="AB200" s="531">
        <f>'[3]Divisional Model'!AO238</f>
        <v>386.14122011116808</v>
      </c>
      <c r="AC200" s="531">
        <f>'[3]Divisional Model'!AP238</f>
        <v>393.86404451339138</v>
      </c>
      <c r="AD200" s="531">
        <f>'[3]Divisional Model'!AQ238</f>
        <v>401.74132540365929</v>
      </c>
      <c r="AE200" s="531">
        <f>'[3]Divisional Model'!AR238</f>
        <v>409.77615191173243</v>
      </c>
      <c r="AF200" s="531"/>
      <c r="AG200" s="531">
        <f>'[3]Divisional Model'!BA238</f>
        <v>857</v>
      </c>
      <c r="AH200" s="531">
        <f>'[3]Divisional Model'!BB238</f>
        <v>893</v>
      </c>
      <c r="AI200" s="531">
        <f>'[3]Divisional Model'!BC238</f>
        <v>1222</v>
      </c>
      <c r="AJ200" s="531">
        <f>'[3]Divisional Model'!BD238</f>
        <v>630</v>
      </c>
      <c r="AK200" s="531">
        <f>'[3]Divisional Model'!BE238</f>
        <v>485</v>
      </c>
      <c r="AL200" s="531">
        <f>'[3]Divisional Model'!BF238</f>
        <v>507</v>
      </c>
      <c r="AM200" s="531">
        <f>'[3]Divisional Model'!BG238</f>
        <v>586</v>
      </c>
      <c r="AN200" s="531">
        <f>'[3]Divisional Model'!BH238</f>
        <v>586</v>
      </c>
      <c r="AO200" s="531">
        <f>'[3]Divisional Model'!BI238</f>
        <v>529</v>
      </c>
      <c r="AP200" s="531">
        <f>'[3]Divisional Model'!BJ238</f>
        <v>667.74</v>
      </c>
      <c r="AQ200" s="531">
        <f>'[3]Divisional Model'!BK238</f>
        <v>720.60429599999998</v>
      </c>
      <c r="AR200" s="531">
        <f>'[3]Divisional Model'!BL238</f>
        <v>749.7167095584</v>
      </c>
      <c r="AS200" s="531">
        <f>'[3]Divisional Model'!BM238</f>
        <v>780.00526462455946</v>
      </c>
      <c r="AT200" s="531">
        <f>'[3]Divisional Model'!BN238</f>
        <v>811.51747731539172</v>
      </c>
      <c r="AU200" s="531"/>
      <c r="AV200" s="531"/>
    </row>
    <row r="201" spans="2:48">
      <c r="B201" t="s">
        <v>1892</v>
      </c>
      <c r="D201" s="531">
        <f>'[3]Divisional Model'!Q245</f>
        <v>-41</v>
      </c>
      <c r="E201" s="531">
        <f>'[3]Divisional Model'!R245</f>
        <v>-88</v>
      </c>
      <c r="F201" s="531">
        <f>'[3]Divisional Model'!S245</f>
        <v>-56</v>
      </c>
      <c r="G201" s="531">
        <f>'[3]Divisional Model'!T245</f>
        <v>-32</v>
      </c>
      <c r="H201" s="531">
        <f>'[3]Divisional Model'!U245</f>
        <v>-18</v>
      </c>
      <c r="I201" s="531">
        <f>'[3]Divisional Model'!V245</f>
        <v>-147</v>
      </c>
      <c r="J201" s="531">
        <f>'[3]Divisional Model'!W245</f>
        <v>-32</v>
      </c>
      <c r="K201" s="531">
        <f>'[3]Divisional Model'!X245</f>
        <v>-211</v>
      </c>
      <c r="L201" s="531">
        <f>'[3]Divisional Model'!Y245</f>
        <v>-166</v>
      </c>
      <c r="M201" s="531">
        <f>'[3]Divisional Model'!Z245</f>
        <v>-71</v>
      </c>
      <c r="N201" s="531">
        <f>'[3]Divisional Model'!AA245</f>
        <v>-58</v>
      </c>
      <c r="O201" s="531">
        <f>'[3]Divisional Model'!AB245</f>
        <v>-7</v>
      </c>
      <c r="P201" s="531">
        <f>'[3]Divisional Model'!AC245</f>
        <v>-35</v>
      </c>
      <c r="Q201" s="531">
        <f>'[3]Divisional Model'!AD245</f>
        <v>-22</v>
      </c>
      <c r="R201" s="531">
        <f>'[3]Divisional Model'!AE245</f>
        <v>-21</v>
      </c>
      <c r="S201" s="531">
        <f>'[3]Divisional Model'!AF245</f>
        <v>32</v>
      </c>
      <c r="T201" s="531">
        <f>'[3]Divisional Model'!AG245</f>
        <v>-16</v>
      </c>
      <c r="U201" s="531">
        <f>'[3]Divisional Model'!AH245</f>
        <v>-81</v>
      </c>
      <c r="V201" s="531">
        <f>'[3]Divisional Model'!AI245</f>
        <v>-68</v>
      </c>
      <c r="W201" s="531">
        <f>'[3]Divisional Model'!AJ245</f>
        <v>-60.2</v>
      </c>
      <c r="X201" s="531">
        <f>'[3]Divisional Model'!AK245</f>
        <v>-44.595302135844648</v>
      </c>
      <c r="Y201" s="531">
        <f>'[3]Divisional Model'!AL245</f>
        <v>-58.574110629711029</v>
      </c>
      <c r="Z201" s="531">
        <f>'[3]Divisional Model'!AM245</f>
        <v>-70.136127837051646</v>
      </c>
      <c r="AA201" s="531">
        <f>'[3]Divisional Model'!AN245</f>
        <v>-69.76323143238541</v>
      </c>
      <c r="AB201" s="531">
        <f>'[3]Divisional Model'!AO245</f>
        <v>-85.602089179709822</v>
      </c>
      <c r="AC201" s="531">
        <f>'[3]Divisional Model'!AP245</f>
        <v>-85.744147278899334</v>
      </c>
      <c r="AD201" s="531">
        <f>'[3]Divisional Model'!AQ245</f>
        <v>-86.293939826668108</v>
      </c>
      <c r="AE201" s="531">
        <f>'[3]Divisional Model'!AR245</f>
        <v>-86.684926126377619</v>
      </c>
      <c r="AF201" s="531"/>
      <c r="AG201" s="531">
        <f>'[3]Divisional Model'!BA245</f>
        <v>-129</v>
      </c>
      <c r="AH201" s="531">
        <f>'[3]Divisional Model'!BB245</f>
        <v>-88</v>
      </c>
      <c r="AI201" s="531">
        <f>'[3]Divisional Model'!BC245</f>
        <v>-165</v>
      </c>
      <c r="AJ201" s="531">
        <f>'[3]Divisional Model'!BD245</f>
        <v>-243</v>
      </c>
      <c r="AK201" s="531">
        <f>'[3]Divisional Model'!BE245</f>
        <v>-237</v>
      </c>
      <c r="AL201" s="531">
        <f>'[3]Divisional Model'!BF245</f>
        <v>-65</v>
      </c>
      <c r="AM201" s="531">
        <f>'[3]Divisional Model'!BG245</f>
        <v>-57</v>
      </c>
      <c r="AN201" s="531">
        <f>'[3]Divisional Model'!BH245</f>
        <v>11</v>
      </c>
      <c r="AO201" s="531">
        <f>'[3]Divisional Model'!BI245</f>
        <v>-97</v>
      </c>
      <c r="AP201" s="531">
        <f>'[3]Divisional Model'!BJ245</f>
        <v>-128.19999999999999</v>
      </c>
      <c r="AQ201" s="531">
        <f>'[3]Divisional Model'!BK245</f>
        <v>-103.16941276555568</v>
      </c>
      <c r="AR201" s="531">
        <f>'[3]Divisional Model'!BL245</f>
        <v>-139.89935926943707</v>
      </c>
      <c r="AS201" s="531">
        <f>'[3]Divisional Model'!BM245</f>
        <v>-171.34623645860916</v>
      </c>
      <c r="AT201" s="531">
        <f>'[3]Divisional Model'!BN245</f>
        <v>-172.97886595304573</v>
      </c>
      <c r="AU201" s="531"/>
      <c r="AV201" s="531"/>
    </row>
    <row r="203" spans="2:48">
      <c r="B203" s="525" t="s">
        <v>1876</v>
      </c>
    </row>
    <row r="204" spans="2:48">
      <c r="B204" t="s">
        <v>1886</v>
      </c>
      <c r="D204" s="531">
        <f>'[3]Divisional Model'!Q319</f>
        <v>11</v>
      </c>
      <c r="E204" s="531">
        <f>'[3]Divisional Model'!R319</f>
        <v>-8</v>
      </c>
      <c r="F204" s="531">
        <f>'[3]Divisional Model'!S319</f>
        <v>-54</v>
      </c>
      <c r="G204" s="531">
        <f>'[3]Divisional Model'!T319</f>
        <v>-11</v>
      </c>
      <c r="H204" s="531">
        <f>'[3]Divisional Model'!U319</f>
        <v>61</v>
      </c>
      <c r="I204" s="531">
        <f>'[3]Divisional Model'!V319</f>
        <v>26</v>
      </c>
      <c r="J204" s="531">
        <f>'[3]Divisional Model'!W319</f>
        <v>-20</v>
      </c>
      <c r="K204" s="531">
        <f>'[3]Divisional Model'!X319</f>
        <v>-39</v>
      </c>
      <c r="L204" s="531">
        <f>'[3]Divisional Model'!Y319</f>
        <v>6</v>
      </c>
      <c r="M204" s="531">
        <f>'[3]Divisional Model'!Z319</f>
        <v>63</v>
      </c>
      <c r="N204" s="531">
        <f>'[3]Divisional Model'!AA319</f>
        <v>158</v>
      </c>
      <c r="O204" s="531">
        <f>'[3]Divisional Model'!AB319</f>
        <v>256</v>
      </c>
      <c r="P204" s="531">
        <f>'[3]Divisional Model'!AC319</f>
        <v>154</v>
      </c>
      <c r="Q204" s="531">
        <f>'[3]Divisional Model'!AD319</f>
        <v>256</v>
      </c>
      <c r="R204" s="531">
        <f>'[3]Divisional Model'!AE319</f>
        <v>334</v>
      </c>
      <c r="S204" s="531">
        <f>'[3]Divisional Model'!AF319</f>
        <v>356</v>
      </c>
      <c r="T204" s="531">
        <f>'[3]Divisional Model'!AG319</f>
        <v>322</v>
      </c>
      <c r="U204" s="531">
        <f>'[3]Divisional Model'!AH319</f>
        <v>490</v>
      </c>
      <c r="V204" s="531">
        <f>'[3]Divisional Model'!AI319</f>
        <v>497</v>
      </c>
      <c r="W204" s="531">
        <f>'[3]Divisional Model'!AJ319</f>
        <v>494.30496496980157</v>
      </c>
      <c r="X204" s="531">
        <f>'[3]Divisional Model'!AK319</f>
        <v>514.93640406565351</v>
      </c>
      <c r="Y204" s="531">
        <f>'[3]Divisional Model'!AL319</f>
        <v>536.42896394590196</v>
      </c>
      <c r="Z204" s="531">
        <f>'[3]Divisional Model'!AM319</f>
        <v>558.81858631106877</v>
      </c>
      <c r="AA204" s="531">
        <f>'[3]Divisional Model'!AN319</f>
        <v>582.14271300644043</v>
      </c>
      <c r="AB204" s="531">
        <f>'[3]Divisional Model'!AO319</f>
        <v>606.44034863553054</v>
      </c>
      <c r="AC204" s="531">
        <f>'[3]Divisional Model'!AP319</f>
        <v>631.75212578692037</v>
      </c>
      <c r="AD204" s="531">
        <f>'[3]Divisional Model'!AQ319</f>
        <v>658.12037298355563</v>
      </c>
      <c r="AE204" s="531">
        <f>'[3]Divisional Model'!AR319</f>
        <v>685.58918546813004</v>
      </c>
      <c r="AF204" s="531"/>
      <c r="AG204" s="531">
        <f>'[3]Divisional Model'!BA319</f>
        <v>3</v>
      </c>
      <c r="AH204" s="531">
        <f>'[3]Divisional Model'!BB319</f>
        <v>-65</v>
      </c>
      <c r="AI204" s="531">
        <f>'[3]Divisional Model'!BC319</f>
        <v>87</v>
      </c>
      <c r="AJ204" s="531">
        <f>'[3]Divisional Model'!BD319</f>
        <v>-59</v>
      </c>
      <c r="AK204" s="531">
        <f>'[3]Divisional Model'!BE319</f>
        <v>69</v>
      </c>
      <c r="AL204" s="531">
        <f>'[3]Divisional Model'!BF319</f>
        <v>414</v>
      </c>
      <c r="AM204" s="531">
        <f>'[3]Divisional Model'!BG319</f>
        <v>410</v>
      </c>
      <c r="AN204" s="531">
        <f>'[3]Divisional Model'!BH319</f>
        <v>690</v>
      </c>
      <c r="AO204" s="531">
        <f>'[3]Divisional Model'!BI319</f>
        <v>812</v>
      </c>
      <c r="AP204" s="531">
        <f>'[3]Divisional Model'!BJ319</f>
        <v>991.30496496980163</v>
      </c>
      <c r="AQ204" s="531">
        <f>'[3]Divisional Model'!BK319</f>
        <v>1051.3653680115553</v>
      </c>
      <c r="AR204" s="531">
        <f>'[3]Divisional Model'!BL319</f>
        <v>1140.9612993175092</v>
      </c>
      <c r="AS204" s="531">
        <f>'[3]Divisional Model'!BM319</f>
        <v>1238.1924744224509</v>
      </c>
      <c r="AT204" s="531">
        <f>'[3]Divisional Model'!BN319</f>
        <v>1343.7095584516856</v>
      </c>
      <c r="AU204" s="531"/>
      <c r="AV204" s="531"/>
    </row>
    <row r="205" spans="2:48">
      <c r="B205" t="s">
        <v>1882</v>
      </c>
      <c r="D205" s="531">
        <f>'[3]Divisional Model'!Q322</f>
        <v>0</v>
      </c>
      <c r="E205" s="531">
        <f>'[3]Divisional Model'!R322</f>
        <v>0</v>
      </c>
      <c r="F205" s="531">
        <f>'[3]Divisional Model'!S322</f>
        <v>0</v>
      </c>
      <c r="G205" s="531">
        <f>'[3]Divisional Model'!T322</f>
        <v>0</v>
      </c>
      <c r="H205" s="531">
        <f>'[3]Divisional Model'!U322</f>
        <v>0</v>
      </c>
      <c r="I205" s="531">
        <f>'[3]Divisional Model'!V322</f>
        <v>0</v>
      </c>
      <c r="J205" s="531">
        <f>'[3]Divisional Model'!W322</f>
        <v>590</v>
      </c>
      <c r="K205" s="531">
        <f>'[3]Divisional Model'!X322</f>
        <v>827</v>
      </c>
      <c r="L205" s="531">
        <f>'[3]Divisional Model'!Y322</f>
        <v>123</v>
      </c>
      <c r="M205" s="531">
        <f>'[3]Divisional Model'!Z322</f>
        <v>998</v>
      </c>
      <c r="N205" s="531">
        <f>'[3]Divisional Model'!AA322</f>
        <v>418</v>
      </c>
      <c r="O205" s="531">
        <f>'[3]Divisional Model'!AB322</f>
        <v>725</v>
      </c>
      <c r="P205" s="531">
        <f>'[3]Divisional Model'!AC322</f>
        <v>693</v>
      </c>
      <c r="Q205" s="531">
        <f>'[3]Divisional Model'!AD322</f>
        <v>184</v>
      </c>
      <c r="R205" s="531">
        <f>'[3]Divisional Model'!AE322</f>
        <v>253</v>
      </c>
      <c r="S205" s="531">
        <f>'[3]Divisional Model'!AF322</f>
        <v>430</v>
      </c>
      <c r="T205" s="531">
        <f>'[3]Divisional Model'!AG322</f>
        <v>309</v>
      </c>
      <c r="U205" s="531">
        <f>'[3]Divisional Model'!AH322</f>
        <v>303</v>
      </c>
      <c r="V205" s="531">
        <f>'[3]Divisional Model'!AI322</f>
        <v>292</v>
      </c>
      <c r="W205" s="531">
        <f>'[3]Divisional Model'!AJ322</f>
        <v>350</v>
      </c>
      <c r="X205" s="531">
        <f>'[3]Divisional Model'!AK322</f>
        <v>335.79999999999995</v>
      </c>
      <c r="Y205" s="531">
        <f>'[3]Divisional Model'!AL322</f>
        <v>362.66399999999999</v>
      </c>
      <c r="Z205" s="531">
        <f>'[3]Divisional Model'!AM322</f>
        <v>391.67712</v>
      </c>
      <c r="AA205" s="531">
        <f>'[3]Divisional Model'!AN322</f>
        <v>423.01128960000005</v>
      </c>
      <c r="AB205" s="531">
        <f>'[3]Divisional Model'!AO322</f>
        <v>456.85219276800007</v>
      </c>
      <c r="AC205" s="531">
        <f>'[3]Divisional Model'!AP322</f>
        <v>479.69480240640007</v>
      </c>
      <c r="AD205" s="531">
        <f>'[3]Divisional Model'!AQ322</f>
        <v>503.67954252672007</v>
      </c>
      <c r="AE205" s="531">
        <f>'[3]Divisional Model'!AR322</f>
        <v>518.78992880252167</v>
      </c>
      <c r="AF205" s="531"/>
      <c r="AG205" s="531">
        <f>'[3]Divisional Model'!BA322</f>
        <v>0</v>
      </c>
      <c r="AH205" s="531">
        <f>'[3]Divisional Model'!BB322</f>
        <v>0</v>
      </c>
      <c r="AI205" s="531">
        <f>'[3]Divisional Model'!BC322</f>
        <v>0</v>
      </c>
      <c r="AJ205" s="531">
        <f>'[3]Divisional Model'!BD322</f>
        <v>1417</v>
      </c>
      <c r="AK205" s="531">
        <f>'[3]Divisional Model'!BE322</f>
        <v>1121</v>
      </c>
      <c r="AL205" s="531">
        <f>'[3]Divisional Model'!BF322</f>
        <v>1143</v>
      </c>
      <c r="AM205" s="531">
        <f>'[3]Divisional Model'!BG322</f>
        <v>877</v>
      </c>
      <c r="AN205" s="531">
        <f>'[3]Divisional Model'!BH322</f>
        <v>683</v>
      </c>
      <c r="AO205" s="531">
        <f>'[3]Divisional Model'!BI322</f>
        <v>612</v>
      </c>
      <c r="AP205" s="531">
        <f>'[3]Divisional Model'!BJ322</f>
        <v>642</v>
      </c>
      <c r="AQ205" s="531">
        <f>'[3]Divisional Model'!BK322</f>
        <v>698.46399999999994</v>
      </c>
      <c r="AR205" s="531">
        <f>'[3]Divisional Model'!BL322</f>
        <v>814.68840960000011</v>
      </c>
      <c r="AS205" s="531">
        <f>'[3]Divisional Model'!BM322</f>
        <v>936.54699517440008</v>
      </c>
      <c r="AT205" s="531">
        <f>'[3]Divisional Model'!BN322</f>
        <v>1022.4694713292417</v>
      </c>
      <c r="AU205" s="531"/>
      <c r="AV205" s="531"/>
    </row>
    <row r="206" spans="2:48">
      <c r="B206" t="s">
        <v>20</v>
      </c>
      <c r="D206" s="531">
        <f>'[3]Divisional Model'!Q315</f>
        <v>416</v>
      </c>
      <c r="E206" s="531">
        <f>'[3]Divisional Model'!R315</f>
        <v>471</v>
      </c>
      <c r="F206" s="531">
        <f>'[3]Divisional Model'!S315</f>
        <v>422</v>
      </c>
      <c r="G206" s="531">
        <f>'[3]Divisional Model'!T315</f>
        <v>423</v>
      </c>
      <c r="H206" s="531">
        <f>'[3]Divisional Model'!U315</f>
        <v>526</v>
      </c>
      <c r="I206" s="531">
        <f>'[3]Divisional Model'!V315</f>
        <v>497</v>
      </c>
      <c r="J206" s="531">
        <f>'[3]Divisional Model'!W315</f>
        <v>415</v>
      </c>
      <c r="K206" s="531">
        <f>'[3]Divisional Model'!X315</f>
        <v>536</v>
      </c>
      <c r="L206" s="531">
        <f>'[3]Divisional Model'!Y315</f>
        <v>397.2456030150754</v>
      </c>
      <c r="M206" s="531">
        <f>'[3]Divisional Model'!Z315</f>
        <v>431.2952261306533</v>
      </c>
      <c r="N206" s="531">
        <f>'[3]Divisional Model'!AA315</f>
        <v>618</v>
      </c>
      <c r="O206" s="531">
        <f>'[3]Divisional Model'!AB315</f>
        <v>755</v>
      </c>
      <c r="P206" s="531">
        <f>'[3]Divisional Model'!AC315</f>
        <v>438</v>
      </c>
      <c r="Q206" s="531">
        <f>'[3]Divisional Model'!AD315</f>
        <v>413.3743718592965</v>
      </c>
      <c r="R206" s="531">
        <f>'[3]Divisional Model'!AE315</f>
        <v>408</v>
      </c>
      <c r="S206" s="531">
        <f>'[3]Divisional Model'!AF315</f>
        <v>335</v>
      </c>
      <c r="T206" s="531">
        <f>'[3]Divisional Model'!AG315</f>
        <v>413</v>
      </c>
      <c r="U206" s="531">
        <f>'[3]Divisional Model'!AH315</f>
        <v>503</v>
      </c>
      <c r="V206" s="531">
        <f>'[3]Divisional Model'!AI315</f>
        <v>558</v>
      </c>
      <c r="W206" s="531">
        <f>'[3]Divisional Model'!AJ315</f>
        <v>440.125</v>
      </c>
      <c r="X206" s="531">
        <f>'[3]Divisional Model'!AK315</f>
        <v>513.36</v>
      </c>
      <c r="Y206" s="531">
        <f>'[3]Divisional Model'!AL315</f>
        <v>510.54499999999996</v>
      </c>
      <c r="Z206" s="531">
        <f>'[3]Divisional Model'!AM315</f>
        <v>528.76080000000002</v>
      </c>
      <c r="AA206" s="531">
        <f>'[3]Divisional Model'!AN315</f>
        <v>530.96679999999992</v>
      </c>
      <c r="AB206" s="531">
        <f>'[3]Divisional Model'!AO315</f>
        <v>549.91123200000004</v>
      </c>
      <c r="AC206" s="531">
        <f>'[3]Divisional Model'!AP315</f>
        <v>552.20547199999999</v>
      </c>
      <c r="AD206" s="531">
        <f>'[3]Divisional Model'!AQ315</f>
        <v>571.90768128000002</v>
      </c>
      <c r="AE206" s="531">
        <f>'[3]Divisional Model'!AR315</f>
        <v>574.29369087999999</v>
      </c>
      <c r="AF206" s="531"/>
      <c r="AG206" s="531">
        <f>'[3]Divisional Model'!BA315</f>
        <v>887</v>
      </c>
      <c r="AH206" s="531">
        <f>'[3]Divisional Model'!BB315</f>
        <v>845</v>
      </c>
      <c r="AI206" s="531">
        <f>'[3]Divisional Model'!BC315</f>
        <v>1023</v>
      </c>
      <c r="AJ206" s="531">
        <f>'[3]Divisional Model'!BD315</f>
        <v>951</v>
      </c>
      <c r="AK206" s="531">
        <f>'[3]Divisional Model'!BE315</f>
        <v>828.54082914572871</v>
      </c>
      <c r="AL206" s="531">
        <f>'[3]Divisional Model'!BF315</f>
        <v>1373</v>
      </c>
      <c r="AM206" s="531">
        <f>'[3]Divisional Model'!BG315</f>
        <v>851.3743718592965</v>
      </c>
      <c r="AN206" s="531">
        <f>'[3]Divisional Model'!BH315</f>
        <v>743</v>
      </c>
      <c r="AO206" s="531">
        <f>'[3]Divisional Model'!BI315</f>
        <v>916</v>
      </c>
      <c r="AP206" s="531">
        <f>'[3]Divisional Model'!BJ315</f>
        <v>998.125</v>
      </c>
      <c r="AQ206" s="531">
        <f>'[3]Divisional Model'!BK315</f>
        <v>1023.905</v>
      </c>
      <c r="AR206" s="531">
        <f>'[3]Divisional Model'!BL315</f>
        <v>1059.7275999999999</v>
      </c>
      <c r="AS206" s="531">
        <f>'[3]Divisional Model'!BM315</f>
        <v>1102.116704</v>
      </c>
      <c r="AT206" s="531">
        <f>'[3]Divisional Model'!BN315</f>
        <v>1146.2013721600001</v>
      </c>
      <c r="AU206" s="531"/>
      <c r="AV206" s="531"/>
    </row>
    <row r="207" spans="2:48">
      <c r="B207" t="s">
        <v>1887</v>
      </c>
      <c r="D207" s="531">
        <f>'[3]Divisional Model'!Q321</f>
        <v>-55</v>
      </c>
      <c r="E207" s="531">
        <f>'[3]Divisional Model'!R321</f>
        <v>3</v>
      </c>
      <c r="F207" s="531">
        <f>'[3]Divisional Model'!S321</f>
        <v>-18</v>
      </c>
      <c r="G207" s="531">
        <f>'[3]Divisional Model'!T321</f>
        <v>-38</v>
      </c>
      <c r="H207" s="531">
        <f>'[3]Divisional Model'!U321</f>
        <v>4</v>
      </c>
      <c r="I207" s="531">
        <f>'[3]Divisional Model'!V321</f>
        <v>-179</v>
      </c>
      <c r="J207" s="531">
        <f>'[3]Divisional Model'!W321</f>
        <v>-62</v>
      </c>
      <c r="K207" s="531">
        <f>'[3]Divisional Model'!X321</f>
        <v>-220</v>
      </c>
      <c r="L207" s="531">
        <f>'[3]Divisional Model'!Y321</f>
        <v>-119</v>
      </c>
      <c r="M207" s="531">
        <f>'[3]Divisional Model'!Z321</f>
        <v>-110</v>
      </c>
      <c r="N207" s="531">
        <f>'[3]Divisional Model'!AA321</f>
        <v>-137</v>
      </c>
      <c r="O207" s="531">
        <f>'[3]Divisional Model'!AB321</f>
        <v>-225</v>
      </c>
      <c r="P207" s="531">
        <f>'[3]Divisional Model'!AC321</f>
        <v>-195</v>
      </c>
      <c r="Q207" s="531">
        <f>'[3]Divisional Model'!AD321</f>
        <v>-99</v>
      </c>
      <c r="R207" s="531">
        <f>'[3]Divisional Model'!AE321</f>
        <v>33</v>
      </c>
      <c r="S207" s="531">
        <f>'[3]Divisional Model'!AF321</f>
        <v>131</v>
      </c>
      <c r="T207" s="531">
        <f>'[3]Divisional Model'!AG321</f>
        <v>-42</v>
      </c>
      <c r="U207" s="531">
        <f>'[3]Divisional Model'!AH321</f>
        <v>-73</v>
      </c>
      <c r="V207" s="531">
        <f>'[3]Divisional Model'!AI321</f>
        <v>-13</v>
      </c>
      <c r="W207" s="531">
        <f>'[3]Divisional Model'!AJ321</f>
        <v>-17.7</v>
      </c>
      <c r="X207" s="531">
        <f>'[3]Divisional Model'!AK321</f>
        <v>-22.125</v>
      </c>
      <c r="Y207" s="531">
        <f>'[3]Divisional Model'!AL321</f>
        <v>-29.060285178350679</v>
      </c>
      <c r="Z207" s="531">
        <f>'[3]Divisional Model'!AM321</f>
        <v>-34.796531340181197</v>
      </c>
      <c r="AA207" s="531">
        <f>'[3]Divisional Model'!AN321</f>
        <v>-34.611526809253064</v>
      </c>
      <c r="AB207" s="531">
        <f>'[3]Divisional Model'!AO321</f>
        <v>-42.469635418811762</v>
      </c>
      <c r="AC207" s="531">
        <f>'[3]Divisional Model'!AP321</f>
        <v>-42.540114489342415</v>
      </c>
      <c r="AD207" s="531">
        <f>'[3]Divisional Model'!AQ321</f>
        <v>-42.812882236992834</v>
      </c>
      <c r="AE207" s="531">
        <f>'[3]Divisional Model'!AR321</f>
        <v>-43.006861680269658</v>
      </c>
      <c r="AF207" s="531"/>
      <c r="AG207" s="531">
        <f>'[3]Divisional Model'!BA321</f>
        <v>-52</v>
      </c>
      <c r="AH207" s="531">
        <f>'[3]Divisional Model'!BB321</f>
        <v>-56</v>
      </c>
      <c r="AI207" s="531">
        <f>'[3]Divisional Model'!BC321</f>
        <v>-175</v>
      </c>
      <c r="AJ207" s="531">
        <f>'[3]Divisional Model'!BD321</f>
        <v>-282</v>
      </c>
      <c r="AK207" s="531">
        <f>'[3]Divisional Model'!BE321</f>
        <v>-229</v>
      </c>
      <c r="AL207" s="531">
        <f>'[3]Divisional Model'!BF321</f>
        <v>-362</v>
      </c>
      <c r="AM207" s="531">
        <f>'[3]Divisional Model'!BG321</f>
        <v>-294</v>
      </c>
      <c r="AN207" s="531">
        <f>'[3]Divisional Model'!BH321</f>
        <v>164</v>
      </c>
      <c r="AO207" s="531">
        <f>'[3]Divisional Model'!BI321</f>
        <v>-115</v>
      </c>
      <c r="AP207" s="531">
        <f>'[3]Divisional Model'!BJ321</f>
        <v>-30.7</v>
      </c>
      <c r="AQ207" s="531">
        <f>'[3]Divisional Model'!BK321</f>
        <v>-51.185285178350682</v>
      </c>
      <c r="AR207" s="531">
        <f>'[3]Divisional Model'!BL321</f>
        <v>-69.408058149434254</v>
      </c>
      <c r="AS207" s="531">
        <f>'[3]Divisional Model'!BM321</f>
        <v>-85.009749908154177</v>
      </c>
      <c r="AT207" s="531">
        <f>'[3]Divisional Model'!BN321</f>
        <v>-85.819743917262485</v>
      </c>
      <c r="AU207" s="531"/>
      <c r="AV207" s="531"/>
    </row>
    <row r="209" spans="2:48">
      <c r="B209" s="525" t="s">
        <v>509</v>
      </c>
    </row>
    <row r="210" spans="2:48">
      <c r="B210" t="s">
        <v>1888</v>
      </c>
      <c r="D210" s="531">
        <f>'[3]Divisional Model'!Q453+'[3]Divisional Model'!Q462</f>
        <v>88</v>
      </c>
      <c r="E210" s="531">
        <f>'[3]Divisional Model'!R453+'[3]Divisional Model'!R462</f>
        <v>84</v>
      </c>
      <c r="F210" s="531">
        <f>'[3]Divisional Model'!S453+'[3]Divisional Model'!S462</f>
        <v>142</v>
      </c>
      <c r="G210" s="531">
        <f>'[3]Divisional Model'!T453+'[3]Divisional Model'!T462</f>
        <v>201</v>
      </c>
      <c r="H210" s="531">
        <f>'[3]Divisional Model'!U453+'[3]Divisional Model'!U462</f>
        <v>194</v>
      </c>
      <c r="I210" s="531">
        <f>'[3]Divisional Model'!V453+'[3]Divisional Model'!V462</f>
        <v>121</v>
      </c>
      <c r="J210" s="531">
        <f>'[3]Divisional Model'!W453+'[3]Divisional Model'!W462</f>
        <v>167</v>
      </c>
      <c r="K210" s="531">
        <f>'[3]Divisional Model'!X453+'[3]Divisional Model'!X462</f>
        <v>329</v>
      </c>
      <c r="L210" s="531">
        <f>'[3]Divisional Model'!Y453+'[3]Divisional Model'!Y462</f>
        <v>56</v>
      </c>
      <c r="M210" s="531">
        <f>'[3]Divisional Model'!Z453+'[3]Divisional Model'!Z462</f>
        <v>199</v>
      </c>
      <c r="N210" s="531">
        <f>'[3]Divisional Model'!AA453+'[3]Divisional Model'!AA462</f>
        <v>157</v>
      </c>
      <c r="O210" s="531">
        <f>'[3]Divisional Model'!AB453+'[3]Divisional Model'!AB462</f>
        <v>-178</v>
      </c>
      <c r="P210" s="531">
        <f>'[3]Divisional Model'!AC453+'[3]Divisional Model'!AC462</f>
        <v>188</v>
      </c>
      <c r="Q210" s="531">
        <f>'[3]Divisional Model'!AD453+'[3]Divisional Model'!AD462</f>
        <v>240</v>
      </c>
      <c r="R210" s="531">
        <f>'[3]Divisional Model'!AE453+'[3]Divisional Model'!AE462</f>
        <v>453</v>
      </c>
      <c r="S210" s="531">
        <f>'[3]Divisional Model'!AF453+'[3]Divisional Model'!AF462</f>
        <v>520</v>
      </c>
      <c r="T210" s="531">
        <f>'[3]Divisional Model'!AG453+'[3]Divisional Model'!AG462</f>
        <v>505</v>
      </c>
      <c r="U210" s="531">
        <f>'[3]Divisional Model'!AH453+'[3]Divisional Model'!AH462</f>
        <v>529</v>
      </c>
      <c r="V210" s="531">
        <f>'[3]Divisional Model'!AI453+'[3]Divisional Model'!AI462</f>
        <v>430</v>
      </c>
      <c r="W210" s="531">
        <f>'[3]Divisional Model'!AJ453+'[3]Divisional Model'!AJ462</f>
        <v>540.6</v>
      </c>
      <c r="X210" s="531">
        <f>'[3]Divisional Model'!AK453+'[3]Divisional Model'!AK462</f>
        <v>601.41000000000008</v>
      </c>
      <c r="Y210" s="531">
        <f>'[3]Divisional Model'!AL453+'[3]Divisional Model'!AL462</f>
        <v>590.66430000000014</v>
      </c>
      <c r="Z210" s="531">
        <f>'[3]Divisional Model'!AM453+'[3]Divisional Model'!AM462</f>
        <v>580.06938900000011</v>
      </c>
      <c r="AA210" s="531">
        <f>'[3]Divisional Model'!AN453+'[3]Divisional Model'!AN462</f>
        <v>569.62545747000013</v>
      </c>
      <c r="AB210" s="531">
        <f>'[3]Divisional Model'!AO453+'[3]Divisional Model'!AO462</f>
        <v>559.33253175810012</v>
      </c>
      <c r="AC210" s="531">
        <f>'[3]Divisional Model'!AP453+'[3]Divisional Model'!AP462</f>
        <v>549.19048538856316</v>
      </c>
      <c r="AD210" s="531">
        <f>'[3]Divisional Model'!AQ453+'[3]Divisional Model'!AQ462</f>
        <v>539.19904973313555</v>
      </c>
      <c r="AE210" s="531">
        <f>'[3]Divisional Model'!AR453+'[3]Divisional Model'!AR462</f>
        <v>529.35782408819944</v>
      </c>
      <c r="AF210" s="531"/>
      <c r="AG210" s="531">
        <f>'[3]Divisional Model'!BA453+'[3]Divisional Model'!BA462</f>
        <v>172</v>
      </c>
      <c r="AH210" s="531">
        <f>'[3]Divisional Model'!BB453+'[3]Divisional Model'!BB462</f>
        <v>343</v>
      </c>
      <c r="AI210" s="531">
        <f>'[3]Divisional Model'!BC453+'[3]Divisional Model'!BC462</f>
        <v>315</v>
      </c>
      <c r="AJ210" s="531">
        <f>'[3]Divisional Model'!BD453+'[3]Divisional Model'!BD462</f>
        <v>496</v>
      </c>
      <c r="AK210" s="531">
        <f>'[3]Divisional Model'!BE453+'[3]Divisional Model'!BE462</f>
        <v>255</v>
      </c>
      <c r="AL210" s="531">
        <f>'[3]Divisional Model'!BF453+'[3]Divisional Model'!BF462</f>
        <v>-21</v>
      </c>
      <c r="AM210" s="531">
        <f>'[3]Divisional Model'!BG453+'[3]Divisional Model'!BG462</f>
        <v>428</v>
      </c>
      <c r="AN210" s="531">
        <f>'[3]Divisional Model'!BH453+'[3]Divisional Model'!BH462</f>
        <v>973</v>
      </c>
      <c r="AO210" s="531">
        <f>'[3]Divisional Model'!BI453+'[3]Divisional Model'!BI462</f>
        <v>1034</v>
      </c>
      <c r="AP210" s="531">
        <f>'[3]Divisional Model'!BJ453+'[3]Divisional Model'!BJ462</f>
        <v>970.59999999999991</v>
      </c>
      <c r="AQ210" s="531">
        <f>'[3]Divisional Model'!BK453+'[3]Divisional Model'!BK462</f>
        <v>1192.0743000000002</v>
      </c>
      <c r="AR210" s="531">
        <f>'[3]Divisional Model'!BL453+'[3]Divisional Model'!BL462</f>
        <v>1149.6948464700001</v>
      </c>
      <c r="AS210" s="531">
        <f>'[3]Divisional Model'!BM453+'[3]Divisional Model'!BM462</f>
        <v>1108.5230171466633</v>
      </c>
      <c r="AT210" s="531">
        <f>'[3]Divisional Model'!BN453+'[3]Divisional Model'!BN462</f>
        <v>1068.5568738213351</v>
      </c>
      <c r="AU210" s="531"/>
      <c r="AV210" s="531"/>
    </row>
    <row r="212" spans="2:48">
      <c r="B212" s="524" t="s">
        <v>1896</v>
      </c>
    </row>
    <row r="213" spans="2:48">
      <c r="B213" t="s">
        <v>1895</v>
      </c>
      <c r="D213" s="531">
        <f>SUM('[3]Divisional Model'!Q29:Q31)</f>
        <v>-3733</v>
      </c>
      <c r="E213" s="531">
        <f>SUM('[3]Divisional Model'!R29:R31)</f>
        <v>-3527</v>
      </c>
      <c r="F213" s="531">
        <f>SUM('[3]Divisional Model'!S29:S31)</f>
        <v>-3693</v>
      </c>
      <c r="G213" s="531">
        <f>SUM('[3]Divisional Model'!T29:T31)</f>
        <v>-3763</v>
      </c>
      <c r="H213" s="531">
        <f>SUM('[3]Divisional Model'!U29:U31)</f>
        <v>-4125</v>
      </c>
      <c r="I213" s="531">
        <f>SUM('[3]Divisional Model'!V29:V31)</f>
        <v>-4762</v>
      </c>
      <c r="J213" s="531">
        <f>SUM('[3]Divisional Model'!W29:W31)</f>
        <v>-4480</v>
      </c>
      <c r="K213" s="531">
        <f>SUM('[3]Divisional Model'!X29:X31)</f>
        <v>-4391</v>
      </c>
      <c r="L213" s="531">
        <f>SUM('[3]Divisional Model'!Y29:Y31)</f>
        <v>-4266</v>
      </c>
      <c r="M213" s="531">
        <f>SUM('[3]Divisional Model'!Z29:Z31)</f>
        <v>-4601</v>
      </c>
      <c r="N213" s="531">
        <f>SUM('[3]Divisional Model'!AA29:AA31)</f>
        <v>-5069</v>
      </c>
      <c r="O213" s="531">
        <f>SUM('[3]Divisional Model'!AB29:AB31)</f>
        <v>-5716</v>
      </c>
      <c r="P213" s="531">
        <f>SUM('[3]Divisional Model'!AC29:AC31)</f>
        <v>-5596</v>
      </c>
      <c r="Q213" s="531">
        <f>SUM('[3]Divisional Model'!AD29:AD31)</f>
        <v>-6534</v>
      </c>
      <c r="R213" s="531">
        <f>SUM('[3]Divisional Model'!AE29:AE31)</f>
        <v>-5919</v>
      </c>
      <c r="S213" s="531">
        <f>SUM('[3]Divisional Model'!AF29:AF31)</f>
        <v>-6142</v>
      </c>
      <c r="T213" s="531">
        <f>SUM('[3]Divisional Model'!AG29:AG31)</f>
        <v>-5919</v>
      </c>
      <c r="U213" s="531">
        <f>SUM('[3]Divisional Model'!AH29:AH31)</f>
        <v>-6221</v>
      </c>
      <c r="V213" s="531">
        <f>SUM('[3]Divisional Model'!AI29:AI31)</f>
        <v>-6239</v>
      </c>
      <c r="W213" s="531">
        <f>SUM('[3]Divisional Model'!AJ29:AJ31)</f>
        <v>-6363.7800000000007</v>
      </c>
      <c r="X213" s="531">
        <f>SUM('[3]Divisional Model'!AK29:AK31)</f>
        <v>-6082.4574999999995</v>
      </c>
      <c r="Y213" s="531">
        <f>SUM('[3]Divisional Model'!AL29:AL31)</f>
        <v>-6390.9478500000014</v>
      </c>
      <c r="Z213" s="531">
        <f>SUM('[3]Divisional Model'!AM29:AM31)</f>
        <v>-6280.13736875</v>
      </c>
      <c r="AA213" s="531">
        <f>SUM('[3]Divisional Model'!AN29:AN31)</f>
        <v>-6598.653655125001</v>
      </c>
      <c r="AB213" s="531">
        <f>SUM('[3]Divisional Model'!AO29:AO31)</f>
        <v>-6484.2418332343759</v>
      </c>
      <c r="AC213" s="531">
        <f>SUM('[3]Divisional Model'!AP29:AP31)</f>
        <v>-6813.1098989165639</v>
      </c>
      <c r="AD213" s="531">
        <f>SUM('[3]Divisional Model'!AQ29:AQ31)</f>
        <v>-6694.9796928144933</v>
      </c>
      <c r="AE213" s="531">
        <f>SUM('[3]Divisional Model'!AR29:AR31)</f>
        <v>-7034.535970631352</v>
      </c>
      <c r="AF213" s="531"/>
      <c r="AG213" s="531">
        <f>SUM('[3]Divisional Model'!BA29:BA31)</f>
        <v>-7260</v>
      </c>
      <c r="AH213" s="531">
        <f>SUM('[3]Divisional Model'!BB29:BB31)</f>
        <v>-7456</v>
      </c>
      <c r="AI213" s="531">
        <f>SUM('[3]Divisional Model'!BC29:BC31)</f>
        <v>-8887</v>
      </c>
      <c r="AJ213" s="531">
        <f>SUM('[3]Divisional Model'!BD29:BD31)</f>
        <v>-8871</v>
      </c>
      <c r="AK213" s="531">
        <f>SUM('[3]Divisional Model'!BE29:BE31)</f>
        <v>-8867</v>
      </c>
      <c r="AL213" s="531">
        <f>SUM('[3]Divisional Model'!BF29:BF31)</f>
        <v>-10785</v>
      </c>
      <c r="AM213" s="531">
        <f>SUM('[3]Divisional Model'!BG29:BG31)</f>
        <v>-12130</v>
      </c>
      <c r="AN213" s="531">
        <f>SUM('[3]Divisional Model'!BH29:BH31)</f>
        <v>-12061</v>
      </c>
      <c r="AO213" s="531">
        <f>SUM('[3]Divisional Model'!BI29:BI31)</f>
        <v>-12140</v>
      </c>
      <c r="AP213" s="531">
        <f>SUM('[3]Divisional Model'!BJ29:BJ31)</f>
        <v>-12602.78</v>
      </c>
      <c r="AQ213" s="531">
        <f>SUM('[3]Divisional Model'!BK29:BK31)</f>
        <v>-12473.405350000001</v>
      </c>
      <c r="AR213" s="531">
        <f>SUM('[3]Divisional Model'!BL29:BL31)</f>
        <v>-12878.791023875001</v>
      </c>
      <c r="AS213" s="531">
        <f>SUM('[3]Divisional Model'!BM29:BM31)</f>
        <v>-13297.351732150939</v>
      </c>
      <c r="AT213" s="531">
        <f>SUM('[3]Divisional Model'!BN29:BN31)</f>
        <v>-13729.515663445845</v>
      </c>
      <c r="AU213" s="531"/>
      <c r="AV213" s="531"/>
    </row>
    <row r="215" spans="2:48">
      <c r="B215" s="524" t="s">
        <v>1898</v>
      </c>
    </row>
    <row r="216" spans="2:48">
      <c r="B216" t="s">
        <v>1899</v>
      </c>
      <c r="Q216" s="532">
        <f>'[4]MQG - Consolidation Analysis'!C86</f>
        <v>0.10672718585762071</v>
      </c>
      <c r="R216" s="532">
        <f>'[4]MQG - Consolidation Analysis'!D86</f>
        <v>8.2977335164835145E-2</v>
      </c>
      <c r="S216" s="532">
        <f>'[4]MQG - Consolidation Analysis'!E86</f>
        <v>0.1229865220249835</v>
      </c>
      <c r="T216" s="532">
        <f>'[4]MQG - Consolidation Analysis'!F86</f>
        <v>0.15211486626580967</v>
      </c>
      <c r="U216" s="532">
        <f>'[4]MQG - Consolidation Analysis'!G86</f>
        <v>0.20091408591408599</v>
      </c>
      <c r="V216" s="532">
        <f>'[4]MQG - Consolidation Analysis'!H86</f>
        <v>0.14494742309549655</v>
      </c>
      <c r="W216" s="532">
        <f>'[4]MQG - Consolidation Analysis'!I86</f>
        <v>0.20379535076354538</v>
      </c>
      <c r="X216" s="532">
        <f>'[4]MQG - Consolidation Analysis'!J86</f>
        <v>0.15023036102885995</v>
      </c>
      <c r="Y216" s="532">
        <f>'[4]MQG - Consolidation Analysis'!K86</f>
        <v>0.19708708286640769</v>
      </c>
      <c r="Z216" s="532">
        <f>'[4]MQG - Consolidation Analysis'!L86</f>
        <v>0.17178443991300679</v>
      </c>
      <c r="AA216" s="532">
        <f>'[4]MQG - Consolidation Analysis'!M86</f>
        <v>0.20557765469104397</v>
      </c>
      <c r="AB216" s="532">
        <f>'[4]MQG - Consolidation Analysis'!N86</f>
        <v>0.17933520755293547</v>
      </c>
      <c r="AC216" s="532">
        <f>'[4]MQG - Consolidation Analysis'!O86</f>
        <v>0.20938088585660503</v>
      </c>
      <c r="AD216" s="532">
        <f>'[4]MQG - Consolidation Analysis'!P86</f>
        <v>0.19128111403537895</v>
      </c>
      <c r="AE216" s="532">
        <f>'[4]MQG - Consolidation Analysis'!Q86</f>
        <v>0.21437561814791972</v>
      </c>
      <c r="AN216" s="532">
        <f>'[4]MQG - Consolidation Analysis'!T86</f>
        <v>0.10743362831858404</v>
      </c>
      <c r="AO216" s="532">
        <f>'[4]MQG - Consolidation Analysis'!U86</f>
        <v>0.16719298245614039</v>
      </c>
      <c r="AP216" s="532">
        <f>'[4]MQG - Consolidation Analysis'!V86</f>
        <v>0.17273966692290521</v>
      </c>
      <c r="AQ216" s="532">
        <f>'[4]MQG - Consolidation Analysis'!W86</f>
        <v>0.17331659015380307</v>
      </c>
      <c r="AR216" s="532">
        <f>'[4]MQG - Consolidation Analysis'!X86</f>
        <v>0.18822511044540349</v>
      </c>
      <c r="AS216" s="532">
        <f>'[4]MQG - Consolidation Analysis'!Y86</f>
        <v>0.19390324571245793</v>
      </c>
      <c r="AT216" s="532">
        <f>'[4]MQG - Consolidation Analysis'!Z86</f>
        <v>0.20224755676911471</v>
      </c>
    </row>
    <row r="217" spans="2:48">
      <c r="B217" t="s">
        <v>1900</v>
      </c>
      <c r="Q217" s="532">
        <f>'[4]MQG - Consolidation Analysis'!C87</f>
        <v>0.14401360544217681</v>
      </c>
      <c r="R217" s="532">
        <f>'[4]MQG - Consolidation Analysis'!D87</f>
        <v>0.14038461538461539</v>
      </c>
      <c r="S217" s="532">
        <f>'[4]MQG - Consolidation Analysis'!E87</f>
        <v>0.13061872909698999</v>
      </c>
      <c r="T217" s="532">
        <f>'[4]MQG - Consolidation Analysis'!F87</f>
        <v>0.13035714285714289</v>
      </c>
      <c r="U217" s="532">
        <f>'[4]MQG - Consolidation Analysis'!G87</f>
        <v>0.13320075446941121</v>
      </c>
      <c r="V217" s="532">
        <f>'[4]MQG - Consolidation Analysis'!H87</f>
        <v>0.13887219034508624</v>
      </c>
      <c r="W217" s="532">
        <f>'[4]MQG - Consolidation Analysis'!I87</f>
        <v>0.13862818823458362</v>
      </c>
      <c r="X217" s="532">
        <f>'[4]MQG - Consolidation Analysis'!J87</f>
        <v>0.13756822017356365</v>
      </c>
      <c r="Y217" s="532">
        <f>'[4]MQG - Consolidation Analysis'!K87</f>
        <v>0.13701831009474635</v>
      </c>
      <c r="Z217" s="532">
        <f>'[4]MQG - Consolidation Analysis'!L87</f>
        <v>0.1371477021941967</v>
      </c>
      <c r="AA217" s="532">
        <f>'[4]MQG - Consolidation Analysis'!M87</f>
        <v>0.13614436068759023</v>
      </c>
      <c r="AB217" s="532">
        <f>'[4]MQG - Consolidation Analysis'!N87</f>
        <v>0.13546027248520129</v>
      </c>
      <c r="AC217" s="532">
        <f>'[4]MQG - Consolidation Analysis'!O87</f>
        <v>0.1340064562646977</v>
      </c>
      <c r="AD217" s="532">
        <f>'[4]MQG - Consolidation Analysis'!P87</f>
        <v>0.13456995621083101</v>
      </c>
      <c r="AE217" s="532">
        <f>'[4]MQG - Consolidation Analysis'!Q87</f>
        <v>0.13170699870877464</v>
      </c>
      <c r="AN217" s="532">
        <f>'[4]MQG - Consolidation Analysis'!T87</f>
        <v>0.13500000000000001</v>
      </c>
      <c r="AO217" s="532">
        <f>'[4]MQG - Consolidation Analysis'!U87</f>
        <v>0.13250000000000001</v>
      </c>
      <c r="AP217" s="532">
        <f>'[4]MQG - Consolidation Analysis'!V87</f>
        <v>0.13819023028306684</v>
      </c>
      <c r="AQ217" s="532">
        <f>'[4]MQG - Consolidation Analysis'!W87</f>
        <v>0.13681611482245301</v>
      </c>
      <c r="AR217" s="532">
        <f>'[4]MQG - Consolidation Analysis'!X87</f>
        <v>0.13620609224349686</v>
      </c>
      <c r="AS217" s="532">
        <f>'[4]MQG - Consolidation Analysis'!Y87</f>
        <v>0.13431317262841005</v>
      </c>
      <c r="AT217" s="532">
        <f>'[4]MQG - Consolidation Analysis'!Z87</f>
        <v>0.13269142887410543</v>
      </c>
    </row>
    <row r="218" spans="2:48">
      <c r="B218" t="s">
        <v>1901</v>
      </c>
      <c r="Q218" s="532">
        <f>'[4]MQG - Consolidation Analysis'!C88</f>
        <v>0.53493147477522496</v>
      </c>
      <c r="R218" s="532">
        <f>'[4]MQG - Consolidation Analysis'!D88</f>
        <v>0.14697181143324758</v>
      </c>
      <c r="S218" s="532">
        <f>'[4]MQG - Consolidation Analysis'!E88</f>
        <v>0.22188394288003657</v>
      </c>
      <c r="T218" s="532">
        <f>'[4]MQG - Consolidation Analysis'!F88</f>
        <v>0.14657504485310607</v>
      </c>
      <c r="U218" s="532">
        <f>'[4]MQG - Consolidation Analysis'!G88</f>
        <v>0.15171373098055785</v>
      </c>
      <c r="V218" s="532">
        <f>'[4]MQG - Consolidation Analysis'!H88</f>
        <v>0.14439808186276379</v>
      </c>
      <c r="W218" s="532">
        <f>'[4]MQG - Consolidation Analysis'!I88</f>
        <v>0.16061672744133743</v>
      </c>
      <c r="X218" s="532">
        <f>'[4]MQG - Consolidation Analysis'!J88</f>
        <v>0.12915505637627334</v>
      </c>
      <c r="Y218" s="532">
        <f>'[4]MQG - Consolidation Analysis'!K88</f>
        <v>0.15397516284806545</v>
      </c>
      <c r="Z218" s="532">
        <f>'[4]MQG - Consolidation Analysis'!L88</f>
        <v>0.12934276912255113</v>
      </c>
      <c r="AA218" s="532">
        <f>'[4]MQG - Consolidation Analysis'!M88</f>
        <v>0.16129290437772145</v>
      </c>
      <c r="AB218" s="532">
        <f>'[4]MQG - Consolidation Analysis'!N88</f>
        <v>0.13953022184532074</v>
      </c>
      <c r="AC218" s="532">
        <f>'[4]MQG - Consolidation Analysis'!O88</f>
        <v>0.17370993528463366</v>
      </c>
      <c r="AD218" s="532">
        <f>'[4]MQG - Consolidation Analysis'!P88</f>
        <v>0.15249728891878883</v>
      </c>
      <c r="AE218" s="532">
        <f>'[4]MQG - Consolidation Analysis'!Q88</f>
        <v>0.18889930815483058</v>
      </c>
      <c r="AN218" s="532">
        <f>'[4]MQG - Consolidation Analysis'!T88</f>
        <v>0.18239583333333331</v>
      </c>
      <c r="AO218" s="532">
        <f>'[4]MQG - Consolidation Analysis'!U88</f>
        <v>0.14451923076923076</v>
      </c>
      <c r="AP218" s="532">
        <f>'[4]MQG - Consolidation Analysis'!V88</f>
        <v>0.15205274054544832</v>
      </c>
      <c r="AQ218" s="532">
        <f>'[4]MQG - Consolidation Analysis'!W88</f>
        <v>0.14129040315246891</v>
      </c>
      <c r="AR218" s="532">
        <f>'[4]MQG - Consolidation Analysis'!X88</f>
        <v>0.14503006995483728</v>
      </c>
      <c r="AS218" s="532">
        <f>'[4]MQG - Consolidation Analysis'!Y88</f>
        <v>0.15631549924671997</v>
      </c>
      <c r="AT218" s="532">
        <f>'[4]MQG - Consolidation Analysis'!Z88</f>
        <v>0.17025181915930104</v>
      </c>
    </row>
    <row r="219" spans="2:48">
      <c r="B219" t="s">
        <v>1902</v>
      </c>
      <c r="Q219" s="532">
        <f>'[4]MQG - Consolidation Analysis'!C89</f>
        <v>5.980239639878198E-2</v>
      </c>
      <c r="R219" s="532">
        <f>'[4]MQG - Consolidation Analysis'!D89</f>
        <v>9.5260989010989006E-2</v>
      </c>
      <c r="S219" s="532">
        <f>'[4]MQG - Consolidation Analysis'!E89</f>
        <v>0.12613766184310746</v>
      </c>
      <c r="T219" s="532">
        <f>'[4]MQG - Consolidation Analysis'!F89</f>
        <v>7.5206043956043966E-2</v>
      </c>
      <c r="U219" s="532">
        <f>'[4]MQG - Consolidation Analysis'!G89</f>
        <v>0.12900422989708704</v>
      </c>
      <c r="V219" s="532">
        <f>'[4]MQG - Consolidation Analysis'!H89</f>
        <v>8.8899758520192329E-2</v>
      </c>
      <c r="W219" s="532">
        <f>'[4]MQG - Consolidation Analysis'!I89</f>
        <v>0.11749501030781978</v>
      </c>
      <c r="X219" s="532">
        <f>'[4]MQG - Consolidation Analysis'!J89</f>
        <v>0.10219404134854744</v>
      </c>
      <c r="Y219" s="532">
        <f>'[4]MQG - Consolidation Analysis'!K89</f>
        <v>0.11850086779214287</v>
      </c>
      <c r="Z219" s="532">
        <f>'[4]MQG - Consolidation Analysis'!L89</f>
        <v>0.1031669401450737</v>
      </c>
      <c r="AA219" s="532">
        <f>'[4]MQG - Consolidation Analysis'!M89</f>
        <v>0.11898221164953177</v>
      </c>
      <c r="AB219" s="532">
        <f>'[4]MQG - Consolidation Analysis'!N89</f>
        <v>0.11539333494337638</v>
      </c>
      <c r="AC219" s="532">
        <f>'[4]MQG - Consolidation Analysis'!O89</f>
        <v>0.13314446721132581</v>
      </c>
      <c r="AD219" s="532">
        <f>'[4]MQG - Consolidation Analysis'!P89</f>
        <v>0.129023557871182</v>
      </c>
      <c r="AE219" s="532">
        <f>'[4]MQG - Consolidation Analysis'!Q89</f>
        <v>0.14608709765853845</v>
      </c>
      <c r="AN219" s="532">
        <f>'[4]MQG - Consolidation Analysis'!T89</f>
        <v>0.11020833333333338</v>
      </c>
      <c r="AO219" s="532">
        <f>'[4]MQG - Consolidation Analysis'!U89</f>
        <v>0.10316666666666667</v>
      </c>
      <c r="AP219" s="532">
        <f>'[4]MQG - Consolidation Analysis'!V89</f>
        <v>0.10135495436509867</v>
      </c>
      <c r="AQ219" s="532">
        <f>'[4]MQG - Consolidation Analysis'!W89</f>
        <v>0.11013234719476039</v>
      </c>
      <c r="AR219" s="532">
        <f>'[4]MQG - Consolidation Analysis'!X89</f>
        <v>0.1108442825250535</v>
      </c>
      <c r="AS219" s="532">
        <f>'[4]MQG - Consolidation Analysis'!Y89</f>
        <v>0.12402024400794322</v>
      </c>
      <c r="AT219" s="532">
        <f>'[4]MQG - Consolidation Analysis'!Z89</f>
        <v>0.13720404727699573</v>
      </c>
    </row>
    <row r="220" spans="2:48">
      <c r="B220" t="s">
        <v>1903</v>
      </c>
      <c r="Q220" s="532">
        <f>'[4]MQG - Consolidation Analysis'!C90</f>
        <v>-6.696262994479027E-2</v>
      </c>
      <c r="R220" s="532">
        <f>'[4]MQG - Consolidation Analysis'!D90</f>
        <v>-3.0334324362997225E-2</v>
      </c>
      <c r="S220" s="532">
        <f>'[4]MQG - Consolidation Analysis'!E90</f>
        <v>-1.7654000928648147E-3</v>
      </c>
      <c r="T220" s="532">
        <f>'[4]MQG - Consolidation Analysis'!F90</f>
        <v>-4.1880445530700201E-2</v>
      </c>
      <c r="U220" s="532">
        <f>'[4]MQG - Consolidation Analysis'!G90</f>
        <v>-3.4595034595034595E-2</v>
      </c>
      <c r="V220" s="532">
        <f>'[4]MQG - Consolidation Analysis'!H90</f>
        <v>-8.9094684020685169E-2</v>
      </c>
      <c r="W220" s="532">
        <f>'[4]MQG - Consolidation Analysis'!I90</f>
        <v>-3.1054057710758823E-2</v>
      </c>
      <c r="X220" s="532">
        <f>'[4]MQG - Consolidation Analysis'!J90</f>
        <v>-1.5334718272567428E-2</v>
      </c>
      <c r="Y220" s="532">
        <f>'[4]MQG - Consolidation Analysis'!K90</f>
        <v>-1.2243516715213069E-2</v>
      </c>
      <c r="Z220" s="532">
        <f>'[4]MQG - Consolidation Analysis'!L90</f>
        <v>-2.8893377025786003E-2</v>
      </c>
      <c r="AA220" s="532">
        <f>'[4]MQG - Consolidation Analysis'!M90</f>
        <v>-3.031143089102719E-2</v>
      </c>
      <c r="AB220" s="532">
        <f>'[4]MQG - Consolidation Analysis'!N90</f>
        <v>-4.2003557922451119E-2</v>
      </c>
      <c r="AC220" s="532">
        <f>'[4]MQG - Consolidation Analysis'!O90</f>
        <v>-4.9324231909689681E-2</v>
      </c>
      <c r="AD220" s="532">
        <f>'[4]MQG - Consolidation Analysis'!P90</f>
        <v>-5.9853185463176348E-2</v>
      </c>
      <c r="AE220" s="532">
        <f>'[4]MQG - Consolidation Analysis'!Q90</f>
        <v>-6.6489160868043892E-2</v>
      </c>
      <c r="AN220" s="532">
        <f>'[4]MQG - Consolidation Analysis'!T90</f>
        <v>-1.5779864371413609E-2</v>
      </c>
      <c r="AO220" s="532">
        <f>'[4]MQG - Consolidation Analysis'!U90</f>
        <v>-3.5144039874968322E-2</v>
      </c>
      <c r="AP220" s="532">
        <f>'[4]MQG - Consolidation Analysis'!V90</f>
        <v>-5.8374532307882372E-2</v>
      </c>
      <c r="AQ220" s="532">
        <f>'[4]MQG - Consolidation Analysis'!W90</f>
        <v>-1.3307152280182854E-2</v>
      </c>
      <c r="AR220" s="532">
        <f>'[4]MQG - Consolidation Analysis'!X90</f>
        <v>-2.847074314988101E-2</v>
      </c>
      <c r="AS220" s="532">
        <f>'[4]MQG - Consolidation Analysis'!Y90</f>
        <v>-4.4016769736599383E-2</v>
      </c>
      <c r="AT220" s="532">
        <f>'[4]MQG - Consolidation Analysis'!Z90</f>
        <v>-6.1422347834925013E-2</v>
      </c>
    </row>
    <row r="221" spans="2:48">
      <c r="B221" t="s">
        <v>1904</v>
      </c>
      <c r="Q221" s="534">
        <f>'[4]MQG - Consolidation Analysis'!C91</f>
        <v>0.17893095864006986</v>
      </c>
      <c r="R221" s="534">
        <f>'[4]MQG - Consolidation Analysis'!D91</f>
        <v>8.6246686480707685E-2</v>
      </c>
      <c r="S221" s="534">
        <f>'[4]MQG - Consolidation Analysis'!E91</f>
        <v>0.12779220114549456</v>
      </c>
      <c r="T221" s="534">
        <f>'[4]MQG - Consolidation Analysis'!F91</f>
        <v>9.82930113364896E-2</v>
      </c>
      <c r="U221" s="534">
        <f>'[4]MQG - Consolidation Analysis'!G91</f>
        <v>0.12467829266292056</v>
      </c>
      <c r="V221" s="534">
        <f>'[4]MQG - Consolidation Analysis'!H91</f>
        <v>0.1003816037558334</v>
      </c>
      <c r="W221" s="534">
        <f>'[4]MQG - Consolidation Analysis'!I91</f>
        <v>0.12773870390342079</v>
      </c>
      <c r="X221" s="534">
        <f>'[4]MQG - Consolidation Analysis'!J91</f>
        <v>0.109332514992771</v>
      </c>
      <c r="Y221" s="534">
        <f>'[4]MQG - Consolidation Analysis'!K91</f>
        <v>0.12871700272757416</v>
      </c>
      <c r="Z221" s="534">
        <f>'[4]MQG - Consolidation Analysis'!L91</f>
        <v>0.11272688625981099</v>
      </c>
      <c r="AA221" s="534">
        <f>'[4]MQG - Consolidation Analysis'!M91</f>
        <v>0.13031276836392855</v>
      </c>
      <c r="AB221" s="534">
        <f>'[4]MQG - Consolidation Analysis'!N91</f>
        <v>0.11721365141870344</v>
      </c>
      <c r="AC221" s="534">
        <f>'[4]MQG - Consolidation Analysis'!O91</f>
        <v>0.13378576227219977</v>
      </c>
      <c r="AD221" s="534">
        <f>'[4]MQG - Consolidation Analysis'!P91</f>
        <v>0.12175331235730866</v>
      </c>
      <c r="AE221" s="534">
        <f>'[4]MQG - Consolidation Analysis'!Q91</f>
        <v>0.13565393160232814</v>
      </c>
      <c r="AN221" s="534">
        <f>'[4]MQG - Consolidation Analysis'!T91</f>
        <v>0.10570862596794527</v>
      </c>
      <c r="AO221" s="534">
        <f>'[4]MQG - Consolidation Analysis'!U91</f>
        <v>0.10793613899501721</v>
      </c>
      <c r="AP221" s="534">
        <f>'[4]MQG - Consolidation Analysis'!V91</f>
        <v>0.11316965546526281</v>
      </c>
      <c r="AQ221" s="534">
        <f>'[4]MQG - Consolidation Analysis'!W91</f>
        <v>0.118204265682315</v>
      </c>
      <c r="AR221" s="534">
        <f>'[4]MQG - Consolidation Analysis'!X91</f>
        <v>0.12069376380380172</v>
      </c>
      <c r="AS221" s="534">
        <f>'[4]MQG - Consolidation Analysis'!Y91</f>
        <v>0.12468046081011866</v>
      </c>
      <c r="AT221" s="534">
        <f>'[4]MQG - Consolidation Analysis'!Z91</f>
        <v>0.12792883956125045</v>
      </c>
    </row>
    <row r="222" spans="2:48">
      <c r="Q222" s="534"/>
      <c r="R222" s="534"/>
      <c r="S222" s="534"/>
      <c r="T222" s="534"/>
      <c r="U222" s="534"/>
      <c r="V222" s="534"/>
      <c r="W222" s="534"/>
      <c r="X222" s="534"/>
      <c r="Y222" s="534"/>
      <c r="Z222" s="534"/>
      <c r="AA222" s="534"/>
      <c r="AB222" s="534"/>
      <c r="AC222" s="534"/>
      <c r="AD222" s="534"/>
      <c r="AE222" s="534"/>
      <c r="AN222" s="534"/>
      <c r="AO222" s="534"/>
      <c r="AP222" s="534"/>
      <c r="AQ222" s="534"/>
      <c r="AR222" s="534"/>
      <c r="AS222" s="534"/>
      <c r="AT222" s="534"/>
    </row>
    <row r="223" spans="2:48">
      <c r="B223" t="s">
        <v>1919</v>
      </c>
      <c r="D223" s="531">
        <f>'[3]Group Model'!R81</f>
        <v>1050</v>
      </c>
      <c r="E223" s="531">
        <f>'[3]Group Model'!S81</f>
        <v>1167</v>
      </c>
      <c r="F223" s="531">
        <f>'[3]Group Model'!T81</f>
        <v>1248</v>
      </c>
      <c r="G223" s="531">
        <f>'[3]Group Model'!U81</f>
        <v>1309</v>
      </c>
      <c r="H223" s="531">
        <f>'[3]Group Model'!V81</f>
        <v>1310</v>
      </c>
      <c r="I223" s="531">
        <f>'[3]Group Model'!W81</f>
        <v>1672</v>
      </c>
      <c r="J223" s="531">
        <f>'[3]Group Model'!X81</f>
        <v>1457</v>
      </c>
      <c r="K223" s="531">
        <f>'[3]Group Model'!Y81</f>
        <v>1274</v>
      </c>
      <c r="L223" s="531">
        <f>'[3]Group Model'!Z81</f>
        <v>985</v>
      </c>
      <c r="M223" s="531">
        <f>'[3]Group Model'!AA81</f>
        <v>2030</v>
      </c>
      <c r="N223" s="531">
        <f>'[3]Group Model'!AB81</f>
        <v>2043</v>
      </c>
      <c r="O223" s="531">
        <f>'[3]Group Model'!AC81</f>
        <v>2663</v>
      </c>
      <c r="P223" s="531">
        <f>'[3]Group Model'!AD81</f>
        <v>2305</v>
      </c>
      <c r="Q223" s="531">
        <f>'[3]Group Model'!AE81</f>
        <v>2877</v>
      </c>
      <c r="R223" s="531">
        <f>'[3]Group Model'!AF81</f>
        <v>1415</v>
      </c>
      <c r="S223" s="531">
        <f>'[3]Group Model'!AG81</f>
        <v>2107</v>
      </c>
      <c r="T223" s="531">
        <f>'[3]Group Model'!AH81</f>
        <v>1612</v>
      </c>
      <c r="U223" s="531">
        <f>'[3]Group Model'!AI81</f>
        <v>2103</v>
      </c>
      <c r="V223" s="531">
        <f>'[3]Group Model'!AJ81</f>
        <v>1655</v>
      </c>
      <c r="W223" s="531">
        <f>'[3]Group Model'!AK81</f>
        <v>2533.9297868946937</v>
      </c>
      <c r="X223" s="531">
        <f>'[3]Group Model'!AL81</f>
        <v>2059.2813013944969</v>
      </c>
      <c r="Y223" s="531">
        <f>'[3]Group Model'!AM81</f>
        <v>2348.1734035065929</v>
      </c>
      <c r="Z223" s="531">
        <f>'[3]Group Model'!AN81</f>
        <v>2211.0239520021032</v>
      </c>
      <c r="AA223" s="531">
        <f>'[3]Group Model'!AO81</f>
        <v>2566.1753099546604</v>
      </c>
      <c r="AB223" s="531">
        <f>'[3]Group Model'!AP81</f>
        <v>2344.0123212241538</v>
      </c>
      <c r="AC223" s="531">
        <f>'[3]Group Model'!AQ81</f>
        <v>2703.6335326550557</v>
      </c>
      <c r="AD223" s="531">
        <f>'[3]Group Model'!AR81</f>
        <v>2484.5627929960929</v>
      </c>
      <c r="AE223" s="531">
        <f>'[3]Group Model'!AS81</f>
        <v>2853.1475115203998</v>
      </c>
      <c r="AG223" s="531">
        <f>'[3]Group Model'!BG81</f>
        <v>2217</v>
      </c>
      <c r="AH223" s="531">
        <f>'[3]Group Model'!BH81</f>
        <v>2557</v>
      </c>
      <c r="AI223" s="531">
        <f>'[3]Group Model'!BI81</f>
        <v>2982</v>
      </c>
      <c r="AJ223" s="531">
        <f>'[3]Group Model'!BJ81</f>
        <v>2731</v>
      </c>
      <c r="AK223" s="531">
        <f>'[3]Group Model'!BK81</f>
        <v>3015</v>
      </c>
      <c r="AL223" s="531">
        <f>'[3]Group Model'!BL81</f>
        <v>4706</v>
      </c>
      <c r="AM223" s="531">
        <f>'[3]Group Model'!BM81</f>
        <v>5182</v>
      </c>
      <c r="AN223" s="531">
        <f>'[3]Group Model'!BN81</f>
        <v>3522</v>
      </c>
      <c r="AO223" s="531">
        <f>'[3]Group Model'!BO81</f>
        <v>3715</v>
      </c>
      <c r="AP223" s="531">
        <f>'[3]Group Model'!BP81</f>
        <v>4188.9297868946987</v>
      </c>
      <c r="AQ223" s="531">
        <f>'[3]Group Model'!BQ81</f>
        <v>4407.4547049010944</v>
      </c>
      <c r="AR223" s="531">
        <f>'[3]Group Model'!BR81</f>
        <v>4777.1992619567645</v>
      </c>
      <c r="AS223" s="531">
        <f>'[3]Group Model'!BS81</f>
        <v>5047.6458538792122</v>
      </c>
      <c r="AT223" s="531">
        <f>'[3]Group Model'!BT81</f>
        <v>5337.7103045164895</v>
      </c>
    </row>
    <row r="225" spans="2:3">
      <c r="B225" s="521" t="s">
        <v>1908</v>
      </c>
      <c r="C225" s="548">
        <f>[3]Summary!$C$184</f>
        <v>0</v>
      </c>
    </row>
    <row r="226" spans="2:3">
      <c r="B226" s="521" t="s">
        <v>1911</v>
      </c>
      <c r="C226" s="548">
        <f>[3]Summary!$C$181</f>
        <v>0</v>
      </c>
    </row>
    <row r="227" spans="2:3">
      <c r="B227" s="521" t="s">
        <v>1912</v>
      </c>
      <c r="C227" s="548">
        <f>[3]Summary!$C$183</f>
        <v>0</v>
      </c>
    </row>
  </sheetData>
  <pageMargins left="0.7" right="0.7" top="0.75" bottom="0.75" header="0.3" footer="0.3"/>
  <customProperties>
    <customPr name="Qube.Worksheet.Visibility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pageSetUpPr autoPageBreaks="0"/>
  </sheetPr>
  <dimension ref="A1:CT1639"/>
  <sheetViews>
    <sheetView workbookViewId="0"/>
  </sheetViews>
  <sheetFormatPr defaultColWidth="9.140625" defaultRowHeight="12" outlineLevelRow="2" outlineLevelCol="1"/>
  <cols>
    <col min="1" max="1" width="4.140625" style="91" customWidth="1"/>
    <col min="2" max="2" width="31.7109375" style="1" bestFit="1" customWidth="1"/>
    <col min="3" max="23" width="10.85546875" style="1" hidden="1" customWidth="1" outlineLevel="1"/>
    <col min="24" max="24" width="10.85546875" style="1" customWidth="1" collapsed="1"/>
    <col min="25" max="32" width="10.85546875" style="1" customWidth="1"/>
    <col min="33" max="33" width="10.85546875" style="15" customWidth="1"/>
    <col min="34" max="43" width="10.85546875" style="1" customWidth="1"/>
    <col min="44" max="44" width="4.140625" style="1" customWidth="1"/>
    <col min="45" max="49" width="10.85546875" style="1" hidden="1" customWidth="1" outlineLevel="1"/>
    <col min="50" max="50" width="10.85546875" style="1" hidden="1" customWidth="1" outlineLevel="1" collapsed="1"/>
    <col min="51" max="59" width="10.85546875" style="1" hidden="1" customWidth="1" outlineLevel="1"/>
    <col min="60" max="60" width="10.85546875" style="1" customWidth="1" collapsed="1"/>
    <col min="61" max="63" width="10.85546875" style="1" customWidth="1"/>
    <col min="64" max="64" width="10.85546875" style="15" customWidth="1"/>
    <col min="65" max="72" width="10.85546875" style="1" customWidth="1"/>
    <col min="73" max="16384" width="9.140625" style="1"/>
  </cols>
  <sheetData>
    <row r="1" spans="1:69" ht="12" customHeight="1">
      <c r="B1" s="2" t="s">
        <v>0</v>
      </c>
      <c r="C1" s="4" t="s">
        <v>549</v>
      </c>
      <c r="D1" s="4" t="s">
        <v>548</v>
      </c>
      <c r="E1" s="4" t="s">
        <v>605</v>
      </c>
      <c r="F1" s="4" t="s">
        <v>606</v>
      </c>
      <c r="G1" s="4" t="s">
        <v>607</v>
      </c>
      <c r="H1" s="4" t="s">
        <v>608</v>
      </c>
      <c r="I1" s="4" t="s">
        <v>609</v>
      </c>
      <c r="J1" s="4" t="s">
        <v>610</v>
      </c>
      <c r="K1" s="4" t="s">
        <v>611</v>
      </c>
      <c r="L1" s="4" t="s">
        <v>1336</v>
      </c>
      <c r="M1" s="4" t="s">
        <v>1374</v>
      </c>
      <c r="N1" s="4" t="s">
        <v>1376</v>
      </c>
      <c r="O1" s="4" t="s">
        <v>1381</v>
      </c>
      <c r="P1" s="4" t="s">
        <v>1388</v>
      </c>
      <c r="Q1" s="4" t="s">
        <v>1390</v>
      </c>
      <c r="R1" s="4" t="s">
        <v>1489</v>
      </c>
      <c r="S1" s="4" t="s">
        <v>1546</v>
      </c>
      <c r="T1" s="4" t="s">
        <v>1764</v>
      </c>
      <c r="U1" s="4" t="s">
        <v>1767</v>
      </c>
      <c r="V1" s="4" t="s">
        <v>1772</v>
      </c>
      <c r="W1" s="4" t="s">
        <v>1775</v>
      </c>
      <c r="X1" s="4" t="s">
        <v>1777</v>
      </c>
      <c r="Y1" s="4" t="s">
        <v>1781</v>
      </c>
      <c r="Z1" s="4" t="s">
        <v>1785</v>
      </c>
      <c r="AA1" s="4" t="s">
        <v>1787</v>
      </c>
      <c r="AB1" s="4" t="s">
        <v>1792</v>
      </c>
      <c r="AC1" s="4" t="s">
        <v>1807</v>
      </c>
      <c r="AD1" s="4" t="s">
        <v>1811</v>
      </c>
      <c r="AE1" s="4" t="s">
        <v>1825</v>
      </c>
      <c r="AF1" s="4" t="s">
        <v>1826</v>
      </c>
      <c r="AG1" s="10" t="s">
        <v>1829</v>
      </c>
      <c r="AH1" s="4" t="s">
        <v>1782</v>
      </c>
      <c r="AI1" s="4" t="s">
        <v>1783</v>
      </c>
      <c r="AJ1" s="4" t="s">
        <v>1788</v>
      </c>
      <c r="AK1" s="4" t="s">
        <v>1789</v>
      </c>
      <c r="AL1" s="4" t="s">
        <v>1808</v>
      </c>
      <c r="AM1" s="4" t="s">
        <v>1809</v>
      </c>
      <c r="AN1" s="4" t="s">
        <v>1821</v>
      </c>
      <c r="AO1" s="4" t="s">
        <v>1822</v>
      </c>
      <c r="AP1" s="4" t="s">
        <v>1830</v>
      </c>
      <c r="AQ1" s="4" t="s">
        <v>1831</v>
      </c>
      <c r="AR1" s="4"/>
      <c r="AS1" s="4" t="s">
        <v>550</v>
      </c>
      <c r="AT1" s="4" t="s">
        <v>612</v>
      </c>
      <c r="AU1" s="4" t="s">
        <v>613</v>
      </c>
      <c r="AV1" s="4" t="s">
        <v>614</v>
      </c>
      <c r="AW1" s="4" t="s">
        <v>615</v>
      </c>
      <c r="AX1" s="4" t="s">
        <v>616</v>
      </c>
      <c r="AY1" s="4" t="s">
        <v>617</v>
      </c>
      <c r="AZ1" s="4" t="s">
        <v>618</v>
      </c>
      <c r="BA1" s="4" t="s">
        <v>619</v>
      </c>
      <c r="BB1" s="4" t="s">
        <v>1371</v>
      </c>
      <c r="BC1" s="4" t="s">
        <v>1377</v>
      </c>
      <c r="BD1" s="4" t="s">
        <v>1389</v>
      </c>
      <c r="BE1" s="4" t="s">
        <v>1547</v>
      </c>
      <c r="BF1" s="4" t="s">
        <v>1768</v>
      </c>
      <c r="BG1" s="4" t="s">
        <v>1774</v>
      </c>
      <c r="BH1" s="4" t="s">
        <v>1778</v>
      </c>
      <c r="BI1" s="4" t="s">
        <v>1786</v>
      </c>
      <c r="BJ1" s="4" t="s">
        <v>1806</v>
      </c>
      <c r="BK1" s="4" t="s">
        <v>1824</v>
      </c>
      <c r="BL1" s="10" t="s">
        <v>1832</v>
      </c>
      <c r="BM1" s="4" t="s">
        <v>1784</v>
      </c>
      <c r="BN1" s="4" t="s">
        <v>1790</v>
      </c>
      <c r="BO1" s="4" t="s">
        <v>1810</v>
      </c>
      <c r="BP1" s="4" t="s">
        <v>1823</v>
      </c>
      <c r="BQ1" s="4" t="s">
        <v>1833</v>
      </c>
    </row>
    <row r="2" spans="1:69" ht="12" hidden="1" customHeight="1">
      <c r="B2" s="3" t="s">
        <v>1</v>
      </c>
      <c r="C2" s="5" t="s">
        <v>620</v>
      </c>
      <c r="D2" s="5" t="s">
        <v>620</v>
      </c>
      <c r="E2" s="5" t="s">
        <v>620</v>
      </c>
      <c r="F2" s="5" t="s">
        <v>620</v>
      </c>
      <c r="G2" s="5" t="s">
        <v>620</v>
      </c>
      <c r="H2" s="5" t="s">
        <v>620</v>
      </c>
      <c r="I2" s="5" t="s">
        <v>620</v>
      </c>
      <c r="J2" s="5" t="s">
        <v>620</v>
      </c>
      <c r="K2" s="5" t="s">
        <v>620</v>
      </c>
      <c r="L2" s="5" t="s">
        <v>620</v>
      </c>
      <c r="M2" s="5" t="s">
        <v>620</v>
      </c>
      <c r="N2" s="5" t="s">
        <v>620</v>
      </c>
      <c r="O2" s="5" t="s">
        <v>620</v>
      </c>
      <c r="P2" s="5" t="s">
        <v>620</v>
      </c>
      <c r="Q2" s="5" t="s">
        <v>620</v>
      </c>
      <c r="R2" s="5" t="s">
        <v>620</v>
      </c>
      <c r="S2" s="5" t="s">
        <v>620</v>
      </c>
      <c r="T2" s="5" t="s">
        <v>620</v>
      </c>
      <c r="U2" s="5" t="s">
        <v>620</v>
      </c>
      <c r="V2" s="5" t="s">
        <v>620</v>
      </c>
      <c r="W2" s="5" t="s">
        <v>620</v>
      </c>
      <c r="X2" s="5" t="s">
        <v>620</v>
      </c>
      <c r="Y2" s="5" t="s">
        <v>620</v>
      </c>
      <c r="Z2" s="5" t="s">
        <v>620</v>
      </c>
      <c r="AA2" s="5" t="s">
        <v>620</v>
      </c>
      <c r="AB2" s="5" t="s">
        <v>620</v>
      </c>
      <c r="AC2" s="5" t="s">
        <v>620</v>
      </c>
      <c r="AD2" s="5" t="s">
        <v>620</v>
      </c>
      <c r="AE2" s="5" t="s">
        <v>620</v>
      </c>
      <c r="AF2" s="5" t="s">
        <v>620</v>
      </c>
      <c r="AG2" s="11" t="s">
        <v>620</v>
      </c>
      <c r="AH2" s="5" t="s">
        <v>621</v>
      </c>
      <c r="AI2" s="5" t="s">
        <v>621</v>
      </c>
      <c r="AJ2" s="5" t="s">
        <v>621</v>
      </c>
      <c r="AK2" s="5" t="s">
        <v>621</v>
      </c>
      <c r="AL2" s="5" t="s">
        <v>621</v>
      </c>
      <c r="AM2" s="5" t="s">
        <v>621</v>
      </c>
      <c r="AN2" s="5" t="s">
        <v>621</v>
      </c>
      <c r="AO2" s="5" t="s">
        <v>621</v>
      </c>
      <c r="AP2" s="5" t="s">
        <v>621</v>
      </c>
      <c r="AQ2" s="5" t="s">
        <v>621</v>
      </c>
      <c r="AS2" s="5" t="s">
        <v>620</v>
      </c>
      <c r="AT2" s="5" t="s">
        <v>620</v>
      </c>
      <c r="AU2" s="5" t="s">
        <v>620</v>
      </c>
      <c r="AV2" s="5" t="s">
        <v>620</v>
      </c>
      <c r="AW2" s="5" t="s">
        <v>620</v>
      </c>
      <c r="AX2" s="5" t="s">
        <v>620</v>
      </c>
      <c r="AY2" s="5" t="s">
        <v>620</v>
      </c>
      <c r="AZ2" s="5" t="s">
        <v>620</v>
      </c>
      <c r="BA2" s="5" t="s">
        <v>620</v>
      </c>
      <c r="BB2" s="5" t="s">
        <v>620</v>
      </c>
      <c r="BC2" s="5" t="s">
        <v>620</v>
      </c>
      <c r="BD2" s="5" t="s">
        <v>620</v>
      </c>
      <c r="BE2" s="5" t="s">
        <v>620</v>
      </c>
      <c r="BF2" s="5" t="s">
        <v>620</v>
      </c>
      <c r="BG2" s="5" t="s">
        <v>620</v>
      </c>
      <c r="BH2" s="5" t="s">
        <v>620</v>
      </c>
      <c r="BI2" s="5" t="s">
        <v>620</v>
      </c>
      <c r="BJ2" s="5" t="s">
        <v>620</v>
      </c>
      <c r="BK2" s="5" t="s">
        <v>620</v>
      </c>
      <c r="BL2" s="11" t="s">
        <v>620</v>
      </c>
      <c r="BM2" s="5" t="s">
        <v>621</v>
      </c>
      <c r="BN2" s="5" t="s">
        <v>621</v>
      </c>
      <c r="BO2" s="5" t="s">
        <v>621</v>
      </c>
      <c r="BP2" s="5" t="s">
        <v>621</v>
      </c>
      <c r="BQ2" s="5" t="s">
        <v>621</v>
      </c>
    </row>
    <row r="3" spans="1:69" ht="12" customHeight="1">
      <c r="B3" s="3" t="s">
        <v>2</v>
      </c>
      <c r="C3" s="6">
        <v>39903</v>
      </c>
      <c r="D3" s="6">
        <v>40086</v>
      </c>
      <c r="E3" s="6">
        <v>40268</v>
      </c>
      <c r="F3" s="6">
        <v>40451</v>
      </c>
      <c r="G3" s="6">
        <v>40633</v>
      </c>
      <c r="H3" s="6">
        <v>40816</v>
      </c>
      <c r="I3" s="6">
        <v>40999</v>
      </c>
      <c r="J3" s="6">
        <v>41182</v>
      </c>
      <c r="K3" s="6">
        <v>41364</v>
      </c>
      <c r="L3" s="6">
        <v>41547</v>
      </c>
      <c r="M3" s="6">
        <v>41729</v>
      </c>
      <c r="N3" s="6">
        <v>41912</v>
      </c>
      <c r="O3" s="6">
        <v>42094</v>
      </c>
      <c r="P3" s="6">
        <v>42277</v>
      </c>
      <c r="Q3" s="6">
        <v>42460</v>
      </c>
      <c r="R3" s="6">
        <v>42643</v>
      </c>
      <c r="S3" s="6">
        <v>42825</v>
      </c>
      <c r="T3" s="6">
        <v>43008</v>
      </c>
      <c r="U3" s="6">
        <v>43190</v>
      </c>
      <c r="V3" s="6">
        <v>43373</v>
      </c>
      <c r="W3" s="6">
        <v>43555</v>
      </c>
      <c r="X3" s="6">
        <v>43738</v>
      </c>
      <c r="Y3" s="6">
        <v>43921</v>
      </c>
      <c r="Z3" s="6">
        <v>44104</v>
      </c>
      <c r="AA3" s="6">
        <v>44286</v>
      </c>
      <c r="AB3" s="6">
        <v>44469</v>
      </c>
      <c r="AC3" s="6">
        <v>44651</v>
      </c>
      <c r="AD3" s="6">
        <v>44834</v>
      </c>
      <c r="AE3" s="6">
        <v>45016</v>
      </c>
      <c r="AF3" s="6">
        <v>45199</v>
      </c>
      <c r="AG3" s="12">
        <v>45382</v>
      </c>
      <c r="AH3" s="6">
        <v>45565</v>
      </c>
      <c r="AI3" s="6">
        <v>45747</v>
      </c>
      <c r="AJ3" s="6">
        <v>45930</v>
      </c>
      <c r="AK3" s="6">
        <v>46112</v>
      </c>
      <c r="AL3" s="6">
        <v>46295</v>
      </c>
      <c r="AM3" s="6">
        <v>46477</v>
      </c>
      <c r="AN3" s="6">
        <v>46660</v>
      </c>
      <c r="AO3" s="6">
        <v>46843</v>
      </c>
      <c r="AP3" s="6">
        <v>47026</v>
      </c>
      <c r="AQ3" s="6">
        <v>47208</v>
      </c>
      <c r="AS3" s="6">
        <v>38442</v>
      </c>
      <c r="AT3" s="6">
        <v>38807</v>
      </c>
      <c r="AU3" s="6">
        <v>39172</v>
      </c>
      <c r="AV3" s="6">
        <v>39538</v>
      </c>
      <c r="AW3" s="6">
        <v>39903</v>
      </c>
      <c r="AX3" s="6">
        <v>40268</v>
      </c>
      <c r="AY3" s="6">
        <v>40633</v>
      </c>
      <c r="AZ3" s="6">
        <v>40999</v>
      </c>
      <c r="BA3" s="6">
        <v>41364</v>
      </c>
      <c r="BB3" s="6">
        <v>41729</v>
      </c>
      <c r="BC3" s="6">
        <v>42094</v>
      </c>
      <c r="BD3" s="6">
        <v>42460</v>
      </c>
      <c r="BE3" s="6">
        <v>42825</v>
      </c>
      <c r="BF3" s="6">
        <v>43190</v>
      </c>
      <c r="BG3" s="6">
        <v>43555</v>
      </c>
      <c r="BH3" s="6">
        <v>43921</v>
      </c>
      <c r="BI3" s="6">
        <v>44286</v>
      </c>
      <c r="BJ3" s="6">
        <v>44651</v>
      </c>
      <c r="BK3" s="6">
        <v>45016</v>
      </c>
      <c r="BL3" s="12">
        <v>45382</v>
      </c>
      <c r="BM3" s="6">
        <v>45747</v>
      </c>
      <c r="BN3" s="6">
        <v>46112</v>
      </c>
      <c r="BO3" s="6">
        <v>46477</v>
      </c>
      <c r="BP3" s="6">
        <v>46843</v>
      </c>
      <c r="BQ3" s="6">
        <v>47208</v>
      </c>
    </row>
    <row r="4" spans="1:69" ht="12" customHeight="1">
      <c r="B4" s="3" t="s">
        <v>3</v>
      </c>
      <c r="C4" s="5"/>
      <c r="D4" s="5" t="s">
        <v>738</v>
      </c>
      <c r="E4" s="5" t="s">
        <v>622</v>
      </c>
      <c r="F4" s="5" t="s">
        <v>622</v>
      </c>
      <c r="G4" s="5" t="s">
        <v>622</v>
      </c>
      <c r="H4" s="5" t="s">
        <v>622</v>
      </c>
      <c r="I4" s="5" t="s">
        <v>622</v>
      </c>
      <c r="J4" s="5" t="s">
        <v>622</v>
      </c>
      <c r="K4" s="5" t="s">
        <v>622</v>
      </c>
      <c r="L4" s="5" t="s">
        <v>622</v>
      </c>
      <c r="M4" s="5" t="s">
        <v>622</v>
      </c>
      <c r="N4" s="5" t="s">
        <v>622</v>
      </c>
      <c r="O4" s="5" t="s">
        <v>622</v>
      </c>
      <c r="P4" s="5" t="s">
        <v>622</v>
      </c>
      <c r="Q4" s="5" t="s">
        <v>622</v>
      </c>
      <c r="R4" s="5" t="s">
        <v>622</v>
      </c>
      <c r="S4" s="5" t="s">
        <v>622</v>
      </c>
      <c r="T4" s="5" t="s">
        <v>622</v>
      </c>
      <c r="U4" s="5" t="s">
        <v>622</v>
      </c>
      <c r="V4" s="5" t="s">
        <v>622</v>
      </c>
      <c r="W4" s="5" t="s">
        <v>622</v>
      </c>
      <c r="X4" s="5" t="s">
        <v>622</v>
      </c>
      <c r="Y4" s="5" t="s">
        <v>622</v>
      </c>
      <c r="Z4" s="5" t="s">
        <v>622</v>
      </c>
      <c r="AA4" s="5" t="s">
        <v>622</v>
      </c>
      <c r="AB4" s="5" t="s">
        <v>622</v>
      </c>
      <c r="AC4" s="5" t="s">
        <v>622</v>
      </c>
      <c r="AD4" s="5" t="s">
        <v>622</v>
      </c>
      <c r="AE4" s="5" t="s">
        <v>622</v>
      </c>
      <c r="AF4" s="5" t="s">
        <v>622</v>
      </c>
      <c r="AG4" s="11" t="s">
        <v>622</v>
      </c>
      <c r="AH4" s="5" t="s">
        <v>622</v>
      </c>
      <c r="AI4" s="5" t="s">
        <v>622</v>
      </c>
      <c r="AJ4" s="5" t="s">
        <v>622</v>
      </c>
      <c r="AK4" s="5" t="s">
        <v>622</v>
      </c>
      <c r="AL4" s="5" t="s">
        <v>622</v>
      </c>
      <c r="AM4" s="5" t="s">
        <v>622</v>
      </c>
      <c r="AN4" s="5" t="s">
        <v>622</v>
      </c>
      <c r="AO4" s="5" t="s">
        <v>622</v>
      </c>
      <c r="AP4" s="5" t="s">
        <v>622</v>
      </c>
      <c r="AQ4" s="5" t="s">
        <v>622</v>
      </c>
      <c r="AS4" s="5"/>
      <c r="AT4" s="5" t="s">
        <v>622</v>
      </c>
      <c r="AU4" s="5" t="s">
        <v>622</v>
      </c>
      <c r="AV4" s="5" t="s">
        <v>622</v>
      </c>
      <c r="AW4" s="5" t="s">
        <v>622</v>
      </c>
      <c r="AX4" s="5" t="s">
        <v>622</v>
      </c>
      <c r="AY4" s="5" t="s">
        <v>622</v>
      </c>
      <c r="AZ4" s="5" t="s">
        <v>622</v>
      </c>
      <c r="BA4" s="5" t="s">
        <v>622</v>
      </c>
      <c r="BB4" s="5" t="s">
        <v>622</v>
      </c>
      <c r="BC4" s="5" t="s">
        <v>622</v>
      </c>
      <c r="BD4" s="5" t="s">
        <v>622</v>
      </c>
      <c r="BE4" s="5" t="s">
        <v>622</v>
      </c>
      <c r="BF4" s="5" t="s">
        <v>622</v>
      </c>
      <c r="BG4" s="5" t="s">
        <v>622</v>
      </c>
      <c r="BH4" s="5" t="s">
        <v>622</v>
      </c>
      <c r="BI4" s="5" t="s">
        <v>622</v>
      </c>
      <c r="BJ4" s="5" t="s">
        <v>622</v>
      </c>
      <c r="BK4" s="5" t="s">
        <v>622</v>
      </c>
      <c r="BL4" s="11" t="s">
        <v>622</v>
      </c>
      <c r="BM4" s="5" t="s">
        <v>622</v>
      </c>
      <c r="BN4" s="5" t="s">
        <v>622</v>
      </c>
      <c r="BO4" s="5" t="s">
        <v>622</v>
      </c>
      <c r="BP4" s="5" t="s">
        <v>622</v>
      </c>
      <c r="BQ4" s="5" t="s">
        <v>622</v>
      </c>
    </row>
    <row r="5" spans="1:69" ht="12" customHeight="1">
      <c r="A5" s="91" t="s">
        <v>299</v>
      </c>
      <c r="B5" s="3" t="s">
        <v>4</v>
      </c>
      <c r="C5" s="7">
        <v>53.92</v>
      </c>
      <c r="D5" s="7">
        <v>1.9945355191256831</v>
      </c>
      <c r="E5" s="7">
        <v>2.0054945054945055</v>
      </c>
      <c r="F5" s="7">
        <v>1.9945355191256831</v>
      </c>
      <c r="G5" s="7">
        <v>2.0054945054945055</v>
      </c>
      <c r="H5" s="7">
        <v>2</v>
      </c>
      <c r="I5" s="7">
        <v>2</v>
      </c>
      <c r="J5" s="7">
        <v>1.9945355191256831</v>
      </c>
      <c r="K5" s="7">
        <v>2.0054945054945055</v>
      </c>
      <c r="L5" s="7">
        <v>1.9945355191256831</v>
      </c>
      <c r="M5" s="7">
        <v>2.0054945054945055</v>
      </c>
      <c r="N5" s="7">
        <v>1.9945355191256831</v>
      </c>
      <c r="O5" s="7">
        <v>2.0054945054945055</v>
      </c>
      <c r="P5" s="7">
        <v>2</v>
      </c>
      <c r="Q5" s="7">
        <v>2</v>
      </c>
      <c r="R5" s="7">
        <v>1.9945355191256831</v>
      </c>
      <c r="S5" s="7">
        <v>2.0054945054945055</v>
      </c>
      <c r="T5" s="7">
        <v>1.9945355191256831</v>
      </c>
      <c r="U5" s="7">
        <v>2.0054945054945055</v>
      </c>
      <c r="V5" s="7">
        <v>1.9945355191256831</v>
      </c>
      <c r="W5" s="7">
        <v>2.0054945054945055</v>
      </c>
      <c r="X5" s="7">
        <v>2</v>
      </c>
      <c r="Y5" s="7">
        <v>2</v>
      </c>
      <c r="Z5" s="7">
        <v>1.9945355191256831</v>
      </c>
      <c r="AA5" s="7">
        <v>2.0054945054945055</v>
      </c>
      <c r="AB5" s="7">
        <v>1.9945355191256831</v>
      </c>
      <c r="AC5" s="7">
        <v>2.0054945054945055</v>
      </c>
      <c r="AD5" s="7">
        <v>1.9945355191256831</v>
      </c>
      <c r="AE5" s="7">
        <v>2.0054945054945055</v>
      </c>
      <c r="AF5" s="7">
        <v>2</v>
      </c>
      <c r="AG5" s="13">
        <v>2</v>
      </c>
      <c r="AH5" s="7">
        <v>1.9945355191256831</v>
      </c>
      <c r="AI5" s="7">
        <v>2.0054945054945055</v>
      </c>
      <c r="AJ5" s="7">
        <v>1.9945355191256831</v>
      </c>
      <c r="AK5" s="7">
        <v>2.0054945054945055</v>
      </c>
      <c r="AL5" s="7">
        <v>1.9945355191256831</v>
      </c>
      <c r="AM5" s="7">
        <v>2.0054945054945055</v>
      </c>
      <c r="AN5" s="7">
        <v>2</v>
      </c>
      <c r="AO5" s="7">
        <v>2</v>
      </c>
      <c r="AP5" s="7">
        <v>1.9945355191256831</v>
      </c>
      <c r="AQ5" s="7">
        <v>2.0054945054945055</v>
      </c>
      <c r="AS5" s="7">
        <v>1</v>
      </c>
      <c r="AT5" s="7">
        <v>1</v>
      </c>
      <c r="AU5" s="7">
        <v>1</v>
      </c>
      <c r="AV5" s="7">
        <v>1</v>
      </c>
      <c r="AW5" s="7">
        <v>1</v>
      </c>
      <c r="AX5" s="7">
        <v>1</v>
      </c>
      <c r="AY5" s="7">
        <v>1</v>
      </c>
      <c r="AZ5" s="7">
        <v>1</v>
      </c>
      <c r="BA5" s="7">
        <v>1</v>
      </c>
      <c r="BB5" s="7">
        <v>1</v>
      </c>
      <c r="BC5" s="7">
        <v>1</v>
      </c>
      <c r="BD5" s="7">
        <v>1</v>
      </c>
      <c r="BE5" s="7">
        <v>1</v>
      </c>
      <c r="BF5" s="7">
        <v>1</v>
      </c>
      <c r="BG5" s="7">
        <v>1</v>
      </c>
      <c r="BH5" s="7">
        <v>1</v>
      </c>
      <c r="BI5" s="7">
        <v>1</v>
      </c>
      <c r="BJ5" s="7">
        <v>1</v>
      </c>
      <c r="BK5" s="7">
        <v>1</v>
      </c>
      <c r="BL5" s="13">
        <v>1</v>
      </c>
      <c r="BM5" s="7">
        <v>1</v>
      </c>
      <c r="BN5" s="7">
        <v>1</v>
      </c>
      <c r="BO5" s="7">
        <v>1</v>
      </c>
      <c r="BP5" s="7">
        <v>1</v>
      </c>
      <c r="BQ5" s="7">
        <v>1</v>
      </c>
    </row>
    <row r="6" spans="1:69" ht="12" customHeight="1"/>
    <row r="7" spans="1:69" s="9" customFormat="1" ht="12" customHeight="1">
      <c r="A7" s="91"/>
      <c r="B7" s="2" t="s">
        <v>457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10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10"/>
      <c r="BM7" s="4"/>
      <c r="BN7" s="4"/>
      <c r="BO7" s="4"/>
      <c r="BP7" s="4"/>
      <c r="BQ7" s="4"/>
    </row>
    <row r="8" spans="1:69" ht="12" customHeight="1" outlineLevel="1">
      <c r="C8" s="8"/>
      <c r="D8" s="41"/>
      <c r="E8" s="41"/>
      <c r="F8" s="154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2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43"/>
    </row>
    <row r="9" spans="1:69" ht="12" customHeight="1" outlineLevel="1">
      <c r="B9" s="16" t="s">
        <v>739</v>
      </c>
      <c r="C9" s="8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2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43"/>
    </row>
    <row r="10" spans="1:69" ht="12" customHeight="1" outlineLevel="1">
      <c r="A10" s="91" t="s">
        <v>740</v>
      </c>
      <c r="B10" s="87" t="s">
        <v>741</v>
      </c>
      <c r="C10" s="277">
        <v>0.4829</v>
      </c>
      <c r="D10" s="277">
        <v>0.55230000000000001</v>
      </c>
      <c r="E10" s="277">
        <v>0.60430000000000006</v>
      </c>
      <c r="F10" s="277">
        <v>0.61529999999999996</v>
      </c>
      <c r="G10" s="277">
        <v>0.64420000000000011</v>
      </c>
      <c r="H10" s="277">
        <v>0.62000000000000011</v>
      </c>
      <c r="I10" s="277">
        <v>0.64695000000000014</v>
      </c>
      <c r="J10" s="277">
        <v>0.64250000000000007</v>
      </c>
      <c r="K10" s="277">
        <v>0.68535000000000013</v>
      </c>
      <c r="L10" s="277">
        <v>0.57620000000000005</v>
      </c>
      <c r="M10" s="277">
        <v>0.55610000000000004</v>
      </c>
      <c r="N10" s="277">
        <v>0.53964999999999996</v>
      </c>
      <c r="O10" s="277">
        <v>0.51324999999999998</v>
      </c>
      <c r="P10" s="277">
        <v>0.46399999999999997</v>
      </c>
      <c r="Q10" s="277">
        <v>0.53310000000000002</v>
      </c>
      <c r="R10" s="277">
        <v>0.59014999999999995</v>
      </c>
      <c r="S10" s="277">
        <v>0.60759999999999992</v>
      </c>
      <c r="T10" s="277">
        <v>0.58485000000000009</v>
      </c>
      <c r="U10" s="277">
        <v>0.54744999999999999</v>
      </c>
      <c r="V10" s="277">
        <v>0.55400000000000005</v>
      </c>
      <c r="W10" s="277">
        <v>0.54459999999999997</v>
      </c>
      <c r="X10" s="277">
        <v>0.54895000000000005</v>
      </c>
      <c r="Y10" s="277">
        <v>0.49456</v>
      </c>
      <c r="Z10" s="277">
        <v>0.55445999999999995</v>
      </c>
      <c r="AA10" s="277">
        <v>0.55100000000000005</v>
      </c>
      <c r="AB10" s="277">
        <v>0.53649999999999998</v>
      </c>
      <c r="AC10" s="277">
        <v>0.56950000000000001</v>
      </c>
      <c r="AD10" s="277">
        <v>0.57299999999999995</v>
      </c>
      <c r="AE10" s="277">
        <v>0.54200000000000004</v>
      </c>
      <c r="AF10" s="277">
        <v>0.52731499999999998</v>
      </c>
      <c r="AG10" s="350">
        <v>0.51600000000000001</v>
      </c>
      <c r="AH10" s="277">
        <v>0.48872180451127817</v>
      </c>
      <c r="AI10" s="277">
        <v>0.49629629629629629</v>
      </c>
      <c r="AJ10" s="277">
        <v>0.53580246913580221</v>
      </c>
      <c r="AK10" s="277">
        <v>0.56481481481481477</v>
      </c>
      <c r="AL10" s="277">
        <v>0.58333333333333315</v>
      </c>
      <c r="AM10" s="277">
        <v>0.59806633215028759</v>
      </c>
      <c r="AN10" s="277">
        <v>0.60916388785970099</v>
      </c>
      <c r="AO10" s="277">
        <v>0.62046615979060182</v>
      </c>
      <c r="AP10" s="277">
        <v>0.63197886526607094</v>
      </c>
      <c r="AQ10" s="277">
        <v>0.64370793650793612</v>
      </c>
      <c r="AR10" s="8"/>
      <c r="AS10" s="277">
        <v>0.40895617792675232</v>
      </c>
      <c r="AT10" s="277">
        <v>0.4123</v>
      </c>
      <c r="AU10" s="277">
        <v>0.41100000000000003</v>
      </c>
      <c r="AV10" s="277">
        <v>0.46030000000000004</v>
      </c>
      <c r="AW10" s="277">
        <v>0.4829</v>
      </c>
      <c r="AX10" s="279">
        <v>0.60430000000000006</v>
      </c>
      <c r="AY10" s="279">
        <v>0.64420000000000011</v>
      </c>
      <c r="AZ10" s="279">
        <v>0.64695000000000014</v>
      </c>
      <c r="BA10" s="279">
        <v>0.68535000000000013</v>
      </c>
      <c r="BB10" s="279">
        <v>0.55610000000000004</v>
      </c>
      <c r="BC10" s="279">
        <v>0.51324999999999998</v>
      </c>
      <c r="BD10" s="279">
        <v>0.53310000000000002</v>
      </c>
      <c r="BE10" s="279">
        <v>0.60759999999999992</v>
      </c>
      <c r="BF10" s="279">
        <v>0.54744999999999999</v>
      </c>
      <c r="BG10" s="279">
        <v>0.54459999999999997</v>
      </c>
      <c r="BH10" s="279">
        <v>0.49456</v>
      </c>
      <c r="BI10" s="279">
        <v>0.55100000000000005</v>
      </c>
      <c r="BJ10" s="279">
        <v>0.56950000000000001</v>
      </c>
      <c r="BK10" s="279">
        <v>0.54200000000000004</v>
      </c>
      <c r="BL10" s="280">
        <v>0.51600000000000001</v>
      </c>
      <c r="BM10" s="279">
        <v>0.49629629629629629</v>
      </c>
      <c r="BN10" s="279">
        <v>0.56481481481481477</v>
      </c>
      <c r="BO10" s="279">
        <v>0.59806633215028759</v>
      </c>
      <c r="BP10" s="279">
        <v>0.62046615979060182</v>
      </c>
      <c r="BQ10" s="279">
        <v>0.64370793650793612</v>
      </c>
    </row>
    <row r="11" spans="1:69" ht="12" customHeight="1" outlineLevel="1">
      <c r="A11" s="91" t="s">
        <v>742</v>
      </c>
      <c r="B11" s="87" t="s">
        <v>743</v>
      </c>
      <c r="C11" s="277">
        <v>0.69140000000000001</v>
      </c>
      <c r="D11" s="277">
        <v>0.88260000000000005</v>
      </c>
      <c r="E11" s="277">
        <v>0.91749999999999998</v>
      </c>
      <c r="F11" s="277">
        <v>0.96720000000000006</v>
      </c>
      <c r="G11" s="277">
        <v>1.0327</v>
      </c>
      <c r="H11" s="277">
        <v>0.96635000000000004</v>
      </c>
      <c r="I11" s="277">
        <v>1.03552</v>
      </c>
      <c r="J11" s="277">
        <v>1.0382</v>
      </c>
      <c r="K11" s="277">
        <v>1.0416500000000002</v>
      </c>
      <c r="L11" s="277">
        <v>0.93254999999999999</v>
      </c>
      <c r="M11" s="277">
        <v>0.92656500000000008</v>
      </c>
      <c r="N11" s="277">
        <v>0.87499500000000008</v>
      </c>
      <c r="O11" s="277">
        <v>0.76062000000000007</v>
      </c>
      <c r="P11" s="277">
        <v>0.70178499999999999</v>
      </c>
      <c r="Q11" s="277">
        <v>0.76578499999999994</v>
      </c>
      <c r="R11" s="277">
        <v>0.76595499999999994</v>
      </c>
      <c r="S11" s="277">
        <v>0.76302000000000003</v>
      </c>
      <c r="T11" s="277">
        <v>0.78353499999999998</v>
      </c>
      <c r="U11" s="277">
        <v>0.768015</v>
      </c>
      <c r="V11" s="277">
        <v>0.7218</v>
      </c>
      <c r="W11" s="277">
        <v>0.70962999999999998</v>
      </c>
      <c r="X11" s="277">
        <v>0.67495499999999997</v>
      </c>
      <c r="Y11" s="277">
        <v>0.61394499999999996</v>
      </c>
      <c r="Z11" s="277">
        <v>0.71655500000000005</v>
      </c>
      <c r="AA11" s="277">
        <v>0.75973500000000005</v>
      </c>
      <c r="AB11" s="277">
        <v>0.72255999999999998</v>
      </c>
      <c r="AC11" s="277">
        <v>0.74817</v>
      </c>
      <c r="AD11" s="277">
        <v>0.64005500000000004</v>
      </c>
      <c r="AE11" s="277">
        <v>0.66854999999999998</v>
      </c>
      <c r="AF11" s="277">
        <v>0.64303500000000002</v>
      </c>
      <c r="AG11" s="350">
        <v>0.65139999999999998</v>
      </c>
      <c r="AH11" s="277">
        <v>0.65</v>
      </c>
      <c r="AI11" s="277">
        <v>0.67</v>
      </c>
      <c r="AJ11" s="277">
        <v>0.72333333333333305</v>
      </c>
      <c r="AK11" s="277">
        <v>0.76249999999999996</v>
      </c>
      <c r="AL11" s="277">
        <v>0.78749999999999987</v>
      </c>
      <c r="AM11" s="277">
        <v>0.80374999999999996</v>
      </c>
      <c r="AN11" s="277">
        <v>0.8112499999999998</v>
      </c>
      <c r="AO11" s="277">
        <v>0.81874999999999964</v>
      </c>
      <c r="AP11" s="277">
        <v>0.82624999999999948</v>
      </c>
      <c r="AQ11" s="277">
        <v>0.83374999999999932</v>
      </c>
      <c r="AR11" s="8"/>
      <c r="AS11" s="277">
        <v>0.77300000000000002</v>
      </c>
      <c r="AT11" s="277">
        <v>0.71625000000000005</v>
      </c>
      <c r="AU11" s="277">
        <v>0.80889999999999995</v>
      </c>
      <c r="AV11" s="277">
        <v>0.91335000000000011</v>
      </c>
      <c r="AW11" s="277">
        <v>0.69140000000000001</v>
      </c>
      <c r="AX11" s="279">
        <v>0.91749999999999998</v>
      </c>
      <c r="AY11" s="279">
        <v>1.0327</v>
      </c>
      <c r="AZ11" s="279">
        <v>1.03552</v>
      </c>
      <c r="BA11" s="279">
        <v>1.0416500000000002</v>
      </c>
      <c r="BB11" s="279">
        <v>0.92656500000000008</v>
      </c>
      <c r="BC11" s="279">
        <v>0.76062000000000007</v>
      </c>
      <c r="BD11" s="279">
        <v>0.76578499999999994</v>
      </c>
      <c r="BE11" s="279">
        <v>0.76302000000000003</v>
      </c>
      <c r="BF11" s="279">
        <v>0.768015</v>
      </c>
      <c r="BG11" s="279">
        <v>0.70962999999999998</v>
      </c>
      <c r="BH11" s="279">
        <v>0.61394499999999996</v>
      </c>
      <c r="BI11" s="279">
        <v>0.75973500000000005</v>
      </c>
      <c r="BJ11" s="279">
        <v>0.74817</v>
      </c>
      <c r="BK11" s="279">
        <v>0.66854999999999998</v>
      </c>
      <c r="BL11" s="280">
        <v>0.65139999999999998</v>
      </c>
      <c r="BM11" s="279">
        <v>0.67</v>
      </c>
      <c r="BN11" s="279">
        <v>0.76249999999999996</v>
      </c>
      <c r="BO11" s="279">
        <v>0.80374999999999996</v>
      </c>
      <c r="BP11" s="279">
        <v>0.81874999999999964</v>
      </c>
      <c r="BQ11" s="279">
        <v>0.83374999999999932</v>
      </c>
    </row>
    <row r="12" spans="1:69" ht="12" customHeight="1" outlineLevel="1">
      <c r="A12" s="91" t="s">
        <v>744</v>
      </c>
      <c r="B12" s="87" t="s">
        <v>745</v>
      </c>
      <c r="C12" s="277">
        <v>1.2361</v>
      </c>
      <c r="D12" s="277">
        <v>1.2210000000000001</v>
      </c>
      <c r="E12" s="277">
        <v>1.29095</v>
      </c>
      <c r="F12" s="277">
        <v>1.3169</v>
      </c>
      <c r="G12" s="277">
        <v>1.3553500000000001</v>
      </c>
      <c r="H12" s="277">
        <v>1.26875</v>
      </c>
      <c r="I12" s="277">
        <v>1.2652650000000001</v>
      </c>
      <c r="J12" s="277">
        <v>1.251255</v>
      </c>
      <c r="K12" s="277">
        <v>1.2447050000000002</v>
      </c>
      <c r="L12" s="277">
        <v>1.1225800000000001</v>
      </c>
      <c r="M12" s="277">
        <v>1.0681500000000002</v>
      </c>
      <c r="N12" s="277">
        <v>1.1203449999999999</v>
      </c>
      <c r="O12" s="277">
        <v>1.01752</v>
      </c>
      <c r="P12" s="277">
        <v>1.0964800000000001</v>
      </c>
      <c r="Q12" s="277">
        <v>1.1082999999999998</v>
      </c>
      <c r="R12" s="277">
        <v>1.0513699999999999</v>
      </c>
      <c r="S12" s="277">
        <v>1.0889</v>
      </c>
      <c r="T12" s="277">
        <v>1.0868</v>
      </c>
      <c r="U12" s="277">
        <v>1.0607899999999999</v>
      </c>
      <c r="V12" s="277">
        <v>1.0909249999999999</v>
      </c>
      <c r="W12" s="277">
        <v>1.0423849999999999</v>
      </c>
      <c r="X12" s="277">
        <v>1.0775299999999999</v>
      </c>
      <c r="Y12" s="277">
        <v>1.0289950000000001</v>
      </c>
      <c r="Z12" s="277">
        <v>1.0822799999999999</v>
      </c>
      <c r="AA12" s="277">
        <v>1.08761</v>
      </c>
      <c r="AB12" s="277">
        <v>1.04783</v>
      </c>
      <c r="AC12" s="277">
        <v>1.076495</v>
      </c>
      <c r="AD12" s="277">
        <v>1.1437850000000001</v>
      </c>
      <c r="AE12" s="277">
        <v>1.0678650000000001</v>
      </c>
      <c r="AF12" s="277">
        <v>1.07311</v>
      </c>
      <c r="AG12" s="350">
        <v>1.0948199999999999</v>
      </c>
      <c r="AH12" s="277">
        <v>1.0833333333333335</v>
      </c>
      <c r="AI12" s="277">
        <v>1.0806451612903227</v>
      </c>
      <c r="AJ12" s="277">
        <v>1.107142857142857</v>
      </c>
      <c r="AK12" s="277">
        <v>1.1380597014925371</v>
      </c>
      <c r="AL12" s="277">
        <v>1.175373134328358</v>
      </c>
      <c r="AM12" s="277">
        <v>1.2029934518241345</v>
      </c>
      <c r="AN12" s="277">
        <v>1.2210724365004697</v>
      </c>
      <c r="AO12" s="277">
        <v>1.2393566698202449</v>
      </c>
      <c r="AP12" s="277">
        <v>1.2578496669838235</v>
      </c>
      <c r="AQ12" s="277">
        <v>1.2765550239234431</v>
      </c>
      <c r="AR12" s="8"/>
      <c r="AS12" s="277">
        <v>1.0860132008395653</v>
      </c>
      <c r="AT12" s="277">
        <v>1.1625000000000001</v>
      </c>
      <c r="AU12" s="277">
        <v>1.1316999999999999</v>
      </c>
      <c r="AV12" s="277">
        <v>1.1613500000000001</v>
      </c>
      <c r="AW12" s="277">
        <v>1.2361</v>
      </c>
      <c r="AX12" s="279">
        <v>1.29095</v>
      </c>
      <c r="AY12" s="279">
        <v>1.3553500000000001</v>
      </c>
      <c r="AZ12" s="279">
        <v>1.2652650000000001</v>
      </c>
      <c r="BA12" s="279">
        <v>1.2447050000000002</v>
      </c>
      <c r="BB12" s="279">
        <v>1.0681500000000002</v>
      </c>
      <c r="BC12" s="279">
        <v>1.01752</v>
      </c>
      <c r="BD12" s="279">
        <v>1.1082999999999998</v>
      </c>
      <c r="BE12" s="279">
        <v>1.0889</v>
      </c>
      <c r="BF12" s="279">
        <v>1.0607899999999999</v>
      </c>
      <c r="BG12" s="279">
        <v>1.0423849999999999</v>
      </c>
      <c r="BH12" s="279">
        <v>1.0289950000000001</v>
      </c>
      <c r="BI12" s="279">
        <v>1.08761</v>
      </c>
      <c r="BJ12" s="279">
        <v>1.076495</v>
      </c>
      <c r="BK12" s="279">
        <v>1.0678650000000001</v>
      </c>
      <c r="BL12" s="280">
        <v>1.0948199999999999</v>
      </c>
      <c r="BM12" s="279">
        <v>1.0806451612903227</v>
      </c>
      <c r="BN12" s="279">
        <v>1.1380597014925371</v>
      </c>
      <c r="BO12" s="279">
        <v>1.2029934518241345</v>
      </c>
      <c r="BP12" s="279">
        <v>1.2393566698202449</v>
      </c>
      <c r="BQ12" s="279">
        <v>1.2765550239234431</v>
      </c>
    </row>
    <row r="13" spans="1:69" ht="12" customHeight="1" outlineLevel="1">
      <c r="A13" s="91" t="s">
        <v>746</v>
      </c>
      <c r="B13" s="87" t="s">
        <v>747</v>
      </c>
      <c r="C13" s="277">
        <v>0.52200000000000002</v>
      </c>
      <c r="D13" s="277">
        <v>0.6028</v>
      </c>
      <c r="E13" s="277">
        <v>0.67910000000000004</v>
      </c>
      <c r="F13" s="277">
        <v>0.70940000000000003</v>
      </c>
      <c r="G13" s="277">
        <v>0.72940000000000005</v>
      </c>
      <c r="H13" s="277">
        <v>0.72160000000000002</v>
      </c>
      <c r="I13" s="277">
        <v>0.77625000000000011</v>
      </c>
      <c r="J13" s="277">
        <v>0.80754999999999999</v>
      </c>
      <c r="K13" s="277">
        <v>0.81269999999999998</v>
      </c>
      <c r="L13" s="277">
        <v>0.68955000000000011</v>
      </c>
      <c r="M13" s="277">
        <v>0.67280000000000006</v>
      </c>
      <c r="N13" s="277">
        <v>0.69270000000000009</v>
      </c>
      <c r="O13" s="277">
        <v>0.70840000000000003</v>
      </c>
      <c r="P13" s="277">
        <v>0.62790000000000001</v>
      </c>
      <c r="Q13" s="277">
        <v>0.67300000000000004</v>
      </c>
      <c r="R13" s="277">
        <v>0.68140000000000001</v>
      </c>
      <c r="S13" s="277">
        <v>0.71575</v>
      </c>
      <c r="T13" s="277">
        <v>0.6633</v>
      </c>
      <c r="U13" s="277">
        <v>0.62314999999999998</v>
      </c>
      <c r="V13" s="277">
        <v>0.62204999999999999</v>
      </c>
      <c r="W13" s="277">
        <v>0.63270000000000004</v>
      </c>
      <c r="X13" s="277">
        <v>0.61924999999999997</v>
      </c>
      <c r="Y13" s="277">
        <v>0.55639499999999997</v>
      </c>
      <c r="Z13" s="277">
        <v>0.61126000000000003</v>
      </c>
      <c r="AA13" s="277">
        <v>0.64749999999999996</v>
      </c>
      <c r="AB13" s="277">
        <v>0.62439999999999996</v>
      </c>
      <c r="AC13" s="277">
        <v>0.67630000000000001</v>
      </c>
      <c r="AD13" s="277">
        <v>0.65288999999999997</v>
      </c>
      <c r="AE13" s="277">
        <v>0.61660000000000004</v>
      </c>
      <c r="AF13" s="277">
        <v>0.60853000000000002</v>
      </c>
      <c r="AG13" s="350">
        <v>0.60350000000000004</v>
      </c>
      <c r="AH13" s="277">
        <v>0.61904761904761907</v>
      </c>
      <c r="AI13" s="277">
        <v>0.62037037037037035</v>
      </c>
      <c r="AJ13" s="277">
        <v>0.64201183431952669</v>
      </c>
      <c r="AK13" s="277">
        <v>0.66304347826086962</v>
      </c>
      <c r="AL13" s="277">
        <v>0.68478260869565211</v>
      </c>
      <c r="AM13" s="277">
        <v>0.69739696312364441</v>
      </c>
      <c r="AN13" s="277">
        <v>0.70086393088552956</v>
      </c>
      <c r="AO13" s="277">
        <v>0.7043010752688178</v>
      </c>
      <c r="AP13" s="277">
        <v>0.70770877944325561</v>
      </c>
      <c r="AQ13" s="277">
        <v>0.71108742004264491</v>
      </c>
      <c r="AR13" s="8"/>
      <c r="AS13" s="277">
        <v>0.59633855806730685</v>
      </c>
      <c r="AT13" s="277">
        <v>0.59129999999999994</v>
      </c>
      <c r="AU13" s="277">
        <v>0.60549999999999993</v>
      </c>
      <c r="AV13" s="277">
        <v>0.57905000000000006</v>
      </c>
      <c r="AW13" s="277">
        <v>0.52200000000000002</v>
      </c>
      <c r="AX13" s="279">
        <v>0.67910000000000004</v>
      </c>
      <c r="AY13" s="279">
        <v>0.72940000000000005</v>
      </c>
      <c r="AZ13" s="279">
        <v>0.77625000000000011</v>
      </c>
      <c r="BA13" s="279">
        <v>0.81269999999999998</v>
      </c>
      <c r="BB13" s="279">
        <v>0.67280000000000006</v>
      </c>
      <c r="BC13" s="279">
        <v>0.70840000000000003</v>
      </c>
      <c r="BD13" s="279">
        <v>0.67300000000000004</v>
      </c>
      <c r="BE13" s="279">
        <v>0.71575</v>
      </c>
      <c r="BF13" s="279">
        <v>0.62314999999999998</v>
      </c>
      <c r="BG13" s="279">
        <v>0.63270000000000004</v>
      </c>
      <c r="BH13" s="279">
        <v>0.55639499999999997</v>
      </c>
      <c r="BI13" s="279">
        <v>0.64749999999999996</v>
      </c>
      <c r="BJ13" s="279">
        <v>0.67630000000000001</v>
      </c>
      <c r="BK13" s="279">
        <v>0.61660000000000004</v>
      </c>
      <c r="BL13" s="280">
        <v>0.60350000000000004</v>
      </c>
      <c r="BM13" s="279">
        <v>0.62037037037037035</v>
      </c>
      <c r="BN13" s="279">
        <v>0.66304347826086962</v>
      </c>
      <c r="BO13" s="279">
        <v>0.69739696312364441</v>
      </c>
      <c r="BP13" s="279">
        <v>0.7043010752688178</v>
      </c>
      <c r="BQ13" s="279">
        <v>0.71108742004264491</v>
      </c>
    </row>
    <row r="14" spans="1:69" ht="12" customHeight="1" outlineLevel="1">
      <c r="B14" s="87"/>
      <c r="C14" s="8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2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43"/>
      <c r="BM14" s="8"/>
      <c r="BN14" s="8"/>
      <c r="BO14" s="8"/>
      <c r="BP14" s="8"/>
      <c r="BQ14" s="8"/>
    </row>
    <row r="15" spans="1:69" ht="12" customHeight="1" outlineLevel="1">
      <c r="B15" s="16" t="s">
        <v>748</v>
      </c>
      <c r="C15" s="8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2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43"/>
      <c r="BM15" s="8"/>
      <c r="BN15" s="8"/>
      <c r="BO15" s="8"/>
      <c r="BP15" s="8"/>
      <c r="BQ15" s="8"/>
    </row>
    <row r="16" spans="1:69" ht="12" customHeight="1" outlineLevel="1">
      <c r="A16" s="91" t="s">
        <v>749</v>
      </c>
      <c r="B16" s="87" t="s">
        <v>741</v>
      </c>
      <c r="C16" s="278">
        <v>0.4829</v>
      </c>
      <c r="D16" s="278">
        <v>0.51760000000000006</v>
      </c>
      <c r="E16" s="278">
        <v>0.57830000000000004</v>
      </c>
      <c r="F16" s="278">
        <v>0.60980000000000001</v>
      </c>
      <c r="G16" s="278">
        <v>0.62975000000000003</v>
      </c>
      <c r="H16" s="278">
        <v>0.63210000000000011</v>
      </c>
      <c r="I16" s="278">
        <v>0.63347500000000012</v>
      </c>
      <c r="J16" s="278">
        <v>0.6447250000000001</v>
      </c>
      <c r="K16" s="278">
        <v>0.6639250000000001</v>
      </c>
      <c r="L16" s="278">
        <v>0.63077500000000009</v>
      </c>
      <c r="M16" s="278">
        <v>0.56615000000000004</v>
      </c>
      <c r="N16" s="278">
        <v>0.547875</v>
      </c>
      <c r="O16" s="278">
        <v>0.52644999999999997</v>
      </c>
      <c r="P16" s="278">
        <v>0.48862499999999998</v>
      </c>
      <c r="Q16" s="278">
        <v>0.49854999999999999</v>
      </c>
      <c r="R16" s="278">
        <v>0.56162500000000004</v>
      </c>
      <c r="S16" s="278">
        <v>0.59887499999999994</v>
      </c>
      <c r="T16" s="278">
        <v>0.596225</v>
      </c>
      <c r="U16" s="278">
        <v>0.56615000000000004</v>
      </c>
      <c r="V16" s="278">
        <v>0.55072500000000002</v>
      </c>
      <c r="W16" s="278">
        <v>0.54930000000000001</v>
      </c>
      <c r="X16" s="278">
        <v>0.54677500000000001</v>
      </c>
      <c r="Y16" s="278">
        <v>0.52175499999999997</v>
      </c>
      <c r="Z16" s="278">
        <v>0.52451000000000003</v>
      </c>
      <c r="AA16" s="278">
        <v>0.55272999999999994</v>
      </c>
      <c r="AB16" s="278">
        <v>0.54374999999999996</v>
      </c>
      <c r="AC16" s="278">
        <v>0.55299999999999994</v>
      </c>
      <c r="AD16" s="278">
        <v>0.57125000000000004</v>
      </c>
      <c r="AE16" s="278">
        <v>0.5575</v>
      </c>
      <c r="AF16" s="278">
        <v>0.53465750000000001</v>
      </c>
      <c r="AG16" s="351">
        <v>0.5216575</v>
      </c>
      <c r="AH16" s="278">
        <v>0.50236090225563912</v>
      </c>
      <c r="AI16" s="278">
        <v>0.49250905040378723</v>
      </c>
      <c r="AJ16" s="278">
        <v>0.51604938271604928</v>
      </c>
      <c r="AK16" s="278">
        <v>0.55030864197530849</v>
      </c>
      <c r="AL16" s="278">
        <v>0.57407407407407396</v>
      </c>
      <c r="AM16" s="278">
        <v>0.59069983274181037</v>
      </c>
      <c r="AN16" s="278">
        <v>0.60361511000499424</v>
      </c>
      <c r="AO16" s="278">
        <v>0.61481502382515141</v>
      </c>
      <c r="AP16" s="278">
        <v>0.62622251252833638</v>
      </c>
      <c r="AQ16" s="278">
        <v>0.63784340088700353</v>
      </c>
      <c r="AR16" s="8"/>
      <c r="AS16" s="278">
        <v>0.40895617792675232</v>
      </c>
      <c r="AT16" s="278">
        <v>0.41062808896337616</v>
      </c>
      <c r="AU16" s="278">
        <v>0.41165000000000002</v>
      </c>
      <c r="AV16" s="278">
        <v>0.43565000000000004</v>
      </c>
      <c r="AW16" s="278">
        <v>0.47160000000000002</v>
      </c>
      <c r="AX16" s="281">
        <v>0.54803315068493152</v>
      </c>
      <c r="AY16" s="281">
        <v>0.61980232876712338</v>
      </c>
      <c r="AZ16" s="281">
        <v>0.63278750000000006</v>
      </c>
      <c r="BA16" s="281">
        <v>0.65435130136986319</v>
      </c>
      <c r="BB16" s="281">
        <v>0.59837397260273983</v>
      </c>
      <c r="BC16" s="281">
        <v>0.53713315068493162</v>
      </c>
      <c r="BD16" s="281">
        <v>0.49358749999999996</v>
      </c>
      <c r="BE16" s="281">
        <v>0.58030102739726031</v>
      </c>
      <c r="BF16" s="281">
        <v>0.58114630136986301</v>
      </c>
      <c r="BG16" s="281">
        <v>0.55001054794520554</v>
      </c>
      <c r="BH16" s="281">
        <v>0.53426499999999999</v>
      </c>
      <c r="BI16" s="281">
        <v>0.53865865753424658</v>
      </c>
      <c r="BJ16" s="281">
        <v>0.54838767123287668</v>
      </c>
      <c r="BK16" s="281">
        <v>0.56435616438356162</v>
      </c>
      <c r="BL16" s="282">
        <v>0.52815750000000006</v>
      </c>
      <c r="BM16" s="281">
        <v>0.4974214806422449</v>
      </c>
      <c r="BN16" s="281">
        <v>0.53322594283781488</v>
      </c>
      <c r="BO16" s="281">
        <v>0.58240972841981575</v>
      </c>
      <c r="BP16" s="281">
        <v>0.60921506691507288</v>
      </c>
      <c r="BQ16" s="281">
        <v>0.63204887573281876</v>
      </c>
    </row>
    <row r="17" spans="1:69" ht="12" customHeight="1" outlineLevel="1">
      <c r="A17" s="91" t="s">
        <v>750</v>
      </c>
      <c r="B17" s="87" t="s">
        <v>743</v>
      </c>
      <c r="C17" s="278">
        <v>0.69140000000000001</v>
      </c>
      <c r="D17" s="278">
        <v>0.78700000000000003</v>
      </c>
      <c r="E17" s="278">
        <v>0.90005000000000002</v>
      </c>
      <c r="F17" s="278">
        <v>0.94235000000000002</v>
      </c>
      <c r="G17" s="278">
        <v>0.99995000000000001</v>
      </c>
      <c r="H17" s="278">
        <v>0.999525</v>
      </c>
      <c r="I17" s="278">
        <v>1.0009350000000001</v>
      </c>
      <c r="J17" s="278">
        <v>1.0368599999999999</v>
      </c>
      <c r="K17" s="278">
        <v>1.0399250000000002</v>
      </c>
      <c r="L17" s="278">
        <v>0.98710000000000009</v>
      </c>
      <c r="M17" s="278">
        <v>0.92955750000000004</v>
      </c>
      <c r="N17" s="278">
        <v>0.90078000000000014</v>
      </c>
      <c r="O17" s="278">
        <v>0.81780750000000002</v>
      </c>
      <c r="P17" s="278">
        <v>0.73120249999999998</v>
      </c>
      <c r="Q17" s="278">
        <v>0.73378499999999991</v>
      </c>
      <c r="R17" s="278">
        <v>0.76586999999999994</v>
      </c>
      <c r="S17" s="278">
        <v>0.76448749999999999</v>
      </c>
      <c r="T17" s="278">
        <v>0.77327750000000006</v>
      </c>
      <c r="U17" s="278">
        <v>0.77577499999999999</v>
      </c>
      <c r="V17" s="278">
        <v>0.74490750000000006</v>
      </c>
      <c r="W17" s="278">
        <v>0.71571499999999999</v>
      </c>
      <c r="X17" s="278">
        <v>0.69229249999999998</v>
      </c>
      <c r="Y17" s="278">
        <v>0.64444999999999997</v>
      </c>
      <c r="Z17" s="278">
        <v>0.66525000000000001</v>
      </c>
      <c r="AA17" s="278">
        <v>0.73814500000000005</v>
      </c>
      <c r="AB17" s="278">
        <v>0.74114750000000007</v>
      </c>
      <c r="AC17" s="278">
        <v>0.73536500000000005</v>
      </c>
      <c r="AD17" s="278">
        <v>0.69411250000000002</v>
      </c>
      <c r="AE17" s="278">
        <v>0.65430250000000001</v>
      </c>
      <c r="AF17" s="278">
        <v>0.6557925</v>
      </c>
      <c r="AG17" s="351">
        <v>0.6472175</v>
      </c>
      <c r="AH17" s="278">
        <v>0.65070000000000006</v>
      </c>
      <c r="AI17" s="278">
        <v>0.66</v>
      </c>
      <c r="AJ17" s="278">
        <v>0.69666666666666655</v>
      </c>
      <c r="AK17" s="278">
        <v>0.74291666666666645</v>
      </c>
      <c r="AL17" s="278">
        <v>0.77499999999999991</v>
      </c>
      <c r="AM17" s="278">
        <v>0.79562499999999992</v>
      </c>
      <c r="AN17" s="278">
        <v>0.80749999999999988</v>
      </c>
      <c r="AO17" s="278">
        <v>0.81499999999999972</v>
      </c>
      <c r="AP17" s="278">
        <v>0.82249999999999956</v>
      </c>
      <c r="AQ17" s="278">
        <v>0.8299999999999994</v>
      </c>
      <c r="AR17" s="8"/>
      <c r="AS17" s="278">
        <v>0.77300000000000002</v>
      </c>
      <c r="AT17" s="278">
        <v>0.74462500000000009</v>
      </c>
      <c r="AU17" s="278">
        <v>0.762575</v>
      </c>
      <c r="AV17" s="278">
        <v>0.86112500000000003</v>
      </c>
      <c r="AW17" s="278">
        <v>0.80237500000000006</v>
      </c>
      <c r="AX17" s="281">
        <v>0.84367986301369868</v>
      </c>
      <c r="AY17" s="281">
        <v>0.97122890410958906</v>
      </c>
      <c r="AZ17" s="281">
        <v>1.0002300000000002</v>
      </c>
      <c r="BA17" s="281">
        <v>1.0383966986301372</v>
      </c>
      <c r="BB17" s="281">
        <v>0.95824992465753434</v>
      </c>
      <c r="BC17" s="281">
        <v>0.859180089041096</v>
      </c>
      <c r="BD17" s="281">
        <v>0.73249374999999994</v>
      </c>
      <c r="BE17" s="281">
        <v>0.76517685616438358</v>
      </c>
      <c r="BF17" s="281">
        <v>0.77452967123287686</v>
      </c>
      <c r="BG17" s="281">
        <v>0.73027126027397271</v>
      </c>
      <c r="BH17" s="281">
        <v>0.66837124999999997</v>
      </c>
      <c r="BI17" s="281">
        <v>0.70179735616438366</v>
      </c>
      <c r="BJ17" s="281">
        <v>0.73824832876712343</v>
      </c>
      <c r="BK17" s="281">
        <v>0.67415296575342476</v>
      </c>
      <c r="BL17" s="282">
        <v>0.651505</v>
      </c>
      <c r="BM17" s="281">
        <v>0.65536273972602743</v>
      </c>
      <c r="BN17" s="281">
        <v>0.71985502283105007</v>
      </c>
      <c r="BO17" s="281">
        <v>0.78534075342465748</v>
      </c>
      <c r="BP17" s="281">
        <v>0.8112499999999998</v>
      </c>
      <c r="BQ17" s="281">
        <v>0.82626027397260227</v>
      </c>
    </row>
    <row r="18" spans="1:69" ht="12" customHeight="1" outlineLevel="1">
      <c r="A18" s="91" t="s">
        <v>749</v>
      </c>
      <c r="B18" s="87" t="s">
        <v>745</v>
      </c>
      <c r="C18" s="278">
        <v>1.2361</v>
      </c>
      <c r="D18" s="278">
        <v>1.22855</v>
      </c>
      <c r="E18" s="278">
        <v>1.2559750000000001</v>
      </c>
      <c r="F18" s="278">
        <v>1.303925</v>
      </c>
      <c r="G18" s="278">
        <v>1.336125</v>
      </c>
      <c r="H18" s="278">
        <v>1.3120500000000002</v>
      </c>
      <c r="I18" s="278">
        <v>1.2670075000000001</v>
      </c>
      <c r="J18" s="278">
        <v>1.2582599999999999</v>
      </c>
      <c r="K18" s="278">
        <v>1.2479800000000001</v>
      </c>
      <c r="L18" s="278">
        <v>1.1836425000000002</v>
      </c>
      <c r="M18" s="278">
        <v>1.0953650000000001</v>
      </c>
      <c r="N18" s="278">
        <v>1.0942475</v>
      </c>
      <c r="O18" s="278">
        <v>1.0689324999999998</v>
      </c>
      <c r="P18" s="278">
        <v>1.0569999999999999</v>
      </c>
      <c r="Q18" s="278">
        <v>1.10239</v>
      </c>
      <c r="R18" s="278">
        <v>1.0798349999999999</v>
      </c>
      <c r="S18" s="278">
        <v>1.0701350000000001</v>
      </c>
      <c r="T18" s="278">
        <v>1.08785</v>
      </c>
      <c r="U18" s="278">
        <v>1.0737950000000001</v>
      </c>
      <c r="V18" s="278">
        <v>1.0758574999999999</v>
      </c>
      <c r="W18" s="278">
        <v>1.0666549999999999</v>
      </c>
      <c r="X18" s="278">
        <v>1.0599574999999999</v>
      </c>
      <c r="Y18" s="278">
        <v>1.0532625</v>
      </c>
      <c r="Z18" s="278">
        <v>1.0556375</v>
      </c>
      <c r="AA18" s="278">
        <v>1.0849449999999998</v>
      </c>
      <c r="AB18" s="278">
        <v>1.06772</v>
      </c>
      <c r="AC18" s="278">
        <v>1.0621624999999999</v>
      </c>
      <c r="AD18" s="278">
        <v>1.1101399999999999</v>
      </c>
      <c r="AE18" s="278">
        <v>1.1058250000000001</v>
      </c>
      <c r="AF18" s="278">
        <v>1.0704875</v>
      </c>
      <c r="AG18" s="351">
        <v>1.0839650000000001</v>
      </c>
      <c r="AH18" s="278">
        <v>1.0890766666666667</v>
      </c>
      <c r="AI18" s="278">
        <v>1.081989247311828</v>
      </c>
      <c r="AJ18" s="278">
        <v>1.0938940092165899</v>
      </c>
      <c r="AK18" s="278">
        <v>1.1226012793176969</v>
      </c>
      <c r="AL18" s="278">
        <v>1.1567164179104474</v>
      </c>
      <c r="AM18" s="278">
        <v>1.1891832930762463</v>
      </c>
      <c r="AN18" s="278">
        <v>1.2120329441623021</v>
      </c>
      <c r="AO18" s="278">
        <v>1.2302145531603572</v>
      </c>
      <c r="AP18" s="278">
        <v>1.2486031684020342</v>
      </c>
      <c r="AQ18" s="278">
        <v>1.2672023454536334</v>
      </c>
      <c r="AR18" s="8"/>
      <c r="AS18" s="278">
        <v>1.0860132008395653</v>
      </c>
      <c r="AT18" s="278">
        <v>1.1242566004197827</v>
      </c>
      <c r="AU18" s="278">
        <v>1.1471</v>
      </c>
      <c r="AV18" s="278">
        <v>1.146525</v>
      </c>
      <c r="AW18" s="278">
        <v>1.198725</v>
      </c>
      <c r="AX18" s="281">
        <v>1.2423000684931509</v>
      </c>
      <c r="AY18" s="281">
        <v>1.3200691095890413</v>
      </c>
      <c r="AZ18" s="281">
        <v>1.2895287500000001</v>
      </c>
      <c r="BA18" s="281">
        <v>1.2531059178082193</v>
      </c>
      <c r="BB18" s="281">
        <v>1.1393828219178084</v>
      </c>
      <c r="BC18" s="281">
        <v>1.0815553219178082</v>
      </c>
      <c r="BD18" s="281">
        <v>1.0796950000000001</v>
      </c>
      <c r="BE18" s="281">
        <v>1.074971712328767</v>
      </c>
      <c r="BF18" s="281">
        <v>1.0808032465753425</v>
      </c>
      <c r="BG18" s="281">
        <v>1.0712436438356163</v>
      </c>
      <c r="BH18" s="281">
        <v>1.05661</v>
      </c>
      <c r="BI18" s="281">
        <v>1.0703313972602739</v>
      </c>
      <c r="BJ18" s="281">
        <v>1.0649336369863014</v>
      </c>
      <c r="BK18" s="281">
        <v>1.1079765890410957</v>
      </c>
      <c r="BL18" s="282">
        <v>1.0772262500000001</v>
      </c>
      <c r="BM18" s="281">
        <v>1.0855232481956107</v>
      </c>
      <c r="BN18" s="281">
        <v>1.1082869692946791</v>
      </c>
      <c r="BO18" s="281">
        <v>1.1729943306648072</v>
      </c>
      <c r="BP18" s="281">
        <v>1.2211237486613298</v>
      </c>
      <c r="BQ18" s="281">
        <v>1.2579282352525623</v>
      </c>
    </row>
    <row r="19" spans="1:69" ht="12" customHeight="1" outlineLevel="1">
      <c r="A19" s="91" t="s">
        <v>1558</v>
      </c>
      <c r="B19" s="87" t="s">
        <v>747</v>
      </c>
      <c r="C19" s="278">
        <v>0.52200000000000002</v>
      </c>
      <c r="D19" s="278">
        <v>0.56240000000000001</v>
      </c>
      <c r="E19" s="278">
        <v>0.64095000000000002</v>
      </c>
      <c r="F19" s="278">
        <v>0.69425000000000003</v>
      </c>
      <c r="G19" s="278">
        <v>0.71940000000000004</v>
      </c>
      <c r="H19" s="278">
        <v>0.72550000000000003</v>
      </c>
      <c r="I19" s="278">
        <v>0.74892500000000006</v>
      </c>
      <c r="J19" s="278">
        <v>0.79190000000000005</v>
      </c>
      <c r="K19" s="278">
        <v>0.81012499999999998</v>
      </c>
      <c r="L19" s="278">
        <v>0.75112500000000004</v>
      </c>
      <c r="M19" s="278">
        <v>0.68117500000000009</v>
      </c>
      <c r="N19" s="278">
        <v>0.68275000000000008</v>
      </c>
      <c r="O19" s="278">
        <v>0.70055000000000001</v>
      </c>
      <c r="P19" s="278">
        <v>0.66815000000000002</v>
      </c>
      <c r="Q19" s="278">
        <v>0.65044999999999997</v>
      </c>
      <c r="R19" s="278">
        <v>0.67720000000000002</v>
      </c>
      <c r="S19" s="278">
        <v>0.69857499999999995</v>
      </c>
      <c r="T19" s="278">
        <v>0.68952499999999994</v>
      </c>
      <c r="U19" s="278">
        <v>0.64322499999999994</v>
      </c>
      <c r="V19" s="278">
        <v>0.62260000000000004</v>
      </c>
      <c r="W19" s="278">
        <v>0.62737500000000002</v>
      </c>
      <c r="X19" s="278">
        <v>0.62597499999999995</v>
      </c>
      <c r="Y19" s="278">
        <v>0.58782249999999991</v>
      </c>
      <c r="Z19" s="278">
        <v>0.58382749999999994</v>
      </c>
      <c r="AA19" s="278">
        <v>0.62938000000000005</v>
      </c>
      <c r="AB19" s="278">
        <v>0.63595000000000002</v>
      </c>
      <c r="AC19" s="278">
        <v>0.65034999999999998</v>
      </c>
      <c r="AD19" s="278">
        <v>0.66459500000000005</v>
      </c>
      <c r="AE19" s="278">
        <v>0.634745</v>
      </c>
      <c r="AF19" s="278">
        <v>0.61256500000000003</v>
      </c>
      <c r="AG19" s="351">
        <v>0.60601499999999997</v>
      </c>
      <c r="AH19" s="278">
        <v>0.6112738095238095</v>
      </c>
      <c r="AI19" s="278">
        <v>0.61970899470899465</v>
      </c>
      <c r="AJ19" s="278">
        <v>0.63119110234494857</v>
      </c>
      <c r="AK19" s="278">
        <v>0.65252765629019815</v>
      </c>
      <c r="AL19" s="278">
        <v>0.67391304347826086</v>
      </c>
      <c r="AM19" s="278">
        <v>0.69108978590964831</v>
      </c>
      <c r="AN19" s="278">
        <v>0.69913044700458693</v>
      </c>
      <c r="AO19" s="278">
        <v>0.70258250307717374</v>
      </c>
      <c r="AP19" s="278">
        <v>0.7060049273560367</v>
      </c>
      <c r="AQ19" s="278">
        <v>0.70939809974295032</v>
      </c>
      <c r="AR19" s="8"/>
      <c r="AS19" s="278">
        <v>0.59633855806730685</v>
      </c>
      <c r="AT19" s="278">
        <v>0.59381927903365339</v>
      </c>
      <c r="AU19" s="278">
        <v>0.59839999999999993</v>
      </c>
      <c r="AV19" s="278">
        <v>0.592275</v>
      </c>
      <c r="AW19" s="278">
        <v>0.55052500000000004</v>
      </c>
      <c r="AX19" s="281">
        <v>0.60178260273972606</v>
      </c>
      <c r="AY19" s="281">
        <v>0.70685945205479461</v>
      </c>
      <c r="AZ19" s="281">
        <v>0.73721250000000005</v>
      </c>
      <c r="BA19" s="281">
        <v>0.80103746575342483</v>
      </c>
      <c r="BB19" s="281">
        <v>0.71605417808219185</v>
      </c>
      <c r="BC19" s="281">
        <v>0.6916743835616439</v>
      </c>
      <c r="BD19" s="281">
        <v>0.6593</v>
      </c>
      <c r="BE19" s="281">
        <v>0.68791678082191787</v>
      </c>
      <c r="BF19" s="281">
        <v>0.66631157534246577</v>
      </c>
      <c r="BG19" s="281">
        <v>0.62499404109589052</v>
      </c>
      <c r="BH19" s="281">
        <v>0.60689874999999993</v>
      </c>
      <c r="BI19" s="281">
        <v>0.60666615068493157</v>
      </c>
      <c r="BJ19" s="281">
        <v>0.6431697260273973</v>
      </c>
      <c r="BK19" s="281">
        <v>0.64962910958904119</v>
      </c>
      <c r="BL19" s="282">
        <v>0.60929</v>
      </c>
      <c r="BM19" s="281">
        <v>0.61550295716460102</v>
      </c>
      <c r="BN19" s="281">
        <v>0.64188860747366272</v>
      </c>
      <c r="BO19" s="281">
        <v>0.68252494447810719</v>
      </c>
      <c r="BP19" s="281">
        <v>0.70085647504088033</v>
      </c>
      <c r="BQ19" s="281">
        <v>0.70770616173084555</v>
      </c>
    </row>
    <row r="20" spans="1:69" ht="12" customHeight="1" outlineLevel="1">
      <c r="B20" s="87"/>
      <c r="C20" s="8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2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</row>
    <row r="21" spans="1:69" s="9" customFormat="1" ht="12" customHeight="1" outlineLevel="1">
      <c r="A21" s="91"/>
      <c r="B21" s="16" t="s">
        <v>74</v>
      </c>
      <c r="C21" s="74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40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74"/>
      <c r="AS21" s="74"/>
      <c r="AT21" s="74"/>
      <c r="AU21" s="74"/>
      <c r="AV21" s="74"/>
      <c r="AW21" s="74"/>
      <c r="AX21" s="63"/>
      <c r="AY21" s="63"/>
      <c r="AZ21" s="63"/>
      <c r="BA21" s="63"/>
      <c r="BB21" s="63"/>
      <c r="BC21" s="63"/>
      <c r="BD21" s="63"/>
      <c r="BE21" s="462"/>
      <c r="BF21" s="63"/>
      <c r="BG21" s="63"/>
      <c r="BH21" s="63"/>
      <c r="BI21" s="63"/>
      <c r="BJ21" s="63"/>
      <c r="BL21" s="500"/>
    </row>
    <row r="22" spans="1:69" ht="12" customHeight="1" outlineLevel="1">
      <c r="A22" s="91" t="s">
        <v>85</v>
      </c>
      <c r="B22" s="1" t="s">
        <v>83</v>
      </c>
      <c r="C22" s="8"/>
      <c r="D22" s="37">
        <v>-2.2712102184660986E-2</v>
      </c>
      <c r="E22" s="37">
        <v>5.5007743636432942E-3</v>
      </c>
      <c r="F22" s="37">
        <v>2.543452791260645E-3</v>
      </c>
      <c r="G22" s="37">
        <v>4.0045641059399204E-3</v>
      </c>
      <c r="H22" s="37">
        <v>5.6608497806420711E-4</v>
      </c>
      <c r="I22" s="37">
        <v>4.3926598653649751E-3</v>
      </c>
      <c r="J22" s="37">
        <v>3.8266738782712483E-3</v>
      </c>
      <c r="K22" s="37">
        <v>4.3163723551132745E-3</v>
      </c>
      <c r="L22" s="37">
        <v>4.1937248089270037E-3</v>
      </c>
      <c r="M22" s="37">
        <v>3.1866676768736038E-3</v>
      </c>
      <c r="N22" s="78">
        <v>1.0041755153255244E-3</v>
      </c>
      <c r="O22" s="78">
        <v>1.5787036640262295E-3</v>
      </c>
      <c r="P22" s="78">
        <v>2.5158579343200491E-3</v>
      </c>
      <c r="Q22" s="78">
        <v>1.5179299103504483E-2</v>
      </c>
      <c r="R22" s="78">
        <v>1.8138782808989299E-3</v>
      </c>
      <c r="S22" s="78">
        <v>6.6919416501346023E-3</v>
      </c>
      <c r="T22" s="78">
        <v>3.7435688764276675E-3</v>
      </c>
      <c r="U22" s="78">
        <v>9.6444807208136279E-3</v>
      </c>
      <c r="V22" s="78">
        <v>-1.5907289700727225E-3</v>
      </c>
      <c r="W22" s="78">
        <v>6.0126996623856357E-3</v>
      </c>
      <c r="X22" s="78">
        <v>2.1120231831381962E-3</v>
      </c>
      <c r="Y22" s="78">
        <v>5.1567391995892466E-3</v>
      </c>
      <c r="Z22" s="78">
        <v>4.8286370023252695E-3</v>
      </c>
      <c r="AA22" s="78">
        <v>2.6680636436733998E-3</v>
      </c>
      <c r="AB22" s="78">
        <v>5.3572142779300747E-3</v>
      </c>
      <c r="AC22" s="78">
        <v>6.4973765404025029E-4</v>
      </c>
      <c r="AD22" s="78">
        <v>5.4853278174094478E-4</v>
      </c>
      <c r="AE22" s="78">
        <v>-6.5230788674905694E-5</v>
      </c>
      <c r="AF22" s="78">
        <v>5.1523153216976876E-4</v>
      </c>
      <c r="AG22" s="88">
        <v>-5.4672459620898838E-4</v>
      </c>
      <c r="AH22" s="66">
        <v>2.2262032303280936E-4</v>
      </c>
      <c r="AI22" s="66">
        <v>9.9196524227460709E-4</v>
      </c>
      <c r="AJ22" s="66">
        <v>1.7613101615164047E-3</v>
      </c>
      <c r="AK22" s="66">
        <v>2.5306550807582024E-3</v>
      </c>
      <c r="AL22" s="66">
        <v>3.3E-3</v>
      </c>
      <c r="AM22" s="66">
        <v>3.3E-3</v>
      </c>
      <c r="AN22" s="66">
        <v>3.3E-3</v>
      </c>
      <c r="AO22" s="66">
        <v>3.3E-3</v>
      </c>
      <c r="AP22" s="66">
        <v>3.3E-3</v>
      </c>
      <c r="AQ22" s="66">
        <v>3.3E-3</v>
      </c>
      <c r="AR22" s="8"/>
      <c r="AS22" s="37">
        <v>2.8144239226033421E-4</v>
      </c>
      <c r="AT22" s="37">
        <v>1.8289606458123109E-3</v>
      </c>
      <c r="AU22" s="37">
        <v>2.4754007054892009E-4</v>
      </c>
      <c r="AV22" s="37">
        <v>6.3134527458427953E-4</v>
      </c>
      <c r="AW22" s="37">
        <v>1.7291422219477552E-3</v>
      </c>
      <c r="AX22" s="37">
        <v>-8.2005886449931474E-3</v>
      </c>
      <c r="AY22" s="37">
        <v>3.2785795775505909E-3</v>
      </c>
      <c r="AZ22" s="37">
        <v>2.4771466777736371E-3</v>
      </c>
      <c r="BA22" s="37">
        <v>4.0932757871072417E-3</v>
      </c>
      <c r="BB22" s="37">
        <v>3.562317361658704E-3</v>
      </c>
      <c r="BC22" s="37">
        <v>1.2930313217822534E-3</v>
      </c>
      <c r="BD22" s="37">
        <v>9.0120683349877231E-3</v>
      </c>
      <c r="BE22" s="37">
        <v>4.203045297365455E-3</v>
      </c>
      <c r="BF22" s="37">
        <v>6.4459419865221211E-3</v>
      </c>
      <c r="BG22" s="37">
        <v>2.273328046523923E-3</v>
      </c>
      <c r="BH22" s="37">
        <v>3.6875901540179609E-3</v>
      </c>
      <c r="BI22" s="37">
        <v>3.60544935046675E-3</v>
      </c>
      <c r="BJ22" s="37">
        <v>2.8443925428535679E-3</v>
      </c>
      <c r="BK22" s="37">
        <v>2.3183188097478487E-4</v>
      </c>
      <c r="BL22" s="38">
        <v>-2.8349331806249325E-5</v>
      </c>
      <c r="BM22" s="37">
        <v>5.9145705782689018E-4</v>
      </c>
      <c r="BN22" s="37">
        <v>2.1034788214049395E-3</v>
      </c>
      <c r="BO22" s="37">
        <v>3.22976384029769E-3</v>
      </c>
      <c r="BP22" s="37">
        <v>3.2296311622202227E-3</v>
      </c>
      <c r="BQ22" s="37">
        <v>3.22931077505746E-3</v>
      </c>
    </row>
    <row r="23" spans="1:69" ht="12" customHeight="1" outlineLevel="1">
      <c r="A23" s="91" t="s">
        <v>84</v>
      </c>
      <c r="B23" s="1" t="s">
        <v>418</v>
      </c>
      <c r="C23" s="8"/>
      <c r="D23" s="37">
        <v>4.5309867066092489E-2</v>
      </c>
      <c r="E23" s="37">
        <v>3.5111199703847143E-2</v>
      </c>
      <c r="F23" s="37">
        <v>2.6229916552497196E-2</v>
      </c>
      <c r="G23" s="37">
        <v>2.2179928262938291E-2</v>
      </c>
      <c r="H23" s="37">
        <v>2.1371757925072045E-2</v>
      </c>
      <c r="I23" s="37">
        <v>2.2724938373048481E-2</v>
      </c>
      <c r="J23" s="37">
        <v>2.1675E-2</v>
      </c>
      <c r="K23" s="37">
        <v>1.8964970317668917E-2</v>
      </c>
      <c r="L23" s="37">
        <v>1.7876512307050479E-2</v>
      </c>
      <c r="M23" s="37">
        <v>1.6856258502060208E-2</v>
      </c>
      <c r="N23" s="78">
        <v>1.7545777534845586E-2</v>
      </c>
      <c r="O23" s="78">
        <v>1.9105748757984386E-2</v>
      </c>
      <c r="P23" s="78">
        <v>2.220036158672764E-2</v>
      </c>
      <c r="Q23" s="78">
        <v>1.3124545157971342E-2</v>
      </c>
      <c r="R23" s="78">
        <v>1.6809059198220514E-2</v>
      </c>
      <c r="S23" s="78">
        <v>1.4737423845678119E-2</v>
      </c>
      <c r="T23" s="78">
        <v>1.2702199617229898E-2</v>
      </c>
      <c r="U23" s="78">
        <v>8.634222919937205E-3</v>
      </c>
      <c r="V23" s="78">
        <v>1.1425814724066575E-2</v>
      </c>
      <c r="W23" s="78">
        <v>3.6953437379079065E-2</v>
      </c>
      <c r="X23" s="78">
        <v>3.183916891111966E-2</v>
      </c>
      <c r="Y23" s="78">
        <v>3.2521730541288027E-2</v>
      </c>
      <c r="Z23" s="78">
        <v>3.9910229024146232E-2</v>
      </c>
      <c r="AA23" s="78">
        <v>3.5120957867738986E-2</v>
      </c>
      <c r="AB23" s="78">
        <v>2.3886538940034834E-2</v>
      </c>
      <c r="AC23" s="78">
        <v>2.2260731700572418E-2</v>
      </c>
      <c r="AD23" s="78">
        <v>2.3326902578468423E-2</v>
      </c>
      <c r="AE23" s="78">
        <v>3.2138277683746219E-2</v>
      </c>
      <c r="AF23" s="78">
        <v>2.9084810243089291E-2</v>
      </c>
      <c r="AG23" s="88">
        <v>3.6284987277353686E-2</v>
      </c>
      <c r="AH23" s="336">
        <v>3.5740712468193381E-2</v>
      </c>
      <c r="AI23" s="336">
        <v>3.5204601781170478E-2</v>
      </c>
      <c r="AJ23" s="336">
        <v>3.467653275445292E-2</v>
      </c>
      <c r="AK23" s="336">
        <v>3.4156384763136129E-2</v>
      </c>
      <c r="AL23" s="336">
        <v>3.3644038991689086E-2</v>
      </c>
      <c r="AM23" s="336">
        <v>3.3139378406813746E-2</v>
      </c>
      <c r="AN23" s="336">
        <v>3.2642287730711539E-2</v>
      </c>
      <c r="AO23" s="336">
        <v>3.2152653414750862E-2</v>
      </c>
      <c r="AP23" s="336">
        <v>3.1670363613529595E-2</v>
      </c>
      <c r="AQ23" s="336">
        <v>3.1195308159326651E-2</v>
      </c>
      <c r="AR23" s="8"/>
      <c r="AS23" s="37">
        <v>2.8311425682507585E-3</v>
      </c>
      <c r="AT23" s="37">
        <v>6.8136991213914293E-3</v>
      </c>
      <c r="AU23" s="37">
        <v>5.4083993092887625E-3</v>
      </c>
      <c r="AV23" s="37">
        <v>2.0107680474673113E-2</v>
      </c>
      <c r="AW23" s="37">
        <v>5.8518920876335326E-2</v>
      </c>
      <c r="AX23" s="37">
        <v>3.5111199703847143E-2</v>
      </c>
      <c r="AY23" s="37">
        <v>2.2179928262938291E-2</v>
      </c>
      <c r="AZ23" s="37">
        <v>2.2724938373048481E-2</v>
      </c>
      <c r="BA23" s="37">
        <v>1.8964970317668917E-2</v>
      </c>
      <c r="BB23" s="37">
        <v>1.6856258502060208E-2</v>
      </c>
      <c r="BC23" s="37">
        <v>1.9105748757984386E-2</v>
      </c>
      <c r="BD23" s="37">
        <v>1.3124545157971342E-2</v>
      </c>
      <c r="BE23" s="37">
        <v>1.4737423845678119E-2</v>
      </c>
      <c r="BF23" s="37">
        <v>8.634222919937205E-3</v>
      </c>
      <c r="BG23" s="37">
        <v>3.6953437379079065E-2</v>
      </c>
      <c r="BH23" s="37">
        <v>3.2521730541288027E-2</v>
      </c>
      <c r="BI23" s="37">
        <v>3.5120957867738986E-2</v>
      </c>
      <c r="BJ23" s="37">
        <v>2.2260731700572418E-2</v>
      </c>
      <c r="BK23" s="37">
        <v>3.2138277683746219E-2</v>
      </c>
      <c r="BL23" s="38">
        <v>3.6284987277353686E-2</v>
      </c>
      <c r="BM23" s="37">
        <v>3.5204601781170478E-2</v>
      </c>
      <c r="BN23" s="37">
        <v>3.4156384763136129E-2</v>
      </c>
      <c r="BO23" s="37">
        <v>3.3139378406813746E-2</v>
      </c>
      <c r="BP23" s="37">
        <v>3.2152653414750862E-2</v>
      </c>
      <c r="BQ23" s="37">
        <v>3.1195308159326651E-2</v>
      </c>
    </row>
    <row r="24" spans="1:69" ht="12" customHeight="1" outlineLevel="1">
      <c r="A24" s="91" t="s">
        <v>89</v>
      </c>
      <c r="B24" s="1" t="s">
        <v>86</v>
      </c>
      <c r="C24" s="8"/>
      <c r="D24" s="50">
        <v>0.27479338842975204</v>
      </c>
      <c r="E24" s="50">
        <v>0.28548256285482565</v>
      </c>
      <c r="F24" s="50">
        <v>0.35992402659069328</v>
      </c>
      <c r="G24" s="50">
        <v>0.36743674367436746</v>
      </c>
      <c r="H24" s="50">
        <v>0.39805825242718446</v>
      </c>
      <c r="I24" s="50">
        <v>0.43954802259887005</v>
      </c>
      <c r="J24" s="50">
        <v>0.44867358708189159</v>
      </c>
      <c r="K24" s="50">
        <v>0.45758661887694146</v>
      </c>
      <c r="L24" s="50">
        <v>0.43757292882147025</v>
      </c>
      <c r="M24" s="50">
        <v>0.41988304093567252</v>
      </c>
      <c r="N24" s="69">
        <v>0.40394600207684322</v>
      </c>
      <c r="O24" s="69">
        <v>0.46136701337295694</v>
      </c>
      <c r="P24" s="69">
        <v>0.48862275449101794</v>
      </c>
      <c r="Q24" s="69">
        <v>0.39483747609942638</v>
      </c>
      <c r="R24" s="69">
        <v>0.39097744360902253</v>
      </c>
      <c r="S24" s="69">
        <v>0.37232142857142858</v>
      </c>
      <c r="T24" s="69">
        <v>0.4148606811145511</v>
      </c>
      <c r="U24" s="69">
        <v>0.2637853949329359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</v>
      </c>
      <c r="AE24" s="69">
        <v>0</v>
      </c>
      <c r="AF24" s="69">
        <v>0</v>
      </c>
      <c r="AG24" s="89">
        <v>0</v>
      </c>
      <c r="AH24" s="56">
        <v>0</v>
      </c>
      <c r="AI24" s="56">
        <v>0</v>
      </c>
      <c r="AJ24" s="56">
        <v>0</v>
      </c>
      <c r="AK24" s="56">
        <v>0</v>
      </c>
      <c r="AL24" s="56">
        <v>0</v>
      </c>
      <c r="AM24" s="56">
        <v>0</v>
      </c>
      <c r="AN24" s="56">
        <v>0</v>
      </c>
      <c r="AO24" s="56">
        <v>0</v>
      </c>
      <c r="AP24" s="56">
        <v>0</v>
      </c>
      <c r="AQ24" s="56">
        <v>0</v>
      </c>
      <c r="AR24" s="8"/>
      <c r="AS24" s="50">
        <v>1.0714285714285714</v>
      </c>
      <c r="AT24" s="50">
        <v>0.34210526315789475</v>
      </c>
      <c r="AU24" s="50">
        <v>0.42771084337349397</v>
      </c>
      <c r="AV24" s="50">
        <v>0.20218579234972678</v>
      </c>
      <c r="AW24" s="50">
        <v>0.26670792079207922</v>
      </c>
      <c r="AX24" s="50">
        <v>0.28548256285482565</v>
      </c>
      <c r="AY24" s="50">
        <v>0.36743674367436746</v>
      </c>
      <c r="AZ24" s="50">
        <v>0.43954802259887005</v>
      </c>
      <c r="BA24" s="50">
        <v>0.45758661887694146</v>
      </c>
      <c r="BB24" s="50">
        <v>0.41988304093567252</v>
      </c>
      <c r="BC24" s="50">
        <v>0.46136701337295694</v>
      </c>
      <c r="BD24" s="50">
        <v>0.39483747609942638</v>
      </c>
      <c r="BE24" s="50">
        <v>0.37232142857142858</v>
      </c>
      <c r="BF24" s="50">
        <v>0.2637853949329359</v>
      </c>
      <c r="BG24" s="50">
        <v>0</v>
      </c>
      <c r="BH24" s="50">
        <v>0</v>
      </c>
      <c r="BI24" s="50">
        <v>0</v>
      </c>
      <c r="BJ24" s="50">
        <v>0</v>
      </c>
      <c r="BK24" s="50">
        <v>0</v>
      </c>
      <c r="BL24" s="51">
        <v>0</v>
      </c>
      <c r="BM24" s="50">
        <v>0</v>
      </c>
      <c r="BN24" s="50">
        <v>0</v>
      </c>
      <c r="BO24" s="50">
        <v>0</v>
      </c>
      <c r="BP24" s="50">
        <v>0</v>
      </c>
      <c r="BQ24" s="50">
        <v>0</v>
      </c>
    </row>
    <row r="25" spans="1:69" ht="12" customHeight="1" outlineLevel="1">
      <c r="A25" s="91" t="s">
        <v>90</v>
      </c>
      <c r="B25" s="1" t="s">
        <v>87</v>
      </c>
      <c r="C25" s="8"/>
      <c r="D25" s="37">
        <v>6.7403108032203706E-3</v>
      </c>
      <c r="E25" s="37">
        <v>6.5210581769513344E-3</v>
      </c>
      <c r="F25" s="37">
        <v>5.5299539170506912E-3</v>
      </c>
      <c r="G25" s="37">
        <v>5.5388819754532371E-3</v>
      </c>
      <c r="H25" s="37">
        <v>5.6484149855907783E-3</v>
      </c>
      <c r="I25" s="37">
        <v>6.1113393590797038E-3</v>
      </c>
      <c r="J25" s="37">
        <v>5.9249999999999997E-3</v>
      </c>
      <c r="K25" s="37">
        <v>5.4379843204785429E-3</v>
      </c>
      <c r="L25" s="37">
        <v>4.9645390070921988E-3</v>
      </c>
      <c r="M25" s="37">
        <v>6.072196045186602E-3</v>
      </c>
      <c r="N25" s="78">
        <v>6.3951899426072699E-3</v>
      </c>
      <c r="O25" s="78">
        <v>6.0752306600425831E-3</v>
      </c>
      <c r="P25" s="78">
        <v>6.3144741040093589E-3</v>
      </c>
      <c r="Q25" s="78">
        <v>6.5246304800622348E-3</v>
      </c>
      <c r="R25" s="78">
        <v>6.1928112835549264E-3</v>
      </c>
      <c r="S25" s="78">
        <v>6.0133952656025898E-3</v>
      </c>
      <c r="T25" s="78">
        <v>5.4400545316309673E-3</v>
      </c>
      <c r="U25" s="78">
        <v>3.7702344493913582E-3</v>
      </c>
      <c r="V25" s="78">
        <v>7.2871307240157928E-3</v>
      </c>
      <c r="W25" s="78">
        <v>9.9638849477621562E-3</v>
      </c>
      <c r="X25" s="78">
        <v>9.2892870884406092E-3</v>
      </c>
      <c r="Y25" s="78">
        <v>1.3655669695772423E-2</v>
      </c>
      <c r="Z25" s="78">
        <v>1.7386366709028472E-2</v>
      </c>
      <c r="AA25" s="78">
        <v>1.5221229813504492E-2</v>
      </c>
      <c r="AB25" s="78">
        <v>1.0958364435597579E-2</v>
      </c>
      <c r="AC25" s="78">
        <v>1.004728677168693E-2</v>
      </c>
      <c r="AD25" s="78">
        <v>1.0800144471753129E-2</v>
      </c>
      <c r="AE25" s="78">
        <v>1.4812535261835154E-2</v>
      </c>
      <c r="AF25" s="78">
        <v>1.4399230950165161E-2</v>
      </c>
      <c r="AG25" s="88">
        <v>1.3384223918575064E-2</v>
      </c>
      <c r="AH25" s="66">
        <v>1.2884223918575063E-2</v>
      </c>
      <c r="AI25" s="66">
        <v>1.2884223918575063E-2</v>
      </c>
      <c r="AJ25" s="66">
        <v>1.2884223918575063E-2</v>
      </c>
      <c r="AK25" s="66">
        <v>1.2884223918575063E-2</v>
      </c>
      <c r="AL25" s="66">
        <v>1.2884223918575063E-2</v>
      </c>
      <c r="AM25" s="66">
        <v>1.2884223918575063E-2</v>
      </c>
      <c r="AN25" s="66">
        <v>1.2884223918575063E-2</v>
      </c>
      <c r="AO25" s="66">
        <v>1.2884223918575063E-2</v>
      </c>
      <c r="AP25" s="66">
        <v>1.2884223918575063E-2</v>
      </c>
      <c r="AQ25" s="66">
        <v>1.2884223918575063E-2</v>
      </c>
      <c r="AR25" s="8"/>
      <c r="AS25" s="37">
        <v>7.3474890461745872E-3</v>
      </c>
      <c r="AT25" s="37">
        <v>3.5861574323112783E-3</v>
      </c>
      <c r="AU25" s="37">
        <v>2.964845404489623E-3</v>
      </c>
      <c r="AV25" s="37">
        <v>4.6881295095777022E-3</v>
      </c>
      <c r="AW25" s="37">
        <v>8.1477457903313417E-3</v>
      </c>
      <c r="AX25" s="37">
        <v>6.5210581769513344E-3</v>
      </c>
      <c r="AY25" s="37">
        <v>5.5388819754532371E-3</v>
      </c>
      <c r="AZ25" s="37">
        <v>6.1113393590797038E-3</v>
      </c>
      <c r="BA25" s="37">
        <v>5.4379843204785429E-3</v>
      </c>
      <c r="BB25" s="37">
        <v>6.072196045186602E-3</v>
      </c>
      <c r="BC25" s="37">
        <v>6.0752306600425831E-3</v>
      </c>
      <c r="BD25" s="37">
        <v>6.5246304800622348E-3</v>
      </c>
      <c r="BE25" s="37">
        <v>6.0133952656025898E-3</v>
      </c>
      <c r="BF25" s="37">
        <v>3.7702344493913582E-3</v>
      </c>
      <c r="BG25" s="37">
        <v>9.9638849477621562E-3</v>
      </c>
      <c r="BH25" s="37">
        <v>1.3655669695772423E-2</v>
      </c>
      <c r="BI25" s="37">
        <v>1.5221229813504492E-2</v>
      </c>
      <c r="BJ25" s="37">
        <v>1.004728677168693E-2</v>
      </c>
      <c r="BK25" s="37">
        <v>1.4812535261835154E-2</v>
      </c>
      <c r="BL25" s="38">
        <v>1.3384223918575064E-2</v>
      </c>
      <c r="BM25" s="37">
        <v>1.2884223918575063E-2</v>
      </c>
      <c r="BN25" s="37">
        <v>1.2884223918575063E-2</v>
      </c>
      <c r="BO25" s="37">
        <v>1.2884223918575063E-2</v>
      </c>
      <c r="BP25" s="37">
        <v>1.2884223918575063E-2</v>
      </c>
      <c r="BQ25" s="37">
        <v>1.2884223918575063E-2</v>
      </c>
    </row>
    <row r="26" spans="1:69" ht="12" customHeight="1" outlineLevel="1">
      <c r="A26" s="91" t="s">
        <v>91</v>
      </c>
      <c r="B26" s="1" t="s">
        <v>88</v>
      </c>
      <c r="C26" s="8"/>
      <c r="D26" s="37">
        <v>6.1472838557656805E-3</v>
      </c>
      <c r="E26" s="37">
        <v>3.9291245454594961E-3</v>
      </c>
      <c r="F26" s="37">
        <v>3.4358923671415731E-3</v>
      </c>
      <c r="G26" s="37">
        <v>2.2443161472850102E-3</v>
      </c>
      <c r="H26" s="37">
        <v>2.8739698886336667E-3</v>
      </c>
      <c r="I26" s="37">
        <v>4.9637056478624222E-3</v>
      </c>
      <c r="J26" s="37">
        <v>3.7836775425603352E-3</v>
      </c>
      <c r="K26" s="37">
        <v>4.1918616141003919E-3</v>
      </c>
      <c r="L26" s="37">
        <v>3.7943224461720513E-3</v>
      </c>
      <c r="M26" s="37">
        <v>5.1645993383813574E-3</v>
      </c>
      <c r="N26" s="78">
        <v>3.3688468901243401E-3</v>
      </c>
      <c r="O26" s="78">
        <v>1.0612396852620764E-2</v>
      </c>
      <c r="P26" s="78">
        <v>8.9928538928886869E-3</v>
      </c>
      <c r="Q26" s="78">
        <v>6.0615321923390385E-3</v>
      </c>
      <c r="R26" s="78">
        <v>3.7537203313047301E-3</v>
      </c>
      <c r="S26" s="78">
        <v>3.1644065167303159E-3</v>
      </c>
      <c r="T26" s="78">
        <v>2.1973121665988483E-3</v>
      </c>
      <c r="U26" s="78">
        <v>-2.7874221736455573E-5</v>
      </c>
      <c r="V26" s="78">
        <v>1.1665345780533299E-3</v>
      </c>
      <c r="W26" s="78">
        <v>7.1530392535277387E-3</v>
      </c>
      <c r="X26" s="78">
        <v>3.5364109113011659E-3</v>
      </c>
      <c r="Y26" s="78">
        <v>1.4755864116573559E-2</v>
      </c>
      <c r="Z26" s="78">
        <v>8.6575121583541172E-3</v>
      </c>
      <c r="AA26" s="78">
        <v>5.4574029075137725E-4</v>
      </c>
      <c r="AB26" s="78">
        <v>3.1428990430523106E-3</v>
      </c>
      <c r="AC26" s="78">
        <v>1.1726972292433783E-3</v>
      </c>
      <c r="AD26" s="78">
        <v>2.4613650462734704E-3</v>
      </c>
      <c r="AE26" s="78">
        <v>2.7788315975509825E-3</v>
      </c>
      <c r="AF26" s="78">
        <v>7.3604504595681261E-5</v>
      </c>
      <c r="AG26" s="88">
        <v>-1.6285413504097527E-3</v>
      </c>
      <c r="AH26" s="37">
        <v>1.9989133083239506E-4</v>
      </c>
      <c r="AI26" s="37">
        <v>1.5205248810670751E-3</v>
      </c>
      <c r="AJ26" s="37">
        <v>2.0705449089223758E-3</v>
      </c>
      <c r="AK26" s="37">
        <v>2.8421349129969992E-3</v>
      </c>
      <c r="AL26" s="37">
        <v>3.6103162069470087E-3</v>
      </c>
      <c r="AM26" s="37">
        <v>3.612558065256794E-3</v>
      </c>
      <c r="AN26" s="37">
        <v>3.6122325235908724E-3</v>
      </c>
      <c r="AO26" s="37">
        <v>3.6127587351080762E-3</v>
      </c>
      <c r="AP26" s="37">
        <v>3.6124244213548823E-3</v>
      </c>
      <c r="AQ26" s="37">
        <v>3.6146595384905517E-3</v>
      </c>
      <c r="AR26" s="8"/>
      <c r="AS26" s="37">
        <v>1.0905892700087952E-3</v>
      </c>
      <c r="AT26" s="37">
        <v>1.1352169525731585E-3</v>
      </c>
      <c r="AU26" s="37">
        <v>9.9016028219568036E-4</v>
      </c>
      <c r="AV26" s="37">
        <v>2.1995254727452318E-3</v>
      </c>
      <c r="AW26" s="37">
        <v>1.0313098252331255E-2</v>
      </c>
      <c r="AX26" s="37">
        <v>4.8529510885438904E-3</v>
      </c>
      <c r="AY26" s="37">
        <v>2.8355282832869975E-3</v>
      </c>
      <c r="AZ26" s="37">
        <v>3.9239757108095663E-3</v>
      </c>
      <c r="BA26" s="37">
        <v>4.0084410557682318E-3</v>
      </c>
      <c r="BB26" s="37">
        <v>4.3786817570388237E-3</v>
      </c>
      <c r="BC26" s="37">
        <v>7.1040662032036753E-3</v>
      </c>
      <c r="BD26" s="37">
        <v>7.496995977221671E-3</v>
      </c>
      <c r="BE26" s="37">
        <v>3.451591744200116E-3</v>
      </c>
      <c r="BF26" s="37">
        <v>1.0654449564499375E-3</v>
      </c>
      <c r="BG26" s="37">
        <v>4.2294475284166003E-3</v>
      </c>
      <c r="BH26" s="37">
        <v>9.3643850914336239E-3</v>
      </c>
      <c r="BI26" s="37">
        <v>4.3586769306478259E-3</v>
      </c>
      <c r="BJ26" s="37">
        <v>2.0853317762856071E-3</v>
      </c>
      <c r="BK26" s="37">
        <v>2.6456108770063686E-3</v>
      </c>
      <c r="BL26" s="38">
        <v>-7.5976209240748193E-4</v>
      </c>
      <c r="BM26" s="37">
        <v>8.3949854805321505E-4</v>
      </c>
      <c r="BN26" s="37">
        <v>2.4072612404459227E-3</v>
      </c>
      <c r="BO26" s="37">
        <v>3.5345812844573407E-3</v>
      </c>
      <c r="BP26" s="37">
        <v>3.5354659580435024E-3</v>
      </c>
      <c r="BQ26" s="37">
        <v>3.5361452670385745E-3</v>
      </c>
    </row>
    <row r="27" spans="1:69" ht="12" customHeight="1" outlineLevel="1">
      <c r="C27" s="8"/>
      <c r="D27" s="41"/>
      <c r="E27" s="41"/>
      <c r="F27" s="41"/>
      <c r="G27" s="41"/>
      <c r="H27" s="41"/>
      <c r="I27" s="41"/>
      <c r="J27" s="59"/>
      <c r="K27" s="59"/>
      <c r="L27" s="59"/>
      <c r="M27" s="59"/>
      <c r="N27" s="59"/>
      <c r="O27" s="59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8"/>
      <c r="AT27" s="8"/>
      <c r="AU27" s="8"/>
      <c r="AV27" s="8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</row>
    <row r="28" spans="1:69" ht="12" customHeight="1" outlineLevel="1">
      <c r="B28" s="9" t="s">
        <v>92</v>
      </c>
      <c r="C28" s="8"/>
      <c r="D28" s="41"/>
      <c r="E28" s="41"/>
      <c r="F28" s="41"/>
      <c r="G28" s="41"/>
      <c r="H28" s="41"/>
      <c r="I28" s="41"/>
      <c r="J28" s="59"/>
      <c r="K28" s="59"/>
      <c r="L28" s="59"/>
      <c r="M28" s="59"/>
      <c r="N28" s="59"/>
      <c r="O28" s="59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2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8"/>
      <c r="AS28" s="8"/>
      <c r="AT28" s="8"/>
      <c r="AU28" s="8"/>
      <c r="AV28" s="8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</row>
    <row r="29" spans="1:69" ht="12" customHeight="1" outlineLevel="1">
      <c r="A29" s="91" t="s">
        <v>96</v>
      </c>
      <c r="B29" s="1" t="s">
        <v>93</v>
      </c>
      <c r="C29" s="8"/>
      <c r="D29" s="159">
        <v>0.3</v>
      </c>
      <c r="E29" s="159">
        <v>0.3</v>
      </c>
      <c r="F29" s="159">
        <v>0.3</v>
      </c>
      <c r="G29" s="159">
        <v>0.3</v>
      </c>
      <c r="H29" s="159">
        <v>0.3</v>
      </c>
      <c r="I29" s="159">
        <v>0.3</v>
      </c>
      <c r="J29" s="160">
        <v>0.3</v>
      </c>
      <c r="K29" s="319">
        <v>0.3</v>
      </c>
      <c r="L29" s="319">
        <v>0.3</v>
      </c>
      <c r="M29" s="319">
        <v>0.3</v>
      </c>
      <c r="N29" s="319">
        <v>0.3</v>
      </c>
      <c r="O29" s="319">
        <v>0.3</v>
      </c>
      <c r="P29" s="319">
        <v>0.3</v>
      </c>
      <c r="Q29" s="319">
        <v>0.3</v>
      </c>
      <c r="R29" s="319">
        <v>0.3</v>
      </c>
      <c r="S29" s="319">
        <v>0.3</v>
      </c>
      <c r="T29" s="319">
        <v>0.3</v>
      </c>
      <c r="U29" s="319">
        <v>0.3</v>
      </c>
      <c r="V29" s="319">
        <v>0.3</v>
      </c>
      <c r="W29" s="319">
        <v>0.3</v>
      </c>
      <c r="X29" s="319">
        <v>0.3</v>
      </c>
      <c r="Y29" s="319">
        <v>0.3</v>
      </c>
      <c r="Z29" s="319">
        <v>0.3</v>
      </c>
      <c r="AA29" s="319">
        <v>0.3</v>
      </c>
      <c r="AB29" s="319">
        <v>0.3</v>
      </c>
      <c r="AC29" s="319">
        <v>0.3</v>
      </c>
      <c r="AD29" s="319">
        <v>0.3</v>
      </c>
      <c r="AE29" s="319">
        <v>0.3</v>
      </c>
      <c r="AF29" s="319">
        <v>0.3</v>
      </c>
      <c r="AG29" s="352">
        <v>0.3</v>
      </c>
      <c r="AH29" s="104">
        <v>0.3</v>
      </c>
      <c r="AI29" s="104">
        <v>0.3</v>
      </c>
      <c r="AJ29" s="104">
        <v>0.3</v>
      </c>
      <c r="AK29" s="104">
        <v>0.3</v>
      </c>
      <c r="AL29" s="104">
        <v>0.3</v>
      </c>
      <c r="AM29" s="104">
        <v>0.3</v>
      </c>
      <c r="AN29" s="104">
        <v>0.3</v>
      </c>
      <c r="AO29" s="104">
        <v>0.3</v>
      </c>
      <c r="AP29" s="104">
        <v>0.3</v>
      </c>
      <c r="AQ29" s="104">
        <v>0.3</v>
      </c>
      <c r="AR29" s="8"/>
      <c r="AS29" s="159">
        <v>0.3</v>
      </c>
      <c r="AT29" s="159">
        <v>0.3</v>
      </c>
      <c r="AU29" s="159">
        <v>0.3</v>
      </c>
      <c r="AV29" s="159">
        <v>0.3</v>
      </c>
      <c r="AW29" s="159">
        <v>0.3</v>
      </c>
      <c r="AX29" s="69">
        <v>0.3</v>
      </c>
      <c r="AY29" s="69">
        <v>0.3</v>
      </c>
      <c r="AZ29" s="69">
        <v>0.3</v>
      </c>
      <c r="BA29" s="69">
        <v>0.3</v>
      </c>
      <c r="BB29" s="69">
        <v>0.3</v>
      </c>
      <c r="BC29" s="69">
        <v>0.3</v>
      </c>
      <c r="BD29" s="69">
        <v>0.3</v>
      </c>
      <c r="BE29" s="69">
        <v>0.3</v>
      </c>
      <c r="BF29" s="69">
        <v>0.3</v>
      </c>
      <c r="BG29" s="69">
        <v>0.3</v>
      </c>
      <c r="BH29" s="69">
        <v>0.3</v>
      </c>
      <c r="BI29" s="69">
        <v>0.3</v>
      </c>
      <c r="BJ29" s="69">
        <v>0.3</v>
      </c>
      <c r="BK29" s="69">
        <v>0.3</v>
      </c>
      <c r="BL29" s="89">
        <v>0.3</v>
      </c>
      <c r="BM29" s="69">
        <v>0.3</v>
      </c>
      <c r="BN29" s="69">
        <v>0.3</v>
      </c>
      <c r="BO29" s="69">
        <v>0.3</v>
      </c>
      <c r="BP29" s="69">
        <v>0.3</v>
      </c>
      <c r="BQ29" s="69">
        <v>0.3</v>
      </c>
    </row>
    <row r="30" spans="1:69" ht="12" customHeight="1" outlineLevel="1">
      <c r="A30" s="91" t="s">
        <v>97</v>
      </c>
      <c r="B30" s="1" t="s">
        <v>94</v>
      </c>
      <c r="C30" s="8"/>
      <c r="D30" s="69">
        <v>6.7669172932330823E-2</v>
      </c>
      <c r="E30" s="69">
        <v>0.21653543307086615</v>
      </c>
      <c r="F30" s="69">
        <v>0.17137096774193547</v>
      </c>
      <c r="G30" s="69">
        <v>0.25419354838709679</v>
      </c>
      <c r="H30" s="69">
        <v>0.25783132530120484</v>
      </c>
      <c r="I30" s="69">
        <v>0.28391167192429023</v>
      </c>
      <c r="J30" s="69">
        <v>0.30174081237911027</v>
      </c>
      <c r="K30" s="69">
        <v>0.42454954954954954</v>
      </c>
      <c r="L30" s="69">
        <v>0.37901234567901232</v>
      </c>
      <c r="M30" s="69">
        <v>0.40123456790123457</v>
      </c>
      <c r="N30" s="69">
        <v>0.38537020517395182</v>
      </c>
      <c r="O30" s="69">
        <v>0.33333333333333331</v>
      </c>
      <c r="P30" s="69">
        <v>0.32736256948733788</v>
      </c>
      <c r="Q30" s="69">
        <v>0.28438395415472778</v>
      </c>
      <c r="R30" s="69">
        <v>0.29494949494949496</v>
      </c>
      <c r="S30" s="69">
        <v>0.26559604694255712</v>
      </c>
      <c r="T30" s="69">
        <v>0.26291079812206575</v>
      </c>
      <c r="U30" s="69">
        <v>0.24715909090909091</v>
      </c>
      <c r="V30" s="69">
        <v>0.21935483870967742</v>
      </c>
      <c r="W30" s="69">
        <v>0.2335800185013876</v>
      </c>
      <c r="X30" s="69">
        <v>0.20434782608695654</v>
      </c>
      <c r="Y30" s="69">
        <v>0.21809169764560099</v>
      </c>
      <c r="Z30" s="69">
        <v>0.2194732641660016</v>
      </c>
      <c r="AA30" s="69">
        <v>0.23511680482290881</v>
      </c>
      <c r="AB30" s="69">
        <v>0.22047531992687386</v>
      </c>
      <c r="AC30" s="69">
        <v>0.25841219768664564</v>
      </c>
      <c r="AD30" s="69">
        <v>0.24273447820343461</v>
      </c>
      <c r="AE30" s="69">
        <v>0.27472250252270436</v>
      </c>
      <c r="AF30" s="69">
        <v>0.29482672024108486</v>
      </c>
      <c r="AG30" s="89">
        <v>0.24832451499118166</v>
      </c>
      <c r="AH30" s="69">
        <v>0.24813435172549314</v>
      </c>
      <c r="AI30" s="69">
        <v>0.24826115666689819</v>
      </c>
      <c r="AJ30" s="69">
        <v>0.24828884111467689</v>
      </c>
      <c r="AK30" s="69">
        <v>0.24838240450678983</v>
      </c>
      <c r="AL30" s="69">
        <v>0.24829402733904074</v>
      </c>
      <c r="AM30" s="69">
        <v>0.24851085680983315</v>
      </c>
      <c r="AN30" s="69">
        <v>0.24842573972075963</v>
      </c>
      <c r="AO30" s="69">
        <v>0.24861662965454231</v>
      </c>
      <c r="AP30" s="69">
        <v>0.24853948637613715</v>
      </c>
      <c r="AQ30" s="69">
        <v>0.24871960234500223</v>
      </c>
      <c r="AR30" s="8"/>
      <c r="AS30" s="69">
        <v>0.24870466321243523</v>
      </c>
      <c r="AT30" s="69">
        <v>0.22533022533022534</v>
      </c>
      <c r="AU30" s="69">
        <v>0.19553941908713693</v>
      </c>
      <c r="AV30" s="69">
        <v>0.1437641723356009</v>
      </c>
      <c r="AW30" s="69">
        <v>1.5166835187057633E-2</v>
      </c>
      <c r="AX30" s="69">
        <v>0.15533230293663061</v>
      </c>
      <c r="AY30" s="69">
        <v>0.22187254130605821</v>
      </c>
      <c r="AZ30" s="69">
        <v>0.27359389895138225</v>
      </c>
      <c r="BA30" s="69">
        <v>0.37935943060498223</v>
      </c>
      <c r="BB30" s="69">
        <v>0.392687559354226</v>
      </c>
      <c r="BC30" s="69">
        <v>0.35646312450436163</v>
      </c>
      <c r="BD30" s="69">
        <v>0.30746268656716419</v>
      </c>
      <c r="BE30" s="69">
        <v>0.27963917525773196</v>
      </c>
      <c r="BF30" s="69">
        <v>0.25490762124711314</v>
      </c>
      <c r="BG30" s="69">
        <v>0.22730799069045771</v>
      </c>
      <c r="BH30" s="69">
        <v>0.21077012159814706</v>
      </c>
      <c r="BI30" s="69">
        <v>0.23009982083439978</v>
      </c>
      <c r="BJ30" s="69">
        <v>0.24254473161033796</v>
      </c>
      <c r="BK30" s="69">
        <v>0.2608695652173913</v>
      </c>
      <c r="BL30" s="89">
        <v>0.26750932449233322</v>
      </c>
      <c r="BM30" s="69">
        <v>0.24819954324966942</v>
      </c>
      <c r="BN30" s="69">
        <v>0.24833666049023698</v>
      </c>
      <c r="BO30" s="69">
        <v>0.24840819740071382</v>
      </c>
      <c r="BP30" s="69">
        <v>0.24852592071899526</v>
      </c>
      <c r="BQ30" s="69">
        <v>0.24863401258498169</v>
      </c>
    </row>
    <row r="31" spans="1:69" ht="12" customHeight="1" outlineLevel="1">
      <c r="A31" s="91" t="s">
        <v>1112</v>
      </c>
      <c r="B31" s="87" t="s">
        <v>1113</v>
      </c>
      <c r="C31" s="8"/>
      <c r="D31" s="69">
        <v>6.9902912621359226E-2</v>
      </c>
      <c r="E31" s="69">
        <v>0.22418478260869565</v>
      </c>
      <c r="F31" s="69">
        <v>0.17418032786885246</v>
      </c>
      <c r="G31" s="69">
        <v>0.26266666666666666</v>
      </c>
      <c r="H31" s="69">
        <v>0.25970873786407767</v>
      </c>
      <c r="I31" s="69">
        <v>0.2975206611570248</v>
      </c>
      <c r="J31" s="69">
        <v>0.30174081237911027</v>
      </c>
      <c r="K31" s="69">
        <v>0.43483275663206461</v>
      </c>
      <c r="L31" s="69">
        <v>0.37995049504950495</v>
      </c>
      <c r="M31" s="69">
        <v>0.40498442367601245</v>
      </c>
      <c r="N31" s="69">
        <v>0.38918918918918921</v>
      </c>
      <c r="O31" s="69">
        <v>0.33524766690595836</v>
      </c>
      <c r="P31" s="69">
        <v>0.33124999999999999</v>
      </c>
      <c r="Q31" s="69">
        <v>0.28561151079136693</v>
      </c>
      <c r="R31" s="69">
        <v>0.29435483870967744</v>
      </c>
      <c r="S31" s="69">
        <v>0.26925485284909206</v>
      </c>
      <c r="T31" s="69">
        <v>0.26415094339622641</v>
      </c>
      <c r="U31" s="69">
        <v>0.24942660550458715</v>
      </c>
      <c r="V31" s="69">
        <v>0.22209026128266032</v>
      </c>
      <c r="W31" s="69">
        <v>0.23197060174552137</v>
      </c>
      <c r="X31" s="69">
        <v>0.20512820512820512</v>
      </c>
      <c r="Y31" s="69">
        <v>0.21648216482164823</v>
      </c>
      <c r="Z31" s="69">
        <v>0.21825396825396826</v>
      </c>
      <c r="AA31" s="69">
        <v>0.23511680482290881</v>
      </c>
      <c r="AB31" s="69">
        <v>0.22789115646258504</v>
      </c>
      <c r="AC31" s="69">
        <v>0.26961053208996161</v>
      </c>
      <c r="AD31" s="69">
        <v>0.24177631578947367</v>
      </c>
      <c r="AE31" s="69">
        <v>0.27458396369137672</v>
      </c>
      <c r="AF31" s="69">
        <v>0.29320679320679321</v>
      </c>
      <c r="AG31" s="89">
        <v>0.25044468160796868</v>
      </c>
      <c r="AH31" s="69">
        <v>0.25044468160796851</v>
      </c>
      <c r="AI31" s="69">
        <v>0.25044468160796868</v>
      </c>
      <c r="AJ31" s="69">
        <v>0.25044468160796868</v>
      </c>
      <c r="AK31" s="69">
        <v>0.25044468160796868</v>
      </c>
      <c r="AL31" s="69">
        <v>0.25044468160796868</v>
      </c>
      <c r="AM31" s="69">
        <v>0.25044468160796868</v>
      </c>
      <c r="AN31" s="69">
        <v>0.25044468160796868</v>
      </c>
      <c r="AO31" s="69">
        <v>0.25044468160796868</v>
      </c>
      <c r="AP31" s="69">
        <v>0.25044468160796868</v>
      </c>
      <c r="AQ31" s="69">
        <v>0.25044468160796868</v>
      </c>
      <c r="AR31" s="69"/>
      <c r="AS31" s="69">
        <v>0.26181818181818184</v>
      </c>
      <c r="AT31" s="69">
        <v>0.24046434494195687</v>
      </c>
      <c r="AU31" s="69">
        <v>0.2048913043478261</v>
      </c>
      <c r="AV31" s="69">
        <v>0.14952830188679245</v>
      </c>
      <c r="AW31" s="69">
        <v>1.6930022573363433E-2</v>
      </c>
      <c r="AX31" s="69">
        <v>0.16067146282973621</v>
      </c>
      <c r="AY31" s="69">
        <v>0.22778675282714056</v>
      </c>
      <c r="AZ31" s="69">
        <v>0.28220255653883974</v>
      </c>
      <c r="BA31" s="69">
        <v>0.38511560693641617</v>
      </c>
      <c r="BB31" s="69">
        <v>0.39531548757170171</v>
      </c>
      <c r="BC31" s="69">
        <v>0.35916899720335599</v>
      </c>
      <c r="BD31" s="69">
        <v>0.31003344481605349</v>
      </c>
      <c r="BE31" s="69">
        <v>0.2813614262560778</v>
      </c>
      <c r="BF31" s="69">
        <v>0.25668604651162791</v>
      </c>
      <c r="BG31" s="69">
        <v>0.22766122766122765</v>
      </c>
      <c r="BH31" s="69">
        <v>0.21046545244290257</v>
      </c>
      <c r="BI31" s="69">
        <v>0.22968829841594277</v>
      </c>
      <c r="BJ31" s="69">
        <v>0.25206611570247933</v>
      </c>
      <c r="BK31" s="69">
        <v>0.2603482729089352</v>
      </c>
      <c r="BL31" s="89">
        <v>0.26823187201329735</v>
      </c>
      <c r="BM31" s="69">
        <v>0.25044468160796868</v>
      </c>
      <c r="BN31" s="69">
        <v>0.25044468160796862</v>
      </c>
      <c r="BO31" s="69">
        <v>0.25044468160796868</v>
      </c>
      <c r="BP31" s="69">
        <v>0.2504446816079689</v>
      </c>
      <c r="BQ31" s="69">
        <v>0.25044468160796862</v>
      </c>
    </row>
    <row r="32" spans="1:69" ht="12" customHeight="1" outlineLevel="1">
      <c r="A32" s="91" t="s">
        <v>98</v>
      </c>
      <c r="B32" s="87" t="s">
        <v>467</v>
      </c>
      <c r="C32" s="8"/>
      <c r="D32" s="41"/>
      <c r="E32" s="41"/>
      <c r="F32" s="41"/>
      <c r="G32" s="41"/>
      <c r="H32" s="41"/>
      <c r="I32" s="41"/>
      <c r="J32" s="59"/>
      <c r="K32" s="59"/>
      <c r="L32" s="59"/>
      <c r="M32" s="59"/>
      <c r="N32" s="59"/>
      <c r="O32" s="59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2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8"/>
      <c r="AS32" s="327"/>
      <c r="AT32" s="327">
        <v>0.78442977109753698</v>
      </c>
      <c r="AU32" s="327">
        <v>0.78819818678287235</v>
      </c>
      <c r="AV32" s="327">
        <v>0.73158367263632285</v>
      </c>
      <c r="AW32" s="327">
        <v>5.7916846095855892</v>
      </c>
      <c r="AX32" s="327">
        <v>1.9900497512437811E-2</v>
      </c>
      <c r="AY32" s="327">
        <v>0.12056737588652482</v>
      </c>
      <c r="AZ32" s="327">
        <v>9.0592334494773524E-2</v>
      </c>
      <c r="BA32" s="327">
        <v>0.55292952072165646</v>
      </c>
      <c r="BB32" s="327">
        <v>0.19707024413715668</v>
      </c>
      <c r="BC32" s="327">
        <v>8.8888500784999214E-2</v>
      </c>
      <c r="BD32" s="327">
        <v>0.42448023478502089</v>
      </c>
      <c r="BE32" s="327">
        <v>0.23214248337557614</v>
      </c>
      <c r="BF32" s="327">
        <v>0.29741409463719476</v>
      </c>
      <c r="BG32" s="327">
        <v>0.52157012899804989</v>
      </c>
      <c r="BH32" s="327">
        <v>0.44948846474882259</v>
      </c>
      <c r="BI32" s="327">
        <v>0.5043950121214047</v>
      </c>
      <c r="BJ32" s="327">
        <v>0.273118257882904</v>
      </c>
      <c r="BK32" s="327">
        <v>0.27516375203634097</v>
      </c>
      <c r="BL32" s="408">
        <v>0.14229343473497838</v>
      </c>
      <c r="BM32" s="68">
        <v>0.3</v>
      </c>
      <c r="BN32" s="68">
        <v>0.3</v>
      </c>
      <c r="BO32" s="68">
        <v>0.3</v>
      </c>
      <c r="BP32" s="68">
        <v>0.3</v>
      </c>
      <c r="BQ32" s="68">
        <v>0.3</v>
      </c>
    </row>
    <row r="33" spans="1:69" ht="12" customHeight="1" outlineLevel="1">
      <c r="A33" s="91" t="s">
        <v>99</v>
      </c>
      <c r="B33" s="1" t="s">
        <v>95</v>
      </c>
      <c r="C33" s="8"/>
      <c r="D33" s="376">
        <v>0.6</v>
      </c>
      <c r="E33" s="376">
        <v>0.6</v>
      </c>
      <c r="F33" s="376">
        <v>0.6</v>
      </c>
      <c r="G33" s="376">
        <v>0.6</v>
      </c>
      <c r="H33" s="376">
        <v>0.6</v>
      </c>
      <c r="I33" s="376">
        <v>0.6</v>
      </c>
      <c r="J33" s="376">
        <v>0.6</v>
      </c>
      <c r="K33" s="376">
        <v>0.6</v>
      </c>
      <c r="L33" s="376">
        <v>0.6</v>
      </c>
      <c r="M33" s="376">
        <v>0.6</v>
      </c>
      <c r="N33" s="376">
        <v>0.6</v>
      </c>
      <c r="O33" s="376">
        <v>0.6</v>
      </c>
      <c r="P33" s="376">
        <v>0.6</v>
      </c>
      <c r="Q33" s="376">
        <v>0.6</v>
      </c>
      <c r="R33" s="376">
        <v>0.6</v>
      </c>
      <c r="S33" s="376">
        <v>0.6</v>
      </c>
      <c r="T33" s="376">
        <v>0.6</v>
      </c>
      <c r="U33" s="376">
        <v>0.6</v>
      </c>
      <c r="V33" s="376">
        <v>0.6</v>
      </c>
      <c r="W33" s="376">
        <v>0.6</v>
      </c>
      <c r="X33" s="376">
        <v>0.6</v>
      </c>
      <c r="Y33" s="376">
        <v>0.6</v>
      </c>
      <c r="Z33" s="376">
        <v>0.6</v>
      </c>
      <c r="AA33" s="376">
        <v>0.6</v>
      </c>
      <c r="AB33" s="376">
        <v>0.6</v>
      </c>
      <c r="AC33" s="376">
        <v>0.6</v>
      </c>
      <c r="AD33" s="376">
        <v>0.6</v>
      </c>
      <c r="AE33" s="376">
        <v>0.6</v>
      </c>
      <c r="AF33" s="376">
        <v>0.6</v>
      </c>
      <c r="AG33" s="377">
        <v>0.6</v>
      </c>
      <c r="AH33" s="376">
        <v>0.6</v>
      </c>
      <c r="AI33" s="376">
        <v>0.6</v>
      </c>
      <c r="AJ33" s="376">
        <v>0.6</v>
      </c>
      <c r="AK33" s="376">
        <v>0.6</v>
      </c>
      <c r="AL33" s="376">
        <v>0.6</v>
      </c>
      <c r="AM33" s="376">
        <v>0.6</v>
      </c>
      <c r="AN33" s="376">
        <v>0.6</v>
      </c>
      <c r="AO33" s="376">
        <v>0.6</v>
      </c>
      <c r="AP33" s="376">
        <v>0.6</v>
      </c>
      <c r="AQ33" s="376">
        <v>0.6</v>
      </c>
      <c r="AR33" s="8"/>
      <c r="AS33" s="376">
        <v>0.6</v>
      </c>
      <c r="AT33" s="376">
        <v>0.6</v>
      </c>
      <c r="AU33" s="376">
        <v>0.6</v>
      </c>
      <c r="AV33" s="376">
        <v>0.6</v>
      </c>
      <c r="AW33" s="376">
        <v>0.6</v>
      </c>
      <c r="AX33" s="157">
        <v>0.6</v>
      </c>
      <c r="AY33" s="157">
        <v>0.6</v>
      </c>
      <c r="AZ33" s="157">
        <v>0.6</v>
      </c>
      <c r="BA33" s="157">
        <v>0.6</v>
      </c>
      <c r="BB33" s="157">
        <v>0.6</v>
      </c>
      <c r="BC33" s="157">
        <v>0.6</v>
      </c>
      <c r="BD33" s="157">
        <v>0.6</v>
      </c>
      <c r="BE33" s="157">
        <v>0.6</v>
      </c>
      <c r="BF33" s="157">
        <v>0.6</v>
      </c>
      <c r="BG33" s="157">
        <v>0.6</v>
      </c>
      <c r="BH33" s="157">
        <v>0.6</v>
      </c>
      <c r="BI33" s="157">
        <v>0.6</v>
      </c>
      <c r="BJ33" s="157">
        <v>0.6</v>
      </c>
      <c r="BK33" s="157">
        <v>0.6</v>
      </c>
      <c r="BL33" s="158">
        <v>0.6</v>
      </c>
      <c r="BM33" s="157">
        <v>0.6</v>
      </c>
      <c r="BN33" s="157">
        <v>0.6</v>
      </c>
      <c r="BO33" s="157">
        <v>0.6</v>
      </c>
      <c r="BP33" s="157">
        <v>0.6</v>
      </c>
      <c r="BQ33" s="157">
        <v>0.6</v>
      </c>
    </row>
    <row r="34" spans="1:69" ht="12" customHeight="1" outlineLevel="1">
      <c r="C34" s="8"/>
      <c r="D34" s="41"/>
      <c r="E34" s="41"/>
      <c r="F34" s="41"/>
      <c r="G34" s="41"/>
      <c r="H34" s="41"/>
      <c r="I34" s="41"/>
      <c r="J34" s="59"/>
      <c r="K34" s="69"/>
      <c r="L34" s="69"/>
      <c r="M34" s="69"/>
      <c r="N34" s="69"/>
      <c r="O34" s="69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2"/>
      <c r="AI34" s="47"/>
      <c r="AK34" s="47"/>
      <c r="AM34" s="47"/>
      <c r="AO34" s="47"/>
      <c r="AQ34" s="47"/>
      <c r="AR34" s="8"/>
      <c r="AS34" s="8"/>
      <c r="AT34" s="8"/>
      <c r="AU34" s="8"/>
      <c r="AV34" s="8"/>
      <c r="AW34" s="8"/>
      <c r="AX34" s="41"/>
      <c r="AY34" s="41"/>
      <c r="AZ34" s="41"/>
      <c r="BA34" s="41"/>
      <c r="BB34" s="41"/>
      <c r="BC34" s="41"/>
      <c r="BD34" s="41"/>
      <c r="BE34" s="41"/>
      <c r="BF34" s="41"/>
      <c r="BG34" s="44"/>
      <c r="BH34" s="41"/>
      <c r="BI34" s="41"/>
      <c r="BJ34" s="41"/>
    </row>
    <row r="35" spans="1:69" ht="12" customHeight="1" outlineLevel="1">
      <c r="B35" s="16" t="s">
        <v>100</v>
      </c>
      <c r="C35" s="8"/>
      <c r="D35" s="65"/>
      <c r="E35" s="65"/>
      <c r="F35" s="65"/>
      <c r="G35" s="47"/>
      <c r="H35" s="65"/>
      <c r="I35" s="65"/>
      <c r="J35" s="287"/>
      <c r="K35" s="287"/>
      <c r="L35" s="287"/>
      <c r="M35" s="287"/>
      <c r="N35" s="50"/>
      <c r="O35" s="50"/>
      <c r="P35" s="50"/>
      <c r="Q35" s="41"/>
      <c r="R35" s="50"/>
      <c r="S35" s="415"/>
      <c r="T35" s="50"/>
      <c r="U35" s="415"/>
      <c r="V35" s="50"/>
      <c r="W35" s="415"/>
      <c r="X35" s="415"/>
      <c r="Y35" s="415"/>
      <c r="Z35" s="415"/>
      <c r="AA35" s="415"/>
      <c r="AB35" s="415"/>
      <c r="AC35" s="415"/>
      <c r="AD35" s="415"/>
      <c r="AE35" s="415"/>
      <c r="AF35" s="415"/>
      <c r="AG35" s="414"/>
      <c r="AH35" s="176"/>
      <c r="AI35" s="176"/>
      <c r="AJ35" s="176"/>
      <c r="AK35" s="176"/>
      <c r="AL35" s="176"/>
      <c r="AM35" s="176"/>
      <c r="AN35" s="176"/>
      <c r="AO35" s="176"/>
      <c r="AP35" s="176"/>
      <c r="AQ35" s="176"/>
      <c r="AR35" s="8"/>
      <c r="AS35" s="8"/>
      <c r="AT35" s="8"/>
      <c r="AU35" s="8"/>
      <c r="AV35" s="8"/>
      <c r="AW35" s="8"/>
      <c r="AX35" s="41"/>
      <c r="AY35" s="41"/>
      <c r="AZ35" s="41"/>
      <c r="BA35" s="41"/>
      <c r="BB35" s="50"/>
      <c r="BC35" s="378"/>
      <c r="BD35" s="378"/>
      <c r="BE35" s="378"/>
      <c r="BF35" s="378"/>
      <c r="BG35" s="378"/>
      <c r="BH35" s="378"/>
      <c r="BI35" s="378"/>
      <c r="BJ35" s="34"/>
      <c r="BK35" s="34"/>
      <c r="BL35" s="35"/>
    </row>
    <row r="36" spans="1:69" ht="12" customHeight="1" outlineLevel="1">
      <c r="A36" s="91" t="s">
        <v>101</v>
      </c>
      <c r="B36" s="87" t="s">
        <v>102</v>
      </c>
      <c r="C36" s="8"/>
      <c r="D36" s="161">
        <v>0.84572400000000003</v>
      </c>
      <c r="E36" s="161">
        <v>0.98340000000000005</v>
      </c>
      <c r="F36" s="161">
        <v>0.84572400000000003</v>
      </c>
      <c r="G36" s="161">
        <v>0.98340000000000005</v>
      </c>
      <c r="H36" s="161">
        <v>0.63921000000000006</v>
      </c>
      <c r="I36" s="161">
        <v>0.73755000000000004</v>
      </c>
      <c r="J36" s="161">
        <v>0.73755000000000004</v>
      </c>
      <c r="K36" s="161">
        <v>1.22925</v>
      </c>
      <c r="L36" s="161">
        <v>0.98340000000000005</v>
      </c>
      <c r="M36" s="161">
        <v>2.7563000000000004</v>
      </c>
      <c r="N36" s="161">
        <v>1.3</v>
      </c>
      <c r="O36" s="161">
        <v>2</v>
      </c>
      <c r="P36" s="161">
        <v>1.6</v>
      </c>
      <c r="Q36" s="161">
        <v>2.4</v>
      </c>
      <c r="R36" s="161">
        <v>1.9</v>
      </c>
      <c r="S36" s="161">
        <v>2.8</v>
      </c>
      <c r="T36" s="161">
        <v>2.0499999999999998</v>
      </c>
      <c r="U36" s="161">
        <v>3.2</v>
      </c>
      <c r="V36" s="161">
        <v>2.15</v>
      </c>
      <c r="W36" s="161">
        <v>3.6</v>
      </c>
      <c r="X36" s="161">
        <v>2.5</v>
      </c>
      <c r="Y36" s="161">
        <v>1.8</v>
      </c>
      <c r="Z36" s="161">
        <v>1.35</v>
      </c>
      <c r="AA36" s="161">
        <v>3.35</v>
      </c>
      <c r="AB36" s="161">
        <v>2.72</v>
      </c>
      <c r="AC36" s="161">
        <v>3.5</v>
      </c>
      <c r="AD36" s="161">
        <v>3</v>
      </c>
      <c r="AE36" s="161">
        <v>4.5</v>
      </c>
      <c r="AF36" s="161">
        <v>2.5499999999999998</v>
      </c>
      <c r="AG36" s="354">
        <v>3.85</v>
      </c>
      <c r="AH36" s="98">
        <v>2.5499999999999998</v>
      </c>
      <c r="AI36" s="98">
        <v>3.85</v>
      </c>
      <c r="AJ36" s="98">
        <v>2.8</v>
      </c>
      <c r="AK36" s="98">
        <v>4.0999999999999996</v>
      </c>
      <c r="AL36" s="98">
        <v>2.8</v>
      </c>
      <c r="AM36" s="98">
        <v>4.3499999999999996</v>
      </c>
      <c r="AN36" s="98">
        <v>3</v>
      </c>
      <c r="AO36" s="98">
        <v>4.5999999999999996</v>
      </c>
      <c r="AP36" s="98">
        <v>3.2</v>
      </c>
      <c r="AQ36" s="98">
        <v>4.9000000000000004</v>
      </c>
      <c r="AR36" s="8"/>
      <c r="AS36" s="161">
        <v>1.976634</v>
      </c>
      <c r="AT36" s="161">
        <v>2.1143100000000001</v>
      </c>
      <c r="AU36" s="161">
        <v>3.0977100000000002</v>
      </c>
      <c r="AV36" s="161">
        <v>3.3927300000000002</v>
      </c>
      <c r="AW36" s="161">
        <v>1.8192900000000001</v>
      </c>
      <c r="AX36" s="65">
        <v>1.8291240000000002</v>
      </c>
      <c r="AY36" s="65">
        <v>1.8291240000000002</v>
      </c>
      <c r="AZ36" s="65">
        <v>1.37676</v>
      </c>
      <c r="BA36" s="65">
        <v>1.9668000000000001</v>
      </c>
      <c r="BB36" s="65">
        <v>3.7397000000000005</v>
      </c>
      <c r="BC36" s="65">
        <v>3.3</v>
      </c>
      <c r="BD36" s="65">
        <v>4</v>
      </c>
      <c r="BE36" s="65">
        <v>4.6999999999999993</v>
      </c>
      <c r="BF36" s="65">
        <v>5.25</v>
      </c>
      <c r="BG36" s="65">
        <v>5.75</v>
      </c>
      <c r="BH36" s="65">
        <v>4.3</v>
      </c>
      <c r="BI36" s="65">
        <v>4.7</v>
      </c>
      <c r="BJ36" s="65">
        <v>6.2200000000000006</v>
      </c>
      <c r="BK36" s="65">
        <v>7.5</v>
      </c>
      <c r="BL36" s="73">
        <v>6.4</v>
      </c>
      <c r="BM36" s="65">
        <v>6.4</v>
      </c>
      <c r="BN36" s="65">
        <v>6.8999999999999995</v>
      </c>
      <c r="BO36" s="65">
        <v>7.1499999999999995</v>
      </c>
      <c r="BP36" s="65">
        <v>7.6</v>
      </c>
      <c r="BQ36" s="65">
        <v>8.1000000000000014</v>
      </c>
    </row>
    <row r="37" spans="1:69" ht="12" customHeight="1" outlineLevel="1">
      <c r="A37" s="91" t="s">
        <v>103</v>
      </c>
      <c r="B37" s="87" t="s">
        <v>104</v>
      </c>
      <c r="C37" s="8"/>
      <c r="D37" s="69">
        <v>0.59730146271398743</v>
      </c>
      <c r="E37" s="69">
        <v>0.60287963397548161</v>
      </c>
      <c r="F37" s="69">
        <v>0.73751146119106692</v>
      </c>
      <c r="G37" s="69">
        <v>0.62715182820976489</v>
      </c>
      <c r="H37" s="69">
        <v>0.74224678950819678</v>
      </c>
      <c r="I37" s="69">
        <v>0.61514891117647053</v>
      </c>
      <c r="J37" s="69">
        <v>0.70431255747922439</v>
      </c>
      <c r="K37" s="69">
        <v>0.86608820918367346</v>
      </c>
      <c r="L37" s="69">
        <v>0.6784192335329341</v>
      </c>
      <c r="M37" s="69">
        <v>1.1583486039594242</v>
      </c>
      <c r="N37" s="69">
        <v>0.61587594719764016</v>
      </c>
      <c r="O37" s="69">
        <v>0.72021118142548601</v>
      </c>
      <c r="P37" s="69">
        <v>0.49873937943925239</v>
      </c>
      <c r="Q37" s="69">
        <v>0.82248311540785501</v>
      </c>
      <c r="R37" s="69">
        <v>0.61585057200000004</v>
      </c>
      <c r="S37" s="69">
        <v>0.81661083701799475</v>
      </c>
      <c r="T37" s="69">
        <v>0.55908149130608975</v>
      </c>
      <c r="U37" s="69">
        <v>0.83206067532467531</v>
      </c>
      <c r="V37" s="69">
        <v>0.55864342496183206</v>
      </c>
      <c r="W37" s="69">
        <v>0.73288149330143537</v>
      </c>
      <c r="X37" s="69">
        <v>0.6080584540150995</v>
      </c>
      <c r="Y37" s="69">
        <v>0.50069584992150706</v>
      </c>
      <c r="Z37" s="69">
        <v>0.49546182380710663</v>
      </c>
      <c r="AA37" s="69">
        <v>0.59709439061576353</v>
      </c>
      <c r="AB37" s="69">
        <v>0.49104210459128739</v>
      </c>
      <c r="AC37" s="69">
        <v>0.50423084096883208</v>
      </c>
      <c r="AD37" s="69">
        <v>0.50300662125813456</v>
      </c>
      <c r="AE37" s="69">
        <v>0.60449961522419193</v>
      </c>
      <c r="AF37" s="69">
        <v>0.6964775425441696</v>
      </c>
      <c r="AG37" s="89">
        <v>0.69976542574750833</v>
      </c>
      <c r="AH37" s="69">
        <v>0.50127156131600759</v>
      </c>
      <c r="AI37" s="69">
        <v>0.7086472119954349</v>
      </c>
      <c r="AJ37" s="69">
        <v>0.50878866316227256</v>
      </c>
      <c r="AK37" s="69">
        <v>0.71241002149132615</v>
      </c>
      <c r="AL37" s="69">
        <v>0.50755408769542198</v>
      </c>
      <c r="AM37" s="69">
        <v>0.70840396958574381</v>
      </c>
      <c r="AN37" s="69">
        <v>0.51023289263215355</v>
      </c>
      <c r="AO37" s="69">
        <v>0.70784172950557478</v>
      </c>
      <c r="AP37" s="69">
        <v>0.51335055817097597</v>
      </c>
      <c r="AQ37" s="69">
        <v>0.71123822715919804</v>
      </c>
      <c r="AR37" s="8"/>
      <c r="AS37" s="69">
        <v>0.55369953192118226</v>
      </c>
      <c r="AT37" s="69">
        <v>0.54557510191048042</v>
      </c>
      <c r="AU37" s="69">
        <v>0.54676336004784698</v>
      </c>
      <c r="AV37" s="69">
        <v>0.5253851347753743</v>
      </c>
      <c r="AW37" s="69">
        <v>0.60202101033295052</v>
      </c>
      <c r="AX37" s="50">
        <v>0.60033492537142852</v>
      </c>
      <c r="AY37" s="50">
        <v>0.67367372370292877</v>
      </c>
      <c r="AZ37" s="50">
        <v>0.66825144938356162</v>
      </c>
      <c r="BA37" s="50">
        <v>0.79746187514688605</v>
      </c>
      <c r="BB37" s="50">
        <v>0.96827380982213451</v>
      </c>
      <c r="BC37" s="50">
        <v>0.67610938042394009</v>
      </c>
      <c r="BD37" s="50">
        <v>0.6545694956858944</v>
      </c>
      <c r="BE37" s="50">
        <v>0.72152816752368054</v>
      </c>
      <c r="BF37" s="50">
        <v>0.69882719012514671</v>
      </c>
      <c r="BG37" s="50">
        <v>0.6563382774983233</v>
      </c>
      <c r="BH37" s="50">
        <v>0.55797425129989009</v>
      </c>
      <c r="BI37" s="50">
        <v>0.56389104789386402</v>
      </c>
      <c r="BJ37" s="50">
        <v>0.49850525906927323</v>
      </c>
      <c r="BK37" s="50">
        <v>0.55935462273253578</v>
      </c>
      <c r="BL37" s="51">
        <v>0.69844448459681996</v>
      </c>
      <c r="BM37" s="50">
        <v>0.60791165439718653</v>
      </c>
      <c r="BN37" s="50">
        <v>0.61287680667449218</v>
      </c>
      <c r="BO37" s="50">
        <v>0.61335391282138341</v>
      </c>
      <c r="BP37" s="50">
        <v>0.61397789207834219</v>
      </c>
      <c r="BQ37" s="50">
        <v>0.61723923861014918</v>
      </c>
    </row>
    <row r="38" spans="1:69" ht="12" customHeight="1" outlineLevel="1">
      <c r="A38" s="91" t="s">
        <v>105</v>
      </c>
      <c r="B38" s="87" t="s">
        <v>466</v>
      </c>
      <c r="C38" s="8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44"/>
      <c r="O38" s="44"/>
      <c r="P38" s="41"/>
      <c r="Q38" s="41"/>
      <c r="R38" s="41"/>
      <c r="S38" s="41"/>
      <c r="T38" s="41"/>
      <c r="U38" s="41"/>
      <c r="V38" s="41"/>
      <c r="W38" s="41"/>
      <c r="X38" s="41"/>
      <c r="Y38" s="50"/>
      <c r="Z38" s="50"/>
      <c r="AA38" s="50"/>
      <c r="AB38" s="50"/>
      <c r="AC38" s="50"/>
      <c r="AD38" s="50"/>
      <c r="AE38" s="50"/>
      <c r="AF38" s="50"/>
      <c r="AG38" s="51"/>
      <c r="AH38" s="182"/>
      <c r="AI38" s="182"/>
      <c r="AJ38" s="182"/>
      <c r="AK38" s="182"/>
      <c r="AL38" s="182"/>
      <c r="AM38" s="182"/>
      <c r="AN38" s="182"/>
      <c r="AO38" s="182"/>
      <c r="AP38" s="182"/>
      <c r="AQ38" s="182"/>
      <c r="AR38" s="8"/>
      <c r="AS38" s="62">
        <v>39</v>
      </c>
      <c r="AT38" s="62">
        <v>149</v>
      </c>
      <c r="AU38" s="62">
        <v>176</v>
      </c>
      <c r="AV38" s="62">
        <v>133</v>
      </c>
      <c r="AW38" s="62">
        <v>11</v>
      </c>
      <c r="AX38" s="62">
        <v>15</v>
      </c>
      <c r="AY38" s="62">
        <v>49</v>
      </c>
      <c r="AZ38" s="62">
        <v>75</v>
      </c>
      <c r="BA38" s="62">
        <v>297</v>
      </c>
      <c r="BB38" s="62">
        <v>250</v>
      </c>
      <c r="BC38" s="62">
        <v>144</v>
      </c>
      <c r="BD38" s="62">
        <v>306</v>
      </c>
      <c r="BE38" s="62">
        <v>199</v>
      </c>
      <c r="BF38" s="62">
        <v>117</v>
      </c>
      <c r="BG38" s="62">
        <v>198</v>
      </c>
      <c r="BH38" s="62">
        <v>264</v>
      </c>
      <c r="BI38" s="62">
        <v>426</v>
      </c>
      <c r="BJ38" s="62">
        <v>457</v>
      </c>
      <c r="BK38" s="62">
        <v>462</v>
      </c>
      <c r="BL38" s="57">
        <v>224</v>
      </c>
      <c r="BM38" s="41">
        <v>208.18524298660191</v>
      </c>
      <c r="BN38" s="41">
        <v>187.72483425828301</v>
      </c>
      <c r="BO38" s="41">
        <v>166.18065334732495</v>
      </c>
      <c r="BP38" s="41">
        <v>142.80533651916085</v>
      </c>
      <c r="BQ38" s="41">
        <v>115.26165972359865</v>
      </c>
    </row>
    <row r="39" spans="1:69" ht="12" customHeight="1" outlineLevel="1">
      <c r="A39" s="91" t="s">
        <v>106</v>
      </c>
      <c r="B39" s="87" t="s">
        <v>107</v>
      </c>
      <c r="C39" s="8"/>
      <c r="D39" s="162">
        <v>0</v>
      </c>
      <c r="E39" s="162">
        <v>0</v>
      </c>
      <c r="F39" s="162">
        <v>0</v>
      </c>
      <c r="G39" s="162">
        <v>0</v>
      </c>
      <c r="H39" s="162">
        <v>0</v>
      </c>
      <c r="I39" s="162">
        <v>0</v>
      </c>
      <c r="J39" s="163">
        <v>0</v>
      </c>
      <c r="K39" s="321">
        <v>0.4</v>
      </c>
      <c r="L39" s="321">
        <v>0.4</v>
      </c>
      <c r="M39" s="321">
        <v>0.4</v>
      </c>
      <c r="N39" s="163">
        <v>0.4</v>
      </c>
      <c r="O39" s="163">
        <v>0.4</v>
      </c>
      <c r="P39" s="163">
        <v>0.4</v>
      </c>
      <c r="Q39" s="163">
        <v>0.4</v>
      </c>
      <c r="R39" s="163">
        <v>0.45</v>
      </c>
      <c r="S39" s="163">
        <v>0.45</v>
      </c>
      <c r="T39" s="163">
        <v>0.45</v>
      </c>
      <c r="U39" s="163">
        <v>0.45</v>
      </c>
      <c r="V39" s="163">
        <v>0.45</v>
      </c>
      <c r="W39" s="163">
        <v>0.45</v>
      </c>
      <c r="X39" s="163">
        <v>0.4</v>
      </c>
      <c r="Y39" s="163">
        <v>0.39999999999999997</v>
      </c>
      <c r="Z39" s="163">
        <v>0.4</v>
      </c>
      <c r="AA39" s="163">
        <v>0.4</v>
      </c>
      <c r="AB39" s="163">
        <v>0.4</v>
      </c>
      <c r="AC39" s="163">
        <v>0.4</v>
      </c>
      <c r="AD39" s="163">
        <v>0.4</v>
      </c>
      <c r="AE39" s="163">
        <v>0.4</v>
      </c>
      <c r="AF39" s="163">
        <v>0.4</v>
      </c>
      <c r="AG39" s="366">
        <v>0.4</v>
      </c>
      <c r="AH39" s="68">
        <v>0.4</v>
      </c>
      <c r="AI39" s="68">
        <v>0.4</v>
      </c>
      <c r="AJ39" s="68">
        <v>0.4</v>
      </c>
      <c r="AK39" s="68">
        <v>0.4</v>
      </c>
      <c r="AL39" s="68">
        <v>0.4</v>
      </c>
      <c r="AM39" s="68">
        <v>0.4</v>
      </c>
      <c r="AN39" s="68">
        <v>0.4</v>
      </c>
      <c r="AO39" s="68">
        <v>0.4</v>
      </c>
      <c r="AP39" s="68">
        <v>0.4</v>
      </c>
      <c r="AQ39" s="68">
        <v>0.4</v>
      </c>
      <c r="AR39" s="8"/>
      <c r="AS39" s="163">
        <v>0.9</v>
      </c>
      <c r="AT39" s="163">
        <v>0.95813953488372094</v>
      </c>
      <c r="AU39" s="163">
        <v>1</v>
      </c>
      <c r="AV39" s="163">
        <v>1</v>
      </c>
      <c r="AW39" s="163">
        <v>0.75675675675675702</v>
      </c>
      <c r="AX39" s="157">
        <v>0</v>
      </c>
      <c r="AY39" s="157">
        <v>0</v>
      </c>
      <c r="AZ39" s="157">
        <v>0</v>
      </c>
      <c r="BA39" s="157">
        <v>0.25</v>
      </c>
      <c r="BB39" s="157">
        <v>0.39999999999999997</v>
      </c>
      <c r="BC39" s="157">
        <v>0.4</v>
      </c>
      <c r="BD39" s="157">
        <v>0.4</v>
      </c>
      <c r="BE39" s="157">
        <v>0.45000000000000012</v>
      </c>
      <c r="BF39" s="157">
        <v>0.45000000000000007</v>
      </c>
      <c r="BG39" s="157">
        <v>0.45000000000000007</v>
      </c>
      <c r="BH39" s="157">
        <v>0.4</v>
      </c>
      <c r="BI39" s="157">
        <v>0.4</v>
      </c>
      <c r="BJ39" s="157">
        <v>0.4</v>
      </c>
      <c r="BK39" s="157">
        <v>0.4</v>
      </c>
      <c r="BL39" s="158">
        <v>0.39999999999999997</v>
      </c>
      <c r="BM39" s="157">
        <v>0.39999999999999997</v>
      </c>
      <c r="BN39" s="157">
        <v>0.4</v>
      </c>
      <c r="BO39" s="157">
        <v>0.4</v>
      </c>
      <c r="BP39" s="157">
        <v>0.4</v>
      </c>
      <c r="BQ39" s="157">
        <v>0.39999999999999997</v>
      </c>
    </row>
    <row r="40" spans="1:69" ht="12" customHeight="1" outlineLevel="1">
      <c r="C40" s="59"/>
      <c r="D40" s="59"/>
      <c r="E40" s="59"/>
      <c r="F40" s="59"/>
      <c r="G40" s="59"/>
      <c r="H40" s="59"/>
      <c r="I40" s="59"/>
      <c r="J40" s="59"/>
      <c r="K40" s="59"/>
      <c r="L40" s="287"/>
      <c r="M40" s="287"/>
      <c r="N40" s="65"/>
      <c r="O40" s="65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2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8"/>
      <c r="AS40" s="362"/>
      <c r="AT40" s="362"/>
      <c r="AU40" s="362"/>
      <c r="AV40" s="362"/>
      <c r="AW40" s="362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</row>
    <row r="41" spans="1:69" ht="12" customHeight="1" outlineLevel="1">
      <c r="A41" s="91" t="s">
        <v>108</v>
      </c>
      <c r="B41" s="87" t="s">
        <v>109</v>
      </c>
      <c r="C41" s="8"/>
      <c r="D41" s="59">
        <v>338.29878381126701</v>
      </c>
      <c r="E41" s="59">
        <v>11.756403294691893</v>
      </c>
      <c r="F41" s="59">
        <v>1.3799369534268635</v>
      </c>
      <c r="G41" s="59">
        <v>1.2341468375025215</v>
      </c>
      <c r="H41" s="59">
        <v>1.4948861094163703</v>
      </c>
      <c r="I41" s="59">
        <v>0.30440410819602448</v>
      </c>
      <c r="J41" s="59">
        <v>-9.7369046166361386</v>
      </c>
      <c r="K41" s="59">
        <v>0.50586434817978443</v>
      </c>
      <c r="L41" s="59">
        <v>0.387897091722607</v>
      </c>
      <c r="M41" s="59">
        <v>-24.550667937766946</v>
      </c>
      <c r="N41" s="59">
        <v>0.12824399999999514</v>
      </c>
      <c r="O41" s="59">
        <v>12.254783000000032</v>
      </c>
      <c r="P41" s="59">
        <v>7.4183000000004995E-2</v>
      </c>
      <c r="Q41" s="59">
        <v>6.7704289999999787</v>
      </c>
      <c r="R41" s="59">
        <v>3.6085000000014134E-2</v>
      </c>
      <c r="S41" s="59">
        <v>1.3256999999953223E-2</v>
      </c>
      <c r="T41" s="59">
        <v>6.1720000000491382E-3</v>
      </c>
      <c r="U41" s="59">
        <v>6.9169999999871834E-3</v>
      </c>
      <c r="V41" s="59">
        <v>1.791800000000876E-2</v>
      </c>
      <c r="W41" s="59">
        <v>0</v>
      </c>
      <c r="X41" s="59">
        <v>13.993728999999973</v>
      </c>
      <c r="Y41" s="59">
        <v>4.92900000000418E-3</v>
      </c>
      <c r="Z41" s="59">
        <v>7.1222309999999993</v>
      </c>
      <c r="AA41" s="59">
        <v>0.31774999999998954</v>
      </c>
      <c r="AB41" s="59">
        <v>7.0017920000000231</v>
      </c>
      <c r="AC41" s="59">
        <v>14.824467999999968</v>
      </c>
      <c r="AD41" s="59">
        <v>2.8291170000000534</v>
      </c>
      <c r="AE41" s="59">
        <v>0</v>
      </c>
      <c r="AF41" s="59">
        <v>0</v>
      </c>
      <c r="AG41" s="60">
        <v>-3.5142210000000205</v>
      </c>
      <c r="AH41" s="58">
        <v>-3.1575009183657334</v>
      </c>
      <c r="AI41" s="58">
        <v>-3.3311064934628827</v>
      </c>
      <c r="AJ41" s="58">
        <v>0</v>
      </c>
      <c r="AK41" s="58">
        <v>0</v>
      </c>
      <c r="AL41" s="58">
        <v>0</v>
      </c>
      <c r="AM41" s="58">
        <v>0</v>
      </c>
      <c r="AN41" s="58">
        <v>0</v>
      </c>
      <c r="AO41" s="58">
        <v>0</v>
      </c>
      <c r="AP41" s="58">
        <v>0</v>
      </c>
      <c r="AQ41" s="58">
        <v>0</v>
      </c>
      <c r="AR41" s="8"/>
      <c r="AS41" s="59">
        <v>227.45941834451901</v>
      </c>
      <c r="AT41" s="59">
        <v>8.9045932479153862</v>
      </c>
      <c r="AU41" s="59">
        <v>21.863774659345154</v>
      </c>
      <c r="AV41" s="59">
        <v>20.977867602196397</v>
      </c>
      <c r="AW41" s="59">
        <v>9.0168395363026548</v>
      </c>
      <c r="AX41" s="59">
        <v>61.832693715680307</v>
      </c>
      <c r="AY41" s="59">
        <v>2.614083790929385</v>
      </c>
      <c r="AZ41" s="59">
        <v>1.7992902176123948</v>
      </c>
      <c r="BA41" s="59">
        <v>-9.2310402684563542</v>
      </c>
      <c r="BB41" s="59">
        <v>-24.162770846044339</v>
      </c>
      <c r="BC41" s="59">
        <v>12.383027000000027</v>
      </c>
      <c r="BD41" s="59">
        <v>6.8446119999999837</v>
      </c>
      <c r="BE41" s="59">
        <v>4.9341999999967356E-2</v>
      </c>
      <c r="BF41" s="59">
        <v>1.3089000000036322E-2</v>
      </c>
      <c r="BG41" s="59">
        <v>1.791800000000876E-2</v>
      </c>
      <c r="BH41" s="59">
        <v>13.998657999999978</v>
      </c>
      <c r="BI41" s="59">
        <v>7.4399809999999889</v>
      </c>
      <c r="BJ41" s="59">
        <v>21.826259999999991</v>
      </c>
      <c r="BK41" s="59">
        <v>2.8291170000000534</v>
      </c>
      <c r="BL41" s="60">
        <v>-3.5142210000000205</v>
      </c>
      <c r="BM41" s="59">
        <v>-6.4886074118285819</v>
      </c>
      <c r="BN41" s="59">
        <v>0</v>
      </c>
      <c r="BO41" s="59">
        <v>0</v>
      </c>
      <c r="BP41" s="59">
        <v>0</v>
      </c>
      <c r="BQ41" s="59">
        <v>0</v>
      </c>
    </row>
    <row r="42" spans="1:69" ht="12" customHeight="1" outlineLevel="1">
      <c r="A42" s="91" t="s">
        <v>110</v>
      </c>
      <c r="B42" s="87" t="s">
        <v>111</v>
      </c>
      <c r="C42" s="360">
        <v>26.601800000000001</v>
      </c>
      <c r="D42" s="360">
        <v>57.815800000000003</v>
      </c>
      <c r="E42" s="360">
        <v>46.466999999999999</v>
      </c>
      <c r="F42" s="360">
        <v>35.668999999999997</v>
      </c>
      <c r="G42" s="360">
        <v>35.993499999999997</v>
      </c>
      <c r="H42" s="360">
        <v>22.491</v>
      </c>
      <c r="I42" s="360">
        <v>28.598099999999999</v>
      </c>
      <c r="J42" s="360">
        <v>27.988399999999999</v>
      </c>
      <c r="K42" s="360">
        <v>36.534399999999998</v>
      </c>
      <c r="L42" s="360">
        <v>47.116100000000003</v>
      </c>
      <c r="M42" s="360">
        <v>57.93</v>
      </c>
      <c r="N42" s="360">
        <v>57.59</v>
      </c>
      <c r="O42" s="360">
        <v>76.67</v>
      </c>
      <c r="P42" s="360">
        <v>76.66</v>
      </c>
      <c r="Q42" s="360">
        <v>66.09</v>
      </c>
      <c r="R42" s="360">
        <v>81.94</v>
      </c>
      <c r="S42" s="360">
        <v>90.2</v>
      </c>
      <c r="T42" s="360">
        <v>90.92</v>
      </c>
      <c r="U42" s="360">
        <v>102.9</v>
      </c>
      <c r="V42" s="360">
        <v>126.04</v>
      </c>
      <c r="W42" s="360">
        <v>129.41999999999999</v>
      </c>
      <c r="X42" s="360">
        <v>131.08000000000001</v>
      </c>
      <c r="Y42" s="360">
        <v>85.75</v>
      </c>
      <c r="Z42" s="360">
        <v>127.5</v>
      </c>
      <c r="AA42" s="360">
        <v>152.83000000000001</v>
      </c>
      <c r="AB42" s="360">
        <v>182</v>
      </c>
      <c r="AC42" s="360">
        <v>203.27</v>
      </c>
      <c r="AD42" s="360">
        <v>152.74</v>
      </c>
      <c r="AE42" s="360">
        <v>175.66</v>
      </c>
      <c r="AF42" s="360">
        <v>167.73</v>
      </c>
      <c r="AG42" s="361">
        <v>199.7</v>
      </c>
      <c r="AH42" s="164">
        <v>209.25663387333745</v>
      </c>
      <c r="AI42" s="164">
        <v>219.2706</v>
      </c>
      <c r="AJ42" s="164">
        <v>229.76378399292454</v>
      </c>
      <c r="AK42" s="164">
        <v>240.75911880000004</v>
      </c>
      <c r="AL42" s="164">
        <v>252.28063482423119</v>
      </c>
      <c r="AM42" s="164">
        <v>264.35351244240007</v>
      </c>
      <c r="AN42" s="164">
        <v>277.00413703700588</v>
      </c>
      <c r="AO42" s="164">
        <v>290.26015666175533</v>
      </c>
      <c r="AP42" s="164">
        <v>304.15054246663249</v>
      </c>
      <c r="AQ42" s="164">
        <v>318.70565201460738</v>
      </c>
      <c r="AR42" s="8"/>
      <c r="AS42" s="360">
        <v>47.234099999999998</v>
      </c>
      <c r="AT42" s="360">
        <v>63.608199999999997</v>
      </c>
      <c r="AU42" s="360">
        <v>81.378799999999998</v>
      </c>
      <c r="AV42" s="360">
        <v>51.944699999999997</v>
      </c>
      <c r="AW42" s="360">
        <v>26.601800000000001</v>
      </c>
      <c r="AX42" s="164">
        <v>46.466999999999999</v>
      </c>
      <c r="AY42" s="164">
        <v>35.993499999999997</v>
      </c>
      <c r="AZ42" s="164">
        <v>28.598099999999999</v>
      </c>
      <c r="BA42" s="164">
        <v>36.534399999999998</v>
      </c>
      <c r="BB42" s="164">
        <v>57.93</v>
      </c>
      <c r="BC42" s="164">
        <v>76.67</v>
      </c>
      <c r="BD42" s="164">
        <v>66.09</v>
      </c>
      <c r="BE42" s="164">
        <v>90.2</v>
      </c>
      <c r="BF42" s="164">
        <v>102.9</v>
      </c>
      <c r="BG42" s="164">
        <v>129.41999999999999</v>
      </c>
      <c r="BH42" s="164">
        <v>85.75</v>
      </c>
      <c r="BI42" s="164">
        <v>152.83000000000001</v>
      </c>
      <c r="BJ42" s="164">
        <v>203.27</v>
      </c>
      <c r="BK42" s="164">
        <v>175.66</v>
      </c>
      <c r="BL42" s="165">
        <v>199.7</v>
      </c>
      <c r="BM42" s="164">
        <v>219.2706</v>
      </c>
      <c r="BN42" s="164">
        <v>240.75911880000004</v>
      </c>
      <c r="BO42" s="164">
        <v>264.35351244240007</v>
      </c>
      <c r="BP42" s="164">
        <v>290.26015666175533</v>
      </c>
      <c r="BQ42" s="164">
        <v>318.70565201460738</v>
      </c>
    </row>
    <row r="43" spans="1:69" ht="12" customHeight="1" outlineLevel="1">
      <c r="A43" s="91" t="s">
        <v>112</v>
      </c>
      <c r="B43" s="87" t="s">
        <v>113</v>
      </c>
      <c r="C43" s="8"/>
      <c r="D43" s="164">
        <v>3.972819484771787</v>
      </c>
      <c r="E43" s="164">
        <v>23.901868025136029</v>
      </c>
      <c r="F43" s="164">
        <v>-153.63020714354394</v>
      </c>
      <c r="G43" s="164">
        <v>33.221330520904267</v>
      </c>
      <c r="H43" s="164">
        <v>-235.46944331259252</v>
      </c>
      <c r="I43" s="164">
        <v>3.2851067810032268</v>
      </c>
      <c r="J43" s="164">
        <v>50.632107369900417</v>
      </c>
      <c r="K43" s="164">
        <v>5.9304436274164916</v>
      </c>
      <c r="L43" s="164">
        <v>-528.49068573733882</v>
      </c>
      <c r="M43" s="164">
        <v>35.477649822313694</v>
      </c>
      <c r="N43" s="392">
        <v>57.760000000000005</v>
      </c>
      <c r="O43" s="392">
        <v>67.13</v>
      </c>
      <c r="P43" s="392">
        <v>76.664999999999992</v>
      </c>
      <c r="Q43" s="164">
        <v>77.543092173332241</v>
      </c>
      <c r="R43" s="392">
        <v>74.015000000000001</v>
      </c>
      <c r="S43" s="164">
        <v>86.07</v>
      </c>
      <c r="T43" s="164">
        <v>90.56</v>
      </c>
      <c r="U43" s="164">
        <v>96.91</v>
      </c>
      <c r="V43" s="164">
        <v>114.47</v>
      </c>
      <c r="W43" s="164">
        <v>127.72999999999999</v>
      </c>
      <c r="X43" s="164">
        <v>130.25</v>
      </c>
      <c r="Y43" s="164">
        <v>108.41500000000001</v>
      </c>
      <c r="Z43" s="164">
        <v>111.622327329737</v>
      </c>
      <c r="AA43" s="164">
        <v>138.47364280094871</v>
      </c>
      <c r="AB43" s="164">
        <v>150.67571273182588</v>
      </c>
      <c r="AC43" s="164">
        <v>193.12666059922057</v>
      </c>
      <c r="AD43" s="164">
        <v>171.43158094910561</v>
      </c>
      <c r="AE43" s="164" t="s">
        <v>55</v>
      </c>
      <c r="AF43" s="164" t="s">
        <v>55</v>
      </c>
      <c r="AG43" s="165">
        <v>183.25540710160126</v>
      </c>
      <c r="AH43" s="164">
        <v>203.96678123005458</v>
      </c>
      <c r="AI43" s="164">
        <v>213.72760171347346</v>
      </c>
      <c r="AJ43" s="164">
        <v>223.95552579059995</v>
      </c>
      <c r="AK43" s="164">
        <v>234.6729066813939</v>
      </c>
      <c r="AL43" s="164">
        <v>245.9031673180788</v>
      </c>
      <c r="AM43" s="164">
        <v>257.67085153617057</v>
      </c>
      <c r="AN43" s="164">
        <v>270.00167771525054</v>
      </c>
      <c r="AO43" s="164">
        <v>282.9225949867153</v>
      </c>
      <c r="AP43" s="164">
        <v>296.46184213134512</v>
      </c>
      <c r="AQ43" s="164">
        <v>310.64900929541341</v>
      </c>
      <c r="AR43" s="8"/>
      <c r="AS43" s="164">
        <v>4.8272347128617286</v>
      </c>
      <c r="AT43" s="164">
        <v>33.241271303357422</v>
      </c>
      <c r="AU43" s="164">
        <v>53.467437266160196</v>
      </c>
      <c r="AV43" s="164">
        <v>69.644828907540258</v>
      </c>
      <c r="AW43" s="164">
        <v>40.479815408766591</v>
      </c>
      <c r="AX43" s="164">
        <v>26.280595302415431</v>
      </c>
      <c r="AY43" s="164">
        <v>-65.41488860967398</v>
      </c>
      <c r="AZ43" s="164">
        <v>-195.07692342470835</v>
      </c>
      <c r="BA43" s="164">
        <v>53.081774724176292</v>
      </c>
      <c r="BB43" s="164">
        <v>44.531316662970831</v>
      </c>
      <c r="BC43" s="164">
        <v>-16.23189548080607</v>
      </c>
      <c r="BD43" s="164">
        <v>21.768947604334674</v>
      </c>
      <c r="BE43" s="164">
        <v>-8755.2186778056384</v>
      </c>
      <c r="BF43" s="164">
        <v>-28497.211398805481</v>
      </c>
      <c r="BG43" s="164">
        <v>-25337.64929120315</v>
      </c>
      <c r="BH43" s="164">
        <v>75.935850422233457</v>
      </c>
      <c r="BI43" s="164">
        <v>112.76910518991933</v>
      </c>
      <c r="BJ43" s="164">
        <v>179.50853696418909</v>
      </c>
      <c r="BK43" s="164">
        <v>171.43158094910561</v>
      </c>
      <c r="BL43" s="165">
        <v>183.25540710160126</v>
      </c>
      <c r="BM43" s="164">
        <v>208.97776901682934</v>
      </c>
      <c r="BN43" s="164" t="e">
        <v>#DIV/0!</v>
      </c>
      <c r="BO43" s="164" t="e">
        <v>#DIV/0!</v>
      </c>
      <c r="BP43" s="164" t="e">
        <v>#DIV/0!</v>
      </c>
      <c r="BQ43" s="164" t="e">
        <v>#DIV/0!</v>
      </c>
    </row>
    <row r="44" spans="1:69" ht="12" customHeight="1" outlineLevel="1">
      <c r="C44" s="8"/>
      <c r="D44" s="41"/>
      <c r="E44" s="41"/>
      <c r="F44" s="41"/>
      <c r="G44" s="41"/>
      <c r="H44" s="41"/>
      <c r="I44" s="41"/>
      <c r="J44" s="59"/>
      <c r="K44" s="59"/>
      <c r="L44" s="59"/>
      <c r="M44" s="59"/>
      <c r="N44" s="41"/>
      <c r="O44" s="41"/>
      <c r="P44" s="41"/>
      <c r="Q44" s="41"/>
      <c r="R44" s="41"/>
      <c r="S44" s="41"/>
      <c r="T44" s="41"/>
      <c r="U44" s="41"/>
      <c r="V44" s="50"/>
      <c r="W44" s="50"/>
      <c r="X44" s="19"/>
      <c r="Y44" s="19"/>
      <c r="Z44" s="41"/>
      <c r="AA44" s="41"/>
      <c r="AB44" s="41"/>
      <c r="AC44" s="41"/>
      <c r="AD44" s="41"/>
      <c r="AE44" s="41"/>
      <c r="AF44" s="41"/>
      <c r="AG44" s="42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8"/>
      <c r="AS44" s="8"/>
      <c r="AT44" s="8"/>
      <c r="AU44" s="8"/>
      <c r="AV44" s="8"/>
      <c r="AW44" s="8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</row>
    <row r="45" spans="1:69" ht="12" customHeight="1" outlineLevel="1">
      <c r="B45" s="1" t="s">
        <v>217</v>
      </c>
      <c r="C45" s="8"/>
      <c r="D45" s="69">
        <v>1.3242148760330579</v>
      </c>
      <c r="E45" s="69">
        <v>1.2497153024911032</v>
      </c>
      <c r="F45" s="69">
        <v>1.2949999999999999</v>
      </c>
      <c r="G45" s="69">
        <v>1.2270359281437127</v>
      </c>
      <c r="H45" s="69">
        <v>1.214985994397759</v>
      </c>
      <c r="I45" s="69">
        <v>1.0787811634349032</v>
      </c>
      <c r="J45" s="69">
        <v>1.0389610389610389</v>
      </c>
      <c r="K45" s="69">
        <v>1.0634698795180724</v>
      </c>
      <c r="L45" s="69">
        <v>1.0773033707865169</v>
      </c>
      <c r="M45" s="69">
        <v>1.1026739130434782</v>
      </c>
      <c r="N45" s="69">
        <v>1.1270020533880905</v>
      </c>
      <c r="O45" s="69">
        <v>1.3022181146025877</v>
      </c>
      <c r="P45" s="69">
        <v>1.2642689075630251</v>
      </c>
      <c r="Q45" s="69">
        <v>1.180711111111111</v>
      </c>
      <c r="R45" s="69">
        <v>1.1827204783258596</v>
      </c>
      <c r="S45" s="69">
        <v>1.1479909365558911</v>
      </c>
      <c r="T45" s="69">
        <v>1.1055942028985508</v>
      </c>
      <c r="U45" s="69">
        <v>1.0459488559892329</v>
      </c>
      <c r="V45" s="69">
        <v>0.99707594936708865</v>
      </c>
      <c r="W45" s="69">
        <v>0.90282387190684132</v>
      </c>
      <c r="X45" s="69">
        <v>0.97549597855227888</v>
      </c>
      <c r="Y45" s="69">
        <v>1.0464082687338501</v>
      </c>
      <c r="Z45" s="69">
        <v>0.82643575418994408</v>
      </c>
      <c r="AA45" s="69">
        <v>0.88370159453302966</v>
      </c>
      <c r="AB45" s="69">
        <v>0.86044603033006239</v>
      </c>
      <c r="AC45" s="69">
        <v>0.91395956192080874</v>
      </c>
      <c r="AD45" s="69">
        <v>0.84399256505576203</v>
      </c>
      <c r="AE45" s="69">
        <v>0.67231034482758623</v>
      </c>
      <c r="AF45" s="69">
        <v>0.64036018336607725</v>
      </c>
      <c r="AG45" s="89">
        <v>0.61406249999999996</v>
      </c>
      <c r="AH45" s="56">
        <v>0.61406249999999996</v>
      </c>
      <c r="AI45" s="56">
        <v>0.61406249999999996</v>
      </c>
      <c r="AJ45" s="56">
        <v>0.61406249999999996</v>
      </c>
      <c r="AK45" s="56">
        <v>0.61406249999999996</v>
      </c>
      <c r="AL45" s="56">
        <v>0.61406249999999996</v>
      </c>
      <c r="AM45" s="56">
        <v>0.61406249999999996</v>
      </c>
      <c r="AN45" s="56">
        <v>0.61406249999999996</v>
      </c>
      <c r="AO45" s="56">
        <v>0.61406249999999996</v>
      </c>
      <c r="AP45" s="56">
        <v>0.61406249999999996</v>
      </c>
      <c r="AQ45" s="56">
        <v>0.61406249999999996</v>
      </c>
      <c r="AR45" s="8"/>
      <c r="AS45" s="8" t="s">
        <v>55</v>
      </c>
      <c r="AT45" s="69" t="s">
        <v>55</v>
      </c>
      <c r="AU45" s="69" t="s">
        <v>55</v>
      </c>
      <c r="AV45" s="69">
        <v>1.0791699604743084</v>
      </c>
      <c r="AW45" s="69">
        <v>1.1751063829787234</v>
      </c>
      <c r="AX45" s="69">
        <v>1.2497153024911032</v>
      </c>
      <c r="AY45" s="69">
        <v>1.2270359281437127</v>
      </c>
      <c r="AZ45" s="69">
        <v>1.0787811634349032</v>
      </c>
      <c r="BA45" s="69">
        <v>1.0634698795180724</v>
      </c>
      <c r="BB45" s="69">
        <v>1.1026739130434782</v>
      </c>
      <c r="BC45" s="69">
        <v>1.3022181146025877</v>
      </c>
      <c r="BD45" s="69">
        <v>1.180711111111111</v>
      </c>
      <c r="BE45" s="69">
        <v>1.1479909365558911</v>
      </c>
      <c r="BF45" s="69">
        <v>1.0459488559892329</v>
      </c>
      <c r="BG45" s="69">
        <v>0.90282387190684132</v>
      </c>
      <c r="BH45" s="69">
        <v>1.0464082687338501</v>
      </c>
      <c r="BI45" s="69">
        <v>0.88370159453302966</v>
      </c>
      <c r="BJ45" s="69">
        <v>0.91395956192080874</v>
      </c>
      <c r="BK45" s="69">
        <v>0.67231034482758623</v>
      </c>
      <c r="BL45" s="89">
        <v>0.61406249999999996</v>
      </c>
      <c r="BM45" s="69">
        <v>0.61406249999999996</v>
      </c>
      <c r="BN45" s="69">
        <v>0.61406249999999996</v>
      </c>
      <c r="BO45" s="69">
        <v>0.61406249999999996</v>
      </c>
      <c r="BP45" s="69">
        <v>0.61406249999999996</v>
      </c>
      <c r="BQ45" s="69">
        <v>0.61406249999999996</v>
      </c>
    </row>
    <row r="46" spans="1:69" ht="12" customHeight="1" outlineLevel="1">
      <c r="B46" s="1" t="s">
        <v>114</v>
      </c>
      <c r="C46" s="8"/>
      <c r="D46" s="69">
        <v>0.34311526479750781</v>
      </c>
      <c r="E46" s="69">
        <v>0.39279742765273312</v>
      </c>
      <c r="F46" s="69">
        <v>0.3473846153846154</v>
      </c>
      <c r="G46" s="69">
        <v>0.37253229974160207</v>
      </c>
      <c r="H46" s="69">
        <v>0.33394366197183101</v>
      </c>
      <c r="I46" s="69">
        <v>0.44791122715404702</v>
      </c>
      <c r="J46" s="69">
        <v>0.42807486631016045</v>
      </c>
      <c r="K46" s="69">
        <v>0.43947530864197532</v>
      </c>
      <c r="L46" s="69">
        <v>0.4295100864553314</v>
      </c>
      <c r="M46" s="69">
        <v>0.46219135802469136</v>
      </c>
      <c r="N46" s="69">
        <v>0.4182777777777778</v>
      </c>
      <c r="O46" s="69">
        <v>0.36979262672811058</v>
      </c>
      <c r="P46" s="69">
        <v>0.35734475374732333</v>
      </c>
      <c r="Q46" s="69">
        <v>0.29991507430997877</v>
      </c>
      <c r="R46" s="69">
        <v>0.36004975124378108</v>
      </c>
      <c r="S46" s="69">
        <v>0.36507812499999998</v>
      </c>
      <c r="T46" s="69">
        <v>0.34290488431876609</v>
      </c>
      <c r="U46" s="69">
        <v>0.46105263157894738</v>
      </c>
      <c r="V46" s="69">
        <v>0.59829861111111116</v>
      </c>
      <c r="W46" s="69">
        <v>0.48567398119122257</v>
      </c>
      <c r="X46" s="69">
        <v>0.43033707865168541</v>
      </c>
      <c r="Y46" s="69">
        <v>0.31726681127982648</v>
      </c>
      <c r="Z46" s="69">
        <v>0.29135826771653545</v>
      </c>
      <c r="AA46" s="69">
        <v>0.25016768292682928</v>
      </c>
      <c r="AB46" s="69">
        <v>0.26539617486338796</v>
      </c>
      <c r="AC46" s="69">
        <v>0.22744353182751539</v>
      </c>
      <c r="AD46" s="69">
        <v>0.20399107142857142</v>
      </c>
      <c r="AE46" s="69">
        <v>0.26612778315585672</v>
      </c>
      <c r="AF46" s="69">
        <v>0.2809547244094488</v>
      </c>
      <c r="AG46" s="89">
        <v>0.29876879699248121</v>
      </c>
      <c r="AH46" s="56">
        <v>0.29876879699248121</v>
      </c>
      <c r="AI46" s="56">
        <v>0.29876879699248121</v>
      </c>
      <c r="AJ46" s="56">
        <v>0.29876879699248121</v>
      </c>
      <c r="AK46" s="56">
        <v>0.29876879699248121</v>
      </c>
      <c r="AL46" s="56">
        <v>0.29876879699248121</v>
      </c>
      <c r="AM46" s="56">
        <v>0.29876879699248121</v>
      </c>
      <c r="AN46" s="56">
        <v>0.29876879699248121</v>
      </c>
      <c r="AO46" s="56">
        <v>0.29876879699248121</v>
      </c>
      <c r="AP46" s="56">
        <v>0.29876879699248121</v>
      </c>
      <c r="AQ46" s="56">
        <v>0.29876879699248121</v>
      </c>
      <c r="AR46" s="8"/>
      <c r="AS46" s="8" t="s">
        <v>55</v>
      </c>
      <c r="AT46" s="69" t="s">
        <v>55</v>
      </c>
      <c r="AU46" s="69" t="s">
        <v>55</v>
      </c>
      <c r="AV46" s="69">
        <v>0.2811436170212766</v>
      </c>
      <c r="AW46" s="69">
        <v>0.2340153452685422</v>
      </c>
      <c r="AX46" s="69">
        <v>0.39279742765273312</v>
      </c>
      <c r="AY46" s="69">
        <v>0.37253229974160207</v>
      </c>
      <c r="AZ46" s="69">
        <v>0.44791122715404702</v>
      </c>
      <c r="BA46" s="69">
        <v>0.43947530864197532</v>
      </c>
      <c r="BB46" s="69">
        <v>0.46219135802469136</v>
      </c>
      <c r="BC46" s="69">
        <v>0.36979262672811058</v>
      </c>
      <c r="BD46" s="69">
        <v>0.29991507430997877</v>
      </c>
      <c r="BE46" s="69">
        <v>0.36507812499999998</v>
      </c>
      <c r="BF46" s="69">
        <v>0.46105263157894738</v>
      </c>
      <c r="BG46" s="69">
        <v>0.48567398119122257</v>
      </c>
      <c r="BH46" s="69">
        <v>0.31726681127982648</v>
      </c>
      <c r="BI46" s="69">
        <v>0.25016768292682928</v>
      </c>
      <c r="BJ46" s="69">
        <v>0.22744353182751539</v>
      </c>
      <c r="BK46" s="69">
        <v>0.26612778315585672</v>
      </c>
      <c r="BL46" s="89">
        <v>0.29876879699248121</v>
      </c>
      <c r="BM46" s="69">
        <v>0.29876879699248121</v>
      </c>
      <c r="BN46" s="69">
        <v>0.29876879699248121</v>
      </c>
      <c r="BO46" s="69">
        <v>0.29876879699248121</v>
      </c>
      <c r="BP46" s="69">
        <v>0.29876879699248121</v>
      </c>
      <c r="BQ46" s="69">
        <v>0.29876879699248121</v>
      </c>
    </row>
    <row r="47" spans="1:69" ht="12" customHeight="1" outlineLevel="1">
      <c r="A47" s="91" t="s">
        <v>115</v>
      </c>
      <c r="B47" s="87" t="s">
        <v>462</v>
      </c>
      <c r="C47" s="8"/>
      <c r="D47" s="41" t="s">
        <v>214</v>
      </c>
      <c r="E47" s="41" t="s">
        <v>214</v>
      </c>
      <c r="F47" s="41" t="s">
        <v>214</v>
      </c>
      <c r="G47" s="41" t="s">
        <v>214</v>
      </c>
      <c r="H47" s="41" t="s">
        <v>214</v>
      </c>
      <c r="I47" s="41" t="s">
        <v>214</v>
      </c>
      <c r="J47" s="59" t="s">
        <v>214</v>
      </c>
      <c r="K47" s="59" t="s">
        <v>214</v>
      </c>
      <c r="L47" s="59" t="s">
        <v>214</v>
      </c>
      <c r="M47" s="59" t="s">
        <v>214</v>
      </c>
      <c r="N47" s="59" t="s">
        <v>214</v>
      </c>
      <c r="O47" s="59" t="s">
        <v>214</v>
      </c>
      <c r="P47" s="59" t="s">
        <v>214</v>
      </c>
      <c r="Q47" s="59" t="s">
        <v>214</v>
      </c>
      <c r="R47" s="59" t="s">
        <v>214</v>
      </c>
      <c r="S47" s="59" t="s">
        <v>214</v>
      </c>
      <c r="T47" s="59" t="s">
        <v>214</v>
      </c>
      <c r="U47" s="59" t="s">
        <v>214</v>
      </c>
      <c r="V47" s="59" t="s">
        <v>214</v>
      </c>
      <c r="W47" s="59" t="s">
        <v>214</v>
      </c>
      <c r="X47" s="59" t="s">
        <v>214</v>
      </c>
      <c r="Y47" s="59" t="s">
        <v>214</v>
      </c>
      <c r="Z47" s="59" t="s">
        <v>214</v>
      </c>
      <c r="AA47" s="59" t="s">
        <v>214</v>
      </c>
      <c r="AB47" s="59" t="s">
        <v>214</v>
      </c>
      <c r="AC47" s="59" t="s">
        <v>214</v>
      </c>
      <c r="AD47" s="59" t="s">
        <v>214</v>
      </c>
      <c r="AE47" s="59" t="s">
        <v>214</v>
      </c>
      <c r="AF47" s="59" t="s">
        <v>214</v>
      </c>
      <c r="AG47" s="60" t="s">
        <v>214</v>
      </c>
      <c r="AH47" s="59" t="s">
        <v>214</v>
      </c>
      <c r="AI47" s="59" t="s">
        <v>214</v>
      </c>
      <c r="AJ47" s="59" t="s">
        <v>214</v>
      </c>
      <c r="AK47" s="59" t="s">
        <v>214</v>
      </c>
      <c r="AL47" s="59" t="s">
        <v>214</v>
      </c>
      <c r="AM47" s="59" t="s">
        <v>214</v>
      </c>
      <c r="AN47" s="59" t="s">
        <v>214</v>
      </c>
      <c r="AO47" s="59" t="s">
        <v>214</v>
      </c>
      <c r="AP47" s="59" t="s">
        <v>214</v>
      </c>
      <c r="AQ47" s="59" t="s">
        <v>214</v>
      </c>
      <c r="AR47" s="8"/>
      <c r="AS47" s="8" t="s">
        <v>214</v>
      </c>
      <c r="AT47" s="41" t="s">
        <v>214</v>
      </c>
      <c r="AU47" s="41" t="s">
        <v>214</v>
      </c>
      <c r="AV47" s="41" t="s">
        <v>214</v>
      </c>
      <c r="AW47" s="41" t="s">
        <v>214</v>
      </c>
      <c r="AX47" s="41" t="s">
        <v>214</v>
      </c>
      <c r="AY47" s="41" t="s">
        <v>214</v>
      </c>
      <c r="AZ47" s="41" t="s">
        <v>214</v>
      </c>
      <c r="BA47" s="41" t="s">
        <v>214</v>
      </c>
      <c r="BB47" s="41" t="s">
        <v>214</v>
      </c>
      <c r="BC47" s="41" t="s">
        <v>214</v>
      </c>
      <c r="BD47" s="41" t="s">
        <v>214</v>
      </c>
      <c r="BE47" s="41" t="s">
        <v>214</v>
      </c>
      <c r="BF47" s="41" t="s">
        <v>214</v>
      </c>
      <c r="BG47" s="41" t="s">
        <v>214</v>
      </c>
      <c r="BH47" s="41" t="s">
        <v>214</v>
      </c>
      <c r="BI47" s="41" t="s">
        <v>214</v>
      </c>
      <c r="BJ47" s="41" t="s">
        <v>214</v>
      </c>
      <c r="BK47" s="41" t="s">
        <v>214</v>
      </c>
      <c r="BL47" s="42" t="s">
        <v>214</v>
      </c>
      <c r="BM47" s="41" t="s">
        <v>214</v>
      </c>
      <c r="BN47" s="41" t="s">
        <v>214</v>
      </c>
      <c r="BO47" s="41" t="s">
        <v>214</v>
      </c>
      <c r="BP47" s="41" t="s">
        <v>214</v>
      </c>
      <c r="BQ47" s="41" t="s">
        <v>214</v>
      </c>
    </row>
    <row r="48" spans="1:69" ht="12" customHeight="1" outlineLevel="1">
      <c r="A48" s="91" t="s">
        <v>213</v>
      </c>
      <c r="B48" s="87" t="s">
        <v>463</v>
      </c>
      <c r="C48" s="8"/>
      <c r="D48" s="166">
        <v>8.2500000000000004E-2</v>
      </c>
      <c r="E48" s="166">
        <v>8.2500000000000004E-2</v>
      </c>
      <c r="F48" s="166">
        <v>8.2500000000000004E-2</v>
      </c>
      <c r="G48" s="166">
        <v>8.2500000000000004E-2</v>
      </c>
      <c r="H48" s="166">
        <v>8.2500000000000004E-2</v>
      </c>
      <c r="I48" s="166">
        <v>8.2500000000000004E-2</v>
      </c>
      <c r="J48" s="166">
        <v>8.2500000000000004E-2</v>
      </c>
      <c r="K48" s="166">
        <v>8.2500000000000004E-2</v>
      </c>
      <c r="L48" s="166">
        <v>8.2500000000000004E-2</v>
      </c>
      <c r="M48" s="166">
        <v>8.2500000000000004E-2</v>
      </c>
      <c r="N48" s="166">
        <v>8.5000000000000006E-2</v>
      </c>
      <c r="O48" s="166">
        <v>8.5000000000000006E-2</v>
      </c>
      <c r="P48" s="166">
        <v>8.5000000000000006E-2</v>
      </c>
      <c r="Q48" s="166">
        <v>8.5000000000000006E-2</v>
      </c>
      <c r="R48" s="166">
        <v>8.5000000000000006E-2</v>
      </c>
      <c r="S48" s="166">
        <v>8.5000000000000006E-2</v>
      </c>
      <c r="T48" s="166">
        <v>9.5000000000000001E-2</v>
      </c>
      <c r="U48" s="166">
        <v>9.5000000000000001E-2</v>
      </c>
      <c r="V48" s="166">
        <v>9.5000000000000001E-2</v>
      </c>
      <c r="W48" s="166">
        <v>9.5000000000000001E-2</v>
      </c>
      <c r="X48" s="166">
        <v>9.5000000000000001E-2</v>
      </c>
      <c r="Y48" s="166">
        <v>9.5000000000000001E-2</v>
      </c>
      <c r="Z48" s="166">
        <v>9.5000000000000001E-2</v>
      </c>
      <c r="AA48" s="166">
        <v>9.5000000000000001E-2</v>
      </c>
      <c r="AB48" s="166">
        <v>9.5000000000000001E-2</v>
      </c>
      <c r="AC48" s="166">
        <v>9.5000000000000001E-2</v>
      </c>
      <c r="AD48" s="166">
        <v>9.5000000000000001E-2</v>
      </c>
      <c r="AE48" s="166">
        <v>0.10249999999999999</v>
      </c>
      <c r="AF48" s="166">
        <v>0.105</v>
      </c>
      <c r="AG48" s="355">
        <v>0.105</v>
      </c>
      <c r="AH48" s="66">
        <v>0.105</v>
      </c>
      <c r="AI48" s="66">
        <v>0.105</v>
      </c>
      <c r="AJ48" s="66">
        <v>0.105</v>
      </c>
      <c r="AK48" s="66">
        <v>0.105</v>
      </c>
      <c r="AL48" s="66">
        <v>0.105</v>
      </c>
      <c r="AM48" s="66">
        <v>0.105</v>
      </c>
      <c r="AN48" s="66">
        <v>0.105</v>
      </c>
      <c r="AO48" s="66">
        <v>0.105</v>
      </c>
      <c r="AP48" s="66">
        <v>0.105</v>
      </c>
      <c r="AQ48" s="66">
        <v>0.105</v>
      </c>
      <c r="AR48" s="8"/>
      <c r="AS48" s="166">
        <v>8.2500000000000004E-2</v>
      </c>
      <c r="AT48" s="166">
        <v>8.2500000000000004E-2</v>
      </c>
      <c r="AU48" s="166">
        <v>8.2500000000000004E-2</v>
      </c>
      <c r="AV48" s="166">
        <v>8.2500000000000004E-2</v>
      </c>
      <c r="AW48" s="166">
        <v>8.2500000000000004E-2</v>
      </c>
      <c r="AX48" s="37">
        <v>8.2500000000000004E-2</v>
      </c>
      <c r="AY48" s="37">
        <v>8.2500000000000004E-2</v>
      </c>
      <c r="AZ48" s="37">
        <v>8.2500000000000004E-2</v>
      </c>
      <c r="BA48" s="37">
        <v>8.2500000000000004E-2</v>
      </c>
      <c r="BB48" s="37">
        <v>8.2500000000000004E-2</v>
      </c>
      <c r="BC48" s="37">
        <v>8.5000000000000006E-2</v>
      </c>
      <c r="BD48" s="37">
        <v>8.5000000000000006E-2</v>
      </c>
      <c r="BE48" s="37">
        <v>8.5000000000000006E-2</v>
      </c>
      <c r="BF48" s="37">
        <v>9.5000000000000001E-2</v>
      </c>
      <c r="BG48" s="37">
        <v>9.5000000000000001E-2</v>
      </c>
      <c r="BH48" s="37">
        <v>9.5000000000000001E-2</v>
      </c>
      <c r="BI48" s="37">
        <v>9.5000000000000001E-2</v>
      </c>
      <c r="BJ48" s="37">
        <v>9.5000000000000001E-2</v>
      </c>
      <c r="BK48" s="37">
        <v>0.10249999999999999</v>
      </c>
      <c r="BL48" s="38">
        <v>0.105</v>
      </c>
      <c r="BM48" s="37">
        <v>0.105</v>
      </c>
      <c r="BN48" s="37">
        <v>0.105</v>
      </c>
      <c r="BO48" s="37">
        <v>0.105</v>
      </c>
      <c r="BP48" s="37">
        <v>0.105</v>
      </c>
      <c r="BQ48" s="37">
        <v>0.105</v>
      </c>
    </row>
    <row r="49" spans="1:69" ht="12" customHeight="1" outlineLevel="1">
      <c r="A49" s="91" t="s">
        <v>116</v>
      </c>
      <c r="B49" s="1" t="s">
        <v>464</v>
      </c>
      <c r="C49" s="8"/>
      <c r="D49" s="69">
        <v>0.10638643752902927</v>
      </c>
      <c r="E49" s="69">
        <v>0.10574018126888217</v>
      </c>
      <c r="F49" s="69">
        <v>9.9174939005084464E-2</v>
      </c>
      <c r="G49" s="69">
        <v>9.886281588447654E-2</v>
      </c>
      <c r="H49" s="69">
        <v>0.11301887120015278</v>
      </c>
      <c r="I49" s="69">
        <v>0.1013387047897467</v>
      </c>
      <c r="J49" s="69">
        <v>9.8357436172112123E-2</v>
      </c>
      <c r="K49" s="69">
        <v>9.7168211330580914E-2</v>
      </c>
      <c r="L49" s="69">
        <v>9.7622684743173579E-2</v>
      </c>
      <c r="M49" s="69">
        <v>9.6167311029255076E-2</v>
      </c>
      <c r="N49" s="69">
        <v>8.7299658293181592E-2</v>
      </c>
      <c r="O49" s="69">
        <v>9.7284361668921029E-2</v>
      </c>
      <c r="P49" s="69">
        <v>9.8659587431456169E-2</v>
      </c>
      <c r="Q49" s="69">
        <v>0.10739256480218282</v>
      </c>
      <c r="R49" s="69">
        <v>0.1042436804205218</v>
      </c>
      <c r="S49" s="69">
        <v>0.11135798080341272</v>
      </c>
      <c r="T49" s="69">
        <v>0.11044909344490934</v>
      </c>
      <c r="U49" s="69">
        <v>0.11041098877139431</v>
      </c>
      <c r="V49" s="69">
        <v>0.10394791666666667</v>
      </c>
      <c r="W49" s="69">
        <v>0.11402660061663893</v>
      </c>
      <c r="X49" s="69">
        <v>0.11391499795668165</v>
      </c>
      <c r="Y49" s="69">
        <v>0.12187035913740091</v>
      </c>
      <c r="Z49" s="69">
        <v>0.13530929286784504</v>
      </c>
      <c r="AA49" s="69">
        <v>0.12595744680851065</v>
      </c>
      <c r="AB49" s="69">
        <v>0.11725619806183823</v>
      </c>
      <c r="AC49" s="69">
        <v>0.11462798530312308</v>
      </c>
      <c r="AD49" s="69">
        <v>0.12765832624446335</v>
      </c>
      <c r="AE49" s="69">
        <v>0.13650620919216488</v>
      </c>
      <c r="AF49" s="69">
        <v>0.13229054524729275</v>
      </c>
      <c r="AG49" s="89">
        <v>0.13617453225570791</v>
      </c>
      <c r="AH49" s="69">
        <v>0.1297816946455185</v>
      </c>
      <c r="AI49" s="69">
        <v>0.1264323633662327</v>
      </c>
      <c r="AJ49" s="69">
        <v>0.12646131426376239</v>
      </c>
      <c r="AK49" s="69">
        <v>0.12880116783328527</v>
      </c>
      <c r="AL49" s="69">
        <v>0.12821609636342524</v>
      </c>
      <c r="AM49" s="69">
        <v>0.13095436478727146</v>
      </c>
      <c r="AN49" s="69">
        <v>0.13040040515425558</v>
      </c>
      <c r="AO49" s="69">
        <v>0.1330978754904022</v>
      </c>
      <c r="AP49" s="69">
        <v>0.13254785960886176</v>
      </c>
      <c r="AQ49" s="69">
        <v>0.13524495717087606</v>
      </c>
      <c r="AR49" s="8"/>
      <c r="AS49" s="69">
        <v>0.11203277527692074</v>
      </c>
      <c r="AT49" s="69">
        <v>8.994469757573649E-2</v>
      </c>
      <c r="AU49" s="69">
        <v>0.11841771187731681</v>
      </c>
      <c r="AV49" s="69">
        <v>9.4840787875587473E-2</v>
      </c>
      <c r="AW49" s="69">
        <v>9.1636066911464711E-2</v>
      </c>
      <c r="AX49" s="69">
        <v>0.10574018126888217</v>
      </c>
      <c r="AY49" s="69">
        <v>9.886281588447654E-2</v>
      </c>
      <c r="AZ49" s="69">
        <v>0.1013387047897467</v>
      </c>
      <c r="BA49" s="69">
        <v>9.7168211330580914E-2</v>
      </c>
      <c r="BB49" s="69">
        <v>9.6167311029255076E-2</v>
      </c>
      <c r="BC49" s="69">
        <v>9.7284361668921029E-2</v>
      </c>
      <c r="BD49" s="69">
        <v>0.10739256480218282</v>
      </c>
      <c r="BE49" s="69">
        <v>0.11135798080341272</v>
      </c>
      <c r="BF49" s="69">
        <v>0.11041098877139431</v>
      </c>
      <c r="BG49" s="69">
        <v>0.11402660061663893</v>
      </c>
      <c r="BH49" s="69">
        <v>0.12187035913740091</v>
      </c>
      <c r="BI49" s="69">
        <v>0.12595744680851065</v>
      </c>
      <c r="BJ49" s="69">
        <v>0.11462798530312308</v>
      </c>
      <c r="BK49" s="69">
        <v>0.13650620919216488</v>
      </c>
      <c r="BL49" s="89">
        <v>0.13617453225570791</v>
      </c>
      <c r="BM49" s="69">
        <v>0.1264323633662327</v>
      </c>
      <c r="BN49" s="69">
        <v>0.12880116783328527</v>
      </c>
      <c r="BO49" s="69">
        <v>0.13095436478727146</v>
      </c>
      <c r="BP49" s="69">
        <v>0.1330978754904022</v>
      </c>
      <c r="BQ49" s="69">
        <v>0.13524495717087606</v>
      </c>
    </row>
    <row r="50" spans="1:69" ht="12" customHeight="1" outlineLevel="1">
      <c r="B50" s="1" t="s">
        <v>119</v>
      </c>
      <c r="C50" s="8"/>
      <c r="D50" s="157">
        <v>0.1125</v>
      </c>
      <c r="E50" s="157">
        <v>0.13690476190476192</v>
      </c>
      <c r="F50" s="157">
        <v>0.13020833333333334</v>
      </c>
      <c r="G50" s="157">
        <v>0.13636363636363635</v>
      </c>
      <c r="H50" s="157">
        <v>0.14772727272727273</v>
      </c>
      <c r="I50" s="157">
        <v>8.6956521739130432E-2</v>
      </c>
      <c r="J50" s="157">
        <v>0.11805555555555555</v>
      </c>
      <c r="K50" s="157">
        <v>0.1388888888888889</v>
      </c>
      <c r="L50" s="157">
        <v>0.125</v>
      </c>
      <c r="M50" s="157">
        <v>0.15277777777777779</v>
      </c>
      <c r="N50" s="157">
        <v>0.16911764705882354</v>
      </c>
      <c r="O50" s="157">
        <v>0.19736842105263158</v>
      </c>
      <c r="P50" s="157">
        <v>0.13970588235294118</v>
      </c>
      <c r="Q50" s="157">
        <v>0.15</v>
      </c>
      <c r="R50" s="157">
        <v>0.16176470588235295</v>
      </c>
      <c r="S50" s="157">
        <v>0.14705882352941177</v>
      </c>
      <c r="T50" s="157">
        <v>0.15277777777777779</v>
      </c>
      <c r="U50" s="157">
        <v>0.19444444444444445</v>
      </c>
      <c r="V50" s="157">
        <v>0.22619047619047619</v>
      </c>
      <c r="W50" s="157">
        <v>0.21249999999999999</v>
      </c>
      <c r="X50" s="157">
        <v>0.39583333333333331</v>
      </c>
      <c r="Y50" s="157">
        <v>0.12028301886792453</v>
      </c>
      <c r="Z50" s="157">
        <v>0.19090909090909092</v>
      </c>
      <c r="AA50" s="157">
        <v>0.21739130434782608</v>
      </c>
      <c r="AB50" s="157">
        <v>0.1581858407079646</v>
      </c>
      <c r="AC50" s="157">
        <v>0.17845394736842105</v>
      </c>
      <c r="AD50" s="157">
        <v>0.22890625000000001</v>
      </c>
      <c r="AE50" s="157">
        <v>0.21266233766233766</v>
      </c>
      <c r="AF50" s="157">
        <v>0.26113013698630139</v>
      </c>
      <c r="AG50" s="158">
        <v>0.22373188405797101</v>
      </c>
      <c r="AH50" s="68">
        <v>0.22373188405797101</v>
      </c>
      <c r="AI50" s="68">
        <v>0.22373188405797101</v>
      </c>
      <c r="AJ50" s="68">
        <v>0.22373188405797101</v>
      </c>
      <c r="AK50" s="68">
        <v>0.22373188405797101</v>
      </c>
      <c r="AL50" s="68">
        <v>0.22373188405797101</v>
      </c>
      <c r="AM50" s="68">
        <v>0.22373188405797101</v>
      </c>
      <c r="AN50" s="68">
        <v>0.22373188405797101</v>
      </c>
      <c r="AO50" s="68">
        <v>0.22373188405797101</v>
      </c>
      <c r="AP50" s="68">
        <v>0.22373188405797101</v>
      </c>
      <c r="AQ50" s="68">
        <v>0.22373188405797101</v>
      </c>
      <c r="AR50" s="8"/>
      <c r="AS50" s="8" t="s">
        <v>55</v>
      </c>
      <c r="AT50" s="157" t="s">
        <v>55</v>
      </c>
      <c r="AU50" s="157" t="s">
        <v>55</v>
      </c>
      <c r="AV50" s="157">
        <v>0</v>
      </c>
      <c r="AW50" s="157">
        <v>4.1666666666666664E-2</v>
      </c>
      <c r="AX50" s="157">
        <v>0.13690476190476192</v>
      </c>
      <c r="AY50" s="157">
        <v>0.13636363636363635</v>
      </c>
      <c r="AZ50" s="157">
        <v>8.6956521739130432E-2</v>
      </c>
      <c r="BA50" s="157">
        <v>0.1388888888888889</v>
      </c>
      <c r="BB50" s="157">
        <v>0.15277777777777779</v>
      </c>
      <c r="BC50" s="157">
        <v>0.19736842105263158</v>
      </c>
      <c r="BD50" s="157">
        <v>0.15</v>
      </c>
      <c r="BE50" s="157">
        <v>0.14705882352941177</v>
      </c>
      <c r="BF50" s="157">
        <v>0.19444444444444445</v>
      </c>
      <c r="BG50" s="157">
        <v>0.21249999999999999</v>
      </c>
      <c r="BH50" s="157">
        <v>0.12028301886792453</v>
      </c>
      <c r="BI50" s="157">
        <v>0.21739130434782608</v>
      </c>
      <c r="BJ50" s="157">
        <v>0.17845394736842105</v>
      </c>
      <c r="BK50" s="157">
        <v>0.21266233766233766</v>
      </c>
      <c r="BL50" s="158">
        <v>0.22373188405797101</v>
      </c>
      <c r="BM50" s="157">
        <v>0.22373188405797098</v>
      </c>
      <c r="BN50" s="157">
        <v>0.22373188405797101</v>
      </c>
      <c r="BO50" s="157">
        <v>0.22373188405797101</v>
      </c>
      <c r="BP50" s="157">
        <v>0.22373188405797101</v>
      </c>
      <c r="BQ50" s="157">
        <v>0.22373188405797101</v>
      </c>
    </row>
    <row r="51" spans="1:69" ht="12" customHeight="1" outlineLevel="1">
      <c r="B51" s="1" t="s">
        <v>120</v>
      </c>
      <c r="C51" s="8"/>
      <c r="D51" s="157">
        <v>0.90909090909090906</v>
      </c>
      <c r="E51" s="157">
        <v>0.7589285714285714</v>
      </c>
      <c r="F51" s="157">
        <v>1</v>
      </c>
      <c r="G51" s="157">
        <v>1.2410714285714286</v>
      </c>
      <c r="H51" s="157">
        <v>1.3194444444444444</v>
      </c>
      <c r="I51" s="157">
        <v>1.1057692307692308</v>
      </c>
      <c r="J51" s="157">
        <v>0.88235294117647056</v>
      </c>
      <c r="K51" s="157">
        <v>1.3303571428571428</v>
      </c>
      <c r="L51" s="157">
        <v>1.7142857142857142</v>
      </c>
      <c r="M51" s="157">
        <v>1.5625</v>
      </c>
      <c r="N51" s="157">
        <v>1.4270833333333333</v>
      </c>
      <c r="O51" s="157">
        <v>1.3229166666666667</v>
      </c>
      <c r="P51" s="157">
        <v>1.1736111111111112</v>
      </c>
      <c r="Q51" s="157">
        <v>0.9375</v>
      </c>
      <c r="R51" s="157">
        <v>1.3269230769230769</v>
      </c>
      <c r="S51" s="157">
        <v>1.1346153846153846</v>
      </c>
      <c r="T51" s="157">
        <v>1.3295454545454546</v>
      </c>
      <c r="U51" s="157">
        <v>1.55</v>
      </c>
      <c r="V51" s="157">
        <v>1.515625</v>
      </c>
      <c r="W51" s="157">
        <v>1.552389705882353</v>
      </c>
      <c r="X51" s="157">
        <v>1.0738636363636365</v>
      </c>
      <c r="Y51" s="157">
        <v>1.0412087912087913</v>
      </c>
      <c r="Z51" s="157">
        <v>1.2113970588235294</v>
      </c>
      <c r="AA51" s="157">
        <v>1.2590579710144927</v>
      </c>
      <c r="AB51" s="157">
        <v>1.20875</v>
      </c>
      <c r="AC51" s="157">
        <v>1.3</v>
      </c>
      <c r="AD51" s="157">
        <v>1.2760736196319018</v>
      </c>
      <c r="AE51" s="157">
        <v>1.2445945945945946</v>
      </c>
      <c r="AF51" s="157">
        <v>1.243718592964824</v>
      </c>
      <c r="AG51" s="158">
        <v>1.1709302325581394</v>
      </c>
      <c r="AH51" s="68">
        <v>1.1709302325581394</v>
      </c>
      <c r="AI51" s="68">
        <v>1.1709302325581394</v>
      </c>
      <c r="AJ51" s="68">
        <v>1.1709302325581394</v>
      </c>
      <c r="AK51" s="68">
        <v>1.1709302325581394</v>
      </c>
      <c r="AL51" s="68">
        <v>1.1709302325581394</v>
      </c>
      <c r="AM51" s="68">
        <v>1.1709302325581394</v>
      </c>
      <c r="AN51" s="68">
        <v>1.1709302325581394</v>
      </c>
      <c r="AO51" s="68">
        <v>1.1709302325581394</v>
      </c>
      <c r="AP51" s="68">
        <v>1.1709302325581394</v>
      </c>
      <c r="AQ51" s="68">
        <v>1.1709302325581394</v>
      </c>
      <c r="AR51" s="8"/>
      <c r="AS51" s="8" t="s">
        <v>55</v>
      </c>
      <c r="AT51" s="157" t="s">
        <v>55</v>
      </c>
      <c r="AU51" s="157" t="s">
        <v>55</v>
      </c>
      <c r="AV51" s="157">
        <v>0</v>
      </c>
      <c r="AW51" s="157">
        <v>1.2916666666666667</v>
      </c>
      <c r="AX51" s="157">
        <v>0.7589285714285714</v>
      </c>
      <c r="AY51" s="157">
        <v>1.2410714285714286</v>
      </c>
      <c r="AZ51" s="157">
        <v>1.1057692307692308</v>
      </c>
      <c r="BA51" s="157">
        <v>1.3303571428571428</v>
      </c>
      <c r="BB51" s="157">
        <v>1.5625</v>
      </c>
      <c r="BC51" s="157">
        <v>1.3229166666666667</v>
      </c>
      <c r="BD51" s="157">
        <v>0.9375</v>
      </c>
      <c r="BE51" s="157">
        <v>1.1346153846153846</v>
      </c>
      <c r="BF51" s="157">
        <v>1.55</v>
      </c>
      <c r="BG51" s="157">
        <v>1.552389705882353</v>
      </c>
      <c r="BH51" s="157">
        <v>1.0412087912087913</v>
      </c>
      <c r="BI51" s="157">
        <v>1.2590579710144927</v>
      </c>
      <c r="BJ51" s="157">
        <v>1.3</v>
      </c>
      <c r="BK51" s="157">
        <v>1.2445945945945946</v>
      </c>
      <c r="BL51" s="158">
        <v>1.1709302325581394</v>
      </c>
      <c r="BM51" s="157">
        <v>1.1709302325581394</v>
      </c>
      <c r="BN51" s="157">
        <v>1.1709302325581394</v>
      </c>
      <c r="BO51" s="157">
        <v>1.1709302325581392</v>
      </c>
      <c r="BP51" s="157">
        <v>1.1709302325581392</v>
      </c>
      <c r="BQ51" s="157">
        <v>1.1709302325581392</v>
      </c>
    </row>
    <row r="52" spans="1:69" ht="12" customHeight="1" outlineLevel="1">
      <c r="B52" s="1" t="s">
        <v>121</v>
      </c>
      <c r="C52" s="8"/>
      <c r="D52" s="157">
        <v>0.875</v>
      </c>
      <c r="E52" s="157">
        <v>0.70833333333333337</v>
      </c>
      <c r="F52" s="157">
        <v>0.625</v>
      </c>
      <c r="G52" s="157">
        <v>0.5625</v>
      </c>
      <c r="H52" s="157">
        <v>0.75</v>
      </c>
      <c r="I52" s="157">
        <v>0.3125</v>
      </c>
      <c r="J52" s="157">
        <v>-0.25</v>
      </c>
      <c r="K52" s="157">
        <v>0.3125</v>
      </c>
      <c r="L52" s="157">
        <v>1.375</v>
      </c>
      <c r="M52" s="157">
        <v>1.35</v>
      </c>
      <c r="N52" s="157">
        <v>1.1805555555555556</v>
      </c>
      <c r="O52" s="157">
        <v>1.6041666666666667</v>
      </c>
      <c r="P52" s="157">
        <v>1.2</v>
      </c>
      <c r="Q52" s="157">
        <v>1.7</v>
      </c>
      <c r="R52" s="157">
        <v>1.3035714285714286</v>
      </c>
      <c r="S52" s="157">
        <v>2.125</v>
      </c>
      <c r="T52" s="157">
        <v>3.5416666666666665</v>
      </c>
      <c r="U52" s="157">
        <v>2.53125</v>
      </c>
      <c r="V52" s="157">
        <v>3.25</v>
      </c>
      <c r="W52" s="157">
        <v>2</v>
      </c>
      <c r="X52" s="157">
        <v>2.125</v>
      </c>
      <c r="Y52" s="157">
        <v>3.375</v>
      </c>
      <c r="Z52" s="157">
        <v>1.09375</v>
      </c>
      <c r="AA52" s="157">
        <v>1.3958333333333333</v>
      </c>
      <c r="AB52" s="157">
        <v>1.5568181818181819</v>
      </c>
      <c r="AC52" s="157">
        <v>1.5454545454545454</v>
      </c>
      <c r="AD52" s="157">
        <v>0.75</v>
      </c>
      <c r="AE52" s="157">
        <v>0.89130434782608692</v>
      </c>
      <c r="AF52" s="157">
        <v>1.51</v>
      </c>
      <c r="AG52" s="158">
        <v>0.9642857142857143</v>
      </c>
      <c r="AH52" s="68">
        <v>0.9642857142857143</v>
      </c>
      <c r="AI52" s="68">
        <v>0.9642857142857143</v>
      </c>
      <c r="AJ52" s="68">
        <v>0.9642857142857143</v>
      </c>
      <c r="AK52" s="68">
        <v>0.9642857142857143</v>
      </c>
      <c r="AL52" s="68">
        <v>0.9642857142857143</v>
      </c>
      <c r="AM52" s="68">
        <v>0.9642857142857143</v>
      </c>
      <c r="AN52" s="68">
        <v>0.9642857142857143</v>
      </c>
      <c r="AO52" s="68">
        <v>0.9642857142857143</v>
      </c>
      <c r="AP52" s="68">
        <v>0.9642857142857143</v>
      </c>
      <c r="AQ52" s="68">
        <v>0.9642857142857143</v>
      </c>
      <c r="AR52" s="8"/>
      <c r="AS52" s="8" t="s">
        <v>55</v>
      </c>
      <c r="AT52" s="157" t="s">
        <v>55</v>
      </c>
      <c r="AU52" s="157" t="s">
        <v>55</v>
      </c>
      <c r="AV52" s="157">
        <v>0</v>
      </c>
      <c r="AW52" s="157">
        <v>1.5208333333333333</v>
      </c>
      <c r="AX52" s="157">
        <v>0.70833333333333337</v>
      </c>
      <c r="AY52" s="157">
        <v>0.5625</v>
      </c>
      <c r="AZ52" s="157">
        <v>0.3125</v>
      </c>
      <c r="BA52" s="157">
        <v>0.3125</v>
      </c>
      <c r="BB52" s="157">
        <v>1.35</v>
      </c>
      <c r="BC52" s="157">
        <v>1.6041666666666667</v>
      </c>
      <c r="BD52" s="157">
        <v>1.7</v>
      </c>
      <c r="BE52" s="157">
        <v>2.125</v>
      </c>
      <c r="BF52" s="157">
        <v>2.53125</v>
      </c>
      <c r="BG52" s="157">
        <v>2</v>
      </c>
      <c r="BH52" s="157">
        <v>3.375</v>
      </c>
      <c r="BI52" s="157">
        <v>1.3958333333333333</v>
      </c>
      <c r="BJ52" s="157">
        <v>1.5454545454545454</v>
      </c>
      <c r="BK52" s="157">
        <v>0.89130434782608692</v>
      </c>
      <c r="BL52" s="158">
        <v>0.9642857142857143</v>
      </c>
      <c r="BM52" s="157">
        <v>0.9642857142857143</v>
      </c>
      <c r="BN52" s="157">
        <v>0.9642857142857143</v>
      </c>
      <c r="BO52" s="157">
        <v>0.9642857142857143</v>
      </c>
      <c r="BP52" s="157">
        <v>0.9642857142857143</v>
      </c>
      <c r="BQ52" s="157">
        <v>0.9642857142857143</v>
      </c>
    </row>
    <row r="53" spans="1:69" ht="12" customHeight="1" outlineLevel="1">
      <c r="B53" s="1" t="s">
        <v>122</v>
      </c>
      <c r="C53" s="8"/>
      <c r="D53" s="157">
        <v>5.5875000000000004</v>
      </c>
      <c r="E53" s="157">
        <v>5.4006410256410255</v>
      </c>
      <c r="F53" s="157">
        <v>5.5213414634146343</v>
      </c>
      <c r="G53" s="157">
        <v>5.5592105263157894</v>
      </c>
      <c r="H53" s="157">
        <v>5.5535714285714288</v>
      </c>
      <c r="I53" s="157">
        <v>5.7937500000000002</v>
      </c>
      <c r="J53" s="157">
        <v>6.0705128205128203</v>
      </c>
      <c r="K53" s="157">
        <v>6.0255681818181817</v>
      </c>
      <c r="L53" s="157">
        <v>5.7324999999999999</v>
      </c>
      <c r="M53" s="157">
        <v>5.8040540540540544</v>
      </c>
      <c r="N53" s="157">
        <v>5.770833333333333</v>
      </c>
      <c r="O53" s="157">
        <v>5.8375000000000004</v>
      </c>
      <c r="P53" s="157">
        <v>5.6446078431372548</v>
      </c>
      <c r="Q53" s="157">
        <v>5.6223404255319149</v>
      </c>
      <c r="R53" s="157">
        <v>5.4527777777777775</v>
      </c>
      <c r="S53" s="157">
        <v>5.4627659574468082</v>
      </c>
      <c r="T53" s="157">
        <v>4.9184782608695654</v>
      </c>
      <c r="U53" s="157">
        <v>5.4104166666666664</v>
      </c>
      <c r="V53" s="157">
        <v>5.7022727272727272</v>
      </c>
      <c r="W53" s="157">
        <v>5.6204545454545451</v>
      </c>
      <c r="X53" s="157">
        <v>6.3156249999999998</v>
      </c>
      <c r="Y53" s="157">
        <v>6.0910714285714285</v>
      </c>
      <c r="Z53" s="157">
        <v>6.0381355932203391</v>
      </c>
      <c r="AA53" s="157">
        <v>5.6610576923076925</v>
      </c>
      <c r="AB53" s="157">
        <v>5.1188524590163933</v>
      </c>
      <c r="AC53" s="157">
        <v>5.2675438596491224</v>
      </c>
      <c r="AD53" s="157">
        <v>5.9141791044776122</v>
      </c>
      <c r="AE53" s="157">
        <v>6.3694029850746272</v>
      </c>
      <c r="AF53" s="157">
        <v>6.4230769230769234</v>
      </c>
      <c r="AG53" s="158">
        <v>5.6729797979797976</v>
      </c>
      <c r="AH53" s="68">
        <v>5.6729797979797976</v>
      </c>
      <c r="AI53" s="68">
        <v>5.6729797979797976</v>
      </c>
      <c r="AJ53" s="68">
        <v>5.6729797979797976</v>
      </c>
      <c r="AK53" s="68">
        <v>5.6729797979797976</v>
      </c>
      <c r="AL53" s="68">
        <v>5.6729797979797976</v>
      </c>
      <c r="AM53" s="68">
        <v>5.6729797979797976</v>
      </c>
      <c r="AN53" s="68">
        <v>5.6729797979797976</v>
      </c>
      <c r="AO53" s="68">
        <v>5.6729797979797976</v>
      </c>
      <c r="AP53" s="68">
        <v>5.6729797979797976</v>
      </c>
      <c r="AQ53" s="68">
        <v>5.6729797979797976</v>
      </c>
      <c r="AR53" s="8"/>
      <c r="AS53" s="8" t="s">
        <v>55</v>
      </c>
      <c r="AT53" s="157" t="s">
        <v>55</v>
      </c>
      <c r="AU53" s="157" t="s">
        <v>55</v>
      </c>
      <c r="AV53" s="157">
        <v>0</v>
      </c>
      <c r="AW53" s="157">
        <v>5.0961538461538458</v>
      </c>
      <c r="AX53" s="157">
        <v>5.4006410256410255</v>
      </c>
      <c r="AY53" s="157">
        <v>5.5592105263157894</v>
      </c>
      <c r="AZ53" s="157">
        <v>5.7937500000000002</v>
      </c>
      <c r="BA53" s="157">
        <v>6.0255681818181817</v>
      </c>
      <c r="BB53" s="157">
        <v>5.8040540540540544</v>
      </c>
      <c r="BC53" s="157">
        <v>5.8375000000000004</v>
      </c>
      <c r="BD53" s="157">
        <v>5.6223404255319149</v>
      </c>
      <c r="BE53" s="157">
        <v>5.4627659574468082</v>
      </c>
      <c r="BF53" s="157">
        <v>5.4104166666666664</v>
      </c>
      <c r="BG53" s="157">
        <v>5.6204545454545451</v>
      </c>
      <c r="BH53" s="157">
        <v>6.0910714285714285</v>
      </c>
      <c r="BI53" s="157">
        <v>5.6610576923076925</v>
      </c>
      <c r="BJ53" s="157">
        <v>5.2675438596491224</v>
      </c>
      <c r="BK53" s="157">
        <v>6.3694029850746272</v>
      </c>
      <c r="BL53" s="158">
        <v>5.6729797979797976</v>
      </c>
      <c r="BM53" s="157">
        <v>5.6729797979797967</v>
      </c>
      <c r="BN53" s="157">
        <v>5.6729797979797976</v>
      </c>
      <c r="BO53" s="157">
        <v>5.6729797979797985</v>
      </c>
      <c r="BP53" s="157">
        <v>5.6729797979797985</v>
      </c>
      <c r="BQ53" s="157">
        <v>5.6729797979797976</v>
      </c>
    </row>
    <row r="54" spans="1:69" ht="12" customHeight="1" outlineLevel="1">
      <c r="B54" s="1" t="s">
        <v>123</v>
      </c>
      <c r="C54" s="8"/>
      <c r="D54" s="157">
        <v>2.1979166666666665</v>
      </c>
      <c r="E54" s="157">
        <v>3.8333333333333335</v>
      </c>
      <c r="F54" s="157">
        <v>3.55</v>
      </c>
      <c r="G54" s="157">
        <v>4.0625</v>
      </c>
      <c r="H54" s="157">
        <v>3.0961538461538463</v>
      </c>
      <c r="I54" s="157">
        <v>5.0555555555555554</v>
      </c>
      <c r="J54" s="157">
        <v>2.1029411764705883</v>
      </c>
      <c r="K54" s="157">
        <v>3.2954545454545454</v>
      </c>
      <c r="L54" s="157">
        <v>3.0520833333333335</v>
      </c>
      <c r="M54" s="157">
        <v>5.1071428571428568</v>
      </c>
      <c r="N54" s="157">
        <v>5.5357142857142856</v>
      </c>
      <c r="O54" s="157">
        <v>4.5357142857142856</v>
      </c>
      <c r="P54" s="157">
        <v>3.5104166666666665</v>
      </c>
      <c r="Q54" s="157">
        <v>3.1124999999999998</v>
      </c>
      <c r="R54" s="157">
        <v>2.2589285714285716</v>
      </c>
      <c r="S54" s="157">
        <v>2.25</v>
      </c>
      <c r="T54" s="157">
        <v>3.4375</v>
      </c>
      <c r="U54" s="157">
        <v>3</v>
      </c>
      <c r="V54" s="157">
        <v>4.9673913043478262</v>
      </c>
      <c r="W54" s="157">
        <v>4.84375</v>
      </c>
      <c r="X54" s="157">
        <v>4.3146551724137927</v>
      </c>
      <c r="Y54" s="157">
        <v>4.540322580645161</v>
      </c>
      <c r="Z54" s="157">
        <v>4.4800000000000004</v>
      </c>
      <c r="AA54" s="157">
        <v>5.6904761904761907</v>
      </c>
      <c r="AB54" s="157">
        <v>6.5535714285714288</v>
      </c>
      <c r="AC54" s="157">
        <v>6.2263513513513518</v>
      </c>
      <c r="AD54" s="157">
        <v>4.4910714285714288</v>
      </c>
      <c r="AE54" s="157">
        <v>6.015625</v>
      </c>
      <c r="AF54" s="157">
        <v>5.9857954545454541</v>
      </c>
      <c r="AG54" s="158">
        <v>5.7062499999999998</v>
      </c>
      <c r="AH54" s="68">
        <v>5.7062499999999998</v>
      </c>
      <c r="AI54" s="68">
        <v>5.7062499999999998</v>
      </c>
      <c r="AJ54" s="68">
        <v>5.7062499999999998</v>
      </c>
      <c r="AK54" s="68">
        <v>5.7062499999999998</v>
      </c>
      <c r="AL54" s="68">
        <v>5.7062499999999998</v>
      </c>
      <c r="AM54" s="68">
        <v>5.7062499999999998</v>
      </c>
      <c r="AN54" s="68">
        <v>5.7062499999999998</v>
      </c>
      <c r="AO54" s="68">
        <v>5.7062499999999998</v>
      </c>
      <c r="AP54" s="68">
        <v>5.7062499999999998</v>
      </c>
      <c r="AQ54" s="68">
        <v>5.7062499999999998</v>
      </c>
      <c r="AR54" s="8"/>
      <c r="AS54" s="8" t="s">
        <v>55</v>
      </c>
      <c r="AT54" s="157" t="s">
        <v>55</v>
      </c>
      <c r="AU54" s="157" t="s">
        <v>55</v>
      </c>
      <c r="AV54" s="157">
        <v>0</v>
      </c>
      <c r="AW54" s="157">
        <v>3.0833333333333335</v>
      </c>
      <c r="AX54" s="157">
        <v>3.8333333333333335</v>
      </c>
      <c r="AY54" s="157">
        <v>4.0625</v>
      </c>
      <c r="AZ54" s="157">
        <v>5.0555555555555554</v>
      </c>
      <c r="BA54" s="157">
        <v>3.2954545454545454</v>
      </c>
      <c r="BB54" s="157">
        <v>5.1071428571428568</v>
      </c>
      <c r="BC54" s="157">
        <v>4.5357142857142856</v>
      </c>
      <c r="BD54" s="157">
        <v>3.1124999999999998</v>
      </c>
      <c r="BE54" s="157">
        <v>2.25</v>
      </c>
      <c r="BF54" s="157">
        <v>3</v>
      </c>
      <c r="BG54" s="157">
        <v>4.84375</v>
      </c>
      <c r="BH54" s="157">
        <v>4.540322580645161</v>
      </c>
      <c r="BI54" s="157">
        <v>5.6904761904761907</v>
      </c>
      <c r="BJ54" s="157">
        <v>6.2263513513513518</v>
      </c>
      <c r="BK54" s="157">
        <v>6.015625</v>
      </c>
      <c r="BL54" s="158">
        <v>5.7062499999999998</v>
      </c>
      <c r="BM54" s="157">
        <v>5.7062499999999998</v>
      </c>
      <c r="BN54" s="157">
        <v>5.7062499999999998</v>
      </c>
      <c r="BO54" s="157">
        <v>5.7062499999999998</v>
      </c>
      <c r="BP54" s="157">
        <v>5.7062499999999998</v>
      </c>
      <c r="BQ54" s="157">
        <v>5.7062499999999998</v>
      </c>
    </row>
    <row r="55" spans="1:69" ht="12" customHeight="1" outlineLevel="1">
      <c r="A55" s="91" t="s">
        <v>117</v>
      </c>
      <c r="B55" s="87" t="s">
        <v>465</v>
      </c>
      <c r="C55" s="8"/>
      <c r="D55" s="41">
        <v>3454.5499999999997</v>
      </c>
      <c r="E55" s="41">
        <v>2886.0274999999997</v>
      </c>
      <c r="F55" s="41">
        <v>1715.3274999999994</v>
      </c>
      <c r="G55" s="41">
        <v>1791.5</v>
      </c>
      <c r="H55" s="41">
        <v>2354.9174999999996</v>
      </c>
      <c r="I55" s="41">
        <v>1656.8324999999995</v>
      </c>
      <c r="J55" s="41">
        <v>1636.1750000000002</v>
      </c>
      <c r="K55" s="41">
        <v>1715.2275</v>
      </c>
      <c r="L55" s="41">
        <v>1583.37</v>
      </c>
      <c r="M55" s="41">
        <v>1271.915</v>
      </c>
      <c r="N55" s="59">
        <v>758.84499999999935</v>
      </c>
      <c r="O55" s="59">
        <v>1626.5849999999991</v>
      </c>
      <c r="P55" s="59">
        <v>1907.4799999999996</v>
      </c>
      <c r="Q55" s="59">
        <v>2867.9599999999991</v>
      </c>
      <c r="R55" s="59">
        <v>2653.1699999999992</v>
      </c>
      <c r="S55" s="59">
        <v>3486.6399999999994</v>
      </c>
      <c r="T55" s="59">
        <v>1649.625</v>
      </c>
      <c r="U55" s="59">
        <v>1695.6499999999996</v>
      </c>
      <c r="V55" s="59">
        <v>800</v>
      </c>
      <c r="W55" s="59">
        <v>3679.8850000000002</v>
      </c>
      <c r="X55" s="59">
        <v>4003.26</v>
      </c>
      <c r="Y55" s="59">
        <v>4727.2899999999991</v>
      </c>
      <c r="Z55" s="59">
        <v>6725.1350000000002</v>
      </c>
      <c r="AA55" s="59">
        <v>6180</v>
      </c>
      <c r="AB55" s="59">
        <v>4848.1149999999998</v>
      </c>
      <c r="AC55" s="59">
        <v>6994.2000000000007</v>
      </c>
      <c r="AD55" s="59">
        <v>8274.42</v>
      </c>
      <c r="AE55" s="59">
        <v>10152.960000000001</v>
      </c>
      <c r="AF55" s="59">
        <v>7923.5600000000013</v>
      </c>
      <c r="AG55" s="60">
        <v>8103.9050000000007</v>
      </c>
      <c r="AH55" s="41">
        <v>7053.0263666899154</v>
      </c>
      <c r="AI55" s="41">
        <v>6518.5006068972925</v>
      </c>
      <c r="AJ55" s="41">
        <v>6529.8296363688387</v>
      </c>
      <c r="AK55" s="41">
        <v>7016.0879078186172</v>
      </c>
      <c r="AL55" s="41">
        <v>6907.582474905621</v>
      </c>
      <c r="AM55" s="41">
        <v>7507.4027626710213</v>
      </c>
      <c r="AN55" s="41">
        <v>7409.078142802111</v>
      </c>
      <c r="AO55" s="41">
        <v>8035.2017051732109</v>
      </c>
      <c r="AP55" s="41">
        <v>7941.9254880463413</v>
      </c>
      <c r="AQ55" s="41">
        <v>8604.9219486018192</v>
      </c>
      <c r="AR55" s="8"/>
      <c r="AS55" s="41">
        <v>583.89249999999993</v>
      </c>
      <c r="AT55" s="41">
        <v>214.04250000000002</v>
      </c>
      <c r="AU55" s="41">
        <v>1414.6549999999997</v>
      </c>
      <c r="AV55" s="41">
        <v>467.39499999999998</v>
      </c>
      <c r="AW55" s="41">
        <v>1761.8874999999998</v>
      </c>
      <c r="AX55" s="41">
        <v>2886.0274999999997</v>
      </c>
      <c r="AY55" s="41">
        <v>1791.5</v>
      </c>
      <c r="AZ55" s="41">
        <v>1656.8324999999995</v>
      </c>
      <c r="BA55" s="41">
        <v>1715.2275</v>
      </c>
      <c r="BB55" s="41">
        <v>1271.915</v>
      </c>
      <c r="BC55" s="41">
        <v>1626.5849999999991</v>
      </c>
      <c r="BD55" s="41">
        <v>2867.9599999999991</v>
      </c>
      <c r="BE55" s="41">
        <v>3486.6399999999994</v>
      </c>
      <c r="BF55" s="41">
        <v>1695.6499999999996</v>
      </c>
      <c r="BG55" s="41">
        <v>3679.8850000000002</v>
      </c>
      <c r="BH55" s="41">
        <v>4727.2899999999991</v>
      </c>
      <c r="BI55" s="41">
        <v>6180</v>
      </c>
      <c r="BJ55" s="41">
        <v>6994.2000000000007</v>
      </c>
      <c r="BK55" s="41">
        <v>10152.960000000001</v>
      </c>
      <c r="BL55" s="42">
        <v>8103.9050000000007</v>
      </c>
      <c r="BM55" s="41">
        <v>6518.5006068972925</v>
      </c>
      <c r="BN55" s="41">
        <v>7016.0879078186172</v>
      </c>
      <c r="BO55" s="41">
        <v>7507.4027626710213</v>
      </c>
      <c r="BP55" s="41">
        <v>8035.2017051732109</v>
      </c>
      <c r="BQ55" s="41">
        <v>8604.9219486018192</v>
      </c>
    </row>
    <row r="56" spans="1:69" ht="12" customHeight="1" outlineLevel="1">
      <c r="A56" s="91" t="s">
        <v>161</v>
      </c>
      <c r="B56" s="87" t="s">
        <v>160</v>
      </c>
      <c r="C56" s="167">
        <v>4.2395307692307697E-2</v>
      </c>
      <c r="D56" s="167">
        <v>3.216022900763358E-2</v>
      </c>
      <c r="E56" s="167">
        <v>4.1024615384615402E-2</v>
      </c>
      <c r="F56" s="167">
        <v>4.7748091603053433E-2</v>
      </c>
      <c r="G56" s="167">
        <v>4.9392307692307597E-2</v>
      </c>
      <c r="H56" s="167">
        <v>4.9166412213740462E-2</v>
      </c>
      <c r="I56" s="167">
        <v>4.5109230769230797E-2</v>
      </c>
      <c r="J56" s="167">
        <v>3.6663076923076902E-2</v>
      </c>
      <c r="K56" s="166">
        <v>3.0902538461538499E-2</v>
      </c>
      <c r="L56" s="365">
        <v>2.7602290076335901E-2</v>
      </c>
      <c r="M56" s="365">
        <v>2.6119230769230804E-2</v>
      </c>
      <c r="N56" s="365">
        <v>2.6741666666666698E-2</v>
      </c>
      <c r="O56" s="365">
        <v>2.5995876923076939E-2</v>
      </c>
      <c r="P56" s="365">
        <v>2.1649618320610672E-2</v>
      </c>
      <c r="Q56" s="365">
        <v>2.26862595419847E-2</v>
      </c>
      <c r="R56" s="365">
        <v>1.94579923664122E-2</v>
      </c>
      <c r="S56" s="365">
        <v>1.7719200000000001E-2</v>
      </c>
      <c r="T56" s="365">
        <v>1.7227309999999999E-2</v>
      </c>
      <c r="U56" s="365">
        <v>1.7827692307692301E-2</v>
      </c>
      <c r="V56" s="365">
        <v>1.9993076923076926E-2</v>
      </c>
      <c r="W56" s="365">
        <v>1.9621538461538499E-2</v>
      </c>
      <c r="X56" s="365">
        <v>1.2658778625954201E-2</v>
      </c>
      <c r="Y56" s="475">
        <v>8.3061068702290197E-3</v>
      </c>
      <c r="Z56" s="475">
        <v>1.1099236641221399E-3</v>
      </c>
      <c r="AA56" s="477">
        <v>3.4490740740740738E-4</v>
      </c>
      <c r="AB56" s="477">
        <v>3.83571428571428E-4</v>
      </c>
      <c r="AC56" s="477">
        <v>8.6689230769230769E-4</v>
      </c>
      <c r="AD56" s="477">
        <v>1.713309160305344E-2</v>
      </c>
      <c r="AE56" s="477">
        <v>3.2851469230769231E-2</v>
      </c>
      <c r="AF56" s="477">
        <v>4.0793623076923101E-2</v>
      </c>
      <c r="AG56" s="476">
        <v>4.3398653846153802E-2</v>
      </c>
      <c r="AH56" s="99">
        <v>4.4749999999999998E-2</v>
      </c>
      <c r="AI56" s="99">
        <v>3.9750000000000001E-2</v>
      </c>
      <c r="AJ56" s="99">
        <v>3.5000000000000003E-2</v>
      </c>
      <c r="AK56" s="99">
        <v>3.5000000000000003E-2</v>
      </c>
      <c r="AL56" s="99">
        <v>3.5000000000000003E-2</v>
      </c>
      <c r="AM56" s="99">
        <v>3.5000000000000003E-2</v>
      </c>
      <c r="AN56" s="99">
        <v>3.5000000000000003E-2</v>
      </c>
      <c r="AO56" s="99">
        <v>3.5000000000000003E-2</v>
      </c>
      <c r="AP56" s="99">
        <v>3.5000000000000003E-2</v>
      </c>
      <c r="AQ56" s="99">
        <v>3.5000000000000003E-2</v>
      </c>
      <c r="AR56" s="8"/>
      <c r="AS56" s="167">
        <v>5.9249999999999997E-2</v>
      </c>
      <c r="AT56" s="167">
        <v>5.6099999999999997E-2</v>
      </c>
      <c r="AU56" s="167">
        <v>6.1971416438356186E-2</v>
      </c>
      <c r="AV56" s="167">
        <v>6.9545061133768127E-2</v>
      </c>
      <c r="AW56" s="167">
        <v>5.9374674052164872E-2</v>
      </c>
      <c r="AX56" s="168">
        <v>3.6604565191161453E-2</v>
      </c>
      <c r="AY56" s="168">
        <v>4.8572451998487719E-2</v>
      </c>
      <c r="AZ56" s="168">
        <v>4.7137821491485626E-2</v>
      </c>
      <c r="BA56" s="168">
        <v>3.377491654373025E-2</v>
      </c>
      <c r="BB56" s="168">
        <v>2.6858728834691429E-2</v>
      </c>
      <c r="BC56" s="168">
        <v>2.6367750165086079E-2</v>
      </c>
      <c r="BD56" s="168">
        <v>2.2167938931297686E-2</v>
      </c>
      <c r="BE56" s="168">
        <v>1.8586214275854853E-2</v>
      </c>
      <c r="BF56" s="168">
        <v>1.7528323595363535E-2</v>
      </c>
      <c r="BG56" s="168">
        <v>1.9806798735511083E-2</v>
      </c>
      <c r="BH56" s="168">
        <v>1.0482442748091611E-2</v>
      </c>
      <c r="BI56" s="168">
        <v>7.2636756828982189E-4</v>
      </c>
      <c r="BJ56" s="168">
        <v>6.2589395152792382E-4</v>
      </c>
      <c r="BK56" s="168">
        <v>2.5013812441058891E-2</v>
      </c>
      <c r="BL56" s="169">
        <v>4.2096138461538452E-2</v>
      </c>
      <c r="BM56" s="168">
        <v>4.2243150684931507E-2</v>
      </c>
      <c r="BN56" s="168">
        <v>3.5000000000000003E-2</v>
      </c>
      <c r="BO56" s="168">
        <v>3.5000000000000003E-2</v>
      </c>
      <c r="BP56" s="168">
        <v>3.5000000000000003E-2</v>
      </c>
      <c r="BQ56" s="168">
        <v>3.5000000000000003E-2</v>
      </c>
    </row>
    <row r="57" spans="1:69" s="9" customFormat="1" ht="12" customHeight="1">
      <c r="A57" s="91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20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272"/>
      <c r="BJ57" s="17"/>
      <c r="BL57" s="500"/>
    </row>
    <row r="58" spans="1:69" s="9" customFormat="1" ht="12" customHeight="1">
      <c r="A58" s="91" t="s">
        <v>292</v>
      </c>
      <c r="B58" s="2" t="s">
        <v>73</v>
      </c>
      <c r="C58" s="93">
        <v>0</v>
      </c>
      <c r="D58" s="93">
        <v>479</v>
      </c>
      <c r="E58" s="93">
        <v>571</v>
      </c>
      <c r="F58" s="93">
        <v>403</v>
      </c>
      <c r="G58" s="93">
        <v>553</v>
      </c>
      <c r="H58" s="93">
        <v>305</v>
      </c>
      <c r="I58" s="93">
        <v>425</v>
      </c>
      <c r="J58" s="93">
        <v>361</v>
      </c>
      <c r="K58" s="93">
        <v>490</v>
      </c>
      <c r="L58" s="93">
        <v>501</v>
      </c>
      <c r="M58" s="93">
        <v>764</v>
      </c>
      <c r="N58" s="93">
        <v>678</v>
      </c>
      <c r="O58" s="93">
        <v>926</v>
      </c>
      <c r="P58" s="93">
        <v>1070</v>
      </c>
      <c r="Q58" s="93">
        <v>993</v>
      </c>
      <c r="R58" s="93">
        <v>1050</v>
      </c>
      <c r="S58" s="93">
        <v>1167</v>
      </c>
      <c r="T58" s="93">
        <v>1248</v>
      </c>
      <c r="U58" s="93">
        <v>1309</v>
      </c>
      <c r="V58" s="93">
        <v>1310</v>
      </c>
      <c r="W58" s="93">
        <v>1672</v>
      </c>
      <c r="X58" s="93">
        <v>1457</v>
      </c>
      <c r="Y58" s="93">
        <v>1274</v>
      </c>
      <c r="Z58" s="93">
        <v>985</v>
      </c>
      <c r="AA58" s="93">
        <v>2030</v>
      </c>
      <c r="AB58" s="93">
        <v>2043</v>
      </c>
      <c r="AC58" s="93">
        <v>2663</v>
      </c>
      <c r="AD58" s="93">
        <v>2305</v>
      </c>
      <c r="AE58" s="93">
        <v>2877</v>
      </c>
      <c r="AF58" s="93">
        <v>1415</v>
      </c>
      <c r="AG58" s="94">
        <v>2107</v>
      </c>
      <c r="AH58" s="93">
        <v>1932.0921164279089</v>
      </c>
      <c r="AI58" s="93">
        <v>2045.3401762960684</v>
      </c>
      <c r="AJ58" s="93">
        <v>2071.8366346749312</v>
      </c>
      <c r="AK58" s="93">
        <v>2166.6498902981757</v>
      </c>
      <c r="AL58" s="93">
        <v>2076.8761737950003</v>
      </c>
      <c r="AM58" s="93">
        <v>2311.7622805899964</v>
      </c>
      <c r="AN58" s="93">
        <v>2213.5416847356364</v>
      </c>
      <c r="AO58" s="93">
        <v>2446.5639499881299</v>
      </c>
      <c r="AP58" s="93">
        <v>2346.7716995856604</v>
      </c>
      <c r="AQ58" s="93">
        <v>2593.6770057342992</v>
      </c>
      <c r="AR58" s="93"/>
      <c r="AS58" s="93">
        <v>812</v>
      </c>
      <c r="AT58" s="93">
        <v>916</v>
      </c>
      <c r="AU58" s="93">
        <v>1463</v>
      </c>
      <c r="AV58" s="93">
        <v>1803</v>
      </c>
      <c r="AW58" s="93">
        <v>871</v>
      </c>
      <c r="AX58" s="93">
        <v>1050</v>
      </c>
      <c r="AY58" s="93">
        <v>956</v>
      </c>
      <c r="AZ58" s="93">
        <v>730</v>
      </c>
      <c r="BA58" s="93">
        <v>851</v>
      </c>
      <c r="BB58" s="93">
        <v>1265</v>
      </c>
      <c r="BC58" s="93">
        <v>1604</v>
      </c>
      <c r="BD58" s="93">
        <v>2063</v>
      </c>
      <c r="BE58" s="93">
        <v>2217</v>
      </c>
      <c r="BF58" s="93">
        <v>2557</v>
      </c>
      <c r="BG58" s="93">
        <v>2982</v>
      </c>
      <c r="BH58" s="93">
        <v>2731</v>
      </c>
      <c r="BI58" s="93">
        <v>3015</v>
      </c>
      <c r="BJ58" s="93">
        <v>4706</v>
      </c>
      <c r="BK58" s="93">
        <v>5182</v>
      </c>
      <c r="BL58" s="94">
        <v>3522</v>
      </c>
      <c r="BM58" s="93">
        <v>3977.4322927239755</v>
      </c>
      <c r="BN58" s="93">
        <v>4238.4865249731083</v>
      </c>
      <c r="BO58" s="93">
        <v>4388.6384543849972</v>
      </c>
      <c r="BP58" s="93">
        <v>4660.1056347237609</v>
      </c>
      <c r="BQ58" s="93">
        <v>4940.4487053199609</v>
      </c>
    </row>
    <row r="59" spans="1:69" ht="12" customHeight="1" outlineLevel="1"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20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U59" s="19"/>
      <c r="AV59" s="19"/>
      <c r="BC59" s="33"/>
      <c r="BD59" s="33"/>
      <c r="BE59" s="33"/>
      <c r="BF59" s="33"/>
      <c r="BG59" s="33"/>
      <c r="BH59" s="33"/>
      <c r="BI59" s="33"/>
      <c r="BJ59" s="33"/>
    </row>
    <row r="60" spans="1:69" s="9" customFormat="1" ht="12" customHeight="1" outlineLevel="1">
      <c r="A60" s="91" t="s">
        <v>312</v>
      </c>
      <c r="B60" s="16" t="s">
        <v>6</v>
      </c>
      <c r="C60" s="30"/>
      <c r="D60" s="30">
        <v>44872</v>
      </c>
      <c r="E60" s="30">
        <v>46151</v>
      </c>
      <c r="F60" s="30">
        <v>46698</v>
      </c>
      <c r="G60" s="30">
        <v>47289</v>
      </c>
      <c r="H60" s="30">
        <v>47407</v>
      </c>
      <c r="I60" s="30">
        <v>48241</v>
      </c>
      <c r="J60" s="30">
        <v>47941</v>
      </c>
      <c r="K60" s="30">
        <v>48963</v>
      </c>
      <c r="L60" s="30">
        <v>51690.928416485898</v>
      </c>
      <c r="M60" s="30">
        <v>55774.731019522776</v>
      </c>
      <c r="N60" s="30">
        <v>60027.65075921909</v>
      </c>
      <c r="O60" s="30">
        <v>66354.084598698479</v>
      </c>
      <c r="P60" s="30">
        <v>71973.167028199561</v>
      </c>
      <c r="Q60" s="30">
        <v>76851.095444685459</v>
      </c>
      <c r="R60" s="30">
        <v>78836.392624728847</v>
      </c>
      <c r="S60" s="30">
        <v>77409.924078091106</v>
      </c>
      <c r="T60" s="30">
        <v>77127.563991323201</v>
      </c>
      <c r="U60" s="30">
        <v>83408.342733188721</v>
      </c>
      <c r="V60" s="30">
        <v>82850</v>
      </c>
      <c r="W60" s="30">
        <v>81700</v>
      </c>
      <c r="X60" s="30">
        <v>81300</v>
      </c>
      <c r="Y60" s="30">
        <v>83400</v>
      </c>
      <c r="Z60" s="30">
        <v>91400</v>
      </c>
      <c r="AA60" s="30">
        <v>101850</v>
      </c>
      <c r="AB60" s="30">
        <v>114750</v>
      </c>
      <c r="AC60" s="30">
        <v>130350</v>
      </c>
      <c r="AD60" s="30">
        <v>145850</v>
      </c>
      <c r="AE60" s="30">
        <v>158300</v>
      </c>
      <c r="AF60" s="30">
        <v>168050</v>
      </c>
      <c r="AG60" s="27">
        <v>177050</v>
      </c>
      <c r="AH60" s="30">
        <v>184875</v>
      </c>
      <c r="AI60" s="30">
        <v>191769.78750000003</v>
      </c>
      <c r="AJ60" s="30">
        <v>197420.83931249997</v>
      </c>
      <c r="AK60" s="30">
        <v>201733.55099156249</v>
      </c>
      <c r="AL60" s="30">
        <v>206147.85236956406</v>
      </c>
      <c r="AM60" s="30">
        <v>210666.22090804775</v>
      </c>
      <c r="AN60" s="30">
        <v>215291.19538228604</v>
      </c>
      <c r="AO60" s="30">
        <v>220025.3774078956</v>
      </c>
      <c r="AP60" s="30">
        <v>224871.43300555591</v>
      </c>
      <c r="AQ60" s="30">
        <v>229832.09420478239</v>
      </c>
      <c r="AS60" s="22">
        <v>41310</v>
      </c>
      <c r="AT60" s="22">
        <v>49697</v>
      </c>
      <c r="AU60" s="22">
        <v>41855</v>
      </c>
      <c r="AV60" s="22">
        <v>53935</v>
      </c>
      <c r="AW60" s="22">
        <v>50420</v>
      </c>
      <c r="AX60" s="30">
        <v>45513.252054794517</v>
      </c>
      <c r="AY60" s="30">
        <v>46994.309589041099</v>
      </c>
      <c r="AZ60" s="30">
        <v>47824</v>
      </c>
      <c r="BA60" s="30">
        <v>48453.4</v>
      </c>
      <c r="BB60" s="30">
        <v>53738.423968145478</v>
      </c>
      <c r="BC60" s="30">
        <v>63199.534026684109</v>
      </c>
      <c r="BD60" s="30">
        <v>74412.13123644251</v>
      </c>
      <c r="BE60" s="30">
        <v>78121.204284907741</v>
      </c>
      <c r="BF60" s="30">
        <v>80276.557168751664</v>
      </c>
      <c r="BG60" s="30">
        <v>82273.424657534255</v>
      </c>
      <c r="BH60" s="30">
        <v>82350</v>
      </c>
      <c r="BI60" s="30">
        <v>96639.315068493161</v>
      </c>
      <c r="BJ60" s="30">
        <v>122571.36986301371</v>
      </c>
      <c r="BK60" s="30">
        <v>152092.05479452058</v>
      </c>
      <c r="BL60" s="27">
        <v>172550</v>
      </c>
      <c r="BM60" s="30">
        <v>188331.8386643836</v>
      </c>
      <c r="BN60" s="30">
        <v>199583.10297624912</v>
      </c>
      <c r="BO60" s="30">
        <v>208413.22618474904</v>
      </c>
      <c r="BP60" s="30">
        <v>217658.28639509081</v>
      </c>
      <c r="BQ60" s="30">
        <v>227358.55903146946</v>
      </c>
    </row>
    <row r="61" spans="1:69" ht="12" customHeight="1" outlineLevel="1">
      <c r="A61" s="91" t="s">
        <v>313</v>
      </c>
      <c r="B61" s="1" t="s">
        <v>5</v>
      </c>
      <c r="C61" s="37"/>
      <c r="D61" s="37">
        <v>1.8891014343653399E-2</v>
      </c>
      <c r="E61" s="37">
        <v>2.8463064746135535E-2</v>
      </c>
      <c r="F61" s="37">
        <v>2.5840378368903127E-2</v>
      </c>
      <c r="G61" s="37">
        <v>2.8414246837135879E-2</v>
      </c>
      <c r="H61" s="37">
        <v>2.9447128061256777E-2</v>
      </c>
      <c r="I61" s="37">
        <v>2.6326154101283143E-2</v>
      </c>
      <c r="J61" s="37">
        <v>2.6792951217474395E-2</v>
      </c>
      <c r="K61" s="37">
        <v>2.9613637388896261E-2</v>
      </c>
      <c r="L61" s="37">
        <v>3.3183782899535288E-2</v>
      </c>
      <c r="M61" s="37">
        <v>3.0383702909292074E-2</v>
      </c>
      <c r="N61" s="37">
        <v>3.1764960516821643E-2</v>
      </c>
      <c r="O61" s="37">
        <v>3.4334612134585087E-2</v>
      </c>
      <c r="P61" s="37">
        <v>3.2373175951630563E-2</v>
      </c>
      <c r="Q61" s="37">
        <v>2.8991128715967762E-2</v>
      </c>
      <c r="R61" s="37">
        <v>2.7779048826151592E-2</v>
      </c>
      <c r="S61" s="37">
        <v>2.8161408933476951E-2</v>
      </c>
      <c r="T61" s="37">
        <v>2.6144679093753277E-2</v>
      </c>
      <c r="U61" s="37">
        <v>2.3443184204151479E-2</v>
      </c>
      <c r="V61" s="37">
        <v>2.4025907641369124E-2</v>
      </c>
      <c r="W61" s="37">
        <v>1.8704856954550955E-2</v>
      </c>
      <c r="X61" s="37">
        <v>1.943419434194342E-2</v>
      </c>
      <c r="Y61" s="37">
        <v>2.563549160671463E-2</v>
      </c>
      <c r="Z61" s="37">
        <v>2.2542179335413901E-2</v>
      </c>
      <c r="AA61" s="37">
        <v>2.288055587024659E-2</v>
      </c>
      <c r="AB61" s="37">
        <v>2.3864899936902509E-2</v>
      </c>
      <c r="AC61" s="37">
        <v>2.287817667564503E-2</v>
      </c>
      <c r="AD61" s="37">
        <v>1.9569285758442596E-2</v>
      </c>
      <c r="AE61" s="37">
        <v>2.023231033022568E-2</v>
      </c>
      <c r="AF61" s="37">
        <v>1.9434692055935732E-2</v>
      </c>
      <c r="AG61" s="38">
        <v>2.0626941541937307E-2</v>
      </c>
      <c r="AH61" s="37">
        <v>1.9983071215227185E-2</v>
      </c>
      <c r="AI61" s="37">
        <v>1.9690276688372133E-2</v>
      </c>
      <c r="AJ61" s="37">
        <v>1.9468232023800772E-2</v>
      </c>
      <c r="AK61" s="37">
        <v>1.9396101371724126E-2</v>
      </c>
      <c r="AL61" s="37">
        <v>1.9164900070449881E-2</v>
      </c>
      <c r="AM61" s="37">
        <v>1.9107961423821204E-2</v>
      </c>
      <c r="AN61" s="37">
        <v>1.8893608922641414E-2</v>
      </c>
      <c r="AO61" s="37">
        <v>1.8809906843978662E-2</v>
      </c>
      <c r="AP61" s="37">
        <v>1.859800128369523E-2</v>
      </c>
      <c r="AQ61" s="37">
        <v>1.8541519412837541E-2</v>
      </c>
      <c r="AS61" s="37">
        <v>1.2975066569837811E-2</v>
      </c>
      <c r="AT61" s="37">
        <v>1.1912187858422038E-2</v>
      </c>
      <c r="AU61" s="37">
        <v>1.739338191374985E-2</v>
      </c>
      <c r="AV61" s="37">
        <v>1.5147863168628905E-2</v>
      </c>
      <c r="AW61" s="37">
        <v>1.8603728679095596E-2</v>
      </c>
      <c r="AX61" s="37">
        <v>2.3729352468590061E-2</v>
      </c>
      <c r="AY61" s="37">
        <v>2.7130944387729134E-2</v>
      </c>
      <c r="AZ61" s="37">
        <v>2.7873034459685513E-2</v>
      </c>
      <c r="BA61" s="37">
        <v>2.821267444596251E-2</v>
      </c>
      <c r="BB61" s="37">
        <v>3.1727763378596154E-2</v>
      </c>
      <c r="BC61" s="37">
        <v>3.3101509880068353E-2</v>
      </c>
      <c r="BD61" s="37">
        <v>3.0626726612070013E-2</v>
      </c>
      <c r="BE61" s="37">
        <v>2.7969358895586313E-2</v>
      </c>
      <c r="BF61" s="37">
        <v>2.4739476505266315E-2</v>
      </c>
      <c r="BG61" s="37">
        <v>2.1392083863362391E-2</v>
      </c>
      <c r="BH61" s="37">
        <v>2.257437765634487E-2</v>
      </c>
      <c r="BI61" s="37">
        <v>2.2713323231278001E-2</v>
      </c>
      <c r="BJ61" s="37">
        <v>2.3333344509377258E-2</v>
      </c>
      <c r="BK61" s="37">
        <v>1.990899527323034E-2</v>
      </c>
      <c r="BL61" s="38">
        <v>2.0046363372935382E-2</v>
      </c>
      <c r="BM61" s="37">
        <v>1.9832405600443609E-2</v>
      </c>
      <c r="BN61" s="37">
        <v>1.9430725427050405E-2</v>
      </c>
      <c r="BO61" s="37">
        <v>1.9135063493604117E-2</v>
      </c>
      <c r="BP61" s="37">
        <v>1.885130274226892E-2</v>
      </c>
      <c r="BQ61" s="37">
        <v>1.8568419580732236E-2</v>
      </c>
    </row>
    <row r="62" spans="1:69" s="9" customFormat="1" ht="12" customHeight="1" outlineLevel="1">
      <c r="A62" s="91" t="s">
        <v>314</v>
      </c>
      <c r="B62" s="9" t="s">
        <v>7</v>
      </c>
      <c r="C62" s="30"/>
      <c r="D62" s="30">
        <v>425</v>
      </c>
      <c r="E62" s="30">
        <v>655</v>
      </c>
      <c r="F62" s="30">
        <v>605</v>
      </c>
      <c r="G62" s="30">
        <v>670</v>
      </c>
      <c r="H62" s="30">
        <v>698</v>
      </c>
      <c r="I62" s="30">
        <v>635</v>
      </c>
      <c r="J62" s="30">
        <v>644</v>
      </c>
      <c r="K62" s="30">
        <v>723</v>
      </c>
      <c r="L62" s="30">
        <v>860</v>
      </c>
      <c r="M62" s="30">
        <v>845</v>
      </c>
      <c r="N62" s="30">
        <v>956</v>
      </c>
      <c r="O62" s="30">
        <v>1136</v>
      </c>
      <c r="P62" s="30">
        <v>1165</v>
      </c>
      <c r="Q62" s="30">
        <v>1114</v>
      </c>
      <c r="R62" s="30">
        <v>1098</v>
      </c>
      <c r="S62" s="30">
        <v>1087</v>
      </c>
      <c r="T62" s="30">
        <v>1011</v>
      </c>
      <c r="U62" s="30">
        <v>975</v>
      </c>
      <c r="V62" s="30">
        <v>998</v>
      </c>
      <c r="W62" s="30">
        <v>762</v>
      </c>
      <c r="X62" s="30">
        <v>790</v>
      </c>
      <c r="Y62" s="30">
        <v>1069</v>
      </c>
      <c r="Z62" s="30">
        <v>1033</v>
      </c>
      <c r="AA62" s="30">
        <v>1162</v>
      </c>
      <c r="AB62" s="30">
        <v>1373</v>
      </c>
      <c r="AC62" s="30">
        <v>1487</v>
      </c>
      <c r="AD62" s="30">
        <v>1431</v>
      </c>
      <c r="AE62" s="30">
        <v>1597</v>
      </c>
      <c r="AF62" s="30">
        <v>1633</v>
      </c>
      <c r="AG62" s="27">
        <v>1826</v>
      </c>
      <c r="AH62" s="30">
        <v>1852.2459266779945</v>
      </c>
      <c r="AI62" s="30">
        <v>1882.8274851913691</v>
      </c>
      <c r="AJ62" s="30">
        <v>1926.9823320840289</v>
      </c>
      <c r="AK62" s="30">
        <v>1951.0621417261941</v>
      </c>
      <c r="AL62" s="30">
        <v>1980.8135540912344</v>
      </c>
      <c r="AM62" s="30">
        <v>2007.1867618608148</v>
      </c>
      <c r="AN62" s="30">
        <v>2033.8138250204477</v>
      </c>
      <c r="AO62" s="30">
        <v>2069.3284261768817</v>
      </c>
      <c r="AP62" s="30">
        <v>2096.808585056931</v>
      </c>
      <c r="AQ62" s="30">
        <v>2124.8805343100721</v>
      </c>
      <c r="AS62" s="22">
        <v>536</v>
      </c>
      <c r="AT62" s="22">
        <v>592</v>
      </c>
      <c r="AU62" s="22">
        <v>728</v>
      </c>
      <c r="AV62" s="22">
        <v>817</v>
      </c>
      <c r="AW62" s="22">
        <v>938</v>
      </c>
      <c r="AX62" s="17">
        <v>1080</v>
      </c>
      <c r="AY62" s="17">
        <v>1275</v>
      </c>
      <c r="AZ62" s="17">
        <v>1333</v>
      </c>
      <c r="BA62" s="17">
        <v>1367</v>
      </c>
      <c r="BB62" s="17">
        <v>1705</v>
      </c>
      <c r="BC62" s="17">
        <v>2092</v>
      </c>
      <c r="BD62" s="17">
        <v>2279</v>
      </c>
      <c r="BE62" s="17">
        <v>2185</v>
      </c>
      <c r="BF62" s="17">
        <v>1986</v>
      </c>
      <c r="BG62" s="17">
        <v>1760</v>
      </c>
      <c r="BH62" s="17">
        <v>1859</v>
      </c>
      <c r="BI62" s="17">
        <v>2195</v>
      </c>
      <c r="BJ62" s="17">
        <v>2860</v>
      </c>
      <c r="BK62" s="17">
        <v>3028</v>
      </c>
      <c r="BL62" s="18">
        <v>3459</v>
      </c>
      <c r="BM62" s="17">
        <v>3735.0734118693636</v>
      </c>
      <c r="BN62" s="17">
        <v>3878.0444738102233</v>
      </c>
      <c r="BO62" s="17">
        <v>3988.0003159520493</v>
      </c>
      <c r="BP62" s="17">
        <v>4103.1422511973296</v>
      </c>
      <c r="BQ62" s="17">
        <v>4221.6891193670035</v>
      </c>
    </row>
    <row r="63" spans="1:69" ht="12" customHeight="1" outlineLevel="1">
      <c r="A63" s="91" t="s">
        <v>547</v>
      </c>
      <c r="B63" s="1" t="s">
        <v>17</v>
      </c>
      <c r="C63" s="25"/>
      <c r="D63" s="25">
        <v>442</v>
      </c>
      <c r="E63" s="25">
        <v>484</v>
      </c>
      <c r="F63" s="25">
        <v>496</v>
      </c>
      <c r="G63" s="25">
        <v>454</v>
      </c>
      <c r="H63" s="25">
        <v>463</v>
      </c>
      <c r="I63" s="25">
        <v>475</v>
      </c>
      <c r="J63" s="25">
        <v>500</v>
      </c>
      <c r="K63" s="25">
        <v>519</v>
      </c>
      <c r="L63" s="25">
        <v>628</v>
      </c>
      <c r="M63" s="25">
        <v>661</v>
      </c>
      <c r="N63" s="25">
        <v>650</v>
      </c>
      <c r="O63" s="25">
        <v>738</v>
      </c>
      <c r="P63" s="25">
        <v>791</v>
      </c>
      <c r="Q63" s="25">
        <v>791</v>
      </c>
      <c r="R63" s="25">
        <v>794</v>
      </c>
      <c r="S63" s="25">
        <v>786</v>
      </c>
      <c r="T63" s="25">
        <v>804</v>
      </c>
      <c r="U63" s="25">
        <v>828</v>
      </c>
      <c r="V63" s="25">
        <v>899</v>
      </c>
      <c r="W63" s="25">
        <v>916</v>
      </c>
      <c r="X63" s="25">
        <v>967</v>
      </c>
      <c r="Y63" s="25">
        <v>1086</v>
      </c>
      <c r="Z63" s="25">
        <v>985</v>
      </c>
      <c r="AA63" s="25">
        <v>1026</v>
      </c>
      <c r="AB63" s="25">
        <v>1374</v>
      </c>
      <c r="AC63" s="25">
        <v>1422</v>
      </c>
      <c r="AD63" s="25">
        <v>1389</v>
      </c>
      <c r="AE63" s="25">
        <v>1415</v>
      </c>
      <c r="AF63" s="25">
        <v>1417</v>
      </c>
      <c r="AG63" s="26">
        <v>1478</v>
      </c>
      <c r="AH63" s="25">
        <v>1505.016445431992</v>
      </c>
      <c r="AI63" s="25">
        <v>1497.0369013279897</v>
      </c>
      <c r="AJ63" s="25">
        <v>1524.6988417914333</v>
      </c>
      <c r="AK63" s="25">
        <v>1536.1395600260009</v>
      </c>
      <c r="AL63" s="25">
        <v>1572.5851121866858</v>
      </c>
      <c r="AM63" s="25">
        <v>1598.2857374387586</v>
      </c>
      <c r="AN63" s="25">
        <v>1641.8923718583728</v>
      </c>
      <c r="AO63" s="25">
        <v>1684.1760495404847</v>
      </c>
      <c r="AP63" s="25">
        <v>1732.3126242987025</v>
      </c>
      <c r="AQ63" s="25">
        <v>1767.4342163141041</v>
      </c>
      <c r="AS63" s="21">
        <v>388</v>
      </c>
      <c r="AT63" s="21">
        <v>553</v>
      </c>
      <c r="AU63" s="21">
        <v>785</v>
      </c>
      <c r="AV63" s="21">
        <v>960</v>
      </c>
      <c r="AW63" s="21">
        <v>921</v>
      </c>
      <c r="AX63" s="19">
        <v>926</v>
      </c>
      <c r="AY63" s="19">
        <v>950</v>
      </c>
      <c r="AZ63" s="19">
        <v>938</v>
      </c>
      <c r="BA63" s="19">
        <v>1019</v>
      </c>
      <c r="BB63" s="19">
        <v>1289</v>
      </c>
      <c r="BC63" s="19">
        <v>1388</v>
      </c>
      <c r="BD63" s="19">
        <v>1582</v>
      </c>
      <c r="BE63" s="19">
        <v>1580</v>
      </c>
      <c r="BF63" s="19">
        <v>1632</v>
      </c>
      <c r="BG63" s="19">
        <v>1815</v>
      </c>
      <c r="BH63" s="19">
        <v>2053</v>
      </c>
      <c r="BI63" s="19">
        <v>2011</v>
      </c>
      <c r="BJ63" s="19">
        <v>2796</v>
      </c>
      <c r="BK63" s="19">
        <v>2804</v>
      </c>
      <c r="BL63" s="20">
        <v>2895</v>
      </c>
      <c r="BM63" s="19">
        <v>3002.0533467599817</v>
      </c>
      <c r="BN63" s="19">
        <v>3060.8384018174343</v>
      </c>
      <c r="BO63" s="19">
        <v>3170.8708496254444</v>
      </c>
      <c r="BP63" s="19">
        <v>3326.0684213988575</v>
      </c>
      <c r="BQ63" s="19">
        <v>3499.7468406128064</v>
      </c>
    </row>
    <row r="64" spans="1:69" ht="12" customHeight="1" outlineLevel="1">
      <c r="A64" s="91" t="s">
        <v>546</v>
      </c>
      <c r="B64" s="1" t="s">
        <v>18</v>
      </c>
      <c r="C64" s="25"/>
      <c r="D64" s="25">
        <v>52</v>
      </c>
      <c r="E64" s="25">
        <v>5</v>
      </c>
      <c r="F64" s="25">
        <v>15</v>
      </c>
      <c r="G64" s="25">
        <v>21</v>
      </c>
      <c r="H64" s="25">
        <v>89</v>
      </c>
      <c r="I64" s="25">
        <v>41</v>
      </c>
      <c r="J64" s="25">
        <v>76</v>
      </c>
      <c r="K64" s="25">
        <v>88</v>
      </c>
      <c r="L64" s="25">
        <v>76</v>
      </c>
      <c r="M64" s="25">
        <v>143</v>
      </c>
      <c r="N64" s="25">
        <v>373</v>
      </c>
      <c r="O64" s="25">
        <v>294</v>
      </c>
      <c r="P64" s="25">
        <v>629</v>
      </c>
      <c r="Q64" s="25">
        <v>85</v>
      </c>
      <c r="R64" s="25">
        <v>170</v>
      </c>
      <c r="S64" s="25">
        <v>94</v>
      </c>
      <c r="T64" s="25">
        <v>537</v>
      </c>
      <c r="U64" s="25">
        <v>58</v>
      </c>
      <c r="V64" s="25">
        <v>282</v>
      </c>
      <c r="W64" s="25">
        <v>577</v>
      </c>
      <c r="X64" s="25">
        <v>546</v>
      </c>
      <c r="Y64" s="25">
        <v>275</v>
      </c>
      <c r="Z64" s="25">
        <v>413</v>
      </c>
      <c r="AA64" s="25">
        <v>247</v>
      </c>
      <c r="AB64" s="25">
        <v>177</v>
      </c>
      <c r="AC64" s="25">
        <v>218</v>
      </c>
      <c r="AD64" s="25">
        <v>237</v>
      </c>
      <c r="AE64" s="25">
        <v>455</v>
      </c>
      <c r="AF64" s="25">
        <v>236</v>
      </c>
      <c r="AG64" s="26">
        <v>396</v>
      </c>
      <c r="AH64" s="25">
        <v>283.84334589041094</v>
      </c>
      <c r="AI64" s="25">
        <v>406.64767897602735</v>
      </c>
      <c r="AJ64" s="25">
        <v>601.16345135714892</v>
      </c>
      <c r="AK64" s="25">
        <v>615.818151002332</v>
      </c>
      <c r="AL64" s="25">
        <v>637.76872565856775</v>
      </c>
      <c r="AM64" s="25">
        <v>653.31574306527079</v>
      </c>
      <c r="AN64" s="25">
        <v>674.75761174386878</v>
      </c>
      <c r="AO64" s="25">
        <v>694.99731727245739</v>
      </c>
      <c r="AP64" s="25">
        <v>717.80185024972297</v>
      </c>
      <c r="AQ64" s="25">
        <v>735.29981240660038</v>
      </c>
      <c r="AS64" s="21">
        <v>312</v>
      </c>
      <c r="AT64" s="21">
        <v>200</v>
      </c>
      <c r="AU64" s="21">
        <v>74</v>
      </c>
      <c r="AV64" s="21">
        <v>384</v>
      </c>
      <c r="AW64" s="21">
        <v>234</v>
      </c>
      <c r="AX64" s="19">
        <v>57</v>
      </c>
      <c r="AY64" s="19">
        <v>36</v>
      </c>
      <c r="AZ64" s="19">
        <v>130</v>
      </c>
      <c r="BA64" s="19">
        <v>164</v>
      </c>
      <c r="BB64" s="19">
        <v>219</v>
      </c>
      <c r="BC64" s="19">
        <v>667</v>
      </c>
      <c r="BD64" s="19">
        <v>714</v>
      </c>
      <c r="BE64" s="19">
        <v>264</v>
      </c>
      <c r="BF64" s="19">
        <v>595</v>
      </c>
      <c r="BG64" s="19">
        <v>859</v>
      </c>
      <c r="BH64" s="19">
        <v>821</v>
      </c>
      <c r="BI64" s="19">
        <v>660</v>
      </c>
      <c r="BJ64" s="19">
        <v>395</v>
      </c>
      <c r="BK64" s="19">
        <v>692</v>
      </c>
      <c r="BL64" s="20">
        <v>632</v>
      </c>
      <c r="BM64" s="19">
        <v>690.49102486643824</v>
      </c>
      <c r="BN64" s="19">
        <v>1216.9816023594808</v>
      </c>
      <c r="BO64" s="19">
        <v>1291.0844687238387</v>
      </c>
      <c r="BP64" s="19">
        <v>1369.7549290163261</v>
      </c>
      <c r="BQ64" s="19">
        <v>1453.1016626563232</v>
      </c>
    </row>
    <row r="65" spans="1:69" ht="12" customHeight="1" outlineLevel="1">
      <c r="A65" s="91" t="s">
        <v>545</v>
      </c>
      <c r="B65" s="1" t="s">
        <v>20</v>
      </c>
      <c r="C65" s="25"/>
      <c r="D65" s="25">
        <v>596</v>
      </c>
      <c r="E65" s="25">
        <v>489</v>
      </c>
      <c r="F65" s="25">
        <v>402</v>
      </c>
      <c r="G65" s="25">
        <v>529</v>
      </c>
      <c r="H65" s="25">
        <v>339</v>
      </c>
      <c r="I65" s="25">
        <v>343</v>
      </c>
      <c r="J65" s="25">
        <v>327</v>
      </c>
      <c r="K65" s="25">
        <v>332</v>
      </c>
      <c r="L65" s="25">
        <v>357</v>
      </c>
      <c r="M65" s="25">
        <v>452</v>
      </c>
      <c r="N65" s="25">
        <v>429</v>
      </c>
      <c r="O65" s="25">
        <v>544</v>
      </c>
      <c r="P65" s="25">
        <v>537</v>
      </c>
      <c r="Q65" s="25">
        <v>425</v>
      </c>
      <c r="R65" s="25">
        <v>471</v>
      </c>
      <c r="S65" s="25">
        <v>492</v>
      </c>
      <c r="T65" s="25">
        <v>458</v>
      </c>
      <c r="U65" s="25">
        <v>462</v>
      </c>
      <c r="V65" s="25">
        <v>573</v>
      </c>
      <c r="W65" s="25">
        <v>433</v>
      </c>
      <c r="X65" s="25">
        <v>482</v>
      </c>
      <c r="Y65" s="25">
        <v>578</v>
      </c>
      <c r="Z65" s="25">
        <v>413</v>
      </c>
      <c r="AA65" s="25">
        <v>445</v>
      </c>
      <c r="AB65" s="25">
        <v>618</v>
      </c>
      <c r="AC65" s="25">
        <v>755</v>
      </c>
      <c r="AD65" s="25">
        <v>438</v>
      </c>
      <c r="AE65" s="25">
        <v>553</v>
      </c>
      <c r="AF65" s="25">
        <v>408</v>
      </c>
      <c r="AG65" s="26">
        <v>335</v>
      </c>
      <c r="AH65" s="25">
        <v>461.64070351758795</v>
      </c>
      <c r="AI65" s="25">
        <v>403.45766331658291</v>
      </c>
      <c r="AJ65" s="25">
        <v>480.3978643216081</v>
      </c>
      <c r="AK65" s="25">
        <v>444.53226130653269</v>
      </c>
      <c r="AL65" s="25">
        <v>499.90531155778905</v>
      </c>
      <c r="AM65" s="25">
        <v>489.71431909547744</v>
      </c>
      <c r="AN65" s="25">
        <v>520.19305668341724</v>
      </c>
      <c r="AO65" s="25">
        <v>499.6543718090453</v>
      </c>
      <c r="AP65" s="25">
        <v>541.29231161407051</v>
      </c>
      <c r="AQ65" s="25">
        <v>519.93207934472366</v>
      </c>
      <c r="AS65" s="21">
        <v>517</v>
      </c>
      <c r="AT65" s="21">
        <v>950</v>
      </c>
      <c r="AU65" s="21">
        <v>1227</v>
      </c>
      <c r="AV65" s="21">
        <v>1459</v>
      </c>
      <c r="AW65" s="21">
        <v>1229</v>
      </c>
      <c r="AX65" s="19">
        <v>1085</v>
      </c>
      <c r="AY65" s="19">
        <v>931</v>
      </c>
      <c r="AZ65" s="19">
        <v>682</v>
      </c>
      <c r="BA65" s="19">
        <v>659</v>
      </c>
      <c r="BB65" s="19">
        <v>809</v>
      </c>
      <c r="BC65" s="19">
        <v>973</v>
      </c>
      <c r="BD65" s="19">
        <v>962</v>
      </c>
      <c r="BE65" s="19">
        <v>963</v>
      </c>
      <c r="BF65" s="19">
        <v>920</v>
      </c>
      <c r="BG65" s="19">
        <v>1006</v>
      </c>
      <c r="BH65" s="19">
        <v>1060</v>
      </c>
      <c r="BI65" s="19">
        <v>858</v>
      </c>
      <c r="BJ65" s="19">
        <v>1373</v>
      </c>
      <c r="BK65" s="19">
        <v>991</v>
      </c>
      <c r="BL65" s="20">
        <v>743</v>
      </c>
      <c r="BM65" s="19">
        <v>865.09836683417086</v>
      </c>
      <c r="BN65" s="19">
        <v>924.93012562814079</v>
      </c>
      <c r="BO65" s="19">
        <v>989.61963065326654</v>
      </c>
      <c r="BP65" s="19">
        <v>1019.8474284924625</v>
      </c>
      <c r="BQ65" s="19">
        <v>1061.2243909587942</v>
      </c>
    </row>
    <row r="66" spans="1:69" ht="12" customHeight="1" outlineLevel="1">
      <c r="A66" s="91" t="s">
        <v>544</v>
      </c>
      <c r="B66" s="1" t="s">
        <v>19</v>
      </c>
      <c r="C66" s="25"/>
      <c r="D66" s="25">
        <v>546</v>
      </c>
      <c r="E66" s="25">
        <v>531</v>
      </c>
      <c r="F66" s="25">
        <v>582</v>
      </c>
      <c r="G66" s="25">
        <v>555</v>
      </c>
      <c r="H66" s="25">
        <v>488</v>
      </c>
      <c r="I66" s="25">
        <v>422</v>
      </c>
      <c r="J66" s="25">
        <v>393</v>
      </c>
      <c r="K66" s="25">
        <v>418</v>
      </c>
      <c r="L66" s="25">
        <v>469</v>
      </c>
      <c r="M66" s="25">
        <v>434</v>
      </c>
      <c r="N66" s="25">
        <v>396</v>
      </c>
      <c r="O66" s="25">
        <v>440</v>
      </c>
      <c r="P66" s="25">
        <v>461</v>
      </c>
      <c r="Q66" s="25">
        <v>427</v>
      </c>
      <c r="R66" s="25">
        <v>419</v>
      </c>
      <c r="S66" s="25">
        <v>394</v>
      </c>
      <c r="T66" s="25">
        <v>386</v>
      </c>
      <c r="U66" s="25">
        <v>388</v>
      </c>
      <c r="V66" s="25">
        <v>473</v>
      </c>
      <c r="W66" s="25">
        <v>459</v>
      </c>
      <c r="X66" s="25">
        <v>412</v>
      </c>
      <c r="Y66" s="25">
        <v>458</v>
      </c>
      <c r="Z66" s="25">
        <v>401</v>
      </c>
      <c r="AA66" s="25">
        <v>415</v>
      </c>
      <c r="AB66" s="25">
        <v>381</v>
      </c>
      <c r="AC66" s="25">
        <v>420</v>
      </c>
      <c r="AD66" s="25">
        <v>358</v>
      </c>
      <c r="AE66" s="25">
        <v>357</v>
      </c>
      <c r="AF66" s="25">
        <v>377</v>
      </c>
      <c r="AG66" s="26">
        <v>414</v>
      </c>
      <c r="AH66" s="25">
        <v>473.29792085427135</v>
      </c>
      <c r="AI66" s="25">
        <v>532.61204170854273</v>
      </c>
      <c r="AJ66" s="25">
        <v>537.72527895979897</v>
      </c>
      <c r="AK66" s="25">
        <v>574.34718661748752</v>
      </c>
      <c r="AL66" s="25">
        <v>579.8777753178332</v>
      </c>
      <c r="AM66" s="25">
        <v>620.41299466086707</v>
      </c>
      <c r="AN66" s="25">
        <v>626.40424144164672</v>
      </c>
      <c r="AO66" s="25">
        <v>636.76970066840795</v>
      </c>
      <c r="AP66" s="25">
        <v>642.92451450926296</v>
      </c>
      <c r="AQ66" s="25">
        <v>649.14087648852637</v>
      </c>
      <c r="AS66" s="21">
        <v>329</v>
      </c>
      <c r="AT66" s="21">
        <v>715</v>
      </c>
      <c r="AU66" s="21">
        <v>949</v>
      </c>
      <c r="AV66" s="21">
        <v>1253</v>
      </c>
      <c r="AW66" s="21">
        <v>1037</v>
      </c>
      <c r="AX66" s="19">
        <v>1077</v>
      </c>
      <c r="AY66" s="19">
        <v>1137</v>
      </c>
      <c r="AZ66" s="19">
        <v>910</v>
      </c>
      <c r="BA66" s="19">
        <v>811</v>
      </c>
      <c r="BB66" s="19">
        <v>903</v>
      </c>
      <c r="BC66" s="19">
        <v>836</v>
      </c>
      <c r="BD66" s="19">
        <v>888</v>
      </c>
      <c r="BE66" s="19">
        <v>813</v>
      </c>
      <c r="BF66" s="19">
        <v>774</v>
      </c>
      <c r="BG66" s="19">
        <v>932</v>
      </c>
      <c r="BH66" s="19">
        <v>870</v>
      </c>
      <c r="BI66" s="19">
        <v>816</v>
      </c>
      <c r="BJ66" s="19">
        <v>801</v>
      </c>
      <c r="BK66" s="19">
        <v>715</v>
      </c>
      <c r="BL66" s="20">
        <v>791</v>
      </c>
      <c r="BM66" s="19">
        <v>1005.9099625628141</v>
      </c>
      <c r="BN66" s="19">
        <v>1112.0724655772865</v>
      </c>
      <c r="BO66" s="19">
        <v>1200.2907699787002</v>
      </c>
      <c r="BP66" s="19">
        <v>1263.1739421100547</v>
      </c>
      <c r="BQ66" s="19">
        <v>1292.0653909977893</v>
      </c>
    </row>
    <row r="67" spans="1:69" ht="12" customHeight="1" outlineLevel="1">
      <c r="A67" s="91" t="s">
        <v>543</v>
      </c>
      <c r="B67" s="1" t="s">
        <v>29</v>
      </c>
      <c r="C67" s="25"/>
      <c r="D67" s="25">
        <v>246</v>
      </c>
      <c r="E67" s="25">
        <v>330</v>
      </c>
      <c r="F67" s="25">
        <v>500</v>
      </c>
      <c r="G67" s="25">
        <v>337</v>
      </c>
      <c r="H67" s="25">
        <v>387</v>
      </c>
      <c r="I67" s="25">
        <v>317</v>
      </c>
      <c r="J67" s="25">
        <v>340</v>
      </c>
      <c r="K67" s="25">
        <v>386</v>
      </c>
      <c r="L67" s="25">
        <v>308</v>
      </c>
      <c r="M67" s="25">
        <v>325</v>
      </c>
      <c r="N67" s="25">
        <v>319</v>
      </c>
      <c r="O67" s="25">
        <v>556</v>
      </c>
      <c r="P67" s="25">
        <v>376</v>
      </c>
      <c r="Q67" s="25">
        <v>340</v>
      </c>
      <c r="R67" s="25">
        <v>349</v>
      </c>
      <c r="S67" s="25">
        <v>362</v>
      </c>
      <c r="T67" s="25">
        <v>383</v>
      </c>
      <c r="U67" s="25">
        <v>366</v>
      </c>
      <c r="V67" s="25">
        <v>434</v>
      </c>
      <c r="W67" s="25">
        <v>480</v>
      </c>
      <c r="X67" s="25">
        <v>467</v>
      </c>
      <c r="Y67" s="25">
        <v>566</v>
      </c>
      <c r="Z67" s="25">
        <v>401</v>
      </c>
      <c r="AA67" s="25">
        <v>430</v>
      </c>
      <c r="AB67" s="25">
        <v>902</v>
      </c>
      <c r="AC67" s="25">
        <v>620</v>
      </c>
      <c r="AD67" s="25">
        <v>633</v>
      </c>
      <c r="AE67" s="25">
        <v>565</v>
      </c>
      <c r="AF67" s="25">
        <v>585</v>
      </c>
      <c r="AG67" s="26">
        <v>603</v>
      </c>
      <c r="AH67" s="25">
        <v>625.72981437884823</v>
      </c>
      <c r="AI67" s="25">
        <v>649.50227477589658</v>
      </c>
      <c r="AJ67" s="25">
        <v>671.0427202391063</v>
      </c>
      <c r="AK67" s="25">
        <v>690.16748711395098</v>
      </c>
      <c r="AL67" s="25">
        <v>709.81670951516094</v>
      </c>
      <c r="AM67" s="25">
        <v>730.00486486971135</v>
      </c>
      <c r="AN67" s="25">
        <v>750.74683285999231</v>
      </c>
      <c r="AO67" s="25">
        <v>772.05790667159511</v>
      </c>
      <c r="AP67" s="25">
        <v>793.95380455753889</v>
      </c>
      <c r="AQ67" s="25">
        <v>816.45068172788604</v>
      </c>
      <c r="AS67" s="21">
        <v>275</v>
      </c>
      <c r="AT67" s="21">
        <v>424</v>
      </c>
      <c r="AU67" s="21">
        <v>1610</v>
      </c>
      <c r="AV67" s="21">
        <v>589</v>
      </c>
      <c r="AW67" s="21">
        <v>624</v>
      </c>
      <c r="AX67" s="19">
        <v>576</v>
      </c>
      <c r="AY67" s="19">
        <v>837</v>
      </c>
      <c r="AZ67" s="19">
        <v>704</v>
      </c>
      <c r="BA67" s="19">
        <v>726</v>
      </c>
      <c r="BB67" s="19">
        <v>633</v>
      </c>
      <c r="BC67" s="19">
        <v>875</v>
      </c>
      <c r="BD67" s="19">
        <v>716</v>
      </c>
      <c r="BE67" s="19">
        <v>711</v>
      </c>
      <c r="BF67" s="19">
        <v>749</v>
      </c>
      <c r="BG67" s="19">
        <v>914</v>
      </c>
      <c r="BH67" s="19">
        <v>1033</v>
      </c>
      <c r="BI67" s="19">
        <v>831</v>
      </c>
      <c r="BJ67" s="19">
        <v>1522</v>
      </c>
      <c r="BK67" s="19">
        <v>1198</v>
      </c>
      <c r="BL67" s="20">
        <v>1188</v>
      </c>
      <c r="BM67" s="19">
        <v>1275.2320891547447</v>
      </c>
      <c r="BN67" s="19">
        <v>1361.2102073530573</v>
      </c>
      <c r="BO67" s="19">
        <v>1439.8215743848723</v>
      </c>
      <c r="BP67" s="19">
        <v>1522.8047395315875</v>
      </c>
      <c r="BQ67" s="19">
        <v>1610.4044862854248</v>
      </c>
    </row>
    <row r="68" spans="1:69" s="9" customFormat="1" ht="12" customHeight="1" outlineLevel="1">
      <c r="A68" s="91" t="s">
        <v>540</v>
      </c>
      <c r="B68" s="9" t="s">
        <v>118</v>
      </c>
      <c r="C68" s="30"/>
      <c r="D68" s="30">
        <v>1882</v>
      </c>
      <c r="E68" s="30">
        <v>1839</v>
      </c>
      <c r="F68" s="30">
        <v>1995</v>
      </c>
      <c r="G68" s="30">
        <v>1896</v>
      </c>
      <c r="H68" s="30">
        <v>1766</v>
      </c>
      <c r="I68" s="30">
        <v>1598</v>
      </c>
      <c r="J68" s="30">
        <v>1636</v>
      </c>
      <c r="K68" s="30">
        <v>1743</v>
      </c>
      <c r="L68" s="30">
        <v>1838</v>
      </c>
      <c r="M68" s="30">
        <v>2015</v>
      </c>
      <c r="N68" s="30">
        <v>2167</v>
      </c>
      <c r="O68" s="30">
        <v>2572</v>
      </c>
      <c r="P68" s="30">
        <v>2794</v>
      </c>
      <c r="Q68" s="30">
        <v>2068</v>
      </c>
      <c r="R68" s="30">
        <v>2203</v>
      </c>
      <c r="S68" s="30">
        <v>2128</v>
      </c>
      <c r="T68" s="30">
        <v>2568</v>
      </c>
      <c r="U68" s="30">
        <v>2102</v>
      </c>
      <c r="V68" s="30">
        <v>2661</v>
      </c>
      <c r="W68" s="30">
        <v>2865</v>
      </c>
      <c r="X68" s="30">
        <v>2874</v>
      </c>
      <c r="Y68" s="30">
        <v>2963</v>
      </c>
      <c r="Z68" s="30">
        <v>2613</v>
      </c>
      <c r="AA68" s="30">
        <v>2563</v>
      </c>
      <c r="AB68" s="30">
        <v>3452</v>
      </c>
      <c r="AC68" s="30">
        <v>3435</v>
      </c>
      <c r="AD68" s="30">
        <v>3055</v>
      </c>
      <c r="AE68" s="30">
        <v>3345</v>
      </c>
      <c r="AF68" s="30">
        <v>3023</v>
      </c>
      <c r="AG68" s="27">
        <v>3226</v>
      </c>
      <c r="AH68" s="30">
        <v>3349.5282300731105</v>
      </c>
      <c r="AI68" s="30">
        <v>3489.2565601050392</v>
      </c>
      <c r="AJ68" s="30">
        <v>3815.0281566690965</v>
      </c>
      <c r="AK68" s="30">
        <v>3861.0046460663043</v>
      </c>
      <c r="AL68" s="30">
        <v>3999.953634236037</v>
      </c>
      <c r="AM68" s="30">
        <v>4091.7336591300855</v>
      </c>
      <c r="AN68" s="30">
        <v>4213.9941145872981</v>
      </c>
      <c r="AO68" s="30">
        <v>4287.65534596199</v>
      </c>
      <c r="AP68" s="30">
        <v>4428.2851052292981</v>
      </c>
      <c r="AQ68" s="30">
        <v>4488.2576662818401</v>
      </c>
      <c r="AS68" s="30">
        <v>1821</v>
      </c>
      <c r="AT68" s="30">
        <v>2842</v>
      </c>
      <c r="AU68" s="30">
        <v>4645</v>
      </c>
      <c r="AV68" s="30">
        <v>4645</v>
      </c>
      <c r="AW68" s="30">
        <v>4045</v>
      </c>
      <c r="AX68" s="30">
        <v>3721</v>
      </c>
      <c r="AY68" s="30">
        <v>3891</v>
      </c>
      <c r="AZ68" s="30">
        <v>3364</v>
      </c>
      <c r="BA68" s="30">
        <v>3379</v>
      </c>
      <c r="BB68" s="30">
        <v>3853</v>
      </c>
      <c r="BC68" s="30">
        <v>4739</v>
      </c>
      <c r="BD68" s="30">
        <v>4862</v>
      </c>
      <c r="BE68" s="30">
        <v>4331</v>
      </c>
      <c r="BF68" s="30">
        <v>4670</v>
      </c>
      <c r="BG68" s="30">
        <v>5526</v>
      </c>
      <c r="BH68" s="30">
        <v>5837</v>
      </c>
      <c r="BI68" s="30">
        <v>5176</v>
      </c>
      <c r="BJ68" s="30">
        <v>6887</v>
      </c>
      <c r="BK68" s="30">
        <v>6400</v>
      </c>
      <c r="BL68" s="27">
        <v>6249</v>
      </c>
      <c r="BM68" s="30">
        <v>6838.7847901781497</v>
      </c>
      <c r="BN68" s="30">
        <v>7676.0328027353989</v>
      </c>
      <c r="BO68" s="30">
        <v>8091.6872933661216</v>
      </c>
      <c r="BP68" s="30">
        <v>8501.6494605492881</v>
      </c>
      <c r="BQ68" s="30">
        <v>8916.5427715111382</v>
      </c>
    </row>
    <row r="69" spans="1:69" ht="12" customHeight="1" outlineLevel="1">
      <c r="A69" s="91" t="s">
        <v>315</v>
      </c>
      <c r="B69" s="1" t="s">
        <v>8</v>
      </c>
      <c r="C69" s="25"/>
      <c r="D69" s="25">
        <v>633</v>
      </c>
      <c r="E69" s="25">
        <v>666</v>
      </c>
      <c r="F69" s="25">
        <v>606</v>
      </c>
      <c r="G69" s="25">
        <v>783</v>
      </c>
      <c r="H69" s="25">
        <v>374</v>
      </c>
      <c r="I69" s="25">
        <v>661</v>
      </c>
      <c r="J69" s="25">
        <v>555</v>
      </c>
      <c r="K69" s="25">
        <v>679</v>
      </c>
      <c r="L69" s="25">
        <v>591</v>
      </c>
      <c r="M69" s="25">
        <v>979</v>
      </c>
      <c r="N69" s="25">
        <v>687</v>
      </c>
      <c r="O69" s="25">
        <v>1040</v>
      </c>
      <c r="P69" s="25">
        <v>1108</v>
      </c>
      <c r="Q69" s="25">
        <v>959</v>
      </c>
      <c r="R69" s="25">
        <v>776</v>
      </c>
      <c r="S69" s="25">
        <v>982</v>
      </c>
      <c r="T69" s="25">
        <v>881</v>
      </c>
      <c r="U69" s="25">
        <v>1076</v>
      </c>
      <c r="V69" s="25">
        <v>1231</v>
      </c>
      <c r="W69" s="25">
        <v>1560</v>
      </c>
      <c r="X69" s="25">
        <v>1627</v>
      </c>
      <c r="Y69" s="25">
        <v>1234</v>
      </c>
      <c r="Z69" s="25">
        <v>1487</v>
      </c>
      <c r="AA69" s="25">
        <v>1995</v>
      </c>
      <c r="AB69" s="25">
        <v>1659</v>
      </c>
      <c r="AC69" s="25">
        <v>2337</v>
      </c>
      <c r="AD69" s="25">
        <v>2739</v>
      </c>
      <c r="AE69" s="25">
        <v>4834</v>
      </c>
      <c r="AF69" s="25">
        <v>2612</v>
      </c>
      <c r="AG69" s="26">
        <v>2836</v>
      </c>
      <c r="AH69" s="25">
        <v>2600.7040240568617</v>
      </c>
      <c r="AI69" s="25">
        <v>2856.0320252597048</v>
      </c>
      <c r="AJ69" s="25">
        <v>2738.664899995626</v>
      </c>
      <c r="AK69" s="25">
        <v>3074.8479665944892</v>
      </c>
      <c r="AL69" s="25">
        <v>2887.2790755695646</v>
      </c>
      <c r="AM69" s="25">
        <v>3243.5717729156841</v>
      </c>
      <c r="AN69" s="25">
        <v>3046.4750681559108</v>
      </c>
      <c r="AO69" s="25">
        <v>3424.3609445807297</v>
      </c>
      <c r="AP69" s="25">
        <v>3217.0920716306205</v>
      </c>
      <c r="AQ69" s="25">
        <v>3618.175572225749</v>
      </c>
      <c r="AS69" s="21">
        <v>734</v>
      </c>
      <c r="AT69" s="21">
        <v>876</v>
      </c>
      <c r="AU69" s="21">
        <v>1047</v>
      </c>
      <c r="AV69" s="21">
        <v>1835</v>
      </c>
      <c r="AW69" s="21">
        <v>1157</v>
      </c>
      <c r="AX69" s="19">
        <v>1299</v>
      </c>
      <c r="AY69" s="19">
        <v>1389</v>
      </c>
      <c r="AZ69" s="19">
        <v>1035</v>
      </c>
      <c r="BA69" s="19">
        <v>1234</v>
      </c>
      <c r="BB69" s="19">
        <v>1570</v>
      </c>
      <c r="BC69" s="19">
        <v>1727</v>
      </c>
      <c r="BD69" s="19">
        <v>2067</v>
      </c>
      <c r="BE69" s="19">
        <v>1758</v>
      </c>
      <c r="BF69" s="19">
        <v>1957</v>
      </c>
      <c r="BG69" s="19">
        <v>2791</v>
      </c>
      <c r="BH69" s="19">
        <v>2861</v>
      </c>
      <c r="BI69" s="19">
        <v>3482</v>
      </c>
      <c r="BJ69" s="19">
        <v>3996</v>
      </c>
      <c r="BK69" s="19">
        <v>7573</v>
      </c>
      <c r="BL69" s="20">
        <v>5448</v>
      </c>
      <c r="BM69" s="19">
        <v>5456.736049316567</v>
      </c>
      <c r="BN69" s="19">
        <v>5813.5128665901157</v>
      </c>
      <c r="BO69" s="19">
        <v>6130.8508484852482</v>
      </c>
      <c r="BP69" s="19">
        <v>6470.8360127366404</v>
      </c>
      <c r="BQ69" s="19">
        <v>6835.2676438563694</v>
      </c>
    </row>
    <row r="70" spans="1:69" ht="12" customHeight="1" outlineLevel="1">
      <c r="A70" s="91" t="s">
        <v>542</v>
      </c>
      <c r="B70" s="1" t="s">
        <v>9</v>
      </c>
      <c r="C70" s="25"/>
      <c r="D70" s="25">
        <v>-197</v>
      </c>
      <c r="E70" s="25">
        <v>-33</v>
      </c>
      <c r="F70" s="25">
        <v>85</v>
      </c>
      <c r="G70" s="25">
        <v>94</v>
      </c>
      <c r="H70" s="25">
        <v>49</v>
      </c>
      <c r="I70" s="25">
        <v>59</v>
      </c>
      <c r="J70" s="25">
        <v>75</v>
      </c>
      <c r="K70" s="25">
        <v>17</v>
      </c>
      <c r="L70" s="25">
        <v>70</v>
      </c>
      <c r="M70" s="25">
        <v>79</v>
      </c>
      <c r="N70" s="25">
        <v>19</v>
      </c>
      <c r="O70" s="25">
        <v>-14</v>
      </c>
      <c r="P70" s="25">
        <v>-63</v>
      </c>
      <c r="Q70" s="25">
        <v>67</v>
      </c>
      <c r="R70" s="25">
        <v>-8</v>
      </c>
      <c r="S70" s="25">
        <v>59</v>
      </c>
      <c r="T70" s="25">
        <v>103</v>
      </c>
      <c r="U70" s="25">
        <v>138</v>
      </c>
      <c r="V70" s="25">
        <v>7</v>
      </c>
      <c r="W70" s="25">
        <v>-63</v>
      </c>
      <c r="X70" s="25">
        <v>-49</v>
      </c>
      <c r="Y70" s="25">
        <v>144</v>
      </c>
      <c r="Z70" s="25">
        <v>-54</v>
      </c>
      <c r="AA70" s="25">
        <v>51</v>
      </c>
      <c r="AB70" s="25">
        <v>242</v>
      </c>
      <c r="AC70" s="25">
        <v>-2</v>
      </c>
      <c r="AD70" s="25">
        <v>-61</v>
      </c>
      <c r="AE70" s="25">
        <v>-52</v>
      </c>
      <c r="AF70" s="25">
        <v>-5</v>
      </c>
      <c r="AG70" s="26">
        <v>-44</v>
      </c>
      <c r="AH70" s="25">
        <v>-44</v>
      </c>
      <c r="AI70" s="25">
        <v>-44</v>
      </c>
      <c r="AJ70" s="25">
        <v>-44</v>
      </c>
      <c r="AK70" s="25">
        <v>-44</v>
      </c>
      <c r="AL70" s="25">
        <v>-44</v>
      </c>
      <c r="AM70" s="25">
        <v>-44</v>
      </c>
      <c r="AN70" s="25">
        <v>-44</v>
      </c>
      <c r="AO70" s="25">
        <v>-44</v>
      </c>
      <c r="AP70" s="25">
        <v>-44</v>
      </c>
      <c r="AQ70" s="25">
        <v>-44</v>
      </c>
      <c r="AS70" s="21">
        <v>17</v>
      </c>
      <c r="AT70" s="21">
        <v>172</v>
      </c>
      <c r="AU70" s="21">
        <v>242</v>
      </c>
      <c r="AV70" s="21">
        <v>156</v>
      </c>
      <c r="AW70" s="21">
        <v>74</v>
      </c>
      <c r="AX70" s="19">
        <v>-230</v>
      </c>
      <c r="AY70" s="19">
        <v>179</v>
      </c>
      <c r="AZ70" s="19">
        <v>108</v>
      </c>
      <c r="BA70" s="19">
        <v>92</v>
      </c>
      <c r="BB70" s="19">
        <v>149</v>
      </c>
      <c r="BC70" s="19">
        <v>5</v>
      </c>
      <c r="BD70" s="19">
        <v>4</v>
      </c>
      <c r="BE70" s="19">
        <v>51</v>
      </c>
      <c r="BF70" s="19">
        <v>241</v>
      </c>
      <c r="BG70" s="19">
        <v>-56</v>
      </c>
      <c r="BH70" s="19">
        <v>95</v>
      </c>
      <c r="BI70" s="19">
        <v>-3</v>
      </c>
      <c r="BJ70" s="19">
        <v>240</v>
      </c>
      <c r="BK70" s="19">
        <v>-113</v>
      </c>
      <c r="BL70" s="20">
        <v>-49</v>
      </c>
      <c r="BM70" s="19">
        <v>-88</v>
      </c>
      <c r="BN70" s="19">
        <v>-88</v>
      </c>
      <c r="BO70" s="19">
        <v>-88</v>
      </c>
      <c r="BP70" s="19">
        <v>-88</v>
      </c>
      <c r="BQ70" s="19">
        <v>-88</v>
      </c>
    </row>
    <row r="71" spans="1:69" ht="12" customHeight="1" outlineLevel="1">
      <c r="A71" s="91" t="s">
        <v>539</v>
      </c>
      <c r="B71" s="1" t="s">
        <v>45</v>
      </c>
      <c r="C71" s="25"/>
      <c r="D71" s="25">
        <v>-131</v>
      </c>
      <c r="E71" s="25">
        <v>-85</v>
      </c>
      <c r="F71" s="25">
        <v>-77</v>
      </c>
      <c r="G71" s="25">
        <v>-51</v>
      </c>
      <c r="H71" s="25">
        <v>-66</v>
      </c>
      <c r="I71" s="25">
        <v>-113</v>
      </c>
      <c r="J71" s="25">
        <v>-88</v>
      </c>
      <c r="K71" s="25">
        <v>-101</v>
      </c>
      <c r="L71" s="25">
        <v>-95</v>
      </c>
      <c r="M71" s="25">
        <v>-141</v>
      </c>
      <c r="N71" s="25">
        <v>-104</v>
      </c>
      <c r="O71" s="25">
        <v>-363</v>
      </c>
      <c r="P71" s="25">
        <v>-336</v>
      </c>
      <c r="Q71" s="25">
        <v>-238</v>
      </c>
      <c r="R71" s="25">
        <v>-149</v>
      </c>
      <c r="S71" s="25">
        <v>-122</v>
      </c>
      <c r="T71" s="25">
        <v>-81</v>
      </c>
      <c r="U71" s="25">
        <v>1</v>
      </c>
      <c r="V71" s="25">
        <v>-44</v>
      </c>
      <c r="W71" s="25">
        <v>-276</v>
      </c>
      <c r="X71" s="25">
        <v>-144</v>
      </c>
      <c r="Y71" s="25">
        <v>-661</v>
      </c>
      <c r="Z71" s="25">
        <v>-407</v>
      </c>
      <c r="AA71" s="25">
        <v>-27</v>
      </c>
      <c r="AB71" s="25">
        <v>-176</v>
      </c>
      <c r="AC71" s="25">
        <v>-74</v>
      </c>
      <c r="AD71" s="25">
        <v>-175</v>
      </c>
      <c r="AE71" s="25">
        <v>-213</v>
      </c>
      <c r="AF71" s="25">
        <v>-6</v>
      </c>
      <c r="AG71" s="26">
        <v>140</v>
      </c>
      <c r="AH71" s="25">
        <v>-18.002486718428145</v>
      </c>
      <c r="AI71" s="25">
        <v>-141.24079974546225</v>
      </c>
      <c r="AJ71" s="25">
        <v>-199.05718990726177</v>
      </c>
      <c r="AK71" s="25">
        <v>-277.65384089630356</v>
      </c>
      <c r="AL71" s="25">
        <v>-362.3642135757425</v>
      </c>
      <c r="AM71" s="25">
        <v>-368.47862644310885</v>
      </c>
      <c r="AN71" s="25">
        <v>-377.53512437215136</v>
      </c>
      <c r="AO71" s="25">
        <v>-385.85916419705495</v>
      </c>
      <c r="AP71" s="25">
        <v>-395.36697375141011</v>
      </c>
      <c r="AQ71" s="25">
        <v>-402.09443541766632</v>
      </c>
      <c r="AS71" s="21">
        <v>-31</v>
      </c>
      <c r="AT71" s="21">
        <v>-36</v>
      </c>
      <c r="AU71" s="21">
        <v>-40</v>
      </c>
      <c r="AV71" s="21">
        <v>-108</v>
      </c>
      <c r="AW71" s="21">
        <v>-501</v>
      </c>
      <c r="AX71" s="19">
        <v>-216</v>
      </c>
      <c r="AY71" s="19">
        <v>-128</v>
      </c>
      <c r="AZ71" s="19">
        <v>-179</v>
      </c>
      <c r="BA71" s="19">
        <v>-189</v>
      </c>
      <c r="BB71" s="19">
        <v>-236</v>
      </c>
      <c r="BC71" s="19">
        <v>-467</v>
      </c>
      <c r="BD71" s="19">
        <v>-574</v>
      </c>
      <c r="BE71" s="19">
        <v>-271</v>
      </c>
      <c r="BF71" s="19">
        <v>-80</v>
      </c>
      <c r="BG71" s="19">
        <v>-320</v>
      </c>
      <c r="BH71" s="19">
        <v>-805</v>
      </c>
      <c r="BI71" s="19">
        <v>-434</v>
      </c>
      <c r="BJ71" s="19">
        <v>-250</v>
      </c>
      <c r="BK71" s="19">
        <v>-388</v>
      </c>
      <c r="BL71" s="20">
        <v>134</v>
      </c>
      <c r="BM71" s="19">
        <v>-159.2432864638904</v>
      </c>
      <c r="BN71" s="19">
        <v>-476.71103080356534</v>
      </c>
      <c r="BO71" s="19">
        <v>-730.84284001885135</v>
      </c>
      <c r="BP71" s="19">
        <v>-763.39428856920631</v>
      </c>
      <c r="BQ71" s="19">
        <v>-797.46140916907643</v>
      </c>
    </row>
    <row r="72" spans="1:69" ht="12" customHeight="1" outlineLevel="1">
      <c r="A72" s="91" t="s">
        <v>541</v>
      </c>
      <c r="B72" s="1" t="s">
        <v>10</v>
      </c>
      <c r="C72" s="25"/>
      <c r="D72" s="25">
        <v>493</v>
      </c>
      <c r="E72" s="25">
        <v>491</v>
      </c>
      <c r="F72" s="25">
        <v>447</v>
      </c>
      <c r="G72" s="25">
        <v>612</v>
      </c>
      <c r="H72" s="25">
        <v>422</v>
      </c>
      <c r="I72" s="25">
        <v>880</v>
      </c>
      <c r="J72" s="25">
        <v>232</v>
      </c>
      <c r="K72" s="25">
        <v>542</v>
      </c>
      <c r="L72" s="25">
        <v>415</v>
      </c>
      <c r="M72" s="25">
        <v>676</v>
      </c>
      <c r="N72" s="25">
        <v>559</v>
      </c>
      <c r="O72" s="25">
        <v>607</v>
      </c>
      <c r="P72" s="25">
        <v>650</v>
      </c>
      <c r="Q72" s="25">
        <v>847</v>
      </c>
      <c r="R72" s="25">
        <v>1298</v>
      </c>
      <c r="S72" s="25">
        <v>1012</v>
      </c>
      <c r="T72" s="25">
        <v>915</v>
      </c>
      <c r="U72" s="25">
        <v>1231</v>
      </c>
      <c r="V72" s="25">
        <v>977</v>
      </c>
      <c r="W72" s="25">
        <v>2076</v>
      </c>
      <c r="X72" s="25">
        <v>1222</v>
      </c>
      <c r="Y72" s="25">
        <v>1256</v>
      </c>
      <c r="Z72" s="25">
        <v>847</v>
      </c>
      <c r="AA72" s="25">
        <v>1511</v>
      </c>
      <c r="AB72" s="25">
        <v>1254</v>
      </c>
      <c r="AC72" s="25">
        <v>2337</v>
      </c>
      <c r="AD72" s="25">
        <v>1635</v>
      </c>
      <c r="AE72" s="25">
        <v>987</v>
      </c>
      <c r="AF72" s="25">
        <v>653</v>
      </c>
      <c r="AG72" s="26">
        <v>993</v>
      </c>
      <c r="AH72" s="25">
        <v>1146.19</v>
      </c>
      <c r="AI72" s="25">
        <v>1180.4497000000001</v>
      </c>
      <c r="AJ72" s="25">
        <v>1215.9346410000001</v>
      </c>
      <c r="AK72" s="25">
        <v>1252.69317148</v>
      </c>
      <c r="AL72" s="25">
        <v>1284.6125174056501</v>
      </c>
      <c r="AM72" s="25">
        <v>1317.4154074786006</v>
      </c>
      <c r="AN72" s="25">
        <v>1351.1264971175096</v>
      </c>
      <c r="AO72" s="25">
        <v>1385.7711351309492</v>
      </c>
      <c r="AP72" s="25">
        <v>1421.37538336229</v>
      </c>
      <c r="AQ72" s="25">
        <v>1457.9660368950065</v>
      </c>
      <c r="AS72" s="21">
        <v>675</v>
      </c>
      <c r="AT72" s="21">
        <v>386</v>
      </c>
      <c r="AU72" s="21">
        <v>559</v>
      </c>
      <c r="AV72" s="21">
        <v>903</v>
      </c>
      <c r="AW72" s="21">
        <v>-187</v>
      </c>
      <c r="AX72" s="19">
        <v>984</v>
      </c>
      <c r="AY72" s="19">
        <v>1059</v>
      </c>
      <c r="AZ72" s="19">
        <v>1302</v>
      </c>
      <c r="BA72" s="19">
        <v>774</v>
      </c>
      <c r="BB72" s="19">
        <v>1091</v>
      </c>
      <c r="BC72" s="19">
        <v>1166</v>
      </c>
      <c r="BD72" s="19">
        <v>1497</v>
      </c>
      <c r="BE72" s="19">
        <v>2310</v>
      </c>
      <c r="BF72" s="19">
        <v>2146</v>
      </c>
      <c r="BG72" s="19">
        <v>3053</v>
      </c>
      <c r="BH72" s="19">
        <v>2478</v>
      </c>
      <c r="BI72" s="19">
        <v>2358</v>
      </c>
      <c r="BJ72" s="19">
        <v>3591</v>
      </c>
      <c r="BK72" s="19">
        <v>2622</v>
      </c>
      <c r="BL72" s="20">
        <v>1646</v>
      </c>
      <c r="BM72" s="19">
        <v>2326.6397000000002</v>
      </c>
      <c r="BN72" s="19">
        <v>2468.6278124800001</v>
      </c>
      <c r="BO72" s="19">
        <v>2602.0279248842508</v>
      </c>
      <c r="BP72" s="19">
        <v>2736.8976322484586</v>
      </c>
      <c r="BQ72" s="19">
        <v>2879.3414202572967</v>
      </c>
    </row>
    <row r="73" spans="1:69" s="9" customFormat="1" ht="12" customHeight="1" outlineLevel="1">
      <c r="A73" s="91" t="s">
        <v>316</v>
      </c>
      <c r="B73" s="9" t="s">
        <v>35</v>
      </c>
      <c r="C73" s="30"/>
      <c r="D73" s="30">
        <v>3105</v>
      </c>
      <c r="E73" s="30">
        <v>3533</v>
      </c>
      <c r="F73" s="30">
        <v>3661</v>
      </c>
      <c r="G73" s="30">
        <v>4004</v>
      </c>
      <c r="H73" s="30">
        <v>3243</v>
      </c>
      <c r="I73" s="30">
        <v>3720</v>
      </c>
      <c r="J73" s="30">
        <v>3054</v>
      </c>
      <c r="K73" s="30">
        <v>3603</v>
      </c>
      <c r="L73" s="30">
        <v>3679</v>
      </c>
      <c r="M73" s="30">
        <v>4453</v>
      </c>
      <c r="N73" s="30">
        <v>4284</v>
      </c>
      <c r="O73" s="30">
        <v>4978</v>
      </c>
      <c r="P73" s="30">
        <v>5318</v>
      </c>
      <c r="Q73" s="30">
        <v>4817</v>
      </c>
      <c r="R73" s="30">
        <v>5218</v>
      </c>
      <c r="S73" s="30">
        <v>5146</v>
      </c>
      <c r="T73" s="30">
        <v>5397</v>
      </c>
      <c r="U73" s="30">
        <v>5523</v>
      </c>
      <c r="V73" s="30">
        <v>5830</v>
      </c>
      <c r="W73" s="30">
        <v>6924</v>
      </c>
      <c r="X73" s="30">
        <v>6320</v>
      </c>
      <c r="Y73" s="30">
        <v>6005</v>
      </c>
      <c r="Z73" s="30">
        <v>5519</v>
      </c>
      <c r="AA73" s="30">
        <v>7255</v>
      </c>
      <c r="AB73" s="30">
        <v>7804</v>
      </c>
      <c r="AC73" s="30">
        <v>9520</v>
      </c>
      <c r="AD73" s="30">
        <v>8624</v>
      </c>
      <c r="AE73" s="30">
        <v>10498</v>
      </c>
      <c r="AF73" s="30">
        <v>7910</v>
      </c>
      <c r="AG73" s="27">
        <v>8977</v>
      </c>
      <c r="AH73" s="30">
        <v>8886.6656940895391</v>
      </c>
      <c r="AI73" s="30">
        <v>9223.3249708106505</v>
      </c>
      <c r="AJ73" s="30">
        <v>9453.5528398414881</v>
      </c>
      <c r="AK73" s="30">
        <v>9817.9540849706827</v>
      </c>
      <c r="AL73" s="30">
        <v>9746.2945677267453</v>
      </c>
      <c r="AM73" s="30">
        <v>10247.428974942075</v>
      </c>
      <c r="AN73" s="30">
        <v>10223.874380509016</v>
      </c>
      <c r="AO73" s="30">
        <v>10737.256687653498</v>
      </c>
      <c r="AP73" s="30">
        <v>10724.19417152773</v>
      </c>
      <c r="AQ73" s="30">
        <v>11243.185374295001</v>
      </c>
      <c r="AR73" s="467"/>
      <c r="AS73" s="30">
        <v>3752</v>
      </c>
      <c r="AT73" s="30">
        <v>4832</v>
      </c>
      <c r="AU73" s="30">
        <v>7181</v>
      </c>
      <c r="AV73" s="30">
        <v>8248</v>
      </c>
      <c r="AW73" s="30">
        <v>5526</v>
      </c>
      <c r="AX73" s="30">
        <v>6638</v>
      </c>
      <c r="AY73" s="30">
        <v>7665</v>
      </c>
      <c r="AZ73" s="30">
        <v>6963</v>
      </c>
      <c r="BA73" s="30">
        <v>6657</v>
      </c>
      <c r="BB73" s="30">
        <v>8132</v>
      </c>
      <c r="BC73" s="30">
        <v>9262</v>
      </c>
      <c r="BD73" s="30">
        <v>10135</v>
      </c>
      <c r="BE73" s="30">
        <v>10364</v>
      </c>
      <c r="BF73" s="30">
        <v>10920</v>
      </c>
      <c r="BG73" s="30">
        <v>12754</v>
      </c>
      <c r="BH73" s="30">
        <v>12325</v>
      </c>
      <c r="BI73" s="30">
        <v>12774</v>
      </c>
      <c r="BJ73" s="30">
        <v>17324</v>
      </c>
      <c r="BK73" s="30">
        <v>19122</v>
      </c>
      <c r="BL73" s="27">
        <v>16887</v>
      </c>
      <c r="BM73" s="30">
        <v>18109.99066490019</v>
      </c>
      <c r="BN73" s="30">
        <v>19271.506924812173</v>
      </c>
      <c r="BO73" s="30">
        <v>19993.72354266882</v>
      </c>
      <c r="BP73" s="30">
        <v>20961.131068162511</v>
      </c>
      <c r="BQ73" s="30">
        <v>21967.379545822732</v>
      </c>
    </row>
    <row r="74" spans="1:69" ht="12" customHeight="1" outlineLevel="1">
      <c r="A74" s="91" t="s">
        <v>536</v>
      </c>
      <c r="B74" s="1" t="s">
        <v>14</v>
      </c>
      <c r="C74" s="25"/>
      <c r="D74" s="25">
        <v>-1509</v>
      </c>
      <c r="E74" s="25">
        <v>-1592</v>
      </c>
      <c r="F74" s="25">
        <v>-1896</v>
      </c>
      <c r="G74" s="25">
        <v>-1994</v>
      </c>
      <c r="H74" s="25">
        <v>-1652</v>
      </c>
      <c r="I74" s="25">
        <v>-1908</v>
      </c>
      <c r="J74" s="25">
        <v>-1538</v>
      </c>
      <c r="K74" s="25">
        <v>-1735</v>
      </c>
      <c r="L74" s="25">
        <v>-1730</v>
      </c>
      <c r="M74" s="25">
        <v>-2006</v>
      </c>
      <c r="N74" s="25">
        <v>-1944</v>
      </c>
      <c r="O74" s="25">
        <v>-2199</v>
      </c>
      <c r="P74" s="25">
        <v>-2263</v>
      </c>
      <c r="Q74" s="25">
        <v>-1981</v>
      </c>
      <c r="R74" s="25">
        <v>-2290</v>
      </c>
      <c r="S74" s="25">
        <v>-2089</v>
      </c>
      <c r="T74" s="25">
        <v>-2261</v>
      </c>
      <c r="U74" s="25">
        <v>-2232</v>
      </c>
      <c r="V74" s="25">
        <v>-2454</v>
      </c>
      <c r="W74" s="25">
        <v>-2763</v>
      </c>
      <c r="X74" s="25">
        <v>-2776</v>
      </c>
      <c r="Y74" s="25">
        <v>-2547</v>
      </c>
      <c r="Z74" s="25">
        <v>-2615</v>
      </c>
      <c r="AA74" s="25">
        <v>-2902</v>
      </c>
      <c r="AB74" s="25">
        <v>-3164</v>
      </c>
      <c r="AC74" s="25">
        <v>-3561</v>
      </c>
      <c r="AD74" s="25">
        <v>-3613</v>
      </c>
      <c r="AE74" s="25">
        <v>-4090</v>
      </c>
      <c r="AF74" s="25">
        <v>-3734</v>
      </c>
      <c r="AG74" s="26">
        <v>-3989</v>
      </c>
      <c r="AH74" s="25">
        <v>-4062.101756949859</v>
      </c>
      <c r="AI74" s="25">
        <v>-4223.6796002133833</v>
      </c>
      <c r="AJ74" s="25">
        <v>-4322.2866051988085</v>
      </c>
      <c r="AK74" s="25">
        <v>-4555.7535124346641</v>
      </c>
      <c r="AL74" s="25">
        <v>-4529.1073501072842</v>
      </c>
      <c r="AM74" s="25">
        <v>-4711.6985518353722</v>
      </c>
      <c r="AN74" s="25">
        <v>-4749.639855560742</v>
      </c>
      <c r="AO74" s="25">
        <v>-4935.6663223308624</v>
      </c>
      <c r="AP74" s="25">
        <v>-4983.3093199401346</v>
      </c>
      <c r="AQ74" s="25">
        <v>-5173.5691140753761</v>
      </c>
      <c r="AR74" s="467"/>
      <c r="AS74" s="21">
        <v>-2045</v>
      </c>
      <c r="AT74" s="21">
        <v>-2407</v>
      </c>
      <c r="AU74" s="21">
        <v>-3733</v>
      </c>
      <c r="AV74" s="21">
        <v>-4177</v>
      </c>
      <c r="AW74" s="21">
        <v>-2359</v>
      </c>
      <c r="AX74" s="19">
        <v>-3101</v>
      </c>
      <c r="AY74" s="19">
        <v>-3890</v>
      </c>
      <c r="AZ74" s="19">
        <v>-3560</v>
      </c>
      <c r="BA74" s="19">
        <v>-3273</v>
      </c>
      <c r="BB74" s="19">
        <v>-3736</v>
      </c>
      <c r="BC74" s="19">
        <v>-4143</v>
      </c>
      <c r="BD74" s="19">
        <v>-4244</v>
      </c>
      <c r="BE74" s="19">
        <v>-4379</v>
      </c>
      <c r="BF74" s="19">
        <v>-4493</v>
      </c>
      <c r="BG74" s="19">
        <v>-5217</v>
      </c>
      <c r="BH74" s="19">
        <v>-5323</v>
      </c>
      <c r="BI74" s="19">
        <v>-5517</v>
      </c>
      <c r="BJ74" s="19">
        <v>-6725</v>
      </c>
      <c r="BK74" s="19">
        <v>-7703</v>
      </c>
      <c r="BL74" s="20">
        <v>-7723</v>
      </c>
      <c r="BM74" s="19">
        <v>-8285.7813571632432</v>
      </c>
      <c r="BN74" s="19">
        <v>-8878.0401176334726</v>
      </c>
      <c r="BO74" s="19">
        <v>-9240.8059019426564</v>
      </c>
      <c r="BP74" s="19">
        <v>-9685.3061778916053</v>
      </c>
      <c r="BQ74" s="19">
        <v>-10156.878434015511</v>
      </c>
    </row>
    <row r="75" spans="1:69" ht="12" customHeight="1" outlineLevel="1">
      <c r="A75" s="91" t="s">
        <v>537</v>
      </c>
      <c r="B75" s="1" t="s">
        <v>21</v>
      </c>
      <c r="C75" s="25"/>
      <c r="D75" s="25">
        <v>-329</v>
      </c>
      <c r="E75" s="25">
        <v>-316</v>
      </c>
      <c r="F75" s="25">
        <v>-441</v>
      </c>
      <c r="G75" s="25">
        <v>-344</v>
      </c>
      <c r="H75" s="25">
        <v>-386</v>
      </c>
      <c r="I75" s="25">
        <v>-338</v>
      </c>
      <c r="J75" s="25">
        <v>-320</v>
      </c>
      <c r="K75" s="25">
        <v>-284</v>
      </c>
      <c r="L75" s="25">
        <v>-379</v>
      </c>
      <c r="M75" s="25">
        <v>-400</v>
      </c>
      <c r="N75" s="25">
        <v>-387</v>
      </c>
      <c r="O75" s="25">
        <v>-437</v>
      </c>
      <c r="P75" s="25">
        <v>-444</v>
      </c>
      <c r="Q75" s="25">
        <v>-448</v>
      </c>
      <c r="R75" s="25">
        <v>-418</v>
      </c>
      <c r="S75" s="25">
        <v>-434</v>
      </c>
      <c r="T75" s="25">
        <v>-422</v>
      </c>
      <c r="U75" s="25">
        <v>-408</v>
      </c>
      <c r="V75" s="25">
        <v>-579</v>
      </c>
      <c r="W75" s="25">
        <v>-561</v>
      </c>
      <c r="X75" s="25">
        <v>-482</v>
      </c>
      <c r="Y75" s="25">
        <v>-482</v>
      </c>
      <c r="Z75" s="25">
        <v>-471</v>
      </c>
      <c r="AA75" s="25">
        <v>-408</v>
      </c>
      <c r="AB75" s="25">
        <v>-498</v>
      </c>
      <c r="AC75" s="25">
        <v>-531</v>
      </c>
      <c r="AD75" s="25">
        <v>-500</v>
      </c>
      <c r="AE75" s="25">
        <v>-528</v>
      </c>
      <c r="AF75" s="25">
        <v>-529</v>
      </c>
      <c r="AG75" s="26">
        <v>-542</v>
      </c>
      <c r="AH75" s="25">
        <v>-577.53003122142206</v>
      </c>
      <c r="AI75" s="25">
        <v>-573.52329599605309</v>
      </c>
      <c r="AJ75" s="25">
        <v>-611.72351110952786</v>
      </c>
      <c r="AK75" s="25">
        <v>-606.77520726835132</v>
      </c>
      <c r="AL75" s="25">
        <v>-640.81853213249303</v>
      </c>
      <c r="AM75" s="25">
        <v>-636.3441493454352</v>
      </c>
      <c r="AN75" s="25">
        <v>-671.91409563445802</v>
      </c>
      <c r="AO75" s="25">
        <v>-662.00061323854334</v>
      </c>
      <c r="AP75" s="25">
        <v>-699.13619332366238</v>
      </c>
      <c r="AQ75" s="25">
        <v>-688.29118917080086</v>
      </c>
      <c r="AS75" s="325"/>
      <c r="AT75" s="21">
        <v>-366</v>
      </c>
      <c r="AU75" s="21">
        <v>-421</v>
      </c>
      <c r="AV75" s="21">
        <v>-702</v>
      </c>
      <c r="AW75" s="21">
        <v>-685</v>
      </c>
      <c r="AX75" s="19">
        <v>-645</v>
      </c>
      <c r="AY75" s="19">
        <v>-785</v>
      </c>
      <c r="AZ75" s="19">
        <v>-724</v>
      </c>
      <c r="BA75" s="19">
        <v>-604</v>
      </c>
      <c r="BB75" s="19">
        <v>-779</v>
      </c>
      <c r="BC75" s="19">
        <v>-824</v>
      </c>
      <c r="BD75" s="19">
        <v>-892</v>
      </c>
      <c r="BE75" s="19">
        <v>-852</v>
      </c>
      <c r="BF75" s="19">
        <v>-830</v>
      </c>
      <c r="BG75" s="19">
        <v>-1140</v>
      </c>
      <c r="BH75" s="19">
        <v>-964</v>
      </c>
      <c r="BI75" s="19">
        <v>-879</v>
      </c>
      <c r="BJ75" s="19">
        <v>-1029</v>
      </c>
      <c r="BK75" s="19">
        <v>-1028</v>
      </c>
      <c r="BL75" s="20">
        <v>-1071</v>
      </c>
      <c r="BM75" s="19">
        <v>-1151.0533272174753</v>
      </c>
      <c r="BN75" s="19">
        <v>-1218.4987183778792</v>
      </c>
      <c r="BO75" s="19">
        <v>-1277.1626814779283</v>
      </c>
      <c r="BP75" s="19">
        <v>-1333.9147088730015</v>
      </c>
      <c r="BQ75" s="19">
        <v>-1387.4273824944632</v>
      </c>
    </row>
    <row r="76" spans="1:69" ht="12" customHeight="1" outlineLevel="1">
      <c r="A76" s="91" t="s">
        <v>538</v>
      </c>
      <c r="B76" s="1" t="s">
        <v>11</v>
      </c>
      <c r="C76" s="25"/>
      <c r="D76" s="25">
        <v>-735</v>
      </c>
      <c r="E76" s="25">
        <v>-863</v>
      </c>
      <c r="F76" s="25">
        <v>-828</v>
      </c>
      <c r="G76" s="25">
        <v>-891</v>
      </c>
      <c r="H76" s="25">
        <v>-790</v>
      </c>
      <c r="I76" s="25">
        <v>-840</v>
      </c>
      <c r="J76" s="25">
        <v>-679</v>
      </c>
      <c r="K76" s="25">
        <v>-696</v>
      </c>
      <c r="L76" s="25">
        <v>-760</v>
      </c>
      <c r="M76" s="25">
        <v>-751</v>
      </c>
      <c r="N76" s="25">
        <v>-832</v>
      </c>
      <c r="O76" s="25">
        <v>-941</v>
      </c>
      <c r="P76" s="25">
        <v>-992</v>
      </c>
      <c r="Q76" s="25">
        <v>-992</v>
      </c>
      <c r="R76" s="25">
        <v>-1025</v>
      </c>
      <c r="S76" s="25">
        <v>-1004</v>
      </c>
      <c r="T76" s="25">
        <v>-1010</v>
      </c>
      <c r="U76" s="25">
        <v>-1123</v>
      </c>
      <c r="V76" s="25">
        <v>-1092</v>
      </c>
      <c r="W76" s="25">
        <v>-1438</v>
      </c>
      <c r="X76" s="25">
        <v>-1222</v>
      </c>
      <c r="Y76" s="25">
        <v>-1362</v>
      </c>
      <c r="Z76" s="25">
        <v>-1180</v>
      </c>
      <c r="AA76" s="25">
        <v>-1291</v>
      </c>
      <c r="AB76" s="25">
        <v>-1407</v>
      </c>
      <c r="AC76" s="25">
        <v>-1624</v>
      </c>
      <c r="AD76" s="25">
        <v>-1483</v>
      </c>
      <c r="AE76" s="25">
        <v>-1916</v>
      </c>
      <c r="AF76" s="25">
        <v>-1656</v>
      </c>
      <c r="AG76" s="26">
        <v>-1611</v>
      </c>
      <c r="AH76" s="25">
        <v>-1645.3827719463309</v>
      </c>
      <c r="AI76" s="25">
        <v>-1673.3839466618465</v>
      </c>
      <c r="AJ76" s="25">
        <v>-1731.4550253503178</v>
      </c>
      <c r="AK76" s="25">
        <v>-1740.8449943003336</v>
      </c>
      <c r="AL76" s="25">
        <v>-1781.5576154643074</v>
      </c>
      <c r="AM76" s="25">
        <v>-1791.2079297942616</v>
      </c>
      <c r="AN76" s="25">
        <v>-1825.1805736935626</v>
      </c>
      <c r="AO76" s="25">
        <v>-1851.5692189010676</v>
      </c>
      <c r="AP76" s="25">
        <v>-1886.8633960260161</v>
      </c>
      <c r="AQ76" s="25">
        <v>-1897.0374283724523</v>
      </c>
      <c r="AS76" s="21">
        <v>-549</v>
      </c>
      <c r="AT76" s="21">
        <v>-772</v>
      </c>
      <c r="AU76" s="21">
        <v>-1099</v>
      </c>
      <c r="AV76" s="21">
        <v>-1164</v>
      </c>
      <c r="AW76" s="21">
        <v>-1493</v>
      </c>
      <c r="AX76" s="19">
        <v>-1598</v>
      </c>
      <c r="AY76" s="19">
        <v>-1719</v>
      </c>
      <c r="AZ76" s="19">
        <v>-1630</v>
      </c>
      <c r="BA76" s="19">
        <v>-1375</v>
      </c>
      <c r="BB76" s="19">
        <v>-1511</v>
      </c>
      <c r="BC76" s="19">
        <v>-1773</v>
      </c>
      <c r="BD76" s="19">
        <v>-1984</v>
      </c>
      <c r="BE76" s="19">
        <v>-2029</v>
      </c>
      <c r="BF76" s="19">
        <v>-2133</v>
      </c>
      <c r="BG76" s="19">
        <v>-2530</v>
      </c>
      <c r="BH76" s="19">
        <v>-2584</v>
      </c>
      <c r="BI76" s="19">
        <v>-2471</v>
      </c>
      <c r="BJ76" s="19">
        <v>-3031</v>
      </c>
      <c r="BK76" s="19">
        <v>-3399</v>
      </c>
      <c r="BL76" s="20">
        <v>-3267</v>
      </c>
      <c r="BM76" s="19">
        <v>-3318.7667186081771</v>
      </c>
      <c r="BN76" s="19">
        <v>-3472.3000196506514</v>
      </c>
      <c r="BO76" s="19">
        <v>-3572.7655452585691</v>
      </c>
      <c r="BP76" s="19">
        <v>-3676.74979259463</v>
      </c>
      <c r="BQ76" s="19">
        <v>-3783.9008243984681</v>
      </c>
    </row>
    <row r="77" spans="1:69" s="9" customFormat="1" ht="12" customHeight="1" outlineLevel="1">
      <c r="A77" s="91" t="s">
        <v>317</v>
      </c>
      <c r="B77" s="9" t="s">
        <v>52</v>
      </c>
      <c r="C77" s="17"/>
      <c r="D77" s="17">
        <v>532</v>
      </c>
      <c r="E77" s="17">
        <v>762</v>
      </c>
      <c r="F77" s="17">
        <v>496</v>
      </c>
      <c r="G77" s="17">
        <v>775</v>
      </c>
      <c r="H77" s="17">
        <v>415</v>
      </c>
      <c r="I77" s="17">
        <v>634</v>
      </c>
      <c r="J77" s="17">
        <v>517</v>
      </c>
      <c r="K77" s="17">
        <v>888</v>
      </c>
      <c r="L77" s="17">
        <v>810</v>
      </c>
      <c r="M77" s="17">
        <v>1296</v>
      </c>
      <c r="N77" s="17">
        <v>1121</v>
      </c>
      <c r="O77" s="17">
        <v>1401</v>
      </c>
      <c r="P77" s="17">
        <v>1619</v>
      </c>
      <c r="Q77" s="17">
        <v>1396</v>
      </c>
      <c r="R77" s="17">
        <v>1485</v>
      </c>
      <c r="S77" s="17">
        <v>1619</v>
      </c>
      <c r="T77" s="17">
        <v>1704</v>
      </c>
      <c r="U77" s="17">
        <v>1760</v>
      </c>
      <c r="V77" s="17">
        <v>1705</v>
      </c>
      <c r="W77" s="17">
        <v>2162</v>
      </c>
      <c r="X77" s="17">
        <v>1840</v>
      </c>
      <c r="Y77" s="17">
        <v>1614</v>
      </c>
      <c r="Z77" s="17">
        <v>1253</v>
      </c>
      <c r="AA77" s="17">
        <v>2654</v>
      </c>
      <c r="AB77" s="17">
        <v>2735</v>
      </c>
      <c r="AC77" s="17">
        <v>3804</v>
      </c>
      <c r="AD77" s="17">
        <v>3028</v>
      </c>
      <c r="AE77" s="17">
        <v>3964</v>
      </c>
      <c r="AF77" s="17">
        <v>1991</v>
      </c>
      <c r="AG77" s="18">
        <v>2835</v>
      </c>
      <c r="AH77" s="17">
        <v>2601.6511339719273</v>
      </c>
      <c r="AI77" s="17">
        <v>2752.7381279393676</v>
      </c>
      <c r="AJ77" s="17">
        <v>2788.0876981828342</v>
      </c>
      <c r="AK77" s="17">
        <v>2914.5803709673337</v>
      </c>
      <c r="AL77" s="17">
        <v>2794.8110700226607</v>
      </c>
      <c r="AM77" s="17">
        <v>3108.1783439670053</v>
      </c>
      <c r="AN77" s="17">
        <v>2977.1398556202535</v>
      </c>
      <c r="AO77" s="17">
        <v>3288.0205331830248</v>
      </c>
      <c r="AP77" s="17">
        <v>3154.8852622379172</v>
      </c>
      <c r="AQ77" s="17">
        <v>3484.2876426763714</v>
      </c>
      <c r="AS77" s="17">
        <v>1158</v>
      </c>
      <c r="AT77" s="17">
        <v>1287</v>
      </c>
      <c r="AU77" s="17">
        <v>1928</v>
      </c>
      <c r="AV77" s="17">
        <v>2205</v>
      </c>
      <c r="AW77" s="17">
        <v>989</v>
      </c>
      <c r="AX77" s="17">
        <v>1294</v>
      </c>
      <c r="AY77" s="17">
        <v>1271</v>
      </c>
      <c r="AZ77" s="17">
        <v>1049</v>
      </c>
      <c r="BA77" s="17">
        <v>1405</v>
      </c>
      <c r="BB77" s="17">
        <v>2106</v>
      </c>
      <c r="BC77" s="17">
        <v>2522</v>
      </c>
      <c r="BD77" s="17">
        <v>3015</v>
      </c>
      <c r="BE77" s="17">
        <v>3104</v>
      </c>
      <c r="BF77" s="17">
        <v>3464</v>
      </c>
      <c r="BG77" s="17">
        <v>3867</v>
      </c>
      <c r="BH77" s="17">
        <v>3454</v>
      </c>
      <c r="BI77" s="17">
        <v>3907</v>
      </c>
      <c r="BJ77" s="17">
        <v>6539</v>
      </c>
      <c r="BK77" s="17">
        <v>6992</v>
      </c>
      <c r="BL77" s="18">
        <v>4826</v>
      </c>
      <c r="BM77" s="17">
        <v>5354.389261911293</v>
      </c>
      <c r="BN77" s="17">
        <v>5702.6680691501697</v>
      </c>
      <c r="BO77" s="17">
        <v>5902.989413989666</v>
      </c>
      <c r="BP77" s="17">
        <v>6265.1603888032732</v>
      </c>
      <c r="BQ77" s="17">
        <v>6639.1729049142905</v>
      </c>
    </row>
    <row r="78" spans="1:69" ht="12" customHeight="1" outlineLevel="1">
      <c r="A78" s="91" t="s">
        <v>318</v>
      </c>
      <c r="B78" s="1" t="s">
        <v>15</v>
      </c>
      <c r="C78" s="25"/>
      <c r="D78" s="25">
        <v>-36</v>
      </c>
      <c r="E78" s="25">
        <v>-165</v>
      </c>
      <c r="F78" s="25">
        <v>-85</v>
      </c>
      <c r="G78" s="25">
        <v>-197</v>
      </c>
      <c r="H78" s="25">
        <v>-107</v>
      </c>
      <c r="I78" s="25">
        <v>-180</v>
      </c>
      <c r="J78" s="25">
        <v>-156</v>
      </c>
      <c r="K78" s="25">
        <v>-377</v>
      </c>
      <c r="L78" s="25">
        <v>-307</v>
      </c>
      <c r="M78" s="25">
        <v>-520</v>
      </c>
      <c r="N78" s="25">
        <v>-432</v>
      </c>
      <c r="O78" s="25">
        <v>-467</v>
      </c>
      <c r="P78" s="25">
        <v>-530</v>
      </c>
      <c r="Q78" s="25">
        <v>-397</v>
      </c>
      <c r="R78" s="25">
        <v>-438</v>
      </c>
      <c r="S78" s="25">
        <v>-430</v>
      </c>
      <c r="T78" s="25">
        <v>-448</v>
      </c>
      <c r="U78" s="25">
        <v>-435</v>
      </c>
      <c r="V78" s="25">
        <v>-374</v>
      </c>
      <c r="W78" s="25">
        <v>-505</v>
      </c>
      <c r="X78" s="25">
        <v>-376</v>
      </c>
      <c r="Y78" s="25">
        <v>-352</v>
      </c>
      <c r="Z78" s="25">
        <v>-275</v>
      </c>
      <c r="AA78" s="25">
        <v>-624</v>
      </c>
      <c r="AB78" s="25">
        <v>-603</v>
      </c>
      <c r="AC78" s="25">
        <v>-983</v>
      </c>
      <c r="AD78" s="25">
        <v>-735</v>
      </c>
      <c r="AE78" s="25">
        <v>-1089</v>
      </c>
      <c r="AF78" s="25">
        <v>-587</v>
      </c>
      <c r="AG78" s="26">
        <v>-704</v>
      </c>
      <c r="AH78" s="25">
        <v>-645.55901754401827</v>
      </c>
      <c r="AI78" s="25">
        <v>-683.39795164329939</v>
      </c>
      <c r="AJ78" s="25">
        <v>-692.25106350790293</v>
      </c>
      <c r="AK78" s="25">
        <v>-723.93048066915787</v>
      </c>
      <c r="AL78" s="25">
        <v>-693.93489622766026</v>
      </c>
      <c r="AM78" s="25">
        <v>-772.41606337700875</v>
      </c>
      <c r="AN78" s="25">
        <v>-739.59817088461693</v>
      </c>
      <c r="AO78" s="25">
        <v>-817.45658319489485</v>
      </c>
      <c r="AP78" s="25">
        <v>-784.11356265225675</v>
      </c>
      <c r="AQ78" s="25">
        <v>-866.61063694207235</v>
      </c>
      <c r="AS78" s="21">
        <v>-288</v>
      </c>
      <c r="AT78" s="21">
        <v>-290</v>
      </c>
      <c r="AU78" s="21">
        <v>-377</v>
      </c>
      <c r="AV78" s="21">
        <v>-317</v>
      </c>
      <c r="AW78" s="21">
        <v>-15</v>
      </c>
      <c r="AX78" s="19">
        <v>-201</v>
      </c>
      <c r="AY78" s="19">
        <v>-282</v>
      </c>
      <c r="AZ78" s="19">
        <v>-287</v>
      </c>
      <c r="BA78" s="19">
        <v>-533</v>
      </c>
      <c r="BB78" s="19">
        <v>-827</v>
      </c>
      <c r="BC78" s="19">
        <v>-899</v>
      </c>
      <c r="BD78" s="19">
        <v>-927</v>
      </c>
      <c r="BE78" s="19">
        <v>-868</v>
      </c>
      <c r="BF78" s="19">
        <v>-883</v>
      </c>
      <c r="BG78" s="19">
        <v>-879</v>
      </c>
      <c r="BH78" s="19">
        <v>-728</v>
      </c>
      <c r="BI78" s="19">
        <v>-899</v>
      </c>
      <c r="BJ78" s="19">
        <v>-1586</v>
      </c>
      <c r="BK78" s="19">
        <v>-1824</v>
      </c>
      <c r="BL78" s="20">
        <v>-1291</v>
      </c>
      <c r="BM78" s="19">
        <v>-1328.9569691873176</v>
      </c>
      <c r="BN78" s="19">
        <v>-1416.1815441770609</v>
      </c>
      <c r="BO78" s="19">
        <v>-1466.350959604669</v>
      </c>
      <c r="BP78" s="19">
        <v>-1557.0547540795119</v>
      </c>
      <c r="BQ78" s="19">
        <v>-1650.7241995943291</v>
      </c>
    </row>
    <row r="79" spans="1:69" ht="12" customHeight="1" outlineLevel="1">
      <c r="A79" s="91" t="s">
        <v>319</v>
      </c>
      <c r="B79" s="1" t="s">
        <v>16</v>
      </c>
      <c r="C79" s="25"/>
      <c r="D79" s="25">
        <v>-17</v>
      </c>
      <c r="E79" s="25">
        <v>-26</v>
      </c>
      <c r="F79" s="25">
        <v>-8</v>
      </c>
      <c r="G79" s="25">
        <v>-25</v>
      </c>
      <c r="H79" s="25">
        <v>-3</v>
      </c>
      <c r="I79" s="25">
        <v>-29</v>
      </c>
      <c r="J79" s="25">
        <v>0</v>
      </c>
      <c r="K79" s="25">
        <v>-21</v>
      </c>
      <c r="L79" s="25">
        <v>-2</v>
      </c>
      <c r="M79" s="25">
        <v>-12</v>
      </c>
      <c r="N79" s="25">
        <v>-11</v>
      </c>
      <c r="O79" s="25">
        <v>-8</v>
      </c>
      <c r="P79" s="25">
        <v>-19</v>
      </c>
      <c r="Q79" s="25">
        <v>-6</v>
      </c>
      <c r="R79" s="25">
        <v>3</v>
      </c>
      <c r="S79" s="25">
        <v>-22</v>
      </c>
      <c r="T79" s="25">
        <v>-8</v>
      </c>
      <c r="U79" s="25">
        <v>-16</v>
      </c>
      <c r="V79" s="25">
        <v>-21</v>
      </c>
      <c r="W79" s="25">
        <v>15</v>
      </c>
      <c r="X79" s="25">
        <v>-7</v>
      </c>
      <c r="Y79" s="25">
        <v>12</v>
      </c>
      <c r="Z79" s="25">
        <v>7</v>
      </c>
      <c r="AA79" s="25">
        <v>0</v>
      </c>
      <c r="AB79" s="25">
        <v>-89</v>
      </c>
      <c r="AC79" s="25">
        <v>-158</v>
      </c>
      <c r="AD79" s="25">
        <v>12</v>
      </c>
      <c r="AE79" s="25">
        <v>2</v>
      </c>
      <c r="AF79" s="25">
        <v>11</v>
      </c>
      <c r="AG79" s="26">
        <v>-24</v>
      </c>
      <c r="AH79" s="25">
        <v>-24</v>
      </c>
      <c r="AI79" s="25">
        <v>-24</v>
      </c>
      <c r="AJ79" s="25">
        <v>-24</v>
      </c>
      <c r="AK79" s="25">
        <v>-24</v>
      </c>
      <c r="AL79" s="25">
        <v>-24</v>
      </c>
      <c r="AM79" s="25">
        <v>-24</v>
      </c>
      <c r="AN79" s="25">
        <v>-24</v>
      </c>
      <c r="AO79" s="25">
        <v>-24</v>
      </c>
      <c r="AP79" s="25">
        <v>-24</v>
      </c>
      <c r="AQ79" s="25">
        <v>-24</v>
      </c>
      <c r="AS79" s="21">
        <v>-58</v>
      </c>
      <c r="AT79" s="21">
        <v>-81</v>
      </c>
      <c r="AU79" s="21">
        <v>-88</v>
      </c>
      <c r="AV79" s="21">
        <v>-85</v>
      </c>
      <c r="AW79" s="21">
        <v>-103</v>
      </c>
      <c r="AX79" s="19">
        <v>-43</v>
      </c>
      <c r="AY79" s="19">
        <v>-33</v>
      </c>
      <c r="AZ79" s="19">
        <v>-32</v>
      </c>
      <c r="BA79" s="19">
        <v>-21</v>
      </c>
      <c r="BB79" s="19">
        <v>-14</v>
      </c>
      <c r="BC79" s="19">
        <v>-19</v>
      </c>
      <c r="BD79" s="19">
        <v>-25</v>
      </c>
      <c r="BE79" s="19">
        <v>-19</v>
      </c>
      <c r="BF79" s="19">
        <v>-24</v>
      </c>
      <c r="BG79" s="19">
        <v>-6</v>
      </c>
      <c r="BH79" s="19">
        <v>5</v>
      </c>
      <c r="BI79" s="19">
        <v>7</v>
      </c>
      <c r="BJ79" s="19">
        <v>-247</v>
      </c>
      <c r="BK79" s="19">
        <v>14</v>
      </c>
      <c r="BL79" s="20">
        <v>-13</v>
      </c>
      <c r="BM79" s="19">
        <v>-48</v>
      </c>
      <c r="BN79" s="19">
        <v>-48</v>
      </c>
      <c r="BO79" s="19">
        <v>-48</v>
      </c>
      <c r="BP79" s="19">
        <v>-48</v>
      </c>
      <c r="BQ79" s="19">
        <v>-48</v>
      </c>
    </row>
    <row r="80" spans="1:69" ht="12" customHeight="1" outlineLevel="1">
      <c r="A80" s="91" t="s">
        <v>320</v>
      </c>
      <c r="B80" s="1" t="s">
        <v>159</v>
      </c>
      <c r="C80" s="25"/>
      <c r="D80" s="25">
        <v>0</v>
      </c>
      <c r="E80" s="25">
        <v>0</v>
      </c>
      <c r="F80" s="25">
        <v>0</v>
      </c>
      <c r="G80" s="25">
        <v>0</v>
      </c>
      <c r="H80" s="25">
        <v>0</v>
      </c>
      <c r="I80" s="25">
        <v>0</v>
      </c>
      <c r="J80" s="25">
        <v>0</v>
      </c>
      <c r="K80" s="25">
        <v>0</v>
      </c>
      <c r="L80" s="25">
        <v>0</v>
      </c>
      <c r="M80" s="25">
        <v>0</v>
      </c>
      <c r="N80" s="25">
        <v>0</v>
      </c>
      <c r="O80" s="25">
        <v>0</v>
      </c>
      <c r="P80" s="25">
        <v>0</v>
      </c>
      <c r="Q80" s="25">
        <v>0</v>
      </c>
      <c r="R80" s="25">
        <v>0</v>
      </c>
      <c r="S80" s="25">
        <v>0</v>
      </c>
      <c r="T80" s="25">
        <v>0</v>
      </c>
      <c r="U80" s="25">
        <v>0</v>
      </c>
      <c r="V80" s="25">
        <v>0</v>
      </c>
      <c r="W80" s="25">
        <v>0</v>
      </c>
      <c r="X80" s="25">
        <v>0</v>
      </c>
      <c r="Y80" s="25">
        <v>0</v>
      </c>
      <c r="Z80" s="25">
        <v>0</v>
      </c>
      <c r="AA80" s="25">
        <v>0</v>
      </c>
      <c r="AB80" s="25">
        <v>0</v>
      </c>
      <c r="AC80" s="25">
        <v>0</v>
      </c>
      <c r="AD80" s="25">
        <v>0</v>
      </c>
      <c r="AE80" s="25">
        <v>0</v>
      </c>
      <c r="AF80" s="25">
        <v>0</v>
      </c>
      <c r="AG80" s="26">
        <v>0</v>
      </c>
      <c r="AH80" s="25">
        <v>0</v>
      </c>
      <c r="AI80" s="25">
        <v>0</v>
      </c>
      <c r="AJ80" s="25">
        <v>0</v>
      </c>
      <c r="AK80" s="25">
        <v>0</v>
      </c>
      <c r="AL80" s="25">
        <v>0</v>
      </c>
      <c r="AM80" s="25">
        <v>0</v>
      </c>
      <c r="AN80" s="25">
        <v>0</v>
      </c>
      <c r="AO80" s="25">
        <v>0</v>
      </c>
      <c r="AP80" s="25">
        <v>0</v>
      </c>
      <c r="AQ80" s="25">
        <v>0</v>
      </c>
      <c r="AS80" s="21">
        <v>0</v>
      </c>
      <c r="AT80" s="21">
        <v>0</v>
      </c>
      <c r="AU80" s="21">
        <v>0</v>
      </c>
      <c r="AV80" s="21">
        <v>0</v>
      </c>
      <c r="AW80" s="21">
        <v>0</v>
      </c>
      <c r="AX80" s="19">
        <v>0</v>
      </c>
      <c r="AY80" s="19">
        <v>0</v>
      </c>
      <c r="AZ80" s="19">
        <v>0</v>
      </c>
      <c r="BA80" s="19">
        <v>0</v>
      </c>
      <c r="BB80" s="19">
        <v>0</v>
      </c>
      <c r="BC80" s="19">
        <v>0</v>
      </c>
      <c r="BD80" s="19">
        <v>0</v>
      </c>
      <c r="BE80" s="19">
        <v>0</v>
      </c>
      <c r="BF80" s="19">
        <v>0</v>
      </c>
      <c r="BG80" s="19">
        <v>0</v>
      </c>
      <c r="BH80" s="19">
        <v>0</v>
      </c>
      <c r="BI80" s="19">
        <v>0</v>
      </c>
      <c r="BJ80" s="19">
        <v>0</v>
      </c>
      <c r="BK80" s="19">
        <v>0</v>
      </c>
      <c r="BL80" s="20">
        <v>0</v>
      </c>
      <c r="BM80" s="19">
        <v>0</v>
      </c>
      <c r="BN80" s="19">
        <v>0</v>
      </c>
      <c r="BO80" s="19">
        <v>0</v>
      </c>
      <c r="BP80" s="19">
        <v>0</v>
      </c>
      <c r="BQ80" s="19">
        <v>0</v>
      </c>
    </row>
    <row r="81" spans="1:69" s="9" customFormat="1" ht="12" customHeight="1" outlineLevel="1">
      <c r="A81" s="91" t="s">
        <v>529</v>
      </c>
      <c r="B81" s="16" t="s">
        <v>128</v>
      </c>
      <c r="C81" s="17"/>
      <c r="D81" s="17">
        <v>479</v>
      </c>
      <c r="E81" s="17">
        <v>571</v>
      </c>
      <c r="F81" s="17">
        <v>403</v>
      </c>
      <c r="G81" s="17">
        <v>553</v>
      </c>
      <c r="H81" s="17">
        <v>305</v>
      </c>
      <c r="I81" s="17">
        <v>425</v>
      </c>
      <c r="J81" s="17">
        <v>361</v>
      </c>
      <c r="K81" s="17">
        <v>490</v>
      </c>
      <c r="L81" s="17">
        <v>501</v>
      </c>
      <c r="M81" s="17">
        <v>764</v>
      </c>
      <c r="N81" s="17">
        <v>678</v>
      </c>
      <c r="O81" s="17">
        <v>926</v>
      </c>
      <c r="P81" s="17">
        <v>1070</v>
      </c>
      <c r="Q81" s="17">
        <v>993</v>
      </c>
      <c r="R81" s="17">
        <v>1050</v>
      </c>
      <c r="S81" s="17">
        <v>1167</v>
      </c>
      <c r="T81" s="17">
        <v>1248</v>
      </c>
      <c r="U81" s="17">
        <v>1309</v>
      </c>
      <c r="V81" s="17">
        <v>1310</v>
      </c>
      <c r="W81" s="17">
        <v>1672</v>
      </c>
      <c r="X81" s="17">
        <v>1457</v>
      </c>
      <c r="Y81" s="17">
        <v>1274</v>
      </c>
      <c r="Z81" s="17">
        <v>985</v>
      </c>
      <c r="AA81" s="17">
        <v>2030</v>
      </c>
      <c r="AB81" s="17">
        <v>2043</v>
      </c>
      <c r="AC81" s="17">
        <v>2663</v>
      </c>
      <c r="AD81" s="17">
        <v>2305</v>
      </c>
      <c r="AE81" s="17">
        <v>2877</v>
      </c>
      <c r="AF81" s="17">
        <v>1415</v>
      </c>
      <c r="AG81" s="18">
        <v>2107</v>
      </c>
      <c r="AH81" s="17">
        <v>1932.0921164279089</v>
      </c>
      <c r="AI81" s="17">
        <v>2045.3401762960684</v>
      </c>
      <c r="AJ81" s="17">
        <v>2071.8366346749312</v>
      </c>
      <c r="AK81" s="17">
        <v>2166.6498902981757</v>
      </c>
      <c r="AL81" s="17">
        <v>2076.8761737950003</v>
      </c>
      <c r="AM81" s="17">
        <v>2311.7622805899964</v>
      </c>
      <c r="AN81" s="17">
        <v>2213.5416847356364</v>
      </c>
      <c r="AO81" s="17">
        <v>2446.5639499881299</v>
      </c>
      <c r="AP81" s="17">
        <v>2346.7716995856604</v>
      </c>
      <c r="AQ81" s="17">
        <v>2593.6770057342992</v>
      </c>
      <c r="AS81" s="17">
        <v>812</v>
      </c>
      <c r="AT81" s="17">
        <v>916</v>
      </c>
      <c r="AU81" s="17">
        <v>1463</v>
      </c>
      <c r="AV81" s="17">
        <v>1803</v>
      </c>
      <c r="AW81" s="17">
        <v>871</v>
      </c>
      <c r="AX81" s="17">
        <v>1050</v>
      </c>
      <c r="AY81" s="17">
        <v>956</v>
      </c>
      <c r="AZ81" s="17">
        <v>730</v>
      </c>
      <c r="BA81" s="17">
        <v>851</v>
      </c>
      <c r="BB81" s="17">
        <v>1265</v>
      </c>
      <c r="BC81" s="17">
        <v>1604</v>
      </c>
      <c r="BD81" s="17">
        <v>2063</v>
      </c>
      <c r="BE81" s="17">
        <v>2217</v>
      </c>
      <c r="BF81" s="17">
        <v>2557</v>
      </c>
      <c r="BG81" s="17">
        <v>2982</v>
      </c>
      <c r="BH81" s="17">
        <v>2731</v>
      </c>
      <c r="BI81" s="17">
        <v>3015</v>
      </c>
      <c r="BJ81" s="17">
        <v>4706</v>
      </c>
      <c r="BK81" s="17">
        <v>5182</v>
      </c>
      <c r="BL81" s="18">
        <v>3522</v>
      </c>
      <c r="BM81" s="17">
        <v>3977.4322927239755</v>
      </c>
      <c r="BN81" s="17">
        <v>4238.4865249731083</v>
      </c>
      <c r="BO81" s="17">
        <v>4388.6384543849972</v>
      </c>
      <c r="BP81" s="17">
        <v>4660.1056347237609</v>
      </c>
      <c r="BQ81" s="17">
        <v>4940.4487053199609</v>
      </c>
    </row>
    <row r="82" spans="1:69" ht="12" customHeight="1" outlineLevel="1">
      <c r="A82" s="91" t="s">
        <v>320</v>
      </c>
      <c r="B82" s="1" t="s">
        <v>125</v>
      </c>
      <c r="C82" s="25"/>
      <c r="D82" s="25">
        <v>0</v>
      </c>
      <c r="E82" s="25">
        <v>0</v>
      </c>
      <c r="F82" s="25">
        <v>0</v>
      </c>
      <c r="G82" s="25">
        <v>0</v>
      </c>
      <c r="H82" s="25">
        <v>0</v>
      </c>
      <c r="I82" s="25">
        <v>0</v>
      </c>
      <c r="J82" s="25">
        <v>0</v>
      </c>
      <c r="K82" s="25">
        <v>0</v>
      </c>
      <c r="L82" s="25">
        <v>0</v>
      </c>
      <c r="M82" s="25">
        <v>0</v>
      </c>
      <c r="N82" s="25">
        <v>0</v>
      </c>
      <c r="O82" s="25">
        <v>0</v>
      </c>
      <c r="P82" s="25">
        <v>0</v>
      </c>
      <c r="Q82" s="25">
        <v>0</v>
      </c>
      <c r="R82" s="25">
        <v>0</v>
      </c>
      <c r="S82" s="25">
        <v>0</v>
      </c>
      <c r="T82" s="25">
        <v>0</v>
      </c>
      <c r="U82" s="25">
        <v>0</v>
      </c>
      <c r="V82" s="25">
        <v>0</v>
      </c>
      <c r="W82" s="25">
        <v>0</v>
      </c>
      <c r="X82" s="25">
        <v>0</v>
      </c>
      <c r="Y82" s="25">
        <v>0</v>
      </c>
      <c r="Z82" s="25">
        <v>0</v>
      </c>
      <c r="AA82" s="25">
        <v>0</v>
      </c>
      <c r="AB82" s="25">
        <v>0</v>
      </c>
      <c r="AC82" s="25">
        <v>0</v>
      </c>
      <c r="AD82" s="25">
        <v>0</v>
      </c>
      <c r="AE82" s="25">
        <v>0</v>
      </c>
      <c r="AF82" s="25">
        <v>0</v>
      </c>
      <c r="AG82" s="26">
        <v>0</v>
      </c>
      <c r="AH82" s="25">
        <v>0</v>
      </c>
      <c r="AI82" s="25">
        <v>0</v>
      </c>
      <c r="AJ82" s="25">
        <v>0</v>
      </c>
      <c r="AK82" s="25">
        <v>0</v>
      </c>
      <c r="AL82" s="25">
        <v>0</v>
      </c>
      <c r="AM82" s="25">
        <v>0</v>
      </c>
      <c r="AN82" s="25">
        <v>0</v>
      </c>
      <c r="AO82" s="25">
        <v>0</v>
      </c>
      <c r="AP82" s="25">
        <v>0</v>
      </c>
      <c r="AQ82" s="25">
        <v>0</v>
      </c>
      <c r="AS82" s="21">
        <v>0</v>
      </c>
      <c r="AT82" s="19">
        <v>0</v>
      </c>
      <c r="AU82" s="19">
        <v>0</v>
      </c>
      <c r="AV82" s="19">
        <v>0</v>
      </c>
      <c r="AW82" s="19">
        <v>0</v>
      </c>
      <c r="AX82" s="19">
        <v>0</v>
      </c>
      <c r="AY82" s="19">
        <v>0</v>
      </c>
      <c r="AZ82" s="19">
        <v>0</v>
      </c>
      <c r="BA82" s="19">
        <v>0</v>
      </c>
      <c r="BB82" s="19">
        <v>0</v>
      </c>
      <c r="BC82" s="19">
        <v>0</v>
      </c>
      <c r="BD82" s="19">
        <v>0</v>
      </c>
      <c r="BE82" s="19">
        <v>0</v>
      </c>
      <c r="BF82" s="19">
        <v>0</v>
      </c>
      <c r="BG82" s="19">
        <v>0</v>
      </c>
      <c r="BH82" s="19">
        <v>0</v>
      </c>
      <c r="BI82" s="19">
        <v>0</v>
      </c>
      <c r="BJ82" s="19">
        <v>0</v>
      </c>
      <c r="BK82" s="19">
        <v>0</v>
      </c>
      <c r="BL82" s="20">
        <v>0</v>
      </c>
      <c r="BM82" s="19">
        <v>0</v>
      </c>
      <c r="BN82" s="19">
        <v>0</v>
      </c>
      <c r="BO82" s="19">
        <v>0</v>
      </c>
      <c r="BP82" s="19">
        <v>0</v>
      </c>
      <c r="BQ82" s="19">
        <v>0</v>
      </c>
    </row>
    <row r="83" spans="1:69" ht="12" customHeight="1" outlineLevel="1">
      <c r="A83" s="91" t="s">
        <v>530</v>
      </c>
      <c r="B83" s="1" t="s">
        <v>126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J83" s="21">
        <v>0</v>
      </c>
      <c r="K83" s="21">
        <v>0</v>
      </c>
      <c r="L83" s="21">
        <v>0</v>
      </c>
      <c r="M83" s="21">
        <v>0</v>
      </c>
      <c r="N83" s="62">
        <v>0</v>
      </c>
      <c r="O83" s="62">
        <v>0</v>
      </c>
      <c r="P83" s="62">
        <v>0</v>
      </c>
      <c r="Q83" s="62">
        <v>0</v>
      </c>
      <c r="R83" s="62">
        <v>0</v>
      </c>
      <c r="S83" s="62">
        <v>0</v>
      </c>
      <c r="T83" s="62">
        <v>0</v>
      </c>
      <c r="U83" s="62">
        <v>0</v>
      </c>
      <c r="V83" s="62">
        <v>0</v>
      </c>
      <c r="W83" s="62">
        <v>0</v>
      </c>
      <c r="X83" s="62">
        <v>0</v>
      </c>
      <c r="Y83" s="62">
        <v>0</v>
      </c>
      <c r="Z83" s="62">
        <v>0</v>
      </c>
      <c r="AA83" s="62">
        <v>0</v>
      </c>
      <c r="AB83" s="62">
        <v>0</v>
      </c>
      <c r="AC83" s="62">
        <v>0</v>
      </c>
      <c r="AD83" s="62">
        <v>0</v>
      </c>
      <c r="AE83" s="62">
        <v>0</v>
      </c>
      <c r="AF83" s="62">
        <v>0</v>
      </c>
      <c r="AG83" s="57">
        <v>0</v>
      </c>
      <c r="AH83" s="58">
        <v>0</v>
      </c>
      <c r="AI83" s="58">
        <v>0</v>
      </c>
      <c r="AJ83" s="58">
        <v>0</v>
      </c>
      <c r="AK83" s="58">
        <v>0</v>
      </c>
      <c r="AL83" s="58">
        <v>0</v>
      </c>
      <c r="AM83" s="58">
        <v>0</v>
      </c>
      <c r="AN83" s="58">
        <v>0</v>
      </c>
      <c r="AO83" s="58">
        <v>0</v>
      </c>
      <c r="AP83" s="58">
        <v>0</v>
      </c>
      <c r="AQ83" s="58">
        <v>0</v>
      </c>
      <c r="AS83" s="21">
        <v>0</v>
      </c>
      <c r="AT83" s="21">
        <v>0</v>
      </c>
      <c r="AU83" s="21">
        <v>0</v>
      </c>
      <c r="AV83" s="21">
        <v>0</v>
      </c>
      <c r="AW83" s="21">
        <v>0</v>
      </c>
      <c r="AX83" s="19">
        <v>0</v>
      </c>
      <c r="AY83" s="19">
        <v>0</v>
      </c>
      <c r="AZ83" s="19">
        <v>0</v>
      </c>
      <c r="BA83" s="19">
        <v>0</v>
      </c>
      <c r="BB83" s="19">
        <v>0</v>
      </c>
      <c r="BC83" s="19">
        <v>0</v>
      </c>
      <c r="BD83" s="19">
        <v>0</v>
      </c>
      <c r="BE83" s="19">
        <v>0</v>
      </c>
      <c r="BF83" s="19">
        <v>0</v>
      </c>
      <c r="BG83" s="19">
        <v>0</v>
      </c>
      <c r="BH83" s="19">
        <v>0</v>
      </c>
      <c r="BI83" s="19">
        <v>0</v>
      </c>
      <c r="BJ83" s="19">
        <v>0</v>
      </c>
      <c r="BK83" s="19">
        <v>0</v>
      </c>
      <c r="BL83" s="20">
        <v>0</v>
      </c>
      <c r="BM83" s="19">
        <v>0</v>
      </c>
      <c r="BN83" s="19">
        <v>0</v>
      </c>
      <c r="BO83" s="19">
        <v>0</v>
      </c>
      <c r="BP83" s="19">
        <v>0</v>
      </c>
      <c r="BQ83" s="19">
        <v>0</v>
      </c>
    </row>
    <row r="84" spans="1:69" s="9" customFormat="1" outlineLevel="1">
      <c r="A84" s="91" t="s">
        <v>531</v>
      </c>
      <c r="B84" s="9" t="s">
        <v>127</v>
      </c>
      <c r="D84" s="17">
        <v>479</v>
      </c>
      <c r="E84" s="17">
        <v>571</v>
      </c>
      <c r="F84" s="17">
        <v>403</v>
      </c>
      <c r="G84" s="17">
        <v>553</v>
      </c>
      <c r="H84" s="17">
        <v>305</v>
      </c>
      <c r="I84" s="17">
        <v>425</v>
      </c>
      <c r="J84" s="17">
        <v>361</v>
      </c>
      <c r="K84" s="17">
        <v>490</v>
      </c>
      <c r="L84" s="17">
        <v>501</v>
      </c>
      <c r="M84" s="17">
        <v>764</v>
      </c>
      <c r="N84" s="17">
        <v>678</v>
      </c>
      <c r="O84" s="17">
        <v>926</v>
      </c>
      <c r="P84" s="17">
        <v>1070</v>
      </c>
      <c r="Q84" s="17">
        <v>993</v>
      </c>
      <c r="R84" s="17">
        <v>1050</v>
      </c>
      <c r="S84" s="17">
        <v>1167</v>
      </c>
      <c r="T84" s="17">
        <v>1248</v>
      </c>
      <c r="U84" s="17">
        <v>1309</v>
      </c>
      <c r="V84" s="17">
        <v>1310</v>
      </c>
      <c r="W84" s="17">
        <v>1672</v>
      </c>
      <c r="X84" s="17">
        <v>1457</v>
      </c>
      <c r="Y84" s="17">
        <v>1274</v>
      </c>
      <c r="Z84" s="17">
        <v>985</v>
      </c>
      <c r="AA84" s="17">
        <v>2030</v>
      </c>
      <c r="AB84" s="17">
        <v>2043</v>
      </c>
      <c r="AC84" s="17">
        <v>2663</v>
      </c>
      <c r="AD84" s="17">
        <v>2305</v>
      </c>
      <c r="AE84" s="17">
        <v>2877</v>
      </c>
      <c r="AF84" s="17">
        <v>1415</v>
      </c>
      <c r="AG84" s="18">
        <v>2107</v>
      </c>
      <c r="AH84" s="17">
        <v>1932.0921164279089</v>
      </c>
      <c r="AI84" s="17">
        <v>2045.3401762960684</v>
      </c>
      <c r="AJ84" s="17">
        <v>2071.8366346749312</v>
      </c>
      <c r="AK84" s="17">
        <v>2166.6498902981757</v>
      </c>
      <c r="AL84" s="17">
        <v>2076.8761737950003</v>
      </c>
      <c r="AM84" s="17">
        <v>2311.7622805899964</v>
      </c>
      <c r="AN84" s="17">
        <v>2213.5416847356364</v>
      </c>
      <c r="AO84" s="17">
        <v>2446.5639499881299</v>
      </c>
      <c r="AP84" s="17">
        <v>2346.7716995856604</v>
      </c>
      <c r="AQ84" s="17">
        <v>2593.6770057342992</v>
      </c>
      <c r="AS84" s="17">
        <v>812</v>
      </c>
      <c r="AT84" s="17">
        <v>916</v>
      </c>
      <c r="AU84" s="17">
        <v>1463</v>
      </c>
      <c r="AV84" s="17">
        <v>1803</v>
      </c>
      <c r="AW84" s="17">
        <v>871</v>
      </c>
      <c r="AX84" s="17">
        <v>1050</v>
      </c>
      <c r="AY84" s="17">
        <v>956</v>
      </c>
      <c r="AZ84" s="17">
        <v>730</v>
      </c>
      <c r="BA84" s="17">
        <v>851</v>
      </c>
      <c r="BB84" s="17">
        <v>1265</v>
      </c>
      <c r="BC84" s="17">
        <v>1604</v>
      </c>
      <c r="BD84" s="17">
        <v>2063</v>
      </c>
      <c r="BE84" s="17">
        <v>2217</v>
      </c>
      <c r="BF84" s="17">
        <v>2557</v>
      </c>
      <c r="BG84" s="17">
        <v>2982</v>
      </c>
      <c r="BH84" s="17">
        <v>2731</v>
      </c>
      <c r="BI84" s="17">
        <v>3015</v>
      </c>
      <c r="BJ84" s="17">
        <v>4706</v>
      </c>
      <c r="BK84" s="17">
        <v>5182</v>
      </c>
      <c r="BL84" s="18">
        <v>3522</v>
      </c>
      <c r="BM84" s="17">
        <v>3977.4322927239755</v>
      </c>
      <c r="BN84" s="17">
        <v>4238.4865249731083</v>
      </c>
      <c r="BO84" s="17">
        <v>4388.6384543849972</v>
      </c>
      <c r="BP84" s="17">
        <v>4660.1056347237609</v>
      </c>
      <c r="BQ84" s="17">
        <v>4940.4487053199609</v>
      </c>
    </row>
    <row r="85" spans="1:69" ht="12" customHeight="1" outlineLevel="1">
      <c r="A85" s="91" t="s">
        <v>532</v>
      </c>
      <c r="B85" s="1" t="s">
        <v>129</v>
      </c>
      <c r="D85" s="21">
        <v>-42</v>
      </c>
      <c r="E85" s="21">
        <v>-200</v>
      </c>
      <c r="F85" s="21">
        <v>-284</v>
      </c>
      <c r="G85" s="21">
        <v>-219</v>
      </c>
      <c r="H85" s="21">
        <v>333</v>
      </c>
      <c r="I85" s="21">
        <v>-293</v>
      </c>
      <c r="J85" s="21">
        <v>-28</v>
      </c>
      <c r="K85" s="21">
        <v>-94</v>
      </c>
      <c r="L85" s="21">
        <v>599</v>
      </c>
      <c r="M85" s="21">
        <v>13</v>
      </c>
      <c r="N85" s="62">
        <v>250</v>
      </c>
      <c r="O85" s="62">
        <v>627</v>
      </c>
      <c r="P85" s="62">
        <v>474</v>
      </c>
      <c r="Q85" s="62">
        <v>-662</v>
      </c>
      <c r="R85" s="62">
        <v>-80</v>
      </c>
      <c r="S85" s="62">
        <v>-50</v>
      </c>
      <c r="T85" s="62">
        <v>-10</v>
      </c>
      <c r="U85" s="62">
        <v>273</v>
      </c>
      <c r="V85" s="62">
        <v>308</v>
      </c>
      <c r="W85" s="62">
        <v>114</v>
      </c>
      <c r="X85" s="62">
        <v>338</v>
      </c>
      <c r="Y85" s="62">
        <v>892</v>
      </c>
      <c r="Z85" s="62">
        <v>-1319</v>
      </c>
      <c r="AA85" s="62">
        <v>-442</v>
      </c>
      <c r="AB85" s="62">
        <v>441</v>
      </c>
      <c r="AC85" s="62">
        <v>-441</v>
      </c>
      <c r="AD85" s="62">
        <v>1719</v>
      </c>
      <c r="AE85" s="62">
        <v>-381</v>
      </c>
      <c r="AF85" s="62">
        <v>572</v>
      </c>
      <c r="AG85" s="57">
        <v>-125</v>
      </c>
      <c r="AH85" s="58">
        <v>0</v>
      </c>
      <c r="AI85" s="58">
        <v>0</v>
      </c>
      <c r="AJ85" s="58">
        <v>0</v>
      </c>
      <c r="AK85" s="58">
        <v>0</v>
      </c>
      <c r="AL85" s="58">
        <v>0</v>
      </c>
      <c r="AM85" s="58">
        <v>0</v>
      </c>
      <c r="AN85" s="58">
        <v>0</v>
      </c>
      <c r="AO85" s="58">
        <v>0</v>
      </c>
      <c r="AP85" s="58">
        <v>0</v>
      </c>
      <c r="AQ85" s="58">
        <v>0</v>
      </c>
      <c r="AS85" s="21">
        <v>-39</v>
      </c>
      <c r="AT85" s="21">
        <v>0</v>
      </c>
      <c r="AU85" s="21">
        <v>-3</v>
      </c>
      <c r="AV85" s="21">
        <v>-109</v>
      </c>
      <c r="AW85" s="21">
        <v>21</v>
      </c>
      <c r="AX85" s="19">
        <v>-242</v>
      </c>
      <c r="AY85" s="19">
        <v>-503</v>
      </c>
      <c r="AZ85" s="19">
        <v>40</v>
      </c>
      <c r="BA85" s="19">
        <v>-122</v>
      </c>
      <c r="BB85" s="19">
        <v>612</v>
      </c>
      <c r="BC85" s="19">
        <v>877</v>
      </c>
      <c r="BD85" s="19">
        <v>-188</v>
      </c>
      <c r="BE85" s="19">
        <v>-130</v>
      </c>
      <c r="BF85" s="19">
        <v>263</v>
      </c>
      <c r="BG85" s="19">
        <v>422</v>
      </c>
      <c r="BH85" s="19">
        <v>1230</v>
      </c>
      <c r="BI85" s="19">
        <v>-1761</v>
      </c>
      <c r="BJ85" s="19">
        <v>0</v>
      </c>
      <c r="BK85" s="19">
        <v>1338</v>
      </c>
      <c r="BL85" s="20">
        <v>447</v>
      </c>
      <c r="BM85" s="19">
        <v>0</v>
      </c>
      <c r="BN85" s="19">
        <v>0</v>
      </c>
      <c r="BO85" s="19">
        <v>0</v>
      </c>
      <c r="BP85" s="19">
        <v>0</v>
      </c>
      <c r="BQ85" s="19">
        <v>0</v>
      </c>
    </row>
    <row r="86" spans="1:69" ht="12" customHeight="1" outlineLevel="1">
      <c r="A86" s="91" t="s">
        <v>533</v>
      </c>
      <c r="B86" s="1" t="s">
        <v>130</v>
      </c>
      <c r="D86" s="21">
        <v>45</v>
      </c>
      <c r="E86" s="21">
        <v>156</v>
      </c>
      <c r="F86" s="21">
        <v>106</v>
      </c>
      <c r="G86" s="21">
        <v>142</v>
      </c>
      <c r="H86" s="21">
        <v>91</v>
      </c>
      <c r="I86" s="21">
        <v>149</v>
      </c>
      <c r="J86" s="21">
        <v>119</v>
      </c>
      <c r="K86" s="21">
        <v>138</v>
      </c>
      <c r="L86" s="21">
        <v>127</v>
      </c>
      <c r="M86" s="21">
        <v>139</v>
      </c>
      <c r="N86" s="62">
        <v>165</v>
      </c>
      <c r="O86" s="62">
        <v>1217</v>
      </c>
      <c r="P86" s="62">
        <v>138</v>
      </c>
      <c r="Q86" s="62">
        <v>250</v>
      </c>
      <c r="R86" s="62">
        <v>233</v>
      </c>
      <c r="S86" s="62">
        <v>168</v>
      </c>
      <c r="T86" s="62">
        <v>162</v>
      </c>
      <c r="U86" s="62">
        <v>156</v>
      </c>
      <c r="V86" s="62">
        <v>128</v>
      </c>
      <c r="W86" s="62">
        <v>265</v>
      </c>
      <c r="X86" s="62">
        <v>222</v>
      </c>
      <c r="Y86" s="62">
        <v>339</v>
      </c>
      <c r="Z86" s="62">
        <v>-373</v>
      </c>
      <c r="AA86" s="62">
        <v>309</v>
      </c>
      <c r="AB86" s="62">
        <v>-301</v>
      </c>
      <c r="AC86" s="62">
        <v>408</v>
      </c>
      <c r="AD86" s="62">
        <v>-584</v>
      </c>
      <c r="AE86" s="62">
        <v>406</v>
      </c>
      <c r="AF86" s="62">
        <v>-659</v>
      </c>
      <c r="AG86" s="57">
        <v>427</v>
      </c>
      <c r="AH86" s="58">
        <v>0</v>
      </c>
      <c r="AI86" s="58">
        <v>0</v>
      </c>
      <c r="AJ86" s="58">
        <v>0</v>
      </c>
      <c r="AK86" s="58">
        <v>0</v>
      </c>
      <c r="AL86" s="58">
        <v>0</v>
      </c>
      <c r="AM86" s="58">
        <v>0</v>
      </c>
      <c r="AN86" s="58">
        <v>0</v>
      </c>
      <c r="AO86" s="58">
        <v>0</v>
      </c>
      <c r="AP86" s="58">
        <v>0</v>
      </c>
      <c r="AQ86" s="58">
        <v>0</v>
      </c>
      <c r="AS86" s="21">
        <v>-1231</v>
      </c>
      <c r="AT86" s="21">
        <v>185</v>
      </c>
      <c r="AU86" s="21">
        <v>73</v>
      </c>
      <c r="AV86" s="21">
        <v>270</v>
      </c>
      <c r="AW86" s="21">
        <v>75</v>
      </c>
      <c r="AX86" s="19">
        <v>201</v>
      </c>
      <c r="AY86" s="19">
        <v>248</v>
      </c>
      <c r="AZ86" s="19">
        <v>240</v>
      </c>
      <c r="BA86" s="19">
        <v>257</v>
      </c>
      <c r="BB86" s="19">
        <v>266</v>
      </c>
      <c r="BC86" s="19">
        <v>1382</v>
      </c>
      <c r="BD86" s="19">
        <v>388</v>
      </c>
      <c r="BE86" s="19">
        <v>401</v>
      </c>
      <c r="BF86" s="19">
        <v>318</v>
      </c>
      <c r="BG86" s="19">
        <v>393</v>
      </c>
      <c r="BH86" s="19">
        <v>561</v>
      </c>
      <c r="BI86" s="19">
        <v>-64</v>
      </c>
      <c r="BJ86" s="19">
        <v>107</v>
      </c>
      <c r="BK86" s="19">
        <v>-178</v>
      </c>
      <c r="BL86" s="20">
        <v>-232</v>
      </c>
      <c r="BM86" s="19">
        <v>0</v>
      </c>
      <c r="BN86" s="19">
        <v>0</v>
      </c>
      <c r="BO86" s="19">
        <v>0</v>
      </c>
      <c r="BP86" s="19">
        <v>0</v>
      </c>
      <c r="BQ86" s="19">
        <v>0</v>
      </c>
    </row>
    <row r="87" spans="1:69" ht="12" customHeight="1" outlineLevel="1">
      <c r="A87" s="91" t="s">
        <v>534</v>
      </c>
      <c r="B87" s="1" t="s">
        <v>131</v>
      </c>
      <c r="D87" s="21">
        <v>316</v>
      </c>
      <c r="E87" s="21">
        <v>27</v>
      </c>
      <c r="F87" s="21">
        <v>162</v>
      </c>
      <c r="G87" s="21">
        <v>123</v>
      </c>
      <c r="H87" s="21">
        <v>-183</v>
      </c>
      <c r="I87" s="21">
        <v>-105</v>
      </c>
      <c r="J87" s="21">
        <v>82</v>
      </c>
      <c r="K87" s="21">
        <v>131</v>
      </c>
      <c r="L87" s="21">
        <v>223</v>
      </c>
      <c r="M87" s="21">
        <v>-116</v>
      </c>
      <c r="N87" s="21">
        <v>-46</v>
      </c>
      <c r="O87" s="21">
        <v>34</v>
      </c>
      <c r="P87" s="62">
        <v>83</v>
      </c>
      <c r="Q87" s="62">
        <v>-80</v>
      </c>
      <c r="R87" s="62">
        <v>-150</v>
      </c>
      <c r="S87" s="62">
        <v>3</v>
      </c>
      <c r="T87" s="62">
        <v>-281</v>
      </c>
      <c r="U87" s="62">
        <v>-41</v>
      </c>
      <c r="V87" s="62">
        <v>0</v>
      </c>
      <c r="W87" s="62">
        <v>-120</v>
      </c>
      <c r="X87" s="62">
        <v>0</v>
      </c>
      <c r="Y87" s="62">
        <v>-175</v>
      </c>
      <c r="Z87" s="62">
        <v>-6</v>
      </c>
      <c r="AA87" s="62">
        <v>85</v>
      </c>
      <c r="AB87" s="62">
        <v>-14</v>
      </c>
      <c r="AC87" s="62">
        <v>25</v>
      </c>
      <c r="AD87" s="62">
        <v>190</v>
      </c>
      <c r="AE87" s="62">
        <v>72</v>
      </c>
      <c r="AF87" s="62">
        <v>-98</v>
      </c>
      <c r="AG87" s="57">
        <v>47</v>
      </c>
      <c r="AH87" s="58">
        <v>0</v>
      </c>
      <c r="AI87" s="58">
        <v>0</v>
      </c>
      <c r="AJ87" s="58">
        <v>0</v>
      </c>
      <c r="AK87" s="58">
        <v>0</v>
      </c>
      <c r="AL87" s="58">
        <v>0</v>
      </c>
      <c r="AM87" s="58">
        <v>0</v>
      </c>
      <c r="AN87" s="58">
        <v>0</v>
      </c>
      <c r="AO87" s="58">
        <v>0</v>
      </c>
      <c r="AP87" s="58">
        <v>0</v>
      </c>
      <c r="AQ87" s="58">
        <v>0</v>
      </c>
      <c r="AS87" s="21">
        <v>12</v>
      </c>
      <c r="AT87" s="21">
        <v>80</v>
      </c>
      <c r="AU87" s="21">
        <v>73</v>
      </c>
      <c r="AV87" s="21">
        <v>13</v>
      </c>
      <c r="AW87" s="21">
        <v>-535</v>
      </c>
      <c r="AX87" s="19">
        <v>343</v>
      </c>
      <c r="AY87" s="19">
        <v>285</v>
      </c>
      <c r="AZ87" s="19">
        <v>-288</v>
      </c>
      <c r="BA87" s="19">
        <v>213</v>
      </c>
      <c r="BB87" s="19">
        <v>107</v>
      </c>
      <c r="BC87" s="19">
        <v>-12</v>
      </c>
      <c r="BD87" s="19">
        <v>3</v>
      </c>
      <c r="BE87" s="19">
        <v>-147</v>
      </c>
      <c r="BF87" s="19">
        <v>-322</v>
      </c>
      <c r="BG87" s="19">
        <v>-120</v>
      </c>
      <c r="BH87" s="19">
        <v>-175</v>
      </c>
      <c r="BI87" s="19">
        <v>79</v>
      </c>
      <c r="BJ87" s="19">
        <v>11</v>
      </c>
      <c r="BK87" s="19">
        <v>262</v>
      </c>
      <c r="BL87" s="20">
        <v>-51</v>
      </c>
      <c r="BM87" s="19">
        <v>0</v>
      </c>
      <c r="BN87" s="19">
        <v>0</v>
      </c>
      <c r="BO87" s="19">
        <v>0</v>
      </c>
      <c r="BP87" s="19">
        <v>0</v>
      </c>
      <c r="BQ87" s="19">
        <v>0</v>
      </c>
    </row>
    <row r="88" spans="1:69" s="9" customFormat="1" ht="12" customHeight="1" outlineLevel="1">
      <c r="A88" s="91" t="s">
        <v>535</v>
      </c>
      <c r="B88" s="9" t="s">
        <v>132</v>
      </c>
      <c r="D88" s="17">
        <v>798</v>
      </c>
      <c r="E88" s="17">
        <v>554</v>
      </c>
      <c r="F88" s="17">
        <v>387</v>
      </c>
      <c r="G88" s="17">
        <v>599</v>
      </c>
      <c r="H88" s="17">
        <v>546</v>
      </c>
      <c r="I88" s="17">
        <v>176</v>
      </c>
      <c r="J88" s="17">
        <v>534</v>
      </c>
      <c r="K88" s="17">
        <v>665</v>
      </c>
      <c r="L88" s="17">
        <v>1450</v>
      </c>
      <c r="M88" s="17">
        <v>800</v>
      </c>
      <c r="N88" s="17">
        <v>1047</v>
      </c>
      <c r="O88" s="17">
        <v>2804</v>
      </c>
      <c r="P88" s="17">
        <v>1765</v>
      </c>
      <c r="Q88" s="17">
        <v>501</v>
      </c>
      <c r="R88" s="17">
        <v>1053</v>
      </c>
      <c r="S88" s="17">
        <v>1288</v>
      </c>
      <c r="T88" s="17">
        <v>1119</v>
      </c>
      <c r="U88" s="17">
        <v>1697</v>
      </c>
      <c r="V88" s="17">
        <v>1746</v>
      </c>
      <c r="W88" s="17">
        <v>1931</v>
      </c>
      <c r="X88" s="17">
        <v>2017</v>
      </c>
      <c r="Y88" s="17">
        <v>2330</v>
      </c>
      <c r="Z88" s="17">
        <v>-713</v>
      </c>
      <c r="AA88" s="17">
        <v>1982</v>
      </c>
      <c r="AB88" s="17">
        <v>2169</v>
      </c>
      <c r="AC88" s="17">
        <v>2655</v>
      </c>
      <c r="AD88" s="17">
        <v>3630</v>
      </c>
      <c r="AE88" s="17">
        <v>2974</v>
      </c>
      <c r="AF88" s="17">
        <v>1230</v>
      </c>
      <c r="AG88" s="18">
        <v>2456</v>
      </c>
      <c r="AH88" s="17">
        <v>1932.0921164279089</v>
      </c>
      <c r="AI88" s="17">
        <v>2045.3401762960684</v>
      </c>
      <c r="AJ88" s="17">
        <v>2071.8366346749312</v>
      </c>
      <c r="AK88" s="17">
        <v>2166.6498902981757</v>
      </c>
      <c r="AL88" s="17">
        <v>2076.8761737950003</v>
      </c>
      <c r="AM88" s="17">
        <v>2311.7622805899964</v>
      </c>
      <c r="AN88" s="17">
        <v>2213.5416847356364</v>
      </c>
      <c r="AO88" s="17">
        <v>2446.5639499881299</v>
      </c>
      <c r="AP88" s="17">
        <v>2346.7716995856604</v>
      </c>
      <c r="AQ88" s="17">
        <v>2593.6770057342992</v>
      </c>
      <c r="AS88" s="17">
        <v>-446</v>
      </c>
      <c r="AT88" s="17">
        <v>1181</v>
      </c>
      <c r="AU88" s="17">
        <v>1606</v>
      </c>
      <c r="AV88" s="17">
        <v>1977</v>
      </c>
      <c r="AW88" s="17">
        <v>432</v>
      </c>
      <c r="AX88" s="17">
        <v>1352</v>
      </c>
      <c r="AY88" s="17">
        <v>986</v>
      </c>
      <c r="AZ88" s="17">
        <v>722</v>
      </c>
      <c r="BA88" s="17">
        <v>1199</v>
      </c>
      <c r="BB88" s="17">
        <v>2250</v>
      </c>
      <c r="BC88" s="17">
        <v>3851</v>
      </c>
      <c r="BD88" s="17">
        <v>2266</v>
      </c>
      <c r="BE88" s="17">
        <v>2341</v>
      </c>
      <c r="BF88" s="17">
        <v>2816</v>
      </c>
      <c r="BG88" s="17">
        <v>3677</v>
      </c>
      <c r="BH88" s="17">
        <v>4347</v>
      </c>
      <c r="BI88" s="17">
        <v>1269</v>
      </c>
      <c r="BJ88" s="17">
        <v>4824</v>
      </c>
      <c r="BK88" s="17">
        <v>6604</v>
      </c>
      <c r="BL88" s="18">
        <v>3686</v>
      </c>
      <c r="BM88" s="17">
        <v>3977.4322927239755</v>
      </c>
      <c r="BN88" s="17">
        <v>4238.4865249731083</v>
      </c>
      <c r="BO88" s="17">
        <v>4388.6384543849972</v>
      </c>
      <c r="BP88" s="17">
        <v>4660.1056347237609</v>
      </c>
      <c r="BQ88" s="17">
        <v>4940.4487053199609</v>
      </c>
    </row>
    <row r="89" spans="1:69" ht="12" customHeight="1">
      <c r="L89" s="19"/>
      <c r="M89" s="19"/>
      <c r="P89" s="33"/>
      <c r="Q89" s="33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8"/>
      <c r="AI89" s="19"/>
      <c r="AK89" s="19"/>
      <c r="AM89" s="19"/>
      <c r="AO89" s="19"/>
      <c r="AQ89" s="19"/>
      <c r="AT89" s="36"/>
      <c r="AU89" s="36"/>
      <c r="AV89" s="36"/>
      <c r="AW89" s="36"/>
      <c r="AX89" s="36"/>
      <c r="AY89" s="36"/>
      <c r="AZ89" s="36"/>
      <c r="BA89" s="36"/>
      <c r="BB89" s="36"/>
      <c r="BH89" s="33"/>
    </row>
    <row r="90" spans="1:69" s="9" customFormat="1" ht="12" customHeight="1">
      <c r="A90" s="346" t="s">
        <v>515</v>
      </c>
      <c r="B90" s="2" t="s">
        <v>133</v>
      </c>
      <c r="C90" s="2"/>
      <c r="D90" s="93">
        <v>10684</v>
      </c>
      <c r="E90" s="93">
        <v>11232</v>
      </c>
      <c r="F90" s="93">
        <v>11061</v>
      </c>
      <c r="G90" s="93">
        <v>11404</v>
      </c>
      <c r="H90" s="93">
        <v>11251</v>
      </c>
      <c r="I90" s="93">
        <v>11203</v>
      </c>
      <c r="J90" s="93">
        <v>10987</v>
      </c>
      <c r="K90" s="93">
        <v>11403</v>
      </c>
      <c r="L90" s="93">
        <v>12229</v>
      </c>
      <c r="M90" s="93">
        <v>11418</v>
      </c>
      <c r="N90" s="93">
        <v>11690</v>
      </c>
      <c r="O90" s="93">
        <v>13909</v>
      </c>
      <c r="P90" s="93">
        <v>14631</v>
      </c>
      <c r="Q90" s="93">
        <v>15116</v>
      </c>
      <c r="R90" s="93">
        <v>14921</v>
      </c>
      <c r="S90" s="93">
        <v>15563</v>
      </c>
      <c r="T90" s="93">
        <v>15357</v>
      </c>
      <c r="U90" s="93">
        <v>16357</v>
      </c>
      <c r="V90" s="93">
        <v>16560</v>
      </c>
      <c r="W90" s="93">
        <v>17761</v>
      </c>
      <c r="X90" s="93">
        <v>19617</v>
      </c>
      <c r="Y90" s="93">
        <v>21063</v>
      </c>
      <c r="Z90" s="93">
        <v>20508</v>
      </c>
      <c r="AA90" s="93">
        <v>22048</v>
      </c>
      <c r="AB90" s="93">
        <v>24064</v>
      </c>
      <c r="AC90" s="93">
        <v>28561</v>
      </c>
      <c r="AD90" s="93">
        <v>31337</v>
      </c>
      <c r="AE90" s="93">
        <v>33155</v>
      </c>
      <c r="AF90" s="93">
        <v>32651</v>
      </c>
      <c r="AG90" s="94">
        <v>33481</v>
      </c>
      <c r="AH90" s="93">
        <v>33294.661065327906</v>
      </c>
      <c r="AI90" s="93">
        <v>33659.549007915812</v>
      </c>
      <c r="AJ90" s="93">
        <v>34281.961029076287</v>
      </c>
      <c r="AK90" s="93">
        <v>35394.483927727582</v>
      </c>
      <c r="AL90" s="93">
        <v>35927.817006611076</v>
      </c>
      <c r="AM90" s="93">
        <v>37185.452295554191</v>
      </c>
      <c r="AN90" s="93">
        <v>37761.332403981287</v>
      </c>
      <c r="AO90" s="93">
        <v>39078.474577204899</v>
      </c>
      <c r="AP90" s="93">
        <v>39693.46621908497</v>
      </c>
      <c r="AQ90" s="93">
        <v>41082.426662937127</v>
      </c>
      <c r="AR90" s="2"/>
      <c r="AS90" s="93">
        <v>3171</v>
      </c>
      <c r="AT90" s="93">
        <v>4098</v>
      </c>
      <c r="AU90" s="93">
        <v>6271</v>
      </c>
      <c r="AV90" s="93">
        <v>8829</v>
      </c>
      <c r="AW90" s="93">
        <v>8664</v>
      </c>
      <c r="AX90" s="93">
        <v>11232</v>
      </c>
      <c r="AY90" s="93">
        <v>11404</v>
      </c>
      <c r="AZ90" s="93">
        <v>11203</v>
      </c>
      <c r="BA90" s="93">
        <v>11403</v>
      </c>
      <c r="BB90" s="93">
        <v>11418</v>
      </c>
      <c r="BC90" s="93">
        <v>13909</v>
      </c>
      <c r="BD90" s="93">
        <v>15116</v>
      </c>
      <c r="BE90" s="93">
        <v>15563</v>
      </c>
      <c r="BF90" s="93">
        <v>16357</v>
      </c>
      <c r="BG90" s="93">
        <v>17761</v>
      </c>
      <c r="BH90" s="93">
        <v>21063</v>
      </c>
      <c r="BI90" s="93">
        <v>22048</v>
      </c>
      <c r="BJ90" s="93">
        <v>28561</v>
      </c>
      <c r="BK90" s="93">
        <v>33155</v>
      </c>
      <c r="BL90" s="94">
        <v>33481</v>
      </c>
      <c r="BM90" s="93">
        <v>33659.549007915812</v>
      </c>
      <c r="BN90" s="93">
        <v>35394.483927727582</v>
      </c>
      <c r="BO90" s="93">
        <v>37185.452295554191</v>
      </c>
      <c r="BP90" s="93">
        <v>39078.474577204899</v>
      </c>
      <c r="BQ90" s="93">
        <v>41082.426662937127</v>
      </c>
    </row>
    <row r="91" spans="1:69" ht="12" customHeight="1" outlineLevel="1">
      <c r="N91" s="393"/>
      <c r="O91" s="393"/>
      <c r="AT91" s="36"/>
      <c r="AU91" s="36"/>
      <c r="AV91" s="36"/>
      <c r="AW91" s="36"/>
      <c r="AX91" s="36"/>
      <c r="AY91" s="36"/>
      <c r="AZ91" s="36"/>
      <c r="BA91" s="36"/>
      <c r="BB91" s="36"/>
    </row>
    <row r="92" spans="1:69" s="9" customFormat="1" ht="12" customHeight="1" outlineLevel="1">
      <c r="A92" s="91" t="s">
        <v>134</v>
      </c>
      <c r="B92" s="16" t="s">
        <v>135</v>
      </c>
      <c r="C92" s="17"/>
      <c r="D92" s="17">
        <v>8664</v>
      </c>
      <c r="E92" s="17">
        <v>10684</v>
      </c>
      <c r="F92" s="17">
        <v>11232</v>
      </c>
      <c r="G92" s="17">
        <v>11061</v>
      </c>
      <c r="H92" s="17">
        <v>11404</v>
      </c>
      <c r="I92" s="17">
        <v>11251</v>
      </c>
      <c r="J92" s="17">
        <v>11203</v>
      </c>
      <c r="K92" s="17">
        <v>10987</v>
      </c>
      <c r="L92" s="17">
        <v>11403</v>
      </c>
      <c r="M92" s="17">
        <v>12229</v>
      </c>
      <c r="N92" s="17">
        <v>11418</v>
      </c>
      <c r="O92" s="17">
        <v>11690</v>
      </c>
      <c r="P92" s="17">
        <v>13909</v>
      </c>
      <c r="Q92" s="17">
        <v>14631</v>
      </c>
      <c r="R92" s="17">
        <v>15116</v>
      </c>
      <c r="S92" s="17">
        <v>14921</v>
      </c>
      <c r="T92" s="17">
        <v>15563</v>
      </c>
      <c r="U92" s="17">
        <v>15357</v>
      </c>
      <c r="V92" s="17">
        <v>16357</v>
      </c>
      <c r="W92" s="17">
        <v>16560</v>
      </c>
      <c r="X92" s="17">
        <v>17761</v>
      </c>
      <c r="Y92" s="17">
        <v>19617</v>
      </c>
      <c r="Z92" s="17">
        <v>21063</v>
      </c>
      <c r="AA92" s="17">
        <v>20508</v>
      </c>
      <c r="AB92" s="17">
        <v>22048</v>
      </c>
      <c r="AC92" s="17">
        <v>24064</v>
      </c>
      <c r="AD92" s="17">
        <v>28561</v>
      </c>
      <c r="AE92" s="17">
        <v>31337</v>
      </c>
      <c r="AF92" s="17">
        <v>33155</v>
      </c>
      <c r="AG92" s="18">
        <v>32651</v>
      </c>
      <c r="AH92" s="17">
        <v>33481</v>
      </c>
      <c r="AI92" s="17">
        <v>33294.661065327906</v>
      </c>
      <c r="AJ92" s="17">
        <v>33659.549007915812</v>
      </c>
      <c r="AK92" s="17">
        <v>34281.961029076287</v>
      </c>
      <c r="AL92" s="17">
        <v>35394.483927727582</v>
      </c>
      <c r="AM92" s="17">
        <v>35927.817006611076</v>
      </c>
      <c r="AN92" s="17">
        <v>37185.452295554191</v>
      </c>
      <c r="AO92" s="17">
        <v>37761.332403981287</v>
      </c>
      <c r="AP92" s="17">
        <v>39078.474577204899</v>
      </c>
      <c r="AQ92" s="17">
        <v>39693.46621908497</v>
      </c>
      <c r="AR92" s="17"/>
      <c r="AS92" s="22">
        <v>2833</v>
      </c>
      <c r="AT92" s="17">
        <v>3171</v>
      </c>
      <c r="AU92" s="17">
        <v>4098</v>
      </c>
      <c r="AV92" s="17">
        <v>6271</v>
      </c>
      <c r="AW92" s="17">
        <v>8829</v>
      </c>
      <c r="AX92" s="17">
        <v>8664</v>
      </c>
      <c r="AY92" s="17">
        <v>11232</v>
      </c>
      <c r="AZ92" s="17">
        <v>11404</v>
      </c>
      <c r="BA92" s="17">
        <v>11203</v>
      </c>
      <c r="BB92" s="17">
        <v>11403</v>
      </c>
      <c r="BC92" s="17">
        <v>11418</v>
      </c>
      <c r="BD92" s="17">
        <v>13909</v>
      </c>
      <c r="BE92" s="17">
        <v>15116</v>
      </c>
      <c r="BF92" s="17">
        <v>15563</v>
      </c>
      <c r="BG92" s="17">
        <v>16357</v>
      </c>
      <c r="BH92" s="17">
        <v>17761</v>
      </c>
      <c r="BI92" s="17">
        <v>21063</v>
      </c>
      <c r="BJ92" s="17">
        <v>22048</v>
      </c>
      <c r="BK92" s="17">
        <v>28561</v>
      </c>
      <c r="BL92" s="18">
        <v>33155</v>
      </c>
      <c r="BM92" s="17">
        <v>33481</v>
      </c>
      <c r="BN92" s="17">
        <v>33659.549007915812</v>
      </c>
      <c r="BO92" s="17">
        <v>35394.483927727582</v>
      </c>
      <c r="BP92" s="17">
        <v>37185.452295554191</v>
      </c>
      <c r="BQ92" s="17">
        <v>39078.474577204899</v>
      </c>
    </row>
    <row r="93" spans="1:69" ht="12" customHeight="1" outlineLevel="1">
      <c r="A93" s="91" t="s">
        <v>136</v>
      </c>
      <c r="B93" s="87" t="s">
        <v>132</v>
      </c>
      <c r="C93" s="19"/>
      <c r="D93" s="19">
        <v>798</v>
      </c>
      <c r="E93" s="19">
        <v>554</v>
      </c>
      <c r="F93" s="19">
        <v>387</v>
      </c>
      <c r="G93" s="19">
        <v>599</v>
      </c>
      <c r="H93" s="19">
        <v>546</v>
      </c>
      <c r="I93" s="19">
        <v>176</v>
      </c>
      <c r="J93" s="19">
        <v>534</v>
      </c>
      <c r="K93" s="19">
        <v>665</v>
      </c>
      <c r="L93" s="19">
        <v>1450</v>
      </c>
      <c r="M93" s="19">
        <v>800</v>
      </c>
      <c r="N93" s="19">
        <v>1047</v>
      </c>
      <c r="O93" s="19">
        <v>2804</v>
      </c>
      <c r="P93" s="19">
        <v>1765</v>
      </c>
      <c r="Q93" s="19">
        <v>501</v>
      </c>
      <c r="R93" s="19">
        <v>1053</v>
      </c>
      <c r="S93" s="19">
        <v>1288</v>
      </c>
      <c r="T93" s="19">
        <v>1119</v>
      </c>
      <c r="U93" s="19">
        <v>1697</v>
      </c>
      <c r="V93" s="19">
        <v>1746</v>
      </c>
      <c r="W93" s="19">
        <v>1931</v>
      </c>
      <c r="X93" s="19">
        <v>2017</v>
      </c>
      <c r="Y93" s="19">
        <v>2330</v>
      </c>
      <c r="Z93" s="19">
        <v>-713</v>
      </c>
      <c r="AA93" s="19">
        <v>1982</v>
      </c>
      <c r="AB93" s="19">
        <v>2169</v>
      </c>
      <c r="AC93" s="19">
        <v>2655</v>
      </c>
      <c r="AD93" s="19">
        <v>3630</v>
      </c>
      <c r="AE93" s="19">
        <v>2974</v>
      </c>
      <c r="AF93" s="19">
        <v>1230</v>
      </c>
      <c r="AG93" s="20">
        <v>2456</v>
      </c>
      <c r="AH93" s="19">
        <v>1932.0921164279089</v>
      </c>
      <c r="AI93" s="19">
        <v>2045.3401762960684</v>
      </c>
      <c r="AJ93" s="19">
        <v>2071.8366346749312</v>
      </c>
      <c r="AK93" s="19">
        <v>2166.6498902981757</v>
      </c>
      <c r="AL93" s="19">
        <v>2076.8761737950003</v>
      </c>
      <c r="AM93" s="19">
        <v>2311.7622805899964</v>
      </c>
      <c r="AN93" s="19">
        <v>2213.5416847356364</v>
      </c>
      <c r="AO93" s="19">
        <v>2446.5639499881299</v>
      </c>
      <c r="AP93" s="19">
        <v>2346.7716995856604</v>
      </c>
      <c r="AQ93" s="19">
        <v>2593.6770057342992</v>
      </c>
      <c r="AR93" s="19"/>
      <c r="AS93" s="19">
        <v>-446</v>
      </c>
      <c r="AT93" s="19">
        <v>1181</v>
      </c>
      <c r="AU93" s="19">
        <v>1606</v>
      </c>
      <c r="AV93" s="19">
        <v>1977</v>
      </c>
      <c r="AW93" s="19">
        <v>432</v>
      </c>
      <c r="AX93" s="19">
        <v>1352</v>
      </c>
      <c r="AY93" s="19">
        <v>986</v>
      </c>
      <c r="AZ93" s="19">
        <v>722</v>
      </c>
      <c r="BA93" s="19">
        <v>1199</v>
      </c>
      <c r="BB93" s="19">
        <v>2250</v>
      </c>
      <c r="BC93" s="19">
        <v>3851</v>
      </c>
      <c r="BD93" s="19">
        <v>2266</v>
      </c>
      <c r="BE93" s="19">
        <v>2341</v>
      </c>
      <c r="BF93" s="19">
        <v>2816</v>
      </c>
      <c r="BG93" s="19">
        <v>3677</v>
      </c>
      <c r="BH93" s="19">
        <v>4347</v>
      </c>
      <c r="BI93" s="19">
        <v>1269</v>
      </c>
      <c r="BJ93" s="19">
        <v>4824</v>
      </c>
      <c r="BK93" s="19">
        <v>6604</v>
      </c>
      <c r="BL93" s="20">
        <v>3686</v>
      </c>
      <c r="BM93" s="19">
        <v>3977.4322927239773</v>
      </c>
      <c r="BN93" s="19">
        <v>4238.4865249731065</v>
      </c>
      <c r="BO93" s="19">
        <v>4388.6384543849963</v>
      </c>
      <c r="BP93" s="19">
        <v>4660.1056347237663</v>
      </c>
      <c r="BQ93" s="19">
        <v>4940.4487053199591</v>
      </c>
    </row>
    <row r="94" spans="1:69" ht="12" customHeight="1" outlineLevel="1">
      <c r="A94" s="91" t="s">
        <v>137</v>
      </c>
      <c r="B94" s="87" t="s">
        <v>138</v>
      </c>
      <c r="C94" s="19"/>
      <c r="D94" s="21">
        <v>-122</v>
      </c>
      <c r="E94" s="21">
        <v>-287</v>
      </c>
      <c r="F94" s="21">
        <v>-346</v>
      </c>
      <c r="G94" s="21">
        <v>-297</v>
      </c>
      <c r="H94" s="21">
        <v>-347</v>
      </c>
      <c r="I94" s="21">
        <v>-225</v>
      </c>
      <c r="J94" s="21">
        <v>-257</v>
      </c>
      <c r="K94" s="21">
        <v>-252</v>
      </c>
      <c r="L94" s="21">
        <v>-419</v>
      </c>
      <c r="M94" s="21">
        <v>-740</v>
      </c>
      <c r="N94" s="62">
        <v>-514</v>
      </c>
      <c r="O94" s="62">
        <v>-645</v>
      </c>
      <c r="P94" s="62">
        <v>-667</v>
      </c>
      <c r="Q94" s="62">
        <v>-541</v>
      </c>
      <c r="R94" s="62">
        <v>-816</v>
      </c>
      <c r="S94" s="62">
        <v>-646</v>
      </c>
      <c r="T94" s="62">
        <v>-952</v>
      </c>
      <c r="U94" s="62">
        <v>-697</v>
      </c>
      <c r="V94" s="62">
        <v>-1089</v>
      </c>
      <c r="W94" s="62">
        <v>-730</v>
      </c>
      <c r="X94" s="62">
        <v>-1224</v>
      </c>
      <c r="Y94" s="62">
        <v>-884</v>
      </c>
      <c r="Z94" s="62">
        <v>-637</v>
      </c>
      <c r="AA94" s="62">
        <v>-486</v>
      </c>
      <c r="AB94" s="62">
        <v>-1208</v>
      </c>
      <c r="AC94" s="62">
        <v>-1021</v>
      </c>
      <c r="AD94" s="62">
        <v>-1339</v>
      </c>
      <c r="AE94" s="62">
        <v>-1156</v>
      </c>
      <c r="AF94" s="62">
        <v>-1734</v>
      </c>
      <c r="AG94" s="57">
        <v>-982</v>
      </c>
      <c r="AH94" s="19">
        <v>-1474.40575205</v>
      </c>
      <c r="AI94" s="19">
        <v>-968.50283180816734</v>
      </c>
      <c r="AJ94" s="19">
        <v>-1449.4246135144601</v>
      </c>
      <c r="AK94" s="19">
        <v>-1054.12699164688</v>
      </c>
      <c r="AL94" s="19">
        <v>-1543.5430949115027</v>
      </c>
      <c r="AM94" s="19">
        <v>-1054.12699164688</v>
      </c>
      <c r="AN94" s="19">
        <v>-1637.6615763085456</v>
      </c>
      <c r="AO94" s="19">
        <v>-1129.4217767645143</v>
      </c>
      <c r="AP94" s="19">
        <v>-1731.7800577055884</v>
      </c>
      <c r="AQ94" s="19">
        <v>-1204.7165618821487</v>
      </c>
      <c r="AR94" s="19"/>
      <c r="AS94" s="21">
        <v>-314</v>
      </c>
      <c r="AT94" s="21">
        <v>-550</v>
      </c>
      <c r="AU94" s="21">
        <v>-602</v>
      </c>
      <c r="AV94" s="21">
        <v>-880</v>
      </c>
      <c r="AW94" s="21">
        <v>-962</v>
      </c>
      <c r="AX94" s="19">
        <v>-409</v>
      </c>
      <c r="AY94" s="19">
        <v>-643</v>
      </c>
      <c r="AZ94" s="19">
        <v>-572</v>
      </c>
      <c r="BA94" s="19">
        <v>-509</v>
      </c>
      <c r="BB94" s="19">
        <v>-1159</v>
      </c>
      <c r="BC94" s="19">
        <v>-1159</v>
      </c>
      <c r="BD94" s="19">
        <v>-1208</v>
      </c>
      <c r="BE94" s="19">
        <v>-1462</v>
      </c>
      <c r="BF94" s="19">
        <v>-1649</v>
      </c>
      <c r="BG94" s="19">
        <v>-1819</v>
      </c>
      <c r="BH94" s="19">
        <v>-2108</v>
      </c>
      <c r="BI94" s="19">
        <v>-1123</v>
      </c>
      <c r="BJ94" s="19">
        <v>-2229</v>
      </c>
      <c r="BK94" s="19">
        <v>-2495</v>
      </c>
      <c r="BL94" s="20">
        <v>-2716</v>
      </c>
      <c r="BM94" s="19">
        <v>-2442.9085838581673</v>
      </c>
      <c r="BN94" s="19">
        <v>-2503.5516051613404</v>
      </c>
      <c r="BO94" s="19">
        <v>-2597.6700865583825</v>
      </c>
      <c r="BP94" s="19">
        <v>-2767.0833530730597</v>
      </c>
      <c r="BQ94" s="19">
        <v>-2936.4966195877369</v>
      </c>
    </row>
    <row r="95" spans="1:69" ht="12" customHeight="1" outlineLevel="1">
      <c r="A95" s="91" t="s">
        <v>139</v>
      </c>
      <c r="B95" s="87" t="s">
        <v>125</v>
      </c>
      <c r="C95" s="19"/>
      <c r="D95" s="19">
        <v>0</v>
      </c>
      <c r="E95" s="19">
        <v>0</v>
      </c>
      <c r="F95" s="19">
        <v>0</v>
      </c>
      <c r="G95" s="19">
        <v>0</v>
      </c>
      <c r="H95" s="19">
        <v>0</v>
      </c>
      <c r="I95" s="19">
        <v>0</v>
      </c>
      <c r="J95" s="19">
        <v>0</v>
      </c>
      <c r="K95" s="19">
        <v>0</v>
      </c>
      <c r="L95" s="19">
        <v>0</v>
      </c>
      <c r="M95" s="19">
        <v>0</v>
      </c>
      <c r="N95" s="19">
        <v>0</v>
      </c>
      <c r="O95" s="19">
        <v>0</v>
      </c>
      <c r="P95" s="19">
        <v>0</v>
      </c>
      <c r="Q95" s="19">
        <v>0</v>
      </c>
      <c r="R95" s="19">
        <v>0</v>
      </c>
      <c r="S95" s="19">
        <v>0</v>
      </c>
      <c r="T95" s="19">
        <v>0</v>
      </c>
      <c r="U95" s="19">
        <v>0</v>
      </c>
      <c r="V95" s="19">
        <v>0</v>
      </c>
      <c r="W95" s="19">
        <v>0</v>
      </c>
      <c r="X95" s="19">
        <v>0</v>
      </c>
      <c r="Y95" s="19">
        <v>0</v>
      </c>
      <c r="Z95" s="19">
        <v>0</v>
      </c>
      <c r="AA95" s="19">
        <v>0</v>
      </c>
      <c r="AB95" s="19">
        <v>0</v>
      </c>
      <c r="AC95" s="19">
        <v>0</v>
      </c>
      <c r="AD95" s="19">
        <v>0</v>
      </c>
      <c r="AE95" s="19">
        <v>0</v>
      </c>
      <c r="AF95" s="19">
        <v>0</v>
      </c>
      <c r="AG95" s="20">
        <v>0</v>
      </c>
      <c r="AH95" s="19">
        <v>0</v>
      </c>
      <c r="AI95" s="19">
        <v>0</v>
      </c>
      <c r="AJ95" s="19">
        <v>0</v>
      </c>
      <c r="AK95" s="19">
        <v>0</v>
      </c>
      <c r="AL95" s="19">
        <v>0</v>
      </c>
      <c r="AM95" s="19">
        <v>0</v>
      </c>
      <c r="AN95" s="19">
        <v>0</v>
      </c>
      <c r="AO95" s="19">
        <v>0</v>
      </c>
      <c r="AP95" s="19">
        <v>0</v>
      </c>
      <c r="AQ95" s="19">
        <v>0</v>
      </c>
      <c r="AR95" s="19"/>
      <c r="AS95" s="19">
        <v>0</v>
      </c>
      <c r="AT95" s="19">
        <v>0</v>
      </c>
      <c r="AU95" s="19">
        <v>0</v>
      </c>
      <c r="AV95" s="19">
        <v>0</v>
      </c>
      <c r="AW95" s="19">
        <v>0</v>
      </c>
      <c r="AX95" s="19">
        <v>0</v>
      </c>
      <c r="AY95" s="19">
        <v>0</v>
      </c>
      <c r="AZ95" s="19">
        <v>0</v>
      </c>
      <c r="BA95" s="19">
        <v>0</v>
      </c>
      <c r="BB95" s="19">
        <v>0</v>
      </c>
      <c r="BC95" s="19">
        <v>0</v>
      </c>
      <c r="BD95" s="19">
        <v>0</v>
      </c>
      <c r="BE95" s="19">
        <v>0</v>
      </c>
      <c r="BF95" s="19">
        <v>0</v>
      </c>
      <c r="BG95" s="19">
        <v>0</v>
      </c>
      <c r="BH95" s="19">
        <v>0</v>
      </c>
      <c r="BI95" s="19">
        <v>0</v>
      </c>
      <c r="BJ95" s="19">
        <v>0</v>
      </c>
      <c r="BK95" s="19">
        <v>0</v>
      </c>
      <c r="BL95" s="20">
        <v>0</v>
      </c>
      <c r="BM95" s="19">
        <v>0</v>
      </c>
      <c r="BN95" s="19">
        <v>0</v>
      </c>
      <c r="BO95" s="19">
        <v>0</v>
      </c>
      <c r="BP95" s="19">
        <v>0</v>
      </c>
      <c r="BQ95" s="19">
        <v>0</v>
      </c>
    </row>
    <row r="96" spans="1:69" ht="12" customHeight="1" outlineLevel="1">
      <c r="A96" s="91" t="s">
        <v>140</v>
      </c>
      <c r="B96" s="87" t="s">
        <v>109</v>
      </c>
      <c r="C96" s="19"/>
      <c r="D96" s="21">
        <v>1344</v>
      </c>
      <c r="E96" s="21">
        <v>281</v>
      </c>
      <c r="F96" s="21">
        <v>-212</v>
      </c>
      <c r="G96" s="21">
        <v>41</v>
      </c>
      <c r="H96" s="21">
        <v>-352</v>
      </c>
      <c r="I96" s="21">
        <v>1</v>
      </c>
      <c r="J96" s="21">
        <v>-493</v>
      </c>
      <c r="K96" s="21">
        <v>3</v>
      </c>
      <c r="L96" s="21">
        <v>-205</v>
      </c>
      <c r="M96" s="21">
        <v>-871</v>
      </c>
      <c r="N96" s="62">
        <v>-261</v>
      </c>
      <c r="O96" s="62">
        <v>60</v>
      </c>
      <c r="P96" s="62">
        <v>-376</v>
      </c>
      <c r="Q96" s="62">
        <v>525</v>
      </c>
      <c r="R96" s="62">
        <v>-432</v>
      </c>
      <c r="S96" s="62">
        <v>0</v>
      </c>
      <c r="T96" s="62">
        <v>-373</v>
      </c>
      <c r="U96" s="62">
        <v>0</v>
      </c>
      <c r="V96" s="62">
        <v>-454</v>
      </c>
      <c r="W96" s="62">
        <v>0</v>
      </c>
      <c r="X96" s="62">
        <v>1063</v>
      </c>
      <c r="Y96" s="62">
        <v>0</v>
      </c>
      <c r="Z96" s="62">
        <v>795</v>
      </c>
      <c r="AA96" s="62">
        <v>44</v>
      </c>
      <c r="AB96" s="62">
        <v>1055</v>
      </c>
      <c r="AC96" s="62">
        <v>2863</v>
      </c>
      <c r="AD96" s="62">
        <v>485</v>
      </c>
      <c r="AE96" s="62">
        <v>0</v>
      </c>
      <c r="AF96" s="62">
        <v>0</v>
      </c>
      <c r="AG96" s="57">
        <v>-644</v>
      </c>
      <c r="AH96" s="19">
        <v>-644.02529904999994</v>
      </c>
      <c r="AI96" s="19">
        <v>-711.94940190000023</v>
      </c>
      <c r="AJ96" s="19">
        <v>0</v>
      </c>
      <c r="AK96" s="19">
        <v>0</v>
      </c>
      <c r="AL96" s="19">
        <v>0</v>
      </c>
      <c r="AM96" s="19">
        <v>0</v>
      </c>
      <c r="AN96" s="19">
        <v>0</v>
      </c>
      <c r="AO96" s="19">
        <v>0</v>
      </c>
      <c r="AP96" s="19">
        <v>0</v>
      </c>
      <c r="AQ96" s="19">
        <v>0</v>
      </c>
      <c r="AR96" s="19"/>
      <c r="AS96" s="21">
        <v>1098</v>
      </c>
      <c r="AT96" s="21">
        <v>296</v>
      </c>
      <c r="AU96" s="21">
        <v>1169</v>
      </c>
      <c r="AV96" s="21">
        <v>1461</v>
      </c>
      <c r="AW96" s="21">
        <v>365</v>
      </c>
      <c r="AX96" s="19">
        <v>1625</v>
      </c>
      <c r="AY96" s="19">
        <v>-171</v>
      </c>
      <c r="AZ96" s="19">
        <v>-351</v>
      </c>
      <c r="BA96" s="19">
        <v>-490</v>
      </c>
      <c r="BB96" s="19">
        <v>-1076</v>
      </c>
      <c r="BC96" s="19">
        <v>-201</v>
      </c>
      <c r="BD96" s="19">
        <v>149</v>
      </c>
      <c r="BE96" s="19">
        <v>-432</v>
      </c>
      <c r="BF96" s="19">
        <v>-373</v>
      </c>
      <c r="BG96" s="19">
        <v>-454</v>
      </c>
      <c r="BH96" s="19">
        <v>1063</v>
      </c>
      <c r="BI96" s="19">
        <v>839</v>
      </c>
      <c r="BJ96" s="19">
        <v>3918</v>
      </c>
      <c r="BK96" s="19">
        <v>485</v>
      </c>
      <c r="BL96" s="20">
        <v>-644</v>
      </c>
      <c r="BM96" s="19">
        <v>-1355.9747009500002</v>
      </c>
      <c r="BN96" s="19">
        <v>0</v>
      </c>
      <c r="BO96" s="19">
        <v>0</v>
      </c>
      <c r="BP96" s="19">
        <v>0</v>
      </c>
      <c r="BQ96" s="19">
        <v>0</v>
      </c>
    </row>
    <row r="97" spans="1:69" s="9" customFormat="1" ht="12" customHeight="1" outlineLevel="1">
      <c r="A97" s="91" t="s">
        <v>141</v>
      </c>
      <c r="B97" s="16" t="s">
        <v>142</v>
      </c>
      <c r="C97" s="22">
        <v>8664</v>
      </c>
      <c r="D97" s="17">
        <v>10684</v>
      </c>
      <c r="E97" s="17">
        <v>11232</v>
      </c>
      <c r="F97" s="17">
        <v>11061</v>
      </c>
      <c r="G97" s="17">
        <v>11404</v>
      </c>
      <c r="H97" s="17">
        <v>11251</v>
      </c>
      <c r="I97" s="17">
        <v>11203</v>
      </c>
      <c r="J97" s="17">
        <v>10987</v>
      </c>
      <c r="K97" s="17">
        <v>11403</v>
      </c>
      <c r="L97" s="17">
        <v>12229</v>
      </c>
      <c r="M97" s="17">
        <v>11418</v>
      </c>
      <c r="N97" s="17">
        <v>11690</v>
      </c>
      <c r="O97" s="17">
        <v>13909</v>
      </c>
      <c r="P97" s="17">
        <v>14631</v>
      </c>
      <c r="Q97" s="17">
        <v>15116</v>
      </c>
      <c r="R97" s="17">
        <v>14921</v>
      </c>
      <c r="S97" s="17">
        <v>15563</v>
      </c>
      <c r="T97" s="17">
        <v>15357</v>
      </c>
      <c r="U97" s="17">
        <v>16357</v>
      </c>
      <c r="V97" s="17">
        <v>16560</v>
      </c>
      <c r="W97" s="17">
        <v>17761</v>
      </c>
      <c r="X97" s="17">
        <v>19617</v>
      </c>
      <c r="Y97" s="17">
        <v>21063</v>
      </c>
      <c r="Z97" s="17">
        <v>20508</v>
      </c>
      <c r="AA97" s="17">
        <v>22048</v>
      </c>
      <c r="AB97" s="17">
        <v>24064</v>
      </c>
      <c r="AC97" s="17">
        <v>28561</v>
      </c>
      <c r="AD97" s="17">
        <v>31337</v>
      </c>
      <c r="AE97" s="17">
        <v>33155</v>
      </c>
      <c r="AF97" s="17">
        <v>32651</v>
      </c>
      <c r="AG97" s="18">
        <v>33481</v>
      </c>
      <c r="AH97" s="17">
        <v>33294.661065327906</v>
      </c>
      <c r="AI97" s="17">
        <v>33659.549007915812</v>
      </c>
      <c r="AJ97" s="17">
        <v>34281.961029076287</v>
      </c>
      <c r="AK97" s="17">
        <v>35394.483927727582</v>
      </c>
      <c r="AL97" s="17">
        <v>35927.817006611076</v>
      </c>
      <c r="AM97" s="17">
        <v>37185.452295554191</v>
      </c>
      <c r="AN97" s="17">
        <v>37761.332403981287</v>
      </c>
      <c r="AO97" s="17">
        <v>39078.474577204899</v>
      </c>
      <c r="AP97" s="17">
        <v>39693.46621908497</v>
      </c>
      <c r="AQ97" s="17">
        <v>41082.426662937127</v>
      </c>
      <c r="AR97" s="17"/>
      <c r="AS97" s="17">
        <v>3171</v>
      </c>
      <c r="AT97" s="17">
        <v>4098</v>
      </c>
      <c r="AU97" s="17">
        <v>6271</v>
      </c>
      <c r="AV97" s="17">
        <v>8829</v>
      </c>
      <c r="AW97" s="17">
        <v>8664</v>
      </c>
      <c r="AX97" s="17">
        <v>11232</v>
      </c>
      <c r="AY97" s="17">
        <v>11404</v>
      </c>
      <c r="AZ97" s="17">
        <v>11203</v>
      </c>
      <c r="BA97" s="17">
        <v>11403</v>
      </c>
      <c r="BB97" s="17">
        <v>11418</v>
      </c>
      <c r="BC97" s="17">
        <v>13909</v>
      </c>
      <c r="BD97" s="17">
        <v>15116</v>
      </c>
      <c r="BE97" s="17">
        <v>15563</v>
      </c>
      <c r="BF97" s="17">
        <v>16357</v>
      </c>
      <c r="BG97" s="17">
        <v>17761</v>
      </c>
      <c r="BH97" s="17">
        <v>21063</v>
      </c>
      <c r="BI97" s="17">
        <v>22048</v>
      </c>
      <c r="BJ97" s="17">
        <v>28561</v>
      </c>
      <c r="BK97" s="17">
        <v>33155</v>
      </c>
      <c r="BL97" s="18">
        <v>33481</v>
      </c>
      <c r="BM97" s="17">
        <v>33659.549007915812</v>
      </c>
      <c r="BN97" s="17">
        <v>35394.483927727582</v>
      </c>
      <c r="BO97" s="17">
        <v>37185.452295554191</v>
      </c>
      <c r="BP97" s="17">
        <v>39078.474577204899</v>
      </c>
      <c r="BQ97" s="17">
        <v>41082.426662937127</v>
      </c>
    </row>
    <row r="98" spans="1:69" ht="12" customHeight="1" outlineLevel="1">
      <c r="A98" s="91" t="s">
        <v>143</v>
      </c>
      <c r="B98" s="87" t="s">
        <v>144</v>
      </c>
      <c r="C98" s="19"/>
      <c r="D98" s="21">
        <v>0</v>
      </c>
      <c r="E98" s="21">
        <v>0</v>
      </c>
      <c r="F98" s="21">
        <v>0</v>
      </c>
      <c r="G98" s="21">
        <v>0</v>
      </c>
      <c r="H98" s="21">
        <v>0</v>
      </c>
      <c r="I98" s="21">
        <v>0</v>
      </c>
      <c r="J98" s="21">
        <v>0</v>
      </c>
      <c r="K98" s="21">
        <v>0</v>
      </c>
      <c r="L98" s="21">
        <v>0</v>
      </c>
      <c r="M98" s="21">
        <v>0</v>
      </c>
      <c r="N98" s="21">
        <v>0</v>
      </c>
      <c r="O98" s="21">
        <v>0</v>
      </c>
      <c r="P98" s="21">
        <v>0</v>
      </c>
      <c r="Q98" s="21">
        <v>0</v>
      </c>
      <c r="R98" s="21">
        <v>0</v>
      </c>
      <c r="S98" s="21">
        <v>0</v>
      </c>
      <c r="T98" s="21">
        <v>0</v>
      </c>
      <c r="U98" s="21">
        <v>0</v>
      </c>
      <c r="V98" s="21">
        <v>0</v>
      </c>
      <c r="W98" s="21">
        <v>0</v>
      </c>
      <c r="X98" s="21">
        <v>0</v>
      </c>
      <c r="Y98" s="21">
        <v>0</v>
      </c>
      <c r="Z98" s="21">
        <v>0</v>
      </c>
      <c r="AA98" s="21">
        <v>0</v>
      </c>
      <c r="AB98" s="21">
        <v>0</v>
      </c>
      <c r="AC98" s="21">
        <v>0</v>
      </c>
      <c r="AD98" s="21">
        <v>0</v>
      </c>
      <c r="AE98" s="21">
        <v>0</v>
      </c>
      <c r="AF98" s="21">
        <v>0</v>
      </c>
      <c r="AG98" s="24">
        <v>0</v>
      </c>
      <c r="AH98" s="58">
        <v>0</v>
      </c>
      <c r="AI98" s="58">
        <v>0</v>
      </c>
      <c r="AJ98" s="58">
        <v>0</v>
      </c>
      <c r="AK98" s="58">
        <v>0</v>
      </c>
      <c r="AL98" s="58">
        <v>0</v>
      </c>
      <c r="AM98" s="58">
        <v>0</v>
      </c>
      <c r="AN98" s="58">
        <v>0</v>
      </c>
      <c r="AO98" s="58">
        <v>0</v>
      </c>
      <c r="AP98" s="58">
        <v>0</v>
      </c>
      <c r="AQ98" s="58">
        <v>0</v>
      </c>
      <c r="AR98" s="19"/>
      <c r="AS98" s="21">
        <v>0</v>
      </c>
      <c r="AT98" s="21">
        <v>0</v>
      </c>
      <c r="AU98" s="21">
        <v>0</v>
      </c>
      <c r="AV98" s="21">
        <v>0</v>
      </c>
      <c r="AW98" s="21">
        <v>0</v>
      </c>
      <c r="AX98" s="19">
        <v>0</v>
      </c>
      <c r="AY98" s="19">
        <v>0</v>
      </c>
      <c r="AZ98" s="19">
        <v>0</v>
      </c>
      <c r="BA98" s="19">
        <v>0</v>
      </c>
      <c r="BB98" s="19">
        <v>0</v>
      </c>
      <c r="BC98" s="19">
        <v>0</v>
      </c>
      <c r="BD98" s="19">
        <v>0</v>
      </c>
      <c r="BE98" s="19">
        <v>0</v>
      </c>
      <c r="BF98" s="19">
        <v>0</v>
      </c>
      <c r="BG98" s="19">
        <v>0</v>
      </c>
      <c r="BH98" s="19">
        <v>0</v>
      </c>
      <c r="BI98" s="19">
        <v>0</v>
      </c>
      <c r="BJ98" s="19">
        <v>0</v>
      </c>
      <c r="BK98" s="19">
        <v>0</v>
      </c>
      <c r="BL98" s="20">
        <v>0</v>
      </c>
      <c r="BM98" s="19">
        <v>0</v>
      </c>
      <c r="BN98" s="19">
        <v>0</v>
      </c>
      <c r="BO98" s="19">
        <v>0</v>
      </c>
      <c r="BP98" s="19">
        <v>0</v>
      </c>
      <c r="BQ98" s="19">
        <v>0</v>
      </c>
    </row>
    <row r="99" spans="1:69" ht="12" customHeight="1" outlineLevel="1">
      <c r="A99" s="91" t="s">
        <v>145</v>
      </c>
      <c r="B99" s="87" t="s">
        <v>146</v>
      </c>
      <c r="C99" s="19"/>
      <c r="D99" s="21">
        <v>536</v>
      </c>
      <c r="E99" s="21">
        <v>537</v>
      </c>
      <c r="F99" s="21">
        <v>532</v>
      </c>
      <c r="G99" s="21">
        <v>528</v>
      </c>
      <c r="H99" s="21">
        <v>513</v>
      </c>
      <c r="I99" s="21">
        <v>529</v>
      </c>
      <c r="J99" s="21">
        <v>512</v>
      </c>
      <c r="K99" s="21">
        <v>552</v>
      </c>
      <c r="L99" s="21">
        <v>490</v>
      </c>
      <c r="M99" s="21">
        <v>496</v>
      </c>
      <c r="N99" s="62">
        <v>526</v>
      </c>
      <c r="O99" s="62">
        <v>487</v>
      </c>
      <c r="P99" s="62">
        <v>586</v>
      </c>
      <c r="Q99" s="62">
        <v>548</v>
      </c>
      <c r="R99" s="62">
        <v>542</v>
      </c>
      <c r="S99" s="62">
        <v>1707</v>
      </c>
      <c r="T99" s="62">
        <v>1742</v>
      </c>
      <c r="U99" s="62">
        <v>1823</v>
      </c>
      <c r="V99" s="62">
        <v>599</v>
      </c>
      <c r="W99" s="62">
        <v>603</v>
      </c>
      <c r="X99" s="62">
        <v>695</v>
      </c>
      <c r="Y99" s="62">
        <v>721</v>
      </c>
      <c r="Z99" s="62">
        <v>281</v>
      </c>
      <c r="AA99" s="62">
        <v>303</v>
      </c>
      <c r="AB99" s="62">
        <v>350</v>
      </c>
      <c r="AC99" s="62">
        <v>245</v>
      </c>
      <c r="AD99" s="62">
        <v>350</v>
      </c>
      <c r="AE99" s="62">
        <v>951</v>
      </c>
      <c r="AF99" s="62">
        <v>487</v>
      </c>
      <c r="AG99" s="57">
        <v>515</v>
      </c>
      <c r="AH99" s="41">
        <v>515</v>
      </c>
      <c r="AI99" s="41">
        <v>515</v>
      </c>
      <c r="AJ99" s="41">
        <v>515</v>
      </c>
      <c r="AK99" s="41">
        <v>515</v>
      </c>
      <c r="AL99" s="41">
        <v>515</v>
      </c>
      <c r="AM99" s="41">
        <v>515</v>
      </c>
      <c r="AN99" s="41">
        <v>515</v>
      </c>
      <c r="AO99" s="41">
        <v>515</v>
      </c>
      <c r="AP99" s="41">
        <v>515</v>
      </c>
      <c r="AQ99" s="41">
        <v>515</v>
      </c>
      <c r="AR99" s="19"/>
      <c r="AS99" s="21">
        <v>1254</v>
      </c>
      <c r="AT99" s="21">
        <v>1239</v>
      </c>
      <c r="AU99" s="21">
        <v>1248</v>
      </c>
      <c r="AV99" s="21">
        <v>1232</v>
      </c>
      <c r="AW99" s="21">
        <v>896</v>
      </c>
      <c r="AX99" s="19">
        <v>537</v>
      </c>
      <c r="AY99" s="19">
        <v>528</v>
      </c>
      <c r="AZ99" s="19">
        <v>529</v>
      </c>
      <c r="BA99" s="19">
        <v>552</v>
      </c>
      <c r="BB99" s="19">
        <v>496</v>
      </c>
      <c r="BC99" s="19">
        <v>487</v>
      </c>
      <c r="BD99" s="19">
        <v>548</v>
      </c>
      <c r="BE99" s="19">
        <v>1707</v>
      </c>
      <c r="BF99" s="19">
        <v>1823</v>
      </c>
      <c r="BG99" s="19">
        <v>603</v>
      </c>
      <c r="BH99" s="19">
        <v>721</v>
      </c>
      <c r="BI99" s="19">
        <v>303</v>
      </c>
      <c r="BJ99" s="19">
        <v>245</v>
      </c>
      <c r="BK99" s="19">
        <v>951</v>
      </c>
      <c r="BL99" s="20">
        <v>515</v>
      </c>
      <c r="BM99" s="19">
        <v>515</v>
      </c>
      <c r="BN99" s="19">
        <v>515</v>
      </c>
      <c r="BO99" s="19">
        <v>515</v>
      </c>
      <c r="BP99" s="19">
        <v>515</v>
      </c>
      <c r="BQ99" s="19">
        <v>515</v>
      </c>
    </row>
    <row r="100" spans="1:69" s="9" customFormat="1" ht="12" customHeight="1" outlineLevel="1">
      <c r="A100" s="91" t="s">
        <v>147</v>
      </c>
      <c r="B100" s="16" t="s">
        <v>148</v>
      </c>
      <c r="C100" s="17"/>
      <c r="D100" s="17">
        <v>11220</v>
      </c>
      <c r="E100" s="17">
        <v>11769</v>
      </c>
      <c r="F100" s="17">
        <v>11593</v>
      </c>
      <c r="G100" s="17">
        <v>11932</v>
      </c>
      <c r="H100" s="17">
        <v>11764</v>
      </c>
      <c r="I100" s="17">
        <v>11732</v>
      </c>
      <c r="J100" s="17">
        <v>11499</v>
      </c>
      <c r="K100" s="17">
        <v>11955</v>
      </c>
      <c r="L100" s="17">
        <v>12719</v>
      </c>
      <c r="M100" s="17">
        <v>11914</v>
      </c>
      <c r="N100" s="17">
        <v>12216</v>
      </c>
      <c r="O100" s="17">
        <v>14396</v>
      </c>
      <c r="P100" s="17">
        <v>15217</v>
      </c>
      <c r="Q100" s="17">
        <v>15664</v>
      </c>
      <c r="R100" s="17">
        <v>15463</v>
      </c>
      <c r="S100" s="17">
        <v>17270</v>
      </c>
      <c r="T100" s="17">
        <v>17099</v>
      </c>
      <c r="U100" s="17">
        <v>18180</v>
      </c>
      <c r="V100" s="17">
        <v>17159</v>
      </c>
      <c r="W100" s="17">
        <v>18364</v>
      </c>
      <c r="X100" s="17">
        <v>20312</v>
      </c>
      <c r="Y100" s="17">
        <v>21784</v>
      </c>
      <c r="Z100" s="17">
        <v>20789</v>
      </c>
      <c r="AA100" s="17">
        <v>22351</v>
      </c>
      <c r="AB100" s="17">
        <v>24414</v>
      </c>
      <c r="AC100" s="17">
        <v>28806</v>
      </c>
      <c r="AD100" s="17">
        <v>31687</v>
      </c>
      <c r="AE100" s="17">
        <v>34106</v>
      </c>
      <c r="AF100" s="17">
        <v>33138</v>
      </c>
      <c r="AG100" s="18">
        <v>33996</v>
      </c>
      <c r="AH100" s="17">
        <v>33809.661065327906</v>
      </c>
      <c r="AI100" s="17">
        <v>34174.549007915812</v>
      </c>
      <c r="AJ100" s="17">
        <v>34796.961029076287</v>
      </c>
      <c r="AK100" s="17">
        <v>35909.483927727582</v>
      </c>
      <c r="AL100" s="17">
        <v>36442.817006611076</v>
      </c>
      <c r="AM100" s="17">
        <v>37700.452295554191</v>
      </c>
      <c r="AN100" s="17">
        <v>38276.332403981287</v>
      </c>
      <c r="AO100" s="17">
        <v>39593.474577204899</v>
      </c>
      <c r="AP100" s="17">
        <v>40208.46621908497</v>
      </c>
      <c r="AQ100" s="17">
        <v>41597.426662937127</v>
      </c>
      <c r="AR100" s="17"/>
      <c r="AS100" s="17">
        <v>4425</v>
      </c>
      <c r="AT100" s="17">
        <v>5337</v>
      </c>
      <c r="AU100" s="17">
        <v>7519</v>
      </c>
      <c r="AV100" s="17">
        <v>10061</v>
      </c>
      <c r="AW100" s="17">
        <v>9560</v>
      </c>
      <c r="AX100" s="17">
        <v>11769</v>
      </c>
      <c r="AY100" s="17">
        <v>11932</v>
      </c>
      <c r="AZ100" s="17">
        <v>11732</v>
      </c>
      <c r="BA100" s="17">
        <v>11955</v>
      </c>
      <c r="BB100" s="17">
        <v>11914</v>
      </c>
      <c r="BC100" s="17">
        <v>14396</v>
      </c>
      <c r="BD100" s="17">
        <v>15664</v>
      </c>
      <c r="BE100" s="17">
        <v>17270</v>
      </c>
      <c r="BF100" s="17">
        <v>18180</v>
      </c>
      <c r="BG100" s="17">
        <v>18364</v>
      </c>
      <c r="BH100" s="17">
        <v>21784</v>
      </c>
      <c r="BI100" s="17">
        <v>22351</v>
      </c>
      <c r="BJ100" s="17">
        <v>28806</v>
      </c>
      <c r="BK100" s="17">
        <v>34106</v>
      </c>
      <c r="BL100" s="18">
        <v>33996</v>
      </c>
      <c r="BM100" s="17">
        <v>34174.549007915812</v>
      </c>
      <c r="BN100" s="17">
        <v>35909.483927727582</v>
      </c>
      <c r="BO100" s="17">
        <v>37700.452295554191</v>
      </c>
      <c r="BP100" s="17">
        <v>39593.474577204899</v>
      </c>
      <c r="BQ100" s="17">
        <v>41597.426662937127</v>
      </c>
    </row>
    <row r="101" spans="1:69" ht="12" customHeight="1" outlineLevel="1">
      <c r="B101" s="87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279"/>
      <c r="Z101" s="279"/>
      <c r="AA101" s="19"/>
      <c r="AB101" s="19"/>
      <c r="AC101" s="19"/>
      <c r="AD101" s="19"/>
      <c r="AE101" s="19"/>
      <c r="AF101" s="19"/>
      <c r="AG101" s="20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36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20"/>
      <c r="BM101" s="19"/>
      <c r="BN101" s="19"/>
      <c r="BO101" s="19"/>
      <c r="BP101" s="19"/>
      <c r="BQ101" s="19"/>
    </row>
    <row r="102" spans="1:69" s="9" customFormat="1" ht="12" customHeight="1" outlineLevel="1">
      <c r="A102" s="91" t="s">
        <v>149</v>
      </c>
      <c r="B102" s="16" t="s">
        <v>150</v>
      </c>
      <c r="C102" s="17"/>
      <c r="D102" s="22">
        <v>338.29878381126701</v>
      </c>
      <c r="E102" s="22">
        <v>350.05518710595891</v>
      </c>
      <c r="F102" s="22">
        <v>351.43512405938577</v>
      </c>
      <c r="G102" s="22">
        <v>352.66927089688829</v>
      </c>
      <c r="H102" s="22">
        <v>354.16415700630466</v>
      </c>
      <c r="I102" s="22">
        <v>354.46856111450069</v>
      </c>
      <c r="J102" s="22">
        <v>344.73165649786455</v>
      </c>
      <c r="K102" s="22">
        <v>345.23752084604433</v>
      </c>
      <c r="L102" s="22">
        <v>345.62541793776694</v>
      </c>
      <c r="M102" s="22">
        <v>321.07474999999999</v>
      </c>
      <c r="N102" s="22">
        <v>321.20299399999999</v>
      </c>
      <c r="O102" s="22">
        <v>333.45777700000002</v>
      </c>
      <c r="P102" s="22">
        <v>333.53196000000003</v>
      </c>
      <c r="Q102" s="22">
        <v>340.30238900000001</v>
      </c>
      <c r="R102" s="22">
        <v>340.33847400000002</v>
      </c>
      <c r="S102" s="22">
        <v>340.35173099999997</v>
      </c>
      <c r="T102" s="22">
        <v>340.35790300000002</v>
      </c>
      <c r="U102" s="22">
        <v>340.36482000000001</v>
      </c>
      <c r="V102" s="22">
        <v>340.38273800000002</v>
      </c>
      <c r="W102" s="22">
        <v>340.38273800000002</v>
      </c>
      <c r="X102" s="22">
        <v>354.37646699999999</v>
      </c>
      <c r="Y102" s="22">
        <v>354.381396</v>
      </c>
      <c r="Z102" s="22">
        <v>361.50362699999999</v>
      </c>
      <c r="AA102" s="22">
        <v>361.82137699999998</v>
      </c>
      <c r="AB102" s="22">
        <v>368.82316900000001</v>
      </c>
      <c r="AC102" s="22">
        <v>383.64763699999997</v>
      </c>
      <c r="AD102" s="22">
        <v>386.47675400000003</v>
      </c>
      <c r="AE102" s="22">
        <v>386.47675400000003</v>
      </c>
      <c r="AF102" s="22">
        <v>386.47675400000003</v>
      </c>
      <c r="AG102" s="23">
        <v>382.96253300000001</v>
      </c>
      <c r="AH102" s="17">
        <v>379.80503208163429</v>
      </c>
      <c r="AI102" s="17">
        <v>376.47392558817143</v>
      </c>
      <c r="AJ102" s="17">
        <v>376.47392558817143</v>
      </c>
      <c r="AK102" s="17">
        <v>376.47392558817143</v>
      </c>
      <c r="AL102" s="17">
        <v>376.47392558817143</v>
      </c>
      <c r="AM102" s="17">
        <v>376.47392558817143</v>
      </c>
      <c r="AN102" s="17">
        <v>376.47392558817143</v>
      </c>
      <c r="AO102" s="17">
        <v>376.47392558817143</v>
      </c>
      <c r="AP102" s="17">
        <v>376.47392558817143</v>
      </c>
      <c r="AQ102" s="17">
        <v>376.47392558817143</v>
      </c>
      <c r="AR102" s="17"/>
      <c r="AS102" s="22">
        <v>227.45941834451901</v>
      </c>
      <c r="AT102" s="22">
        <v>236.36401159243439</v>
      </c>
      <c r="AU102" s="22">
        <v>258.22778625177955</v>
      </c>
      <c r="AV102" s="22">
        <v>279.20565385397595</v>
      </c>
      <c r="AW102" s="22">
        <v>288.2224933902786</v>
      </c>
      <c r="AX102" s="17">
        <v>350.05518710595891</v>
      </c>
      <c r="AY102" s="17">
        <v>352.66927089688829</v>
      </c>
      <c r="AZ102" s="17">
        <v>354.46856111450069</v>
      </c>
      <c r="BA102" s="17">
        <v>345.23752084604433</v>
      </c>
      <c r="BB102" s="17">
        <v>321.07474999999999</v>
      </c>
      <c r="BC102" s="17">
        <v>333.45777700000002</v>
      </c>
      <c r="BD102" s="17">
        <v>340.30238900000001</v>
      </c>
      <c r="BE102" s="17">
        <v>340.35173099999997</v>
      </c>
      <c r="BF102" s="17">
        <v>340.36482000000001</v>
      </c>
      <c r="BG102" s="17">
        <v>340.38273800000002</v>
      </c>
      <c r="BH102" s="17">
        <v>354.381396</v>
      </c>
      <c r="BI102" s="17">
        <v>361.82137699999998</v>
      </c>
      <c r="BJ102" s="17">
        <v>383.64763699999997</v>
      </c>
      <c r="BK102" s="17">
        <v>386.47675400000003</v>
      </c>
      <c r="BL102" s="18">
        <v>382.96253300000001</v>
      </c>
      <c r="BM102" s="17">
        <v>376.47392558817143</v>
      </c>
      <c r="BN102" s="17">
        <v>376.47392558817143</v>
      </c>
      <c r="BO102" s="17">
        <v>376.47392558817143</v>
      </c>
      <c r="BP102" s="17">
        <v>376.47392558817143</v>
      </c>
      <c r="BQ102" s="17">
        <v>376.47392558817143</v>
      </c>
    </row>
    <row r="103" spans="1:69" ht="12" customHeight="1" outlineLevel="1">
      <c r="A103" s="91" t="s">
        <v>151</v>
      </c>
      <c r="B103" s="87" t="s">
        <v>152</v>
      </c>
      <c r="C103" s="19"/>
      <c r="D103" s="21">
        <v>324.26276388041487</v>
      </c>
      <c r="E103" s="21">
        <v>342.63776794793569</v>
      </c>
      <c r="F103" s="21">
        <v>339.57677547284925</v>
      </c>
      <c r="G103" s="21">
        <v>338.20679886109411</v>
      </c>
      <c r="H103" s="21">
        <v>333.57198088265204</v>
      </c>
      <c r="I103" s="21">
        <v>331.56548403498061</v>
      </c>
      <c r="J103" s="21">
        <v>322.95040166768354</v>
      </c>
      <c r="K103" s="21">
        <v>316.59724120398613</v>
      </c>
      <c r="L103" s="21">
        <v>315.13245983323162</v>
      </c>
      <c r="M103" s="21">
        <v>302.08156700000001</v>
      </c>
      <c r="N103" s="21">
        <v>295.35898400000002</v>
      </c>
      <c r="O103" s="21">
        <v>300.88885699999997</v>
      </c>
      <c r="P103" s="21">
        <v>310.60417100000001</v>
      </c>
      <c r="Q103" s="21">
        <v>319.251239</v>
      </c>
      <c r="R103" s="21">
        <v>321.03969499999999</v>
      </c>
      <c r="S103" s="21">
        <v>321.24613299999999</v>
      </c>
      <c r="T103" s="21">
        <v>322.12424800000002</v>
      </c>
      <c r="U103" s="21">
        <v>322.81053800000001</v>
      </c>
      <c r="V103" s="21">
        <v>323.71719200000001</v>
      </c>
      <c r="W103" s="21">
        <v>324.57027827426595</v>
      </c>
      <c r="X103" s="21">
        <v>326.43939499999999</v>
      </c>
      <c r="Y103" s="62">
        <v>340.23750345208504</v>
      </c>
      <c r="Z103" s="62">
        <v>344.42484999999999</v>
      </c>
      <c r="AA103" s="62">
        <v>347.31068648266097</v>
      </c>
      <c r="AB103" s="62">
        <v>351.66793000000001</v>
      </c>
      <c r="AC103" s="62">
        <v>365.37429900000001</v>
      </c>
      <c r="AD103" s="62">
        <v>370.13653099999999</v>
      </c>
      <c r="AE103" s="62">
        <v>372.813086</v>
      </c>
      <c r="AF103" s="62">
        <v>370.28655600000002</v>
      </c>
      <c r="AG103" s="57">
        <v>368.65180854950677</v>
      </c>
      <c r="AH103" s="19">
        <v>365.45526998837539</v>
      </c>
      <c r="AI103" s="19">
        <v>362.34646478729877</v>
      </c>
      <c r="AJ103" s="19">
        <v>360.75047345434501</v>
      </c>
      <c r="AK103" s="19">
        <v>360.75047345434501</v>
      </c>
      <c r="AL103" s="19">
        <v>360.75047345434501</v>
      </c>
      <c r="AM103" s="19">
        <v>360.75047345434501</v>
      </c>
      <c r="AN103" s="19">
        <v>360.75047345434501</v>
      </c>
      <c r="AO103" s="19">
        <v>360.75047345434501</v>
      </c>
      <c r="AP103" s="19">
        <v>360.75047345434501</v>
      </c>
      <c r="AQ103" s="19">
        <v>360.75047345434501</v>
      </c>
      <c r="AR103" s="19"/>
      <c r="AS103" s="21">
        <v>223.40666056538541</v>
      </c>
      <c r="AT103" s="21">
        <v>232.70337095790114</v>
      </c>
      <c r="AU103" s="21">
        <v>251.48819808826519</v>
      </c>
      <c r="AV103" s="21">
        <v>273.39327842180188</v>
      </c>
      <c r="AW103" s="21">
        <v>286.12295098637378</v>
      </c>
      <c r="AX103" s="21">
        <v>333.4432621517185</v>
      </c>
      <c r="AY103" s="21">
        <v>344.07095179987795</v>
      </c>
      <c r="AZ103" s="21">
        <v>332.53481492780151</v>
      </c>
      <c r="BA103" s="21">
        <v>319.82793268252999</v>
      </c>
      <c r="BB103" s="21">
        <v>306.08165700000001</v>
      </c>
      <c r="BC103" s="21">
        <v>298.05655400000001</v>
      </c>
      <c r="BD103" s="21">
        <v>315.07742000000002</v>
      </c>
      <c r="BE103" s="21">
        <v>321.14715999999999</v>
      </c>
      <c r="BF103" s="21">
        <v>322.47566</v>
      </c>
      <c r="BG103" s="21">
        <v>324.00468599999999</v>
      </c>
      <c r="BH103" s="21">
        <v>333.23437699999999</v>
      </c>
      <c r="BI103" s="21">
        <v>345.94075900000001</v>
      </c>
      <c r="BJ103" s="21">
        <v>358.49600600000002</v>
      </c>
      <c r="BK103" s="21">
        <v>370.47358700000001</v>
      </c>
      <c r="BL103" s="24">
        <v>369.31511599999999</v>
      </c>
      <c r="BM103" s="25">
        <v>363.89660875057535</v>
      </c>
      <c r="BN103" s="25">
        <v>360.75047345434507</v>
      </c>
      <c r="BO103" s="25">
        <v>360.75047345434507</v>
      </c>
      <c r="BP103" s="25">
        <v>360.75047345434501</v>
      </c>
      <c r="BQ103" s="25">
        <v>360.75047345434507</v>
      </c>
    </row>
    <row r="104" spans="1:69" ht="12" customHeight="1" outlineLevel="1">
      <c r="A104" s="91" t="s">
        <v>153</v>
      </c>
      <c r="B104" s="87" t="s">
        <v>154</v>
      </c>
      <c r="C104" s="19"/>
      <c r="D104" s="21">
        <v>336.48707952003252</v>
      </c>
      <c r="E104" s="21">
        <v>356.03950172869634</v>
      </c>
      <c r="F104" s="21">
        <v>359.61972035794184</v>
      </c>
      <c r="G104" s="21">
        <v>358.66743136058568</v>
      </c>
      <c r="H104" s="21">
        <v>338.5682702867602</v>
      </c>
      <c r="I104" s="21">
        <v>344.13505287777099</v>
      </c>
      <c r="J104" s="21">
        <v>347.72450884685787</v>
      </c>
      <c r="K104" s="21">
        <v>359.88887431360581</v>
      </c>
      <c r="L104" s="21">
        <v>358.56912344925763</v>
      </c>
      <c r="M104" s="21">
        <v>342.027467</v>
      </c>
      <c r="N104" s="21">
        <v>330.89344</v>
      </c>
      <c r="O104" s="21">
        <v>337.71861000000001</v>
      </c>
      <c r="P104" s="21">
        <v>347.10364600000003</v>
      </c>
      <c r="Q104" s="21">
        <v>359.59904799999998</v>
      </c>
      <c r="R104" s="21">
        <v>356.96730300000002</v>
      </c>
      <c r="S104" s="21">
        <v>357.065988</v>
      </c>
      <c r="T104" s="21">
        <v>354.26104800000002</v>
      </c>
      <c r="U104" s="21">
        <v>351.41311000000002</v>
      </c>
      <c r="V104" s="21">
        <v>346.40675299999998</v>
      </c>
      <c r="W104" s="21">
        <v>355.8586472850788</v>
      </c>
      <c r="X104" s="21">
        <v>359.92869200000001</v>
      </c>
      <c r="Y104" s="62">
        <v>377.24550898203591</v>
      </c>
      <c r="Z104" s="62">
        <v>372.29918800000002</v>
      </c>
      <c r="AA104" s="62">
        <v>380.95238095238096</v>
      </c>
      <c r="AB104" s="62">
        <v>381.40612399999998</v>
      </c>
      <c r="AC104" s="62">
        <v>397.96090199999998</v>
      </c>
      <c r="AD104" s="62">
        <v>405.55321500000002</v>
      </c>
      <c r="AE104" s="62">
        <v>411.17868900000002</v>
      </c>
      <c r="AF104" s="62">
        <v>380.99517400000002</v>
      </c>
      <c r="AG104" s="57">
        <v>380.41085840058696</v>
      </c>
      <c r="AH104" s="19">
        <v>377.21431983945558</v>
      </c>
      <c r="AI104" s="19">
        <v>374.10551463837902</v>
      </c>
      <c r="AJ104" s="19">
        <v>372.50952330542526</v>
      </c>
      <c r="AK104" s="19">
        <v>372.50952330542526</v>
      </c>
      <c r="AL104" s="19">
        <v>372.50952330542526</v>
      </c>
      <c r="AM104" s="19">
        <v>372.50952330542526</v>
      </c>
      <c r="AN104" s="19">
        <v>372.50952330542526</v>
      </c>
      <c r="AO104" s="19">
        <v>372.50952330542526</v>
      </c>
      <c r="AP104" s="19">
        <v>372.50952330542526</v>
      </c>
      <c r="AQ104" s="19">
        <v>372.50952330542526</v>
      </c>
      <c r="AR104" s="19"/>
      <c r="AS104" s="21">
        <v>228.66351128737034</v>
      </c>
      <c r="AT104" s="21">
        <v>243.67638804148871</v>
      </c>
      <c r="AU104" s="21">
        <v>261.08914887126292</v>
      </c>
      <c r="AV104" s="21">
        <v>280.53486678869228</v>
      </c>
      <c r="AW104" s="21">
        <v>287.09284421395159</v>
      </c>
      <c r="AX104" s="21">
        <v>346.59679886109416</v>
      </c>
      <c r="AY104" s="21">
        <v>365.31292658124875</v>
      </c>
      <c r="AZ104" s="21">
        <v>345.26540471832413</v>
      </c>
      <c r="BA104" s="21">
        <v>362.36942139515963</v>
      </c>
      <c r="BB104" s="21">
        <v>345.89343300000002</v>
      </c>
      <c r="BC104" s="21">
        <v>332.29247900000001</v>
      </c>
      <c r="BD104" s="21">
        <v>354.11880200000002</v>
      </c>
      <c r="BE104" s="21">
        <v>355.60108700000001</v>
      </c>
      <c r="BF104" s="21">
        <v>351.05674900000002</v>
      </c>
      <c r="BG104" s="21">
        <v>351.22592600000002</v>
      </c>
      <c r="BH104" s="21">
        <v>370.55994700000002</v>
      </c>
      <c r="BI104" s="21">
        <v>375.44849499999998</v>
      </c>
      <c r="BJ104" s="21">
        <v>388.82599699999997</v>
      </c>
      <c r="BK104" s="21">
        <v>406.59170999999998</v>
      </c>
      <c r="BL104" s="24">
        <v>380.620993</v>
      </c>
      <c r="BM104" s="25">
        <v>375.65565860165555</v>
      </c>
      <c r="BN104" s="25">
        <v>372.50952330542532</v>
      </c>
      <c r="BO104" s="25">
        <v>372.50952330542532</v>
      </c>
      <c r="BP104" s="25">
        <v>372.50952330542526</v>
      </c>
      <c r="BQ104" s="25">
        <v>372.50952330542532</v>
      </c>
    </row>
    <row r="105" spans="1:69" ht="12" customHeight="1" outlineLevel="1">
      <c r="A105" s="91" t="s">
        <v>155</v>
      </c>
      <c r="B105" s="87" t="s">
        <v>156</v>
      </c>
      <c r="C105" s="19"/>
      <c r="D105" s="21">
        <v>16</v>
      </c>
      <c r="E105" s="21">
        <v>16</v>
      </c>
      <c r="F105" s="21">
        <v>16</v>
      </c>
      <c r="G105" s="21">
        <v>17</v>
      </c>
      <c r="H105" s="21">
        <v>0</v>
      </c>
      <c r="I105" s="21">
        <v>0</v>
      </c>
      <c r="J105" s="21">
        <v>6</v>
      </c>
      <c r="K105" s="21">
        <v>48</v>
      </c>
      <c r="L105" s="21">
        <v>46</v>
      </c>
      <c r="M105" s="21">
        <v>57</v>
      </c>
      <c r="N105" s="62">
        <v>48</v>
      </c>
      <c r="O105" s="62">
        <v>64</v>
      </c>
      <c r="P105" s="62">
        <v>68</v>
      </c>
      <c r="Q105" s="62">
        <v>106</v>
      </c>
      <c r="R105" s="62">
        <v>87</v>
      </c>
      <c r="S105" s="62">
        <v>93</v>
      </c>
      <c r="T105" s="62">
        <v>83</v>
      </c>
      <c r="U105" s="62">
        <v>82</v>
      </c>
      <c r="V105" s="62">
        <v>70</v>
      </c>
      <c r="W105" s="62">
        <v>102</v>
      </c>
      <c r="X105" s="62">
        <v>106</v>
      </c>
      <c r="Y105" s="62">
        <v>91</v>
      </c>
      <c r="Z105" s="62">
        <v>63</v>
      </c>
      <c r="AA105" s="62">
        <v>117</v>
      </c>
      <c r="AB105" s="62">
        <v>102</v>
      </c>
      <c r="AC105" s="62">
        <v>128</v>
      </c>
      <c r="AD105" s="62">
        <v>140</v>
      </c>
      <c r="AE105" s="62">
        <v>202</v>
      </c>
      <c r="AF105" s="62">
        <v>28</v>
      </c>
      <c r="AG105" s="57">
        <v>56</v>
      </c>
      <c r="AH105" s="58">
        <v>56</v>
      </c>
      <c r="AI105" s="58">
        <v>56</v>
      </c>
      <c r="AJ105" s="58">
        <v>56</v>
      </c>
      <c r="AK105" s="58">
        <v>56</v>
      </c>
      <c r="AL105" s="58">
        <v>56</v>
      </c>
      <c r="AM105" s="58">
        <v>56</v>
      </c>
      <c r="AN105" s="58">
        <v>56</v>
      </c>
      <c r="AO105" s="58">
        <v>56</v>
      </c>
      <c r="AP105" s="58">
        <v>56</v>
      </c>
      <c r="AQ105" s="58">
        <v>56</v>
      </c>
      <c r="AR105" s="19"/>
      <c r="AS105" s="21">
        <v>0</v>
      </c>
      <c r="AT105" s="21">
        <v>0</v>
      </c>
      <c r="AU105" s="21">
        <v>0</v>
      </c>
      <c r="AV105" s="21">
        <v>0</v>
      </c>
      <c r="AW105" s="21">
        <v>0</v>
      </c>
      <c r="AX105" s="21">
        <v>32</v>
      </c>
      <c r="AY105" s="21">
        <v>35</v>
      </c>
      <c r="AZ105" s="21">
        <v>0</v>
      </c>
      <c r="BA105" s="21">
        <v>87</v>
      </c>
      <c r="BB105" s="25">
        <v>103</v>
      </c>
      <c r="BC105" s="25">
        <v>112</v>
      </c>
      <c r="BD105" s="25">
        <v>174</v>
      </c>
      <c r="BE105" s="25">
        <v>180</v>
      </c>
      <c r="BF105" s="25">
        <v>165</v>
      </c>
      <c r="BG105" s="19">
        <v>172</v>
      </c>
      <c r="BH105" s="19">
        <v>197</v>
      </c>
      <c r="BI105" s="19">
        <v>180</v>
      </c>
      <c r="BJ105" s="19">
        <v>230</v>
      </c>
      <c r="BK105" s="19">
        <v>342</v>
      </c>
      <c r="BL105" s="20">
        <v>84</v>
      </c>
      <c r="BM105" s="19">
        <v>112</v>
      </c>
      <c r="BN105" s="19">
        <v>112</v>
      </c>
      <c r="BO105" s="19">
        <v>112</v>
      </c>
      <c r="BP105" s="19">
        <v>112</v>
      </c>
      <c r="BQ105" s="19">
        <v>112</v>
      </c>
    </row>
    <row r="106" spans="1:69" ht="12" customHeight="1" outlineLevel="1">
      <c r="A106" s="91" t="s">
        <v>1332</v>
      </c>
      <c r="B106" s="87" t="s">
        <v>1333</v>
      </c>
      <c r="C106" s="19"/>
      <c r="D106" s="21">
        <v>0</v>
      </c>
      <c r="E106" s="21">
        <v>0</v>
      </c>
      <c r="F106" s="21">
        <v>-5</v>
      </c>
      <c r="G106" s="21">
        <v>-10</v>
      </c>
      <c r="H106" s="21">
        <v>-21</v>
      </c>
      <c r="I106" s="21">
        <v>-22</v>
      </c>
      <c r="J106" s="21">
        <v>-26</v>
      </c>
      <c r="K106" s="21">
        <v>-35</v>
      </c>
      <c r="L106" s="21">
        <v>-37</v>
      </c>
      <c r="M106" s="21">
        <v>-54</v>
      </c>
      <c r="N106" s="62">
        <v>-48</v>
      </c>
      <c r="O106" s="62">
        <v>-59</v>
      </c>
      <c r="P106" s="62">
        <v>-62</v>
      </c>
      <c r="Q106" s="62">
        <v>-50</v>
      </c>
      <c r="R106" s="62">
        <v>-49</v>
      </c>
      <c r="S106" s="62">
        <v>-56</v>
      </c>
      <c r="T106" s="62">
        <v>-55</v>
      </c>
      <c r="U106" s="62">
        <v>-58</v>
      </c>
      <c r="V106" s="62">
        <v>-53</v>
      </c>
      <c r="W106" s="62">
        <v>-67</v>
      </c>
      <c r="X106" s="62">
        <v>-53</v>
      </c>
      <c r="Y106" s="62">
        <v>-42</v>
      </c>
      <c r="Z106" s="62">
        <v>-32</v>
      </c>
      <c r="AA106" s="62">
        <v>-67</v>
      </c>
      <c r="AB106" s="62">
        <v>-65</v>
      </c>
      <c r="AC106" s="62">
        <v>-82</v>
      </c>
      <c r="AD106" s="62">
        <v>-72</v>
      </c>
      <c r="AE106" s="62">
        <v>-96</v>
      </c>
      <c r="AF106" s="62">
        <v>-48</v>
      </c>
      <c r="AG106" s="57">
        <v>-89</v>
      </c>
      <c r="AH106" s="58">
        <v>-89</v>
      </c>
      <c r="AI106" s="58">
        <v>-89</v>
      </c>
      <c r="AJ106" s="58">
        <v>-89</v>
      </c>
      <c r="AK106" s="58">
        <v>-89</v>
      </c>
      <c r="AL106" s="58">
        <v>-89</v>
      </c>
      <c r="AM106" s="58">
        <v>-89</v>
      </c>
      <c r="AN106" s="58">
        <v>-89</v>
      </c>
      <c r="AO106" s="58">
        <v>-89</v>
      </c>
      <c r="AP106" s="58">
        <v>-89</v>
      </c>
      <c r="AQ106" s="58">
        <v>-89</v>
      </c>
      <c r="AR106" s="19"/>
      <c r="AS106" s="21">
        <v>0</v>
      </c>
      <c r="AT106" s="21">
        <v>0</v>
      </c>
      <c r="AU106" s="21">
        <v>0</v>
      </c>
      <c r="AV106" s="21">
        <v>0</v>
      </c>
      <c r="AW106" s="21">
        <v>0</v>
      </c>
      <c r="AX106" s="21">
        <v>0</v>
      </c>
      <c r="AY106" s="21">
        <v>0</v>
      </c>
      <c r="AZ106" s="21">
        <v>-43</v>
      </c>
      <c r="BA106" s="21">
        <v>-61</v>
      </c>
      <c r="BB106" s="25">
        <v>-91</v>
      </c>
      <c r="BC106" s="25">
        <v>-107</v>
      </c>
      <c r="BD106" s="25">
        <v>-112</v>
      </c>
      <c r="BE106" s="25">
        <v>-105</v>
      </c>
      <c r="BF106" s="25">
        <v>-113</v>
      </c>
      <c r="BG106" s="19">
        <v>-120</v>
      </c>
      <c r="BH106" s="19">
        <v>-95</v>
      </c>
      <c r="BI106" s="19">
        <v>-99</v>
      </c>
      <c r="BJ106" s="19">
        <v>-147</v>
      </c>
      <c r="BK106" s="19">
        <v>-168</v>
      </c>
      <c r="BL106" s="20">
        <v>-137</v>
      </c>
      <c r="BM106" s="19">
        <v>-178</v>
      </c>
      <c r="BN106" s="19">
        <v>-178</v>
      </c>
      <c r="BO106" s="19">
        <v>-178</v>
      </c>
      <c r="BP106" s="19">
        <v>-178</v>
      </c>
      <c r="BQ106" s="19">
        <v>-178</v>
      </c>
    </row>
    <row r="107" spans="1:69" ht="12" customHeight="1"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62"/>
      <c r="AE107" s="62"/>
      <c r="AF107" s="62"/>
      <c r="AG107" s="57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</row>
    <row r="108" spans="1:69" s="9" customFormat="1" ht="12" customHeight="1">
      <c r="A108" s="91" t="s">
        <v>578</v>
      </c>
      <c r="B108" s="2" t="s">
        <v>157</v>
      </c>
      <c r="C108" s="2"/>
      <c r="D108" s="93">
        <v>73000</v>
      </c>
      <c r="E108" s="93">
        <v>76100</v>
      </c>
      <c r="F108" s="93">
        <v>86200</v>
      </c>
      <c r="G108" s="93">
        <v>88300</v>
      </c>
      <c r="H108" s="93">
        <v>91600</v>
      </c>
      <c r="I108" s="93">
        <v>86200</v>
      </c>
      <c r="J108" s="93">
        <v>88400</v>
      </c>
      <c r="K108" s="93">
        <v>87600</v>
      </c>
      <c r="L108" s="93">
        <v>93800</v>
      </c>
      <c r="M108" s="93">
        <v>92600</v>
      </c>
      <c r="N108" s="93">
        <v>97900</v>
      </c>
      <c r="O108" s="93">
        <v>113200</v>
      </c>
      <c r="P108" s="93">
        <v>123700</v>
      </c>
      <c r="Q108" s="93">
        <v>130800</v>
      </c>
      <c r="R108" s="93">
        <v>122400</v>
      </c>
      <c r="S108" s="93">
        <v>120800</v>
      </c>
      <c r="T108" s="93">
        <v>123900</v>
      </c>
      <c r="U108" s="93">
        <v>128800</v>
      </c>
      <c r="V108" s="93">
        <v>134400</v>
      </c>
      <c r="W108" s="93">
        <v>140500</v>
      </c>
      <c r="X108" s="93">
        <v>146400</v>
      </c>
      <c r="Y108" s="93">
        <v>161600</v>
      </c>
      <c r="Z108" s="93">
        <v>172500</v>
      </c>
      <c r="AA108" s="93">
        <v>186400</v>
      </c>
      <c r="AB108" s="93">
        <v>224900</v>
      </c>
      <c r="AC108" s="93">
        <v>265900</v>
      </c>
      <c r="AD108" s="93">
        <v>306500</v>
      </c>
      <c r="AE108" s="93">
        <v>309000</v>
      </c>
      <c r="AF108" s="93">
        <v>317000</v>
      </c>
      <c r="AG108" s="94">
        <v>330100</v>
      </c>
      <c r="AH108" s="93">
        <v>342125.43801652896</v>
      </c>
      <c r="AI108" s="93">
        <v>354662.66512396699</v>
      </c>
      <c r="AJ108" s="93">
        <v>362393.11127520667</v>
      </c>
      <c r="AK108" s="93">
        <v>370307.7569294587</v>
      </c>
      <c r="AL108" s="93">
        <v>378411.15019441076</v>
      </c>
      <c r="AM108" s="93">
        <v>386707.95332374243</v>
      </c>
      <c r="AN108" s="93">
        <v>395202.94560557074</v>
      </c>
      <c r="AO108" s="93">
        <v>403901.02632436651</v>
      </c>
      <c r="AP108" s="93">
        <v>412807.21779821604</v>
      </c>
      <c r="AQ108" s="93">
        <v>421926.66849335557</v>
      </c>
      <c r="AR108" s="93"/>
      <c r="AS108" s="93">
        <v>0</v>
      </c>
      <c r="AT108" s="93">
        <v>0</v>
      </c>
      <c r="AU108" s="93">
        <v>0</v>
      </c>
      <c r="AV108" s="93">
        <v>82500</v>
      </c>
      <c r="AW108" s="93">
        <v>78400</v>
      </c>
      <c r="AX108" s="93">
        <v>76100</v>
      </c>
      <c r="AY108" s="93">
        <v>88300</v>
      </c>
      <c r="AZ108" s="93">
        <v>86200</v>
      </c>
      <c r="BA108" s="93">
        <v>87600</v>
      </c>
      <c r="BB108" s="93">
        <v>92600</v>
      </c>
      <c r="BC108" s="93">
        <v>113200</v>
      </c>
      <c r="BD108" s="93">
        <v>130800</v>
      </c>
      <c r="BE108" s="93">
        <v>120800</v>
      </c>
      <c r="BF108" s="93">
        <v>128800</v>
      </c>
      <c r="BG108" s="93">
        <v>140500</v>
      </c>
      <c r="BH108" s="93">
        <v>161600</v>
      </c>
      <c r="BI108" s="93">
        <v>186400</v>
      </c>
      <c r="BJ108" s="93">
        <v>265900</v>
      </c>
      <c r="BK108" s="93">
        <v>309000</v>
      </c>
      <c r="BL108" s="94">
        <v>330100</v>
      </c>
      <c r="BM108" s="93">
        <v>354662.66512396699</v>
      </c>
      <c r="BN108" s="93">
        <v>370307.7569294587</v>
      </c>
      <c r="BO108" s="93">
        <v>386707.95332374243</v>
      </c>
      <c r="BP108" s="93">
        <v>403901.02632436651</v>
      </c>
      <c r="BQ108" s="93">
        <v>421926.66849335557</v>
      </c>
    </row>
    <row r="109" spans="1:69" ht="12" customHeight="1" outlineLevel="1"/>
    <row r="110" spans="1:69" ht="12" customHeight="1" outlineLevel="1">
      <c r="B110" s="9" t="s">
        <v>162</v>
      </c>
      <c r="N110" s="19"/>
      <c r="O110" s="19"/>
    </row>
    <row r="111" spans="1:69" ht="12" customHeight="1" outlineLevel="1">
      <c r="A111" s="91" t="s">
        <v>1053</v>
      </c>
      <c r="B111" s="1" t="s">
        <v>163</v>
      </c>
      <c r="D111" s="21">
        <v>26700</v>
      </c>
      <c r="E111" s="21">
        <v>22200</v>
      </c>
      <c r="F111" s="21">
        <v>26500</v>
      </c>
      <c r="G111" s="21">
        <v>26000</v>
      </c>
      <c r="H111" s="21">
        <v>28000</v>
      </c>
      <c r="I111" s="21">
        <v>23200</v>
      </c>
      <c r="J111" s="21">
        <v>22600</v>
      </c>
      <c r="K111" s="21">
        <v>19800</v>
      </c>
      <c r="L111" s="21">
        <v>21500</v>
      </c>
      <c r="M111" s="21">
        <v>19100</v>
      </c>
      <c r="N111" s="21">
        <v>21200</v>
      </c>
      <c r="O111" s="21">
        <v>25700</v>
      </c>
      <c r="P111" s="21">
        <v>28200</v>
      </c>
      <c r="Q111" s="21">
        <v>30400</v>
      </c>
      <c r="R111" s="21">
        <v>20400</v>
      </c>
      <c r="S111" s="21">
        <v>21700</v>
      </c>
      <c r="T111" s="21">
        <v>24600</v>
      </c>
      <c r="U111" s="21">
        <v>25400</v>
      </c>
      <c r="V111" s="21">
        <v>23500</v>
      </c>
      <c r="W111" s="21">
        <v>26300</v>
      </c>
      <c r="X111" s="21">
        <v>23700</v>
      </c>
      <c r="Y111" s="21">
        <v>38900</v>
      </c>
      <c r="Z111" s="21">
        <v>38400</v>
      </c>
      <c r="AA111" s="21">
        <v>55600</v>
      </c>
      <c r="AB111" s="21">
        <v>57900</v>
      </c>
      <c r="AC111" s="21">
        <v>93800</v>
      </c>
      <c r="AD111" s="21">
        <v>101000</v>
      </c>
      <c r="AE111" s="21">
        <v>85400</v>
      </c>
      <c r="AF111" s="21">
        <v>86600</v>
      </c>
      <c r="AG111" s="24">
        <v>76800</v>
      </c>
      <c r="AH111" s="19">
        <v>79656.198347107449</v>
      </c>
      <c r="AI111" s="19">
        <v>82634.927603305798</v>
      </c>
      <c r="AJ111" s="19">
        <v>84438.576079338847</v>
      </c>
      <c r="AK111" s="19">
        <v>86284.693520132234</v>
      </c>
      <c r="AL111" s="19">
        <v>88174.315427333553</v>
      </c>
      <c r="AM111" s="19">
        <v>90108.502927906884</v>
      </c>
      <c r="AN111" s="19">
        <v>92088.343412143426</v>
      </c>
      <c r="AO111" s="19">
        <v>94114.951187596293</v>
      </c>
      <c r="AP111" s="19">
        <v>96189.468149336957</v>
      </c>
      <c r="AQ111" s="19">
        <v>98313.064466941665</v>
      </c>
      <c r="AS111" s="21"/>
      <c r="AT111" s="21"/>
      <c r="AU111" s="21"/>
      <c r="AV111" s="21">
        <v>20800</v>
      </c>
      <c r="AW111" s="21">
        <v>30300</v>
      </c>
      <c r="AX111" s="19">
        <v>22200</v>
      </c>
      <c r="AY111" s="19">
        <v>26000</v>
      </c>
      <c r="AZ111" s="19">
        <v>23200</v>
      </c>
      <c r="BA111" s="19">
        <v>19800</v>
      </c>
      <c r="BB111" s="19">
        <v>19100</v>
      </c>
      <c r="BC111" s="19">
        <v>25700</v>
      </c>
      <c r="BD111" s="19">
        <v>30400</v>
      </c>
      <c r="BE111" s="19">
        <v>21700</v>
      </c>
      <c r="BF111" s="19">
        <v>25400</v>
      </c>
      <c r="BG111" s="19">
        <v>26300</v>
      </c>
      <c r="BH111" s="19">
        <v>38900</v>
      </c>
      <c r="BI111" s="19">
        <v>55600</v>
      </c>
      <c r="BJ111" s="19">
        <v>93800</v>
      </c>
      <c r="BK111" s="19">
        <v>85400</v>
      </c>
      <c r="BL111" s="20">
        <v>76800</v>
      </c>
      <c r="BM111" s="19">
        <v>82634.927603305798</v>
      </c>
      <c r="BN111" s="19">
        <v>86284.693520132234</v>
      </c>
      <c r="BO111" s="19">
        <v>90108.502927906884</v>
      </c>
      <c r="BP111" s="19">
        <v>94114.951187596293</v>
      </c>
      <c r="BQ111" s="19">
        <v>98313.064466941665</v>
      </c>
    </row>
    <row r="112" spans="1:69" ht="12" customHeight="1" outlineLevel="1">
      <c r="A112" s="91" t="s">
        <v>1075</v>
      </c>
      <c r="B112" s="1" t="s">
        <v>164</v>
      </c>
      <c r="D112" s="21">
        <v>0</v>
      </c>
      <c r="E112" s="21">
        <v>0</v>
      </c>
      <c r="F112" s="21">
        <v>0</v>
      </c>
      <c r="G112" s="21">
        <v>0</v>
      </c>
      <c r="H112" s="21">
        <v>0</v>
      </c>
      <c r="I112" s="21">
        <v>3000</v>
      </c>
      <c r="J112" s="21">
        <v>4500</v>
      </c>
      <c r="K112" s="21">
        <v>6200</v>
      </c>
      <c r="L112" s="21">
        <v>6200</v>
      </c>
      <c r="M112" s="21">
        <v>7400</v>
      </c>
      <c r="N112" s="21">
        <v>7900</v>
      </c>
      <c r="O112" s="21">
        <v>9500</v>
      </c>
      <c r="P112" s="21">
        <v>10400</v>
      </c>
      <c r="Q112" s="21">
        <v>13900</v>
      </c>
      <c r="R112" s="21">
        <v>15400</v>
      </c>
      <c r="S112" s="21">
        <v>16500</v>
      </c>
      <c r="T112" s="21">
        <v>16700</v>
      </c>
      <c r="U112" s="21">
        <v>15500</v>
      </c>
      <c r="V112" s="21">
        <v>17200</v>
      </c>
      <c r="W112" s="21">
        <v>21100</v>
      </c>
      <c r="X112" s="21">
        <v>23600</v>
      </c>
      <c r="Y112" s="21">
        <v>23500</v>
      </c>
      <c r="Z112" s="21">
        <v>13700</v>
      </c>
      <c r="AA112" s="21">
        <v>0</v>
      </c>
      <c r="AB112" s="21">
        <v>15500</v>
      </c>
      <c r="AC112" s="21">
        <v>0</v>
      </c>
      <c r="AD112" s="21">
        <v>0</v>
      </c>
      <c r="AE112" s="21">
        <v>0</v>
      </c>
      <c r="AF112" s="21">
        <v>0</v>
      </c>
      <c r="AG112" s="24">
        <v>0</v>
      </c>
      <c r="AH112" s="19">
        <v>0</v>
      </c>
      <c r="AI112" s="19">
        <v>0</v>
      </c>
      <c r="AJ112" s="19">
        <v>0</v>
      </c>
      <c r="AK112" s="19">
        <v>0</v>
      </c>
      <c r="AL112" s="19">
        <v>0</v>
      </c>
      <c r="AM112" s="19">
        <v>0</v>
      </c>
      <c r="AN112" s="19">
        <v>0</v>
      </c>
      <c r="AO112" s="19">
        <v>0</v>
      </c>
      <c r="AP112" s="19">
        <v>0</v>
      </c>
      <c r="AQ112" s="19">
        <v>0</v>
      </c>
      <c r="AS112" s="21"/>
      <c r="AT112" s="21"/>
      <c r="AU112" s="21"/>
      <c r="AV112" s="21">
        <v>0</v>
      </c>
      <c r="AW112" s="21">
        <v>0</v>
      </c>
      <c r="AX112" s="19">
        <v>0</v>
      </c>
      <c r="AY112" s="19">
        <v>0</v>
      </c>
      <c r="AZ112" s="19">
        <v>3000</v>
      </c>
      <c r="BA112" s="19">
        <v>6200</v>
      </c>
      <c r="BB112" s="19">
        <v>7400</v>
      </c>
      <c r="BC112" s="19">
        <v>9500</v>
      </c>
      <c r="BD112" s="19">
        <v>13900</v>
      </c>
      <c r="BE112" s="19">
        <v>16500</v>
      </c>
      <c r="BF112" s="19">
        <v>15500</v>
      </c>
      <c r="BG112" s="19">
        <v>21100</v>
      </c>
      <c r="BH112" s="19">
        <v>23500</v>
      </c>
      <c r="BI112" s="19">
        <v>0</v>
      </c>
      <c r="BJ112" s="19">
        <v>0</v>
      </c>
      <c r="BK112" s="19">
        <v>0</v>
      </c>
      <c r="BL112" s="20">
        <v>0</v>
      </c>
      <c r="BM112" s="19">
        <v>0</v>
      </c>
      <c r="BN112" s="19">
        <v>0</v>
      </c>
      <c r="BO112" s="19">
        <v>0</v>
      </c>
      <c r="BP112" s="19">
        <v>0</v>
      </c>
      <c r="BQ112" s="19">
        <v>0</v>
      </c>
    </row>
    <row r="113" spans="1:69" ht="12" customHeight="1" outlineLevel="1">
      <c r="A113" s="91" t="s">
        <v>1074</v>
      </c>
      <c r="B113" s="1" t="s">
        <v>165</v>
      </c>
      <c r="D113" s="21">
        <v>9300</v>
      </c>
      <c r="E113" s="21">
        <v>12700</v>
      </c>
      <c r="F113" s="21">
        <v>14400</v>
      </c>
      <c r="G113" s="21">
        <v>15000</v>
      </c>
      <c r="H113" s="21">
        <v>14500</v>
      </c>
      <c r="I113" s="21">
        <v>15900</v>
      </c>
      <c r="J113" s="21">
        <v>16100</v>
      </c>
      <c r="K113" s="21">
        <v>15100</v>
      </c>
      <c r="L113" s="21">
        <v>15100</v>
      </c>
      <c r="M113" s="21">
        <v>16700</v>
      </c>
      <c r="N113" s="21">
        <v>16600</v>
      </c>
      <c r="O113" s="21">
        <v>21500</v>
      </c>
      <c r="P113" s="21">
        <v>23300</v>
      </c>
      <c r="Q113" s="21">
        <v>21100</v>
      </c>
      <c r="R113" s="21">
        <v>23800</v>
      </c>
      <c r="S113" s="21">
        <v>22100</v>
      </c>
      <c r="T113" s="21">
        <v>18100</v>
      </c>
      <c r="U113" s="21">
        <v>17900</v>
      </c>
      <c r="V113" s="21">
        <v>19300</v>
      </c>
      <c r="W113" s="21">
        <v>21300</v>
      </c>
      <c r="X113" s="21">
        <v>27900</v>
      </c>
      <c r="Y113" s="21">
        <v>23200</v>
      </c>
      <c r="Z113" s="21">
        <v>26900</v>
      </c>
      <c r="AA113" s="21">
        <v>25600</v>
      </c>
      <c r="AB113" s="21">
        <v>31600</v>
      </c>
      <c r="AC113" s="21">
        <v>27100</v>
      </c>
      <c r="AD113" s="21">
        <v>36100</v>
      </c>
      <c r="AE113" s="21">
        <v>42900</v>
      </c>
      <c r="AF113" s="21">
        <v>38400</v>
      </c>
      <c r="AG113" s="24">
        <v>50400</v>
      </c>
      <c r="AH113" s="19">
        <v>52274.380165289258</v>
      </c>
      <c r="AI113" s="19">
        <v>54229.171239669435</v>
      </c>
      <c r="AJ113" s="19">
        <v>55412.815552066131</v>
      </c>
      <c r="AK113" s="19">
        <v>56624.330122586791</v>
      </c>
      <c r="AL113" s="19">
        <v>57864.394499187656</v>
      </c>
      <c r="AM113" s="19">
        <v>59133.705046438903</v>
      </c>
      <c r="AN113" s="19">
        <v>60432.975364219143</v>
      </c>
      <c r="AO113" s="19">
        <v>61762.936716860095</v>
      </c>
      <c r="AP113" s="19">
        <v>63124.338473002412</v>
      </c>
      <c r="AQ113" s="19">
        <v>64517.948556430507</v>
      </c>
      <c r="AS113" s="21"/>
      <c r="AT113" s="21"/>
      <c r="AU113" s="21"/>
      <c r="AV113" s="21">
        <v>12200</v>
      </c>
      <c r="AW113" s="21">
        <v>9100</v>
      </c>
      <c r="AX113" s="19">
        <v>12700</v>
      </c>
      <c r="AY113" s="19">
        <v>15000</v>
      </c>
      <c r="AZ113" s="19">
        <v>15900</v>
      </c>
      <c r="BA113" s="19">
        <v>15100</v>
      </c>
      <c r="BB113" s="19">
        <v>16700</v>
      </c>
      <c r="BC113" s="19">
        <v>21500</v>
      </c>
      <c r="BD113" s="19">
        <v>21100</v>
      </c>
      <c r="BE113" s="19">
        <v>22100</v>
      </c>
      <c r="BF113" s="19">
        <v>17900</v>
      </c>
      <c r="BG113" s="19">
        <v>21300</v>
      </c>
      <c r="BH113" s="19">
        <v>23200</v>
      </c>
      <c r="BI113" s="19">
        <v>25600</v>
      </c>
      <c r="BJ113" s="19">
        <v>27100</v>
      </c>
      <c r="BK113" s="19">
        <v>42900</v>
      </c>
      <c r="BL113" s="20">
        <v>50400</v>
      </c>
      <c r="BM113" s="19">
        <v>54229.171239669435</v>
      </c>
      <c r="BN113" s="19">
        <v>56624.330122586791</v>
      </c>
      <c r="BO113" s="19">
        <v>59133.705046438903</v>
      </c>
      <c r="BP113" s="19">
        <v>61762.936716860095</v>
      </c>
      <c r="BQ113" s="19">
        <v>64517.948556430507</v>
      </c>
    </row>
    <row r="114" spans="1:69" ht="12" customHeight="1" outlineLevel="1">
      <c r="A114" s="91" t="s">
        <v>1054</v>
      </c>
      <c r="B114" s="1" t="s">
        <v>166</v>
      </c>
      <c r="D114" s="21">
        <v>5900</v>
      </c>
      <c r="E114" s="21">
        <v>7200</v>
      </c>
      <c r="F114" s="21">
        <v>7900</v>
      </c>
      <c r="G114" s="21">
        <v>7600</v>
      </c>
      <c r="H114" s="21">
        <v>8500</v>
      </c>
      <c r="I114" s="21">
        <v>7700</v>
      </c>
      <c r="J114" s="21">
        <v>9200</v>
      </c>
      <c r="K114" s="21">
        <v>9900</v>
      </c>
      <c r="L114" s="21">
        <v>12000</v>
      </c>
      <c r="M114" s="21">
        <v>11900</v>
      </c>
      <c r="N114" s="21">
        <v>11200</v>
      </c>
      <c r="O114" s="21">
        <v>11200</v>
      </c>
      <c r="P114" s="21">
        <v>11000</v>
      </c>
      <c r="Q114" s="21">
        <v>13100</v>
      </c>
      <c r="R114" s="21">
        <v>14900</v>
      </c>
      <c r="S114" s="21">
        <v>13900</v>
      </c>
      <c r="T114" s="21">
        <v>13800</v>
      </c>
      <c r="U114" s="21">
        <v>14400</v>
      </c>
      <c r="V114" s="21">
        <v>15200</v>
      </c>
      <c r="W114" s="21">
        <v>13900</v>
      </c>
      <c r="X114" s="21">
        <v>13600</v>
      </c>
      <c r="Y114" s="21">
        <v>13400</v>
      </c>
      <c r="Z114" s="21">
        <v>11700</v>
      </c>
      <c r="AA114" s="21">
        <v>11400</v>
      </c>
      <c r="AB114" s="21">
        <v>11900</v>
      </c>
      <c r="AC114" s="21">
        <v>13200</v>
      </c>
      <c r="AD114" s="21">
        <v>12600</v>
      </c>
      <c r="AE114" s="21">
        <v>14700</v>
      </c>
      <c r="AF114" s="21">
        <v>13900</v>
      </c>
      <c r="AG114" s="24">
        <v>14600</v>
      </c>
      <c r="AH114" s="19">
        <v>15142.975206611573</v>
      </c>
      <c r="AI114" s="19">
        <v>15709.24404958678</v>
      </c>
      <c r="AJ114" s="19">
        <v>16052.125140082646</v>
      </c>
      <c r="AK114" s="19">
        <v>16403.079757733471</v>
      </c>
      <c r="AL114" s="19">
        <v>16762.304755717054</v>
      </c>
      <c r="AM114" s="19">
        <v>17130.00185869063</v>
      </c>
      <c r="AN114" s="19">
        <v>17506.377784079352</v>
      </c>
      <c r="AO114" s="19">
        <v>17891.644366392007</v>
      </c>
      <c r="AP114" s="19">
        <v>18286.018684639585</v>
      </c>
      <c r="AQ114" s="19">
        <v>18689.723192934231</v>
      </c>
      <c r="AS114" s="21"/>
      <c r="AT114" s="21"/>
      <c r="AU114" s="21"/>
      <c r="AV114" s="21">
        <v>12500</v>
      </c>
      <c r="AW114" s="21">
        <v>5800</v>
      </c>
      <c r="AX114" s="19">
        <v>7200</v>
      </c>
      <c r="AY114" s="19">
        <v>7600</v>
      </c>
      <c r="AZ114" s="19">
        <v>7700</v>
      </c>
      <c r="BA114" s="19">
        <v>9900</v>
      </c>
      <c r="BB114" s="19">
        <v>11900</v>
      </c>
      <c r="BC114" s="19">
        <v>11200</v>
      </c>
      <c r="BD114" s="19">
        <v>13100</v>
      </c>
      <c r="BE114" s="19">
        <v>13900</v>
      </c>
      <c r="BF114" s="19">
        <v>14400</v>
      </c>
      <c r="BG114" s="19">
        <v>13900</v>
      </c>
      <c r="BH114" s="19">
        <v>13400</v>
      </c>
      <c r="BI114" s="19">
        <v>11400</v>
      </c>
      <c r="BJ114" s="19">
        <v>13200</v>
      </c>
      <c r="BK114" s="19">
        <v>14700</v>
      </c>
      <c r="BL114" s="20">
        <v>14600</v>
      </c>
      <c r="BM114" s="19">
        <v>15709.24404958678</v>
      </c>
      <c r="BN114" s="19">
        <v>16403.079757733471</v>
      </c>
      <c r="BO114" s="19">
        <v>17130.00185869063</v>
      </c>
      <c r="BP114" s="19">
        <v>17891.644366392007</v>
      </c>
      <c r="BQ114" s="19">
        <v>18689.723192934231</v>
      </c>
    </row>
    <row r="115" spans="1:69" ht="12" customHeight="1" outlineLevel="1">
      <c r="A115" s="91" t="s">
        <v>1055</v>
      </c>
      <c r="B115" s="1" t="s">
        <v>167</v>
      </c>
      <c r="D115" s="21">
        <v>19400</v>
      </c>
      <c r="E115" s="21">
        <v>22300</v>
      </c>
      <c r="F115" s="21">
        <v>24200</v>
      </c>
      <c r="G115" s="21">
        <v>28600</v>
      </c>
      <c r="H115" s="21">
        <v>28100</v>
      </c>
      <c r="I115" s="21">
        <v>26700</v>
      </c>
      <c r="J115" s="21">
        <v>26500</v>
      </c>
      <c r="K115" s="21">
        <v>26800</v>
      </c>
      <c r="L115" s="21">
        <v>27700</v>
      </c>
      <c r="M115" s="21">
        <v>27900</v>
      </c>
      <c r="N115" s="21">
        <v>30800</v>
      </c>
      <c r="O115" s="21">
        <v>34600</v>
      </c>
      <c r="P115" s="21">
        <v>39900</v>
      </c>
      <c r="Q115" s="21">
        <v>42100</v>
      </c>
      <c r="R115" s="21">
        <v>37900</v>
      </c>
      <c r="S115" s="21">
        <v>37100</v>
      </c>
      <c r="T115" s="21">
        <v>39600</v>
      </c>
      <c r="U115" s="21">
        <v>45400</v>
      </c>
      <c r="V115" s="21">
        <v>48200</v>
      </c>
      <c r="W115" s="21">
        <v>47300</v>
      </c>
      <c r="X115" s="21">
        <v>44000</v>
      </c>
      <c r="Y115" s="21">
        <v>49600</v>
      </c>
      <c r="Z115" s="21">
        <v>70900</v>
      </c>
      <c r="AA115" s="21">
        <v>83300</v>
      </c>
      <c r="AB115" s="21">
        <v>94700</v>
      </c>
      <c r="AC115" s="21">
        <v>118500</v>
      </c>
      <c r="AD115" s="21">
        <v>138200</v>
      </c>
      <c r="AE115" s="21">
        <v>148800</v>
      </c>
      <c r="AF115" s="21">
        <v>158700</v>
      </c>
      <c r="AG115" s="24">
        <v>166900</v>
      </c>
      <c r="AH115" s="19">
        <v>173107.02479338844</v>
      </c>
      <c r="AI115" s="19">
        <v>179580.33095041325</v>
      </c>
      <c r="AJ115" s="19">
        <v>183499.97848491737</v>
      </c>
      <c r="AK115" s="19">
        <v>187511.91860039154</v>
      </c>
      <c r="AL115" s="19">
        <v>191618.40162528606</v>
      </c>
      <c r="AM115" s="19">
        <v>195821.73357640181</v>
      </c>
      <c r="AN115" s="19">
        <v>200124.27754540025</v>
      </c>
      <c r="AO115" s="19">
        <v>204528.45511991958</v>
      </c>
      <c r="AP115" s="19">
        <v>209036.74784016071</v>
      </c>
      <c r="AQ115" s="19">
        <v>213651.69869183033</v>
      </c>
      <c r="AS115" s="21"/>
      <c r="AT115" s="21"/>
      <c r="AU115" s="21"/>
      <c r="AV115" s="21">
        <v>17600</v>
      </c>
      <c r="AW115" s="21">
        <v>19500</v>
      </c>
      <c r="AX115" s="19">
        <v>22300</v>
      </c>
      <c r="AY115" s="19">
        <v>28600</v>
      </c>
      <c r="AZ115" s="19">
        <v>26700</v>
      </c>
      <c r="BA115" s="19">
        <v>26800</v>
      </c>
      <c r="BB115" s="19">
        <v>27900</v>
      </c>
      <c r="BC115" s="19">
        <v>34600</v>
      </c>
      <c r="BD115" s="19">
        <v>42100</v>
      </c>
      <c r="BE115" s="19">
        <v>37100</v>
      </c>
      <c r="BF115" s="19">
        <v>45400</v>
      </c>
      <c r="BG115" s="19">
        <v>47300</v>
      </c>
      <c r="BH115" s="19">
        <v>49600</v>
      </c>
      <c r="BI115" s="19">
        <v>83300</v>
      </c>
      <c r="BJ115" s="19">
        <v>118500</v>
      </c>
      <c r="BK115" s="19">
        <v>148800</v>
      </c>
      <c r="BL115" s="20">
        <v>166900</v>
      </c>
      <c r="BM115" s="19">
        <v>179580.33095041325</v>
      </c>
      <c r="BN115" s="19">
        <v>187511.91860039154</v>
      </c>
      <c r="BO115" s="19">
        <v>195821.73357640181</v>
      </c>
      <c r="BP115" s="19">
        <v>204528.45511991958</v>
      </c>
      <c r="BQ115" s="19">
        <v>213651.69869183033</v>
      </c>
    </row>
    <row r="116" spans="1:69" ht="12" customHeight="1" outlineLevel="1">
      <c r="A116" s="91" t="s">
        <v>1056</v>
      </c>
      <c r="B116" s="1" t="s">
        <v>168</v>
      </c>
      <c r="D116" s="21">
        <v>2600</v>
      </c>
      <c r="E116" s="21">
        <v>2800</v>
      </c>
      <c r="F116" s="21">
        <v>3400</v>
      </c>
      <c r="G116" s="21">
        <v>2800</v>
      </c>
      <c r="H116" s="21">
        <v>3600</v>
      </c>
      <c r="I116" s="21">
        <v>2500</v>
      </c>
      <c r="J116" s="21">
        <v>2000</v>
      </c>
      <c r="K116" s="21">
        <v>2300</v>
      </c>
      <c r="L116" s="21">
        <v>2900</v>
      </c>
      <c r="M116" s="21">
        <v>3100</v>
      </c>
      <c r="N116" s="62">
        <v>3600</v>
      </c>
      <c r="O116" s="62">
        <v>3700</v>
      </c>
      <c r="P116" s="62">
        <v>2900</v>
      </c>
      <c r="Q116" s="62">
        <v>2700</v>
      </c>
      <c r="R116" s="62">
        <v>2700</v>
      </c>
      <c r="S116" s="62">
        <v>2300</v>
      </c>
      <c r="T116" s="62">
        <v>1700</v>
      </c>
      <c r="U116" s="62">
        <v>1700</v>
      </c>
      <c r="V116" s="62">
        <v>1800</v>
      </c>
      <c r="W116" s="62">
        <v>1700</v>
      </c>
      <c r="X116" s="62">
        <v>1700</v>
      </c>
      <c r="Y116" s="62">
        <v>1900</v>
      </c>
      <c r="Z116" s="62">
        <v>1500</v>
      </c>
      <c r="AA116" s="62">
        <v>1900</v>
      </c>
      <c r="AB116" s="62">
        <v>2400</v>
      </c>
      <c r="AC116" s="62">
        <v>2500</v>
      </c>
      <c r="AD116" s="62">
        <v>6000</v>
      </c>
      <c r="AE116" s="62">
        <v>4700</v>
      </c>
      <c r="AF116" s="62">
        <v>5000</v>
      </c>
      <c r="AG116" s="57">
        <v>4700</v>
      </c>
      <c r="AH116" s="58">
        <v>4700</v>
      </c>
      <c r="AI116" s="58">
        <v>4700</v>
      </c>
      <c r="AJ116" s="58">
        <v>4700</v>
      </c>
      <c r="AK116" s="58">
        <v>4700</v>
      </c>
      <c r="AL116" s="58">
        <v>4700</v>
      </c>
      <c r="AM116" s="58">
        <v>4700</v>
      </c>
      <c r="AN116" s="58">
        <v>4700</v>
      </c>
      <c r="AO116" s="58">
        <v>4700</v>
      </c>
      <c r="AP116" s="58">
        <v>4700</v>
      </c>
      <c r="AQ116" s="58">
        <v>4700</v>
      </c>
      <c r="AS116" s="21"/>
      <c r="AT116" s="21"/>
      <c r="AU116" s="21"/>
      <c r="AV116" s="21">
        <v>2600</v>
      </c>
      <c r="AW116" s="21">
        <v>1200</v>
      </c>
      <c r="AX116" s="19">
        <v>2800</v>
      </c>
      <c r="AY116" s="19">
        <v>2800</v>
      </c>
      <c r="AZ116" s="19">
        <v>2500</v>
      </c>
      <c r="BA116" s="19">
        <v>2300</v>
      </c>
      <c r="BB116" s="19">
        <v>3100</v>
      </c>
      <c r="BC116" s="19">
        <v>3700</v>
      </c>
      <c r="BD116" s="19">
        <v>2700</v>
      </c>
      <c r="BE116" s="19">
        <v>2300</v>
      </c>
      <c r="BF116" s="19">
        <v>1700</v>
      </c>
      <c r="BG116" s="19">
        <v>1700</v>
      </c>
      <c r="BH116" s="19">
        <v>1900</v>
      </c>
      <c r="BI116" s="19">
        <v>1900</v>
      </c>
      <c r="BJ116" s="19">
        <v>2500</v>
      </c>
      <c r="BK116" s="19">
        <v>4700</v>
      </c>
      <c r="BL116" s="20">
        <v>4700</v>
      </c>
      <c r="BM116" s="19">
        <v>4700</v>
      </c>
      <c r="BN116" s="19">
        <v>4700</v>
      </c>
      <c r="BO116" s="19">
        <v>4700</v>
      </c>
      <c r="BP116" s="19">
        <v>4700</v>
      </c>
      <c r="BQ116" s="19">
        <v>4700</v>
      </c>
    </row>
    <row r="117" spans="1:69" ht="12" customHeight="1" outlineLevel="1">
      <c r="A117" s="91" t="s">
        <v>1071</v>
      </c>
      <c r="B117" s="1" t="s">
        <v>169</v>
      </c>
      <c r="D117" s="21">
        <v>5900</v>
      </c>
      <c r="E117" s="21">
        <v>5600</v>
      </c>
      <c r="F117" s="21">
        <v>5900</v>
      </c>
      <c r="G117" s="21">
        <v>5600</v>
      </c>
      <c r="H117" s="21">
        <v>5900</v>
      </c>
      <c r="I117" s="21">
        <v>5400</v>
      </c>
      <c r="J117" s="21">
        <v>5100</v>
      </c>
      <c r="K117" s="21">
        <v>5500</v>
      </c>
      <c r="L117" s="21">
        <v>6100</v>
      </c>
      <c r="M117" s="21">
        <v>4700</v>
      </c>
      <c r="N117" s="62">
        <v>4700</v>
      </c>
      <c r="O117" s="62">
        <v>5100</v>
      </c>
      <c r="P117" s="62">
        <v>6200</v>
      </c>
      <c r="Q117" s="62">
        <v>5800</v>
      </c>
      <c r="R117" s="62">
        <v>5300</v>
      </c>
      <c r="S117" s="62">
        <v>5500</v>
      </c>
      <c r="T117" s="62">
        <v>7700</v>
      </c>
      <c r="U117" s="62">
        <v>6800</v>
      </c>
      <c r="V117" s="62">
        <v>6300</v>
      </c>
      <c r="W117" s="62">
        <v>5900</v>
      </c>
      <c r="X117" s="62">
        <v>8400</v>
      </c>
      <c r="Y117" s="62">
        <v>7400</v>
      </c>
      <c r="Z117" s="62">
        <v>6300</v>
      </c>
      <c r="AA117" s="62">
        <v>5700</v>
      </c>
      <c r="AB117" s="62">
        <v>6600</v>
      </c>
      <c r="AC117" s="62">
        <v>6300</v>
      </c>
      <c r="AD117" s="62">
        <v>7400</v>
      </c>
      <c r="AE117" s="62">
        <v>7400</v>
      </c>
      <c r="AF117" s="62">
        <v>8500</v>
      </c>
      <c r="AG117" s="57">
        <v>10600</v>
      </c>
      <c r="AH117" s="19">
        <v>10918</v>
      </c>
      <c r="AI117" s="19">
        <v>11245.54</v>
      </c>
      <c r="AJ117" s="19">
        <v>11582.906200000001</v>
      </c>
      <c r="AK117" s="19">
        <v>11930.393386000002</v>
      </c>
      <c r="AL117" s="19">
        <v>12288.305187580003</v>
      </c>
      <c r="AM117" s="19">
        <v>12656.954343207404</v>
      </c>
      <c r="AN117" s="19">
        <v>13036.662973503626</v>
      </c>
      <c r="AO117" s="19">
        <v>13427.762862708736</v>
      </c>
      <c r="AP117" s="19">
        <v>13830.595748589998</v>
      </c>
      <c r="AQ117" s="19">
        <v>14245.513621047699</v>
      </c>
      <c r="AS117" s="21"/>
      <c r="AT117" s="21"/>
      <c r="AU117" s="21"/>
      <c r="AV117" s="21">
        <v>7100</v>
      </c>
      <c r="AW117" s="21">
        <v>7400</v>
      </c>
      <c r="AX117" s="19">
        <v>5600</v>
      </c>
      <c r="AY117" s="19">
        <v>5600</v>
      </c>
      <c r="AZ117" s="19">
        <v>5400</v>
      </c>
      <c r="BA117" s="19">
        <v>5500</v>
      </c>
      <c r="BB117" s="19">
        <v>4700</v>
      </c>
      <c r="BC117" s="19">
        <v>5100</v>
      </c>
      <c r="BD117" s="19">
        <v>5800</v>
      </c>
      <c r="BE117" s="19">
        <v>5500</v>
      </c>
      <c r="BF117" s="19">
        <v>6800</v>
      </c>
      <c r="BG117" s="19">
        <v>5900</v>
      </c>
      <c r="BH117" s="19">
        <v>7400</v>
      </c>
      <c r="BI117" s="19">
        <v>5700</v>
      </c>
      <c r="BJ117" s="19">
        <v>6300</v>
      </c>
      <c r="BK117" s="19">
        <v>7400</v>
      </c>
      <c r="BL117" s="20">
        <v>10600</v>
      </c>
      <c r="BM117" s="19">
        <v>11245.54</v>
      </c>
      <c r="BN117" s="19">
        <v>11930.393386000002</v>
      </c>
      <c r="BO117" s="19">
        <v>12656.954343207404</v>
      </c>
      <c r="BP117" s="19">
        <v>13427.762862708736</v>
      </c>
      <c r="BQ117" s="19">
        <v>14245.513621047699</v>
      </c>
    </row>
    <row r="118" spans="1:69" ht="12" customHeight="1" outlineLevel="1">
      <c r="A118" s="91" t="s">
        <v>1069</v>
      </c>
      <c r="B118" s="1" t="s">
        <v>171</v>
      </c>
      <c r="D118" s="21">
        <v>1400</v>
      </c>
      <c r="E118" s="21">
        <v>1200</v>
      </c>
      <c r="F118" s="21">
        <v>1200</v>
      </c>
      <c r="G118" s="21">
        <v>700</v>
      </c>
      <c r="H118" s="21">
        <v>0</v>
      </c>
      <c r="I118" s="21">
        <v>0</v>
      </c>
      <c r="J118" s="21">
        <v>0</v>
      </c>
      <c r="K118" s="21">
        <v>0</v>
      </c>
      <c r="L118" s="21">
        <v>0</v>
      </c>
      <c r="M118" s="21">
        <v>0</v>
      </c>
      <c r="N118" s="62">
        <v>0</v>
      </c>
      <c r="O118" s="62">
        <v>0</v>
      </c>
      <c r="P118" s="62">
        <v>0</v>
      </c>
      <c r="Q118" s="62">
        <v>0</v>
      </c>
      <c r="R118" s="62">
        <v>0</v>
      </c>
      <c r="S118" s="62">
        <v>0</v>
      </c>
      <c r="T118" s="62">
        <v>0</v>
      </c>
      <c r="U118" s="62">
        <v>0</v>
      </c>
      <c r="V118" s="62">
        <v>0</v>
      </c>
      <c r="W118" s="62">
        <v>0</v>
      </c>
      <c r="X118" s="62">
        <v>0</v>
      </c>
      <c r="Y118" s="62">
        <v>0</v>
      </c>
      <c r="Z118" s="62">
        <v>0</v>
      </c>
      <c r="AA118" s="62">
        <v>0</v>
      </c>
      <c r="AB118" s="62">
        <v>0</v>
      </c>
      <c r="AC118" s="62">
        <v>0</v>
      </c>
      <c r="AD118" s="62">
        <v>0</v>
      </c>
      <c r="AE118" s="62">
        <v>0</v>
      </c>
      <c r="AF118" s="62">
        <v>0</v>
      </c>
      <c r="AG118" s="57">
        <v>0</v>
      </c>
      <c r="AH118" s="58">
        <v>0</v>
      </c>
      <c r="AI118" s="58">
        <v>0</v>
      </c>
      <c r="AJ118" s="58">
        <v>0</v>
      </c>
      <c r="AK118" s="58">
        <v>0</v>
      </c>
      <c r="AL118" s="58">
        <v>0</v>
      </c>
      <c r="AM118" s="58">
        <v>0</v>
      </c>
      <c r="AN118" s="58">
        <v>0</v>
      </c>
      <c r="AO118" s="58">
        <v>0</v>
      </c>
      <c r="AP118" s="58">
        <v>0</v>
      </c>
      <c r="AQ118" s="58">
        <v>0</v>
      </c>
      <c r="AS118" s="21"/>
      <c r="AT118" s="21"/>
      <c r="AU118" s="21"/>
      <c r="AV118" s="21">
        <v>8800</v>
      </c>
      <c r="AW118" s="21">
        <v>3800</v>
      </c>
      <c r="AX118" s="19">
        <v>1200</v>
      </c>
      <c r="AY118" s="19">
        <v>700</v>
      </c>
      <c r="AZ118" s="19">
        <v>0</v>
      </c>
      <c r="BA118" s="19">
        <v>0</v>
      </c>
      <c r="BB118" s="19">
        <v>0</v>
      </c>
      <c r="BC118" s="19">
        <v>0</v>
      </c>
      <c r="BD118" s="19">
        <v>0</v>
      </c>
      <c r="BE118" s="19">
        <v>0</v>
      </c>
      <c r="BF118" s="19">
        <v>0</v>
      </c>
      <c r="BG118" s="19">
        <v>0</v>
      </c>
      <c r="BH118" s="19">
        <v>0</v>
      </c>
      <c r="BI118" s="19">
        <v>0</v>
      </c>
      <c r="BJ118" s="19">
        <v>0</v>
      </c>
      <c r="BK118" s="19">
        <v>0</v>
      </c>
      <c r="BL118" s="20">
        <v>0</v>
      </c>
      <c r="BM118" s="19">
        <v>0</v>
      </c>
      <c r="BN118" s="19">
        <v>0</v>
      </c>
      <c r="BO118" s="19">
        <v>0</v>
      </c>
      <c r="BP118" s="19">
        <v>0</v>
      </c>
      <c r="BQ118" s="19">
        <v>0</v>
      </c>
    </row>
    <row r="119" spans="1:69" ht="12" customHeight="1" outlineLevel="1">
      <c r="A119" s="91" t="s">
        <v>1067</v>
      </c>
      <c r="B119" s="1" t="s">
        <v>172</v>
      </c>
      <c r="D119" s="21">
        <v>0</v>
      </c>
      <c r="E119" s="21">
        <v>0</v>
      </c>
      <c r="F119" s="21">
        <v>0</v>
      </c>
      <c r="G119" s="21">
        <v>0</v>
      </c>
      <c r="H119" s="21">
        <v>0</v>
      </c>
      <c r="I119" s="21">
        <v>0</v>
      </c>
      <c r="J119" s="21">
        <v>0</v>
      </c>
      <c r="K119" s="21">
        <v>0</v>
      </c>
      <c r="L119" s="21">
        <v>0</v>
      </c>
      <c r="M119" s="21">
        <v>0</v>
      </c>
      <c r="N119" s="62">
        <v>0</v>
      </c>
      <c r="O119" s="62">
        <v>0</v>
      </c>
      <c r="P119" s="62">
        <v>0</v>
      </c>
      <c r="Q119" s="62">
        <v>0</v>
      </c>
      <c r="R119" s="62">
        <v>0</v>
      </c>
      <c r="S119" s="62">
        <v>0</v>
      </c>
      <c r="T119" s="62">
        <v>0</v>
      </c>
      <c r="U119" s="62">
        <v>0</v>
      </c>
      <c r="V119" s="62">
        <v>0</v>
      </c>
      <c r="W119" s="62">
        <v>0</v>
      </c>
      <c r="X119" s="62">
        <v>0</v>
      </c>
      <c r="Y119" s="62">
        <v>0</v>
      </c>
      <c r="Z119" s="62">
        <v>0</v>
      </c>
      <c r="AA119" s="62">
        <v>0</v>
      </c>
      <c r="AB119" s="62">
        <v>0</v>
      </c>
      <c r="AC119" s="62">
        <v>0</v>
      </c>
      <c r="AD119" s="62">
        <v>0</v>
      </c>
      <c r="AE119" s="62">
        <v>0</v>
      </c>
      <c r="AF119" s="62">
        <v>0</v>
      </c>
      <c r="AG119" s="57">
        <v>0</v>
      </c>
      <c r="AH119" s="58">
        <v>0</v>
      </c>
      <c r="AI119" s="58">
        <v>0</v>
      </c>
      <c r="AJ119" s="58">
        <v>0</v>
      </c>
      <c r="AK119" s="58">
        <v>0</v>
      </c>
      <c r="AL119" s="58">
        <v>0</v>
      </c>
      <c r="AM119" s="58">
        <v>0</v>
      </c>
      <c r="AN119" s="58">
        <v>0</v>
      </c>
      <c r="AO119" s="58">
        <v>0</v>
      </c>
      <c r="AP119" s="58">
        <v>0</v>
      </c>
      <c r="AQ119" s="58">
        <v>0</v>
      </c>
      <c r="AS119" s="21"/>
      <c r="AT119" s="21"/>
      <c r="AU119" s="21"/>
      <c r="AV119" s="21">
        <v>0</v>
      </c>
      <c r="AW119" s="21">
        <v>0</v>
      </c>
      <c r="AX119" s="19">
        <v>0</v>
      </c>
      <c r="AY119" s="19">
        <v>0</v>
      </c>
      <c r="AZ119" s="19">
        <v>0</v>
      </c>
      <c r="BA119" s="19">
        <v>0</v>
      </c>
      <c r="BB119" s="19">
        <v>0</v>
      </c>
      <c r="BC119" s="19">
        <v>0</v>
      </c>
      <c r="BD119" s="19">
        <v>0</v>
      </c>
      <c r="BE119" s="19">
        <v>0</v>
      </c>
      <c r="BF119" s="19">
        <v>0</v>
      </c>
      <c r="BG119" s="19">
        <v>0</v>
      </c>
      <c r="BH119" s="19">
        <v>0</v>
      </c>
      <c r="BI119" s="19">
        <v>0</v>
      </c>
      <c r="BJ119" s="19">
        <v>0</v>
      </c>
      <c r="BK119" s="19">
        <v>0</v>
      </c>
      <c r="BL119" s="20">
        <v>0</v>
      </c>
      <c r="BM119" s="19">
        <v>0</v>
      </c>
      <c r="BN119" s="19">
        <v>0</v>
      </c>
      <c r="BO119" s="19">
        <v>0</v>
      </c>
      <c r="BP119" s="19">
        <v>0</v>
      </c>
      <c r="BQ119" s="19">
        <v>0</v>
      </c>
    </row>
    <row r="120" spans="1:69" ht="12" customHeight="1" outlineLevel="1">
      <c r="A120" s="91" t="s">
        <v>1068</v>
      </c>
      <c r="B120" s="1" t="s">
        <v>170</v>
      </c>
      <c r="D120" s="21">
        <v>1800</v>
      </c>
      <c r="E120" s="21">
        <v>2100</v>
      </c>
      <c r="F120" s="21">
        <v>2700</v>
      </c>
      <c r="G120" s="21">
        <v>2000</v>
      </c>
      <c r="H120" s="21">
        <v>3000</v>
      </c>
      <c r="I120" s="21">
        <v>1800</v>
      </c>
      <c r="J120" s="21">
        <v>2400</v>
      </c>
      <c r="K120" s="21">
        <v>2000</v>
      </c>
      <c r="L120" s="21">
        <v>2300</v>
      </c>
      <c r="M120" s="21">
        <v>1800</v>
      </c>
      <c r="N120" s="62">
        <v>1900</v>
      </c>
      <c r="O120" s="62">
        <v>1900</v>
      </c>
      <c r="P120" s="62">
        <v>1800</v>
      </c>
      <c r="Q120" s="62">
        <v>1700</v>
      </c>
      <c r="R120" s="62">
        <v>2000</v>
      </c>
      <c r="S120" s="62">
        <v>1700</v>
      </c>
      <c r="T120" s="62">
        <v>1700</v>
      </c>
      <c r="U120" s="62">
        <v>1700</v>
      </c>
      <c r="V120" s="62">
        <v>2900</v>
      </c>
      <c r="W120" s="62">
        <v>3000</v>
      </c>
      <c r="X120" s="62">
        <v>3500</v>
      </c>
      <c r="Y120" s="62">
        <v>3700</v>
      </c>
      <c r="Z120" s="62">
        <v>3100</v>
      </c>
      <c r="AA120" s="62">
        <v>2900</v>
      </c>
      <c r="AB120" s="62">
        <v>4300</v>
      </c>
      <c r="AC120" s="62">
        <v>4500</v>
      </c>
      <c r="AD120" s="62">
        <v>5200</v>
      </c>
      <c r="AE120" s="62">
        <v>5100</v>
      </c>
      <c r="AF120" s="62">
        <v>5900</v>
      </c>
      <c r="AG120" s="57">
        <v>6100</v>
      </c>
      <c r="AH120" s="19">
        <v>6326.8595041322315</v>
      </c>
      <c r="AI120" s="19">
        <v>6563.451280991736</v>
      </c>
      <c r="AJ120" s="19">
        <v>6706.7098188016525</v>
      </c>
      <c r="AK120" s="19">
        <v>6853.3415426146685</v>
      </c>
      <c r="AL120" s="19">
        <v>7003.4286993064388</v>
      </c>
      <c r="AM120" s="19">
        <v>7157.0555710967683</v>
      </c>
      <c r="AN120" s="19">
        <v>7314.3085262249324</v>
      </c>
      <c r="AO120" s="19">
        <v>7475.2760708898086</v>
      </c>
      <c r="AP120" s="19">
        <v>7640.0489024863982</v>
      </c>
      <c r="AQ120" s="19">
        <v>7808.7199641711477</v>
      </c>
      <c r="AS120" s="21"/>
      <c r="AT120" s="21"/>
      <c r="AU120" s="21"/>
      <c r="AV120" s="21">
        <v>900</v>
      </c>
      <c r="AW120" s="21">
        <v>1300</v>
      </c>
      <c r="AX120" s="19">
        <v>2100</v>
      </c>
      <c r="AY120" s="19">
        <v>2000</v>
      </c>
      <c r="AZ120" s="19">
        <v>1800</v>
      </c>
      <c r="BA120" s="19">
        <v>2000</v>
      </c>
      <c r="BB120" s="19">
        <v>1800</v>
      </c>
      <c r="BC120" s="19">
        <v>1900</v>
      </c>
      <c r="BD120" s="19">
        <v>1700</v>
      </c>
      <c r="BE120" s="19">
        <v>1700</v>
      </c>
      <c r="BF120" s="19">
        <v>1700</v>
      </c>
      <c r="BG120" s="19">
        <v>3000</v>
      </c>
      <c r="BH120" s="19">
        <v>3700</v>
      </c>
      <c r="BI120" s="19">
        <v>2900</v>
      </c>
      <c r="BJ120" s="19">
        <v>4500</v>
      </c>
      <c r="BK120" s="19">
        <v>5100</v>
      </c>
      <c r="BL120" s="20">
        <v>6100</v>
      </c>
      <c r="BM120" s="19">
        <v>6563.451280991736</v>
      </c>
      <c r="BN120" s="19">
        <v>6853.3415426146685</v>
      </c>
      <c r="BO120" s="19">
        <v>7157.0555710967683</v>
      </c>
      <c r="BP120" s="19">
        <v>7475.2760708898086</v>
      </c>
      <c r="BQ120" s="19">
        <v>7808.7199641711477</v>
      </c>
    </row>
    <row r="121" spans="1:69" ht="12" hidden="1" customHeight="1" outlineLevel="2">
      <c r="B121" s="1" t="s">
        <v>173</v>
      </c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20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S121" s="21"/>
      <c r="AT121" s="21"/>
      <c r="AU121" s="21"/>
      <c r="AV121" s="21"/>
      <c r="AW121" s="21"/>
      <c r="AX121" s="19">
        <v>0</v>
      </c>
      <c r="AY121" s="19">
        <v>0</v>
      </c>
      <c r="AZ121" s="19">
        <v>0</v>
      </c>
      <c r="BA121" s="19">
        <v>0</v>
      </c>
      <c r="BB121" s="19">
        <v>0</v>
      </c>
      <c r="BC121" s="19">
        <v>0</v>
      </c>
      <c r="BD121" s="19">
        <v>0</v>
      </c>
      <c r="BE121" s="19">
        <v>0</v>
      </c>
      <c r="BF121" s="19">
        <v>0</v>
      </c>
      <c r="BG121" s="19">
        <v>0</v>
      </c>
      <c r="BH121" s="19">
        <v>0</v>
      </c>
      <c r="BI121" s="19">
        <v>0</v>
      </c>
      <c r="BJ121" s="19">
        <v>0</v>
      </c>
      <c r="BK121" s="19">
        <v>0</v>
      </c>
      <c r="BL121" s="20">
        <v>0</v>
      </c>
      <c r="BM121" s="19">
        <v>0</v>
      </c>
      <c r="BN121" s="19">
        <v>0</v>
      </c>
      <c r="BO121" s="19">
        <v>0</v>
      </c>
      <c r="BP121" s="19">
        <v>0</v>
      </c>
      <c r="BQ121" s="19">
        <v>0</v>
      </c>
    </row>
    <row r="122" spans="1:69" ht="12" hidden="1" customHeight="1" outlineLevel="2">
      <c r="B122" s="1" t="s">
        <v>173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20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S122" s="21"/>
      <c r="AT122" s="21"/>
      <c r="AU122" s="21"/>
      <c r="AV122" s="21"/>
      <c r="AW122" s="21"/>
      <c r="AX122" s="19">
        <v>0</v>
      </c>
      <c r="AY122" s="19">
        <v>0</v>
      </c>
      <c r="AZ122" s="19">
        <v>0</v>
      </c>
      <c r="BA122" s="19">
        <v>0</v>
      </c>
      <c r="BB122" s="19">
        <v>0</v>
      </c>
      <c r="BC122" s="19">
        <v>0</v>
      </c>
      <c r="BD122" s="19">
        <v>0</v>
      </c>
      <c r="BE122" s="19">
        <v>0</v>
      </c>
      <c r="BF122" s="19">
        <v>0</v>
      </c>
      <c r="BG122" s="19">
        <v>0</v>
      </c>
      <c r="BH122" s="19">
        <v>0</v>
      </c>
      <c r="BI122" s="19">
        <v>0</v>
      </c>
      <c r="BJ122" s="19">
        <v>0</v>
      </c>
      <c r="BK122" s="19">
        <v>0</v>
      </c>
      <c r="BL122" s="20">
        <v>0</v>
      </c>
      <c r="BM122" s="19">
        <v>0</v>
      </c>
      <c r="BN122" s="19">
        <v>0</v>
      </c>
      <c r="BO122" s="19">
        <v>0</v>
      </c>
      <c r="BP122" s="19">
        <v>0</v>
      </c>
      <c r="BQ122" s="19">
        <v>0</v>
      </c>
    </row>
    <row r="123" spans="1:69" ht="12" hidden="1" customHeight="1" outlineLevel="2">
      <c r="B123" s="1" t="s">
        <v>173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20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S123" s="21"/>
      <c r="AT123" s="21"/>
      <c r="AU123" s="21"/>
      <c r="AV123" s="21"/>
      <c r="AW123" s="21"/>
      <c r="AX123" s="19">
        <v>0</v>
      </c>
      <c r="AY123" s="19">
        <v>0</v>
      </c>
      <c r="AZ123" s="19">
        <v>0</v>
      </c>
      <c r="BA123" s="19">
        <v>0</v>
      </c>
      <c r="BB123" s="19">
        <v>0</v>
      </c>
      <c r="BC123" s="19">
        <v>0</v>
      </c>
      <c r="BD123" s="19">
        <v>0</v>
      </c>
      <c r="BE123" s="19">
        <v>0</v>
      </c>
      <c r="BF123" s="19">
        <v>0</v>
      </c>
      <c r="BG123" s="19">
        <v>0</v>
      </c>
      <c r="BH123" s="19">
        <v>0</v>
      </c>
      <c r="BI123" s="19">
        <v>0</v>
      </c>
      <c r="BJ123" s="19">
        <v>0</v>
      </c>
      <c r="BK123" s="19">
        <v>0</v>
      </c>
      <c r="BL123" s="20">
        <v>0</v>
      </c>
      <c r="BM123" s="19">
        <v>0</v>
      </c>
      <c r="BN123" s="19">
        <v>0</v>
      </c>
      <c r="BO123" s="19">
        <v>0</v>
      </c>
      <c r="BP123" s="19">
        <v>0</v>
      </c>
      <c r="BQ123" s="19">
        <v>0</v>
      </c>
    </row>
    <row r="124" spans="1:69" ht="12" hidden="1" customHeight="1" outlineLevel="2">
      <c r="B124" s="1" t="s">
        <v>173</v>
      </c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20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S124" s="21"/>
      <c r="AT124" s="21"/>
      <c r="AU124" s="21"/>
      <c r="AV124" s="21"/>
      <c r="AW124" s="21"/>
      <c r="AX124" s="19">
        <v>0</v>
      </c>
      <c r="AY124" s="19">
        <v>0</v>
      </c>
      <c r="AZ124" s="19">
        <v>0</v>
      </c>
      <c r="BA124" s="19">
        <v>0</v>
      </c>
      <c r="BB124" s="19">
        <v>0</v>
      </c>
      <c r="BC124" s="19">
        <v>0</v>
      </c>
      <c r="BD124" s="19">
        <v>0</v>
      </c>
      <c r="BE124" s="19">
        <v>0</v>
      </c>
      <c r="BF124" s="19">
        <v>0</v>
      </c>
      <c r="BG124" s="19">
        <v>0</v>
      </c>
      <c r="BH124" s="19">
        <v>0</v>
      </c>
      <c r="BI124" s="19">
        <v>0</v>
      </c>
      <c r="BJ124" s="19">
        <v>0</v>
      </c>
      <c r="BK124" s="19">
        <v>0</v>
      </c>
      <c r="BL124" s="20">
        <v>0</v>
      </c>
      <c r="BM124" s="19">
        <v>0</v>
      </c>
      <c r="BN124" s="19">
        <v>0</v>
      </c>
      <c r="BO124" s="19">
        <v>0</v>
      </c>
      <c r="BP124" s="19">
        <v>0</v>
      </c>
      <c r="BQ124" s="19">
        <v>0</v>
      </c>
    </row>
    <row r="125" spans="1:69" ht="12" hidden="1" customHeight="1" outlineLevel="2">
      <c r="B125" s="1" t="s">
        <v>173</v>
      </c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20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S125" s="21"/>
      <c r="AT125" s="21"/>
      <c r="AU125" s="21"/>
      <c r="AV125" s="21"/>
      <c r="AW125" s="21"/>
      <c r="AX125" s="19">
        <v>0</v>
      </c>
      <c r="AY125" s="19">
        <v>0</v>
      </c>
      <c r="AZ125" s="19">
        <v>0</v>
      </c>
      <c r="BA125" s="19">
        <v>0</v>
      </c>
      <c r="BB125" s="19">
        <v>0</v>
      </c>
      <c r="BC125" s="19">
        <v>0</v>
      </c>
      <c r="BD125" s="19">
        <v>0</v>
      </c>
      <c r="BE125" s="19">
        <v>0</v>
      </c>
      <c r="BF125" s="19">
        <v>0</v>
      </c>
      <c r="BG125" s="19">
        <v>0</v>
      </c>
      <c r="BH125" s="19">
        <v>0</v>
      </c>
      <c r="BI125" s="19">
        <v>0</v>
      </c>
      <c r="BJ125" s="19">
        <v>0</v>
      </c>
      <c r="BK125" s="19">
        <v>0</v>
      </c>
      <c r="BL125" s="20">
        <v>0</v>
      </c>
      <c r="BM125" s="19">
        <v>0</v>
      </c>
      <c r="BN125" s="19">
        <v>0</v>
      </c>
      <c r="BO125" s="19">
        <v>0</v>
      </c>
      <c r="BP125" s="19">
        <v>0</v>
      </c>
      <c r="BQ125" s="19">
        <v>0</v>
      </c>
    </row>
    <row r="126" spans="1:69" ht="12" hidden="1" customHeight="1" outlineLevel="2">
      <c r="B126" s="1" t="s">
        <v>173</v>
      </c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20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S126" s="21"/>
      <c r="AT126" s="21"/>
      <c r="AU126" s="21"/>
      <c r="AV126" s="21"/>
      <c r="AW126" s="21"/>
      <c r="AX126" s="19">
        <v>0</v>
      </c>
      <c r="AY126" s="19">
        <v>0</v>
      </c>
      <c r="AZ126" s="19">
        <v>0</v>
      </c>
      <c r="BA126" s="19">
        <v>0</v>
      </c>
      <c r="BB126" s="19">
        <v>0</v>
      </c>
      <c r="BC126" s="19">
        <v>0</v>
      </c>
      <c r="BD126" s="19">
        <v>0</v>
      </c>
      <c r="BE126" s="19">
        <v>0</v>
      </c>
      <c r="BF126" s="19">
        <v>0</v>
      </c>
      <c r="BG126" s="19">
        <v>0</v>
      </c>
      <c r="BH126" s="19">
        <v>0</v>
      </c>
      <c r="BI126" s="19">
        <v>0</v>
      </c>
      <c r="BJ126" s="19">
        <v>0</v>
      </c>
      <c r="BK126" s="19">
        <v>0</v>
      </c>
      <c r="BL126" s="20">
        <v>0</v>
      </c>
      <c r="BM126" s="19">
        <v>0</v>
      </c>
      <c r="BN126" s="19">
        <v>0</v>
      </c>
      <c r="BO126" s="19">
        <v>0</v>
      </c>
      <c r="BP126" s="19">
        <v>0</v>
      </c>
      <c r="BQ126" s="19">
        <v>0</v>
      </c>
    </row>
    <row r="127" spans="1:69" ht="12" hidden="1" customHeight="1" outlineLevel="2">
      <c r="B127" s="1" t="s">
        <v>173</v>
      </c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20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S127" s="21"/>
      <c r="AT127" s="21"/>
      <c r="AU127" s="21"/>
      <c r="AV127" s="21"/>
      <c r="AW127" s="21"/>
      <c r="AX127" s="19">
        <v>0</v>
      </c>
      <c r="AY127" s="19">
        <v>0</v>
      </c>
      <c r="AZ127" s="19">
        <v>0</v>
      </c>
      <c r="BA127" s="19">
        <v>0</v>
      </c>
      <c r="BB127" s="19">
        <v>0</v>
      </c>
      <c r="BC127" s="19">
        <v>0</v>
      </c>
      <c r="BD127" s="19">
        <v>0</v>
      </c>
      <c r="BE127" s="19">
        <v>0</v>
      </c>
      <c r="BF127" s="19">
        <v>0</v>
      </c>
      <c r="BG127" s="19">
        <v>0</v>
      </c>
      <c r="BH127" s="19">
        <v>0</v>
      </c>
      <c r="BI127" s="19">
        <v>0</v>
      </c>
      <c r="BJ127" s="19">
        <v>0</v>
      </c>
      <c r="BK127" s="19">
        <v>0</v>
      </c>
      <c r="BL127" s="20">
        <v>0</v>
      </c>
      <c r="BM127" s="19">
        <v>0</v>
      </c>
      <c r="BN127" s="19">
        <v>0</v>
      </c>
      <c r="BO127" s="19">
        <v>0</v>
      </c>
      <c r="BP127" s="19">
        <v>0</v>
      </c>
      <c r="BQ127" s="19">
        <v>0</v>
      </c>
    </row>
    <row r="128" spans="1:69" ht="12" hidden="1" customHeight="1" outlineLevel="2">
      <c r="B128" s="1" t="s">
        <v>173</v>
      </c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20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S128" s="21"/>
      <c r="AT128" s="21"/>
      <c r="AU128" s="21"/>
      <c r="AV128" s="21"/>
      <c r="AW128" s="21"/>
      <c r="AX128" s="19">
        <v>0</v>
      </c>
      <c r="AY128" s="19">
        <v>0</v>
      </c>
      <c r="AZ128" s="19">
        <v>0</v>
      </c>
      <c r="BA128" s="19">
        <v>0</v>
      </c>
      <c r="BB128" s="19">
        <v>0</v>
      </c>
      <c r="BC128" s="19">
        <v>0</v>
      </c>
      <c r="BD128" s="19">
        <v>0</v>
      </c>
      <c r="BE128" s="19">
        <v>0</v>
      </c>
      <c r="BF128" s="19">
        <v>0</v>
      </c>
      <c r="BG128" s="19">
        <v>0</v>
      </c>
      <c r="BH128" s="19">
        <v>0</v>
      </c>
      <c r="BI128" s="19">
        <v>0</v>
      </c>
      <c r="BJ128" s="19">
        <v>0</v>
      </c>
      <c r="BK128" s="19">
        <v>0</v>
      </c>
      <c r="BL128" s="20">
        <v>0</v>
      </c>
      <c r="BM128" s="19">
        <v>0</v>
      </c>
      <c r="BN128" s="19">
        <v>0</v>
      </c>
      <c r="BO128" s="19">
        <v>0</v>
      </c>
      <c r="BP128" s="19">
        <v>0</v>
      </c>
      <c r="BQ128" s="19">
        <v>0</v>
      </c>
    </row>
    <row r="129" spans="1:69" ht="12" hidden="1" customHeight="1" outlineLevel="2">
      <c r="B129" s="1" t="s">
        <v>173</v>
      </c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20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S129" s="21"/>
      <c r="AT129" s="21"/>
      <c r="AU129" s="21"/>
      <c r="AV129" s="21"/>
      <c r="AW129" s="21"/>
      <c r="AX129" s="19">
        <v>0</v>
      </c>
      <c r="AY129" s="19">
        <v>0</v>
      </c>
      <c r="AZ129" s="19">
        <v>0</v>
      </c>
      <c r="BA129" s="19">
        <v>0</v>
      </c>
      <c r="BB129" s="19">
        <v>0</v>
      </c>
      <c r="BC129" s="19">
        <v>0</v>
      </c>
      <c r="BD129" s="19">
        <v>0</v>
      </c>
      <c r="BE129" s="19">
        <v>0</v>
      </c>
      <c r="BF129" s="19">
        <v>0</v>
      </c>
      <c r="BG129" s="19">
        <v>0</v>
      </c>
      <c r="BH129" s="19">
        <v>0</v>
      </c>
      <c r="BI129" s="19">
        <v>0</v>
      </c>
      <c r="BJ129" s="19">
        <v>0</v>
      </c>
      <c r="BK129" s="19">
        <v>0</v>
      </c>
      <c r="BL129" s="20">
        <v>0</v>
      </c>
      <c r="BM129" s="19">
        <v>0</v>
      </c>
      <c r="BN129" s="19">
        <v>0</v>
      </c>
      <c r="BO129" s="19">
        <v>0</v>
      </c>
      <c r="BP129" s="19">
        <v>0</v>
      </c>
      <c r="BQ129" s="19">
        <v>0</v>
      </c>
    </row>
    <row r="130" spans="1:69" ht="12" hidden="1" customHeight="1" outlineLevel="2">
      <c r="B130" s="1" t="s">
        <v>173</v>
      </c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20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S130" s="21"/>
      <c r="AT130" s="21"/>
      <c r="AU130" s="21"/>
      <c r="AV130" s="21"/>
      <c r="AW130" s="21"/>
      <c r="AX130" s="19">
        <v>0</v>
      </c>
      <c r="AY130" s="19">
        <v>0</v>
      </c>
      <c r="AZ130" s="19">
        <v>0</v>
      </c>
      <c r="BA130" s="19">
        <v>0</v>
      </c>
      <c r="BB130" s="19">
        <v>0</v>
      </c>
      <c r="BC130" s="19">
        <v>0</v>
      </c>
      <c r="BD130" s="19">
        <v>0</v>
      </c>
      <c r="BE130" s="19">
        <v>0</v>
      </c>
      <c r="BF130" s="19">
        <v>0</v>
      </c>
      <c r="BG130" s="19">
        <v>0</v>
      </c>
      <c r="BH130" s="19">
        <v>0</v>
      </c>
      <c r="BI130" s="19">
        <v>0</v>
      </c>
      <c r="BJ130" s="19">
        <v>0</v>
      </c>
      <c r="BK130" s="19">
        <v>0</v>
      </c>
      <c r="BL130" s="20">
        <v>0</v>
      </c>
      <c r="BM130" s="19">
        <v>0</v>
      </c>
      <c r="BN130" s="19">
        <v>0</v>
      </c>
      <c r="BO130" s="19">
        <v>0</v>
      </c>
      <c r="BP130" s="19">
        <v>0</v>
      </c>
      <c r="BQ130" s="19">
        <v>0</v>
      </c>
    </row>
    <row r="131" spans="1:69" s="9" customFormat="1" ht="12" customHeight="1" outlineLevel="1" collapsed="1">
      <c r="A131" s="91" t="s">
        <v>579</v>
      </c>
      <c r="B131" s="9" t="s">
        <v>174</v>
      </c>
      <c r="D131" s="17">
        <v>73000</v>
      </c>
      <c r="E131" s="17">
        <v>76100</v>
      </c>
      <c r="F131" s="17">
        <v>86200</v>
      </c>
      <c r="G131" s="17">
        <v>88300</v>
      </c>
      <c r="H131" s="17">
        <v>91600</v>
      </c>
      <c r="I131" s="17">
        <v>86200</v>
      </c>
      <c r="J131" s="17">
        <v>88400</v>
      </c>
      <c r="K131" s="17">
        <v>87600</v>
      </c>
      <c r="L131" s="17">
        <v>93800</v>
      </c>
      <c r="M131" s="17">
        <v>92600</v>
      </c>
      <c r="N131" s="17">
        <v>97900</v>
      </c>
      <c r="O131" s="17">
        <v>113200</v>
      </c>
      <c r="P131" s="17">
        <v>123700</v>
      </c>
      <c r="Q131" s="17">
        <v>130800</v>
      </c>
      <c r="R131" s="17">
        <v>122400</v>
      </c>
      <c r="S131" s="17">
        <v>120800</v>
      </c>
      <c r="T131" s="17">
        <v>123900</v>
      </c>
      <c r="U131" s="17">
        <v>128800</v>
      </c>
      <c r="V131" s="17">
        <v>134400</v>
      </c>
      <c r="W131" s="17">
        <v>140500</v>
      </c>
      <c r="X131" s="17">
        <v>146400</v>
      </c>
      <c r="Y131" s="17">
        <v>161600</v>
      </c>
      <c r="Z131" s="17">
        <v>172500</v>
      </c>
      <c r="AA131" s="17">
        <v>186400</v>
      </c>
      <c r="AB131" s="17">
        <v>224900</v>
      </c>
      <c r="AC131" s="17">
        <v>265900</v>
      </c>
      <c r="AD131" s="17">
        <v>306500</v>
      </c>
      <c r="AE131" s="17">
        <v>309000</v>
      </c>
      <c r="AF131" s="17">
        <v>317000</v>
      </c>
      <c r="AG131" s="18">
        <v>330100</v>
      </c>
      <c r="AH131" s="17">
        <v>342125.43801652896</v>
      </c>
      <c r="AI131" s="17">
        <v>354662.66512396699</v>
      </c>
      <c r="AJ131" s="17">
        <v>362393.11127520667</v>
      </c>
      <c r="AK131" s="17">
        <v>370307.7569294587</v>
      </c>
      <c r="AL131" s="17">
        <v>378411.15019441076</v>
      </c>
      <c r="AM131" s="17">
        <v>386707.95332374243</v>
      </c>
      <c r="AN131" s="17">
        <v>395202.94560557074</v>
      </c>
      <c r="AO131" s="17">
        <v>403901.02632436651</v>
      </c>
      <c r="AP131" s="17">
        <v>412807.21779821604</v>
      </c>
      <c r="AQ131" s="17">
        <v>421926.66849335557</v>
      </c>
      <c r="AS131" s="17"/>
      <c r="AT131" s="17"/>
      <c r="AU131" s="17"/>
      <c r="AV131" s="17">
        <v>82500</v>
      </c>
      <c r="AW131" s="17">
        <v>78400</v>
      </c>
      <c r="AX131" s="17">
        <v>76100</v>
      </c>
      <c r="AY131" s="17">
        <v>88300</v>
      </c>
      <c r="AZ131" s="17">
        <v>86200</v>
      </c>
      <c r="BA131" s="17">
        <v>87600</v>
      </c>
      <c r="BB131" s="17">
        <v>92600</v>
      </c>
      <c r="BC131" s="17">
        <v>113200</v>
      </c>
      <c r="BD131" s="17">
        <v>130800</v>
      </c>
      <c r="BE131" s="17">
        <v>120800</v>
      </c>
      <c r="BF131" s="17">
        <v>128800</v>
      </c>
      <c r="BG131" s="17">
        <v>140500</v>
      </c>
      <c r="BH131" s="17">
        <v>161600</v>
      </c>
      <c r="BI131" s="17">
        <v>186400</v>
      </c>
      <c r="BJ131" s="17">
        <v>265900</v>
      </c>
      <c r="BK131" s="17">
        <v>309000</v>
      </c>
      <c r="BL131" s="18">
        <v>330100</v>
      </c>
      <c r="BM131" s="17">
        <v>354662.66512396699</v>
      </c>
      <c r="BN131" s="17">
        <v>370307.7569294587</v>
      </c>
      <c r="BO131" s="17">
        <v>386707.95332374243</v>
      </c>
      <c r="BP131" s="17">
        <v>403901.02632436651</v>
      </c>
      <c r="BQ131" s="17">
        <v>421926.66849335557</v>
      </c>
    </row>
    <row r="132" spans="1:69" ht="12" customHeight="1" outlineLevel="1"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20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S132" s="19"/>
      <c r="AT132" s="19"/>
      <c r="AU132" s="19"/>
      <c r="AV132" s="19"/>
      <c r="AW132" s="19"/>
    </row>
    <row r="133" spans="1:69" ht="12" customHeight="1" outlineLevel="1">
      <c r="A133" s="91" t="s">
        <v>1059</v>
      </c>
      <c r="B133" s="1" t="s">
        <v>175</v>
      </c>
      <c r="D133" s="21">
        <v>4500</v>
      </c>
      <c r="E133" s="21">
        <v>4900</v>
      </c>
      <c r="F133" s="21">
        <v>2400</v>
      </c>
      <c r="G133" s="21">
        <v>5200</v>
      </c>
      <c r="H133" s="21">
        <v>5700</v>
      </c>
      <c r="I133" s="21">
        <v>6300</v>
      </c>
      <c r="J133" s="21">
        <v>5700</v>
      </c>
      <c r="K133" s="21">
        <v>4900</v>
      </c>
      <c r="L133" s="21">
        <v>8900</v>
      </c>
      <c r="M133" s="21">
        <v>8500</v>
      </c>
      <c r="N133" s="21">
        <v>11700</v>
      </c>
      <c r="O133" s="21">
        <v>12500</v>
      </c>
      <c r="P133" s="21">
        <v>11500</v>
      </c>
      <c r="Q133" s="21">
        <v>9300</v>
      </c>
      <c r="R133" s="21">
        <v>7300</v>
      </c>
      <c r="S133" s="21">
        <v>6600</v>
      </c>
      <c r="T133" s="21">
        <v>12400</v>
      </c>
      <c r="U133" s="21">
        <v>9000</v>
      </c>
      <c r="V133" s="21">
        <v>6700</v>
      </c>
      <c r="W133" s="21">
        <v>7300</v>
      </c>
      <c r="X133" s="21">
        <v>8800</v>
      </c>
      <c r="Y133" s="21">
        <v>5600</v>
      </c>
      <c r="Z133" s="21">
        <v>6100</v>
      </c>
      <c r="AA133" s="21">
        <v>13300</v>
      </c>
      <c r="AB133" s="21">
        <v>24700</v>
      </c>
      <c r="AC133" s="21">
        <v>35800</v>
      </c>
      <c r="AD133" s="21">
        <v>39100</v>
      </c>
      <c r="AE133" s="21">
        <v>29800</v>
      </c>
      <c r="AF133" s="21">
        <v>37400</v>
      </c>
      <c r="AG133" s="24">
        <v>29700</v>
      </c>
      <c r="AH133" s="19">
        <v>33205.578604093636</v>
      </c>
      <c r="AI133" s="19">
        <v>36298.223512745346</v>
      </c>
      <c r="AJ133" s="19">
        <v>37908.417691791547</v>
      </c>
      <c r="AK133" s="19">
        <v>39083.247571223939</v>
      </c>
      <c r="AL133" s="19">
        <v>40893.405563596869</v>
      </c>
      <c r="AM133" s="19">
        <v>42036.827389868035</v>
      </c>
      <c r="AN133" s="19">
        <v>43921.035170563788</v>
      </c>
      <c r="AO133" s="19">
        <v>45124.514338095323</v>
      </c>
      <c r="AP133" s="19">
        <v>47092.219108300575</v>
      </c>
      <c r="AQ133" s="19">
        <v>48349.611730014207</v>
      </c>
      <c r="AS133" s="21"/>
      <c r="AT133" s="21"/>
      <c r="AU133" s="21"/>
      <c r="AV133" s="21">
        <v>19800</v>
      </c>
      <c r="AW133" s="21">
        <v>7700</v>
      </c>
      <c r="AX133" s="19">
        <v>4900</v>
      </c>
      <c r="AY133" s="19">
        <v>5200</v>
      </c>
      <c r="AZ133" s="19">
        <v>6300</v>
      </c>
      <c r="BA133" s="19">
        <v>4900</v>
      </c>
      <c r="BB133" s="19">
        <v>8500</v>
      </c>
      <c r="BC133" s="19">
        <v>12500</v>
      </c>
      <c r="BD133" s="19">
        <v>9300</v>
      </c>
      <c r="BE133" s="19">
        <v>6600</v>
      </c>
      <c r="BF133" s="19">
        <v>9000</v>
      </c>
      <c r="BG133" s="19">
        <v>7300</v>
      </c>
      <c r="BH133" s="19">
        <v>5600</v>
      </c>
      <c r="BI133" s="19">
        <v>13300</v>
      </c>
      <c r="BJ133" s="19">
        <v>35800</v>
      </c>
      <c r="BK133" s="19">
        <v>29800</v>
      </c>
      <c r="BL133" s="20">
        <v>29700</v>
      </c>
      <c r="BM133" s="19">
        <v>36298.223512745346</v>
      </c>
      <c r="BN133" s="19">
        <v>39083.247571223939</v>
      </c>
      <c r="BO133" s="19">
        <v>42036.827389868035</v>
      </c>
      <c r="BP133" s="19">
        <v>45124.514338095323</v>
      </c>
      <c r="BQ133" s="19">
        <v>48349.611730014207</v>
      </c>
    </row>
    <row r="134" spans="1:69" ht="12" customHeight="1" outlineLevel="1">
      <c r="A134" s="91" t="s">
        <v>1064</v>
      </c>
      <c r="B134" s="1" t="s">
        <v>176</v>
      </c>
      <c r="D134" s="21">
        <v>0</v>
      </c>
      <c r="E134" s="21">
        <v>400</v>
      </c>
      <c r="F134" s="21">
        <v>0</v>
      </c>
      <c r="G134" s="21">
        <v>500</v>
      </c>
      <c r="H134" s="21">
        <v>0</v>
      </c>
      <c r="I134" s="21">
        <v>200</v>
      </c>
      <c r="J134" s="21">
        <v>0</v>
      </c>
      <c r="K134" s="21">
        <v>0</v>
      </c>
      <c r="L134" s="21">
        <v>0</v>
      </c>
      <c r="M134" s="21">
        <v>1000</v>
      </c>
      <c r="N134" s="62">
        <v>300</v>
      </c>
      <c r="O134" s="62">
        <v>2000</v>
      </c>
      <c r="P134" s="62">
        <v>1000</v>
      </c>
      <c r="Q134" s="62">
        <v>1700</v>
      </c>
      <c r="R134" s="62">
        <v>0</v>
      </c>
      <c r="S134" s="62">
        <v>2400</v>
      </c>
      <c r="T134" s="62">
        <v>2000</v>
      </c>
      <c r="U134" s="62">
        <v>2300</v>
      </c>
      <c r="V134" s="62">
        <v>1400</v>
      </c>
      <c r="W134" s="62">
        <v>2100</v>
      </c>
      <c r="X134" s="62">
        <v>600</v>
      </c>
      <c r="Y134" s="62">
        <v>2000</v>
      </c>
      <c r="Z134" s="62">
        <v>400</v>
      </c>
      <c r="AA134" s="62">
        <v>1400</v>
      </c>
      <c r="AB134" s="62">
        <v>300</v>
      </c>
      <c r="AC134" s="62">
        <v>2400</v>
      </c>
      <c r="AD134" s="62">
        <v>0</v>
      </c>
      <c r="AE134" s="62">
        <v>2700</v>
      </c>
      <c r="AF134" s="62">
        <v>1200</v>
      </c>
      <c r="AG134" s="57">
        <v>1300</v>
      </c>
      <c r="AH134" s="58">
        <v>1300</v>
      </c>
      <c r="AI134" s="58">
        <v>1300</v>
      </c>
      <c r="AJ134" s="58">
        <v>1300</v>
      </c>
      <c r="AK134" s="58">
        <v>1300</v>
      </c>
      <c r="AL134" s="58">
        <v>1300</v>
      </c>
      <c r="AM134" s="58">
        <v>1300</v>
      </c>
      <c r="AN134" s="58">
        <v>1300</v>
      </c>
      <c r="AO134" s="58">
        <v>1300</v>
      </c>
      <c r="AP134" s="58">
        <v>1300</v>
      </c>
      <c r="AQ134" s="58">
        <v>1300</v>
      </c>
      <c r="AS134" s="21"/>
      <c r="AT134" s="21"/>
      <c r="AU134" s="21"/>
      <c r="AV134" s="21">
        <v>900</v>
      </c>
      <c r="AW134" s="21">
        <v>400</v>
      </c>
      <c r="AX134" s="19">
        <v>400</v>
      </c>
      <c r="AY134" s="19">
        <v>500</v>
      </c>
      <c r="AZ134" s="19">
        <v>200</v>
      </c>
      <c r="BA134" s="19">
        <v>0</v>
      </c>
      <c r="BB134" s="19">
        <v>1000</v>
      </c>
      <c r="BC134" s="19">
        <v>2000</v>
      </c>
      <c r="BD134" s="19">
        <v>1700</v>
      </c>
      <c r="BE134" s="19">
        <v>2400</v>
      </c>
      <c r="BF134" s="19">
        <v>2300</v>
      </c>
      <c r="BG134" s="19">
        <v>2100</v>
      </c>
      <c r="BH134" s="19">
        <v>2000</v>
      </c>
      <c r="BI134" s="19">
        <v>1400</v>
      </c>
      <c r="BJ134" s="19">
        <v>2400</v>
      </c>
      <c r="BK134" s="19">
        <v>2700</v>
      </c>
      <c r="BL134" s="20">
        <v>1300</v>
      </c>
      <c r="BM134" s="19">
        <v>1300</v>
      </c>
      <c r="BN134" s="19">
        <v>1300</v>
      </c>
      <c r="BO134" s="19">
        <v>1300</v>
      </c>
      <c r="BP134" s="19">
        <v>1300</v>
      </c>
      <c r="BQ134" s="19">
        <v>1300</v>
      </c>
    </row>
    <row r="135" spans="1:69" ht="12" customHeight="1" outlineLevel="1">
      <c r="A135" s="91" t="s">
        <v>1063</v>
      </c>
      <c r="B135" s="1" t="s">
        <v>177</v>
      </c>
      <c r="D135" s="21">
        <v>3000</v>
      </c>
      <c r="E135" s="21">
        <v>2800</v>
      </c>
      <c r="F135" s="21">
        <v>3100</v>
      </c>
      <c r="G135" s="21">
        <v>3500</v>
      </c>
      <c r="H135" s="21">
        <v>2700</v>
      </c>
      <c r="I135" s="21">
        <v>2300</v>
      </c>
      <c r="J135" s="21">
        <v>2200</v>
      </c>
      <c r="K135" s="21">
        <v>2400</v>
      </c>
      <c r="L135" s="21">
        <v>2100</v>
      </c>
      <c r="M135" s="21">
        <v>2300</v>
      </c>
      <c r="N135" s="62">
        <v>2200</v>
      </c>
      <c r="O135" s="62">
        <v>2500</v>
      </c>
      <c r="P135" s="62">
        <v>3100</v>
      </c>
      <c r="Q135" s="62">
        <v>3400</v>
      </c>
      <c r="R135" s="62">
        <v>3700</v>
      </c>
      <c r="S135" s="62">
        <v>3100</v>
      </c>
      <c r="T135" s="62">
        <v>2600</v>
      </c>
      <c r="U135" s="62">
        <v>2500</v>
      </c>
      <c r="V135" s="62">
        <v>2200</v>
      </c>
      <c r="W135" s="62">
        <v>2500</v>
      </c>
      <c r="X135" s="62">
        <v>2400</v>
      </c>
      <c r="Y135" s="62">
        <v>2000</v>
      </c>
      <c r="Z135" s="62">
        <v>1900</v>
      </c>
      <c r="AA135" s="62">
        <v>1100</v>
      </c>
      <c r="AB135" s="62">
        <v>1500</v>
      </c>
      <c r="AC135" s="62">
        <v>1300</v>
      </c>
      <c r="AD135" s="62">
        <v>1400</v>
      </c>
      <c r="AE135" s="62">
        <v>1500</v>
      </c>
      <c r="AF135" s="62">
        <v>1600</v>
      </c>
      <c r="AG135" s="57">
        <v>2000</v>
      </c>
      <c r="AH135" s="58">
        <v>2000</v>
      </c>
      <c r="AI135" s="58">
        <v>2000</v>
      </c>
      <c r="AJ135" s="58">
        <v>2000</v>
      </c>
      <c r="AK135" s="58">
        <v>2000</v>
      </c>
      <c r="AL135" s="58">
        <v>2000</v>
      </c>
      <c r="AM135" s="58">
        <v>2000</v>
      </c>
      <c r="AN135" s="58">
        <v>2000</v>
      </c>
      <c r="AO135" s="58">
        <v>2000</v>
      </c>
      <c r="AP135" s="58">
        <v>2000</v>
      </c>
      <c r="AQ135" s="58">
        <v>2000</v>
      </c>
      <c r="AS135" s="21"/>
      <c r="AT135" s="21"/>
      <c r="AU135" s="21"/>
      <c r="AV135" s="21">
        <v>6000</v>
      </c>
      <c r="AW135" s="21">
        <v>4000</v>
      </c>
      <c r="AX135" s="19">
        <v>2800</v>
      </c>
      <c r="AY135" s="19">
        <v>3500</v>
      </c>
      <c r="AZ135" s="19">
        <v>2300</v>
      </c>
      <c r="BA135" s="19">
        <v>2400</v>
      </c>
      <c r="BB135" s="19">
        <v>2300</v>
      </c>
      <c r="BC135" s="19">
        <v>2500</v>
      </c>
      <c r="BD135" s="19">
        <v>3400</v>
      </c>
      <c r="BE135" s="19">
        <v>3100</v>
      </c>
      <c r="BF135" s="19">
        <v>2500</v>
      </c>
      <c r="BG135" s="19">
        <v>2500</v>
      </c>
      <c r="BH135" s="19">
        <v>2000</v>
      </c>
      <c r="BI135" s="19">
        <v>1100</v>
      </c>
      <c r="BJ135" s="19">
        <v>1300</v>
      </c>
      <c r="BK135" s="19">
        <v>1500</v>
      </c>
      <c r="BL135" s="20">
        <v>2000</v>
      </c>
      <c r="BM135" s="19">
        <v>2000</v>
      </c>
      <c r="BN135" s="19">
        <v>2000</v>
      </c>
      <c r="BO135" s="19">
        <v>2000</v>
      </c>
      <c r="BP135" s="19">
        <v>2000</v>
      </c>
      <c r="BQ135" s="19">
        <v>2000</v>
      </c>
    </row>
    <row r="136" spans="1:69" ht="12" customHeight="1" outlineLevel="1">
      <c r="A136" s="91" t="s">
        <v>1063</v>
      </c>
      <c r="B136" s="1" t="s">
        <v>178</v>
      </c>
      <c r="D136" s="21">
        <v>7200</v>
      </c>
      <c r="E136" s="21">
        <v>8300</v>
      </c>
      <c r="F136" s="21">
        <v>9600</v>
      </c>
      <c r="G136" s="21">
        <v>10600</v>
      </c>
      <c r="H136" s="21">
        <v>11500</v>
      </c>
      <c r="I136" s="21">
        <v>10900</v>
      </c>
      <c r="J136" s="21">
        <v>10000</v>
      </c>
      <c r="K136" s="21">
        <v>9400</v>
      </c>
      <c r="L136" s="21">
        <v>8000</v>
      </c>
      <c r="M136" s="21">
        <v>7000</v>
      </c>
      <c r="N136" s="21">
        <v>6100</v>
      </c>
      <c r="O136" s="21">
        <v>4800</v>
      </c>
      <c r="P136" s="21">
        <v>5400</v>
      </c>
      <c r="Q136" s="21">
        <v>5300</v>
      </c>
      <c r="R136" s="21">
        <v>4000</v>
      </c>
      <c r="S136" s="21">
        <v>4600</v>
      </c>
      <c r="T136" s="21">
        <v>4500</v>
      </c>
      <c r="U136" s="21">
        <v>4900</v>
      </c>
      <c r="V136" s="21">
        <v>6200</v>
      </c>
      <c r="W136" s="21">
        <v>5800</v>
      </c>
      <c r="X136" s="21">
        <v>3600</v>
      </c>
      <c r="Y136" s="21">
        <v>3800</v>
      </c>
      <c r="Z136" s="21">
        <v>16100</v>
      </c>
      <c r="AA136" s="21">
        <v>13800</v>
      </c>
      <c r="AB136" s="21">
        <v>25200</v>
      </c>
      <c r="AC136" s="21">
        <v>27500</v>
      </c>
      <c r="AD136" s="21">
        <v>28700</v>
      </c>
      <c r="AE136" s="21">
        <v>28300</v>
      </c>
      <c r="AF136" s="21">
        <v>26200</v>
      </c>
      <c r="AG136" s="24">
        <v>26800</v>
      </c>
      <c r="AH136" s="19">
        <v>27796.694214876035</v>
      </c>
      <c r="AI136" s="19">
        <v>28836.14661157025</v>
      </c>
      <c r="AJ136" s="19">
        <v>29465.544777685951</v>
      </c>
      <c r="AK136" s="19">
        <v>30109.762842962809</v>
      </c>
      <c r="AL136" s="19">
        <v>30769.162154329933</v>
      </c>
      <c r="AM136" s="19">
        <v>31444.113000884172</v>
      </c>
      <c r="AN136" s="19">
        <v>32134.994836529222</v>
      </c>
      <c r="AO136" s="19">
        <v>32842.196508171633</v>
      </c>
      <c r="AP136" s="19">
        <v>33566.116489612388</v>
      </c>
      <c r="AQ136" s="19">
        <v>34307.163121276535</v>
      </c>
      <c r="AS136" s="21"/>
      <c r="AT136" s="21"/>
      <c r="AU136" s="21"/>
      <c r="AV136" s="21">
        <v>8200</v>
      </c>
      <c r="AW136" s="21">
        <v>6600</v>
      </c>
      <c r="AX136" s="19">
        <v>8300</v>
      </c>
      <c r="AY136" s="19">
        <v>10600</v>
      </c>
      <c r="AZ136" s="19">
        <v>10900</v>
      </c>
      <c r="BA136" s="19">
        <v>9400</v>
      </c>
      <c r="BB136" s="19">
        <v>7000</v>
      </c>
      <c r="BC136" s="19">
        <v>4800</v>
      </c>
      <c r="BD136" s="19">
        <v>5300</v>
      </c>
      <c r="BE136" s="19">
        <v>4600</v>
      </c>
      <c r="BF136" s="19">
        <v>4900</v>
      </c>
      <c r="BG136" s="19">
        <v>5800</v>
      </c>
      <c r="BH136" s="19">
        <v>3800</v>
      </c>
      <c r="BI136" s="19">
        <v>13800</v>
      </c>
      <c r="BJ136" s="19">
        <v>27500</v>
      </c>
      <c r="BK136" s="19">
        <v>28300</v>
      </c>
      <c r="BL136" s="20">
        <v>26800</v>
      </c>
      <c r="BM136" s="19">
        <v>28836.14661157025</v>
      </c>
      <c r="BN136" s="19">
        <v>30109.762842962809</v>
      </c>
      <c r="BO136" s="19">
        <v>31444.113000884172</v>
      </c>
      <c r="BP136" s="19">
        <v>32842.196508171633</v>
      </c>
      <c r="BQ136" s="19">
        <v>34307.163121276535</v>
      </c>
    </row>
    <row r="137" spans="1:69" ht="12" customHeight="1" outlineLevel="1">
      <c r="A137" s="91" t="s">
        <v>1061</v>
      </c>
      <c r="B137" s="1" t="s">
        <v>179</v>
      </c>
      <c r="D137" s="21">
        <v>19200</v>
      </c>
      <c r="E137" s="21">
        <v>17500</v>
      </c>
      <c r="F137" s="21">
        <v>17500</v>
      </c>
      <c r="G137" s="21">
        <v>16600</v>
      </c>
      <c r="H137" s="21">
        <v>16900</v>
      </c>
      <c r="I137" s="21">
        <v>14000</v>
      </c>
      <c r="J137" s="21">
        <v>16200</v>
      </c>
      <c r="K137" s="21">
        <v>16500</v>
      </c>
      <c r="L137" s="21">
        <v>16900</v>
      </c>
      <c r="M137" s="21">
        <v>19300</v>
      </c>
      <c r="N137" s="21">
        <v>20300</v>
      </c>
      <c r="O137" s="21">
        <v>29800</v>
      </c>
      <c r="P137" s="21">
        <v>35200</v>
      </c>
      <c r="Q137" s="21">
        <v>37500</v>
      </c>
      <c r="R137" s="21">
        <v>35300</v>
      </c>
      <c r="S137" s="21">
        <v>29300</v>
      </c>
      <c r="T137" s="21">
        <v>27500</v>
      </c>
      <c r="U137" s="21">
        <v>34700</v>
      </c>
      <c r="V137" s="21">
        <v>34800</v>
      </c>
      <c r="W137" s="21">
        <v>32200</v>
      </c>
      <c r="X137" s="21">
        <v>34800</v>
      </c>
      <c r="Y137" s="21">
        <v>40900</v>
      </c>
      <c r="Z137" s="21">
        <v>33700</v>
      </c>
      <c r="AA137" s="21">
        <v>34300</v>
      </c>
      <c r="AB137" s="21">
        <v>39800</v>
      </c>
      <c r="AC137" s="21">
        <v>48800</v>
      </c>
      <c r="AD137" s="21">
        <v>60600</v>
      </c>
      <c r="AE137" s="21">
        <v>52800</v>
      </c>
      <c r="AF137" s="21">
        <v>55100</v>
      </c>
      <c r="AG137" s="24">
        <v>59000</v>
      </c>
      <c r="AH137" s="19">
        <v>61194.21487603306</v>
      </c>
      <c r="AI137" s="19">
        <v>63482.561570247948</v>
      </c>
      <c r="AJ137" s="19">
        <v>64868.176935950418</v>
      </c>
      <c r="AK137" s="19">
        <v>66286.418199059917</v>
      </c>
      <c r="AL137" s="19">
        <v>67738.080862144256</v>
      </c>
      <c r="AM137" s="19">
        <v>69223.980113886792</v>
      </c>
      <c r="AN137" s="19">
        <v>70744.951319224769</v>
      </c>
      <c r="AO137" s="19">
        <v>72301.85052172112</v>
      </c>
      <c r="AP137" s="19">
        <v>73895.554958475026</v>
      </c>
      <c r="AQ137" s="19">
        <v>75526.963587884908</v>
      </c>
      <c r="AS137" s="21"/>
      <c r="AT137" s="21"/>
      <c r="AU137" s="21"/>
      <c r="AV137" s="21">
        <v>8100</v>
      </c>
      <c r="AW137" s="21">
        <v>16900</v>
      </c>
      <c r="AX137" s="19">
        <v>17500</v>
      </c>
      <c r="AY137" s="19">
        <v>16600</v>
      </c>
      <c r="AZ137" s="19">
        <v>14000</v>
      </c>
      <c r="BA137" s="19">
        <v>16500</v>
      </c>
      <c r="BB137" s="19">
        <v>19300</v>
      </c>
      <c r="BC137" s="19">
        <v>29800</v>
      </c>
      <c r="BD137" s="19">
        <v>37500</v>
      </c>
      <c r="BE137" s="19">
        <v>29300</v>
      </c>
      <c r="BF137" s="19">
        <v>34700</v>
      </c>
      <c r="BG137" s="19">
        <v>32200</v>
      </c>
      <c r="BH137" s="19">
        <v>40900</v>
      </c>
      <c r="BI137" s="19">
        <v>34300</v>
      </c>
      <c r="BJ137" s="19">
        <v>48800</v>
      </c>
      <c r="BK137" s="19">
        <v>52800</v>
      </c>
      <c r="BL137" s="20">
        <v>59000</v>
      </c>
      <c r="BM137" s="19">
        <v>63482.561570247948</v>
      </c>
      <c r="BN137" s="19">
        <v>66286.418199059917</v>
      </c>
      <c r="BO137" s="19">
        <v>69223.980113886792</v>
      </c>
      <c r="BP137" s="19">
        <v>72301.85052172112</v>
      </c>
      <c r="BQ137" s="19">
        <v>75526.963587884908</v>
      </c>
    </row>
    <row r="138" spans="1:69" ht="12" customHeight="1" outlineLevel="1">
      <c r="A138" s="91" t="s">
        <v>1062</v>
      </c>
      <c r="B138" s="1" t="s">
        <v>180</v>
      </c>
      <c r="D138" s="21">
        <v>400</v>
      </c>
      <c r="E138" s="21">
        <v>700</v>
      </c>
      <c r="F138" s="21">
        <v>300</v>
      </c>
      <c r="G138" s="21">
        <v>300</v>
      </c>
      <c r="H138" s="21">
        <v>600</v>
      </c>
      <c r="I138" s="21">
        <v>400</v>
      </c>
      <c r="J138" s="21">
        <v>400</v>
      </c>
      <c r="K138" s="21">
        <v>1200</v>
      </c>
      <c r="L138" s="21">
        <v>400</v>
      </c>
      <c r="M138" s="21">
        <v>900</v>
      </c>
      <c r="N138" s="62">
        <v>1300</v>
      </c>
      <c r="O138" s="62">
        <v>500</v>
      </c>
      <c r="P138" s="62">
        <v>600</v>
      </c>
      <c r="Q138" s="62">
        <v>400</v>
      </c>
      <c r="R138" s="62">
        <v>700</v>
      </c>
      <c r="S138" s="62">
        <v>500</v>
      </c>
      <c r="T138" s="62">
        <v>500</v>
      </c>
      <c r="U138" s="62">
        <v>1200</v>
      </c>
      <c r="V138" s="62">
        <v>1000</v>
      </c>
      <c r="W138" s="62">
        <v>1200</v>
      </c>
      <c r="X138" s="62">
        <v>1500</v>
      </c>
      <c r="Y138" s="62">
        <v>1200</v>
      </c>
      <c r="Z138" s="62">
        <v>1000</v>
      </c>
      <c r="AA138" s="62">
        <v>1200</v>
      </c>
      <c r="AB138" s="62">
        <v>1400</v>
      </c>
      <c r="AC138" s="62">
        <v>1400</v>
      </c>
      <c r="AD138" s="62">
        <v>11900</v>
      </c>
      <c r="AE138" s="62">
        <v>13300</v>
      </c>
      <c r="AF138" s="62">
        <v>14200</v>
      </c>
      <c r="AG138" s="57">
        <v>15400</v>
      </c>
      <c r="AH138" s="58">
        <v>15400</v>
      </c>
      <c r="AI138" s="58">
        <v>15400</v>
      </c>
      <c r="AJ138" s="58">
        <v>15400</v>
      </c>
      <c r="AK138" s="58">
        <v>15400</v>
      </c>
      <c r="AL138" s="58">
        <v>15400</v>
      </c>
      <c r="AM138" s="58">
        <v>15400</v>
      </c>
      <c r="AN138" s="58">
        <v>15400</v>
      </c>
      <c r="AO138" s="58">
        <v>15400</v>
      </c>
      <c r="AP138" s="58">
        <v>15400</v>
      </c>
      <c r="AQ138" s="58">
        <v>15400</v>
      </c>
      <c r="AS138" s="21"/>
      <c r="AT138" s="21"/>
      <c r="AU138" s="21"/>
      <c r="AV138" s="21">
        <v>300</v>
      </c>
      <c r="AW138" s="21">
        <v>900</v>
      </c>
      <c r="AX138" s="19">
        <v>700</v>
      </c>
      <c r="AY138" s="19">
        <v>300</v>
      </c>
      <c r="AZ138" s="19">
        <v>400</v>
      </c>
      <c r="BA138" s="19">
        <v>1200</v>
      </c>
      <c r="BB138" s="19">
        <v>900</v>
      </c>
      <c r="BC138" s="19">
        <v>500</v>
      </c>
      <c r="BD138" s="19">
        <v>400</v>
      </c>
      <c r="BE138" s="19">
        <v>500</v>
      </c>
      <c r="BF138" s="19">
        <v>1200</v>
      </c>
      <c r="BG138" s="19">
        <v>1200</v>
      </c>
      <c r="BH138" s="19">
        <v>1200</v>
      </c>
      <c r="BI138" s="19">
        <v>1200</v>
      </c>
      <c r="BJ138" s="19">
        <v>1400</v>
      </c>
      <c r="BK138" s="19">
        <v>13300</v>
      </c>
      <c r="BL138" s="20">
        <v>15400</v>
      </c>
      <c r="BM138" s="19">
        <v>15400</v>
      </c>
      <c r="BN138" s="19">
        <v>15400</v>
      </c>
      <c r="BO138" s="19">
        <v>15400</v>
      </c>
      <c r="BP138" s="19">
        <v>15400</v>
      </c>
      <c r="BQ138" s="19">
        <v>15400</v>
      </c>
    </row>
    <row r="139" spans="1:69" ht="12" customHeight="1" outlineLevel="1">
      <c r="A139" s="91" t="s">
        <v>1065</v>
      </c>
      <c r="B139" s="1" t="s">
        <v>181</v>
      </c>
      <c r="D139" s="21">
        <v>7000</v>
      </c>
      <c r="E139" s="21">
        <v>6900</v>
      </c>
      <c r="F139" s="21">
        <v>6700</v>
      </c>
      <c r="G139" s="21">
        <v>4500</v>
      </c>
      <c r="H139" s="21">
        <v>4300</v>
      </c>
      <c r="I139" s="21">
        <v>3200</v>
      </c>
      <c r="J139" s="21">
        <v>3200</v>
      </c>
      <c r="K139" s="21">
        <v>2400</v>
      </c>
      <c r="L139" s="21">
        <v>2600</v>
      </c>
      <c r="M139" s="21">
        <v>1300</v>
      </c>
      <c r="N139" s="62">
        <v>1400</v>
      </c>
      <c r="O139" s="62">
        <v>2600</v>
      </c>
      <c r="P139" s="62">
        <v>3100</v>
      </c>
      <c r="Q139" s="62">
        <v>8900</v>
      </c>
      <c r="R139" s="62">
        <v>4900</v>
      </c>
      <c r="S139" s="62">
        <v>4800</v>
      </c>
      <c r="T139" s="62">
        <v>3900</v>
      </c>
      <c r="U139" s="62">
        <v>4000</v>
      </c>
      <c r="V139" s="62">
        <v>7000</v>
      </c>
      <c r="W139" s="62">
        <v>8300</v>
      </c>
      <c r="X139" s="62">
        <v>8700</v>
      </c>
      <c r="Y139" s="62">
        <v>10100</v>
      </c>
      <c r="Z139" s="62">
        <v>7300</v>
      </c>
      <c r="AA139" s="62">
        <v>5800</v>
      </c>
      <c r="AB139" s="62">
        <v>6400</v>
      </c>
      <c r="AC139" s="62">
        <v>9100</v>
      </c>
      <c r="AD139" s="62">
        <v>0</v>
      </c>
      <c r="AE139" s="62">
        <v>0</v>
      </c>
      <c r="AF139" s="62">
        <v>0</v>
      </c>
      <c r="AG139" s="57">
        <v>0</v>
      </c>
      <c r="AH139" s="58">
        <v>0</v>
      </c>
      <c r="AI139" s="58">
        <v>0</v>
      </c>
      <c r="AJ139" s="58">
        <v>0</v>
      </c>
      <c r="AK139" s="58">
        <v>0</v>
      </c>
      <c r="AL139" s="58">
        <v>0</v>
      </c>
      <c r="AM139" s="58">
        <v>0</v>
      </c>
      <c r="AN139" s="58">
        <v>0</v>
      </c>
      <c r="AO139" s="58">
        <v>0</v>
      </c>
      <c r="AP139" s="58">
        <v>0</v>
      </c>
      <c r="AQ139" s="58">
        <v>0</v>
      </c>
      <c r="AS139" s="21"/>
      <c r="AT139" s="21"/>
      <c r="AU139" s="21"/>
      <c r="AV139" s="21">
        <v>4900</v>
      </c>
      <c r="AW139" s="21">
        <v>7400</v>
      </c>
      <c r="AX139" s="19">
        <v>6900</v>
      </c>
      <c r="AY139" s="19">
        <v>4500</v>
      </c>
      <c r="AZ139" s="19">
        <v>3200</v>
      </c>
      <c r="BA139" s="19">
        <v>2400</v>
      </c>
      <c r="BB139" s="19">
        <v>1300</v>
      </c>
      <c r="BC139" s="19">
        <v>2600</v>
      </c>
      <c r="BD139" s="19">
        <v>8900</v>
      </c>
      <c r="BE139" s="19">
        <v>4800</v>
      </c>
      <c r="BF139" s="19">
        <v>4000</v>
      </c>
      <c r="BG139" s="19">
        <v>8300</v>
      </c>
      <c r="BH139" s="19">
        <v>10100</v>
      </c>
      <c r="BI139" s="19">
        <v>5800</v>
      </c>
      <c r="BJ139" s="19">
        <v>9100</v>
      </c>
      <c r="BK139" s="19">
        <v>0</v>
      </c>
      <c r="BL139" s="20">
        <v>0</v>
      </c>
      <c r="BM139" s="19">
        <v>0</v>
      </c>
      <c r="BN139" s="19">
        <v>0</v>
      </c>
      <c r="BO139" s="19">
        <v>0</v>
      </c>
      <c r="BP139" s="19">
        <v>0</v>
      </c>
      <c r="BQ139" s="19">
        <v>0</v>
      </c>
    </row>
    <row r="140" spans="1:69" ht="12" customHeight="1" outlineLevel="1">
      <c r="A140" s="91" t="s">
        <v>1070</v>
      </c>
      <c r="B140" s="1" t="s">
        <v>171</v>
      </c>
      <c r="D140" s="19">
        <v>1400</v>
      </c>
      <c r="E140" s="19">
        <v>1200</v>
      </c>
      <c r="F140" s="19">
        <v>1200</v>
      </c>
      <c r="G140" s="19">
        <v>700</v>
      </c>
      <c r="H140" s="19">
        <v>0</v>
      </c>
      <c r="I140" s="19">
        <v>0</v>
      </c>
      <c r="J140" s="19">
        <v>0</v>
      </c>
      <c r="K140" s="19">
        <v>0</v>
      </c>
      <c r="L140" s="19">
        <v>0</v>
      </c>
      <c r="M140" s="19">
        <v>0</v>
      </c>
      <c r="N140" s="21">
        <v>0</v>
      </c>
      <c r="O140" s="21">
        <v>0</v>
      </c>
      <c r="P140" s="21">
        <v>0</v>
      </c>
      <c r="Q140" s="21">
        <v>0</v>
      </c>
      <c r="R140" s="21">
        <v>0</v>
      </c>
      <c r="S140" s="21">
        <v>0</v>
      </c>
      <c r="T140" s="21">
        <v>0</v>
      </c>
      <c r="U140" s="21">
        <v>0</v>
      </c>
      <c r="V140" s="21">
        <v>0</v>
      </c>
      <c r="W140" s="21">
        <v>0</v>
      </c>
      <c r="X140" s="21">
        <v>0</v>
      </c>
      <c r="Y140" s="21">
        <v>0</v>
      </c>
      <c r="Z140" s="21">
        <v>0</v>
      </c>
      <c r="AA140" s="21">
        <v>0</v>
      </c>
      <c r="AB140" s="21">
        <v>0</v>
      </c>
      <c r="AC140" s="21">
        <v>0</v>
      </c>
      <c r="AD140" s="21">
        <v>0</v>
      </c>
      <c r="AE140" s="21">
        <v>0</v>
      </c>
      <c r="AF140" s="21">
        <v>0</v>
      </c>
      <c r="AG140" s="24">
        <v>0</v>
      </c>
      <c r="AH140" s="19">
        <v>0</v>
      </c>
      <c r="AI140" s="19">
        <v>0</v>
      </c>
      <c r="AJ140" s="19">
        <v>0</v>
      </c>
      <c r="AK140" s="19">
        <v>0</v>
      </c>
      <c r="AL140" s="19">
        <v>0</v>
      </c>
      <c r="AM140" s="19">
        <v>0</v>
      </c>
      <c r="AN140" s="19">
        <v>0</v>
      </c>
      <c r="AO140" s="19">
        <v>0</v>
      </c>
      <c r="AP140" s="19">
        <v>0</v>
      </c>
      <c r="AQ140" s="19">
        <v>0</v>
      </c>
      <c r="AS140" s="19"/>
      <c r="AT140" s="19"/>
      <c r="AU140" s="19"/>
      <c r="AV140" s="19">
        <v>8800</v>
      </c>
      <c r="AW140" s="19">
        <v>3800</v>
      </c>
      <c r="AX140" s="19">
        <v>1200</v>
      </c>
      <c r="AY140" s="19">
        <v>700</v>
      </c>
      <c r="AZ140" s="19">
        <v>0</v>
      </c>
      <c r="BA140" s="19">
        <v>0</v>
      </c>
      <c r="BB140" s="19">
        <v>0</v>
      </c>
      <c r="BC140" s="19">
        <v>0</v>
      </c>
      <c r="BD140" s="19">
        <v>0</v>
      </c>
      <c r="BE140" s="19">
        <v>0</v>
      </c>
      <c r="BF140" s="19">
        <v>0</v>
      </c>
      <c r="BG140" s="19">
        <v>0</v>
      </c>
      <c r="BH140" s="19">
        <v>0</v>
      </c>
      <c r="BI140" s="19">
        <v>0</v>
      </c>
      <c r="BJ140" s="19">
        <v>0</v>
      </c>
      <c r="BK140" s="19">
        <v>0</v>
      </c>
      <c r="BL140" s="20">
        <v>0</v>
      </c>
      <c r="BM140" s="19">
        <v>0</v>
      </c>
      <c r="BN140" s="19">
        <v>0</v>
      </c>
      <c r="BO140" s="19">
        <v>0</v>
      </c>
      <c r="BP140" s="19">
        <v>0</v>
      </c>
      <c r="BQ140" s="19">
        <v>0</v>
      </c>
    </row>
    <row r="141" spans="1:69" ht="12" customHeight="1" outlineLevel="1">
      <c r="A141" s="91" t="s">
        <v>1060</v>
      </c>
      <c r="B141" s="1" t="s">
        <v>182</v>
      </c>
      <c r="D141" s="21">
        <v>17000</v>
      </c>
      <c r="E141" s="21">
        <v>19600</v>
      </c>
      <c r="F141" s="21">
        <v>31200</v>
      </c>
      <c r="G141" s="21">
        <v>31600</v>
      </c>
      <c r="H141" s="21">
        <v>34500</v>
      </c>
      <c r="I141" s="21">
        <v>33900</v>
      </c>
      <c r="J141" s="21">
        <v>36200</v>
      </c>
      <c r="K141" s="21">
        <v>36200</v>
      </c>
      <c r="L141" s="21">
        <v>38000</v>
      </c>
      <c r="M141" s="21">
        <v>36900</v>
      </c>
      <c r="N141" s="21">
        <v>38800</v>
      </c>
      <c r="O141" s="21">
        <v>39700</v>
      </c>
      <c r="P141" s="21">
        <v>42800</v>
      </c>
      <c r="Q141" s="21">
        <v>43600</v>
      </c>
      <c r="R141" s="21">
        <v>46100</v>
      </c>
      <c r="S141" s="21">
        <v>47800</v>
      </c>
      <c r="T141" s="21">
        <v>49400</v>
      </c>
      <c r="U141" s="21">
        <v>48100</v>
      </c>
      <c r="V141" s="21">
        <v>52300</v>
      </c>
      <c r="W141" s="21">
        <v>56000</v>
      </c>
      <c r="X141" s="21">
        <v>58800</v>
      </c>
      <c r="Y141" s="21">
        <v>67100</v>
      </c>
      <c r="Z141" s="21">
        <v>77100</v>
      </c>
      <c r="AA141" s="21">
        <v>84000</v>
      </c>
      <c r="AB141" s="21">
        <v>91500</v>
      </c>
      <c r="AC141" s="21">
        <v>101500</v>
      </c>
      <c r="AD141" s="21">
        <v>122000</v>
      </c>
      <c r="AE141" s="21">
        <v>134500</v>
      </c>
      <c r="AF141" s="21">
        <v>135800</v>
      </c>
      <c r="AG141" s="24">
        <v>148300</v>
      </c>
      <c r="AH141" s="19">
        <v>153815.28925619833</v>
      </c>
      <c r="AI141" s="19">
        <v>159567.18442148762</v>
      </c>
      <c r="AJ141" s="19">
        <v>163050.01084070245</v>
      </c>
      <c r="AK141" s="19">
        <v>166614.84438848446</v>
      </c>
      <c r="AL141" s="19">
        <v>170263.68460772865</v>
      </c>
      <c r="AM141" s="19">
        <v>173998.58052354929</v>
      </c>
      <c r="AN141" s="19">
        <v>177821.63187527168</v>
      </c>
      <c r="AO141" s="19">
        <v>181734.99037917354</v>
      </c>
      <c r="AP141" s="19">
        <v>185740.86102274308</v>
      </c>
      <c r="AQ141" s="19">
        <v>189841.50339124282</v>
      </c>
      <c r="AS141" s="21"/>
      <c r="AT141" s="21"/>
      <c r="AU141" s="21"/>
      <c r="AV141" s="21">
        <v>13200</v>
      </c>
      <c r="AW141" s="21">
        <v>18600</v>
      </c>
      <c r="AX141" s="19">
        <v>19600</v>
      </c>
      <c r="AY141" s="19">
        <v>31600</v>
      </c>
      <c r="AZ141" s="19">
        <v>33900</v>
      </c>
      <c r="BA141" s="19">
        <v>36200</v>
      </c>
      <c r="BB141" s="19">
        <v>36900</v>
      </c>
      <c r="BC141" s="19">
        <v>39700</v>
      </c>
      <c r="BD141" s="19">
        <v>43600</v>
      </c>
      <c r="BE141" s="19">
        <v>47800</v>
      </c>
      <c r="BF141" s="19">
        <v>48100</v>
      </c>
      <c r="BG141" s="19">
        <v>56000</v>
      </c>
      <c r="BH141" s="19">
        <v>67100</v>
      </c>
      <c r="BI141" s="19">
        <v>84000</v>
      </c>
      <c r="BJ141" s="19">
        <v>101500</v>
      </c>
      <c r="BK141" s="19">
        <v>134500</v>
      </c>
      <c r="BL141" s="20">
        <v>148300</v>
      </c>
      <c r="BM141" s="19">
        <v>159567.18442148762</v>
      </c>
      <c r="BN141" s="19">
        <v>166614.84438848446</v>
      </c>
      <c r="BO141" s="19">
        <v>173998.58052354929</v>
      </c>
      <c r="BP141" s="19">
        <v>181734.99037917354</v>
      </c>
      <c r="BQ141" s="19">
        <v>189841.50339124282</v>
      </c>
    </row>
    <row r="142" spans="1:69" ht="12" customHeight="1" outlineLevel="1">
      <c r="A142" s="91" t="s">
        <v>1066</v>
      </c>
      <c r="B142" s="1" t="s">
        <v>183</v>
      </c>
      <c r="D142" s="19">
        <v>2080</v>
      </c>
      <c r="E142" s="19">
        <v>2031</v>
      </c>
      <c r="F142" s="19">
        <v>2607</v>
      </c>
      <c r="G142" s="19">
        <v>2868</v>
      </c>
      <c r="H142" s="19">
        <v>3636</v>
      </c>
      <c r="I142" s="19">
        <v>3268</v>
      </c>
      <c r="J142" s="19">
        <v>3001</v>
      </c>
      <c r="K142" s="19">
        <v>2645</v>
      </c>
      <c r="L142" s="19">
        <v>4181</v>
      </c>
      <c r="M142" s="19">
        <v>3486</v>
      </c>
      <c r="N142" s="59">
        <v>3584</v>
      </c>
      <c r="O142" s="59">
        <v>4404</v>
      </c>
      <c r="P142" s="59">
        <v>5783</v>
      </c>
      <c r="Q142" s="59">
        <v>5193</v>
      </c>
      <c r="R142" s="59">
        <v>5088</v>
      </c>
      <c r="S142" s="59">
        <v>5746</v>
      </c>
      <c r="T142" s="59">
        <v>5352</v>
      </c>
      <c r="U142" s="59">
        <v>5352</v>
      </c>
      <c r="V142" s="59">
        <v>5849</v>
      </c>
      <c r="W142" s="59">
        <v>6948</v>
      </c>
      <c r="X142" s="59">
        <v>7192</v>
      </c>
      <c r="Y142" s="59">
        <v>7446</v>
      </c>
      <c r="Z142" s="59">
        <v>8392</v>
      </c>
      <c r="AA142" s="59">
        <v>9452</v>
      </c>
      <c r="AB142" s="59">
        <v>10036</v>
      </c>
      <c r="AC142" s="59">
        <v>9539</v>
      </c>
      <c r="AD142" s="59">
        <v>11463</v>
      </c>
      <c r="AE142" s="59">
        <v>12945</v>
      </c>
      <c r="AF142" s="59">
        <v>12849</v>
      </c>
      <c r="AG142" s="60">
        <v>14119</v>
      </c>
      <c r="AH142" s="58">
        <v>14119</v>
      </c>
      <c r="AI142" s="58">
        <v>14119</v>
      </c>
      <c r="AJ142" s="58">
        <v>14119</v>
      </c>
      <c r="AK142" s="58">
        <v>14119</v>
      </c>
      <c r="AL142" s="58">
        <v>14119</v>
      </c>
      <c r="AM142" s="58">
        <v>14119</v>
      </c>
      <c r="AN142" s="58">
        <v>14119</v>
      </c>
      <c r="AO142" s="58">
        <v>14119</v>
      </c>
      <c r="AP142" s="58">
        <v>14119</v>
      </c>
      <c r="AQ142" s="58">
        <v>14119</v>
      </c>
      <c r="AS142" s="19"/>
      <c r="AT142" s="19"/>
      <c r="AU142" s="19"/>
      <c r="AV142" s="19">
        <v>2239</v>
      </c>
      <c r="AW142" s="19">
        <v>2540</v>
      </c>
      <c r="AX142" s="19">
        <v>2031</v>
      </c>
      <c r="AY142" s="19">
        <v>2868</v>
      </c>
      <c r="AZ142" s="19">
        <v>3268</v>
      </c>
      <c r="BA142" s="19">
        <v>2645</v>
      </c>
      <c r="BB142" s="19">
        <v>3486</v>
      </c>
      <c r="BC142" s="19">
        <v>4404</v>
      </c>
      <c r="BD142" s="19">
        <v>5193</v>
      </c>
      <c r="BE142" s="19">
        <v>5746</v>
      </c>
      <c r="BF142" s="19">
        <v>5352</v>
      </c>
      <c r="BG142" s="19">
        <v>6948</v>
      </c>
      <c r="BH142" s="19">
        <v>7446</v>
      </c>
      <c r="BI142" s="19">
        <v>9452</v>
      </c>
      <c r="BJ142" s="19">
        <v>9539</v>
      </c>
      <c r="BK142" s="19">
        <v>12945</v>
      </c>
      <c r="BL142" s="20">
        <v>14119</v>
      </c>
      <c r="BM142" s="19">
        <v>14119</v>
      </c>
      <c r="BN142" s="19">
        <v>14119</v>
      </c>
      <c r="BO142" s="19">
        <v>14119</v>
      </c>
      <c r="BP142" s="19">
        <v>14119</v>
      </c>
      <c r="BQ142" s="19">
        <v>14119</v>
      </c>
    </row>
    <row r="143" spans="1:69" ht="12" hidden="1" customHeight="1" outlineLevel="2">
      <c r="B143" s="1" t="s">
        <v>173</v>
      </c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20"/>
      <c r="AH143" s="19"/>
      <c r="AI143" s="19"/>
      <c r="AJ143" s="19"/>
      <c r="AK143" s="19"/>
      <c r="AL143" s="19"/>
      <c r="AM143" s="19"/>
      <c r="AN143" s="19"/>
      <c r="AO143" s="19"/>
      <c r="AP143" s="19"/>
      <c r="AQ143" s="19"/>
      <c r="AS143" s="21"/>
      <c r="AT143" s="21"/>
      <c r="AU143" s="21"/>
      <c r="AV143" s="21"/>
      <c r="AW143" s="21"/>
      <c r="AX143" s="19">
        <v>0</v>
      </c>
      <c r="AY143" s="19">
        <v>0</v>
      </c>
      <c r="AZ143" s="19">
        <v>0</v>
      </c>
      <c r="BA143" s="19">
        <v>0</v>
      </c>
      <c r="BB143" s="19">
        <v>0</v>
      </c>
      <c r="BC143" s="19">
        <v>0</v>
      </c>
      <c r="BD143" s="19">
        <v>0</v>
      </c>
      <c r="BE143" s="19">
        <v>0</v>
      </c>
      <c r="BF143" s="19">
        <v>0</v>
      </c>
      <c r="BG143" s="19">
        <v>0</v>
      </c>
      <c r="BH143" s="19">
        <v>0</v>
      </c>
      <c r="BI143" s="19">
        <v>0</v>
      </c>
      <c r="BJ143" s="19">
        <v>0</v>
      </c>
      <c r="BK143" s="19">
        <v>0</v>
      </c>
      <c r="BL143" s="20">
        <v>0</v>
      </c>
      <c r="BM143" s="19">
        <v>0</v>
      </c>
      <c r="BN143" s="19">
        <v>0</v>
      </c>
      <c r="BO143" s="19">
        <v>0</v>
      </c>
      <c r="BP143" s="19">
        <v>0</v>
      </c>
      <c r="BQ143" s="19">
        <v>0</v>
      </c>
    </row>
    <row r="144" spans="1:69" ht="12" hidden="1" customHeight="1" outlineLevel="2">
      <c r="B144" s="1" t="s">
        <v>173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20"/>
      <c r="AH144" s="19"/>
      <c r="AI144" s="19"/>
      <c r="AJ144" s="19"/>
      <c r="AK144" s="19"/>
      <c r="AL144" s="19"/>
      <c r="AM144" s="19"/>
      <c r="AN144" s="19"/>
      <c r="AO144" s="19"/>
      <c r="AP144" s="19"/>
      <c r="AQ144" s="19"/>
      <c r="AS144" s="21"/>
      <c r="AT144" s="21"/>
      <c r="AU144" s="21"/>
      <c r="AV144" s="21"/>
      <c r="AW144" s="21"/>
      <c r="AX144" s="19">
        <v>0</v>
      </c>
      <c r="AY144" s="19">
        <v>0</v>
      </c>
      <c r="AZ144" s="19">
        <v>0</v>
      </c>
      <c r="BA144" s="19">
        <v>0</v>
      </c>
      <c r="BB144" s="19">
        <v>0</v>
      </c>
      <c r="BC144" s="19">
        <v>0</v>
      </c>
      <c r="BD144" s="19">
        <v>0</v>
      </c>
      <c r="BE144" s="19">
        <v>0</v>
      </c>
      <c r="BF144" s="19">
        <v>0</v>
      </c>
      <c r="BG144" s="19">
        <v>0</v>
      </c>
      <c r="BH144" s="19">
        <v>0</v>
      </c>
      <c r="BI144" s="19">
        <v>0</v>
      </c>
      <c r="BJ144" s="19">
        <v>0</v>
      </c>
      <c r="BK144" s="19">
        <v>0</v>
      </c>
      <c r="BL144" s="20">
        <v>0</v>
      </c>
      <c r="BM144" s="19">
        <v>0</v>
      </c>
      <c r="BN144" s="19">
        <v>0</v>
      </c>
      <c r="BO144" s="19">
        <v>0</v>
      </c>
      <c r="BP144" s="19">
        <v>0</v>
      </c>
      <c r="BQ144" s="19">
        <v>0</v>
      </c>
    </row>
    <row r="145" spans="1:69" ht="12" hidden="1" customHeight="1" outlineLevel="2">
      <c r="B145" s="1" t="s">
        <v>173</v>
      </c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20"/>
      <c r="AH145" s="19"/>
      <c r="AI145" s="19"/>
      <c r="AJ145" s="19"/>
      <c r="AK145" s="19"/>
      <c r="AL145" s="19"/>
      <c r="AM145" s="19"/>
      <c r="AN145" s="19"/>
      <c r="AO145" s="19"/>
      <c r="AP145" s="19"/>
      <c r="AQ145" s="19"/>
      <c r="AS145" s="21"/>
      <c r="AT145" s="21"/>
      <c r="AU145" s="21"/>
      <c r="AV145" s="21"/>
      <c r="AW145" s="21"/>
      <c r="AX145" s="19">
        <v>0</v>
      </c>
      <c r="AY145" s="19">
        <v>0</v>
      </c>
      <c r="AZ145" s="19">
        <v>0</v>
      </c>
      <c r="BA145" s="19">
        <v>0</v>
      </c>
      <c r="BB145" s="19">
        <v>0</v>
      </c>
      <c r="BC145" s="19">
        <v>0</v>
      </c>
      <c r="BD145" s="19">
        <v>0</v>
      </c>
      <c r="BE145" s="19">
        <v>0</v>
      </c>
      <c r="BF145" s="19">
        <v>0</v>
      </c>
      <c r="BG145" s="19">
        <v>0</v>
      </c>
      <c r="BH145" s="19">
        <v>0</v>
      </c>
      <c r="BI145" s="19">
        <v>0</v>
      </c>
      <c r="BJ145" s="19">
        <v>0</v>
      </c>
      <c r="BK145" s="19">
        <v>0</v>
      </c>
      <c r="BL145" s="20">
        <v>0</v>
      </c>
      <c r="BM145" s="19">
        <v>0</v>
      </c>
      <c r="BN145" s="19">
        <v>0</v>
      </c>
      <c r="BO145" s="19">
        <v>0</v>
      </c>
      <c r="BP145" s="19">
        <v>0</v>
      </c>
      <c r="BQ145" s="19">
        <v>0</v>
      </c>
    </row>
    <row r="146" spans="1:69" ht="12" hidden="1" customHeight="1" outlineLevel="2">
      <c r="B146" s="1" t="s">
        <v>173</v>
      </c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20"/>
      <c r="AH146" s="19"/>
      <c r="AI146" s="19"/>
      <c r="AJ146" s="19"/>
      <c r="AK146" s="19"/>
      <c r="AL146" s="19"/>
      <c r="AM146" s="19"/>
      <c r="AN146" s="19"/>
      <c r="AO146" s="19"/>
      <c r="AP146" s="19"/>
      <c r="AQ146" s="19"/>
      <c r="AS146" s="21"/>
      <c r="AT146" s="21"/>
      <c r="AU146" s="21"/>
      <c r="AV146" s="21"/>
      <c r="AW146" s="21"/>
      <c r="AX146" s="19">
        <v>0</v>
      </c>
      <c r="AY146" s="19">
        <v>0</v>
      </c>
      <c r="AZ146" s="19">
        <v>0</v>
      </c>
      <c r="BA146" s="19">
        <v>0</v>
      </c>
      <c r="BB146" s="19">
        <v>0</v>
      </c>
      <c r="BC146" s="19">
        <v>0</v>
      </c>
      <c r="BD146" s="19">
        <v>0</v>
      </c>
      <c r="BE146" s="19">
        <v>0</v>
      </c>
      <c r="BF146" s="19">
        <v>0</v>
      </c>
      <c r="BG146" s="19">
        <v>0</v>
      </c>
      <c r="BH146" s="19">
        <v>0</v>
      </c>
      <c r="BI146" s="19">
        <v>0</v>
      </c>
      <c r="BJ146" s="19">
        <v>0</v>
      </c>
      <c r="BK146" s="19">
        <v>0</v>
      </c>
      <c r="BL146" s="20">
        <v>0</v>
      </c>
      <c r="BM146" s="19">
        <v>0</v>
      </c>
      <c r="BN146" s="19">
        <v>0</v>
      </c>
      <c r="BO146" s="19">
        <v>0</v>
      </c>
      <c r="BP146" s="19">
        <v>0</v>
      </c>
      <c r="BQ146" s="19">
        <v>0</v>
      </c>
    </row>
    <row r="147" spans="1:69" ht="12" hidden="1" customHeight="1" outlineLevel="2">
      <c r="B147" s="1" t="s">
        <v>173</v>
      </c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20"/>
      <c r="AH147" s="19"/>
      <c r="AI147" s="19"/>
      <c r="AJ147" s="19"/>
      <c r="AK147" s="19"/>
      <c r="AL147" s="19"/>
      <c r="AM147" s="19"/>
      <c r="AN147" s="19"/>
      <c r="AO147" s="19"/>
      <c r="AP147" s="19"/>
      <c r="AQ147" s="19"/>
      <c r="AS147" s="21"/>
      <c r="AT147" s="21"/>
      <c r="AU147" s="21"/>
      <c r="AV147" s="21"/>
      <c r="AW147" s="21"/>
      <c r="AX147" s="19">
        <v>0</v>
      </c>
      <c r="AY147" s="19">
        <v>0</v>
      </c>
      <c r="AZ147" s="19">
        <v>0</v>
      </c>
      <c r="BA147" s="19">
        <v>0</v>
      </c>
      <c r="BB147" s="19">
        <v>0</v>
      </c>
      <c r="BC147" s="19">
        <v>0</v>
      </c>
      <c r="BD147" s="19">
        <v>0</v>
      </c>
      <c r="BE147" s="19">
        <v>0</v>
      </c>
      <c r="BF147" s="19">
        <v>0</v>
      </c>
      <c r="BG147" s="19">
        <v>0</v>
      </c>
      <c r="BH147" s="19">
        <v>0</v>
      </c>
      <c r="BI147" s="19">
        <v>0</v>
      </c>
      <c r="BJ147" s="19">
        <v>0</v>
      </c>
      <c r="BK147" s="19">
        <v>0</v>
      </c>
      <c r="BL147" s="20">
        <v>0</v>
      </c>
      <c r="BM147" s="19">
        <v>0</v>
      </c>
      <c r="BN147" s="19">
        <v>0</v>
      </c>
      <c r="BO147" s="19">
        <v>0</v>
      </c>
      <c r="BP147" s="19">
        <v>0</v>
      </c>
      <c r="BQ147" s="19">
        <v>0</v>
      </c>
    </row>
    <row r="148" spans="1:69" ht="12" hidden="1" customHeight="1" outlineLevel="2">
      <c r="B148" s="1" t="s">
        <v>173</v>
      </c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20"/>
      <c r="AH148" s="19"/>
      <c r="AI148" s="19"/>
      <c r="AJ148" s="19"/>
      <c r="AK148" s="19"/>
      <c r="AL148" s="19"/>
      <c r="AM148" s="19"/>
      <c r="AN148" s="19"/>
      <c r="AO148" s="19"/>
      <c r="AP148" s="19"/>
      <c r="AQ148" s="19"/>
      <c r="AS148" s="21"/>
      <c r="AT148" s="21"/>
      <c r="AU148" s="21"/>
      <c r="AV148" s="21"/>
      <c r="AW148" s="21"/>
      <c r="AX148" s="19">
        <v>0</v>
      </c>
      <c r="AY148" s="19">
        <v>0</v>
      </c>
      <c r="AZ148" s="19">
        <v>0</v>
      </c>
      <c r="BA148" s="19">
        <v>0</v>
      </c>
      <c r="BB148" s="19">
        <v>0</v>
      </c>
      <c r="BC148" s="19">
        <v>0</v>
      </c>
      <c r="BD148" s="19">
        <v>0</v>
      </c>
      <c r="BE148" s="19">
        <v>0</v>
      </c>
      <c r="BF148" s="19">
        <v>0</v>
      </c>
      <c r="BG148" s="19">
        <v>0</v>
      </c>
      <c r="BH148" s="19">
        <v>0</v>
      </c>
      <c r="BI148" s="19">
        <v>0</v>
      </c>
      <c r="BJ148" s="19">
        <v>0</v>
      </c>
      <c r="BK148" s="19">
        <v>0</v>
      </c>
      <c r="BL148" s="20">
        <v>0</v>
      </c>
      <c r="BM148" s="19">
        <v>0</v>
      </c>
      <c r="BN148" s="19">
        <v>0</v>
      </c>
      <c r="BO148" s="19">
        <v>0</v>
      </c>
      <c r="BP148" s="19">
        <v>0</v>
      </c>
      <c r="BQ148" s="19">
        <v>0</v>
      </c>
    </row>
    <row r="149" spans="1:69" ht="12" hidden="1" customHeight="1" outlineLevel="2">
      <c r="B149" s="1" t="s">
        <v>173</v>
      </c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20"/>
      <c r="AH149" s="19"/>
      <c r="AI149" s="19"/>
      <c r="AJ149" s="19"/>
      <c r="AK149" s="19"/>
      <c r="AL149" s="19"/>
      <c r="AM149" s="19"/>
      <c r="AN149" s="19"/>
      <c r="AO149" s="19"/>
      <c r="AP149" s="19"/>
      <c r="AQ149" s="19"/>
      <c r="AS149" s="21"/>
      <c r="AT149" s="21"/>
      <c r="AU149" s="21"/>
      <c r="AV149" s="21"/>
      <c r="AW149" s="21"/>
      <c r="AX149" s="19">
        <v>0</v>
      </c>
      <c r="AY149" s="19">
        <v>0</v>
      </c>
      <c r="AZ149" s="19">
        <v>0</v>
      </c>
      <c r="BA149" s="19">
        <v>0</v>
      </c>
      <c r="BB149" s="19">
        <v>0</v>
      </c>
      <c r="BC149" s="19">
        <v>0</v>
      </c>
      <c r="BD149" s="19">
        <v>0</v>
      </c>
      <c r="BE149" s="19">
        <v>0</v>
      </c>
      <c r="BF149" s="19">
        <v>0</v>
      </c>
      <c r="BG149" s="19">
        <v>0</v>
      </c>
      <c r="BH149" s="19">
        <v>0</v>
      </c>
      <c r="BI149" s="19">
        <v>0</v>
      </c>
      <c r="BJ149" s="19">
        <v>0</v>
      </c>
      <c r="BK149" s="19">
        <v>0</v>
      </c>
      <c r="BL149" s="20">
        <v>0</v>
      </c>
      <c r="BM149" s="19">
        <v>0</v>
      </c>
      <c r="BN149" s="19">
        <v>0</v>
      </c>
      <c r="BO149" s="19">
        <v>0</v>
      </c>
      <c r="BP149" s="19">
        <v>0</v>
      </c>
      <c r="BQ149" s="19">
        <v>0</v>
      </c>
    </row>
    <row r="150" spans="1:69" ht="12" hidden="1" customHeight="1" outlineLevel="2">
      <c r="B150" s="1" t="s">
        <v>173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20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S150" s="21"/>
      <c r="AT150" s="21"/>
      <c r="AU150" s="21"/>
      <c r="AV150" s="21"/>
      <c r="AW150" s="21"/>
      <c r="AX150" s="19">
        <v>0</v>
      </c>
      <c r="AY150" s="19">
        <v>0</v>
      </c>
      <c r="AZ150" s="19">
        <v>0</v>
      </c>
      <c r="BA150" s="19">
        <v>0</v>
      </c>
      <c r="BB150" s="19">
        <v>0</v>
      </c>
      <c r="BC150" s="19">
        <v>0</v>
      </c>
      <c r="BD150" s="19">
        <v>0</v>
      </c>
      <c r="BE150" s="19">
        <v>0</v>
      </c>
      <c r="BF150" s="19">
        <v>0</v>
      </c>
      <c r="BG150" s="19">
        <v>0</v>
      </c>
      <c r="BH150" s="19">
        <v>0</v>
      </c>
      <c r="BI150" s="19">
        <v>0</v>
      </c>
      <c r="BJ150" s="19">
        <v>0</v>
      </c>
      <c r="BK150" s="19">
        <v>0</v>
      </c>
      <c r="BL150" s="20">
        <v>0</v>
      </c>
      <c r="BM150" s="19">
        <v>0</v>
      </c>
      <c r="BN150" s="19">
        <v>0</v>
      </c>
      <c r="BO150" s="19">
        <v>0</v>
      </c>
      <c r="BP150" s="19">
        <v>0</v>
      </c>
      <c r="BQ150" s="19">
        <v>0</v>
      </c>
    </row>
    <row r="151" spans="1:69" ht="12" hidden="1" customHeight="1" outlineLevel="2">
      <c r="B151" s="1" t="s">
        <v>173</v>
      </c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20"/>
      <c r="AH151" s="19"/>
      <c r="AI151" s="19"/>
      <c r="AJ151" s="19"/>
      <c r="AK151" s="19"/>
      <c r="AL151" s="19"/>
      <c r="AM151" s="19"/>
      <c r="AN151" s="19"/>
      <c r="AO151" s="19"/>
      <c r="AP151" s="19"/>
      <c r="AQ151" s="19"/>
      <c r="AS151" s="21"/>
      <c r="AT151" s="21"/>
      <c r="AU151" s="21"/>
      <c r="AV151" s="21"/>
      <c r="AW151" s="21"/>
      <c r="AX151" s="19">
        <v>0</v>
      </c>
      <c r="AY151" s="19">
        <v>0</v>
      </c>
      <c r="AZ151" s="19">
        <v>0</v>
      </c>
      <c r="BA151" s="19">
        <v>0</v>
      </c>
      <c r="BB151" s="19">
        <v>0</v>
      </c>
      <c r="BC151" s="19">
        <v>0</v>
      </c>
      <c r="BD151" s="19">
        <v>0</v>
      </c>
      <c r="BE151" s="19">
        <v>0</v>
      </c>
      <c r="BF151" s="19">
        <v>0</v>
      </c>
      <c r="BG151" s="19">
        <v>0</v>
      </c>
      <c r="BH151" s="19">
        <v>0</v>
      </c>
      <c r="BI151" s="19">
        <v>0</v>
      </c>
      <c r="BJ151" s="19">
        <v>0</v>
      </c>
      <c r="BK151" s="19">
        <v>0</v>
      </c>
      <c r="BL151" s="20">
        <v>0</v>
      </c>
      <c r="BM151" s="19">
        <v>0</v>
      </c>
      <c r="BN151" s="19">
        <v>0</v>
      </c>
      <c r="BO151" s="19">
        <v>0</v>
      </c>
      <c r="BP151" s="19">
        <v>0</v>
      </c>
      <c r="BQ151" s="19">
        <v>0</v>
      </c>
    </row>
    <row r="152" spans="1:69" ht="12" hidden="1" customHeight="1" outlineLevel="2">
      <c r="B152" s="1" t="s">
        <v>173</v>
      </c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20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S152" s="21"/>
      <c r="AT152" s="21"/>
      <c r="AU152" s="21"/>
      <c r="AV152" s="21"/>
      <c r="AW152" s="21"/>
      <c r="AX152" s="19">
        <v>0</v>
      </c>
      <c r="AY152" s="19">
        <v>0</v>
      </c>
      <c r="AZ152" s="19">
        <v>0</v>
      </c>
      <c r="BA152" s="19">
        <v>0</v>
      </c>
      <c r="BB152" s="19">
        <v>0</v>
      </c>
      <c r="BC152" s="19">
        <v>0</v>
      </c>
      <c r="BD152" s="19">
        <v>0</v>
      </c>
      <c r="BE152" s="19">
        <v>0</v>
      </c>
      <c r="BF152" s="19">
        <v>0</v>
      </c>
      <c r="BG152" s="19">
        <v>0</v>
      </c>
      <c r="BH152" s="19">
        <v>0</v>
      </c>
      <c r="BI152" s="19">
        <v>0</v>
      </c>
      <c r="BJ152" s="19">
        <v>0</v>
      </c>
      <c r="BK152" s="19">
        <v>0</v>
      </c>
      <c r="BL152" s="20">
        <v>0</v>
      </c>
      <c r="BM152" s="19">
        <v>0</v>
      </c>
      <c r="BN152" s="19">
        <v>0</v>
      </c>
      <c r="BO152" s="19">
        <v>0</v>
      </c>
      <c r="BP152" s="19">
        <v>0</v>
      </c>
      <c r="BQ152" s="19">
        <v>0</v>
      </c>
    </row>
    <row r="153" spans="1:69" ht="12" customHeight="1" outlineLevel="1" collapsed="1">
      <c r="A153" s="91" t="s">
        <v>1058</v>
      </c>
      <c r="B153" s="9" t="s">
        <v>184</v>
      </c>
      <c r="D153" s="17">
        <v>61780</v>
      </c>
      <c r="E153" s="17">
        <v>64331</v>
      </c>
      <c r="F153" s="17">
        <v>74607</v>
      </c>
      <c r="G153" s="17">
        <v>76368</v>
      </c>
      <c r="H153" s="17">
        <v>79836</v>
      </c>
      <c r="I153" s="17">
        <v>74468</v>
      </c>
      <c r="J153" s="17">
        <v>76901</v>
      </c>
      <c r="K153" s="17">
        <v>75645</v>
      </c>
      <c r="L153" s="17">
        <v>81081</v>
      </c>
      <c r="M153" s="17">
        <v>80686</v>
      </c>
      <c r="N153" s="17">
        <v>85684</v>
      </c>
      <c r="O153" s="17">
        <v>98804</v>
      </c>
      <c r="P153" s="17">
        <v>108483</v>
      </c>
      <c r="Q153" s="17">
        <v>115293</v>
      </c>
      <c r="R153" s="17">
        <v>107088</v>
      </c>
      <c r="S153" s="17">
        <v>104846</v>
      </c>
      <c r="T153" s="17">
        <v>108152</v>
      </c>
      <c r="U153" s="17">
        <v>112052</v>
      </c>
      <c r="V153" s="17">
        <v>117449</v>
      </c>
      <c r="W153" s="17">
        <v>122348</v>
      </c>
      <c r="X153" s="17">
        <v>126392</v>
      </c>
      <c r="Y153" s="17">
        <v>140146</v>
      </c>
      <c r="Z153" s="17">
        <v>151992</v>
      </c>
      <c r="AA153" s="17">
        <v>164352</v>
      </c>
      <c r="AB153" s="17">
        <v>200836</v>
      </c>
      <c r="AC153" s="17">
        <v>237339</v>
      </c>
      <c r="AD153" s="17">
        <v>275163</v>
      </c>
      <c r="AE153" s="17">
        <v>275845</v>
      </c>
      <c r="AF153" s="17">
        <v>284349</v>
      </c>
      <c r="AG153" s="18">
        <v>296619</v>
      </c>
      <c r="AH153" s="17">
        <v>308830.77695120103</v>
      </c>
      <c r="AI153" s="17">
        <v>321003.11611605115</v>
      </c>
      <c r="AJ153" s="17">
        <v>328111.15024613036</v>
      </c>
      <c r="AK153" s="17">
        <v>334913.27300173114</v>
      </c>
      <c r="AL153" s="17">
        <v>342483.33318779967</v>
      </c>
      <c r="AM153" s="17">
        <v>349522.50102818827</v>
      </c>
      <c r="AN153" s="17">
        <v>357441.61320158944</v>
      </c>
      <c r="AO153" s="17">
        <v>364822.5517471616</v>
      </c>
      <c r="AP153" s="17">
        <v>373113.75157913106</v>
      </c>
      <c r="AQ153" s="17">
        <v>380844.24183041847</v>
      </c>
      <c r="AS153" s="17"/>
      <c r="AT153" s="17"/>
      <c r="AU153" s="17"/>
      <c r="AV153" s="17">
        <v>72439</v>
      </c>
      <c r="AW153" s="17">
        <v>68840</v>
      </c>
      <c r="AX153" s="17">
        <v>64331</v>
      </c>
      <c r="AY153" s="17">
        <v>76368</v>
      </c>
      <c r="AZ153" s="17">
        <v>74468</v>
      </c>
      <c r="BA153" s="17">
        <v>75645</v>
      </c>
      <c r="BB153" s="17">
        <v>80686</v>
      </c>
      <c r="BC153" s="17">
        <v>98804</v>
      </c>
      <c r="BD153" s="17">
        <v>115293</v>
      </c>
      <c r="BE153" s="17">
        <v>104846</v>
      </c>
      <c r="BF153" s="17">
        <v>112052</v>
      </c>
      <c r="BG153" s="17">
        <v>122348</v>
      </c>
      <c r="BH153" s="17">
        <v>140146</v>
      </c>
      <c r="BI153" s="17">
        <v>164352</v>
      </c>
      <c r="BJ153" s="17">
        <v>237339</v>
      </c>
      <c r="BK153" s="17">
        <v>275845</v>
      </c>
      <c r="BL153" s="18">
        <v>296619</v>
      </c>
      <c r="BM153" s="17">
        <v>321003.11611605115</v>
      </c>
      <c r="BN153" s="17">
        <v>334913.27300173114</v>
      </c>
      <c r="BO153" s="17">
        <v>349522.50102818827</v>
      </c>
      <c r="BP153" s="17">
        <v>364822.5517471616</v>
      </c>
      <c r="BQ153" s="17">
        <v>380844.24183041847</v>
      </c>
    </row>
    <row r="154" spans="1:69" ht="12" customHeight="1" outlineLevel="1"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469"/>
      <c r="V154" s="19"/>
      <c r="W154" s="19"/>
      <c r="X154" s="469"/>
      <c r="Y154" s="469"/>
      <c r="Z154" s="469"/>
      <c r="AA154" s="469"/>
      <c r="AB154" s="469"/>
      <c r="AC154" s="469"/>
      <c r="AD154" s="469"/>
      <c r="AE154" s="469"/>
      <c r="AF154" s="469"/>
      <c r="AG154" s="474"/>
      <c r="AH154" s="19"/>
      <c r="AI154" s="19"/>
      <c r="AJ154" s="19"/>
      <c r="AK154" s="19"/>
      <c r="AL154" s="19"/>
      <c r="AM154" s="19"/>
      <c r="AN154" s="19"/>
      <c r="AO154" s="19"/>
      <c r="AP154" s="19"/>
      <c r="AQ154" s="19"/>
      <c r="AS154" s="19"/>
      <c r="AT154" s="19"/>
      <c r="AU154" s="19"/>
      <c r="AV154" s="19"/>
      <c r="AW154" s="19"/>
    </row>
    <row r="155" spans="1:69" ht="12" customHeight="1" outlineLevel="1">
      <c r="B155" s="1" t="s">
        <v>185</v>
      </c>
      <c r="D155" s="21">
        <v>6267</v>
      </c>
      <c r="E155" s="21">
        <v>6990</v>
      </c>
      <c r="F155" s="21">
        <v>7063</v>
      </c>
      <c r="G155" s="21">
        <v>7140</v>
      </c>
      <c r="H155" s="21">
        <v>7079</v>
      </c>
      <c r="I155" s="21">
        <v>7127</v>
      </c>
      <c r="J155" s="21">
        <v>6876</v>
      </c>
      <c r="K155" s="21">
        <v>6882</v>
      </c>
      <c r="L155" s="21">
        <v>6884</v>
      </c>
      <c r="M155" s="21">
        <v>6075</v>
      </c>
      <c r="N155" s="21">
        <v>6041</v>
      </c>
      <c r="O155" s="21">
        <v>6901</v>
      </c>
      <c r="P155" s="21">
        <v>6911</v>
      </c>
      <c r="Q155" s="21">
        <v>7446</v>
      </c>
      <c r="R155" s="21">
        <v>7444</v>
      </c>
      <c r="S155" s="21">
        <v>7467</v>
      </c>
      <c r="T155" s="21">
        <v>7485</v>
      </c>
      <c r="U155" s="21">
        <v>7498</v>
      </c>
      <c r="V155" s="21">
        <v>7550</v>
      </c>
      <c r="W155" s="21">
        <v>7546</v>
      </c>
      <c r="X155" s="21">
        <v>9282</v>
      </c>
      <c r="Y155" s="21">
        <v>9290</v>
      </c>
      <c r="Z155" s="21">
        <v>10136</v>
      </c>
      <c r="AA155" s="21">
        <v>10164</v>
      </c>
      <c r="AB155" s="21">
        <v>11290</v>
      </c>
      <c r="AC155" s="21">
        <v>14156</v>
      </c>
      <c r="AD155" s="21">
        <v>14741</v>
      </c>
      <c r="AE155" s="21">
        <v>14735</v>
      </c>
      <c r="AF155" s="21">
        <v>14812</v>
      </c>
      <c r="AG155" s="24">
        <v>14156</v>
      </c>
      <c r="AH155" s="19">
        <v>13511.974700950001</v>
      </c>
      <c r="AI155" s="19">
        <v>12800.025299050001</v>
      </c>
      <c r="AJ155" s="19">
        <v>12800.025299050001</v>
      </c>
      <c r="AK155" s="19">
        <v>12800.025299050001</v>
      </c>
      <c r="AL155" s="19">
        <v>12800.025299050001</v>
      </c>
      <c r="AM155" s="19">
        <v>12800.025299050001</v>
      </c>
      <c r="AN155" s="19">
        <v>12800.025299050001</v>
      </c>
      <c r="AO155" s="19">
        <v>12800.025299050001</v>
      </c>
      <c r="AP155" s="19">
        <v>12800.025299050001</v>
      </c>
      <c r="AQ155" s="19">
        <v>12800.025299050001</v>
      </c>
      <c r="AS155" s="21"/>
      <c r="AT155" s="21"/>
      <c r="AU155" s="21"/>
      <c r="AV155" s="21">
        <v>4534</v>
      </c>
      <c r="AW155" s="21">
        <v>4906</v>
      </c>
      <c r="AX155" s="19">
        <v>6990</v>
      </c>
      <c r="AY155" s="19">
        <v>7140</v>
      </c>
      <c r="AZ155" s="19">
        <v>7127</v>
      </c>
      <c r="BA155" s="19">
        <v>6882</v>
      </c>
      <c r="BB155" s="19">
        <v>6075</v>
      </c>
      <c r="BC155" s="19">
        <v>6901</v>
      </c>
      <c r="BD155" s="19">
        <v>7446</v>
      </c>
      <c r="BE155" s="19">
        <v>7467</v>
      </c>
      <c r="BF155" s="19">
        <v>7498</v>
      </c>
      <c r="BG155" s="19">
        <v>7546</v>
      </c>
      <c r="BH155" s="19">
        <v>9290</v>
      </c>
      <c r="BI155" s="19">
        <v>10164</v>
      </c>
      <c r="BJ155" s="19">
        <v>14156</v>
      </c>
      <c r="BK155" s="19">
        <v>14735</v>
      </c>
      <c r="BL155" s="20">
        <v>14156</v>
      </c>
      <c r="BM155" s="19">
        <v>12800.025299050001</v>
      </c>
      <c r="BN155" s="19">
        <v>12800.025299050001</v>
      </c>
      <c r="BO155" s="19">
        <v>12800.025299050001</v>
      </c>
      <c r="BP155" s="19">
        <v>12800.025299050001</v>
      </c>
      <c r="BQ155" s="19">
        <v>12800.025299050001</v>
      </c>
    </row>
    <row r="156" spans="1:69" ht="12" customHeight="1" outlineLevel="1">
      <c r="B156" s="1" t="s">
        <v>186</v>
      </c>
      <c r="D156" s="21">
        <v>-2</v>
      </c>
      <c r="E156" s="21">
        <v>-443</v>
      </c>
      <c r="F156" s="21">
        <v>-719</v>
      </c>
      <c r="G156" s="21">
        <v>-731</v>
      </c>
      <c r="H156" s="21">
        <v>-993</v>
      </c>
      <c r="I156" s="21">
        <v>-974</v>
      </c>
      <c r="J156" s="21">
        <v>-1063</v>
      </c>
      <c r="K156" s="21">
        <v>-1011</v>
      </c>
      <c r="L156" s="21">
        <v>-1025</v>
      </c>
      <c r="M156" s="21">
        <v>-990</v>
      </c>
      <c r="N156" s="62">
        <v>-1003</v>
      </c>
      <c r="O156" s="62">
        <v>-971</v>
      </c>
      <c r="P156" s="62">
        <v>-1088</v>
      </c>
      <c r="Q156" s="62">
        <v>-1036</v>
      </c>
      <c r="R156" s="62">
        <v>-1221</v>
      </c>
      <c r="S156" s="62">
        <v>-1187</v>
      </c>
      <c r="T156" s="62">
        <v>-1307</v>
      </c>
      <c r="U156" s="62">
        <v>-1264</v>
      </c>
      <c r="V156" s="62">
        <v>-1413</v>
      </c>
      <c r="W156" s="62">
        <v>-1372</v>
      </c>
      <c r="X156" s="62">
        <v>-1568</v>
      </c>
      <c r="Y156" s="62">
        <v>-1446</v>
      </c>
      <c r="Z156" s="62">
        <v>-1702</v>
      </c>
      <c r="AA156" s="62">
        <v>-1633</v>
      </c>
      <c r="AB156" s="62">
        <v>-1896</v>
      </c>
      <c r="AC156" s="62">
        <v>-1858</v>
      </c>
      <c r="AD156" s="62">
        <v>-2389</v>
      </c>
      <c r="AE156" s="62">
        <v>-2328</v>
      </c>
      <c r="AF156" s="62">
        <v>-2871</v>
      </c>
      <c r="AG156" s="57">
        <v>-2784</v>
      </c>
      <c r="AH156" s="58">
        <v>-2784</v>
      </c>
      <c r="AI156" s="58">
        <v>-2784</v>
      </c>
      <c r="AJ156" s="58">
        <v>-2784</v>
      </c>
      <c r="AK156" s="58">
        <v>-2784</v>
      </c>
      <c r="AL156" s="58">
        <v>-2784</v>
      </c>
      <c r="AM156" s="58">
        <v>-2784</v>
      </c>
      <c r="AN156" s="58">
        <v>-2784</v>
      </c>
      <c r="AO156" s="58">
        <v>-2784</v>
      </c>
      <c r="AP156" s="58">
        <v>-2784</v>
      </c>
      <c r="AQ156" s="58">
        <v>-2784</v>
      </c>
      <c r="AS156" s="21"/>
      <c r="AT156" s="21"/>
      <c r="AU156" s="21"/>
      <c r="AV156" s="21">
        <v>-12</v>
      </c>
      <c r="AW156" s="21">
        <v>-2</v>
      </c>
      <c r="AX156" s="19">
        <v>-443</v>
      </c>
      <c r="AY156" s="19">
        <v>-731</v>
      </c>
      <c r="AZ156" s="19">
        <v>-974</v>
      </c>
      <c r="BA156" s="19">
        <v>-1011</v>
      </c>
      <c r="BB156" s="19">
        <v>-990</v>
      </c>
      <c r="BC156" s="19">
        <v>-971</v>
      </c>
      <c r="BD156" s="19">
        <v>-1036</v>
      </c>
      <c r="BE156" s="19">
        <v>-1187</v>
      </c>
      <c r="BF156" s="19">
        <v>-1264</v>
      </c>
      <c r="BG156" s="19">
        <v>-1372</v>
      </c>
      <c r="BH156" s="19">
        <v>-1446</v>
      </c>
      <c r="BI156" s="19">
        <v>-1633</v>
      </c>
      <c r="BJ156" s="19">
        <v>-1858</v>
      </c>
      <c r="BK156" s="19">
        <v>-2328</v>
      </c>
      <c r="BL156" s="20">
        <v>-2784</v>
      </c>
      <c r="BM156" s="19">
        <v>-2784</v>
      </c>
      <c r="BN156" s="19">
        <v>-2784</v>
      </c>
      <c r="BO156" s="19">
        <v>-2784</v>
      </c>
      <c r="BP156" s="19">
        <v>-2784</v>
      </c>
      <c r="BQ156" s="19">
        <v>-2784</v>
      </c>
    </row>
    <row r="157" spans="1:69" ht="12" customHeight="1" outlineLevel="1">
      <c r="B157" s="1" t="s">
        <v>195</v>
      </c>
      <c r="D157" s="21">
        <v>159</v>
      </c>
      <c r="E157" s="21">
        <v>137</v>
      </c>
      <c r="F157" s="21">
        <v>129</v>
      </c>
      <c r="G157" s="21">
        <v>104</v>
      </c>
      <c r="H157" s="21">
        <v>98</v>
      </c>
      <c r="I157" s="21">
        <v>82</v>
      </c>
      <c r="J157" s="21">
        <v>69</v>
      </c>
      <c r="K157" s="21">
        <v>36</v>
      </c>
      <c r="L157" s="21">
        <v>34</v>
      </c>
      <c r="M157" s="21">
        <v>27</v>
      </c>
      <c r="N157" s="62">
        <v>25</v>
      </c>
      <c r="O157" s="62">
        <v>17</v>
      </c>
      <c r="P157" s="62">
        <v>13</v>
      </c>
      <c r="Q157" s="62">
        <v>12</v>
      </c>
      <c r="R157" s="62">
        <v>11</v>
      </c>
      <c r="S157" s="62">
        <v>10</v>
      </c>
      <c r="T157" s="62">
        <v>10</v>
      </c>
      <c r="U157" s="62">
        <v>9</v>
      </c>
      <c r="V157" s="62">
        <v>7</v>
      </c>
      <c r="W157" s="62">
        <v>7</v>
      </c>
      <c r="X157" s="62">
        <v>7</v>
      </c>
      <c r="Y157" s="62">
        <v>7</v>
      </c>
      <c r="Z157" s="62">
        <v>0</v>
      </c>
      <c r="AA157" s="62">
        <v>0</v>
      </c>
      <c r="AB157" s="62">
        <v>0</v>
      </c>
      <c r="AC157" s="62">
        <v>0</v>
      </c>
      <c r="AD157" s="62">
        <v>0</v>
      </c>
      <c r="AE157" s="62">
        <v>0</v>
      </c>
      <c r="AF157" s="62">
        <v>0</v>
      </c>
      <c r="AG157" s="57">
        <v>0</v>
      </c>
      <c r="AH157" s="58">
        <v>0</v>
      </c>
      <c r="AI157" s="58">
        <v>0</v>
      </c>
      <c r="AJ157" s="58">
        <v>0</v>
      </c>
      <c r="AK157" s="58">
        <v>0</v>
      </c>
      <c r="AL157" s="58">
        <v>0</v>
      </c>
      <c r="AM157" s="58">
        <v>0</v>
      </c>
      <c r="AN157" s="58">
        <v>0</v>
      </c>
      <c r="AO157" s="58">
        <v>0</v>
      </c>
      <c r="AP157" s="58">
        <v>0</v>
      </c>
      <c r="AQ157" s="58">
        <v>0</v>
      </c>
      <c r="AS157" s="21"/>
      <c r="AT157" s="21"/>
      <c r="AU157" s="21"/>
      <c r="AV157" s="21">
        <v>133</v>
      </c>
      <c r="AW157" s="21">
        <v>116</v>
      </c>
      <c r="AX157" s="19">
        <v>137</v>
      </c>
      <c r="AY157" s="19">
        <v>104</v>
      </c>
      <c r="AZ157" s="19">
        <v>82</v>
      </c>
      <c r="BA157" s="19">
        <v>36</v>
      </c>
      <c r="BB157" s="19">
        <v>27</v>
      </c>
      <c r="BC157" s="19">
        <v>17</v>
      </c>
      <c r="BD157" s="19">
        <v>12</v>
      </c>
      <c r="BE157" s="19">
        <v>10</v>
      </c>
      <c r="BF157" s="19">
        <v>9</v>
      </c>
      <c r="BG157" s="19">
        <v>7</v>
      </c>
      <c r="BH157" s="19">
        <v>7</v>
      </c>
      <c r="BI157" s="19">
        <v>0</v>
      </c>
      <c r="BJ157" s="19">
        <v>0</v>
      </c>
      <c r="BK157" s="19">
        <v>0</v>
      </c>
      <c r="BL157" s="20">
        <v>0</v>
      </c>
      <c r="BM157" s="19">
        <v>0</v>
      </c>
      <c r="BN157" s="19">
        <v>0</v>
      </c>
      <c r="BO157" s="19">
        <v>0</v>
      </c>
      <c r="BP157" s="19">
        <v>0</v>
      </c>
      <c r="BQ157" s="19">
        <v>0</v>
      </c>
    </row>
    <row r="158" spans="1:69" ht="12" customHeight="1" outlineLevel="1">
      <c r="B158" s="1" t="s">
        <v>188</v>
      </c>
      <c r="D158" s="21">
        <v>276</v>
      </c>
      <c r="E158" s="21">
        <v>280</v>
      </c>
      <c r="F158" s="21">
        <v>263</v>
      </c>
      <c r="G158" s="21">
        <v>310</v>
      </c>
      <c r="H158" s="21">
        <v>504</v>
      </c>
      <c r="I158" s="21">
        <v>44</v>
      </c>
      <c r="J158" s="21">
        <v>-50</v>
      </c>
      <c r="K158" s="21">
        <v>57</v>
      </c>
      <c r="L158" s="21">
        <v>726</v>
      </c>
      <c r="M158" s="21">
        <v>669</v>
      </c>
      <c r="N158" s="21">
        <v>826</v>
      </c>
      <c r="O158" s="21">
        <v>1656</v>
      </c>
      <c r="P158" s="21">
        <v>2090</v>
      </c>
      <c r="Q158" s="21">
        <v>1536</v>
      </c>
      <c r="R158" s="21">
        <v>1295</v>
      </c>
      <c r="S158" s="21">
        <v>1396</v>
      </c>
      <c r="T158" s="21">
        <v>999</v>
      </c>
      <c r="U158" s="21">
        <v>1297</v>
      </c>
      <c r="V158" s="21">
        <v>1567</v>
      </c>
      <c r="W158" s="21">
        <v>1773</v>
      </c>
      <c r="X158" s="21">
        <v>1927</v>
      </c>
      <c r="Y158" s="21">
        <v>2773</v>
      </c>
      <c r="Z158" s="21">
        <v>1378</v>
      </c>
      <c r="AA158" s="21">
        <v>1286</v>
      </c>
      <c r="AB158" s="21">
        <v>1613</v>
      </c>
      <c r="AC158" s="21">
        <v>1523</v>
      </c>
      <c r="AD158" s="21">
        <v>3250</v>
      </c>
      <c r="AE158" s="21">
        <v>3302</v>
      </c>
      <c r="AF158" s="21">
        <v>3590</v>
      </c>
      <c r="AG158" s="24">
        <v>3891</v>
      </c>
      <c r="AH158" s="19">
        <v>3890.9999999999964</v>
      </c>
      <c r="AI158" s="19">
        <v>3891</v>
      </c>
      <c r="AJ158" s="19">
        <v>3891.0000000000036</v>
      </c>
      <c r="AK158" s="19">
        <v>3891.0000000000036</v>
      </c>
      <c r="AL158" s="19">
        <v>3891</v>
      </c>
      <c r="AM158" s="19">
        <v>3891</v>
      </c>
      <c r="AN158" s="19">
        <v>3891.0000000000073</v>
      </c>
      <c r="AO158" s="19">
        <v>3891.0000000000036</v>
      </c>
      <c r="AP158" s="19">
        <v>3891.0000000000036</v>
      </c>
      <c r="AQ158" s="19">
        <v>3891.0000000000109</v>
      </c>
      <c r="AS158" s="21"/>
      <c r="AT158" s="21"/>
      <c r="AU158" s="21"/>
      <c r="AV158" s="21">
        <v>456</v>
      </c>
      <c r="AW158" s="21">
        <v>17</v>
      </c>
      <c r="AX158" s="19">
        <v>280</v>
      </c>
      <c r="AY158" s="19">
        <v>310</v>
      </c>
      <c r="AZ158" s="19">
        <v>44</v>
      </c>
      <c r="BA158" s="19">
        <v>57</v>
      </c>
      <c r="BB158" s="19">
        <v>669</v>
      </c>
      <c r="BC158" s="19">
        <v>1656</v>
      </c>
      <c r="BD158" s="19">
        <v>1536</v>
      </c>
      <c r="BE158" s="19">
        <v>1396</v>
      </c>
      <c r="BF158" s="19">
        <v>1297</v>
      </c>
      <c r="BG158" s="19">
        <v>1773</v>
      </c>
      <c r="BH158" s="19">
        <v>2773</v>
      </c>
      <c r="BI158" s="19">
        <v>1286</v>
      </c>
      <c r="BJ158" s="19">
        <v>1523</v>
      </c>
      <c r="BK158" s="19">
        <v>3302</v>
      </c>
      <c r="BL158" s="20">
        <v>3891</v>
      </c>
      <c r="BM158" s="19">
        <v>3891</v>
      </c>
      <c r="BN158" s="19">
        <v>3891.0000000000036</v>
      </c>
      <c r="BO158" s="19">
        <v>3891</v>
      </c>
      <c r="BP158" s="19">
        <v>3891.0000000000036</v>
      </c>
      <c r="BQ158" s="19">
        <v>3891.0000000000109</v>
      </c>
    </row>
    <row r="159" spans="1:69" ht="12" customHeight="1" outlineLevel="1">
      <c r="B159" s="1" t="s">
        <v>189</v>
      </c>
      <c r="D159" s="19">
        <v>3984</v>
      </c>
      <c r="E159" s="19">
        <v>4268</v>
      </c>
      <c r="F159" s="19">
        <v>4325</v>
      </c>
      <c r="G159" s="19">
        <v>4581</v>
      </c>
      <c r="H159" s="19">
        <v>4563</v>
      </c>
      <c r="I159" s="19">
        <v>4924</v>
      </c>
      <c r="J159" s="19">
        <v>5155</v>
      </c>
      <c r="K159" s="19">
        <v>5439</v>
      </c>
      <c r="L159" s="19">
        <v>5610</v>
      </c>
      <c r="M159" s="19">
        <v>5637</v>
      </c>
      <c r="N159" s="19">
        <v>5801</v>
      </c>
      <c r="O159" s="19">
        <v>6306</v>
      </c>
      <c r="P159" s="19">
        <v>6705</v>
      </c>
      <c r="Q159" s="19">
        <v>7158</v>
      </c>
      <c r="R159" s="19">
        <v>7392</v>
      </c>
      <c r="S159" s="19">
        <v>7877</v>
      </c>
      <c r="T159" s="19">
        <v>8170</v>
      </c>
      <c r="U159" s="19">
        <v>8817</v>
      </c>
      <c r="V159" s="19">
        <v>8849</v>
      </c>
      <c r="W159" s="19">
        <v>9807</v>
      </c>
      <c r="X159" s="19">
        <v>9969</v>
      </c>
      <c r="Y159" s="19">
        <v>10439</v>
      </c>
      <c r="Z159" s="19">
        <v>10696</v>
      </c>
      <c r="AA159" s="19">
        <v>12231</v>
      </c>
      <c r="AB159" s="19">
        <v>13057</v>
      </c>
      <c r="AC159" s="19">
        <v>14740</v>
      </c>
      <c r="AD159" s="19">
        <v>15735</v>
      </c>
      <c r="AE159" s="19">
        <v>17446</v>
      </c>
      <c r="AF159" s="19">
        <v>17120</v>
      </c>
      <c r="AG159" s="20">
        <v>18218</v>
      </c>
      <c r="AH159" s="19">
        <v>18675.686364377911</v>
      </c>
      <c r="AI159" s="19">
        <v>19752.52370886581</v>
      </c>
      <c r="AJ159" s="19">
        <v>20374.935730026282</v>
      </c>
      <c r="AK159" s="19">
        <v>21487.458628677578</v>
      </c>
      <c r="AL159" s="19">
        <v>22020.791707561075</v>
      </c>
      <c r="AM159" s="19">
        <v>23278.426996504189</v>
      </c>
      <c r="AN159" s="19">
        <v>23854.307104931278</v>
      </c>
      <c r="AO159" s="19">
        <v>25171.449278154894</v>
      </c>
      <c r="AP159" s="19">
        <v>25786.440920034966</v>
      </c>
      <c r="AQ159" s="19">
        <v>27175.401363887115</v>
      </c>
      <c r="AS159" s="19"/>
      <c r="AT159" s="19"/>
      <c r="AU159" s="19"/>
      <c r="AV159" s="19">
        <v>3718</v>
      </c>
      <c r="AW159" s="19">
        <v>3627</v>
      </c>
      <c r="AX159" s="19">
        <v>4268</v>
      </c>
      <c r="AY159" s="19">
        <v>4581</v>
      </c>
      <c r="AZ159" s="19">
        <v>4924</v>
      </c>
      <c r="BA159" s="19">
        <v>5439</v>
      </c>
      <c r="BB159" s="19">
        <v>5637</v>
      </c>
      <c r="BC159" s="19">
        <v>6306</v>
      </c>
      <c r="BD159" s="19">
        <v>7158</v>
      </c>
      <c r="BE159" s="19">
        <v>7877</v>
      </c>
      <c r="BF159" s="19">
        <v>8817</v>
      </c>
      <c r="BG159" s="19">
        <v>9807</v>
      </c>
      <c r="BH159" s="19">
        <v>10439</v>
      </c>
      <c r="BI159" s="19">
        <v>12231</v>
      </c>
      <c r="BJ159" s="19">
        <v>14740</v>
      </c>
      <c r="BK159" s="19">
        <v>17446</v>
      </c>
      <c r="BL159" s="20">
        <v>18218</v>
      </c>
      <c r="BM159" s="19">
        <v>19752.52370886581</v>
      </c>
      <c r="BN159" s="19">
        <v>21487.458628677578</v>
      </c>
      <c r="BO159" s="19">
        <v>23278.426996504189</v>
      </c>
      <c r="BP159" s="19">
        <v>25171.449278154894</v>
      </c>
      <c r="BQ159" s="19">
        <v>27175.401363887115</v>
      </c>
    </row>
    <row r="160" spans="1:69" ht="12" customHeight="1" outlineLevel="1">
      <c r="A160" s="91" t="s">
        <v>1072</v>
      </c>
      <c r="B160" s="1" t="s">
        <v>190</v>
      </c>
      <c r="D160" s="19">
        <v>536</v>
      </c>
      <c r="E160" s="19">
        <v>537</v>
      </c>
      <c r="F160" s="19">
        <v>532</v>
      </c>
      <c r="G160" s="19">
        <v>528</v>
      </c>
      <c r="H160" s="19">
        <v>513</v>
      </c>
      <c r="I160" s="19">
        <v>529</v>
      </c>
      <c r="J160" s="19">
        <v>512</v>
      </c>
      <c r="K160" s="19">
        <v>552</v>
      </c>
      <c r="L160" s="19">
        <v>490</v>
      </c>
      <c r="M160" s="19">
        <v>496</v>
      </c>
      <c r="N160" s="19">
        <v>526</v>
      </c>
      <c r="O160" s="19">
        <v>487</v>
      </c>
      <c r="P160" s="19">
        <v>586</v>
      </c>
      <c r="Q160" s="19">
        <v>391</v>
      </c>
      <c r="R160" s="19">
        <v>391</v>
      </c>
      <c r="S160" s="19">
        <v>391</v>
      </c>
      <c r="T160" s="19">
        <v>391</v>
      </c>
      <c r="U160" s="19">
        <v>391</v>
      </c>
      <c r="V160" s="19">
        <v>391</v>
      </c>
      <c r="W160" s="19">
        <v>391</v>
      </c>
      <c r="X160" s="19">
        <v>391</v>
      </c>
      <c r="Y160" s="19">
        <v>391</v>
      </c>
      <c r="Z160" s="19">
        <v>0</v>
      </c>
      <c r="AA160" s="19">
        <v>0</v>
      </c>
      <c r="AB160" s="19">
        <v>0</v>
      </c>
      <c r="AC160" s="19">
        <v>0</v>
      </c>
      <c r="AD160" s="19">
        <v>0</v>
      </c>
      <c r="AE160" s="19">
        <v>0</v>
      </c>
      <c r="AF160" s="19">
        <v>0</v>
      </c>
      <c r="AG160" s="20">
        <v>0</v>
      </c>
      <c r="AH160" s="19">
        <v>0</v>
      </c>
      <c r="AI160" s="19">
        <v>0</v>
      </c>
      <c r="AJ160" s="19">
        <v>0</v>
      </c>
      <c r="AK160" s="19">
        <v>0</v>
      </c>
      <c r="AL160" s="19">
        <v>0</v>
      </c>
      <c r="AM160" s="19">
        <v>0</v>
      </c>
      <c r="AN160" s="19">
        <v>0</v>
      </c>
      <c r="AO160" s="19">
        <v>0</v>
      </c>
      <c r="AP160" s="19">
        <v>0</v>
      </c>
      <c r="AQ160" s="19">
        <v>0</v>
      </c>
      <c r="AS160" s="19"/>
      <c r="AT160" s="19"/>
      <c r="AU160" s="19"/>
      <c r="AV160" s="19">
        <v>1232</v>
      </c>
      <c r="AW160" s="19">
        <v>896</v>
      </c>
      <c r="AX160" s="19">
        <v>537</v>
      </c>
      <c r="AY160" s="19">
        <v>528</v>
      </c>
      <c r="AZ160" s="19">
        <v>529</v>
      </c>
      <c r="BA160" s="19">
        <v>552</v>
      </c>
      <c r="BB160" s="19">
        <v>496</v>
      </c>
      <c r="BC160" s="19">
        <v>487</v>
      </c>
      <c r="BD160" s="19">
        <v>391</v>
      </c>
      <c r="BE160" s="19">
        <v>391</v>
      </c>
      <c r="BF160" s="19">
        <v>391</v>
      </c>
      <c r="BG160" s="19">
        <v>391</v>
      </c>
      <c r="BH160" s="19">
        <v>391</v>
      </c>
      <c r="BI160" s="19">
        <v>0</v>
      </c>
      <c r="BJ160" s="19">
        <v>0</v>
      </c>
      <c r="BK160" s="19">
        <v>0</v>
      </c>
      <c r="BL160" s="20">
        <v>0</v>
      </c>
      <c r="BM160" s="19">
        <v>0</v>
      </c>
      <c r="BN160" s="19">
        <v>0</v>
      </c>
      <c r="BO160" s="19">
        <v>0</v>
      </c>
      <c r="BP160" s="19">
        <v>0</v>
      </c>
      <c r="BQ160" s="19">
        <v>0</v>
      </c>
    </row>
    <row r="161" spans="1:69" s="9" customFormat="1" ht="12" customHeight="1" outlineLevel="1">
      <c r="A161" s="91" t="s">
        <v>1073</v>
      </c>
      <c r="B161" s="9" t="s">
        <v>191</v>
      </c>
      <c r="D161" s="17">
        <v>11220</v>
      </c>
      <c r="E161" s="17">
        <v>11769</v>
      </c>
      <c r="F161" s="17">
        <v>11593</v>
      </c>
      <c r="G161" s="17">
        <v>11932</v>
      </c>
      <c r="H161" s="17">
        <v>11764</v>
      </c>
      <c r="I161" s="17">
        <v>11732</v>
      </c>
      <c r="J161" s="17">
        <v>11499</v>
      </c>
      <c r="K161" s="17">
        <v>11955</v>
      </c>
      <c r="L161" s="17">
        <v>12719</v>
      </c>
      <c r="M161" s="17">
        <v>11914</v>
      </c>
      <c r="N161" s="17">
        <v>12216</v>
      </c>
      <c r="O161" s="17">
        <v>14396</v>
      </c>
      <c r="P161" s="17">
        <v>15217</v>
      </c>
      <c r="Q161" s="17">
        <v>15507</v>
      </c>
      <c r="R161" s="17">
        <v>15312</v>
      </c>
      <c r="S161" s="17">
        <v>15954</v>
      </c>
      <c r="T161" s="17">
        <v>15748</v>
      </c>
      <c r="U161" s="17">
        <v>16748</v>
      </c>
      <c r="V161" s="17">
        <v>16951</v>
      </c>
      <c r="W161" s="17">
        <v>18152</v>
      </c>
      <c r="X161" s="17">
        <v>20008</v>
      </c>
      <c r="Y161" s="17">
        <v>21454</v>
      </c>
      <c r="Z161" s="17">
        <v>20508</v>
      </c>
      <c r="AA161" s="17">
        <v>22048</v>
      </c>
      <c r="AB161" s="17">
        <v>24064</v>
      </c>
      <c r="AC161" s="17">
        <v>28561</v>
      </c>
      <c r="AD161" s="17">
        <v>31337</v>
      </c>
      <c r="AE161" s="17">
        <v>33155</v>
      </c>
      <c r="AF161" s="17">
        <v>32651</v>
      </c>
      <c r="AG161" s="18">
        <v>33481</v>
      </c>
      <c r="AH161" s="17">
        <v>33294.661065327906</v>
      </c>
      <c r="AI161" s="17">
        <v>33659.549007915812</v>
      </c>
      <c r="AJ161" s="17">
        <v>34281.961029076287</v>
      </c>
      <c r="AK161" s="17">
        <v>35394.483927727582</v>
      </c>
      <c r="AL161" s="17">
        <v>35927.817006611076</v>
      </c>
      <c r="AM161" s="17">
        <v>37185.452295554191</v>
      </c>
      <c r="AN161" s="17">
        <v>37761.332403981287</v>
      </c>
      <c r="AO161" s="17">
        <v>39078.474577204899</v>
      </c>
      <c r="AP161" s="17">
        <v>39693.46621908497</v>
      </c>
      <c r="AQ161" s="17">
        <v>41082.426662937127</v>
      </c>
      <c r="AS161" s="17"/>
      <c r="AT161" s="17"/>
      <c r="AU161" s="17"/>
      <c r="AV161" s="17">
        <v>10061</v>
      </c>
      <c r="AW161" s="17">
        <v>9560</v>
      </c>
      <c r="AX161" s="17">
        <v>11769</v>
      </c>
      <c r="AY161" s="17">
        <v>11932</v>
      </c>
      <c r="AZ161" s="17">
        <v>11732</v>
      </c>
      <c r="BA161" s="17">
        <v>11955</v>
      </c>
      <c r="BB161" s="17">
        <v>11914</v>
      </c>
      <c r="BC161" s="17">
        <v>14396</v>
      </c>
      <c r="BD161" s="17">
        <v>15507</v>
      </c>
      <c r="BE161" s="17">
        <v>15954</v>
      </c>
      <c r="BF161" s="17">
        <v>16748</v>
      </c>
      <c r="BG161" s="17">
        <v>18152</v>
      </c>
      <c r="BH161" s="17">
        <v>21454</v>
      </c>
      <c r="BI161" s="17">
        <v>22048</v>
      </c>
      <c r="BJ161" s="17">
        <v>28561</v>
      </c>
      <c r="BK161" s="17">
        <v>33155</v>
      </c>
      <c r="BL161" s="18">
        <v>33481</v>
      </c>
      <c r="BM161" s="17">
        <v>33659.549007915812</v>
      </c>
      <c r="BN161" s="17">
        <v>35394.483927727582</v>
      </c>
      <c r="BO161" s="17">
        <v>37185.452295554191</v>
      </c>
      <c r="BP161" s="17">
        <v>39078.474577204899</v>
      </c>
      <c r="BQ161" s="17">
        <v>41082.426662937127</v>
      </c>
    </row>
    <row r="162" spans="1:69" ht="12" customHeight="1" outlineLevel="1"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469"/>
      <c r="V162" s="19"/>
      <c r="W162" s="19"/>
      <c r="X162" s="19"/>
      <c r="Y162" s="19"/>
      <c r="Z162" s="19"/>
      <c r="AA162" s="469"/>
      <c r="AB162" s="469"/>
      <c r="AC162" s="469"/>
      <c r="AD162" s="469"/>
      <c r="AE162" s="469"/>
      <c r="AF162" s="469"/>
      <c r="AG162" s="474"/>
      <c r="AH162" s="19"/>
      <c r="AI162" s="19"/>
      <c r="AJ162" s="19"/>
      <c r="AK162" s="19"/>
      <c r="AL162" s="19"/>
      <c r="AM162" s="19"/>
      <c r="AN162" s="19"/>
      <c r="AO162" s="19"/>
      <c r="AP162" s="19"/>
      <c r="AQ162" s="19"/>
      <c r="AS162" s="19"/>
      <c r="AT162" s="19"/>
      <c r="AU162" s="19"/>
      <c r="AV162" s="19"/>
      <c r="AW162" s="19"/>
    </row>
    <row r="163" spans="1:69" ht="12" customHeight="1" outlineLevel="1">
      <c r="B163" s="3" t="s">
        <v>124</v>
      </c>
      <c r="C163" s="100" t="s">
        <v>622</v>
      </c>
      <c r="D163" s="100" t="s">
        <v>622</v>
      </c>
      <c r="E163" s="100" t="s">
        <v>622</v>
      </c>
      <c r="F163" s="100" t="s">
        <v>622</v>
      </c>
      <c r="G163" s="100" t="s">
        <v>622</v>
      </c>
      <c r="H163" s="100" t="s">
        <v>622</v>
      </c>
      <c r="I163" s="100" t="s">
        <v>622</v>
      </c>
      <c r="J163" s="100" t="s">
        <v>622</v>
      </c>
      <c r="K163" s="100" t="s">
        <v>622</v>
      </c>
      <c r="L163" s="100" t="s">
        <v>622</v>
      </c>
      <c r="M163" s="100" t="s">
        <v>622</v>
      </c>
      <c r="N163" s="100" t="s">
        <v>622</v>
      </c>
      <c r="O163" s="100" t="s">
        <v>622</v>
      </c>
      <c r="P163" s="100" t="s">
        <v>622</v>
      </c>
      <c r="Q163" s="100" t="s">
        <v>622</v>
      </c>
      <c r="R163" s="100" t="s">
        <v>622</v>
      </c>
      <c r="S163" s="100" t="s">
        <v>622</v>
      </c>
      <c r="T163" s="100" t="s">
        <v>622</v>
      </c>
      <c r="U163" s="100" t="s">
        <v>622</v>
      </c>
      <c r="V163" s="100" t="s">
        <v>622</v>
      </c>
      <c r="W163" s="100" t="s">
        <v>622</v>
      </c>
      <c r="X163" s="100" t="s">
        <v>622</v>
      </c>
      <c r="Y163" s="100" t="s">
        <v>622</v>
      </c>
      <c r="Z163" s="100" t="s">
        <v>622</v>
      </c>
      <c r="AA163" s="100" t="s">
        <v>622</v>
      </c>
      <c r="AB163" s="100" t="s">
        <v>622</v>
      </c>
      <c r="AC163" s="100" t="s">
        <v>622</v>
      </c>
      <c r="AD163" s="100" t="s">
        <v>622</v>
      </c>
      <c r="AE163" s="100" t="s">
        <v>622</v>
      </c>
      <c r="AF163" s="100" t="s">
        <v>622</v>
      </c>
      <c r="AG163" s="97" t="s">
        <v>622</v>
      </c>
      <c r="AH163" s="100" t="s">
        <v>622</v>
      </c>
      <c r="AI163" s="100" t="s">
        <v>622</v>
      </c>
      <c r="AJ163" s="100" t="s">
        <v>622</v>
      </c>
      <c r="AK163" s="100" t="s">
        <v>622</v>
      </c>
      <c r="AL163" s="100" t="s">
        <v>622</v>
      </c>
      <c r="AM163" s="100" t="s">
        <v>622</v>
      </c>
      <c r="AN163" s="100" t="s">
        <v>622</v>
      </c>
      <c r="AO163" s="100" t="s">
        <v>622</v>
      </c>
      <c r="AP163" s="100" t="s">
        <v>622</v>
      </c>
      <c r="AQ163" s="100" t="s">
        <v>622</v>
      </c>
      <c r="AR163" s="283"/>
      <c r="AS163" s="100" t="s">
        <v>622</v>
      </c>
      <c r="AT163" s="100" t="s">
        <v>622</v>
      </c>
      <c r="AU163" s="100" t="s">
        <v>622</v>
      </c>
      <c r="AV163" s="100" t="s">
        <v>622</v>
      </c>
      <c r="AW163" s="100" t="s">
        <v>622</v>
      </c>
      <c r="AX163" s="100" t="s">
        <v>622</v>
      </c>
      <c r="AY163" s="100" t="s">
        <v>622</v>
      </c>
      <c r="AZ163" s="100" t="s">
        <v>622</v>
      </c>
      <c r="BA163" s="100" t="s">
        <v>622</v>
      </c>
      <c r="BB163" s="100" t="s">
        <v>622</v>
      </c>
      <c r="BC163" s="100" t="s">
        <v>622</v>
      </c>
      <c r="BD163" s="100" t="s">
        <v>622</v>
      </c>
      <c r="BE163" s="100" t="s">
        <v>622</v>
      </c>
      <c r="BF163" s="100" t="s">
        <v>622</v>
      </c>
      <c r="BG163" s="100" t="s">
        <v>622</v>
      </c>
      <c r="BH163" s="100" t="s">
        <v>622</v>
      </c>
      <c r="BI163" s="100" t="s">
        <v>622</v>
      </c>
      <c r="BJ163" s="100" t="s">
        <v>622</v>
      </c>
      <c r="BK163" s="100" t="s">
        <v>622</v>
      </c>
      <c r="BL163" s="97" t="s">
        <v>622</v>
      </c>
      <c r="BM163" s="100" t="s">
        <v>622</v>
      </c>
      <c r="BN163" s="100" t="s">
        <v>622</v>
      </c>
      <c r="BO163" s="100" t="s">
        <v>622</v>
      </c>
      <c r="BP163" s="100" t="s">
        <v>622</v>
      </c>
      <c r="BQ163" s="100" t="s">
        <v>622</v>
      </c>
    </row>
    <row r="164" spans="1:69" ht="12" customHeight="1" outlineLevel="1">
      <c r="C164" s="19"/>
      <c r="D164" s="19"/>
      <c r="AH164" s="19"/>
      <c r="AI164" s="19"/>
      <c r="AJ164" s="19"/>
      <c r="AK164" s="19"/>
      <c r="AL164" s="19"/>
      <c r="AM164" s="19"/>
      <c r="AN164" s="19"/>
      <c r="AO164" s="19"/>
      <c r="AP164" s="19"/>
      <c r="AQ164" s="19"/>
      <c r="AS164" s="19"/>
      <c r="AT164" s="19"/>
      <c r="AU164" s="19"/>
      <c r="AV164" s="19"/>
      <c r="AW164" s="19"/>
    </row>
    <row r="165" spans="1:69" ht="12" customHeight="1" outlineLevel="1">
      <c r="B165" s="9" t="s">
        <v>192</v>
      </c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20"/>
      <c r="AH165" s="19"/>
      <c r="AI165" s="19"/>
      <c r="AJ165" s="19"/>
      <c r="AK165" s="19"/>
      <c r="AL165" s="19"/>
      <c r="AM165" s="19"/>
      <c r="AN165" s="19"/>
      <c r="AO165" s="19"/>
      <c r="AP165" s="19"/>
      <c r="AQ165" s="19"/>
      <c r="AS165" s="19"/>
      <c r="AT165" s="19"/>
      <c r="AU165" s="19"/>
      <c r="AV165" s="19"/>
      <c r="AW165" s="19"/>
    </row>
    <row r="166" spans="1:69" ht="12" customHeight="1" outlineLevel="1">
      <c r="B166" s="1" t="s">
        <v>163</v>
      </c>
      <c r="D166" s="21">
        <v>23700</v>
      </c>
      <c r="E166" s="21">
        <v>20100</v>
      </c>
      <c r="F166" s="21">
        <v>24100</v>
      </c>
      <c r="G166" s="21">
        <v>23800</v>
      </c>
      <c r="H166" s="21">
        <v>25800</v>
      </c>
      <c r="I166" s="21">
        <v>20900</v>
      </c>
      <c r="J166" s="21">
        <v>20800</v>
      </c>
      <c r="K166" s="21">
        <v>18000</v>
      </c>
      <c r="L166" s="21">
        <v>19400</v>
      </c>
      <c r="M166" s="21">
        <v>17300</v>
      </c>
      <c r="N166" s="21">
        <v>19500</v>
      </c>
      <c r="O166" s="21">
        <v>23800</v>
      </c>
      <c r="P166" s="21">
        <v>26500</v>
      </c>
      <c r="Q166" s="21">
        <v>28900</v>
      </c>
      <c r="R166" s="21">
        <v>18700</v>
      </c>
      <c r="S166" s="21">
        <v>20000</v>
      </c>
      <c r="T166" s="21">
        <v>22800</v>
      </c>
      <c r="U166" s="21">
        <v>23600</v>
      </c>
      <c r="V166" s="21">
        <v>21400</v>
      </c>
      <c r="W166" s="21">
        <v>24300</v>
      </c>
      <c r="X166" s="21">
        <v>21900</v>
      </c>
      <c r="Y166" s="21">
        <v>33600</v>
      </c>
      <c r="Z166" s="21">
        <v>32900</v>
      </c>
      <c r="AA166" s="21">
        <v>51000</v>
      </c>
      <c r="AB166" s="21">
        <v>46600</v>
      </c>
      <c r="AC166" s="21">
        <v>78600</v>
      </c>
      <c r="AD166" s="21">
        <v>85000</v>
      </c>
      <c r="AE166" s="21">
        <v>70000</v>
      </c>
      <c r="AF166" s="21">
        <v>72000</v>
      </c>
      <c r="AG166" s="24">
        <v>63000</v>
      </c>
      <c r="AH166" s="19">
        <v>65342.975206611576</v>
      </c>
      <c r="AI166" s="19">
        <v>67786.464049586793</v>
      </c>
      <c r="AJ166" s="19">
        <v>69266.019440082659</v>
      </c>
      <c r="AK166" s="19">
        <v>70780.412653233478</v>
      </c>
      <c r="AL166" s="19">
        <v>72330.493123984546</v>
      </c>
      <c r="AM166" s="19">
        <v>73917.131308048614</v>
      </c>
      <c r="AN166" s="19">
        <v>75541.219205273912</v>
      </c>
      <c r="AO166" s="19">
        <v>77203.670896075084</v>
      </c>
      <c r="AP166" s="19">
        <v>78905.423091252975</v>
      </c>
      <c r="AQ166" s="19">
        <v>80647.435695538094</v>
      </c>
      <c r="AS166" s="21"/>
      <c r="AT166" s="21"/>
      <c r="AU166" s="21"/>
      <c r="AV166" s="21">
        <v>18700</v>
      </c>
      <c r="AW166" s="21">
        <v>25500</v>
      </c>
      <c r="AX166" s="19">
        <v>20100</v>
      </c>
      <c r="AY166" s="19">
        <v>23800</v>
      </c>
      <c r="AZ166" s="19">
        <v>20900</v>
      </c>
      <c r="BA166" s="19">
        <v>18000</v>
      </c>
      <c r="BB166" s="19">
        <v>17300</v>
      </c>
      <c r="BC166" s="19">
        <v>23800</v>
      </c>
      <c r="BD166" s="19">
        <v>28900</v>
      </c>
      <c r="BE166" s="19">
        <v>20000</v>
      </c>
      <c r="BF166" s="19">
        <v>23600</v>
      </c>
      <c r="BG166" s="19">
        <v>24300</v>
      </c>
      <c r="BH166" s="19">
        <v>33600</v>
      </c>
      <c r="BI166" s="19">
        <v>51000</v>
      </c>
      <c r="BJ166" s="19">
        <v>78600</v>
      </c>
      <c r="BK166" s="19">
        <v>70000</v>
      </c>
      <c r="BL166" s="20">
        <v>63000</v>
      </c>
      <c r="BM166" s="19">
        <v>67786.464049586793</v>
      </c>
      <c r="BN166" s="19">
        <v>70780.412653233478</v>
      </c>
      <c r="BO166" s="19">
        <v>73917.131308048614</v>
      </c>
      <c r="BP166" s="19">
        <v>77203.670896075084</v>
      </c>
      <c r="BQ166" s="19">
        <v>80647.435695538094</v>
      </c>
    </row>
    <row r="167" spans="1:69" ht="12" customHeight="1" outlineLevel="1">
      <c r="B167" s="1" t="s">
        <v>164</v>
      </c>
      <c r="D167" s="21">
        <v>0</v>
      </c>
      <c r="E167" s="21">
        <v>0</v>
      </c>
      <c r="F167" s="21">
        <v>0</v>
      </c>
      <c r="G167" s="21">
        <v>0</v>
      </c>
      <c r="H167" s="21">
        <v>0</v>
      </c>
      <c r="I167" s="21">
        <v>3000</v>
      </c>
      <c r="J167" s="21">
        <v>4500</v>
      </c>
      <c r="K167" s="21">
        <v>6200</v>
      </c>
      <c r="L167" s="21">
        <v>6200</v>
      </c>
      <c r="M167" s="21">
        <v>7400</v>
      </c>
      <c r="N167" s="21">
        <v>7900</v>
      </c>
      <c r="O167" s="21">
        <v>9500</v>
      </c>
      <c r="P167" s="21">
        <v>10400</v>
      </c>
      <c r="Q167" s="21">
        <v>13900</v>
      </c>
      <c r="R167" s="21">
        <v>15400</v>
      </c>
      <c r="S167" s="21">
        <v>16500</v>
      </c>
      <c r="T167" s="21">
        <v>16700</v>
      </c>
      <c r="U167" s="21">
        <v>15500</v>
      </c>
      <c r="V167" s="21">
        <v>17200</v>
      </c>
      <c r="W167" s="21">
        <v>21100</v>
      </c>
      <c r="X167" s="21">
        <v>23600</v>
      </c>
      <c r="Y167" s="21">
        <v>23500</v>
      </c>
      <c r="Z167" s="21">
        <v>13700</v>
      </c>
      <c r="AA167" s="21">
        <v>0</v>
      </c>
      <c r="AB167" s="21">
        <v>15500</v>
      </c>
      <c r="AC167" s="21">
        <v>0</v>
      </c>
      <c r="AD167" s="21">
        <v>0</v>
      </c>
      <c r="AE167" s="21">
        <v>0</v>
      </c>
      <c r="AF167" s="21">
        <v>0</v>
      </c>
      <c r="AG167" s="24">
        <v>0</v>
      </c>
      <c r="AH167" s="19">
        <v>0</v>
      </c>
      <c r="AI167" s="19">
        <v>0</v>
      </c>
      <c r="AJ167" s="19">
        <v>0</v>
      </c>
      <c r="AK167" s="19">
        <v>0</v>
      </c>
      <c r="AL167" s="19">
        <v>0</v>
      </c>
      <c r="AM167" s="19">
        <v>0</v>
      </c>
      <c r="AN167" s="19">
        <v>0</v>
      </c>
      <c r="AO167" s="19">
        <v>0</v>
      </c>
      <c r="AP167" s="19">
        <v>0</v>
      </c>
      <c r="AQ167" s="19">
        <v>0</v>
      </c>
      <c r="AS167" s="21"/>
      <c r="AT167" s="21"/>
      <c r="AU167" s="21"/>
      <c r="AV167" s="21">
        <v>0</v>
      </c>
      <c r="AW167" s="21">
        <v>0</v>
      </c>
      <c r="AX167" s="19">
        <v>0</v>
      </c>
      <c r="AY167" s="19">
        <v>0</v>
      </c>
      <c r="AZ167" s="19">
        <v>3000</v>
      </c>
      <c r="BA167" s="19">
        <v>6200</v>
      </c>
      <c r="BB167" s="19">
        <v>7400</v>
      </c>
      <c r="BC167" s="19">
        <v>9500</v>
      </c>
      <c r="BD167" s="19">
        <v>13900</v>
      </c>
      <c r="BE167" s="19">
        <v>16500</v>
      </c>
      <c r="BF167" s="19">
        <v>15500</v>
      </c>
      <c r="BG167" s="19">
        <v>21100</v>
      </c>
      <c r="BH167" s="19">
        <v>23500</v>
      </c>
      <c r="BI167" s="19">
        <v>0</v>
      </c>
      <c r="BJ167" s="19">
        <v>0</v>
      </c>
      <c r="BK167" s="19">
        <v>0</v>
      </c>
      <c r="BL167" s="20">
        <v>0</v>
      </c>
      <c r="BM167" s="19">
        <v>0</v>
      </c>
      <c r="BN167" s="19">
        <v>0</v>
      </c>
      <c r="BO167" s="19">
        <v>0</v>
      </c>
      <c r="BP167" s="19">
        <v>0</v>
      </c>
      <c r="BQ167" s="19">
        <v>0</v>
      </c>
    </row>
    <row r="168" spans="1:69" ht="12" customHeight="1" outlineLevel="1">
      <c r="B168" s="1" t="s">
        <v>165</v>
      </c>
      <c r="D168" s="21">
        <v>7700</v>
      </c>
      <c r="E168" s="21">
        <v>11300</v>
      </c>
      <c r="F168" s="21">
        <v>13400</v>
      </c>
      <c r="G168" s="21">
        <v>13400</v>
      </c>
      <c r="H168" s="21">
        <v>13300</v>
      </c>
      <c r="I168" s="21">
        <v>14500</v>
      </c>
      <c r="J168" s="21">
        <v>15000</v>
      </c>
      <c r="K168" s="21">
        <v>14500</v>
      </c>
      <c r="L168" s="21">
        <v>13900</v>
      </c>
      <c r="M168" s="21">
        <v>15400</v>
      </c>
      <c r="N168" s="21">
        <v>15200</v>
      </c>
      <c r="O168" s="21">
        <v>20600</v>
      </c>
      <c r="P168" s="21">
        <v>22400</v>
      </c>
      <c r="Q168" s="21">
        <v>20400</v>
      </c>
      <c r="R168" s="21">
        <v>23300</v>
      </c>
      <c r="S168" s="21">
        <v>21800</v>
      </c>
      <c r="T168" s="21">
        <v>17400</v>
      </c>
      <c r="U168" s="21">
        <v>17100</v>
      </c>
      <c r="V168" s="21">
        <v>18800</v>
      </c>
      <c r="W168" s="21">
        <v>20300</v>
      </c>
      <c r="X168" s="21">
        <v>25800</v>
      </c>
      <c r="Y168" s="21">
        <v>22000</v>
      </c>
      <c r="Z168" s="21">
        <v>25700</v>
      </c>
      <c r="AA168" s="21">
        <v>24400</v>
      </c>
      <c r="AB168" s="21">
        <v>30400</v>
      </c>
      <c r="AC168" s="21">
        <v>24300</v>
      </c>
      <c r="AD168" s="21">
        <v>32200</v>
      </c>
      <c r="AE168" s="21">
        <v>39100</v>
      </c>
      <c r="AF168" s="21">
        <v>33400</v>
      </c>
      <c r="AG168" s="24">
        <v>45300</v>
      </c>
      <c r="AH168" s="19">
        <v>46984.710743801654</v>
      </c>
      <c r="AI168" s="19">
        <v>48741.695578512408</v>
      </c>
      <c r="AJ168" s="19">
        <v>49805.566359297532</v>
      </c>
      <c r="AK168" s="19">
        <v>50894.48719351551</v>
      </c>
      <c r="AL168" s="19">
        <v>52009.06886534128</v>
      </c>
      <c r="AM168" s="19">
        <v>53149.937273882577</v>
      </c>
      <c r="AN168" s="19">
        <v>54317.733809506477</v>
      </c>
      <c r="AO168" s="19">
        <v>55513.115739558758</v>
      </c>
      <c r="AP168" s="19">
        <v>56736.756603710484</v>
      </c>
      <c r="AQ168" s="19">
        <v>57989.346619172647</v>
      </c>
      <c r="AS168" s="21"/>
      <c r="AT168" s="21"/>
      <c r="AU168" s="21"/>
      <c r="AV168" s="21">
        <v>11400</v>
      </c>
      <c r="AW168" s="21">
        <v>9100</v>
      </c>
      <c r="AX168" s="19">
        <v>11300</v>
      </c>
      <c r="AY168" s="19">
        <v>13400</v>
      </c>
      <c r="AZ168" s="19">
        <v>14500</v>
      </c>
      <c r="BA168" s="19">
        <v>14500</v>
      </c>
      <c r="BB168" s="19">
        <v>15400</v>
      </c>
      <c r="BC168" s="19">
        <v>20600</v>
      </c>
      <c r="BD168" s="19">
        <v>20400</v>
      </c>
      <c r="BE168" s="19">
        <v>21800</v>
      </c>
      <c r="BF168" s="19">
        <v>17100</v>
      </c>
      <c r="BG168" s="19">
        <v>20300</v>
      </c>
      <c r="BH168" s="19">
        <v>22000</v>
      </c>
      <c r="BI168" s="19">
        <v>24400</v>
      </c>
      <c r="BJ168" s="19">
        <v>24300</v>
      </c>
      <c r="BK168" s="19">
        <v>39100</v>
      </c>
      <c r="BL168" s="20">
        <v>45300</v>
      </c>
      <c r="BM168" s="19">
        <v>48741.695578512408</v>
      </c>
      <c r="BN168" s="19">
        <v>50894.48719351551</v>
      </c>
      <c r="BO168" s="19">
        <v>53149.937273882577</v>
      </c>
      <c r="BP168" s="19">
        <v>55513.115739558758</v>
      </c>
      <c r="BQ168" s="19">
        <v>57989.346619172647</v>
      </c>
    </row>
    <row r="169" spans="1:69" ht="12" customHeight="1" outlineLevel="1">
      <c r="B169" s="1" t="s">
        <v>166</v>
      </c>
      <c r="D169" s="21">
        <v>5700</v>
      </c>
      <c r="E169" s="21">
        <v>6800</v>
      </c>
      <c r="F169" s="21">
        <v>7700</v>
      </c>
      <c r="G169" s="21">
        <v>7200</v>
      </c>
      <c r="H169" s="21">
        <v>8100</v>
      </c>
      <c r="I169" s="21">
        <v>7300</v>
      </c>
      <c r="J169" s="21">
        <v>8900</v>
      </c>
      <c r="K169" s="21">
        <v>9600</v>
      </c>
      <c r="L169" s="21">
        <v>11600</v>
      </c>
      <c r="M169" s="21">
        <v>11700</v>
      </c>
      <c r="N169" s="21">
        <v>11000</v>
      </c>
      <c r="O169" s="21">
        <v>11000</v>
      </c>
      <c r="P169" s="21">
        <v>10700</v>
      </c>
      <c r="Q169" s="21">
        <v>12500</v>
      </c>
      <c r="R169" s="21">
        <v>14400</v>
      </c>
      <c r="S169" s="21">
        <v>13600</v>
      </c>
      <c r="T169" s="21">
        <v>13300</v>
      </c>
      <c r="U169" s="21">
        <v>14100</v>
      </c>
      <c r="V169" s="21">
        <v>15000</v>
      </c>
      <c r="W169" s="21">
        <v>12600</v>
      </c>
      <c r="X169" s="21">
        <v>12700</v>
      </c>
      <c r="Y169" s="21">
        <v>12200</v>
      </c>
      <c r="Z169" s="21">
        <v>11100</v>
      </c>
      <c r="AA169" s="21">
        <v>10900</v>
      </c>
      <c r="AB169" s="21">
        <v>11200</v>
      </c>
      <c r="AC169" s="21">
        <v>12200</v>
      </c>
      <c r="AD169" s="21">
        <v>11600</v>
      </c>
      <c r="AE169" s="21">
        <v>13500</v>
      </c>
      <c r="AF169" s="21">
        <v>12600</v>
      </c>
      <c r="AG169" s="24">
        <v>12700</v>
      </c>
      <c r="AH169" s="25">
        <v>13172.314049586777</v>
      </c>
      <c r="AI169" s="25">
        <v>13664.890371900827</v>
      </c>
      <c r="AJ169" s="25">
        <v>13963.149950619834</v>
      </c>
      <c r="AK169" s="25">
        <v>14268.432392001032</v>
      </c>
      <c r="AL169" s="25">
        <v>14580.908931342916</v>
      </c>
      <c r="AM169" s="25">
        <v>14900.755041463764</v>
      </c>
      <c r="AN169" s="25">
        <v>15228.15053820601</v>
      </c>
      <c r="AO169" s="25">
        <v>15563.279688573866</v>
      </c>
      <c r="AP169" s="25">
        <v>15906.331321570047</v>
      </c>
      <c r="AQ169" s="25">
        <v>16257.498941798953</v>
      </c>
      <c r="AS169" s="21"/>
      <c r="AT169" s="21"/>
      <c r="AU169" s="21"/>
      <c r="AV169" s="21">
        <v>11500</v>
      </c>
      <c r="AW169" s="21">
        <v>5600</v>
      </c>
      <c r="AX169" s="19">
        <v>6800</v>
      </c>
      <c r="AY169" s="19">
        <v>7200</v>
      </c>
      <c r="AZ169" s="19">
        <v>7300</v>
      </c>
      <c r="BA169" s="19">
        <v>9600</v>
      </c>
      <c r="BB169" s="19">
        <v>11700</v>
      </c>
      <c r="BC169" s="19">
        <v>11000</v>
      </c>
      <c r="BD169" s="19">
        <v>12500</v>
      </c>
      <c r="BE169" s="19">
        <v>13600</v>
      </c>
      <c r="BF169" s="19">
        <v>14100</v>
      </c>
      <c r="BG169" s="19">
        <v>12600</v>
      </c>
      <c r="BH169" s="19">
        <v>12200</v>
      </c>
      <c r="BI169" s="19">
        <v>10900</v>
      </c>
      <c r="BJ169" s="19">
        <v>12200</v>
      </c>
      <c r="BK169" s="19">
        <v>13500</v>
      </c>
      <c r="BL169" s="20">
        <v>12700</v>
      </c>
      <c r="BM169" s="19">
        <v>13664.890371900827</v>
      </c>
      <c r="BN169" s="19">
        <v>14268.432392001032</v>
      </c>
      <c r="BO169" s="19">
        <v>14900.755041463764</v>
      </c>
      <c r="BP169" s="19">
        <v>15563.279688573866</v>
      </c>
      <c r="BQ169" s="19">
        <v>16257.498941798953</v>
      </c>
    </row>
    <row r="170" spans="1:69" ht="12" customHeight="1" outlineLevel="1">
      <c r="B170" s="1" t="s">
        <v>167</v>
      </c>
      <c r="D170" s="21">
        <v>18500</v>
      </c>
      <c r="E170" s="21">
        <v>21300</v>
      </c>
      <c r="F170" s="21">
        <v>23300</v>
      </c>
      <c r="G170" s="21">
        <v>26200</v>
      </c>
      <c r="H170" s="21">
        <v>27600</v>
      </c>
      <c r="I170" s="21">
        <v>25800</v>
      </c>
      <c r="J170" s="21">
        <v>25100</v>
      </c>
      <c r="K170" s="21">
        <v>25700</v>
      </c>
      <c r="L170" s="21">
        <v>26700</v>
      </c>
      <c r="M170" s="21">
        <v>26900</v>
      </c>
      <c r="N170" s="21">
        <v>29800</v>
      </c>
      <c r="O170" s="21">
        <v>33600</v>
      </c>
      <c r="P170" s="21">
        <v>38400</v>
      </c>
      <c r="Q170" s="21">
        <v>41100</v>
      </c>
      <c r="R170" s="21">
        <v>37100</v>
      </c>
      <c r="S170" s="21">
        <v>36100</v>
      </c>
      <c r="T170" s="21">
        <v>39000</v>
      </c>
      <c r="U170" s="21">
        <v>44700</v>
      </c>
      <c r="V170" s="21">
        <v>46800</v>
      </c>
      <c r="W170" s="21">
        <v>35000</v>
      </c>
      <c r="X170" s="21">
        <v>38300</v>
      </c>
      <c r="Y170" s="21">
        <v>41700</v>
      </c>
      <c r="Z170" s="21">
        <v>64700</v>
      </c>
      <c r="AA170" s="21">
        <v>76900</v>
      </c>
      <c r="AB170" s="21">
        <v>85400</v>
      </c>
      <c r="AC170" s="21">
        <v>106500</v>
      </c>
      <c r="AD170" s="21">
        <v>122900</v>
      </c>
      <c r="AE170" s="21">
        <v>131500</v>
      </c>
      <c r="AF170" s="21">
        <v>140100</v>
      </c>
      <c r="AG170" s="24">
        <v>147300</v>
      </c>
      <c r="AH170" s="25">
        <v>152778.09917355372</v>
      </c>
      <c r="AI170" s="25">
        <v>158491.20880165292</v>
      </c>
      <c r="AJ170" s="25">
        <v>161950.55021466943</v>
      </c>
      <c r="AK170" s="25">
        <v>165491.34577494112</v>
      </c>
      <c r="AL170" s="25">
        <v>169115.58154226863</v>
      </c>
      <c r="AM170" s="25">
        <v>172825.29272500888</v>
      </c>
      <c r="AN170" s="25">
        <v>176622.56490375946</v>
      </c>
      <c r="AO170" s="25">
        <v>180509.53528558507</v>
      </c>
      <c r="AP170" s="25">
        <v>184488.39398954861</v>
      </c>
      <c r="AQ170" s="25">
        <v>188561.38536432953</v>
      </c>
      <c r="AS170" s="21"/>
      <c r="AT170" s="21"/>
      <c r="AU170" s="21"/>
      <c r="AV170" s="21">
        <v>13800</v>
      </c>
      <c r="AW170" s="21">
        <v>17900</v>
      </c>
      <c r="AX170" s="19">
        <v>21300</v>
      </c>
      <c r="AY170" s="19">
        <v>26200</v>
      </c>
      <c r="AZ170" s="19">
        <v>25800</v>
      </c>
      <c r="BA170" s="19">
        <v>25700</v>
      </c>
      <c r="BB170" s="19">
        <v>26900</v>
      </c>
      <c r="BC170" s="19">
        <v>33600</v>
      </c>
      <c r="BD170" s="19">
        <v>41100</v>
      </c>
      <c r="BE170" s="19">
        <v>36100</v>
      </c>
      <c r="BF170" s="19">
        <v>44700</v>
      </c>
      <c r="BG170" s="19">
        <v>35000</v>
      </c>
      <c r="BH170" s="19">
        <v>41700</v>
      </c>
      <c r="BI170" s="19">
        <v>76900</v>
      </c>
      <c r="BJ170" s="19">
        <v>106500</v>
      </c>
      <c r="BK170" s="19">
        <v>131500</v>
      </c>
      <c r="BL170" s="20">
        <v>147300</v>
      </c>
      <c r="BM170" s="19">
        <v>158491.20880165292</v>
      </c>
      <c r="BN170" s="19">
        <v>165491.34577494112</v>
      </c>
      <c r="BO170" s="19">
        <v>172825.29272500888</v>
      </c>
      <c r="BP170" s="19">
        <v>180509.53528558507</v>
      </c>
      <c r="BQ170" s="19">
        <v>188561.38536432953</v>
      </c>
    </row>
    <row r="171" spans="1:69" ht="12" customHeight="1" outlineLevel="1">
      <c r="B171" s="1" t="s">
        <v>168</v>
      </c>
      <c r="D171" s="21">
        <v>2300</v>
      </c>
      <c r="E171" s="21">
        <v>2500</v>
      </c>
      <c r="F171" s="21">
        <v>3200</v>
      </c>
      <c r="G171" s="21">
        <v>2600</v>
      </c>
      <c r="H171" s="21">
        <v>3500</v>
      </c>
      <c r="I171" s="21">
        <v>2300</v>
      </c>
      <c r="J171" s="21">
        <v>2200</v>
      </c>
      <c r="K171" s="21">
        <v>2100</v>
      </c>
      <c r="L171" s="21">
        <v>2800</v>
      </c>
      <c r="M171" s="21">
        <v>2600</v>
      </c>
      <c r="N171" s="62">
        <v>2700</v>
      </c>
      <c r="O171" s="62">
        <v>3100</v>
      </c>
      <c r="P171" s="62">
        <v>2400</v>
      </c>
      <c r="Q171" s="62">
        <v>2200</v>
      </c>
      <c r="R171" s="62">
        <v>2000</v>
      </c>
      <c r="S171" s="62">
        <v>1900</v>
      </c>
      <c r="T171" s="62">
        <v>1400</v>
      </c>
      <c r="U171" s="62">
        <v>1300</v>
      </c>
      <c r="V171" s="62">
        <v>1300</v>
      </c>
      <c r="W171" s="62">
        <v>1100</v>
      </c>
      <c r="X171" s="62">
        <v>1100</v>
      </c>
      <c r="Y171" s="62">
        <v>1700</v>
      </c>
      <c r="Z171" s="62">
        <v>1100</v>
      </c>
      <c r="AA171" s="62">
        <v>1300</v>
      </c>
      <c r="AB171" s="62">
        <v>1300</v>
      </c>
      <c r="AC171" s="62">
        <v>1400</v>
      </c>
      <c r="AD171" s="62">
        <v>3600</v>
      </c>
      <c r="AE171" s="62">
        <v>2400</v>
      </c>
      <c r="AF171" s="62">
        <v>2500</v>
      </c>
      <c r="AG171" s="57">
        <v>2600</v>
      </c>
      <c r="AH171" s="58">
        <v>2600</v>
      </c>
      <c r="AI171" s="58">
        <v>2600</v>
      </c>
      <c r="AJ171" s="58">
        <v>2600</v>
      </c>
      <c r="AK171" s="58">
        <v>2600</v>
      </c>
      <c r="AL171" s="58">
        <v>2600</v>
      </c>
      <c r="AM171" s="58">
        <v>2600</v>
      </c>
      <c r="AN171" s="58">
        <v>2600</v>
      </c>
      <c r="AO171" s="58">
        <v>2600</v>
      </c>
      <c r="AP171" s="58">
        <v>2600</v>
      </c>
      <c r="AQ171" s="58">
        <v>2600</v>
      </c>
      <c r="AS171" s="21"/>
      <c r="AT171" s="21"/>
      <c r="AU171" s="21"/>
      <c r="AV171" s="21">
        <v>1900</v>
      </c>
      <c r="AW171" s="21">
        <v>600</v>
      </c>
      <c r="AX171" s="19">
        <v>2500</v>
      </c>
      <c r="AY171" s="19">
        <v>2600</v>
      </c>
      <c r="AZ171" s="19">
        <v>2300</v>
      </c>
      <c r="BA171" s="19">
        <v>2100</v>
      </c>
      <c r="BB171" s="19">
        <v>2600</v>
      </c>
      <c r="BC171" s="19">
        <v>3100</v>
      </c>
      <c r="BD171" s="19">
        <v>2200</v>
      </c>
      <c r="BE171" s="19">
        <v>1900</v>
      </c>
      <c r="BF171" s="19">
        <v>1300</v>
      </c>
      <c r="BG171" s="19">
        <v>1100</v>
      </c>
      <c r="BH171" s="19">
        <v>1700</v>
      </c>
      <c r="BI171" s="19">
        <v>1300</v>
      </c>
      <c r="BJ171" s="19">
        <v>1400</v>
      </c>
      <c r="BK171" s="19">
        <v>2400</v>
      </c>
      <c r="BL171" s="20">
        <v>2600</v>
      </c>
      <c r="BM171" s="19">
        <v>2600</v>
      </c>
      <c r="BN171" s="19">
        <v>2600</v>
      </c>
      <c r="BO171" s="19">
        <v>2600</v>
      </c>
      <c r="BP171" s="19">
        <v>2600</v>
      </c>
      <c r="BQ171" s="19">
        <v>2600</v>
      </c>
    </row>
    <row r="172" spans="1:69" ht="12" customHeight="1" outlineLevel="1">
      <c r="B172" s="1" t="s">
        <v>169</v>
      </c>
      <c r="D172" s="21">
        <v>1900</v>
      </c>
      <c r="E172" s="21">
        <v>1700</v>
      </c>
      <c r="F172" s="21">
        <v>1800</v>
      </c>
      <c r="G172" s="21">
        <v>1800</v>
      </c>
      <c r="H172" s="21">
        <v>1700</v>
      </c>
      <c r="I172" s="21">
        <v>1400</v>
      </c>
      <c r="J172" s="21">
        <v>1200</v>
      </c>
      <c r="K172" s="21">
        <v>1100</v>
      </c>
      <c r="L172" s="21">
        <v>1100</v>
      </c>
      <c r="M172" s="21">
        <v>1000</v>
      </c>
      <c r="N172" s="21">
        <v>1100</v>
      </c>
      <c r="O172" s="21">
        <v>1100</v>
      </c>
      <c r="P172" s="21">
        <v>1100</v>
      </c>
      <c r="Q172" s="21">
        <v>1100</v>
      </c>
      <c r="R172" s="21">
        <v>800</v>
      </c>
      <c r="S172" s="21">
        <v>800</v>
      </c>
      <c r="T172" s="21">
        <v>800</v>
      </c>
      <c r="U172" s="21">
        <v>800</v>
      </c>
      <c r="V172" s="21">
        <v>800</v>
      </c>
      <c r="W172" s="21">
        <v>400</v>
      </c>
      <c r="X172" s="21">
        <v>400</v>
      </c>
      <c r="Y172" s="21">
        <v>400</v>
      </c>
      <c r="Z172" s="21">
        <v>400</v>
      </c>
      <c r="AA172" s="21">
        <v>500</v>
      </c>
      <c r="AB172" s="21">
        <v>500</v>
      </c>
      <c r="AC172" s="21">
        <v>600</v>
      </c>
      <c r="AD172" s="21">
        <v>700</v>
      </c>
      <c r="AE172" s="21">
        <v>700</v>
      </c>
      <c r="AF172" s="21">
        <v>700</v>
      </c>
      <c r="AG172" s="24">
        <v>700</v>
      </c>
      <c r="AH172" s="25">
        <v>721</v>
      </c>
      <c r="AI172" s="25">
        <v>742.63000000000011</v>
      </c>
      <c r="AJ172" s="25">
        <v>764.90890000000013</v>
      </c>
      <c r="AK172" s="25">
        <v>787.85616700000003</v>
      </c>
      <c r="AL172" s="25">
        <v>811.49185201000012</v>
      </c>
      <c r="AM172" s="25">
        <v>835.8366075703002</v>
      </c>
      <c r="AN172" s="25">
        <v>860.91170579740913</v>
      </c>
      <c r="AO172" s="25">
        <v>886.73905697133159</v>
      </c>
      <c r="AP172" s="25">
        <v>913.34122868047143</v>
      </c>
      <c r="AQ172" s="25">
        <v>940.74146554088577</v>
      </c>
      <c r="AS172" s="21"/>
      <c r="AT172" s="21"/>
      <c r="AU172" s="21"/>
      <c r="AV172" s="21">
        <v>2400</v>
      </c>
      <c r="AW172" s="21">
        <v>2200</v>
      </c>
      <c r="AX172" s="19">
        <v>1700</v>
      </c>
      <c r="AY172" s="19">
        <v>1800</v>
      </c>
      <c r="AZ172" s="19">
        <v>1400</v>
      </c>
      <c r="BA172" s="19">
        <v>1100</v>
      </c>
      <c r="BB172" s="19">
        <v>1000</v>
      </c>
      <c r="BC172" s="19">
        <v>1100</v>
      </c>
      <c r="BD172" s="19">
        <v>1100</v>
      </c>
      <c r="BE172" s="19">
        <v>800</v>
      </c>
      <c r="BF172" s="19">
        <v>800</v>
      </c>
      <c r="BG172" s="19">
        <v>400</v>
      </c>
      <c r="BH172" s="19">
        <v>400</v>
      </c>
      <c r="BI172" s="19">
        <v>500</v>
      </c>
      <c r="BJ172" s="19">
        <v>600</v>
      </c>
      <c r="BK172" s="19">
        <v>700</v>
      </c>
      <c r="BL172" s="20">
        <v>700</v>
      </c>
      <c r="BM172" s="19">
        <v>742.63000000000011</v>
      </c>
      <c r="BN172" s="19">
        <v>787.85616700000003</v>
      </c>
      <c r="BO172" s="19">
        <v>835.8366075703002</v>
      </c>
      <c r="BP172" s="19">
        <v>886.73905697133159</v>
      </c>
      <c r="BQ172" s="19">
        <v>940.74146554088577</v>
      </c>
    </row>
    <row r="173" spans="1:69" ht="12" customHeight="1" outlineLevel="1">
      <c r="B173" s="1" t="s">
        <v>171</v>
      </c>
      <c r="D173" s="21">
        <v>1400</v>
      </c>
      <c r="E173" s="21">
        <v>1200</v>
      </c>
      <c r="F173" s="21">
        <v>1200</v>
      </c>
      <c r="G173" s="21">
        <v>700</v>
      </c>
      <c r="H173" s="21">
        <v>0</v>
      </c>
      <c r="I173" s="21">
        <v>0</v>
      </c>
      <c r="J173" s="21">
        <v>0</v>
      </c>
      <c r="K173" s="21">
        <v>0</v>
      </c>
      <c r="L173" s="21">
        <v>0</v>
      </c>
      <c r="M173" s="21">
        <v>0</v>
      </c>
      <c r="N173" s="62">
        <v>0</v>
      </c>
      <c r="O173" s="62">
        <v>0</v>
      </c>
      <c r="P173" s="62">
        <v>0</v>
      </c>
      <c r="Q173" s="62">
        <v>0</v>
      </c>
      <c r="R173" s="62">
        <v>0</v>
      </c>
      <c r="S173" s="62">
        <v>0</v>
      </c>
      <c r="T173" s="62">
        <v>0</v>
      </c>
      <c r="U173" s="62">
        <v>0</v>
      </c>
      <c r="V173" s="62">
        <v>0</v>
      </c>
      <c r="W173" s="62">
        <v>0</v>
      </c>
      <c r="X173" s="62">
        <v>0</v>
      </c>
      <c r="Y173" s="62">
        <v>0</v>
      </c>
      <c r="Z173" s="62">
        <v>0</v>
      </c>
      <c r="AA173" s="62">
        <v>0</v>
      </c>
      <c r="AB173" s="62">
        <v>0</v>
      </c>
      <c r="AC173" s="62">
        <v>0</v>
      </c>
      <c r="AD173" s="62">
        <v>0</v>
      </c>
      <c r="AE173" s="62">
        <v>0</v>
      </c>
      <c r="AF173" s="62">
        <v>0</v>
      </c>
      <c r="AG173" s="57">
        <v>0</v>
      </c>
      <c r="AH173" s="58">
        <v>0</v>
      </c>
      <c r="AI173" s="58">
        <v>0</v>
      </c>
      <c r="AJ173" s="58">
        <v>0</v>
      </c>
      <c r="AK173" s="58">
        <v>0</v>
      </c>
      <c r="AL173" s="58">
        <v>0</v>
      </c>
      <c r="AM173" s="58">
        <v>0</v>
      </c>
      <c r="AN173" s="58">
        <v>0</v>
      </c>
      <c r="AO173" s="58">
        <v>0</v>
      </c>
      <c r="AP173" s="58">
        <v>0</v>
      </c>
      <c r="AQ173" s="58">
        <v>0</v>
      </c>
      <c r="AS173" s="21"/>
      <c r="AT173" s="21"/>
      <c r="AU173" s="21"/>
      <c r="AV173" s="21">
        <v>8800</v>
      </c>
      <c r="AW173" s="21">
        <v>3800</v>
      </c>
      <c r="AX173" s="19">
        <v>1200</v>
      </c>
      <c r="AY173" s="19">
        <v>700</v>
      </c>
      <c r="AZ173" s="19">
        <v>0</v>
      </c>
      <c r="BA173" s="19">
        <v>0</v>
      </c>
      <c r="BB173" s="19">
        <v>0</v>
      </c>
      <c r="BC173" s="19">
        <v>0</v>
      </c>
      <c r="BD173" s="19">
        <v>0</v>
      </c>
      <c r="BE173" s="19">
        <v>0</v>
      </c>
      <c r="BF173" s="19">
        <v>0</v>
      </c>
      <c r="BG173" s="19">
        <v>0</v>
      </c>
      <c r="BH173" s="19">
        <v>0</v>
      </c>
      <c r="BI173" s="19">
        <v>0</v>
      </c>
      <c r="BJ173" s="19">
        <v>0</v>
      </c>
      <c r="BK173" s="19">
        <v>0</v>
      </c>
      <c r="BL173" s="20">
        <v>0</v>
      </c>
      <c r="BM173" s="19">
        <v>0</v>
      </c>
      <c r="BN173" s="19">
        <v>0</v>
      </c>
      <c r="BO173" s="19">
        <v>0</v>
      </c>
      <c r="BP173" s="19">
        <v>0</v>
      </c>
      <c r="BQ173" s="19">
        <v>0</v>
      </c>
    </row>
    <row r="174" spans="1:69" ht="12" customHeight="1" outlineLevel="1">
      <c r="B174" s="1" t="s">
        <v>172</v>
      </c>
      <c r="D174" s="21">
        <v>-5500</v>
      </c>
      <c r="E174" s="21">
        <v>-6900</v>
      </c>
      <c r="F174" s="21">
        <v>-6400</v>
      </c>
      <c r="G174" s="21">
        <v>-4600</v>
      </c>
      <c r="H174" s="21">
        <v>-3400</v>
      </c>
      <c r="I174" s="21">
        <v>-1700</v>
      </c>
      <c r="J174" s="21">
        <v>-2500</v>
      </c>
      <c r="K174" s="21">
        <v>-4200</v>
      </c>
      <c r="L174" s="21">
        <v>-3600</v>
      </c>
      <c r="M174" s="21">
        <v>-5000</v>
      </c>
      <c r="N174" s="62">
        <v>-3700</v>
      </c>
      <c r="O174" s="62">
        <v>-6400</v>
      </c>
      <c r="P174" s="62">
        <v>-6300</v>
      </c>
      <c r="Q174" s="62">
        <v>-6200</v>
      </c>
      <c r="R174" s="62">
        <v>-5200</v>
      </c>
      <c r="S174" s="62">
        <v>-6700</v>
      </c>
      <c r="T174" s="62">
        <v>-4200</v>
      </c>
      <c r="U174" s="62">
        <v>-12900</v>
      </c>
      <c r="V174" s="62">
        <v>-14100</v>
      </c>
      <c r="W174" s="62">
        <v>-14800</v>
      </c>
      <c r="X174" s="62">
        <v>-14200</v>
      </c>
      <c r="Y174" s="62">
        <v>-12200</v>
      </c>
      <c r="Z174" s="62">
        <v>-9900</v>
      </c>
      <c r="AA174" s="62">
        <v>-12400</v>
      </c>
      <c r="AB174" s="62">
        <v>-6400</v>
      </c>
      <c r="AC174" s="62">
        <v>-8300</v>
      </c>
      <c r="AD174" s="62">
        <v>-9100</v>
      </c>
      <c r="AE174" s="62">
        <v>-10000</v>
      </c>
      <c r="AF174" s="62">
        <v>-8500</v>
      </c>
      <c r="AG174" s="57">
        <v>-7300</v>
      </c>
      <c r="AH174" s="58">
        <v>-7300</v>
      </c>
      <c r="AI174" s="58">
        <v>-7300</v>
      </c>
      <c r="AJ174" s="58">
        <v>-7300</v>
      </c>
      <c r="AK174" s="58">
        <v>-7300</v>
      </c>
      <c r="AL174" s="58">
        <v>-7300</v>
      </c>
      <c r="AM174" s="58">
        <v>-7300</v>
      </c>
      <c r="AN174" s="58">
        <v>-7300</v>
      </c>
      <c r="AO174" s="58">
        <v>-7300</v>
      </c>
      <c r="AP174" s="58">
        <v>-7300</v>
      </c>
      <c r="AQ174" s="58">
        <v>-7300</v>
      </c>
      <c r="AS174" s="21"/>
      <c r="AT174" s="21"/>
      <c r="AU174" s="21"/>
      <c r="AV174" s="21">
        <v>-5800</v>
      </c>
      <c r="AW174" s="21">
        <v>-2500</v>
      </c>
      <c r="AX174" s="19">
        <v>-6900</v>
      </c>
      <c r="AY174" s="19">
        <v>-4600</v>
      </c>
      <c r="AZ174" s="19">
        <v>-1700</v>
      </c>
      <c r="BA174" s="19">
        <v>-4200</v>
      </c>
      <c r="BB174" s="19">
        <v>-5000</v>
      </c>
      <c r="BC174" s="19">
        <v>-6400</v>
      </c>
      <c r="BD174" s="19">
        <v>-6200</v>
      </c>
      <c r="BE174" s="19">
        <v>-6700</v>
      </c>
      <c r="BF174" s="19">
        <v>-12900</v>
      </c>
      <c r="BG174" s="19">
        <v>-14800</v>
      </c>
      <c r="BH174" s="19">
        <v>-12200</v>
      </c>
      <c r="BI174" s="19">
        <v>-12400</v>
      </c>
      <c r="BJ174" s="19">
        <v>-8300</v>
      </c>
      <c r="BK174" s="19">
        <v>-10000</v>
      </c>
      <c r="BL174" s="20">
        <v>-7300</v>
      </c>
      <c r="BM174" s="19">
        <v>-7300</v>
      </c>
      <c r="BN174" s="19">
        <v>-7300</v>
      </c>
      <c r="BO174" s="19">
        <v>-7300</v>
      </c>
      <c r="BP174" s="19">
        <v>-7300</v>
      </c>
      <c r="BQ174" s="19">
        <v>-7300</v>
      </c>
    </row>
    <row r="175" spans="1:69" ht="12" customHeight="1" outlineLevel="1">
      <c r="B175" s="1" t="s">
        <v>170</v>
      </c>
      <c r="D175" s="21">
        <v>600</v>
      </c>
      <c r="E175" s="21">
        <v>1200</v>
      </c>
      <c r="F175" s="21">
        <v>1700</v>
      </c>
      <c r="G175" s="21">
        <v>1000</v>
      </c>
      <c r="H175" s="21">
        <v>1700</v>
      </c>
      <c r="I175" s="21">
        <v>900</v>
      </c>
      <c r="J175" s="21">
        <v>700</v>
      </c>
      <c r="K175" s="21">
        <v>900</v>
      </c>
      <c r="L175" s="21">
        <v>1100</v>
      </c>
      <c r="M175" s="21">
        <v>1100</v>
      </c>
      <c r="N175" s="21">
        <v>1200</v>
      </c>
      <c r="O175" s="21">
        <v>1200</v>
      </c>
      <c r="P175" s="21">
        <v>600</v>
      </c>
      <c r="Q175" s="21">
        <v>700</v>
      </c>
      <c r="R175" s="21">
        <v>600</v>
      </c>
      <c r="S175" s="21">
        <v>600</v>
      </c>
      <c r="T175" s="21">
        <v>700</v>
      </c>
      <c r="U175" s="21">
        <v>500</v>
      </c>
      <c r="V175" s="21">
        <v>600</v>
      </c>
      <c r="W175" s="21">
        <v>600</v>
      </c>
      <c r="X175" s="21">
        <v>600</v>
      </c>
      <c r="Y175" s="21">
        <v>600</v>
      </c>
      <c r="Z175" s="21">
        <v>600</v>
      </c>
      <c r="AA175" s="21">
        <v>800</v>
      </c>
      <c r="AB175" s="21">
        <v>800</v>
      </c>
      <c r="AC175" s="21">
        <v>800</v>
      </c>
      <c r="AD175" s="21">
        <v>-400</v>
      </c>
      <c r="AE175" s="21">
        <v>1100</v>
      </c>
      <c r="AF175" s="21">
        <v>1500</v>
      </c>
      <c r="AG175" s="24">
        <v>2100</v>
      </c>
      <c r="AH175" s="25">
        <v>2178.0991735537191</v>
      </c>
      <c r="AI175" s="25">
        <v>2259.548801652893</v>
      </c>
      <c r="AJ175" s="25">
        <v>2308.8673146694218</v>
      </c>
      <c r="AK175" s="25">
        <v>2359.3470884411158</v>
      </c>
      <c r="AL175" s="25">
        <v>2411.0164374661517</v>
      </c>
      <c r="AM175" s="25">
        <v>2463.9043769349537</v>
      </c>
      <c r="AN175" s="25">
        <v>2518.0406401757969</v>
      </c>
      <c r="AO175" s="25">
        <v>2573.4556965358365</v>
      </c>
      <c r="AP175" s="25">
        <v>2630.1807697084332</v>
      </c>
      <c r="AQ175" s="25">
        <v>2688.2478565179372</v>
      </c>
      <c r="AS175" s="21"/>
      <c r="AT175" s="21"/>
      <c r="AU175" s="21"/>
      <c r="AV175" s="21">
        <v>200</v>
      </c>
      <c r="AW175" s="21">
        <v>400</v>
      </c>
      <c r="AX175" s="19">
        <v>1200</v>
      </c>
      <c r="AY175" s="19">
        <v>1000</v>
      </c>
      <c r="AZ175" s="19">
        <v>900</v>
      </c>
      <c r="BA175" s="19">
        <v>900</v>
      </c>
      <c r="BB175" s="19">
        <v>1100</v>
      </c>
      <c r="BC175" s="19">
        <v>1200</v>
      </c>
      <c r="BD175" s="19">
        <v>700</v>
      </c>
      <c r="BE175" s="19">
        <v>600</v>
      </c>
      <c r="BF175" s="19">
        <v>500</v>
      </c>
      <c r="BG175" s="19">
        <v>600</v>
      </c>
      <c r="BH175" s="19">
        <v>600</v>
      </c>
      <c r="BI175" s="19">
        <v>800</v>
      </c>
      <c r="BJ175" s="19">
        <v>800</v>
      </c>
      <c r="BK175" s="19">
        <v>1100</v>
      </c>
      <c r="BL175" s="20">
        <v>2100</v>
      </c>
      <c r="BM175" s="19">
        <v>2259.548801652893</v>
      </c>
      <c r="BN175" s="19">
        <v>2359.3470884411158</v>
      </c>
      <c r="BO175" s="19">
        <v>2463.9043769349537</v>
      </c>
      <c r="BP175" s="19">
        <v>2573.4556965358365</v>
      </c>
      <c r="BQ175" s="19">
        <v>2688.2478565179372</v>
      </c>
    </row>
    <row r="176" spans="1:69" ht="12" hidden="1" customHeight="1" outlineLevel="2">
      <c r="B176" s="1" t="s">
        <v>173</v>
      </c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20"/>
      <c r="AH176" s="19"/>
      <c r="AI176" s="19"/>
      <c r="AJ176" s="19"/>
      <c r="AK176" s="19"/>
      <c r="AL176" s="19"/>
      <c r="AM176" s="19"/>
      <c r="AN176" s="19"/>
      <c r="AO176" s="19"/>
      <c r="AP176" s="19"/>
      <c r="AQ176" s="19"/>
      <c r="AS176" s="19"/>
      <c r="AT176" s="19"/>
      <c r="AU176" s="19"/>
      <c r="AV176" s="19"/>
      <c r="AW176" s="19"/>
      <c r="AX176" s="19">
        <v>0</v>
      </c>
      <c r="AY176" s="19">
        <v>0</v>
      </c>
      <c r="AZ176" s="19">
        <v>0</v>
      </c>
      <c r="BA176" s="19">
        <v>0</v>
      </c>
      <c r="BB176" s="19">
        <v>0</v>
      </c>
      <c r="BC176" s="19">
        <v>0</v>
      </c>
      <c r="BD176" s="19">
        <v>0</v>
      </c>
      <c r="BE176" s="19">
        <v>0</v>
      </c>
      <c r="BF176" s="19">
        <v>0</v>
      </c>
      <c r="BG176" s="19">
        <v>0</v>
      </c>
      <c r="BH176" s="19">
        <v>0</v>
      </c>
      <c r="BI176" s="19">
        <v>0</v>
      </c>
      <c r="BJ176" s="19">
        <v>0</v>
      </c>
      <c r="BK176" s="19">
        <v>0</v>
      </c>
      <c r="BL176" s="20">
        <v>0</v>
      </c>
      <c r="BM176" s="19">
        <v>0</v>
      </c>
      <c r="BN176" s="19">
        <v>0</v>
      </c>
      <c r="BO176" s="19">
        <v>0</v>
      </c>
      <c r="BP176" s="19">
        <v>0</v>
      </c>
      <c r="BQ176" s="19">
        <v>0</v>
      </c>
    </row>
    <row r="177" spans="1:69" ht="12" hidden="1" customHeight="1" outlineLevel="2">
      <c r="B177" s="1" t="s">
        <v>173</v>
      </c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20"/>
      <c r="AH177" s="19"/>
      <c r="AI177" s="19"/>
      <c r="AJ177" s="19"/>
      <c r="AK177" s="19"/>
      <c r="AL177" s="19"/>
      <c r="AM177" s="19"/>
      <c r="AN177" s="19"/>
      <c r="AO177" s="19"/>
      <c r="AP177" s="19"/>
      <c r="AQ177" s="19"/>
      <c r="AS177" s="19"/>
      <c r="AT177" s="19"/>
      <c r="AU177" s="19"/>
      <c r="AV177" s="19"/>
      <c r="AW177" s="19"/>
      <c r="AX177" s="19">
        <v>0</v>
      </c>
      <c r="AY177" s="19">
        <v>0</v>
      </c>
      <c r="AZ177" s="19">
        <v>0</v>
      </c>
      <c r="BA177" s="19">
        <v>0</v>
      </c>
      <c r="BB177" s="19">
        <v>0</v>
      </c>
      <c r="BC177" s="19">
        <v>0</v>
      </c>
      <c r="BD177" s="19">
        <v>0</v>
      </c>
      <c r="BE177" s="19">
        <v>0</v>
      </c>
      <c r="BF177" s="19">
        <v>0</v>
      </c>
      <c r="BG177" s="19">
        <v>0</v>
      </c>
      <c r="BH177" s="19">
        <v>0</v>
      </c>
      <c r="BI177" s="19">
        <v>0</v>
      </c>
      <c r="BJ177" s="19">
        <v>0</v>
      </c>
      <c r="BK177" s="19">
        <v>0</v>
      </c>
      <c r="BL177" s="20">
        <v>0</v>
      </c>
      <c r="BM177" s="19">
        <v>0</v>
      </c>
      <c r="BN177" s="19">
        <v>0</v>
      </c>
      <c r="BO177" s="19">
        <v>0</v>
      </c>
      <c r="BP177" s="19">
        <v>0</v>
      </c>
      <c r="BQ177" s="19">
        <v>0</v>
      </c>
    </row>
    <row r="178" spans="1:69" ht="12" hidden="1" customHeight="1" outlineLevel="2">
      <c r="B178" s="1" t="s">
        <v>173</v>
      </c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20"/>
      <c r="AH178" s="19"/>
      <c r="AI178" s="19"/>
      <c r="AJ178" s="19"/>
      <c r="AK178" s="19"/>
      <c r="AL178" s="19"/>
      <c r="AM178" s="19"/>
      <c r="AN178" s="19"/>
      <c r="AO178" s="19"/>
      <c r="AP178" s="19"/>
      <c r="AQ178" s="19"/>
      <c r="AS178" s="19"/>
      <c r="AT178" s="19"/>
      <c r="AU178" s="19"/>
      <c r="AV178" s="19"/>
      <c r="AW178" s="19"/>
      <c r="AX178" s="19">
        <v>0</v>
      </c>
      <c r="AY178" s="19">
        <v>0</v>
      </c>
      <c r="AZ178" s="19">
        <v>0</v>
      </c>
      <c r="BA178" s="19">
        <v>0</v>
      </c>
      <c r="BB178" s="19">
        <v>0</v>
      </c>
      <c r="BC178" s="19">
        <v>0</v>
      </c>
      <c r="BD178" s="19">
        <v>0</v>
      </c>
      <c r="BE178" s="19">
        <v>0</v>
      </c>
      <c r="BF178" s="19">
        <v>0</v>
      </c>
      <c r="BG178" s="19">
        <v>0</v>
      </c>
      <c r="BH178" s="19">
        <v>0</v>
      </c>
      <c r="BI178" s="19">
        <v>0</v>
      </c>
      <c r="BJ178" s="19">
        <v>0</v>
      </c>
      <c r="BK178" s="19">
        <v>0</v>
      </c>
      <c r="BL178" s="20">
        <v>0</v>
      </c>
      <c r="BM178" s="19">
        <v>0</v>
      </c>
      <c r="BN178" s="19">
        <v>0</v>
      </c>
      <c r="BO178" s="19">
        <v>0</v>
      </c>
      <c r="BP178" s="19">
        <v>0</v>
      </c>
      <c r="BQ178" s="19">
        <v>0</v>
      </c>
    </row>
    <row r="179" spans="1:69" ht="12" hidden="1" customHeight="1" outlineLevel="2">
      <c r="B179" s="1" t="s">
        <v>173</v>
      </c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20"/>
      <c r="AH179" s="19"/>
      <c r="AI179" s="19"/>
      <c r="AJ179" s="19"/>
      <c r="AK179" s="19"/>
      <c r="AL179" s="19"/>
      <c r="AM179" s="19"/>
      <c r="AN179" s="19"/>
      <c r="AO179" s="19"/>
      <c r="AP179" s="19"/>
      <c r="AQ179" s="19"/>
      <c r="AS179" s="19"/>
      <c r="AT179" s="19"/>
      <c r="AU179" s="19"/>
      <c r="AV179" s="19"/>
      <c r="AW179" s="19"/>
      <c r="AX179" s="19">
        <v>0</v>
      </c>
      <c r="AY179" s="19">
        <v>0</v>
      </c>
      <c r="AZ179" s="19">
        <v>0</v>
      </c>
      <c r="BA179" s="19">
        <v>0</v>
      </c>
      <c r="BB179" s="19">
        <v>0</v>
      </c>
      <c r="BC179" s="19">
        <v>0</v>
      </c>
      <c r="BD179" s="19">
        <v>0</v>
      </c>
      <c r="BE179" s="19">
        <v>0</v>
      </c>
      <c r="BF179" s="19">
        <v>0</v>
      </c>
      <c r="BG179" s="19">
        <v>0</v>
      </c>
      <c r="BH179" s="19">
        <v>0</v>
      </c>
      <c r="BI179" s="19">
        <v>0</v>
      </c>
      <c r="BJ179" s="19">
        <v>0</v>
      </c>
      <c r="BK179" s="19">
        <v>0</v>
      </c>
      <c r="BL179" s="20">
        <v>0</v>
      </c>
      <c r="BM179" s="19">
        <v>0</v>
      </c>
      <c r="BN179" s="19">
        <v>0</v>
      </c>
      <c r="BO179" s="19">
        <v>0</v>
      </c>
      <c r="BP179" s="19">
        <v>0</v>
      </c>
      <c r="BQ179" s="19">
        <v>0</v>
      </c>
    </row>
    <row r="180" spans="1:69" ht="12" hidden="1" customHeight="1" outlineLevel="2">
      <c r="B180" s="1" t="s">
        <v>173</v>
      </c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20"/>
      <c r="AH180" s="19"/>
      <c r="AI180" s="19"/>
      <c r="AJ180" s="19"/>
      <c r="AK180" s="19"/>
      <c r="AL180" s="19"/>
      <c r="AM180" s="19"/>
      <c r="AN180" s="19"/>
      <c r="AO180" s="19"/>
      <c r="AP180" s="19"/>
      <c r="AQ180" s="19"/>
      <c r="AS180" s="19"/>
      <c r="AT180" s="19"/>
      <c r="AU180" s="19"/>
      <c r="AV180" s="19"/>
      <c r="AW180" s="19"/>
      <c r="AX180" s="19">
        <v>0</v>
      </c>
      <c r="AY180" s="19">
        <v>0</v>
      </c>
      <c r="AZ180" s="19">
        <v>0</v>
      </c>
      <c r="BA180" s="19">
        <v>0</v>
      </c>
      <c r="BB180" s="19">
        <v>0</v>
      </c>
      <c r="BC180" s="19">
        <v>0</v>
      </c>
      <c r="BD180" s="19">
        <v>0</v>
      </c>
      <c r="BE180" s="19">
        <v>0</v>
      </c>
      <c r="BF180" s="19">
        <v>0</v>
      </c>
      <c r="BG180" s="19">
        <v>0</v>
      </c>
      <c r="BH180" s="19">
        <v>0</v>
      </c>
      <c r="BI180" s="19">
        <v>0</v>
      </c>
      <c r="BJ180" s="19">
        <v>0</v>
      </c>
      <c r="BK180" s="19">
        <v>0</v>
      </c>
      <c r="BL180" s="20">
        <v>0</v>
      </c>
      <c r="BM180" s="19">
        <v>0</v>
      </c>
      <c r="BN180" s="19">
        <v>0</v>
      </c>
      <c r="BO180" s="19">
        <v>0</v>
      </c>
      <c r="BP180" s="19">
        <v>0</v>
      </c>
      <c r="BQ180" s="19">
        <v>0</v>
      </c>
    </row>
    <row r="181" spans="1:69" ht="12" hidden="1" customHeight="1" outlineLevel="2">
      <c r="B181" s="1" t="s">
        <v>173</v>
      </c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20"/>
      <c r="AH181" s="19"/>
      <c r="AI181" s="19"/>
      <c r="AJ181" s="19"/>
      <c r="AK181" s="19"/>
      <c r="AL181" s="19"/>
      <c r="AM181" s="19"/>
      <c r="AN181" s="19"/>
      <c r="AO181" s="19"/>
      <c r="AP181" s="19"/>
      <c r="AQ181" s="19"/>
      <c r="AS181" s="19"/>
      <c r="AT181" s="19"/>
      <c r="AU181" s="19"/>
      <c r="AV181" s="19"/>
      <c r="AW181" s="19"/>
      <c r="AX181" s="19">
        <v>0</v>
      </c>
      <c r="AY181" s="19">
        <v>0</v>
      </c>
      <c r="AZ181" s="19">
        <v>0</v>
      </c>
      <c r="BA181" s="19">
        <v>0</v>
      </c>
      <c r="BB181" s="19">
        <v>0</v>
      </c>
      <c r="BC181" s="19">
        <v>0</v>
      </c>
      <c r="BD181" s="19">
        <v>0</v>
      </c>
      <c r="BE181" s="19">
        <v>0</v>
      </c>
      <c r="BF181" s="19">
        <v>0</v>
      </c>
      <c r="BG181" s="19">
        <v>0</v>
      </c>
      <c r="BH181" s="19">
        <v>0</v>
      </c>
      <c r="BI181" s="19">
        <v>0</v>
      </c>
      <c r="BJ181" s="19">
        <v>0</v>
      </c>
      <c r="BK181" s="19">
        <v>0</v>
      </c>
      <c r="BL181" s="20">
        <v>0</v>
      </c>
      <c r="BM181" s="19">
        <v>0</v>
      </c>
      <c r="BN181" s="19">
        <v>0</v>
      </c>
      <c r="BO181" s="19">
        <v>0</v>
      </c>
      <c r="BP181" s="19">
        <v>0</v>
      </c>
      <c r="BQ181" s="19">
        <v>0</v>
      </c>
    </row>
    <row r="182" spans="1:69" ht="12" hidden="1" customHeight="1" outlineLevel="2">
      <c r="B182" s="1" t="s">
        <v>173</v>
      </c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20"/>
      <c r="AH182" s="19"/>
      <c r="AI182" s="19"/>
      <c r="AJ182" s="19"/>
      <c r="AK182" s="19"/>
      <c r="AL182" s="19"/>
      <c r="AM182" s="19"/>
      <c r="AN182" s="19"/>
      <c r="AO182" s="19"/>
      <c r="AP182" s="19"/>
      <c r="AQ182" s="19"/>
      <c r="AS182" s="19"/>
      <c r="AT182" s="19"/>
      <c r="AU182" s="19"/>
      <c r="AV182" s="19"/>
      <c r="AW182" s="19"/>
      <c r="AX182" s="19">
        <v>0</v>
      </c>
      <c r="AY182" s="19">
        <v>0</v>
      </c>
      <c r="AZ182" s="19">
        <v>0</v>
      </c>
      <c r="BA182" s="19">
        <v>0</v>
      </c>
      <c r="BB182" s="19">
        <v>0</v>
      </c>
      <c r="BC182" s="19">
        <v>0</v>
      </c>
      <c r="BD182" s="19">
        <v>0</v>
      </c>
      <c r="BE182" s="19">
        <v>0</v>
      </c>
      <c r="BF182" s="19">
        <v>0</v>
      </c>
      <c r="BG182" s="19">
        <v>0</v>
      </c>
      <c r="BH182" s="19">
        <v>0</v>
      </c>
      <c r="BI182" s="19">
        <v>0</v>
      </c>
      <c r="BJ182" s="19">
        <v>0</v>
      </c>
      <c r="BK182" s="19">
        <v>0</v>
      </c>
      <c r="BL182" s="20">
        <v>0</v>
      </c>
      <c r="BM182" s="19">
        <v>0</v>
      </c>
      <c r="BN182" s="19">
        <v>0</v>
      </c>
      <c r="BO182" s="19">
        <v>0</v>
      </c>
      <c r="BP182" s="19">
        <v>0</v>
      </c>
      <c r="BQ182" s="19">
        <v>0</v>
      </c>
    </row>
    <row r="183" spans="1:69" ht="12" hidden="1" customHeight="1" outlineLevel="2">
      <c r="B183" s="1" t="s">
        <v>173</v>
      </c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20"/>
      <c r="AH183" s="19"/>
      <c r="AI183" s="19"/>
      <c r="AJ183" s="19"/>
      <c r="AK183" s="19"/>
      <c r="AL183" s="19"/>
      <c r="AM183" s="19"/>
      <c r="AN183" s="19"/>
      <c r="AO183" s="19"/>
      <c r="AP183" s="19"/>
      <c r="AQ183" s="19"/>
      <c r="AS183" s="19"/>
      <c r="AT183" s="19"/>
      <c r="AU183" s="19"/>
      <c r="AV183" s="19"/>
      <c r="AW183" s="19"/>
      <c r="AX183" s="19">
        <v>0</v>
      </c>
      <c r="AY183" s="19">
        <v>0</v>
      </c>
      <c r="AZ183" s="19">
        <v>0</v>
      </c>
      <c r="BA183" s="19">
        <v>0</v>
      </c>
      <c r="BB183" s="19">
        <v>0</v>
      </c>
      <c r="BC183" s="19">
        <v>0</v>
      </c>
      <c r="BD183" s="19">
        <v>0</v>
      </c>
      <c r="BE183" s="19">
        <v>0</v>
      </c>
      <c r="BF183" s="19">
        <v>0</v>
      </c>
      <c r="BG183" s="19">
        <v>0</v>
      </c>
      <c r="BH183" s="19">
        <v>0</v>
      </c>
      <c r="BI183" s="19">
        <v>0</v>
      </c>
      <c r="BJ183" s="19">
        <v>0</v>
      </c>
      <c r="BK183" s="19">
        <v>0</v>
      </c>
      <c r="BL183" s="20">
        <v>0</v>
      </c>
      <c r="BM183" s="19">
        <v>0</v>
      </c>
      <c r="BN183" s="19">
        <v>0</v>
      </c>
      <c r="BO183" s="19">
        <v>0</v>
      </c>
      <c r="BP183" s="19">
        <v>0</v>
      </c>
      <c r="BQ183" s="19">
        <v>0</v>
      </c>
    </row>
    <row r="184" spans="1:69" ht="12" hidden="1" customHeight="1" outlineLevel="2">
      <c r="B184" s="1" t="s">
        <v>173</v>
      </c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20"/>
      <c r="AH184" s="19"/>
      <c r="AI184" s="19"/>
      <c r="AJ184" s="19"/>
      <c r="AK184" s="19"/>
      <c r="AL184" s="19"/>
      <c r="AM184" s="19"/>
      <c r="AN184" s="19"/>
      <c r="AO184" s="19"/>
      <c r="AP184" s="19"/>
      <c r="AQ184" s="19"/>
      <c r="AS184" s="19"/>
      <c r="AT184" s="19"/>
      <c r="AU184" s="19"/>
      <c r="AV184" s="19"/>
      <c r="AW184" s="19"/>
      <c r="AX184" s="19">
        <v>0</v>
      </c>
      <c r="AY184" s="19">
        <v>0</v>
      </c>
      <c r="AZ184" s="19">
        <v>0</v>
      </c>
      <c r="BA184" s="19">
        <v>0</v>
      </c>
      <c r="BB184" s="19">
        <v>0</v>
      </c>
      <c r="BC184" s="19">
        <v>0</v>
      </c>
      <c r="BD184" s="19">
        <v>0</v>
      </c>
      <c r="BE184" s="19">
        <v>0</v>
      </c>
      <c r="BF184" s="19">
        <v>0</v>
      </c>
      <c r="BG184" s="19">
        <v>0</v>
      </c>
      <c r="BH184" s="19">
        <v>0</v>
      </c>
      <c r="BI184" s="19">
        <v>0</v>
      </c>
      <c r="BJ184" s="19">
        <v>0</v>
      </c>
      <c r="BK184" s="19">
        <v>0</v>
      </c>
      <c r="BL184" s="20">
        <v>0</v>
      </c>
      <c r="BM184" s="19">
        <v>0</v>
      </c>
      <c r="BN184" s="19">
        <v>0</v>
      </c>
      <c r="BO184" s="19">
        <v>0</v>
      </c>
      <c r="BP184" s="19">
        <v>0</v>
      </c>
      <c r="BQ184" s="19">
        <v>0</v>
      </c>
    </row>
    <row r="185" spans="1:69" ht="12" hidden="1" customHeight="1" outlineLevel="2">
      <c r="B185" s="1" t="s">
        <v>173</v>
      </c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20"/>
      <c r="AH185" s="19"/>
      <c r="AI185" s="19"/>
      <c r="AJ185" s="19"/>
      <c r="AK185" s="19"/>
      <c r="AL185" s="19"/>
      <c r="AM185" s="19"/>
      <c r="AN185" s="19"/>
      <c r="AO185" s="19"/>
      <c r="AP185" s="19"/>
      <c r="AQ185" s="19"/>
      <c r="AS185" s="19"/>
      <c r="AT185" s="19"/>
      <c r="AU185" s="19"/>
      <c r="AV185" s="19"/>
      <c r="AW185" s="19"/>
      <c r="AX185" s="19">
        <v>0</v>
      </c>
      <c r="AY185" s="19">
        <v>0</v>
      </c>
      <c r="AZ185" s="19">
        <v>0</v>
      </c>
      <c r="BA185" s="19">
        <v>0</v>
      </c>
      <c r="BB185" s="19">
        <v>0</v>
      </c>
      <c r="BC185" s="19">
        <v>0</v>
      </c>
      <c r="BD185" s="19">
        <v>0</v>
      </c>
      <c r="BE185" s="19">
        <v>0</v>
      </c>
      <c r="BF185" s="19">
        <v>0</v>
      </c>
      <c r="BG185" s="19">
        <v>0</v>
      </c>
      <c r="BH185" s="19">
        <v>0</v>
      </c>
      <c r="BI185" s="19">
        <v>0</v>
      </c>
      <c r="BJ185" s="19">
        <v>0</v>
      </c>
      <c r="BK185" s="19">
        <v>0</v>
      </c>
      <c r="BL185" s="20">
        <v>0</v>
      </c>
      <c r="BM185" s="19">
        <v>0</v>
      </c>
      <c r="BN185" s="19">
        <v>0</v>
      </c>
      <c r="BO185" s="19">
        <v>0</v>
      </c>
      <c r="BP185" s="19">
        <v>0</v>
      </c>
      <c r="BQ185" s="19">
        <v>0</v>
      </c>
    </row>
    <row r="186" spans="1:69" s="9" customFormat="1" ht="12" customHeight="1" outlineLevel="1" collapsed="1">
      <c r="A186" s="91"/>
      <c r="B186" s="9" t="s">
        <v>174</v>
      </c>
      <c r="D186" s="17">
        <v>56300</v>
      </c>
      <c r="E186" s="17">
        <v>59200</v>
      </c>
      <c r="F186" s="17">
        <v>70000</v>
      </c>
      <c r="G186" s="17">
        <v>72100</v>
      </c>
      <c r="H186" s="17">
        <v>78300</v>
      </c>
      <c r="I186" s="17">
        <v>74400</v>
      </c>
      <c r="J186" s="17">
        <v>75900</v>
      </c>
      <c r="K186" s="17">
        <v>73900</v>
      </c>
      <c r="L186" s="17">
        <v>79200</v>
      </c>
      <c r="M186" s="17">
        <v>78400</v>
      </c>
      <c r="N186" s="17">
        <v>84700</v>
      </c>
      <c r="O186" s="17">
        <v>97500</v>
      </c>
      <c r="P186" s="17">
        <v>106200</v>
      </c>
      <c r="Q186" s="17">
        <v>114600</v>
      </c>
      <c r="R186" s="17">
        <v>107100</v>
      </c>
      <c r="S186" s="17">
        <v>104600</v>
      </c>
      <c r="T186" s="17">
        <v>107900</v>
      </c>
      <c r="U186" s="17">
        <v>104700</v>
      </c>
      <c r="V186" s="17">
        <v>107800</v>
      </c>
      <c r="W186" s="17">
        <v>100600</v>
      </c>
      <c r="X186" s="17">
        <v>110200</v>
      </c>
      <c r="Y186" s="17">
        <v>123500</v>
      </c>
      <c r="Z186" s="17">
        <v>140300</v>
      </c>
      <c r="AA186" s="17">
        <v>153400</v>
      </c>
      <c r="AB186" s="17">
        <v>185300</v>
      </c>
      <c r="AC186" s="17">
        <v>216100</v>
      </c>
      <c r="AD186" s="17">
        <v>246500</v>
      </c>
      <c r="AE186" s="17">
        <v>248300</v>
      </c>
      <c r="AF186" s="17">
        <v>254300</v>
      </c>
      <c r="AG186" s="18">
        <v>266400</v>
      </c>
      <c r="AH186" s="17">
        <v>276477.19834710745</v>
      </c>
      <c r="AI186" s="17">
        <v>286986.43760330585</v>
      </c>
      <c r="AJ186" s="17">
        <v>293359.06217933883</v>
      </c>
      <c r="AK186" s="17">
        <v>299881.88126913225</v>
      </c>
      <c r="AL186" s="17">
        <v>306558.56075241353</v>
      </c>
      <c r="AM186" s="17">
        <v>313392.85733290913</v>
      </c>
      <c r="AN186" s="17">
        <v>320388.62080271909</v>
      </c>
      <c r="AO186" s="17">
        <v>327549.79636329995</v>
      </c>
      <c r="AP186" s="17">
        <v>334880.42700447096</v>
      </c>
      <c r="AQ186" s="17">
        <v>342384.65594289807</v>
      </c>
      <c r="AS186" s="17"/>
      <c r="AT186" s="17"/>
      <c r="AU186" s="17"/>
      <c r="AV186" s="17">
        <v>62900</v>
      </c>
      <c r="AW186" s="17">
        <v>62600</v>
      </c>
      <c r="AX186" s="17">
        <v>59200</v>
      </c>
      <c r="AY186" s="17">
        <v>72100</v>
      </c>
      <c r="AZ186" s="17">
        <v>74400</v>
      </c>
      <c r="BA186" s="17">
        <v>73900</v>
      </c>
      <c r="BB186" s="17">
        <v>78400</v>
      </c>
      <c r="BC186" s="17">
        <v>97500</v>
      </c>
      <c r="BD186" s="17">
        <v>114600</v>
      </c>
      <c r="BE186" s="17">
        <v>104600</v>
      </c>
      <c r="BF186" s="17">
        <v>104700</v>
      </c>
      <c r="BG186" s="17">
        <v>100600</v>
      </c>
      <c r="BH186" s="17">
        <v>123500</v>
      </c>
      <c r="BI186" s="17">
        <v>153400</v>
      </c>
      <c r="BJ186" s="17">
        <v>216100</v>
      </c>
      <c r="BK186" s="17">
        <v>248300</v>
      </c>
      <c r="BL186" s="18">
        <v>266400</v>
      </c>
      <c r="BM186" s="17">
        <v>286986.43760330585</v>
      </c>
      <c r="BN186" s="17">
        <v>299881.88126913225</v>
      </c>
      <c r="BO186" s="17">
        <v>313392.85733290913</v>
      </c>
      <c r="BP186" s="17">
        <v>327549.79636329995</v>
      </c>
      <c r="BQ186" s="17">
        <v>342384.65594289807</v>
      </c>
    </row>
    <row r="187" spans="1:69" ht="12" customHeight="1" outlineLevel="1"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20"/>
      <c r="AH187" s="19"/>
      <c r="AI187" s="19"/>
      <c r="AJ187" s="19"/>
      <c r="AK187" s="19"/>
      <c r="AL187" s="19"/>
      <c r="AM187" s="19"/>
      <c r="AN187" s="19"/>
      <c r="AO187" s="19"/>
      <c r="AP187" s="19"/>
      <c r="AQ187" s="19"/>
      <c r="AS187" s="19"/>
      <c r="AT187" s="19"/>
      <c r="AU187" s="19"/>
      <c r="AV187" s="19"/>
      <c r="AW187" s="19"/>
    </row>
    <row r="188" spans="1:69" ht="12" customHeight="1" outlineLevel="1">
      <c r="B188" s="1" t="s">
        <v>175</v>
      </c>
      <c r="D188" s="21">
        <v>4500</v>
      </c>
      <c r="E188" s="21">
        <v>4900</v>
      </c>
      <c r="F188" s="21">
        <v>2400</v>
      </c>
      <c r="G188" s="21">
        <v>5200</v>
      </c>
      <c r="H188" s="21">
        <v>5700</v>
      </c>
      <c r="I188" s="21">
        <v>6300</v>
      </c>
      <c r="J188" s="21">
        <v>5700</v>
      </c>
      <c r="K188" s="21">
        <v>4900</v>
      </c>
      <c r="L188" s="21">
        <v>8900</v>
      </c>
      <c r="M188" s="21">
        <v>8500</v>
      </c>
      <c r="N188" s="21">
        <v>11700</v>
      </c>
      <c r="O188" s="21">
        <v>12500</v>
      </c>
      <c r="P188" s="21">
        <v>11500</v>
      </c>
      <c r="Q188" s="21">
        <v>9300</v>
      </c>
      <c r="R188" s="21">
        <v>7300</v>
      </c>
      <c r="S188" s="21">
        <v>6600</v>
      </c>
      <c r="T188" s="21">
        <v>12400</v>
      </c>
      <c r="U188" s="21">
        <v>9000</v>
      </c>
      <c r="V188" s="21">
        <v>6700</v>
      </c>
      <c r="W188" s="21">
        <v>7300</v>
      </c>
      <c r="X188" s="21">
        <v>8800</v>
      </c>
      <c r="Y188" s="21">
        <v>5600</v>
      </c>
      <c r="Z188" s="21">
        <v>6100</v>
      </c>
      <c r="AA188" s="21">
        <v>13300</v>
      </c>
      <c r="AB188" s="21">
        <v>24700</v>
      </c>
      <c r="AC188" s="21">
        <v>35800</v>
      </c>
      <c r="AD188" s="21">
        <v>39100</v>
      </c>
      <c r="AE188" s="21">
        <v>29800</v>
      </c>
      <c r="AF188" s="21">
        <v>37400</v>
      </c>
      <c r="AG188" s="24">
        <v>29700</v>
      </c>
      <c r="AH188" s="19">
        <v>32724.533585242694</v>
      </c>
      <c r="AI188" s="19">
        <v>35481.026122844603</v>
      </c>
      <c r="AJ188" s="19">
        <v>36873.905337036354</v>
      </c>
      <c r="AK188" s="19">
        <v>37961.747302260308</v>
      </c>
      <c r="AL188" s="19">
        <v>39505.726359912369</v>
      </c>
      <c r="AM188" s="19">
        <v>40580.34129405627</v>
      </c>
      <c r="AN188" s="19">
        <v>42186.203634846839</v>
      </c>
      <c r="AO188" s="19">
        <v>43312.902271027357</v>
      </c>
      <c r="AP188" s="19">
        <v>44987.658799514087</v>
      </c>
      <c r="AQ188" s="19">
        <v>46162.371927695698</v>
      </c>
      <c r="AS188" s="21"/>
      <c r="AT188" s="21"/>
      <c r="AU188" s="21"/>
      <c r="AV188" s="21">
        <v>19800</v>
      </c>
      <c r="AW188" s="21">
        <v>7700</v>
      </c>
      <c r="AX188" s="19">
        <v>4900</v>
      </c>
      <c r="AY188" s="19">
        <v>5200</v>
      </c>
      <c r="AZ188" s="19">
        <v>6300</v>
      </c>
      <c r="BA188" s="19">
        <v>4900</v>
      </c>
      <c r="BB188" s="19">
        <v>8500</v>
      </c>
      <c r="BC188" s="19">
        <v>12500</v>
      </c>
      <c r="BD188" s="19">
        <v>9300</v>
      </c>
      <c r="BE188" s="19">
        <v>6600</v>
      </c>
      <c r="BF188" s="19">
        <v>9000</v>
      </c>
      <c r="BG188" s="19">
        <v>7300</v>
      </c>
      <c r="BH188" s="19">
        <v>5600</v>
      </c>
      <c r="BI188" s="19">
        <v>13300</v>
      </c>
      <c r="BJ188" s="19">
        <v>35800</v>
      </c>
      <c r="BK188" s="19">
        <v>29800</v>
      </c>
      <c r="BL188" s="20">
        <v>29700</v>
      </c>
      <c r="BM188" s="19">
        <v>35481.026122844603</v>
      </c>
      <c r="BN188" s="19">
        <v>37961.747302260308</v>
      </c>
      <c r="BO188" s="19">
        <v>40580.34129405627</v>
      </c>
      <c r="BP188" s="19">
        <v>43312.902271027357</v>
      </c>
      <c r="BQ188" s="19">
        <v>46162.371927695698</v>
      </c>
    </row>
    <row r="189" spans="1:69" ht="12" customHeight="1" outlineLevel="1">
      <c r="B189" s="1" t="s">
        <v>176</v>
      </c>
      <c r="D189" s="21">
        <v>0</v>
      </c>
      <c r="E189" s="21">
        <v>0</v>
      </c>
      <c r="F189" s="21">
        <v>0</v>
      </c>
      <c r="G189" s="21">
        <v>0</v>
      </c>
      <c r="H189" s="21">
        <v>0</v>
      </c>
      <c r="I189" s="21">
        <v>700</v>
      </c>
      <c r="J189" s="21">
        <v>400</v>
      </c>
      <c r="K189" s="21">
        <v>0</v>
      </c>
      <c r="L189" s="21">
        <v>0</v>
      </c>
      <c r="M189" s="21">
        <v>700</v>
      </c>
      <c r="N189" s="62">
        <v>1000</v>
      </c>
      <c r="O189" s="62">
        <v>1900</v>
      </c>
      <c r="P189" s="62">
        <v>1100</v>
      </c>
      <c r="Q189" s="62">
        <v>1400</v>
      </c>
      <c r="R189" s="62">
        <v>500</v>
      </c>
      <c r="S189" s="62">
        <v>1600</v>
      </c>
      <c r="T189" s="62">
        <v>1200</v>
      </c>
      <c r="U189" s="62">
        <v>1100</v>
      </c>
      <c r="V189" s="62">
        <v>1400</v>
      </c>
      <c r="W189" s="62">
        <v>1100</v>
      </c>
      <c r="X189" s="62">
        <v>1100</v>
      </c>
      <c r="Y189" s="62">
        <v>1100</v>
      </c>
      <c r="Z189" s="62">
        <v>100</v>
      </c>
      <c r="AA189" s="62">
        <v>1300</v>
      </c>
      <c r="AB189" s="62">
        <v>700</v>
      </c>
      <c r="AC189" s="62">
        <v>1400</v>
      </c>
      <c r="AD189" s="62">
        <v>0</v>
      </c>
      <c r="AE189" s="62">
        <v>2700</v>
      </c>
      <c r="AF189" s="62">
        <v>2200</v>
      </c>
      <c r="AG189" s="57">
        <v>2200</v>
      </c>
      <c r="AH189" s="58">
        <v>2200</v>
      </c>
      <c r="AI189" s="58">
        <v>2200</v>
      </c>
      <c r="AJ189" s="58">
        <v>2200</v>
      </c>
      <c r="AK189" s="58">
        <v>2200</v>
      </c>
      <c r="AL189" s="58">
        <v>2200</v>
      </c>
      <c r="AM189" s="58">
        <v>2200</v>
      </c>
      <c r="AN189" s="58">
        <v>2200</v>
      </c>
      <c r="AO189" s="58">
        <v>2200</v>
      </c>
      <c r="AP189" s="58">
        <v>2200</v>
      </c>
      <c r="AQ189" s="58">
        <v>2200</v>
      </c>
      <c r="AS189" s="21"/>
      <c r="AT189" s="21"/>
      <c r="AU189" s="21"/>
      <c r="AV189" s="21">
        <v>200</v>
      </c>
      <c r="AW189" s="21">
        <v>200</v>
      </c>
      <c r="AX189" s="19">
        <v>0</v>
      </c>
      <c r="AY189" s="19">
        <v>0</v>
      </c>
      <c r="AZ189" s="19">
        <v>700</v>
      </c>
      <c r="BA189" s="19">
        <v>0</v>
      </c>
      <c r="BB189" s="19">
        <v>700</v>
      </c>
      <c r="BC189" s="19">
        <v>1900</v>
      </c>
      <c r="BD189" s="19">
        <v>1400</v>
      </c>
      <c r="BE189" s="19">
        <v>1600</v>
      </c>
      <c r="BF189" s="19">
        <v>1100</v>
      </c>
      <c r="BG189" s="19">
        <v>1100</v>
      </c>
      <c r="BH189" s="19">
        <v>1100</v>
      </c>
      <c r="BI189" s="19">
        <v>1300</v>
      </c>
      <c r="BJ189" s="19">
        <v>1400</v>
      </c>
      <c r="BK189" s="19">
        <v>2700</v>
      </c>
      <c r="BL189" s="20">
        <v>2200</v>
      </c>
      <c r="BM189" s="19">
        <v>2200</v>
      </c>
      <c r="BN189" s="19">
        <v>2200</v>
      </c>
      <c r="BO189" s="19">
        <v>2200</v>
      </c>
      <c r="BP189" s="19">
        <v>2200</v>
      </c>
      <c r="BQ189" s="19">
        <v>2200</v>
      </c>
    </row>
    <row r="190" spans="1:69" ht="12" customHeight="1" outlineLevel="1">
      <c r="B190" s="1" t="s">
        <v>177</v>
      </c>
      <c r="D190" s="21">
        <v>2800</v>
      </c>
      <c r="E190" s="21">
        <v>2600</v>
      </c>
      <c r="F190" s="21">
        <v>2700</v>
      </c>
      <c r="G190" s="21">
        <v>2900</v>
      </c>
      <c r="H190" s="21">
        <v>2100</v>
      </c>
      <c r="I190" s="21">
        <v>1700</v>
      </c>
      <c r="J190" s="21">
        <v>1400</v>
      </c>
      <c r="K190" s="21">
        <v>1400</v>
      </c>
      <c r="L190" s="21">
        <v>1400</v>
      </c>
      <c r="M190" s="21">
        <v>1600</v>
      </c>
      <c r="N190" s="62">
        <v>1700</v>
      </c>
      <c r="O190" s="62">
        <v>2000</v>
      </c>
      <c r="P190" s="62">
        <v>2600</v>
      </c>
      <c r="Q190" s="62">
        <v>3000</v>
      </c>
      <c r="R190" s="62">
        <v>3300</v>
      </c>
      <c r="S190" s="62">
        <v>2600</v>
      </c>
      <c r="T190" s="62">
        <v>2100</v>
      </c>
      <c r="U190" s="62">
        <v>2100</v>
      </c>
      <c r="V190" s="62">
        <v>2000</v>
      </c>
      <c r="W190" s="62">
        <v>2200</v>
      </c>
      <c r="X190" s="62">
        <v>2000</v>
      </c>
      <c r="Y190" s="62">
        <v>1900</v>
      </c>
      <c r="Z190" s="62">
        <v>1300</v>
      </c>
      <c r="AA190" s="62">
        <v>500</v>
      </c>
      <c r="AB190" s="62">
        <v>500</v>
      </c>
      <c r="AC190" s="62">
        <v>400</v>
      </c>
      <c r="AD190" s="62">
        <v>400</v>
      </c>
      <c r="AE190" s="62">
        <v>500</v>
      </c>
      <c r="AF190" s="62">
        <v>400</v>
      </c>
      <c r="AG190" s="57">
        <v>500</v>
      </c>
      <c r="AH190" s="58">
        <v>500</v>
      </c>
      <c r="AI190" s="58">
        <v>500</v>
      </c>
      <c r="AJ190" s="58">
        <v>500</v>
      </c>
      <c r="AK190" s="58">
        <v>500</v>
      </c>
      <c r="AL190" s="58">
        <v>500</v>
      </c>
      <c r="AM190" s="58">
        <v>500</v>
      </c>
      <c r="AN190" s="58">
        <v>500</v>
      </c>
      <c r="AO190" s="58">
        <v>500</v>
      </c>
      <c r="AP190" s="58">
        <v>500</v>
      </c>
      <c r="AQ190" s="58">
        <v>500</v>
      </c>
      <c r="AS190" s="21"/>
      <c r="AT190" s="21"/>
      <c r="AU190" s="21"/>
      <c r="AV190" s="21">
        <v>6000</v>
      </c>
      <c r="AW190" s="21">
        <v>3700</v>
      </c>
      <c r="AX190" s="19">
        <v>2600</v>
      </c>
      <c r="AY190" s="19">
        <v>2900</v>
      </c>
      <c r="AZ190" s="19">
        <v>1700</v>
      </c>
      <c r="BA190" s="19">
        <v>1400</v>
      </c>
      <c r="BB190" s="19">
        <v>1600</v>
      </c>
      <c r="BC190" s="19">
        <v>2000</v>
      </c>
      <c r="BD190" s="19">
        <v>3000</v>
      </c>
      <c r="BE190" s="19">
        <v>2600</v>
      </c>
      <c r="BF190" s="19">
        <v>2100</v>
      </c>
      <c r="BG190" s="19">
        <v>2200</v>
      </c>
      <c r="BH190" s="19">
        <v>1900</v>
      </c>
      <c r="BI190" s="19">
        <v>500</v>
      </c>
      <c r="BJ190" s="19">
        <v>400</v>
      </c>
      <c r="BK190" s="19">
        <v>500</v>
      </c>
      <c r="BL190" s="20">
        <v>500</v>
      </c>
      <c r="BM190" s="19">
        <v>500</v>
      </c>
      <c r="BN190" s="19">
        <v>500</v>
      </c>
      <c r="BO190" s="19">
        <v>500</v>
      </c>
      <c r="BP190" s="19">
        <v>500</v>
      </c>
      <c r="BQ190" s="19">
        <v>500</v>
      </c>
    </row>
    <row r="191" spans="1:69" ht="12" customHeight="1" outlineLevel="1">
      <c r="B191" s="1" t="s">
        <v>178</v>
      </c>
      <c r="D191" s="21">
        <v>6600</v>
      </c>
      <c r="E191" s="21">
        <v>7700</v>
      </c>
      <c r="F191" s="21">
        <v>9000</v>
      </c>
      <c r="G191" s="21">
        <v>8900</v>
      </c>
      <c r="H191" s="21">
        <v>11300</v>
      </c>
      <c r="I191" s="21">
        <v>10700</v>
      </c>
      <c r="J191" s="21">
        <v>9900</v>
      </c>
      <c r="K191" s="21">
        <v>9300</v>
      </c>
      <c r="L191" s="21">
        <v>7700</v>
      </c>
      <c r="M191" s="21">
        <v>6900</v>
      </c>
      <c r="N191" s="21">
        <v>6000</v>
      </c>
      <c r="O191" s="21">
        <v>4700</v>
      </c>
      <c r="P191" s="21">
        <v>5300</v>
      </c>
      <c r="Q191" s="21">
        <v>5200</v>
      </c>
      <c r="R191" s="21">
        <v>4600</v>
      </c>
      <c r="S191" s="21">
        <v>4400</v>
      </c>
      <c r="T191" s="21">
        <v>4000</v>
      </c>
      <c r="U191" s="21">
        <v>4400</v>
      </c>
      <c r="V191" s="21">
        <v>5900</v>
      </c>
      <c r="W191" s="21">
        <v>1400</v>
      </c>
      <c r="X191" s="21">
        <v>2500</v>
      </c>
      <c r="Y191" s="21">
        <v>3200</v>
      </c>
      <c r="Z191" s="21">
        <v>15600</v>
      </c>
      <c r="AA191" s="21">
        <v>13400</v>
      </c>
      <c r="AB191" s="21">
        <v>24800</v>
      </c>
      <c r="AC191" s="21">
        <v>26600</v>
      </c>
      <c r="AD191" s="21">
        <v>28200</v>
      </c>
      <c r="AE191" s="21">
        <v>25900</v>
      </c>
      <c r="AF191" s="21">
        <v>23300</v>
      </c>
      <c r="AG191" s="24">
        <v>24000</v>
      </c>
      <c r="AH191" s="25">
        <v>24892.561983471078</v>
      </c>
      <c r="AI191" s="25">
        <v>25823.414876033065</v>
      </c>
      <c r="AJ191" s="25">
        <v>26387.055024793397</v>
      </c>
      <c r="AK191" s="25">
        <v>26963.966725041329</v>
      </c>
      <c r="AL191" s="25">
        <v>27554.473571041741</v>
      </c>
      <c r="AM191" s="25">
        <v>28158.907164970911</v>
      </c>
      <c r="AN191" s="25">
        <v>28777.607316294838</v>
      </c>
      <c r="AO191" s="25">
        <v>29410.922246123861</v>
      </c>
      <c r="AP191" s="25">
        <v>30059.208796667823</v>
      </c>
      <c r="AQ191" s="25">
        <v>30722.832645919298</v>
      </c>
      <c r="AS191" s="21"/>
      <c r="AT191" s="21"/>
      <c r="AU191" s="21"/>
      <c r="AV191" s="21">
        <v>7100</v>
      </c>
      <c r="AW191" s="21">
        <v>5800</v>
      </c>
      <c r="AX191" s="19">
        <v>7700</v>
      </c>
      <c r="AY191" s="19">
        <v>8900</v>
      </c>
      <c r="AZ191" s="19">
        <v>10700</v>
      </c>
      <c r="BA191" s="19">
        <v>9300</v>
      </c>
      <c r="BB191" s="19">
        <v>6900</v>
      </c>
      <c r="BC191" s="19">
        <v>4700</v>
      </c>
      <c r="BD191" s="19">
        <v>5200</v>
      </c>
      <c r="BE191" s="19">
        <v>4400</v>
      </c>
      <c r="BF191" s="19">
        <v>4400</v>
      </c>
      <c r="BG191" s="19">
        <v>1400</v>
      </c>
      <c r="BH191" s="19">
        <v>3200</v>
      </c>
      <c r="BI191" s="19">
        <v>13400</v>
      </c>
      <c r="BJ191" s="19">
        <v>26600</v>
      </c>
      <c r="BK191" s="19">
        <v>25900</v>
      </c>
      <c r="BL191" s="20">
        <v>24000</v>
      </c>
      <c r="BM191" s="19">
        <v>25823.414876033065</v>
      </c>
      <c r="BN191" s="19">
        <v>26963.966725041329</v>
      </c>
      <c r="BO191" s="19">
        <v>28158.907164970911</v>
      </c>
      <c r="BP191" s="19">
        <v>29410.922246123861</v>
      </c>
      <c r="BQ191" s="19">
        <v>30722.832645919298</v>
      </c>
    </row>
    <row r="192" spans="1:69" ht="12" customHeight="1" outlineLevel="1">
      <c r="B192" s="1" t="s">
        <v>179</v>
      </c>
      <c r="D192" s="21">
        <v>17100</v>
      </c>
      <c r="E192" s="21">
        <v>14300</v>
      </c>
      <c r="F192" s="21">
        <v>14000</v>
      </c>
      <c r="G192" s="21">
        <v>12500</v>
      </c>
      <c r="H192" s="21">
        <v>12200</v>
      </c>
      <c r="I192" s="21">
        <v>9500</v>
      </c>
      <c r="J192" s="21">
        <v>11800</v>
      </c>
      <c r="K192" s="21">
        <v>10700</v>
      </c>
      <c r="L192" s="21">
        <v>10500</v>
      </c>
      <c r="M192" s="21">
        <v>11300</v>
      </c>
      <c r="N192" s="21">
        <v>13000</v>
      </c>
      <c r="O192" s="21">
        <v>21700</v>
      </c>
      <c r="P192" s="21">
        <v>26200</v>
      </c>
      <c r="Q192" s="21">
        <v>29100</v>
      </c>
      <c r="R192" s="21">
        <v>26100</v>
      </c>
      <c r="S192" s="21">
        <v>21700</v>
      </c>
      <c r="T192" s="21">
        <v>20900</v>
      </c>
      <c r="U192" s="21">
        <v>20700</v>
      </c>
      <c r="V192" s="21">
        <v>20000</v>
      </c>
      <c r="W192" s="21">
        <v>16100</v>
      </c>
      <c r="X192" s="21">
        <v>18900</v>
      </c>
      <c r="Y192" s="21">
        <v>24400</v>
      </c>
      <c r="Z192" s="21">
        <v>19300</v>
      </c>
      <c r="AA192" s="21">
        <v>19000</v>
      </c>
      <c r="AB192" s="21">
        <v>18500</v>
      </c>
      <c r="AC192" s="21">
        <v>21500</v>
      </c>
      <c r="AD192" s="21">
        <v>23200</v>
      </c>
      <c r="AE192" s="21">
        <v>18900</v>
      </c>
      <c r="AF192" s="21">
        <v>18800</v>
      </c>
      <c r="AG192" s="24">
        <v>20900</v>
      </c>
      <c r="AH192" s="25">
        <v>21677.272727272728</v>
      </c>
      <c r="AI192" s="25">
        <v>22487.890454545461</v>
      </c>
      <c r="AJ192" s="25">
        <v>22978.727084090915</v>
      </c>
      <c r="AK192" s="25">
        <v>23481.121023056825</v>
      </c>
      <c r="AL192" s="25">
        <v>23995.354068115514</v>
      </c>
      <c r="AM192" s="25">
        <v>24521.7149894955</v>
      </c>
      <c r="AN192" s="25">
        <v>25060.499704606747</v>
      </c>
      <c r="AO192" s="25">
        <v>25612.011455999524</v>
      </c>
      <c r="AP192" s="25">
        <v>26176.560993764888</v>
      </c>
      <c r="AQ192" s="25">
        <v>26754.466762488049</v>
      </c>
      <c r="AS192" s="21"/>
      <c r="AT192" s="21"/>
      <c r="AU192" s="21"/>
      <c r="AV192" s="21">
        <v>8100</v>
      </c>
      <c r="AW192" s="21">
        <v>16900</v>
      </c>
      <c r="AX192" s="19">
        <v>14300</v>
      </c>
      <c r="AY192" s="19">
        <v>12500</v>
      </c>
      <c r="AZ192" s="19">
        <v>9500</v>
      </c>
      <c r="BA192" s="19">
        <v>10700</v>
      </c>
      <c r="BB192" s="19">
        <v>11300</v>
      </c>
      <c r="BC192" s="19">
        <v>21700</v>
      </c>
      <c r="BD192" s="19">
        <v>29100</v>
      </c>
      <c r="BE192" s="19">
        <v>21700</v>
      </c>
      <c r="BF192" s="19">
        <v>20700</v>
      </c>
      <c r="BG192" s="19">
        <v>16100</v>
      </c>
      <c r="BH192" s="19">
        <v>24400</v>
      </c>
      <c r="BI192" s="19">
        <v>19000</v>
      </c>
      <c r="BJ192" s="19">
        <v>21500</v>
      </c>
      <c r="BK192" s="19">
        <v>18900</v>
      </c>
      <c r="BL192" s="20">
        <v>20900</v>
      </c>
      <c r="BM192" s="19">
        <v>22487.890454545461</v>
      </c>
      <c r="BN192" s="19">
        <v>23481.121023056825</v>
      </c>
      <c r="BO192" s="19">
        <v>24521.7149894955</v>
      </c>
      <c r="BP192" s="19">
        <v>25612.011455999524</v>
      </c>
      <c r="BQ192" s="19">
        <v>26754.466762488049</v>
      </c>
    </row>
    <row r="193" spans="2:69" s="1" customFormat="1" ht="12" customHeight="1" outlineLevel="1">
      <c r="B193" s="1" t="s">
        <v>180</v>
      </c>
      <c r="D193" s="21">
        <v>0</v>
      </c>
      <c r="E193" s="21">
        <v>200</v>
      </c>
      <c r="F193" s="21">
        <v>0</v>
      </c>
      <c r="G193" s="21">
        <v>0</v>
      </c>
      <c r="H193" s="21">
        <v>500</v>
      </c>
      <c r="I193" s="21">
        <v>100</v>
      </c>
      <c r="J193" s="21">
        <v>200</v>
      </c>
      <c r="K193" s="21">
        <v>500</v>
      </c>
      <c r="L193" s="21">
        <v>900</v>
      </c>
      <c r="M193" s="21">
        <v>500</v>
      </c>
      <c r="N193" s="62">
        <v>600</v>
      </c>
      <c r="O193" s="62">
        <v>200</v>
      </c>
      <c r="P193" s="62">
        <v>200</v>
      </c>
      <c r="Q193" s="62">
        <v>200</v>
      </c>
      <c r="R193" s="62">
        <v>400</v>
      </c>
      <c r="S193" s="62">
        <v>300</v>
      </c>
      <c r="T193" s="62">
        <v>400</v>
      </c>
      <c r="U193" s="62">
        <v>1100</v>
      </c>
      <c r="V193" s="62">
        <v>900</v>
      </c>
      <c r="W193" s="62">
        <v>700</v>
      </c>
      <c r="X193" s="62">
        <v>1000</v>
      </c>
      <c r="Y193" s="62">
        <v>900</v>
      </c>
      <c r="Z193" s="62">
        <v>900</v>
      </c>
      <c r="AA193" s="62">
        <v>1000</v>
      </c>
      <c r="AB193" s="62">
        <v>1200</v>
      </c>
      <c r="AC193" s="62">
        <v>1200</v>
      </c>
      <c r="AD193" s="62">
        <v>4800</v>
      </c>
      <c r="AE193" s="62">
        <v>6100</v>
      </c>
      <c r="AF193" s="62">
        <v>6800</v>
      </c>
      <c r="AG193" s="57">
        <v>8600</v>
      </c>
      <c r="AH193" s="58">
        <v>8600</v>
      </c>
      <c r="AI193" s="58">
        <v>8600</v>
      </c>
      <c r="AJ193" s="58">
        <v>8600</v>
      </c>
      <c r="AK193" s="58">
        <v>8600</v>
      </c>
      <c r="AL193" s="58">
        <v>8600</v>
      </c>
      <c r="AM193" s="58">
        <v>8600</v>
      </c>
      <c r="AN193" s="58">
        <v>8600</v>
      </c>
      <c r="AO193" s="58">
        <v>8600</v>
      </c>
      <c r="AP193" s="58">
        <v>8600</v>
      </c>
      <c r="AQ193" s="58">
        <v>8600</v>
      </c>
      <c r="AS193" s="21"/>
      <c r="AT193" s="21"/>
      <c r="AU193" s="21"/>
      <c r="AV193" s="21">
        <v>0</v>
      </c>
      <c r="AW193" s="21">
        <v>400</v>
      </c>
      <c r="AX193" s="19">
        <v>200</v>
      </c>
      <c r="AY193" s="19">
        <v>0</v>
      </c>
      <c r="AZ193" s="19">
        <v>100</v>
      </c>
      <c r="BA193" s="19">
        <v>500</v>
      </c>
      <c r="BB193" s="19">
        <v>500</v>
      </c>
      <c r="BC193" s="19">
        <v>200</v>
      </c>
      <c r="BD193" s="19">
        <v>200</v>
      </c>
      <c r="BE193" s="19">
        <v>300</v>
      </c>
      <c r="BF193" s="19">
        <v>1100</v>
      </c>
      <c r="BG193" s="19">
        <v>700</v>
      </c>
      <c r="BH193" s="19">
        <v>900</v>
      </c>
      <c r="BI193" s="19">
        <v>1000</v>
      </c>
      <c r="BJ193" s="19">
        <v>1200</v>
      </c>
      <c r="BK193" s="19">
        <v>6100</v>
      </c>
      <c r="BL193" s="20">
        <v>8600</v>
      </c>
      <c r="BM193" s="19">
        <v>8600</v>
      </c>
      <c r="BN193" s="19">
        <v>8600</v>
      </c>
      <c r="BO193" s="19">
        <v>8600</v>
      </c>
      <c r="BP193" s="19">
        <v>8600</v>
      </c>
      <c r="BQ193" s="19">
        <v>8600</v>
      </c>
    </row>
    <row r="194" spans="2:69" s="1" customFormat="1" ht="12" customHeight="1" outlineLevel="1">
      <c r="B194" s="1" t="s">
        <v>181</v>
      </c>
      <c r="D194" s="21">
        <v>0</v>
      </c>
      <c r="E194" s="21">
        <v>0</v>
      </c>
      <c r="F194" s="21">
        <v>0</v>
      </c>
      <c r="G194" s="21">
        <v>0</v>
      </c>
      <c r="H194" s="21">
        <v>0</v>
      </c>
      <c r="I194" s="21">
        <v>0</v>
      </c>
      <c r="J194" s="21">
        <v>0</v>
      </c>
      <c r="K194" s="21">
        <v>0</v>
      </c>
      <c r="L194" s="21">
        <v>0</v>
      </c>
      <c r="M194" s="21">
        <v>0</v>
      </c>
      <c r="N194" s="62">
        <v>0</v>
      </c>
      <c r="O194" s="62">
        <v>0</v>
      </c>
      <c r="P194" s="62">
        <v>0</v>
      </c>
      <c r="Q194" s="62">
        <v>6000</v>
      </c>
      <c r="R194" s="62">
        <v>2500</v>
      </c>
      <c r="S194" s="62">
        <v>2400</v>
      </c>
      <c r="T194" s="62">
        <v>700</v>
      </c>
      <c r="U194" s="62">
        <v>800</v>
      </c>
      <c r="V194" s="62">
        <v>1200</v>
      </c>
      <c r="W194" s="62">
        <v>0</v>
      </c>
      <c r="X194" s="62">
        <v>0</v>
      </c>
      <c r="Y194" s="62">
        <v>0</v>
      </c>
      <c r="Z194" s="62">
        <v>0</v>
      </c>
      <c r="AA194" s="62">
        <v>0</v>
      </c>
      <c r="AB194" s="62">
        <v>0</v>
      </c>
      <c r="AC194" s="62">
        <v>2800</v>
      </c>
      <c r="AD194" s="62">
        <v>0</v>
      </c>
      <c r="AE194" s="62">
        <v>0</v>
      </c>
      <c r="AF194" s="62">
        <v>0</v>
      </c>
      <c r="AG194" s="57">
        <v>0</v>
      </c>
      <c r="AH194" s="58">
        <v>0</v>
      </c>
      <c r="AI194" s="58">
        <v>0</v>
      </c>
      <c r="AJ194" s="58">
        <v>0</v>
      </c>
      <c r="AK194" s="58">
        <v>0</v>
      </c>
      <c r="AL194" s="58">
        <v>0</v>
      </c>
      <c r="AM194" s="58">
        <v>0</v>
      </c>
      <c r="AN194" s="58">
        <v>0</v>
      </c>
      <c r="AO194" s="58">
        <v>0</v>
      </c>
      <c r="AP194" s="58">
        <v>0</v>
      </c>
      <c r="AQ194" s="58">
        <v>0</v>
      </c>
      <c r="AS194" s="21"/>
      <c r="AT194" s="21"/>
      <c r="AU194" s="21"/>
      <c r="AV194" s="21">
        <v>0</v>
      </c>
      <c r="AW194" s="21">
        <v>0</v>
      </c>
      <c r="AX194" s="19">
        <v>0</v>
      </c>
      <c r="AY194" s="19">
        <v>0</v>
      </c>
      <c r="AZ194" s="19">
        <v>0</v>
      </c>
      <c r="BA194" s="19">
        <v>0</v>
      </c>
      <c r="BB194" s="19">
        <v>0</v>
      </c>
      <c r="BC194" s="19">
        <v>0</v>
      </c>
      <c r="BD194" s="19">
        <v>6000</v>
      </c>
      <c r="BE194" s="19">
        <v>2400</v>
      </c>
      <c r="BF194" s="19">
        <v>800</v>
      </c>
      <c r="BG194" s="19">
        <v>0</v>
      </c>
      <c r="BH194" s="19">
        <v>0</v>
      </c>
      <c r="BI194" s="19">
        <v>0</v>
      </c>
      <c r="BJ194" s="19">
        <v>2800</v>
      </c>
      <c r="BK194" s="19">
        <v>0</v>
      </c>
      <c r="BL194" s="20">
        <v>0</v>
      </c>
      <c r="BM194" s="19">
        <v>0</v>
      </c>
      <c r="BN194" s="19">
        <v>0</v>
      </c>
      <c r="BO194" s="19">
        <v>0</v>
      </c>
      <c r="BP194" s="19">
        <v>0</v>
      </c>
      <c r="BQ194" s="19">
        <v>0</v>
      </c>
    </row>
    <row r="195" spans="2:69" s="1" customFormat="1" ht="12" customHeight="1" outlineLevel="1">
      <c r="B195" s="1" t="s">
        <v>171</v>
      </c>
      <c r="C195" s="21"/>
      <c r="D195" s="21">
        <v>0</v>
      </c>
      <c r="E195" s="21">
        <v>0</v>
      </c>
      <c r="F195" s="21">
        <v>0</v>
      </c>
      <c r="G195" s="21">
        <v>0</v>
      </c>
      <c r="H195" s="21">
        <v>0</v>
      </c>
      <c r="I195" s="21">
        <v>0</v>
      </c>
      <c r="J195" s="21">
        <v>0</v>
      </c>
      <c r="K195" s="21">
        <v>0</v>
      </c>
      <c r="L195" s="21">
        <v>0</v>
      </c>
      <c r="M195" s="21">
        <v>0</v>
      </c>
      <c r="N195" s="21">
        <v>0</v>
      </c>
      <c r="O195" s="21">
        <v>0</v>
      </c>
      <c r="P195" s="21">
        <v>0</v>
      </c>
      <c r="Q195" s="21">
        <v>0</v>
      </c>
      <c r="R195" s="21">
        <v>0</v>
      </c>
      <c r="S195" s="21">
        <v>0</v>
      </c>
      <c r="T195" s="21">
        <v>0</v>
      </c>
      <c r="U195" s="21">
        <v>0</v>
      </c>
      <c r="V195" s="21">
        <v>0</v>
      </c>
      <c r="W195" s="21">
        <v>0</v>
      </c>
      <c r="X195" s="21">
        <v>0</v>
      </c>
      <c r="Y195" s="21">
        <v>0</v>
      </c>
      <c r="Z195" s="21">
        <v>0</v>
      </c>
      <c r="AA195" s="21">
        <v>0</v>
      </c>
      <c r="AB195" s="21">
        <v>0</v>
      </c>
      <c r="AC195" s="21">
        <v>0</v>
      </c>
      <c r="AD195" s="21">
        <v>0</v>
      </c>
      <c r="AE195" s="21">
        <v>0</v>
      </c>
      <c r="AF195" s="21">
        <v>0</v>
      </c>
      <c r="AG195" s="24">
        <v>0</v>
      </c>
      <c r="AH195" s="19">
        <v>0</v>
      </c>
      <c r="AI195" s="19">
        <v>0</v>
      </c>
      <c r="AJ195" s="19">
        <v>0</v>
      </c>
      <c r="AK195" s="19">
        <v>0</v>
      </c>
      <c r="AL195" s="19">
        <v>0</v>
      </c>
      <c r="AM195" s="19">
        <v>0</v>
      </c>
      <c r="AN195" s="19">
        <v>0</v>
      </c>
      <c r="AO195" s="19">
        <v>0</v>
      </c>
      <c r="AP195" s="19">
        <v>0</v>
      </c>
      <c r="AQ195" s="19">
        <v>0</v>
      </c>
      <c r="AS195" s="21"/>
      <c r="AT195" s="21"/>
      <c r="AU195" s="21"/>
      <c r="AV195" s="21">
        <v>0</v>
      </c>
      <c r="AW195" s="21">
        <v>0</v>
      </c>
      <c r="AX195" s="19">
        <v>0</v>
      </c>
      <c r="AY195" s="19">
        <v>0</v>
      </c>
      <c r="AZ195" s="19">
        <v>0</v>
      </c>
      <c r="BA195" s="19">
        <v>0</v>
      </c>
      <c r="BB195" s="19">
        <v>0</v>
      </c>
      <c r="BC195" s="19">
        <v>0</v>
      </c>
      <c r="BD195" s="19">
        <v>0</v>
      </c>
      <c r="BE195" s="19">
        <v>0</v>
      </c>
      <c r="BF195" s="19">
        <v>0</v>
      </c>
      <c r="BG195" s="19">
        <v>0</v>
      </c>
      <c r="BH195" s="19">
        <v>0</v>
      </c>
      <c r="BI195" s="19">
        <v>0</v>
      </c>
      <c r="BJ195" s="19">
        <v>0</v>
      </c>
      <c r="BK195" s="19">
        <v>0</v>
      </c>
      <c r="BL195" s="20">
        <v>0</v>
      </c>
      <c r="BM195" s="19">
        <v>0</v>
      </c>
      <c r="BN195" s="19">
        <v>0</v>
      </c>
      <c r="BO195" s="19">
        <v>0</v>
      </c>
      <c r="BP195" s="19">
        <v>0</v>
      </c>
      <c r="BQ195" s="19">
        <v>0</v>
      </c>
    </row>
    <row r="196" spans="2:69" s="1" customFormat="1" ht="12" customHeight="1" outlineLevel="1">
      <c r="B196" s="1" t="s">
        <v>182</v>
      </c>
      <c r="D196" s="21">
        <v>17000</v>
      </c>
      <c r="E196" s="21">
        <v>19600</v>
      </c>
      <c r="F196" s="21">
        <v>31200</v>
      </c>
      <c r="G196" s="21">
        <v>31600</v>
      </c>
      <c r="H196" s="21">
        <v>34500</v>
      </c>
      <c r="I196" s="21">
        <v>33900</v>
      </c>
      <c r="J196" s="21">
        <v>36200</v>
      </c>
      <c r="K196" s="21">
        <v>36200</v>
      </c>
      <c r="L196" s="21">
        <v>38000</v>
      </c>
      <c r="M196" s="21">
        <v>36900</v>
      </c>
      <c r="N196" s="21">
        <v>38800</v>
      </c>
      <c r="O196" s="21">
        <v>39700</v>
      </c>
      <c r="P196" s="21">
        <v>42800</v>
      </c>
      <c r="Q196" s="21">
        <v>43600</v>
      </c>
      <c r="R196" s="21">
        <v>46100</v>
      </c>
      <c r="S196" s="21">
        <v>47800</v>
      </c>
      <c r="T196" s="21">
        <v>49400</v>
      </c>
      <c r="U196" s="21">
        <v>48100</v>
      </c>
      <c r="V196" s="21">
        <v>52300</v>
      </c>
      <c r="W196" s="21">
        <v>56000</v>
      </c>
      <c r="X196" s="21">
        <v>58800</v>
      </c>
      <c r="Y196" s="21">
        <v>67100</v>
      </c>
      <c r="Z196" s="21">
        <v>77100</v>
      </c>
      <c r="AA196" s="21">
        <v>84000</v>
      </c>
      <c r="AB196" s="21">
        <v>91500</v>
      </c>
      <c r="AC196" s="21">
        <v>101500</v>
      </c>
      <c r="AD196" s="21">
        <v>122000</v>
      </c>
      <c r="AE196" s="21">
        <v>134500</v>
      </c>
      <c r="AF196" s="21">
        <v>135800</v>
      </c>
      <c r="AG196" s="24">
        <v>148300</v>
      </c>
      <c r="AH196" s="25">
        <v>153815.28925619833</v>
      </c>
      <c r="AI196" s="25">
        <v>159567.18442148762</v>
      </c>
      <c r="AJ196" s="25">
        <v>163050.01084070245</v>
      </c>
      <c r="AK196" s="25">
        <v>166614.84438848446</v>
      </c>
      <c r="AL196" s="25">
        <v>170263.68460772865</v>
      </c>
      <c r="AM196" s="25">
        <v>173998.58052354929</v>
      </c>
      <c r="AN196" s="25">
        <v>177821.63187527168</v>
      </c>
      <c r="AO196" s="25">
        <v>181734.99037917354</v>
      </c>
      <c r="AP196" s="25">
        <v>185740.86102274308</v>
      </c>
      <c r="AQ196" s="25">
        <v>189841.50339124282</v>
      </c>
      <c r="AS196" s="21"/>
      <c r="AT196" s="21"/>
      <c r="AU196" s="21"/>
      <c r="AV196" s="21">
        <v>13000</v>
      </c>
      <c r="AW196" s="21">
        <v>18600</v>
      </c>
      <c r="AX196" s="19">
        <v>19600</v>
      </c>
      <c r="AY196" s="19">
        <v>31600</v>
      </c>
      <c r="AZ196" s="19">
        <v>33900</v>
      </c>
      <c r="BA196" s="19">
        <v>36200</v>
      </c>
      <c r="BB196" s="19">
        <v>36900</v>
      </c>
      <c r="BC196" s="19">
        <v>39700</v>
      </c>
      <c r="BD196" s="19">
        <v>43600</v>
      </c>
      <c r="BE196" s="19">
        <v>47800</v>
      </c>
      <c r="BF196" s="19">
        <v>48100</v>
      </c>
      <c r="BG196" s="19">
        <v>56000</v>
      </c>
      <c r="BH196" s="19">
        <v>67100</v>
      </c>
      <c r="BI196" s="19">
        <v>84000</v>
      </c>
      <c r="BJ196" s="19">
        <v>101500</v>
      </c>
      <c r="BK196" s="19">
        <v>134500</v>
      </c>
      <c r="BL196" s="20">
        <v>148300</v>
      </c>
      <c r="BM196" s="19">
        <v>159567.18442148762</v>
      </c>
      <c r="BN196" s="19">
        <v>166614.84438848446</v>
      </c>
      <c r="BO196" s="19">
        <v>173998.58052354929</v>
      </c>
      <c r="BP196" s="19">
        <v>181734.99037917354</v>
      </c>
      <c r="BQ196" s="19">
        <v>189841.50339124282</v>
      </c>
    </row>
    <row r="197" spans="2:69" s="1" customFormat="1" ht="12" customHeight="1" outlineLevel="1">
      <c r="B197" s="1" t="s">
        <v>183</v>
      </c>
      <c r="D197" s="19">
        <v>1500</v>
      </c>
      <c r="E197" s="19">
        <v>1400</v>
      </c>
      <c r="F197" s="19">
        <v>2000</v>
      </c>
      <c r="G197" s="19">
        <v>1900</v>
      </c>
      <c r="H197" s="19">
        <v>2600</v>
      </c>
      <c r="I197" s="19">
        <v>2300</v>
      </c>
      <c r="J197" s="19">
        <v>1600</v>
      </c>
      <c r="K197" s="19">
        <v>2200</v>
      </c>
      <c r="L197" s="19">
        <v>2400</v>
      </c>
      <c r="M197" s="19">
        <v>2500</v>
      </c>
      <c r="N197" s="59">
        <v>2500</v>
      </c>
      <c r="O197" s="59">
        <v>3200</v>
      </c>
      <c r="P197" s="59">
        <v>4600</v>
      </c>
      <c r="Q197" s="59">
        <v>4100</v>
      </c>
      <c r="R197" s="59">
        <v>3800</v>
      </c>
      <c r="S197" s="59">
        <v>4600</v>
      </c>
      <c r="T197" s="59">
        <v>4200</v>
      </c>
      <c r="U197" s="59">
        <v>2800</v>
      </c>
      <c r="V197" s="59">
        <v>2900</v>
      </c>
      <c r="W197" s="59">
        <v>3000</v>
      </c>
      <c r="X197" s="59">
        <v>3100</v>
      </c>
      <c r="Y197" s="59">
        <v>3500</v>
      </c>
      <c r="Z197" s="59">
        <v>4200</v>
      </c>
      <c r="AA197" s="59">
        <v>5100</v>
      </c>
      <c r="AB197" s="59">
        <v>5000</v>
      </c>
      <c r="AC197" s="59">
        <v>4600</v>
      </c>
      <c r="AD197" s="59">
        <v>5700</v>
      </c>
      <c r="AE197" s="59">
        <v>7200</v>
      </c>
      <c r="AF197" s="59">
        <v>7100</v>
      </c>
      <c r="AG197" s="60">
        <v>8400</v>
      </c>
      <c r="AH197" s="58">
        <v>8400</v>
      </c>
      <c r="AI197" s="58">
        <v>8400</v>
      </c>
      <c r="AJ197" s="58">
        <v>8400</v>
      </c>
      <c r="AK197" s="58">
        <v>8400</v>
      </c>
      <c r="AL197" s="58">
        <v>8400</v>
      </c>
      <c r="AM197" s="58">
        <v>8400</v>
      </c>
      <c r="AN197" s="58">
        <v>8400</v>
      </c>
      <c r="AO197" s="58">
        <v>8400</v>
      </c>
      <c r="AP197" s="58">
        <v>8400</v>
      </c>
      <c r="AQ197" s="58">
        <v>8400</v>
      </c>
      <c r="AS197" s="19"/>
      <c r="AT197" s="19"/>
      <c r="AU197" s="19"/>
      <c r="AV197" s="19">
        <v>2300</v>
      </c>
      <c r="AW197" s="19">
        <v>2900</v>
      </c>
      <c r="AX197" s="19">
        <v>1400</v>
      </c>
      <c r="AY197" s="19">
        <v>1900</v>
      </c>
      <c r="AZ197" s="19">
        <v>2300</v>
      </c>
      <c r="BA197" s="19">
        <v>2200</v>
      </c>
      <c r="BB197" s="19">
        <v>2500</v>
      </c>
      <c r="BC197" s="19">
        <v>3200</v>
      </c>
      <c r="BD197" s="19">
        <v>4100</v>
      </c>
      <c r="BE197" s="19">
        <v>4600</v>
      </c>
      <c r="BF197" s="19">
        <v>2800</v>
      </c>
      <c r="BG197" s="19">
        <v>3000</v>
      </c>
      <c r="BH197" s="19">
        <v>3500</v>
      </c>
      <c r="BI197" s="19">
        <v>5100</v>
      </c>
      <c r="BJ197" s="19">
        <v>4600</v>
      </c>
      <c r="BK197" s="19">
        <v>7200</v>
      </c>
      <c r="BL197" s="20">
        <v>8400</v>
      </c>
      <c r="BM197" s="19">
        <v>8400</v>
      </c>
      <c r="BN197" s="19">
        <v>8400</v>
      </c>
      <c r="BO197" s="19">
        <v>8400</v>
      </c>
      <c r="BP197" s="19">
        <v>8400</v>
      </c>
      <c r="BQ197" s="19">
        <v>8400</v>
      </c>
    </row>
    <row r="198" spans="2:69" s="1" customFormat="1" ht="12" hidden="1" customHeight="1" outlineLevel="2">
      <c r="B198" s="1" t="s">
        <v>173</v>
      </c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20"/>
      <c r="AH198" s="19"/>
      <c r="AI198" s="19"/>
      <c r="AJ198" s="19"/>
      <c r="AK198" s="19"/>
      <c r="AL198" s="19"/>
      <c r="AM198" s="19"/>
      <c r="AN198" s="19"/>
      <c r="AO198" s="19"/>
      <c r="AP198" s="19"/>
      <c r="AQ198" s="19"/>
      <c r="AS198" s="21"/>
      <c r="AT198" s="21"/>
      <c r="AU198" s="21"/>
      <c r="AV198" s="21"/>
      <c r="AW198" s="21"/>
      <c r="AX198" s="19">
        <v>0</v>
      </c>
      <c r="AY198" s="19">
        <v>0</v>
      </c>
      <c r="AZ198" s="19">
        <v>0</v>
      </c>
      <c r="BA198" s="19">
        <v>0</v>
      </c>
      <c r="BB198" s="19">
        <v>0</v>
      </c>
      <c r="BC198" s="19">
        <v>0</v>
      </c>
      <c r="BD198" s="19">
        <v>0</v>
      </c>
      <c r="BE198" s="19">
        <v>0</v>
      </c>
      <c r="BF198" s="19">
        <v>0</v>
      </c>
      <c r="BG198" s="19">
        <v>0</v>
      </c>
      <c r="BH198" s="19">
        <v>0</v>
      </c>
      <c r="BI198" s="19">
        <v>0</v>
      </c>
      <c r="BJ198" s="19">
        <v>0</v>
      </c>
      <c r="BK198" s="19">
        <v>0</v>
      </c>
      <c r="BL198" s="20">
        <v>0</v>
      </c>
      <c r="BM198" s="19">
        <v>0</v>
      </c>
      <c r="BN198" s="19">
        <v>0</v>
      </c>
      <c r="BO198" s="19">
        <v>0</v>
      </c>
      <c r="BP198" s="19">
        <v>0</v>
      </c>
      <c r="BQ198" s="19">
        <v>0</v>
      </c>
    </row>
    <row r="199" spans="2:69" s="1" customFormat="1" ht="12" hidden="1" customHeight="1" outlineLevel="2">
      <c r="B199" s="1" t="s">
        <v>173</v>
      </c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20"/>
      <c r="AH199" s="19"/>
      <c r="AI199" s="19"/>
      <c r="AJ199" s="19"/>
      <c r="AK199" s="19"/>
      <c r="AL199" s="19"/>
      <c r="AM199" s="19"/>
      <c r="AN199" s="19"/>
      <c r="AO199" s="19"/>
      <c r="AP199" s="19"/>
      <c r="AQ199" s="19"/>
      <c r="AS199" s="21"/>
      <c r="AT199" s="21"/>
      <c r="AU199" s="21"/>
      <c r="AV199" s="21"/>
      <c r="AW199" s="21"/>
      <c r="AX199" s="19">
        <v>0</v>
      </c>
      <c r="AY199" s="19">
        <v>0</v>
      </c>
      <c r="AZ199" s="19">
        <v>0</v>
      </c>
      <c r="BA199" s="19">
        <v>0</v>
      </c>
      <c r="BB199" s="19">
        <v>0</v>
      </c>
      <c r="BC199" s="19">
        <v>0</v>
      </c>
      <c r="BD199" s="19">
        <v>0</v>
      </c>
      <c r="BE199" s="19">
        <v>0</v>
      </c>
      <c r="BF199" s="19">
        <v>0</v>
      </c>
      <c r="BG199" s="19">
        <v>0</v>
      </c>
      <c r="BH199" s="19">
        <v>0</v>
      </c>
      <c r="BI199" s="19">
        <v>0</v>
      </c>
      <c r="BJ199" s="19">
        <v>0</v>
      </c>
      <c r="BK199" s="19">
        <v>0</v>
      </c>
      <c r="BL199" s="20">
        <v>0</v>
      </c>
      <c r="BM199" s="19">
        <v>0</v>
      </c>
      <c r="BN199" s="19">
        <v>0</v>
      </c>
      <c r="BO199" s="19">
        <v>0</v>
      </c>
      <c r="BP199" s="19">
        <v>0</v>
      </c>
      <c r="BQ199" s="19">
        <v>0</v>
      </c>
    </row>
    <row r="200" spans="2:69" s="1" customFormat="1" ht="12" hidden="1" customHeight="1" outlineLevel="2">
      <c r="B200" s="1" t="s">
        <v>173</v>
      </c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20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S200" s="21"/>
      <c r="AT200" s="21"/>
      <c r="AU200" s="21"/>
      <c r="AV200" s="21"/>
      <c r="AW200" s="21"/>
      <c r="AX200" s="19">
        <v>0</v>
      </c>
      <c r="AY200" s="19">
        <v>0</v>
      </c>
      <c r="AZ200" s="19">
        <v>0</v>
      </c>
      <c r="BA200" s="19">
        <v>0</v>
      </c>
      <c r="BB200" s="19">
        <v>0</v>
      </c>
      <c r="BC200" s="19">
        <v>0</v>
      </c>
      <c r="BD200" s="19">
        <v>0</v>
      </c>
      <c r="BE200" s="19">
        <v>0</v>
      </c>
      <c r="BF200" s="19">
        <v>0</v>
      </c>
      <c r="BG200" s="19">
        <v>0</v>
      </c>
      <c r="BH200" s="19">
        <v>0</v>
      </c>
      <c r="BI200" s="19">
        <v>0</v>
      </c>
      <c r="BJ200" s="19">
        <v>0</v>
      </c>
      <c r="BK200" s="19">
        <v>0</v>
      </c>
      <c r="BL200" s="20">
        <v>0</v>
      </c>
      <c r="BM200" s="19">
        <v>0</v>
      </c>
      <c r="BN200" s="19">
        <v>0</v>
      </c>
      <c r="BO200" s="19">
        <v>0</v>
      </c>
      <c r="BP200" s="19">
        <v>0</v>
      </c>
      <c r="BQ200" s="19">
        <v>0</v>
      </c>
    </row>
    <row r="201" spans="2:69" s="1" customFormat="1" ht="12" hidden="1" customHeight="1" outlineLevel="2">
      <c r="B201" s="1" t="s">
        <v>173</v>
      </c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20"/>
      <c r="AH201" s="19"/>
      <c r="AI201" s="19"/>
      <c r="AJ201" s="19"/>
      <c r="AK201" s="19"/>
      <c r="AL201" s="19"/>
      <c r="AM201" s="19"/>
      <c r="AN201" s="19"/>
      <c r="AO201" s="19"/>
      <c r="AP201" s="19"/>
      <c r="AQ201" s="19"/>
      <c r="AS201" s="21"/>
      <c r="AT201" s="21"/>
      <c r="AU201" s="21"/>
      <c r="AV201" s="21"/>
      <c r="AW201" s="21"/>
      <c r="AX201" s="19">
        <v>0</v>
      </c>
      <c r="AY201" s="19">
        <v>0</v>
      </c>
      <c r="AZ201" s="19">
        <v>0</v>
      </c>
      <c r="BA201" s="19">
        <v>0</v>
      </c>
      <c r="BB201" s="19">
        <v>0</v>
      </c>
      <c r="BC201" s="19">
        <v>0</v>
      </c>
      <c r="BD201" s="19">
        <v>0</v>
      </c>
      <c r="BE201" s="19">
        <v>0</v>
      </c>
      <c r="BF201" s="19">
        <v>0</v>
      </c>
      <c r="BG201" s="19">
        <v>0</v>
      </c>
      <c r="BH201" s="19">
        <v>0</v>
      </c>
      <c r="BI201" s="19">
        <v>0</v>
      </c>
      <c r="BJ201" s="19">
        <v>0</v>
      </c>
      <c r="BK201" s="19">
        <v>0</v>
      </c>
      <c r="BL201" s="20">
        <v>0</v>
      </c>
      <c r="BM201" s="19">
        <v>0</v>
      </c>
      <c r="BN201" s="19">
        <v>0</v>
      </c>
      <c r="BO201" s="19">
        <v>0</v>
      </c>
      <c r="BP201" s="19">
        <v>0</v>
      </c>
      <c r="BQ201" s="19">
        <v>0</v>
      </c>
    </row>
    <row r="202" spans="2:69" s="1" customFormat="1" ht="12" hidden="1" customHeight="1" outlineLevel="2">
      <c r="B202" s="1" t="s">
        <v>173</v>
      </c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20"/>
      <c r="AH202" s="19"/>
      <c r="AI202" s="19"/>
      <c r="AJ202" s="19"/>
      <c r="AK202" s="19"/>
      <c r="AL202" s="19"/>
      <c r="AM202" s="19"/>
      <c r="AN202" s="19"/>
      <c r="AO202" s="19"/>
      <c r="AP202" s="19"/>
      <c r="AQ202" s="19"/>
      <c r="AS202" s="21"/>
      <c r="AT202" s="21"/>
      <c r="AU202" s="21"/>
      <c r="AV202" s="21"/>
      <c r="AW202" s="21"/>
      <c r="AX202" s="19">
        <v>0</v>
      </c>
      <c r="AY202" s="19">
        <v>0</v>
      </c>
      <c r="AZ202" s="19">
        <v>0</v>
      </c>
      <c r="BA202" s="19">
        <v>0</v>
      </c>
      <c r="BB202" s="19">
        <v>0</v>
      </c>
      <c r="BC202" s="19">
        <v>0</v>
      </c>
      <c r="BD202" s="19">
        <v>0</v>
      </c>
      <c r="BE202" s="19">
        <v>0</v>
      </c>
      <c r="BF202" s="19">
        <v>0</v>
      </c>
      <c r="BG202" s="19">
        <v>0</v>
      </c>
      <c r="BH202" s="19">
        <v>0</v>
      </c>
      <c r="BI202" s="19">
        <v>0</v>
      </c>
      <c r="BJ202" s="19">
        <v>0</v>
      </c>
      <c r="BK202" s="19">
        <v>0</v>
      </c>
      <c r="BL202" s="20">
        <v>0</v>
      </c>
      <c r="BM202" s="19">
        <v>0</v>
      </c>
      <c r="BN202" s="19">
        <v>0</v>
      </c>
      <c r="BO202" s="19">
        <v>0</v>
      </c>
      <c r="BP202" s="19">
        <v>0</v>
      </c>
      <c r="BQ202" s="19">
        <v>0</v>
      </c>
    </row>
    <row r="203" spans="2:69" s="1" customFormat="1" ht="12" hidden="1" customHeight="1" outlineLevel="2">
      <c r="B203" s="1" t="s">
        <v>173</v>
      </c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20"/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S203" s="21"/>
      <c r="AT203" s="21"/>
      <c r="AU203" s="21"/>
      <c r="AV203" s="21"/>
      <c r="AW203" s="21"/>
      <c r="AX203" s="19">
        <v>0</v>
      </c>
      <c r="AY203" s="19">
        <v>0</v>
      </c>
      <c r="AZ203" s="19">
        <v>0</v>
      </c>
      <c r="BA203" s="19">
        <v>0</v>
      </c>
      <c r="BB203" s="19">
        <v>0</v>
      </c>
      <c r="BC203" s="19">
        <v>0</v>
      </c>
      <c r="BD203" s="19">
        <v>0</v>
      </c>
      <c r="BE203" s="19">
        <v>0</v>
      </c>
      <c r="BF203" s="19">
        <v>0</v>
      </c>
      <c r="BG203" s="19">
        <v>0</v>
      </c>
      <c r="BH203" s="19">
        <v>0</v>
      </c>
      <c r="BI203" s="19">
        <v>0</v>
      </c>
      <c r="BJ203" s="19">
        <v>0</v>
      </c>
      <c r="BK203" s="19">
        <v>0</v>
      </c>
      <c r="BL203" s="20">
        <v>0</v>
      </c>
      <c r="BM203" s="19">
        <v>0</v>
      </c>
      <c r="BN203" s="19">
        <v>0</v>
      </c>
      <c r="BO203" s="19">
        <v>0</v>
      </c>
      <c r="BP203" s="19">
        <v>0</v>
      </c>
      <c r="BQ203" s="19">
        <v>0</v>
      </c>
    </row>
    <row r="204" spans="2:69" s="1" customFormat="1" ht="12" hidden="1" customHeight="1" outlineLevel="2">
      <c r="B204" s="1" t="s">
        <v>173</v>
      </c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20"/>
      <c r="AH204" s="19"/>
      <c r="AI204" s="19"/>
      <c r="AJ204" s="19"/>
      <c r="AK204" s="19"/>
      <c r="AL204" s="19"/>
      <c r="AM204" s="19"/>
      <c r="AN204" s="19"/>
      <c r="AO204" s="19"/>
      <c r="AP204" s="19"/>
      <c r="AQ204" s="19"/>
      <c r="AS204" s="21"/>
      <c r="AT204" s="21"/>
      <c r="AU204" s="21"/>
      <c r="AV204" s="21"/>
      <c r="AW204" s="21"/>
      <c r="AX204" s="19">
        <v>0</v>
      </c>
      <c r="AY204" s="19">
        <v>0</v>
      </c>
      <c r="AZ204" s="19">
        <v>0</v>
      </c>
      <c r="BA204" s="19">
        <v>0</v>
      </c>
      <c r="BB204" s="19">
        <v>0</v>
      </c>
      <c r="BC204" s="19">
        <v>0</v>
      </c>
      <c r="BD204" s="19">
        <v>0</v>
      </c>
      <c r="BE204" s="19">
        <v>0</v>
      </c>
      <c r="BF204" s="19">
        <v>0</v>
      </c>
      <c r="BG204" s="19">
        <v>0</v>
      </c>
      <c r="BH204" s="19">
        <v>0</v>
      </c>
      <c r="BI204" s="19">
        <v>0</v>
      </c>
      <c r="BJ204" s="19">
        <v>0</v>
      </c>
      <c r="BK204" s="19">
        <v>0</v>
      </c>
      <c r="BL204" s="20">
        <v>0</v>
      </c>
      <c r="BM204" s="19">
        <v>0</v>
      </c>
      <c r="BN204" s="19">
        <v>0</v>
      </c>
      <c r="BO204" s="19">
        <v>0</v>
      </c>
      <c r="BP204" s="19">
        <v>0</v>
      </c>
      <c r="BQ204" s="19">
        <v>0</v>
      </c>
    </row>
    <row r="205" spans="2:69" s="1" customFormat="1" ht="12" hidden="1" customHeight="1" outlineLevel="2">
      <c r="B205" s="1" t="s">
        <v>173</v>
      </c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20"/>
      <c r="AH205" s="19"/>
      <c r="AI205" s="19"/>
      <c r="AJ205" s="19"/>
      <c r="AK205" s="19"/>
      <c r="AL205" s="19"/>
      <c r="AM205" s="19"/>
      <c r="AN205" s="19"/>
      <c r="AO205" s="19"/>
      <c r="AP205" s="19"/>
      <c r="AQ205" s="19"/>
      <c r="AS205" s="21"/>
      <c r="AT205" s="21"/>
      <c r="AU205" s="21"/>
      <c r="AV205" s="21"/>
      <c r="AW205" s="21"/>
      <c r="AX205" s="19">
        <v>0</v>
      </c>
      <c r="AY205" s="19">
        <v>0</v>
      </c>
      <c r="AZ205" s="19">
        <v>0</v>
      </c>
      <c r="BA205" s="19">
        <v>0</v>
      </c>
      <c r="BB205" s="19">
        <v>0</v>
      </c>
      <c r="BC205" s="19">
        <v>0</v>
      </c>
      <c r="BD205" s="19">
        <v>0</v>
      </c>
      <c r="BE205" s="19">
        <v>0</v>
      </c>
      <c r="BF205" s="19">
        <v>0</v>
      </c>
      <c r="BG205" s="19">
        <v>0</v>
      </c>
      <c r="BH205" s="19">
        <v>0</v>
      </c>
      <c r="BI205" s="19">
        <v>0</v>
      </c>
      <c r="BJ205" s="19">
        <v>0</v>
      </c>
      <c r="BK205" s="19">
        <v>0</v>
      </c>
      <c r="BL205" s="20">
        <v>0</v>
      </c>
      <c r="BM205" s="19">
        <v>0</v>
      </c>
      <c r="BN205" s="19">
        <v>0</v>
      </c>
      <c r="BO205" s="19">
        <v>0</v>
      </c>
      <c r="BP205" s="19">
        <v>0</v>
      </c>
      <c r="BQ205" s="19">
        <v>0</v>
      </c>
    </row>
    <row r="206" spans="2:69" s="1" customFormat="1" ht="12" hidden="1" customHeight="1" outlineLevel="2">
      <c r="B206" s="1" t="s">
        <v>173</v>
      </c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20"/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S206" s="21"/>
      <c r="AT206" s="21"/>
      <c r="AU206" s="21"/>
      <c r="AV206" s="21"/>
      <c r="AW206" s="21"/>
      <c r="AX206" s="19">
        <v>0</v>
      </c>
      <c r="AY206" s="19">
        <v>0</v>
      </c>
      <c r="AZ206" s="19">
        <v>0</v>
      </c>
      <c r="BA206" s="19">
        <v>0</v>
      </c>
      <c r="BB206" s="19">
        <v>0</v>
      </c>
      <c r="BC206" s="19">
        <v>0</v>
      </c>
      <c r="BD206" s="19">
        <v>0</v>
      </c>
      <c r="BE206" s="19">
        <v>0</v>
      </c>
      <c r="BF206" s="19">
        <v>0</v>
      </c>
      <c r="BG206" s="19">
        <v>0</v>
      </c>
      <c r="BH206" s="19">
        <v>0</v>
      </c>
      <c r="BI206" s="19">
        <v>0</v>
      </c>
      <c r="BJ206" s="19">
        <v>0</v>
      </c>
      <c r="BK206" s="19">
        <v>0</v>
      </c>
      <c r="BL206" s="20">
        <v>0</v>
      </c>
      <c r="BM206" s="19">
        <v>0</v>
      </c>
      <c r="BN206" s="19">
        <v>0</v>
      </c>
      <c r="BO206" s="19">
        <v>0</v>
      </c>
      <c r="BP206" s="19">
        <v>0</v>
      </c>
      <c r="BQ206" s="19">
        <v>0</v>
      </c>
    </row>
    <row r="207" spans="2:69" s="1" customFormat="1" ht="12" hidden="1" customHeight="1" outlineLevel="2">
      <c r="B207" s="1" t="s">
        <v>173</v>
      </c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20"/>
      <c r="AH207" s="19"/>
      <c r="AI207" s="19"/>
      <c r="AJ207" s="19"/>
      <c r="AK207" s="19"/>
      <c r="AL207" s="19"/>
      <c r="AM207" s="19"/>
      <c r="AN207" s="19"/>
      <c r="AO207" s="19"/>
      <c r="AP207" s="19"/>
      <c r="AQ207" s="19"/>
      <c r="AS207" s="21"/>
      <c r="AT207" s="21"/>
      <c r="AU207" s="21"/>
      <c r="AV207" s="21"/>
      <c r="AW207" s="21"/>
      <c r="AX207" s="19">
        <v>0</v>
      </c>
      <c r="AY207" s="19">
        <v>0</v>
      </c>
      <c r="AZ207" s="19">
        <v>0</v>
      </c>
      <c r="BA207" s="19">
        <v>0</v>
      </c>
      <c r="BB207" s="19">
        <v>0</v>
      </c>
      <c r="BC207" s="19">
        <v>0</v>
      </c>
      <c r="BD207" s="19">
        <v>0</v>
      </c>
      <c r="BE207" s="19">
        <v>0</v>
      </c>
      <c r="BF207" s="19">
        <v>0</v>
      </c>
      <c r="BG207" s="19">
        <v>0</v>
      </c>
      <c r="BH207" s="19">
        <v>0</v>
      </c>
      <c r="BI207" s="19">
        <v>0</v>
      </c>
      <c r="BJ207" s="19">
        <v>0</v>
      </c>
      <c r="BK207" s="19">
        <v>0</v>
      </c>
      <c r="BL207" s="20">
        <v>0</v>
      </c>
      <c r="BM207" s="19">
        <v>0</v>
      </c>
      <c r="BN207" s="19">
        <v>0</v>
      </c>
      <c r="BO207" s="19">
        <v>0</v>
      </c>
      <c r="BP207" s="19">
        <v>0</v>
      </c>
      <c r="BQ207" s="19">
        <v>0</v>
      </c>
    </row>
    <row r="208" spans="2:69" s="1" customFormat="1" ht="12" customHeight="1" outlineLevel="1" collapsed="1">
      <c r="B208" s="9" t="s">
        <v>184</v>
      </c>
      <c r="D208" s="17">
        <v>49500</v>
      </c>
      <c r="E208" s="17">
        <v>50700</v>
      </c>
      <c r="F208" s="17">
        <v>61300</v>
      </c>
      <c r="G208" s="17">
        <v>63000</v>
      </c>
      <c r="H208" s="17">
        <v>68900</v>
      </c>
      <c r="I208" s="17">
        <v>65200</v>
      </c>
      <c r="J208" s="17">
        <v>67200</v>
      </c>
      <c r="K208" s="17">
        <v>65200</v>
      </c>
      <c r="L208" s="17">
        <v>69800</v>
      </c>
      <c r="M208" s="17">
        <v>68900</v>
      </c>
      <c r="N208" s="17">
        <v>75300</v>
      </c>
      <c r="O208" s="17">
        <v>85900</v>
      </c>
      <c r="P208" s="17">
        <v>94300</v>
      </c>
      <c r="Q208" s="17">
        <v>101900</v>
      </c>
      <c r="R208" s="17">
        <v>94600</v>
      </c>
      <c r="S208" s="17">
        <v>92000</v>
      </c>
      <c r="T208" s="17">
        <v>95300</v>
      </c>
      <c r="U208" s="17">
        <v>90100</v>
      </c>
      <c r="V208" s="17">
        <v>93300</v>
      </c>
      <c r="W208" s="17">
        <v>87800</v>
      </c>
      <c r="X208" s="17">
        <v>96200</v>
      </c>
      <c r="Y208" s="17">
        <v>107700</v>
      </c>
      <c r="Z208" s="17">
        <v>124600</v>
      </c>
      <c r="AA208" s="17">
        <v>137600</v>
      </c>
      <c r="AB208" s="17">
        <v>166900</v>
      </c>
      <c r="AC208" s="17">
        <v>195800</v>
      </c>
      <c r="AD208" s="17">
        <v>223400</v>
      </c>
      <c r="AE208" s="17">
        <v>225600</v>
      </c>
      <c r="AF208" s="17">
        <v>231800</v>
      </c>
      <c r="AG208" s="18">
        <v>242600</v>
      </c>
      <c r="AH208" s="17">
        <v>252809.65755218483</v>
      </c>
      <c r="AI208" s="17">
        <v>263059.51587491075</v>
      </c>
      <c r="AJ208" s="17">
        <v>268989.69828662311</v>
      </c>
      <c r="AK208" s="17">
        <v>274721.67943884293</v>
      </c>
      <c r="AL208" s="17">
        <v>281019.23860679829</v>
      </c>
      <c r="AM208" s="17">
        <v>286959.54397207196</v>
      </c>
      <c r="AN208" s="17">
        <v>293545.94253102009</v>
      </c>
      <c r="AO208" s="17">
        <v>299770.82635232428</v>
      </c>
      <c r="AP208" s="17">
        <v>306664.28961268987</v>
      </c>
      <c r="AQ208" s="17">
        <v>313181.17472734587</v>
      </c>
      <c r="AS208" s="17"/>
      <c r="AT208" s="17"/>
      <c r="AU208" s="17"/>
      <c r="AV208" s="17">
        <v>56500</v>
      </c>
      <c r="AW208" s="17">
        <v>56200</v>
      </c>
      <c r="AX208" s="17">
        <v>50700</v>
      </c>
      <c r="AY208" s="17">
        <v>63000</v>
      </c>
      <c r="AZ208" s="17">
        <v>65200</v>
      </c>
      <c r="BA208" s="17">
        <v>65200</v>
      </c>
      <c r="BB208" s="17">
        <v>68900</v>
      </c>
      <c r="BC208" s="17">
        <v>85900</v>
      </c>
      <c r="BD208" s="17">
        <v>101900</v>
      </c>
      <c r="BE208" s="17">
        <v>92000</v>
      </c>
      <c r="BF208" s="17">
        <v>90100</v>
      </c>
      <c r="BG208" s="17">
        <v>87800</v>
      </c>
      <c r="BH208" s="17">
        <v>107700</v>
      </c>
      <c r="BI208" s="17">
        <v>137600</v>
      </c>
      <c r="BJ208" s="17">
        <v>195800</v>
      </c>
      <c r="BK208" s="17">
        <v>225600</v>
      </c>
      <c r="BL208" s="18">
        <v>242600</v>
      </c>
      <c r="BM208" s="17">
        <v>263059.51587491075</v>
      </c>
      <c r="BN208" s="17">
        <v>274721.67943884293</v>
      </c>
      <c r="BO208" s="17">
        <v>286959.54397207196</v>
      </c>
      <c r="BP208" s="17">
        <v>299770.82635232428</v>
      </c>
      <c r="BQ208" s="17">
        <v>313181.17472734587</v>
      </c>
    </row>
    <row r="209" spans="1:69" ht="12" customHeight="1" outlineLevel="1"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20"/>
      <c r="AH209" s="19"/>
      <c r="AI209" s="19"/>
      <c r="AJ209" s="19"/>
      <c r="AK209" s="19"/>
      <c r="AL209" s="19"/>
      <c r="AM209" s="19"/>
      <c r="AN209" s="19"/>
      <c r="AO209" s="19"/>
      <c r="AP209" s="19"/>
      <c r="AQ209" s="19"/>
      <c r="AS209" s="19"/>
      <c r="AT209" s="19"/>
      <c r="AU209" s="19"/>
      <c r="AV209" s="19"/>
      <c r="AW209" s="19"/>
    </row>
    <row r="210" spans="1:69" ht="12" customHeight="1" outlineLevel="1">
      <c r="B210" s="1" t="s">
        <v>185</v>
      </c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20"/>
      <c r="AH210" s="19"/>
      <c r="AI210" s="19"/>
      <c r="AJ210" s="19"/>
      <c r="AK210" s="19"/>
      <c r="AL210" s="19"/>
      <c r="AM210" s="19"/>
      <c r="AN210" s="19"/>
      <c r="AO210" s="19"/>
      <c r="AP210" s="19"/>
      <c r="AQ210" s="19"/>
      <c r="AS210" s="19"/>
      <c r="AT210" s="19"/>
      <c r="AU210" s="19"/>
      <c r="AV210" s="19"/>
      <c r="AW210" s="19"/>
      <c r="AX210" s="19"/>
      <c r="AY210" s="19"/>
      <c r="AZ210" s="19"/>
      <c r="BA210" s="19"/>
      <c r="BB210" s="19"/>
      <c r="BC210" s="19"/>
      <c r="BD210" s="19"/>
      <c r="BE210" s="19"/>
      <c r="BF210" s="19"/>
      <c r="BG210" s="19"/>
      <c r="BH210" s="19"/>
      <c r="BI210" s="19"/>
      <c r="BJ210" s="19"/>
    </row>
    <row r="211" spans="1:69" ht="12" customHeight="1" outlineLevel="1">
      <c r="B211" s="1" t="s">
        <v>186</v>
      </c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20"/>
      <c r="AH211" s="19"/>
      <c r="AI211" s="19"/>
      <c r="AJ211" s="19"/>
      <c r="AK211" s="19"/>
      <c r="AL211" s="19"/>
      <c r="AM211" s="19"/>
      <c r="AN211" s="19"/>
      <c r="AO211" s="19"/>
      <c r="AP211" s="19"/>
      <c r="AQ211" s="19"/>
      <c r="AS211" s="19"/>
      <c r="AT211" s="19"/>
      <c r="AU211" s="19"/>
      <c r="AV211" s="19"/>
      <c r="AW211" s="19"/>
      <c r="AX211" s="19"/>
      <c r="AY211" s="19"/>
      <c r="AZ211" s="19"/>
      <c r="BA211" s="19"/>
      <c r="BB211" s="19"/>
      <c r="BC211" s="19"/>
      <c r="BD211" s="19"/>
      <c r="BE211" s="19"/>
      <c r="BF211" s="19"/>
      <c r="BG211" s="19"/>
      <c r="BH211" s="19"/>
      <c r="BI211" s="19"/>
      <c r="BJ211" s="19"/>
    </row>
    <row r="212" spans="1:69" ht="12" customHeight="1" outlineLevel="1">
      <c r="B212" s="1" t="s">
        <v>187</v>
      </c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20"/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S212" s="19"/>
      <c r="AT212" s="19"/>
      <c r="AU212" s="19"/>
      <c r="AV212" s="19"/>
      <c r="AW212" s="19"/>
      <c r="AX212" s="19"/>
      <c r="AY212" s="19"/>
      <c r="AZ212" s="19"/>
      <c r="BA212" s="19"/>
      <c r="BB212" s="19"/>
      <c r="BC212" s="19"/>
      <c r="BD212" s="19"/>
      <c r="BE212" s="19"/>
      <c r="BF212" s="19"/>
      <c r="BG212" s="19"/>
      <c r="BH212" s="19"/>
      <c r="BI212" s="19"/>
      <c r="BJ212" s="19"/>
    </row>
    <row r="213" spans="1:69" ht="12" customHeight="1" outlineLevel="1">
      <c r="B213" s="1" t="s">
        <v>188</v>
      </c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20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  <c r="AS213" s="19"/>
      <c r="AT213" s="19"/>
      <c r="AU213" s="19"/>
      <c r="AV213" s="19"/>
      <c r="AW213" s="19"/>
      <c r="AX213" s="19"/>
      <c r="AY213" s="19"/>
      <c r="AZ213" s="19"/>
      <c r="BA213" s="19"/>
      <c r="BB213" s="19"/>
      <c r="BC213" s="19"/>
      <c r="BD213" s="19"/>
      <c r="BE213" s="19"/>
      <c r="BF213" s="19"/>
      <c r="BG213" s="19"/>
      <c r="BH213" s="19"/>
      <c r="BI213" s="19"/>
      <c r="BJ213" s="19"/>
    </row>
    <row r="214" spans="1:69" ht="12" customHeight="1" outlineLevel="1">
      <c r="B214" s="1" t="s">
        <v>189</v>
      </c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20"/>
      <c r="AH214" s="19"/>
      <c r="AI214" s="19"/>
      <c r="AJ214" s="19"/>
      <c r="AK214" s="19"/>
      <c r="AL214" s="19"/>
      <c r="AM214" s="19"/>
      <c r="AN214" s="19"/>
      <c r="AO214" s="19"/>
      <c r="AP214" s="19"/>
      <c r="AQ214" s="19"/>
      <c r="AS214" s="19"/>
      <c r="AT214" s="19"/>
      <c r="AU214" s="19"/>
      <c r="AV214" s="19"/>
      <c r="AW214" s="19"/>
      <c r="AX214" s="19"/>
      <c r="AY214" s="19"/>
      <c r="AZ214" s="19"/>
      <c r="BA214" s="19"/>
      <c r="BB214" s="19"/>
      <c r="BC214" s="19"/>
      <c r="BD214" s="19"/>
      <c r="BE214" s="19"/>
      <c r="BF214" s="19"/>
      <c r="BG214" s="19"/>
      <c r="BH214" s="19"/>
      <c r="BI214" s="19"/>
      <c r="BJ214" s="19"/>
    </row>
    <row r="215" spans="1:69" ht="12" customHeight="1" outlineLevel="1">
      <c r="B215" s="1" t="s">
        <v>190</v>
      </c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20"/>
      <c r="AH215" s="19"/>
      <c r="AI215" s="19"/>
      <c r="AJ215" s="19"/>
      <c r="AK215" s="19"/>
      <c r="AL215" s="19"/>
      <c r="AM215" s="19"/>
      <c r="AN215" s="19"/>
      <c r="AO215" s="19"/>
      <c r="AP215" s="19"/>
      <c r="AQ215" s="19"/>
      <c r="AS215" s="19"/>
      <c r="AT215" s="19"/>
      <c r="AU215" s="19"/>
      <c r="AV215" s="19"/>
      <c r="AW215" s="19"/>
      <c r="AX215" s="19"/>
      <c r="AY215" s="19"/>
      <c r="AZ215" s="19"/>
      <c r="BA215" s="19"/>
      <c r="BB215" s="19"/>
      <c r="BC215" s="19"/>
      <c r="BD215" s="19"/>
      <c r="BE215" s="19"/>
      <c r="BF215" s="19"/>
      <c r="BG215" s="19"/>
      <c r="BH215" s="19"/>
      <c r="BI215" s="19"/>
      <c r="BJ215" s="19"/>
    </row>
    <row r="216" spans="1:69" s="9" customFormat="1" ht="12" customHeight="1" outlineLevel="1">
      <c r="A216" s="91"/>
      <c r="B216" s="9" t="s">
        <v>191</v>
      </c>
      <c r="C216" s="101"/>
      <c r="D216" s="22">
        <v>6800</v>
      </c>
      <c r="E216" s="22">
        <v>8500</v>
      </c>
      <c r="F216" s="22">
        <v>8700</v>
      </c>
      <c r="G216" s="22">
        <v>9100</v>
      </c>
      <c r="H216" s="22">
        <v>9400</v>
      </c>
      <c r="I216" s="22">
        <v>9200</v>
      </c>
      <c r="J216" s="22">
        <v>8700</v>
      </c>
      <c r="K216" s="22">
        <v>8700</v>
      </c>
      <c r="L216" s="22">
        <v>9400</v>
      </c>
      <c r="M216" s="22">
        <v>9500</v>
      </c>
      <c r="N216" s="22">
        <v>9400</v>
      </c>
      <c r="O216" s="22">
        <v>11600</v>
      </c>
      <c r="P216" s="22">
        <v>11900</v>
      </c>
      <c r="Q216" s="22">
        <v>12700</v>
      </c>
      <c r="R216" s="22">
        <v>12500</v>
      </c>
      <c r="S216" s="22">
        <v>12600</v>
      </c>
      <c r="T216" s="22">
        <v>12600</v>
      </c>
      <c r="U216" s="22">
        <v>14600</v>
      </c>
      <c r="V216" s="22">
        <v>14500</v>
      </c>
      <c r="W216" s="22">
        <v>12800</v>
      </c>
      <c r="X216" s="22">
        <v>14000</v>
      </c>
      <c r="Y216" s="22">
        <v>15800</v>
      </c>
      <c r="Z216" s="22">
        <v>15700</v>
      </c>
      <c r="AA216" s="22">
        <v>15800</v>
      </c>
      <c r="AB216" s="22">
        <v>18400</v>
      </c>
      <c r="AC216" s="22">
        <v>20300</v>
      </c>
      <c r="AD216" s="22">
        <v>23100</v>
      </c>
      <c r="AE216" s="22">
        <v>22700</v>
      </c>
      <c r="AF216" s="22">
        <v>22500</v>
      </c>
      <c r="AG216" s="23">
        <v>23800</v>
      </c>
      <c r="AH216" s="17">
        <v>23667.540794922617</v>
      </c>
      <c r="AI216" s="17">
        <v>23926.921728395097</v>
      </c>
      <c r="AJ216" s="17">
        <v>24369.363892715734</v>
      </c>
      <c r="AK216" s="17">
        <v>25160.201830289308</v>
      </c>
      <c r="AL216" s="17">
        <v>25539.322145615228</v>
      </c>
      <c r="AM216" s="17">
        <v>26433.313360837179</v>
      </c>
      <c r="AN216" s="17">
        <v>26842.678271699009</v>
      </c>
      <c r="AO216" s="17">
        <v>27778.970010975674</v>
      </c>
      <c r="AP216" s="17">
        <v>28216.137391781082</v>
      </c>
      <c r="AQ216" s="17">
        <v>29203.481215552212</v>
      </c>
      <c r="AS216" s="22"/>
      <c r="AT216" s="22"/>
      <c r="AU216" s="22"/>
      <c r="AV216" s="22">
        <v>6400</v>
      </c>
      <c r="AW216" s="22">
        <v>6400</v>
      </c>
      <c r="AX216" s="17">
        <v>8500</v>
      </c>
      <c r="AY216" s="17">
        <v>9100</v>
      </c>
      <c r="AZ216" s="17">
        <v>9200</v>
      </c>
      <c r="BA216" s="17">
        <v>8700</v>
      </c>
      <c r="BB216" s="17">
        <v>9500</v>
      </c>
      <c r="BC216" s="17">
        <v>11600</v>
      </c>
      <c r="BD216" s="17">
        <v>12700</v>
      </c>
      <c r="BE216" s="17">
        <v>12600</v>
      </c>
      <c r="BF216" s="17">
        <v>14600</v>
      </c>
      <c r="BG216" s="17">
        <v>12800</v>
      </c>
      <c r="BH216" s="17">
        <v>15800</v>
      </c>
      <c r="BI216" s="17">
        <v>15800</v>
      </c>
      <c r="BJ216" s="17">
        <v>20300</v>
      </c>
      <c r="BK216" s="17">
        <v>22700</v>
      </c>
      <c r="BL216" s="18">
        <v>23800</v>
      </c>
      <c r="BM216" s="17">
        <v>23926.921728395097</v>
      </c>
      <c r="BN216" s="17">
        <v>25160.201830289308</v>
      </c>
      <c r="BO216" s="17">
        <v>26433.313360837179</v>
      </c>
      <c r="BP216" s="17">
        <v>27778.970010975674</v>
      </c>
      <c r="BQ216" s="17">
        <v>29203.481215552212</v>
      </c>
    </row>
    <row r="217" spans="1:69" ht="12" customHeight="1" outlineLevel="1"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20"/>
      <c r="AH217" s="19"/>
      <c r="AI217" s="19"/>
      <c r="AJ217" s="19"/>
      <c r="AK217" s="19"/>
      <c r="AL217" s="19"/>
      <c r="AM217" s="19"/>
      <c r="AN217" s="19"/>
      <c r="AO217" s="19"/>
      <c r="AP217" s="19"/>
      <c r="AQ217" s="19"/>
      <c r="AS217" s="19"/>
      <c r="AT217" s="19"/>
      <c r="AU217" s="19"/>
      <c r="AV217" s="19"/>
      <c r="AW217" s="19"/>
    </row>
    <row r="218" spans="1:69" ht="12" customHeight="1" outlineLevel="1">
      <c r="B218" s="3" t="s">
        <v>196</v>
      </c>
      <c r="C218" s="96" t="s">
        <v>622</v>
      </c>
      <c r="D218" s="96" t="s">
        <v>622</v>
      </c>
      <c r="E218" s="96" t="s">
        <v>622</v>
      </c>
      <c r="F218" s="96" t="s">
        <v>622</v>
      </c>
      <c r="G218" s="96" t="s">
        <v>622</v>
      </c>
      <c r="H218" s="96" t="s">
        <v>622</v>
      </c>
      <c r="I218" s="96" t="s">
        <v>622</v>
      </c>
      <c r="J218" s="96" t="s">
        <v>622</v>
      </c>
      <c r="K218" s="100" t="s">
        <v>622</v>
      </c>
      <c r="L218" s="100" t="s">
        <v>622</v>
      </c>
      <c r="M218" s="100" t="s">
        <v>622</v>
      </c>
      <c r="N218" s="100" t="s">
        <v>622</v>
      </c>
      <c r="O218" s="100" t="s">
        <v>622</v>
      </c>
      <c r="P218" s="100" t="s">
        <v>622</v>
      </c>
      <c r="Q218" s="100" t="s">
        <v>622</v>
      </c>
      <c r="R218" s="100" t="s">
        <v>622</v>
      </c>
      <c r="S218" s="100" t="s">
        <v>622</v>
      </c>
      <c r="T218" s="100" t="s">
        <v>622</v>
      </c>
      <c r="U218" s="100" t="s">
        <v>622</v>
      </c>
      <c r="V218" s="100" t="s">
        <v>622</v>
      </c>
      <c r="W218" s="100" t="s">
        <v>622</v>
      </c>
      <c r="X218" s="100" t="s">
        <v>622</v>
      </c>
      <c r="Y218" s="100" t="s">
        <v>622</v>
      </c>
      <c r="Z218" s="100" t="s">
        <v>622</v>
      </c>
      <c r="AA218" s="100" t="s">
        <v>622</v>
      </c>
      <c r="AB218" s="100" t="s">
        <v>622</v>
      </c>
      <c r="AC218" s="100" t="s">
        <v>622</v>
      </c>
      <c r="AD218" s="100" t="s">
        <v>622</v>
      </c>
      <c r="AE218" s="100" t="s">
        <v>622</v>
      </c>
      <c r="AF218" s="100" t="s">
        <v>622</v>
      </c>
      <c r="AG218" s="97" t="s">
        <v>622</v>
      </c>
      <c r="AH218" s="96" t="s">
        <v>622</v>
      </c>
      <c r="AI218" s="96" t="s">
        <v>622</v>
      </c>
      <c r="AJ218" s="96" t="s">
        <v>622</v>
      </c>
      <c r="AK218" s="96" t="s">
        <v>622</v>
      </c>
      <c r="AL218" s="96" t="s">
        <v>622</v>
      </c>
      <c r="AM218" s="96" t="s">
        <v>622</v>
      </c>
      <c r="AN218" s="96" t="s">
        <v>622</v>
      </c>
      <c r="AO218" s="96" t="s">
        <v>622</v>
      </c>
      <c r="AP218" s="96" t="s">
        <v>622</v>
      </c>
      <c r="AQ218" s="96" t="s">
        <v>622</v>
      </c>
      <c r="AS218" s="96" t="s">
        <v>622</v>
      </c>
      <c r="AT218" s="96" t="s">
        <v>622</v>
      </c>
      <c r="AU218" s="96" t="s">
        <v>622</v>
      </c>
      <c r="AV218" s="96" t="s">
        <v>622</v>
      </c>
      <c r="AW218" s="96" t="s">
        <v>622</v>
      </c>
      <c r="AX218" s="100" t="s">
        <v>622</v>
      </c>
      <c r="AY218" s="100" t="s">
        <v>622</v>
      </c>
      <c r="AZ218" s="100" t="s">
        <v>622</v>
      </c>
      <c r="BA218" s="100" t="s">
        <v>622</v>
      </c>
      <c r="BB218" s="100" t="s">
        <v>622</v>
      </c>
      <c r="BC218" s="100" t="s">
        <v>622</v>
      </c>
      <c r="BD218" s="100" t="s">
        <v>622</v>
      </c>
      <c r="BE218" s="100" t="s">
        <v>622</v>
      </c>
      <c r="BF218" s="100" t="s">
        <v>622</v>
      </c>
      <c r="BG218" s="100" t="s">
        <v>622</v>
      </c>
      <c r="BH218" s="100" t="s">
        <v>622</v>
      </c>
      <c r="BI218" s="100" t="s">
        <v>622</v>
      </c>
      <c r="BJ218" s="100" t="s">
        <v>622</v>
      </c>
      <c r="BK218" s="100" t="s">
        <v>622</v>
      </c>
      <c r="BL218" s="97" t="s">
        <v>622</v>
      </c>
      <c r="BM218" s="100" t="s">
        <v>622</v>
      </c>
      <c r="BN218" s="100" t="s">
        <v>622</v>
      </c>
      <c r="BO218" s="100" t="s">
        <v>622</v>
      </c>
      <c r="BP218" s="100" t="s">
        <v>622</v>
      </c>
      <c r="BQ218" s="100" t="s">
        <v>622</v>
      </c>
    </row>
    <row r="219" spans="1:69" ht="12" customHeight="1" outlineLevel="1">
      <c r="C219" s="19"/>
      <c r="D219" s="19"/>
      <c r="AH219" s="19"/>
      <c r="AI219" s="19"/>
      <c r="AJ219" s="19"/>
      <c r="AK219" s="19"/>
      <c r="AL219" s="19"/>
      <c r="AM219" s="19"/>
      <c r="AN219" s="19"/>
      <c r="AO219" s="19"/>
      <c r="AP219" s="19"/>
      <c r="AQ219" s="19"/>
      <c r="AS219" s="19"/>
      <c r="AT219" s="19"/>
      <c r="AU219" s="19"/>
      <c r="AV219" s="19"/>
      <c r="AW219" s="19"/>
    </row>
    <row r="220" spans="1:69" ht="12" customHeight="1" outlineLevel="1">
      <c r="B220" s="9" t="s">
        <v>193</v>
      </c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20"/>
      <c r="AH220" s="19"/>
      <c r="AI220" s="19"/>
      <c r="AJ220" s="19"/>
      <c r="AK220" s="19"/>
      <c r="AL220" s="19"/>
      <c r="AM220" s="19"/>
      <c r="AN220" s="19"/>
      <c r="AO220" s="19"/>
      <c r="AP220" s="19"/>
      <c r="AQ220" s="19"/>
      <c r="AS220" s="19"/>
      <c r="AT220" s="19"/>
      <c r="AU220" s="19"/>
      <c r="AV220" s="19"/>
      <c r="AW220" s="19"/>
    </row>
    <row r="221" spans="1:69" ht="12" customHeight="1" outlineLevel="1">
      <c r="B221" s="1" t="s">
        <v>163</v>
      </c>
      <c r="D221" s="19">
        <v>3000</v>
      </c>
      <c r="E221" s="19">
        <v>2100</v>
      </c>
      <c r="F221" s="19">
        <v>2400</v>
      </c>
      <c r="G221" s="19">
        <v>2200</v>
      </c>
      <c r="H221" s="19">
        <v>2200</v>
      </c>
      <c r="I221" s="19">
        <v>2300</v>
      </c>
      <c r="J221" s="19">
        <v>1800</v>
      </c>
      <c r="K221" s="19">
        <v>1800</v>
      </c>
      <c r="L221" s="19">
        <v>2100</v>
      </c>
      <c r="M221" s="19">
        <v>1800</v>
      </c>
      <c r="N221" s="19">
        <v>1700</v>
      </c>
      <c r="O221" s="19">
        <v>1900</v>
      </c>
      <c r="P221" s="19">
        <v>1700</v>
      </c>
      <c r="Q221" s="19">
        <v>1500</v>
      </c>
      <c r="R221" s="19">
        <v>1700</v>
      </c>
      <c r="S221" s="19">
        <v>1700</v>
      </c>
      <c r="T221" s="19">
        <v>1800</v>
      </c>
      <c r="U221" s="19">
        <v>1800</v>
      </c>
      <c r="V221" s="19">
        <v>2100</v>
      </c>
      <c r="W221" s="19">
        <v>2000</v>
      </c>
      <c r="X221" s="19">
        <v>1800</v>
      </c>
      <c r="Y221" s="19">
        <v>5300</v>
      </c>
      <c r="Z221" s="19">
        <v>5500</v>
      </c>
      <c r="AA221" s="19">
        <v>4600</v>
      </c>
      <c r="AB221" s="19">
        <v>11300</v>
      </c>
      <c r="AC221" s="19">
        <v>15200</v>
      </c>
      <c r="AD221" s="19">
        <v>16000</v>
      </c>
      <c r="AE221" s="19">
        <v>15400</v>
      </c>
      <c r="AF221" s="19">
        <v>14600</v>
      </c>
      <c r="AG221" s="20">
        <v>13800</v>
      </c>
      <c r="AH221" s="19">
        <v>14313.223140495873</v>
      </c>
      <c r="AI221" s="19">
        <v>14848.463553719004</v>
      </c>
      <c r="AJ221" s="19">
        <v>15172.556639256189</v>
      </c>
      <c r="AK221" s="19">
        <v>15504.280866898756</v>
      </c>
      <c r="AL221" s="19">
        <v>15843.822303349007</v>
      </c>
      <c r="AM221" s="19">
        <v>16191.37161985827</v>
      </c>
      <c r="AN221" s="19">
        <v>16547.124206869514</v>
      </c>
      <c r="AO221" s="19">
        <v>16911.280291521209</v>
      </c>
      <c r="AP221" s="19">
        <v>17284.045058083982</v>
      </c>
      <c r="AQ221" s="19">
        <v>17665.628771403572</v>
      </c>
      <c r="AS221" s="19"/>
      <c r="AT221" s="19"/>
      <c r="AU221" s="19"/>
      <c r="AV221" s="19">
        <v>2100</v>
      </c>
      <c r="AW221" s="19">
        <v>4800</v>
      </c>
      <c r="AX221" s="19">
        <v>2100</v>
      </c>
      <c r="AY221" s="19">
        <v>2200</v>
      </c>
      <c r="AZ221" s="19">
        <v>2300</v>
      </c>
      <c r="BA221" s="19">
        <v>1800</v>
      </c>
      <c r="BB221" s="19">
        <v>1800</v>
      </c>
      <c r="BC221" s="19">
        <v>1900</v>
      </c>
      <c r="BD221" s="19">
        <v>1500</v>
      </c>
      <c r="BE221" s="19">
        <v>1700</v>
      </c>
      <c r="BF221" s="19">
        <v>1800</v>
      </c>
      <c r="BG221" s="19">
        <v>2000</v>
      </c>
      <c r="BH221" s="19">
        <v>5300</v>
      </c>
      <c r="BI221" s="19">
        <v>4600</v>
      </c>
      <c r="BJ221" s="19">
        <v>15200</v>
      </c>
      <c r="BK221" s="19">
        <v>15400</v>
      </c>
      <c r="BL221" s="20">
        <v>13800</v>
      </c>
      <c r="BM221" s="19">
        <v>14848.463553719004</v>
      </c>
      <c r="BN221" s="19">
        <v>15504.280866898756</v>
      </c>
      <c r="BO221" s="19">
        <v>16191.37161985827</v>
      </c>
      <c r="BP221" s="19">
        <v>16911.280291521209</v>
      </c>
      <c r="BQ221" s="19">
        <v>17665.628771403572</v>
      </c>
    </row>
    <row r="222" spans="1:69" ht="12" customHeight="1" outlineLevel="1">
      <c r="B222" s="1" t="s">
        <v>164</v>
      </c>
      <c r="D222" s="19">
        <v>0</v>
      </c>
      <c r="E222" s="19">
        <v>0</v>
      </c>
      <c r="F222" s="19">
        <v>0</v>
      </c>
      <c r="G222" s="19">
        <v>0</v>
      </c>
      <c r="H222" s="19">
        <v>0</v>
      </c>
      <c r="I222" s="19">
        <v>0</v>
      </c>
      <c r="J222" s="19">
        <v>0</v>
      </c>
      <c r="K222" s="19">
        <v>0</v>
      </c>
      <c r="L222" s="19">
        <v>0</v>
      </c>
      <c r="M222" s="19">
        <v>0</v>
      </c>
      <c r="N222" s="19">
        <v>0</v>
      </c>
      <c r="O222" s="19">
        <v>0</v>
      </c>
      <c r="P222" s="19">
        <v>0</v>
      </c>
      <c r="Q222" s="19">
        <v>0</v>
      </c>
      <c r="R222" s="19">
        <v>0</v>
      </c>
      <c r="S222" s="19">
        <v>0</v>
      </c>
      <c r="T222" s="19">
        <v>0</v>
      </c>
      <c r="U222" s="19">
        <v>0</v>
      </c>
      <c r="V222" s="19">
        <v>0</v>
      </c>
      <c r="W222" s="19">
        <v>0</v>
      </c>
      <c r="X222" s="19">
        <v>0</v>
      </c>
      <c r="Y222" s="19">
        <v>0</v>
      </c>
      <c r="Z222" s="19">
        <v>0</v>
      </c>
      <c r="AA222" s="19">
        <v>0</v>
      </c>
      <c r="AB222" s="19">
        <v>0</v>
      </c>
      <c r="AC222" s="19">
        <v>0</v>
      </c>
      <c r="AD222" s="19">
        <v>0</v>
      </c>
      <c r="AE222" s="19">
        <v>0</v>
      </c>
      <c r="AF222" s="19">
        <v>0</v>
      </c>
      <c r="AG222" s="20">
        <v>0</v>
      </c>
      <c r="AH222" s="19">
        <v>0</v>
      </c>
      <c r="AI222" s="19">
        <v>0</v>
      </c>
      <c r="AJ222" s="19">
        <v>0</v>
      </c>
      <c r="AK222" s="19">
        <v>0</v>
      </c>
      <c r="AL222" s="19">
        <v>0</v>
      </c>
      <c r="AM222" s="19">
        <v>0</v>
      </c>
      <c r="AN222" s="19">
        <v>0</v>
      </c>
      <c r="AO222" s="19">
        <v>0</v>
      </c>
      <c r="AP222" s="19">
        <v>0</v>
      </c>
      <c r="AQ222" s="19">
        <v>0</v>
      </c>
      <c r="AS222" s="19"/>
      <c r="AT222" s="19"/>
      <c r="AU222" s="19"/>
      <c r="AV222" s="19">
        <v>0</v>
      </c>
      <c r="AW222" s="19">
        <v>0</v>
      </c>
      <c r="AX222" s="19">
        <v>0</v>
      </c>
      <c r="AY222" s="19">
        <v>0</v>
      </c>
      <c r="AZ222" s="19">
        <v>0</v>
      </c>
      <c r="BA222" s="19">
        <v>0</v>
      </c>
      <c r="BB222" s="19">
        <v>0</v>
      </c>
      <c r="BC222" s="19">
        <v>0</v>
      </c>
      <c r="BD222" s="19">
        <v>0</v>
      </c>
      <c r="BE222" s="19">
        <v>0</v>
      </c>
      <c r="BF222" s="19">
        <v>0</v>
      </c>
      <c r="BG222" s="19">
        <v>0</v>
      </c>
      <c r="BH222" s="19">
        <v>0</v>
      </c>
      <c r="BI222" s="19">
        <v>0</v>
      </c>
      <c r="BJ222" s="19">
        <v>0</v>
      </c>
      <c r="BK222" s="19">
        <v>0</v>
      </c>
      <c r="BL222" s="20">
        <v>0</v>
      </c>
      <c r="BM222" s="19">
        <v>0</v>
      </c>
      <c r="BN222" s="19">
        <v>0</v>
      </c>
      <c r="BO222" s="19">
        <v>0</v>
      </c>
      <c r="BP222" s="19">
        <v>0</v>
      </c>
      <c r="BQ222" s="19">
        <v>0</v>
      </c>
    </row>
    <row r="223" spans="1:69" ht="12" customHeight="1" outlineLevel="1">
      <c r="B223" s="1" t="s">
        <v>165</v>
      </c>
      <c r="D223" s="19">
        <v>1600</v>
      </c>
      <c r="E223" s="19">
        <v>1400</v>
      </c>
      <c r="F223" s="19">
        <v>1000</v>
      </c>
      <c r="G223" s="19">
        <v>1600</v>
      </c>
      <c r="H223" s="19">
        <v>1200</v>
      </c>
      <c r="I223" s="19">
        <v>1400</v>
      </c>
      <c r="J223" s="19">
        <v>1100</v>
      </c>
      <c r="K223" s="19">
        <v>600</v>
      </c>
      <c r="L223" s="19">
        <v>1200</v>
      </c>
      <c r="M223" s="19">
        <v>1300</v>
      </c>
      <c r="N223" s="19">
        <v>1400</v>
      </c>
      <c r="O223" s="19">
        <v>900</v>
      </c>
      <c r="P223" s="19">
        <v>900</v>
      </c>
      <c r="Q223" s="19">
        <v>700</v>
      </c>
      <c r="R223" s="19">
        <v>500</v>
      </c>
      <c r="S223" s="19">
        <v>300</v>
      </c>
      <c r="T223" s="19">
        <v>700</v>
      </c>
      <c r="U223" s="19">
        <v>800</v>
      </c>
      <c r="V223" s="19">
        <v>500</v>
      </c>
      <c r="W223" s="19">
        <v>1000</v>
      </c>
      <c r="X223" s="19">
        <v>2100</v>
      </c>
      <c r="Y223" s="19">
        <v>1200</v>
      </c>
      <c r="Z223" s="19">
        <v>1200</v>
      </c>
      <c r="AA223" s="19">
        <v>1200</v>
      </c>
      <c r="AB223" s="19">
        <v>1200</v>
      </c>
      <c r="AC223" s="19">
        <v>2800</v>
      </c>
      <c r="AD223" s="19">
        <v>3900</v>
      </c>
      <c r="AE223" s="19">
        <v>3800</v>
      </c>
      <c r="AF223" s="19">
        <v>5000</v>
      </c>
      <c r="AG223" s="20">
        <v>5100</v>
      </c>
      <c r="AH223" s="19">
        <v>5289.6694214876043</v>
      </c>
      <c r="AI223" s="19">
        <v>5487.4756611570265</v>
      </c>
      <c r="AJ223" s="19">
        <v>5607.2491927685987</v>
      </c>
      <c r="AK223" s="19">
        <v>5729.8429290712811</v>
      </c>
      <c r="AL223" s="19">
        <v>5855.3256338463761</v>
      </c>
      <c r="AM223" s="19">
        <v>5983.7677725563262</v>
      </c>
      <c r="AN223" s="19">
        <v>6115.2415547126657</v>
      </c>
      <c r="AO223" s="19">
        <v>6249.8209773013368</v>
      </c>
      <c r="AP223" s="19">
        <v>6387.5818692919274</v>
      </c>
      <c r="AQ223" s="19">
        <v>6528.6019372578594</v>
      </c>
      <c r="AS223" s="19"/>
      <c r="AT223" s="19"/>
      <c r="AU223" s="19"/>
      <c r="AV223" s="19">
        <v>800</v>
      </c>
      <c r="AW223" s="19">
        <v>0</v>
      </c>
      <c r="AX223" s="19">
        <v>1400</v>
      </c>
      <c r="AY223" s="19">
        <v>1600</v>
      </c>
      <c r="AZ223" s="19">
        <v>1400</v>
      </c>
      <c r="BA223" s="19">
        <v>600</v>
      </c>
      <c r="BB223" s="19">
        <v>1300</v>
      </c>
      <c r="BC223" s="19">
        <v>900</v>
      </c>
      <c r="BD223" s="19">
        <v>700</v>
      </c>
      <c r="BE223" s="19">
        <v>300</v>
      </c>
      <c r="BF223" s="19">
        <v>800</v>
      </c>
      <c r="BG223" s="19">
        <v>1000</v>
      </c>
      <c r="BH223" s="19">
        <v>1200</v>
      </c>
      <c r="BI223" s="19">
        <v>1200</v>
      </c>
      <c r="BJ223" s="19">
        <v>2800</v>
      </c>
      <c r="BK223" s="19">
        <v>3800</v>
      </c>
      <c r="BL223" s="20">
        <v>5100</v>
      </c>
      <c r="BM223" s="19">
        <v>5487.4756611570265</v>
      </c>
      <c r="BN223" s="19">
        <v>5729.8429290712811</v>
      </c>
      <c r="BO223" s="19">
        <v>5983.7677725563262</v>
      </c>
      <c r="BP223" s="19">
        <v>6249.8209773013368</v>
      </c>
      <c r="BQ223" s="19">
        <v>6528.6019372578594</v>
      </c>
    </row>
    <row r="224" spans="1:69" ht="12" customHeight="1" outlineLevel="1">
      <c r="B224" s="1" t="s">
        <v>166</v>
      </c>
      <c r="D224" s="19">
        <v>200</v>
      </c>
      <c r="E224" s="19">
        <v>400</v>
      </c>
      <c r="F224" s="19">
        <v>200</v>
      </c>
      <c r="G224" s="19">
        <v>400</v>
      </c>
      <c r="H224" s="19">
        <v>400</v>
      </c>
      <c r="I224" s="19">
        <v>400</v>
      </c>
      <c r="J224" s="19">
        <v>300</v>
      </c>
      <c r="K224" s="19">
        <v>300</v>
      </c>
      <c r="L224" s="19">
        <v>400</v>
      </c>
      <c r="M224" s="19">
        <v>200</v>
      </c>
      <c r="N224" s="19">
        <v>200</v>
      </c>
      <c r="O224" s="19">
        <v>200</v>
      </c>
      <c r="P224" s="19">
        <v>300</v>
      </c>
      <c r="Q224" s="19">
        <v>600</v>
      </c>
      <c r="R224" s="19">
        <v>500</v>
      </c>
      <c r="S224" s="19">
        <v>300</v>
      </c>
      <c r="T224" s="19">
        <v>500</v>
      </c>
      <c r="U224" s="19">
        <v>300</v>
      </c>
      <c r="V224" s="19">
        <v>200</v>
      </c>
      <c r="W224" s="19">
        <v>1300</v>
      </c>
      <c r="X224" s="19">
        <v>900</v>
      </c>
      <c r="Y224" s="19">
        <v>1200</v>
      </c>
      <c r="Z224" s="19">
        <v>600</v>
      </c>
      <c r="AA224" s="19">
        <v>500</v>
      </c>
      <c r="AB224" s="19">
        <v>700</v>
      </c>
      <c r="AC224" s="19">
        <v>1000</v>
      </c>
      <c r="AD224" s="19">
        <v>1000</v>
      </c>
      <c r="AE224" s="19">
        <v>1200</v>
      </c>
      <c r="AF224" s="19">
        <v>1300</v>
      </c>
      <c r="AG224" s="20">
        <v>1900</v>
      </c>
      <c r="AH224" s="19">
        <v>1970.6611570247951</v>
      </c>
      <c r="AI224" s="19">
        <v>2044.3536776859528</v>
      </c>
      <c r="AJ224" s="19">
        <v>2088.9751894628116</v>
      </c>
      <c r="AK224" s="19">
        <v>2134.6473657324386</v>
      </c>
      <c r="AL224" s="19">
        <v>2181.3958243741381</v>
      </c>
      <c r="AM224" s="19">
        <v>2229.2468172268655</v>
      </c>
      <c r="AN224" s="19">
        <v>2278.2272458733423</v>
      </c>
      <c r="AO224" s="19">
        <v>2328.364677818141</v>
      </c>
      <c r="AP224" s="19">
        <v>2379.6873630695372</v>
      </c>
      <c r="AQ224" s="19">
        <v>2432.2242511352779</v>
      </c>
      <c r="AS224" s="19"/>
      <c r="AT224" s="19"/>
      <c r="AU224" s="19"/>
      <c r="AV224" s="19">
        <v>1000</v>
      </c>
      <c r="AW224" s="19">
        <v>200</v>
      </c>
      <c r="AX224" s="19">
        <v>400</v>
      </c>
      <c r="AY224" s="19">
        <v>400</v>
      </c>
      <c r="AZ224" s="19">
        <v>400</v>
      </c>
      <c r="BA224" s="19">
        <v>300</v>
      </c>
      <c r="BB224" s="19">
        <v>200</v>
      </c>
      <c r="BC224" s="19">
        <v>200</v>
      </c>
      <c r="BD224" s="19">
        <v>600</v>
      </c>
      <c r="BE224" s="19">
        <v>300</v>
      </c>
      <c r="BF224" s="19">
        <v>300</v>
      </c>
      <c r="BG224" s="19">
        <v>1300</v>
      </c>
      <c r="BH224" s="19">
        <v>1200</v>
      </c>
      <c r="BI224" s="19">
        <v>500</v>
      </c>
      <c r="BJ224" s="19">
        <v>1000</v>
      </c>
      <c r="BK224" s="19">
        <v>1200</v>
      </c>
      <c r="BL224" s="20">
        <v>1900</v>
      </c>
      <c r="BM224" s="19">
        <v>2044.3536776859528</v>
      </c>
      <c r="BN224" s="19">
        <v>2134.6473657324386</v>
      </c>
      <c r="BO224" s="19">
        <v>2229.2468172268655</v>
      </c>
      <c r="BP224" s="19">
        <v>2328.364677818141</v>
      </c>
      <c r="BQ224" s="19">
        <v>2432.2242511352779</v>
      </c>
    </row>
    <row r="225" spans="2:69" s="1" customFormat="1" ht="12" customHeight="1" outlineLevel="1">
      <c r="B225" s="1" t="s">
        <v>167</v>
      </c>
      <c r="D225" s="19">
        <v>900</v>
      </c>
      <c r="E225" s="19">
        <v>1000</v>
      </c>
      <c r="F225" s="19">
        <v>900</v>
      </c>
      <c r="G225" s="19">
        <v>2400</v>
      </c>
      <c r="H225" s="19">
        <v>500</v>
      </c>
      <c r="I225" s="19">
        <v>900</v>
      </c>
      <c r="J225" s="19">
        <v>1400</v>
      </c>
      <c r="K225" s="19">
        <v>1100</v>
      </c>
      <c r="L225" s="19">
        <v>1000</v>
      </c>
      <c r="M225" s="19">
        <v>1000</v>
      </c>
      <c r="N225" s="19">
        <v>1000</v>
      </c>
      <c r="O225" s="19">
        <v>1000</v>
      </c>
      <c r="P225" s="19">
        <v>1500</v>
      </c>
      <c r="Q225" s="19">
        <v>1000</v>
      </c>
      <c r="R225" s="19">
        <v>800</v>
      </c>
      <c r="S225" s="19">
        <v>1000</v>
      </c>
      <c r="T225" s="19">
        <v>600</v>
      </c>
      <c r="U225" s="19">
        <v>700</v>
      </c>
      <c r="V225" s="19">
        <v>1400</v>
      </c>
      <c r="W225" s="19">
        <v>12300</v>
      </c>
      <c r="X225" s="19">
        <v>5700</v>
      </c>
      <c r="Y225" s="19">
        <v>7900</v>
      </c>
      <c r="Z225" s="19">
        <v>6200</v>
      </c>
      <c r="AA225" s="19">
        <v>6400</v>
      </c>
      <c r="AB225" s="19">
        <v>9300</v>
      </c>
      <c r="AC225" s="19">
        <v>12000</v>
      </c>
      <c r="AD225" s="19">
        <v>15300</v>
      </c>
      <c r="AE225" s="19">
        <v>17300</v>
      </c>
      <c r="AF225" s="19">
        <v>18600</v>
      </c>
      <c r="AG225" s="20">
        <v>19600</v>
      </c>
      <c r="AH225" s="19">
        <v>20328.925619834714</v>
      </c>
      <c r="AI225" s="19">
        <v>21089.122148760332</v>
      </c>
      <c r="AJ225" s="19">
        <v>21549.42827024794</v>
      </c>
      <c r="AK225" s="19">
        <v>22020.572825450421</v>
      </c>
      <c r="AL225" s="19">
        <v>22502.820083017432</v>
      </c>
      <c r="AM225" s="19">
        <v>22996.440851392923</v>
      </c>
      <c r="AN225" s="19">
        <v>23501.712641640799</v>
      </c>
      <c r="AO225" s="19">
        <v>24018.91983433452</v>
      </c>
      <c r="AP225" s="19">
        <v>24548.353850612097</v>
      </c>
      <c r="AQ225" s="19">
        <v>25090.3133275008</v>
      </c>
      <c r="AS225" s="19"/>
      <c r="AT225" s="19"/>
      <c r="AU225" s="19"/>
      <c r="AV225" s="19">
        <v>3800</v>
      </c>
      <c r="AW225" s="19">
        <v>1600</v>
      </c>
      <c r="AX225" s="19">
        <v>1000</v>
      </c>
      <c r="AY225" s="19">
        <v>2400</v>
      </c>
      <c r="AZ225" s="19">
        <v>900</v>
      </c>
      <c r="BA225" s="19">
        <v>1100</v>
      </c>
      <c r="BB225" s="19">
        <v>1000</v>
      </c>
      <c r="BC225" s="19">
        <v>1000</v>
      </c>
      <c r="BD225" s="19">
        <v>1000</v>
      </c>
      <c r="BE225" s="19">
        <v>1000</v>
      </c>
      <c r="BF225" s="19">
        <v>700</v>
      </c>
      <c r="BG225" s="19">
        <v>12300</v>
      </c>
      <c r="BH225" s="19">
        <v>7900</v>
      </c>
      <c r="BI225" s="19">
        <v>6400</v>
      </c>
      <c r="BJ225" s="19">
        <v>12000</v>
      </c>
      <c r="BK225" s="19">
        <v>17300</v>
      </c>
      <c r="BL225" s="20">
        <v>19600</v>
      </c>
      <c r="BM225" s="19">
        <v>21089.122148760332</v>
      </c>
      <c r="BN225" s="19">
        <v>22020.572825450421</v>
      </c>
      <c r="BO225" s="19">
        <v>22996.440851392923</v>
      </c>
      <c r="BP225" s="19">
        <v>24018.91983433452</v>
      </c>
      <c r="BQ225" s="19">
        <v>25090.3133275008</v>
      </c>
    </row>
    <row r="226" spans="2:69" s="1" customFormat="1" ht="12" customHeight="1" outlineLevel="1">
      <c r="B226" s="1" t="s">
        <v>168</v>
      </c>
      <c r="D226" s="19">
        <v>300</v>
      </c>
      <c r="E226" s="19">
        <v>300</v>
      </c>
      <c r="F226" s="19">
        <v>200</v>
      </c>
      <c r="G226" s="19">
        <v>200</v>
      </c>
      <c r="H226" s="19">
        <v>100</v>
      </c>
      <c r="I226" s="19">
        <v>200</v>
      </c>
      <c r="J226" s="19">
        <v>-200</v>
      </c>
      <c r="K226" s="19">
        <v>200</v>
      </c>
      <c r="L226" s="19">
        <v>100</v>
      </c>
      <c r="M226" s="19">
        <v>500</v>
      </c>
      <c r="N226" s="19">
        <v>900</v>
      </c>
      <c r="O226" s="19">
        <v>600</v>
      </c>
      <c r="P226" s="19">
        <v>500</v>
      </c>
      <c r="Q226" s="19">
        <v>500</v>
      </c>
      <c r="R226" s="19">
        <v>700</v>
      </c>
      <c r="S226" s="19">
        <v>400</v>
      </c>
      <c r="T226" s="19">
        <v>300</v>
      </c>
      <c r="U226" s="19">
        <v>400</v>
      </c>
      <c r="V226" s="19">
        <v>500</v>
      </c>
      <c r="W226" s="19">
        <v>600</v>
      </c>
      <c r="X226" s="19">
        <v>600</v>
      </c>
      <c r="Y226" s="19">
        <v>200</v>
      </c>
      <c r="Z226" s="19">
        <v>400</v>
      </c>
      <c r="AA226" s="19">
        <v>600</v>
      </c>
      <c r="AB226" s="19">
        <v>1100</v>
      </c>
      <c r="AC226" s="19">
        <v>1100</v>
      </c>
      <c r="AD226" s="19">
        <v>2400</v>
      </c>
      <c r="AE226" s="19">
        <v>2300</v>
      </c>
      <c r="AF226" s="19">
        <v>2500</v>
      </c>
      <c r="AG226" s="20">
        <v>2100</v>
      </c>
      <c r="AH226" s="19">
        <v>2100</v>
      </c>
      <c r="AI226" s="19">
        <v>2100</v>
      </c>
      <c r="AJ226" s="19">
        <v>2100</v>
      </c>
      <c r="AK226" s="19">
        <v>2100</v>
      </c>
      <c r="AL226" s="19">
        <v>2100</v>
      </c>
      <c r="AM226" s="19">
        <v>2100</v>
      </c>
      <c r="AN226" s="19">
        <v>2100</v>
      </c>
      <c r="AO226" s="19">
        <v>2100</v>
      </c>
      <c r="AP226" s="19">
        <v>2100</v>
      </c>
      <c r="AQ226" s="19">
        <v>2100</v>
      </c>
      <c r="AS226" s="19"/>
      <c r="AT226" s="19"/>
      <c r="AU226" s="19"/>
      <c r="AV226" s="19">
        <v>700</v>
      </c>
      <c r="AW226" s="19">
        <v>600</v>
      </c>
      <c r="AX226" s="19">
        <v>300</v>
      </c>
      <c r="AY226" s="19">
        <v>200</v>
      </c>
      <c r="AZ226" s="19">
        <v>200</v>
      </c>
      <c r="BA226" s="19">
        <v>200</v>
      </c>
      <c r="BB226" s="19">
        <v>500</v>
      </c>
      <c r="BC226" s="19">
        <v>600</v>
      </c>
      <c r="BD226" s="19">
        <v>500</v>
      </c>
      <c r="BE226" s="19">
        <v>400</v>
      </c>
      <c r="BF226" s="19">
        <v>400</v>
      </c>
      <c r="BG226" s="19">
        <v>600</v>
      </c>
      <c r="BH226" s="19">
        <v>200</v>
      </c>
      <c r="BI226" s="19">
        <v>600</v>
      </c>
      <c r="BJ226" s="19">
        <v>1100</v>
      </c>
      <c r="BK226" s="19">
        <v>2300</v>
      </c>
      <c r="BL226" s="20">
        <v>2100</v>
      </c>
      <c r="BM226" s="19">
        <v>2100</v>
      </c>
      <c r="BN226" s="19">
        <v>2100</v>
      </c>
      <c r="BO226" s="19">
        <v>2100</v>
      </c>
      <c r="BP226" s="19">
        <v>2100</v>
      </c>
      <c r="BQ226" s="19">
        <v>2100</v>
      </c>
    </row>
    <row r="227" spans="2:69" s="1" customFormat="1" ht="12" customHeight="1" outlineLevel="1">
      <c r="B227" s="1" t="s">
        <v>169</v>
      </c>
      <c r="D227" s="19">
        <v>4000</v>
      </c>
      <c r="E227" s="19">
        <v>3900</v>
      </c>
      <c r="F227" s="19">
        <v>4100</v>
      </c>
      <c r="G227" s="19">
        <v>3800</v>
      </c>
      <c r="H227" s="19">
        <v>4200</v>
      </c>
      <c r="I227" s="19">
        <v>4000</v>
      </c>
      <c r="J227" s="19">
        <v>3900</v>
      </c>
      <c r="K227" s="19">
        <v>4400</v>
      </c>
      <c r="L227" s="19">
        <v>5000</v>
      </c>
      <c r="M227" s="19">
        <v>3700</v>
      </c>
      <c r="N227" s="19">
        <v>3600</v>
      </c>
      <c r="O227" s="19">
        <v>4000</v>
      </c>
      <c r="P227" s="19">
        <v>5100</v>
      </c>
      <c r="Q227" s="19">
        <v>4700</v>
      </c>
      <c r="R227" s="19">
        <v>4500</v>
      </c>
      <c r="S227" s="19">
        <v>4700</v>
      </c>
      <c r="T227" s="19">
        <v>6900</v>
      </c>
      <c r="U227" s="19">
        <v>6000</v>
      </c>
      <c r="V227" s="19">
        <v>5500</v>
      </c>
      <c r="W227" s="19">
        <v>5500</v>
      </c>
      <c r="X227" s="19">
        <v>8000</v>
      </c>
      <c r="Y227" s="19">
        <v>7000</v>
      </c>
      <c r="Z227" s="19">
        <v>5900</v>
      </c>
      <c r="AA227" s="19">
        <v>5200</v>
      </c>
      <c r="AB227" s="19">
        <v>6100</v>
      </c>
      <c r="AC227" s="19">
        <v>5700</v>
      </c>
      <c r="AD227" s="19">
        <v>6700</v>
      </c>
      <c r="AE227" s="19">
        <v>6700</v>
      </c>
      <c r="AF227" s="19">
        <v>7800</v>
      </c>
      <c r="AG227" s="20">
        <v>9900</v>
      </c>
      <c r="AH227" s="19">
        <v>10197</v>
      </c>
      <c r="AI227" s="19">
        <v>10502.91</v>
      </c>
      <c r="AJ227" s="19">
        <v>10817.997300000001</v>
      </c>
      <c r="AK227" s="19">
        <v>11142.537219000002</v>
      </c>
      <c r="AL227" s="19">
        <v>11476.813335570003</v>
      </c>
      <c r="AM227" s="19">
        <v>11821.117735637104</v>
      </c>
      <c r="AN227" s="19">
        <v>12175.751267706217</v>
      </c>
      <c r="AO227" s="19">
        <v>12541.023805737404</v>
      </c>
      <c r="AP227" s="19">
        <v>12917.254519909526</v>
      </c>
      <c r="AQ227" s="19">
        <v>13304.772155506813</v>
      </c>
      <c r="AS227" s="19"/>
      <c r="AT227" s="19"/>
      <c r="AU227" s="19"/>
      <c r="AV227" s="19">
        <v>4700</v>
      </c>
      <c r="AW227" s="19">
        <v>5200</v>
      </c>
      <c r="AX227" s="19">
        <v>3900</v>
      </c>
      <c r="AY227" s="19">
        <v>3800</v>
      </c>
      <c r="AZ227" s="19">
        <v>4000</v>
      </c>
      <c r="BA227" s="19">
        <v>4400</v>
      </c>
      <c r="BB227" s="19">
        <v>3700</v>
      </c>
      <c r="BC227" s="19">
        <v>4000</v>
      </c>
      <c r="BD227" s="19">
        <v>4700</v>
      </c>
      <c r="BE227" s="19">
        <v>4700</v>
      </c>
      <c r="BF227" s="19">
        <v>6000</v>
      </c>
      <c r="BG227" s="19">
        <v>5500</v>
      </c>
      <c r="BH227" s="19">
        <v>7000</v>
      </c>
      <c r="BI227" s="19">
        <v>5200</v>
      </c>
      <c r="BJ227" s="19">
        <v>5700</v>
      </c>
      <c r="BK227" s="19">
        <v>6700</v>
      </c>
      <c r="BL227" s="20">
        <v>9900</v>
      </c>
      <c r="BM227" s="19">
        <v>10502.91</v>
      </c>
      <c r="BN227" s="19">
        <v>11142.537219000002</v>
      </c>
      <c r="BO227" s="19">
        <v>11821.117735637104</v>
      </c>
      <c r="BP227" s="19">
        <v>12541.023805737404</v>
      </c>
      <c r="BQ227" s="19">
        <v>13304.772155506813</v>
      </c>
    </row>
    <row r="228" spans="2:69" s="1" customFormat="1" ht="12" customHeight="1" outlineLevel="1">
      <c r="B228" s="1" t="s">
        <v>171</v>
      </c>
      <c r="D228" s="19">
        <v>0</v>
      </c>
      <c r="E228" s="19">
        <v>0</v>
      </c>
      <c r="F228" s="19">
        <v>0</v>
      </c>
      <c r="G228" s="19">
        <v>0</v>
      </c>
      <c r="H228" s="19">
        <v>0</v>
      </c>
      <c r="I228" s="19">
        <v>0</v>
      </c>
      <c r="J228" s="19">
        <v>0</v>
      </c>
      <c r="K228" s="19">
        <v>0</v>
      </c>
      <c r="L228" s="19">
        <v>0</v>
      </c>
      <c r="M228" s="19">
        <v>0</v>
      </c>
      <c r="N228" s="19">
        <v>0</v>
      </c>
      <c r="O228" s="19">
        <v>0</v>
      </c>
      <c r="P228" s="19">
        <v>0</v>
      </c>
      <c r="Q228" s="19">
        <v>0</v>
      </c>
      <c r="R228" s="19">
        <v>0</v>
      </c>
      <c r="S228" s="19">
        <v>0</v>
      </c>
      <c r="T228" s="19">
        <v>0</v>
      </c>
      <c r="U228" s="19">
        <v>0</v>
      </c>
      <c r="V228" s="19">
        <v>0</v>
      </c>
      <c r="W228" s="19">
        <v>0</v>
      </c>
      <c r="X228" s="19">
        <v>0</v>
      </c>
      <c r="Y228" s="19">
        <v>0</v>
      </c>
      <c r="Z228" s="19">
        <v>0</v>
      </c>
      <c r="AA228" s="19">
        <v>0</v>
      </c>
      <c r="AB228" s="19">
        <v>0</v>
      </c>
      <c r="AC228" s="19">
        <v>0</v>
      </c>
      <c r="AD228" s="19">
        <v>0</v>
      </c>
      <c r="AE228" s="19">
        <v>0</v>
      </c>
      <c r="AF228" s="19">
        <v>0</v>
      </c>
      <c r="AG228" s="20">
        <v>0</v>
      </c>
      <c r="AH228" s="19">
        <v>0</v>
      </c>
      <c r="AI228" s="19">
        <v>0</v>
      </c>
      <c r="AJ228" s="19">
        <v>0</v>
      </c>
      <c r="AK228" s="19">
        <v>0</v>
      </c>
      <c r="AL228" s="19">
        <v>0</v>
      </c>
      <c r="AM228" s="19">
        <v>0</v>
      </c>
      <c r="AN228" s="19">
        <v>0</v>
      </c>
      <c r="AO228" s="19">
        <v>0</v>
      </c>
      <c r="AP228" s="19">
        <v>0</v>
      </c>
      <c r="AQ228" s="19">
        <v>0</v>
      </c>
      <c r="AS228" s="19"/>
      <c r="AT228" s="19"/>
      <c r="AU228" s="19"/>
      <c r="AV228" s="19">
        <v>0</v>
      </c>
      <c r="AW228" s="19">
        <v>0</v>
      </c>
      <c r="AX228" s="19">
        <v>0</v>
      </c>
      <c r="AY228" s="19">
        <v>0</v>
      </c>
      <c r="AZ228" s="19">
        <v>0</v>
      </c>
      <c r="BA228" s="19">
        <v>0</v>
      </c>
      <c r="BB228" s="19">
        <v>0</v>
      </c>
      <c r="BC228" s="19">
        <v>0</v>
      </c>
      <c r="BD228" s="19">
        <v>0</v>
      </c>
      <c r="BE228" s="19">
        <v>0</v>
      </c>
      <c r="BF228" s="19">
        <v>0</v>
      </c>
      <c r="BG228" s="19">
        <v>0</v>
      </c>
      <c r="BH228" s="19">
        <v>0</v>
      </c>
      <c r="BI228" s="19">
        <v>0</v>
      </c>
      <c r="BJ228" s="19">
        <v>0</v>
      </c>
      <c r="BK228" s="19">
        <v>0</v>
      </c>
      <c r="BL228" s="20">
        <v>0</v>
      </c>
      <c r="BM228" s="19">
        <v>0</v>
      </c>
      <c r="BN228" s="19">
        <v>0</v>
      </c>
      <c r="BO228" s="19">
        <v>0</v>
      </c>
      <c r="BP228" s="19">
        <v>0</v>
      </c>
      <c r="BQ228" s="19">
        <v>0</v>
      </c>
    </row>
    <row r="229" spans="2:69" s="1" customFormat="1" ht="12" customHeight="1" outlineLevel="1">
      <c r="B229" s="1" t="s">
        <v>172</v>
      </c>
      <c r="D229" s="19">
        <v>5500</v>
      </c>
      <c r="E229" s="19">
        <v>6900</v>
      </c>
      <c r="F229" s="19">
        <v>6400</v>
      </c>
      <c r="G229" s="19">
        <v>4600</v>
      </c>
      <c r="H229" s="19">
        <v>3400</v>
      </c>
      <c r="I229" s="19">
        <v>1700</v>
      </c>
      <c r="J229" s="19">
        <v>2500</v>
      </c>
      <c r="K229" s="19">
        <v>4200</v>
      </c>
      <c r="L229" s="19">
        <v>3600</v>
      </c>
      <c r="M229" s="19">
        <v>5000</v>
      </c>
      <c r="N229" s="19">
        <v>3700</v>
      </c>
      <c r="O229" s="19">
        <v>6400</v>
      </c>
      <c r="P229" s="19">
        <v>6300</v>
      </c>
      <c r="Q229" s="19">
        <v>6200</v>
      </c>
      <c r="R229" s="19">
        <v>5200</v>
      </c>
      <c r="S229" s="19">
        <v>6700</v>
      </c>
      <c r="T229" s="19">
        <v>4200</v>
      </c>
      <c r="U229" s="19">
        <v>12900</v>
      </c>
      <c r="V229" s="19">
        <v>14100</v>
      </c>
      <c r="W229" s="19">
        <v>14800</v>
      </c>
      <c r="X229" s="19">
        <v>14200</v>
      </c>
      <c r="Y229" s="19">
        <v>12200</v>
      </c>
      <c r="Z229" s="19">
        <v>9900</v>
      </c>
      <c r="AA229" s="19">
        <v>12400</v>
      </c>
      <c r="AB229" s="19">
        <v>6400</v>
      </c>
      <c r="AC229" s="19">
        <v>8300</v>
      </c>
      <c r="AD229" s="19">
        <v>9100</v>
      </c>
      <c r="AE229" s="19">
        <v>10000</v>
      </c>
      <c r="AF229" s="19">
        <v>8500</v>
      </c>
      <c r="AG229" s="20">
        <v>7300</v>
      </c>
      <c r="AH229" s="19">
        <v>7300</v>
      </c>
      <c r="AI229" s="19">
        <v>7300</v>
      </c>
      <c r="AJ229" s="19">
        <v>7300</v>
      </c>
      <c r="AK229" s="19">
        <v>7300</v>
      </c>
      <c r="AL229" s="19">
        <v>7300</v>
      </c>
      <c r="AM229" s="19">
        <v>7300</v>
      </c>
      <c r="AN229" s="19">
        <v>7300</v>
      </c>
      <c r="AO229" s="19">
        <v>7300</v>
      </c>
      <c r="AP229" s="19">
        <v>7300</v>
      </c>
      <c r="AQ229" s="19">
        <v>7300</v>
      </c>
      <c r="AS229" s="19"/>
      <c r="AT229" s="19"/>
      <c r="AU229" s="19"/>
      <c r="AV229" s="19">
        <v>5800</v>
      </c>
      <c r="AW229" s="19">
        <v>2500</v>
      </c>
      <c r="AX229" s="19">
        <v>6900</v>
      </c>
      <c r="AY229" s="19">
        <v>4600</v>
      </c>
      <c r="AZ229" s="19">
        <v>1700</v>
      </c>
      <c r="BA229" s="19">
        <v>4200</v>
      </c>
      <c r="BB229" s="19">
        <v>5000</v>
      </c>
      <c r="BC229" s="19">
        <v>6400</v>
      </c>
      <c r="BD229" s="19">
        <v>6200</v>
      </c>
      <c r="BE229" s="19">
        <v>6700</v>
      </c>
      <c r="BF229" s="19">
        <v>12900</v>
      </c>
      <c r="BG229" s="19">
        <v>14800</v>
      </c>
      <c r="BH229" s="19">
        <v>12200</v>
      </c>
      <c r="BI229" s="19">
        <v>12400</v>
      </c>
      <c r="BJ229" s="19">
        <v>8300</v>
      </c>
      <c r="BK229" s="19">
        <v>10000</v>
      </c>
      <c r="BL229" s="20">
        <v>7300</v>
      </c>
      <c r="BM229" s="19">
        <v>7300</v>
      </c>
      <c r="BN229" s="19">
        <v>7300</v>
      </c>
      <c r="BO229" s="19">
        <v>7300</v>
      </c>
      <c r="BP229" s="19">
        <v>7300</v>
      </c>
      <c r="BQ229" s="19">
        <v>7300</v>
      </c>
    </row>
    <row r="230" spans="2:69" s="1" customFormat="1" ht="12" customHeight="1" outlineLevel="1">
      <c r="B230" s="1" t="s">
        <v>170</v>
      </c>
      <c r="D230" s="19">
        <v>1200</v>
      </c>
      <c r="E230" s="19">
        <v>900</v>
      </c>
      <c r="F230" s="19">
        <v>1000</v>
      </c>
      <c r="G230" s="19">
        <v>1000</v>
      </c>
      <c r="H230" s="19">
        <v>1300</v>
      </c>
      <c r="I230" s="19">
        <v>900</v>
      </c>
      <c r="J230" s="19">
        <v>1700</v>
      </c>
      <c r="K230" s="19">
        <v>1100</v>
      </c>
      <c r="L230" s="19">
        <v>1200</v>
      </c>
      <c r="M230" s="19">
        <v>700</v>
      </c>
      <c r="N230" s="19">
        <v>700</v>
      </c>
      <c r="O230" s="19">
        <v>700</v>
      </c>
      <c r="P230" s="19">
        <v>1200</v>
      </c>
      <c r="Q230" s="19">
        <v>1000</v>
      </c>
      <c r="R230" s="19">
        <v>1400</v>
      </c>
      <c r="S230" s="19">
        <v>1100</v>
      </c>
      <c r="T230" s="19">
        <v>1000</v>
      </c>
      <c r="U230" s="19">
        <v>1200</v>
      </c>
      <c r="V230" s="19">
        <v>2300</v>
      </c>
      <c r="W230" s="19">
        <v>2400</v>
      </c>
      <c r="X230" s="19">
        <v>2900</v>
      </c>
      <c r="Y230" s="19">
        <v>3100</v>
      </c>
      <c r="Z230" s="19">
        <v>2500</v>
      </c>
      <c r="AA230" s="19">
        <v>2100</v>
      </c>
      <c r="AB230" s="19">
        <v>3500</v>
      </c>
      <c r="AC230" s="19">
        <v>3700</v>
      </c>
      <c r="AD230" s="19">
        <v>5600</v>
      </c>
      <c r="AE230" s="19">
        <v>4000</v>
      </c>
      <c r="AF230" s="19">
        <v>4400</v>
      </c>
      <c r="AG230" s="20">
        <v>4000</v>
      </c>
      <c r="AH230" s="19">
        <v>4148.7603305785124</v>
      </c>
      <c r="AI230" s="19">
        <v>4303.9024793388435</v>
      </c>
      <c r="AJ230" s="19">
        <v>4397.8425041322307</v>
      </c>
      <c r="AK230" s="19">
        <v>4493.9944541735531</v>
      </c>
      <c r="AL230" s="19">
        <v>4592.4122618402871</v>
      </c>
      <c r="AM230" s="19">
        <v>4693.1511941618146</v>
      </c>
      <c r="AN230" s="19">
        <v>4796.267886049136</v>
      </c>
      <c r="AO230" s="19">
        <v>4901.8203743539725</v>
      </c>
      <c r="AP230" s="19">
        <v>5009.868132777965</v>
      </c>
      <c r="AQ230" s="19">
        <v>5120.4721076532105</v>
      </c>
      <c r="AS230" s="19"/>
      <c r="AT230" s="19"/>
      <c r="AU230" s="19"/>
      <c r="AV230" s="19">
        <v>700</v>
      </c>
      <c r="AW230" s="19">
        <v>900</v>
      </c>
      <c r="AX230" s="19">
        <v>900</v>
      </c>
      <c r="AY230" s="19">
        <v>1000</v>
      </c>
      <c r="AZ230" s="19">
        <v>900</v>
      </c>
      <c r="BA230" s="19">
        <v>1100</v>
      </c>
      <c r="BB230" s="19">
        <v>700</v>
      </c>
      <c r="BC230" s="19">
        <v>700</v>
      </c>
      <c r="BD230" s="19">
        <v>1000</v>
      </c>
      <c r="BE230" s="19">
        <v>1100</v>
      </c>
      <c r="BF230" s="19">
        <v>1200</v>
      </c>
      <c r="BG230" s="19">
        <v>2400</v>
      </c>
      <c r="BH230" s="19">
        <v>3100</v>
      </c>
      <c r="BI230" s="19">
        <v>2100</v>
      </c>
      <c r="BJ230" s="19">
        <v>3700</v>
      </c>
      <c r="BK230" s="19">
        <v>4000</v>
      </c>
      <c r="BL230" s="20">
        <v>4000</v>
      </c>
      <c r="BM230" s="19">
        <v>4303.9024793388435</v>
      </c>
      <c r="BN230" s="19">
        <v>4493.9944541735531</v>
      </c>
      <c r="BO230" s="19">
        <v>4693.1511941618146</v>
      </c>
      <c r="BP230" s="19">
        <v>4901.8203743539725</v>
      </c>
      <c r="BQ230" s="19">
        <v>5120.4721076532105</v>
      </c>
    </row>
    <row r="231" spans="2:69" s="1" customFormat="1" ht="12" hidden="1" customHeight="1" outlineLevel="2">
      <c r="B231" s="1" t="s">
        <v>173</v>
      </c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20"/>
      <c r="AH231" s="19"/>
      <c r="AI231" s="19"/>
      <c r="AJ231" s="19"/>
      <c r="AK231" s="19"/>
      <c r="AL231" s="19"/>
      <c r="AM231" s="19"/>
      <c r="AN231" s="19"/>
      <c r="AO231" s="19"/>
      <c r="AP231" s="19"/>
      <c r="AQ231" s="19"/>
      <c r="AS231" s="19"/>
      <c r="AT231" s="19"/>
      <c r="AU231" s="19"/>
      <c r="AV231" s="19"/>
      <c r="AW231" s="19"/>
      <c r="AX231" s="19">
        <v>0</v>
      </c>
      <c r="AY231" s="19">
        <v>0</v>
      </c>
      <c r="AZ231" s="19">
        <v>0</v>
      </c>
      <c r="BA231" s="19">
        <v>0</v>
      </c>
      <c r="BB231" s="19">
        <v>0</v>
      </c>
      <c r="BC231" s="19">
        <v>0</v>
      </c>
      <c r="BD231" s="19">
        <v>0</v>
      </c>
      <c r="BE231" s="19">
        <v>0</v>
      </c>
      <c r="BF231" s="19">
        <v>0</v>
      </c>
      <c r="BG231" s="19">
        <v>0</v>
      </c>
      <c r="BH231" s="19">
        <v>0</v>
      </c>
      <c r="BI231" s="19">
        <v>0</v>
      </c>
      <c r="BJ231" s="19">
        <v>0</v>
      </c>
      <c r="BK231" s="19">
        <v>0</v>
      </c>
      <c r="BL231" s="20">
        <v>0</v>
      </c>
      <c r="BM231" s="19">
        <v>0</v>
      </c>
      <c r="BN231" s="19">
        <v>0</v>
      </c>
      <c r="BO231" s="19">
        <v>0</v>
      </c>
      <c r="BP231" s="19">
        <v>0</v>
      </c>
      <c r="BQ231" s="19">
        <v>0</v>
      </c>
    </row>
    <row r="232" spans="2:69" s="1" customFormat="1" ht="12" hidden="1" customHeight="1" outlineLevel="2">
      <c r="B232" s="1" t="s">
        <v>173</v>
      </c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20"/>
      <c r="AH232" s="19"/>
      <c r="AI232" s="19"/>
      <c r="AJ232" s="19"/>
      <c r="AK232" s="19"/>
      <c r="AL232" s="19"/>
      <c r="AM232" s="19"/>
      <c r="AN232" s="19"/>
      <c r="AO232" s="19"/>
      <c r="AP232" s="19"/>
      <c r="AQ232" s="19"/>
      <c r="AS232" s="19"/>
      <c r="AT232" s="19"/>
      <c r="AU232" s="19"/>
      <c r="AV232" s="19"/>
      <c r="AW232" s="19"/>
      <c r="AX232" s="19">
        <v>0</v>
      </c>
      <c r="AY232" s="19">
        <v>0</v>
      </c>
      <c r="AZ232" s="19">
        <v>0</v>
      </c>
      <c r="BA232" s="19">
        <v>0</v>
      </c>
      <c r="BB232" s="19">
        <v>0</v>
      </c>
      <c r="BC232" s="19">
        <v>0</v>
      </c>
      <c r="BD232" s="19">
        <v>0</v>
      </c>
      <c r="BE232" s="19">
        <v>0</v>
      </c>
      <c r="BF232" s="19">
        <v>0</v>
      </c>
      <c r="BG232" s="19">
        <v>0</v>
      </c>
      <c r="BH232" s="19">
        <v>0</v>
      </c>
      <c r="BI232" s="19">
        <v>0</v>
      </c>
      <c r="BJ232" s="19">
        <v>0</v>
      </c>
      <c r="BK232" s="19">
        <v>0</v>
      </c>
      <c r="BL232" s="20">
        <v>0</v>
      </c>
      <c r="BM232" s="19">
        <v>0</v>
      </c>
      <c r="BN232" s="19">
        <v>0</v>
      </c>
      <c r="BO232" s="19">
        <v>0</v>
      </c>
      <c r="BP232" s="19">
        <v>0</v>
      </c>
      <c r="BQ232" s="19">
        <v>0</v>
      </c>
    </row>
    <row r="233" spans="2:69" s="1" customFormat="1" ht="12" hidden="1" customHeight="1" outlineLevel="2">
      <c r="B233" s="1" t="s">
        <v>173</v>
      </c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20"/>
      <c r="AH233" s="19"/>
      <c r="AI233" s="19"/>
      <c r="AJ233" s="19"/>
      <c r="AK233" s="19"/>
      <c r="AL233" s="19"/>
      <c r="AM233" s="19"/>
      <c r="AN233" s="19"/>
      <c r="AO233" s="19"/>
      <c r="AP233" s="19"/>
      <c r="AQ233" s="19"/>
      <c r="AS233" s="19"/>
      <c r="AT233" s="19"/>
      <c r="AU233" s="19"/>
      <c r="AV233" s="19"/>
      <c r="AW233" s="19"/>
      <c r="AX233" s="19">
        <v>0</v>
      </c>
      <c r="AY233" s="19">
        <v>0</v>
      </c>
      <c r="AZ233" s="19">
        <v>0</v>
      </c>
      <c r="BA233" s="19">
        <v>0</v>
      </c>
      <c r="BB233" s="19">
        <v>0</v>
      </c>
      <c r="BC233" s="19">
        <v>0</v>
      </c>
      <c r="BD233" s="19">
        <v>0</v>
      </c>
      <c r="BE233" s="19">
        <v>0</v>
      </c>
      <c r="BF233" s="19">
        <v>0</v>
      </c>
      <c r="BG233" s="19">
        <v>0</v>
      </c>
      <c r="BH233" s="19">
        <v>0</v>
      </c>
      <c r="BI233" s="19">
        <v>0</v>
      </c>
      <c r="BJ233" s="19">
        <v>0</v>
      </c>
      <c r="BK233" s="19">
        <v>0</v>
      </c>
      <c r="BL233" s="20">
        <v>0</v>
      </c>
      <c r="BM233" s="19">
        <v>0</v>
      </c>
      <c r="BN233" s="19">
        <v>0</v>
      </c>
      <c r="BO233" s="19">
        <v>0</v>
      </c>
      <c r="BP233" s="19">
        <v>0</v>
      </c>
      <c r="BQ233" s="19">
        <v>0</v>
      </c>
    </row>
    <row r="234" spans="2:69" s="1" customFormat="1" ht="12" hidden="1" customHeight="1" outlineLevel="2">
      <c r="B234" s="1" t="s">
        <v>173</v>
      </c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20"/>
      <c r="AH234" s="19"/>
      <c r="AI234" s="19"/>
      <c r="AJ234" s="19"/>
      <c r="AK234" s="19"/>
      <c r="AL234" s="19"/>
      <c r="AM234" s="19"/>
      <c r="AN234" s="19"/>
      <c r="AO234" s="19"/>
      <c r="AP234" s="19"/>
      <c r="AQ234" s="19"/>
      <c r="AS234" s="19"/>
      <c r="AT234" s="19"/>
      <c r="AU234" s="19"/>
      <c r="AV234" s="19"/>
      <c r="AW234" s="19"/>
      <c r="AX234" s="19">
        <v>0</v>
      </c>
      <c r="AY234" s="19">
        <v>0</v>
      </c>
      <c r="AZ234" s="19">
        <v>0</v>
      </c>
      <c r="BA234" s="19">
        <v>0</v>
      </c>
      <c r="BB234" s="19">
        <v>0</v>
      </c>
      <c r="BC234" s="19">
        <v>0</v>
      </c>
      <c r="BD234" s="19">
        <v>0</v>
      </c>
      <c r="BE234" s="19">
        <v>0</v>
      </c>
      <c r="BF234" s="19">
        <v>0</v>
      </c>
      <c r="BG234" s="19">
        <v>0</v>
      </c>
      <c r="BH234" s="19">
        <v>0</v>
      </c>
      <c r="BI234" s="19">
        <v>0</v>
      </c>
      <c r="BJ234" s="19">
        <v>0</v>
      </c>
      <c r="BK234" s="19">
        <v>0</v>
      </c>
      <c r="BL234" s="20">
        <v>0</v>
      </c>
      <c r="BM234" s="19">
        <v>0</v>
      </c>
      <c r="BN234" s="19">
        <v>0</v>
      </c>
      <c r="BO234" s="19">
        <v>0</v>
      </c>
      <c r="BP234" s="19">
        <v>0</v>
      </c>
      <c r="BQ234" s="19">
        <v>0</v>
      </c>
    </row>
    <row r="235" spans="2:69" s="1" customFormat="1" ht="12" hidden="1" customHeight="1" outlineLevel="2">
      <c r="B235" s="1" t="s">
        <v>173</v>
      </c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20"/>
      <c r="AH235" s="19"/>
      <c r="AI235" s="19"/>
      <c r="AJ235" s="19"/>
      <c r="AK235" s="19"/>
      <c r="AL235" s="19"/>
      <c r="AM235" s="19"/>
      <c r="AN235" s="19"/>
      <c r="AO235" s="19"/>
      <c r="AP235" s="19"/>
      <c r="AQ235" s="19"/>
      <c r="AS235" s="19"/>
      <c r="AT235" s="19"/>
      <c r="AU235" s="19"/>
      <c r="AV235" s="19"/>
      <c r="AW235" s="19"/>
      <c r="AX235" s="19">
        <v>0</v>
      </c>
      <c r="AY235" s="19">
        <v>0</v>
      </c>
      <c r="AZ235" s="19">
        <v>0</v>
      </c>
      <c r="BA235" s="19">
        <v>0</v>
      </c>
      <c r="BB235" s="19">
        <v>0</v>
      </c>
      <c r="BC235" s="19">
        <v>0</v>
      </c>
      <c r="BD235" s="19">
        <v>0</v>
      </c>
      <c r="BE235" s="19">
        <v>0</v>
      </c>
      <c r="BF235" s="19">
        <v>0</v>
      </c>
      <c r="BG235" s="19">
        <v>0</v>
      </c>
      <c r="BH235" s="19">
        <v>0</v>
      </c>
      <c r="BI235" s="19">
        <v>0</v>
      </c>
      <c r="BJ235" s="19">
        <v>0</v>
      </c>
      <c r="BK235" s="19">
        <v>0</v>
      </c>
      <c r="BL235" s="20">
        <v>0</v>
      </c>
      <c r="BM235" s="19">
        <v>0</v>
      </c>
      <c r="BN235" s="19">
        <v>0</v>
      </c>
      <c r="BO235" s="19">
        <v>0</v>
      </c>
      <c r="BP235" s="19">
        <v>0</v>
      </c>
      <c r="BQ235" s="19">
        <v>0</v>
      </c>
    </row>
    <row r="236" spans="2:69" s="1" customFormat="1" ht="12" hidden="1" customHeight="1" outlineLevel="2">
      <c r="B236" s="1" t="s">
        <v>173</v>
      </c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20"/>
      <c r="AH236" s="19"/>
      <c r="AI236" s="19"/>
      <c r="AJ236" s="19"/>
      <c r="AK236" s="19"/>
      <c r="AL236" s="19"/>
      <c r="AM236" s="19"/>
      <c r="AN236" s="19"/>
      <c r="AO236" s="19"/>
      <c r="AP236" s="19"/>
      <c r="AQ236" s="19"/>
      <c r="AS236" s="19"/>
      <c r="AT236" s="19"/>
      <c r="AU236" s="19"/>
      <c r="AV236" s="19"/>
      <c r="AW236" s="19"/>
      <c r="AX236" s="19">
        <v>0</v>
      </c>
      <c r="AY236" s="19">
        <v>0</v>
      </c>
      <c r="AZ236" s="19">
        <v>0</v>
      </c>
      <c r="BA236" s="19">
        <v>0</v>
      </c>
      <c r="BB236" s="19">
        <v>0</v>
      </c>
      <c r="BC236" s="19">
        <v>0</v>
      </c>
      <c r="BD236" s="19">
        <v>0</v>
      </c>
      <c r="BE236" s="19">
        <v>0</v>
      </c>
      <c r="BF236" s="19">
        <v>0</v>
      </c>
      <c r="BG236" s="19">
        <v>0</v>
      </c>
      <c r="BH236" s="19">
        <v>0</v>
      </c>
      <c r="BI236" s="19">
        <v>0</v>
      </c>
      <c r="BJ236" s="19">
        <v>0</v>
      </c>
      <c r="BK236" s="19">
        <v>0</v>
      </c>
      <c r="BL236" s="20">
        <v>0</v>
      </c>
      <c r="BM236" s="19">
        <v>0</v>
      </c>
      <c r="BN236" s="19">
        <v>0</v>
      </c>
      <c r="BO236" s="19">
        <v>0</v>
      </c>
      <c r="BP236" s="19">
        <v>0</v>
      </c>
      <c r="BQ236" s="19">
        <v>0</v>
      </c>
    </row>
    <row r="237" spans="2:69" s="1" customFormat="1" ht="12" hidden="1" customHeight="1" outlineLevel="2">
      <c r="B237" s="1" t="s">
        <v>173</v>
      </c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20"/>
      <c r="AH237" s="19"/>
      <c r="AI237" s="19"/>
      <c r="AJ237" s="19"/>
      <c r="AK237" s="19"/>
      <c r="AL237" s="19"/>
      <c r="AM237" s="19"/>
      <c r="AN237" s="19"/>
      <c r="AO237" s="19"/>
      <c r="AP237" s="19"/>
      <c r="AQ237" s="19"/>
      <c r="AS237" s="19"/>
      <c r="AT237" s="19"/>
      <c r="AU237" s="19"/>
      <c r="AV237" s="19"/>
      <c r="AW237" s="19"/>
      <c r="AX237" s="19">
        <v>0</v>
      </c>
      <c r="AY237" s="19">
        <v>0</v>
      </c>
      <c r="AZ237" s="19">
        <v>0</v>
      </c>
      <c r="BA237" s="19">
        <v>0</v>
      </c>
      <c r="BB237" s="19">
        <v>0</v>
      </c>
      <c r="BC237" s="19">
        <v>0</v>
      </c>
      <c r="BD237" s="19">
        <v>0</v>
      </c>
      <c r="BE237" s="19">
        <v>0</v>
      </c>
      <c r="BF237" s="19">
        <v>0</v>
      </c>
      <c r="BG237" s="19">
        <v>0</v>
      </c>
      <c r="BH237" s="19">
        <v>0</v>
      </c>
      <c r="BI237" s="19">
        <v>0</v>
      </c>
      <c r="BJ237" s="19">
        <v>0</v>
      </c>
      <c r="BK237" s="19">
        <v>0</v>
      </c>
      <c r="BL237" s="20">
        <v>0</v>
      </c>
      <c r="BM237" s="19">
        <v>0</v>
      </c>
      <c r="BN237" s="19">
        <v>0</v>
      </c>
      <c r="BO237" s="19">
        <v>0</v>
      </c>
      <c r="BP237" s="19">
        <v>0</v>
      </c>
      <c r="BQ237" s="19">
        <v>0</v>
      </c>
    </row>
    <row r="238" spans="2:69" s="1" customFormat="1" ht="12" hidden="1" customHeight="1" outlineLevel="2">
      <c r="B238" s="1" t="s">
        <v>173</v>
      </c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20"/>
      <c r="AH238" s="19"/>
      <c r="AI238" s="19"/>
      <c r="AJ238" s="19"/>
      <c r="AK238" s="19"/>
      <c r="AL238" s="19"/>
      <c r="AM238" s="19"/>
      <c r="AN238" s="19"/>
      <c r="AO238" s="19"/>
      <c r="AP238" s="19"/>
      <c r="AQ238" s="19"/>
      <c r="AS238" s="19"/>
      <c r="AT238" s="19"/>
      <c r="AU238" s="19"/>
      <c r="AV238" s="19"/>
      <c r="AW238" s="19"/>
      <c r="AX238" s="19">
        <v>0</v>
      </c>
      <c r="AY238" s="19">
        <v>0</v>
      </c>
      <c r="AZ238" s="19">
        <v>0</v>
      </c>
      <c r="BA238" s="19">
        <v>0</v>
      </c>
      <c r="BB238" s="19">
        <v>0</v>
      </c>
      <c r="BC238" s="19">
        <v>0</v>
      </c>
      <c r="BD238" s="19">
        <v>0</v>
      </c>
      <c r="BE238" s="19">
        <v>0</v>
      </c>
      <c r="BF238" s="19">
        <v>0</v>
      </c>
      <c r="BG238" s="19">
        <v>0</v>
      </c>
      <c r="BH238" s="19">
        <v>0</v>
      </c>
      <c r="BI238" s="19">
        <v>0</v>
      </c>
      <c r="BJ238" s="19">
        <v>0</v>
      </c>
      <c r="BK238" s="19">
        <v>0</v>
      </c>
      <c r="BL238" s="20">
        <v>0</v>
      </c>
      <c r="BM238" s="19">
        <v>0</v>
      </c>
      <c r="BN238" s="19">
        <v>0</v>
      </c>
      <c r="BO238" s="19">
        <v>0</v>
      </c>
      <c r="BP238" s="19">
        <v>0</v>
      </c>
      <c r="BQ238" s="19">
        <v>0</v>
      </c>
    </row>
    <row r="239" spans="2:69" s="1" customFormat="1" ht="12" hidden="1" customHeight="1" outlineLevel="2">
      <c r="B239" s="1" t="s">
        <v>173</v>
      </c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20"/>
      <c r="AH239" s="19"/>
      <c r="AI239" s="19"/>
      <c r="AJ239" s="19"/>
      <c r="AK239" s="19"/>
      <c r="AL239" s="19"/>
      <c r="AM239" s="19"/>
      <c r="AN239" s="19"/>
      <c r="AO239" s="19"/>
      <c r="AP239" s="19"/>
      <c r="AQ239" s="19"/>
      <c r="AS239" s="19"/>
      <c r="AT239" s="19"/>
      <c r="AU239" s="19"/>
      <c r="AV239" s="19"/>
      <c r="AW239" s="19"/>
      <c r="AX239" s="19">
        <v>0</v>
      </c>
      <c r="AY239" s="19">
        <v>0</v>
      </c>
      <c r="AZ239" s="19">
        <v>0</v>
      </c>
      <c r="BA239" s="19">
        <v>0</v>
      </c>
      <c r="BB239" s="19">
        <v>0</v>
      </c>
      <c r="BC239" s="19">
        <v>0</v>
      </c>
      <c r="BD239" s="19">
        <v>0</v>
      </c>
      <c r="BE239" s="19">
        <v>0</v>
      </c>
      <c r="BF239" s="19">
        <v>0</v>
      </c>
      <c r="BG239" s="19">
        <v>0</v>
      </c>
      <c r="BH239" s="19">
        <v>0</v>
      </c>
      <c r="BI239" s="19">
        <v>0</v>
      </c>
      <c r="BJ239" s="19">
        <v>0</v>
      </c>
      <c r="BK239" s="19">
        <v>0</v>
      </c>
      <c r="BL239" s="20">
        <v>0</v>
      </c>
      <c r="BM239" s="19">
        <v>0</v>
      </c>
      <c r="BN239" s="19">
        <v>0</v>
      </c>
      <c r="BO239" s="19">
        <v>0</v>
      </c>
      <c r="BP239" s="19">
        <v>0</v>
      </c>
      <c r="BQ239" s="19">
        <v>0</v>
      </c>
    </row>
    <row r="240" spans="2:69" s="1" customFormat="1" ht="12" hidden="1" customHeight="1" outlineLevel="2">
      <c r="B240" s="1" t="s">
        <v>173</v>
      </c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20"/>
      <c r="AH240" s="19"/>
      <c r="AI240" s="19"/>
      <c r="AJ240" s="19"/>
      <c r="AK240" s="19"/>
      <c r="AL240" s="19"/>
      <c r="AM240" s="19"/>
      <c r="AN240" s="19"/>
      <c r="AO240" s="19"/>
      <c r="AP240" s="19"/>
      <c r="AQ240" s="19"/>
      <c r="AS240" s="19"/>
      <c r="AT240" s="19"/>
      <c r="AU240" s="19"/>
      <c r="AV240" s="19"/>
      <c r="AW240" s="19"/>
      <c r="AX240" s="19">
        <v>0</v>
      </c>
      <c r="AY240" s="19">
        <v>0</v>
      </c>
      <c r="AZ240" s="19">
        <v>0</v>
      </c>
      <c r="BA240" s="19">
        <v>0</v>
      </c>
      <c r="BB240" s="19">
        <v>0</v>
      </c>
      <c r="BC240" s="19">
        <v>0</v>
      </c>
      <c r="BD240" s="19">
        <v>0</v>
      </c>
      <c r="BE240" s="19">
        <v>0</v>
      </c>
      <c r="BF240" s="19">
        <v>0</v>
      </c>
      <c r="BG240" s="19">
        <v>0</v>
      </c>
      <c r="BH240" s="19">
        <v>0</v>
      </c>
      <c r="BI240" s="19">
        <v>0</v>
      </c>
      <c r="BJ240" s="19">
        <v>0</v>
      </c>
      <c r="BK240" s="19">
        <v>0</v>
      </c>
      <c r="BL240" s="20">
        <v>0</v>
      </c>
      <c r="BM240" s="19">
        <v>0</v>
      </c>
      <c r="BN240" s="19">
        <v>0</v>
      </c>
      <c r="BO240" s="19">
        <v>0</v>
      </c>
      <c r="BP240" s="19">
        <v>0</v>
      </c>
      <c r="BQ240" s="19">
        <v>0</v>
      </c>
    </row>
    <row r="241" spans="1:69" s="9" customFormat="1" ht="12" customHeight="1" outlineLevel="1" collapsed="1">
      <c r="A241" s="91"/>
      <c r="B241" s="9" t="s">
        <v>174</v>
      </c>
      <c r="C241" s="17"/>
      <c r="D241" s="17">
        <v>16700</v>
      </c>
      <c r="E241" s="17">
        <v>16900</v>
      </c>
      <c r="F241" s="17">
        <v>16200</v>
      </c>
      <c r="G241" s="17">
        <v>16200</v>
      </c>
      <c r="H241" s="17">
        <v>13300</v>
      </c>
      <c r="I241" s="17">
        <v>11800</v>
      </c>
      <c r="J241" s="17">
        <v>12500</v>
      </c>
      <c r="K241" s="17">
        <v>13700</v>
      </c>
      <c r="L241" s="17">
        <v>14600</v>
      </c>
      <c r="M241" s="17">
        <v>14200</v>
      </c>
      <c r="N241" s="17">
        <v>13200</v>
      </c>
      <c r="O241" s="17">
        <v>15700</v>
      </c>
      <c r="P241" s="17">
        <v>17500</v>
      </c>
      <c r="Q241" s="17">
        <v>16200</v>
      </c>
      <c r="R241" s="17">
        <v>15300</v>
      </c>
      <c r="S241" s="17">
        <v>16200</v>
      </c>
      <c r="T241" s="17">
        <v>16000</v>
      </c>
      <c r="U241" s="17">
        <v>24100</v>
      </c>
      <c r="V241" s="17">
        <v>26600</v>
      </c>
      <c r="W241" s="17">
        <v>39900</v>
      </c>
      <c r="X241" s="17">
        <v>36200</v>
      </c>
      <c r="Y241" s="17">
        <v>38100</v>
      </c>
      <c r="Z241" s="17">
        <v>32200</v>
      </c>
      <c r="AA241" s="17">
        <v>33000</v>
      </c>
      <c r="AB241" s="17">
        <v>39600</v>
      </c>
      <c r="AC241" s="17">
        <v>49800</v>
      </c>
      <c r="AD241" s="17">
        <v>60000</v>
      </c>
      <c r="AE241" s="17">
        <v>60700</v>
      </c>
      <c r="AF241" s="17">
        <v>62700</v>
      </c>
      <c r="AG241" s="18">
        <v>63700</v>
      </c>
      <c r="AH241" s="17">
        <v>65648.239669421499</v>
      </c>
      <c r="AI241" s="17">
        <v>67676.227520661152</v>
      </c>
      <c r="AJ241" s="17">
        <v>69034.049095867769</v>
      </c>
      <c r="AK241" s="17">
        <v>70425.875660326448</v>
      </c>
      <c r="AL241" s="17">
        <v>71852.589441997246</v>
      </c>
      <c r="AM241" s="17">
        <v>73315.095990833288</v>
      </c>
      <c r="AN241" s="17">
        <v>74814.324802851683</v>
      </c>
      <c r="AO241" s="17">
        <v>76351.229961066594</v>
      </c>
      <c r="AP241" s="17">
        <v>77926.790793745036</v>
      </c>
      <c r="AQ241" s="17">
        <v>79542.012550457541</v>
      </c>
      <c r="AS241" s="17"/>
      <c r="AT241" s="17"/>
      <c r="AU241" s="17"/>
      <c r="AV241" s="17">
        <v>19600</v>
      </c>
      <c r="AW241" s="17">
        <v>15800</v>
      </c>
      <c r="AX241" s="17">
        <v>16900</v>
      </c>
      <c r="AY241" s="17">
        <v>16200</v>
      </c>
      <c r="AZ241" s="17">
        <v>11800</v>
      </c>
      <c r="BA241" s="17">
        <v>13700</v>
      </c>
      <c r="BB241" s="17">
        <v>14200</v>
      </c>
      <c r="BC241" s="17">
        <v>15700</v>
      </c>
      <c r="BD241" s="17">
        <v>16200</v>
      </c>
      <c r="BE241" s="17">
        <v>16200</v>
      </c>
      <c r="BF241" s="17">
        <v>24100</v>
      </c>
      <c r="BG241" s="17">
        <v>39900</v>
      </c>
      <c r="BH241" s="17">
        <v>38100</v>
      </c>
      <c r="BI241" s="17">
        <v>33000</v>
      </c>
      <c r="BJ241" s="17">
        <v>49800</v>
      </c>
      <c r="BK241" s="17">
        <v>60700</v>
      </c>
      <c r="BL241" s="18">
        <v>63700</v>
      </c>
      <c r="BM241" s="17">
        <v>67676.227520661152</v>
      </c>
      <c r="BN241" s="17">
        <v>70425.875660326448</v>
      </c>
      <c r="BO241" s="17">
        <v>73315.095990833288</v>
      </c>
      <c r="BP241" s="17">
        <v>76351.229961066594</v>
      </c>
      <c r="BQ241" s="17">
        <v>79542.012550457541</v>
      </c>
    </row>
    <row r="242" spans="1:69" ht="12" customHeight="1" outlineLevel="1"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20"/>
      <c r="AH242" s="19"/>
      <c r="AI242" s="19"/>
      <c r="AJ242" s="19"/>
      <c r="AK242" s="19"/>
      <c r="AL242" s="19"/>
      <c r="AM242" s="19"/>
      <c r="AN242" s="19"/>
      <c r="AO242" s="19"/>
      <c r="AP242" s="19"/>
      <c r="AQ242" s="19"/>
      <c r="AS242" s="19"/>
      <c r="AT242" s="19"/>
      <c r="AU242" s="19"/>
      <c r="AV242" s="19"/>
      <c r="AW242" s="19"/>
    </row>
    <row r="243" spans="1:69" ht="12" customHeight="1" outlineLevel="1">
      <c r="B243" s="1" t="s">
        <v>175</v>
      </c>
      <c r="D243" s="19">
        <v>0</v>
      </c>
      <c r="E243" s="19">
        <v>0</v>
      </c>
      <c r="F243" s="19">
        <v>0</v>
      </c>
      <c r="G243" s="19">
        <v>0</v>
      </c>
      <c r="H243" s="19">
        <v>0</v>
      </c>
      <c r="I243" s="19">
        <v>0</v>
      </c>
      <c r="J243" s="19">
        <v>0</v>
      </c>
      <c r="K243" s="19">
        <v>0</v>
      </c>
      <c r="L243" s="19">
        <v>0</v>
      </c>
      <c r="M243" s="19">
        <v>0</v>
      </c>
      <c r="N243" s="19">
        <v>0</v>
      </c>
      <c r="O243" s="19">
        <v>0</v>
      </c>
      <c r="P243" s="19">
        <v>0</v>
      </c>
      <c r="Q243" s="19">
        <v>0</v>
      </c>
      <c r="R243" s="19">
        <v>0</v>
      </c>
      <c r="S243" s="19">
        <v>0</v>
      </c>
      <c r="T243" s="19">
        <v>0</v>
      </c>
      <c r="U243" s="19">
        <v>0</v>
      </c>
      <c r="V243" s="19">
        <v>0</v>
      </c>
      <c r="W243" s="19">
        <v>0</v>
      </c>
      <c r="X243" s="19">
        <v>0</v>
      </c>
      <c r="Y243" s="19">
        <v>0</v>
      </c>
      <c r="Z243" s="19">
        <v>0</v>
      </c>
      <c r="AA243" s="19">
        <v>0</v>
      </c>
      <c r="AB243" s="19">
        <v>0</v>
      </c>
      <c r="AC243" s="19">
        <v>0</v>
      </c>
      <c r="AD243" s="19">
        <v>0</v>
      </c>
      <c r="AE243" s="19">
        <v>0</v>
      </c>
      <c r="AF243" s="19">
        <v>0</v>
      </c>
      <c r="AG243" s="20">
        <v>0</v>
      </c>
      <c r="AH243" s="19">
        <v>481.04501885094214</v>
      </c>
      <c r="AI243" s="19">
        <v>817.19738990074256</v>
      </c>
      <c r="AJ243" s="19">
        <v>1034.5123547551921</v>
      </c>
      <c r="AK243" s="19">
        <v>1121.5002689636312</v>
      </c>
      <c r="AL243" s="19">
        <v>1387.6792036845</v>
      </c>
      <c r="AM243" s="19">
        <v>1456.4860958117642</v>
      </c>
      <c r="AN243" s="19">
        <v>1734.8315357169486</v>
      </c>
      <c r="AO243" s="19">
        <v>1811.6120670679666</v>
      </c>
      <c r="AP243" s="19">
        <v>2104.5603087864874</v>
      </c>
      <c r="AQ243" s="19">
        <v>2187.2398023185087</v>
      </c>
      <c r="AS243" s="19"/>
      <c r="AT243" s="19"/>
      <c r="AU243" s="19"/>
      <c r="AV243" s="19">
        <v>0</v>
      </c>
      <c r="AW243" s="19">
        <v>0</v>
      </c>
      <c r="AX243" s="19">
        <v>0</v>
      </c>
      <c r="AY243" s="19">
        <v>0</v>
      </c>
      <c r="AZ243" s="19">
        <v>0</v>
      </c>
      <c r="BA243" s="19">
        <v>0</v>
      </c>
      <c r="BB243" s="19">
        <v>0</v>
      </c>
      <c r="BC243" s="19">
        <v>0</v>
      </c>
      <c r="BD243" s="19">
        <v>0</v>
      </c>
      <c r="BE243" s="19">
        <v>0</v>
      </c>
      <c r="BF243" s="19">
        <v>0</v>
      </c>
      <c r="BG243" s="19">
        <v>0</v>
      </c>
      <c r="BH243" s="19">
        <v>0</v>
      </c>
      <c r="BI243" s="19">
        <v>0</v>
      </c>
      <c r="BJ243" s="19">
        <v>0</v>
      </c>
      <c r="BK243" s="19">
        <v>0</v>
      </c>
      <c r="BL243" s="20">
        <v>0</v>
      </c>
      <c r="BM243" s="19">
        <v>817.19738990074256</v>
      </c>
      <c r="BN243" s="19">
        <v>1121.5002689636312</v>
      </c>
      <c r="BO243" s="19">
        <v>1456.4860958117642</v>
      </c>
      <c r="BP243" s="19">
        <v>1811.6120670679666</v>
      </c>
      <c r="BQ243" s="19">
        <v>2187.2398023185087</v>
      </c>
    </row>
    <row r="244" spans="1:69" ht="12" customHeight="1" outlineLevel="1">
      <c r="B244" s="1" t="s">
        <v>176</v>
      </c>
      <c r="D244" s="19">
        <v>0</v>
      </c>
      <c r="E244" s="19">
        <v>400</v>
      </c>
      <c r="F244" s="19">
        <v>0</v>
      </c>
      <c r="G244" s="19">
        <v>500</v>
      </c>
      <c r="H244" s="19">
        <v>0</v>
      </c>
      <c r="I244" s="19">
        <v>-500</v>
      </c>
      <c r="J244" s="19">
        <v>-400</v>
      </c>
      <c r="K244" s="19">
        <v>0</v>
      </c>
      <c r="L244" s="19">
        <v>0</v>
      </c>
      <c r="M244" s="19">
        <v>300</v>
      </c>
      <c r="N244" s="19">
        <v>-700</v>
      </c>
      <c r="O244" s="19">
        <v>100</v>
      </c>
      <c r="P244" s="19">
        <v>-100</v>
      </c>
      <c r="Q244" s="19">
        <v>300</v>
      </c>
      <c r="R244" s="19">
        <v>-500</v>
      </c>
      <c r="S244" s="19">
        <v>800</v>
      </c>
      <c r="T244" s="19">
        <v>800</v>
      </c>
      <c r="U244" s="19">
        <v>1200</v>
      </c>
      <c r="V244" s="19">
        <v>0</v>
      </c>
      <c r="W244" s="19">
        <v>1000</v>
      </c>
      <c r="X244" s="19">
        <v>-500</v>
      </c>
      <c r="Y244" s="19">
        <v>900</v>
      </c>
      <c r="Z244" s="19">
        <v>300</v>
      </c>
      <c r="AA244" s="19">
        <v>100</v>
      </c>
      <c r="AB244" s="19">
        <v>-400</v>
      </c>
      <c r="AC244" s="19">
        <v>1000</v>
      </c>
      <c r="AD244" s="19">
        <v>0</v>
      </c>
      <c r="AE244" s="19">
        <v>0</v>
      </c>
      <c r="AF244" s="19">
        <v>-1000</v>
      </c>
      <c r="AG244" s="20">
        <v>-900</v>
      </c>
      <c r="AH244" s="19">
        <v>-900</v>
      </c>
      <c r="AI244" s="19">
        <v>-900</v>
      </c>
      <c r="AJ244" s="19">
        <v>-900</v>
      </c>
      <c r="AK244" s="19">
        <v>-900</v>
      </c>
      <c r="AL244" s="19">
        <v>-900</v>
      </c>
      <c r="AM244" s="19">
        <v>-900</v>
      </c>
      <c r="AN244" s="19">
        <v>-900</v>
      </c>
      <c r="AO244" s="19">
        <v>-900</v>
      </c>
      <c r="AP244" s="19">
        <v>-900</v>
      </c>
      <c r="AQ244" s="19">
        <v>-900</v>
      </c>
      <c r="AS244" s="19"/>
      <c r="AT244" s="19"/>
      <c r="AU244" s="19"/>
      <c r="AV244" s="19">
        <v>700</v>
      </c>
      <c r="AW244" s="19">
        <v>200</v>
      </c>
      <c r="AX244" s="19">
        <v>400</v>
      </c>
      <c r="AY244" s="19">
        <v>500</v>
      </c>
      <c r="AZ244" s="19">
        <v>-500</v>
      </c>
      <c r="BA244" s="19">
        <v>0</v>
      </c>
      <c r="BB244" s="19">
        <v>300</v>
      </c>
      <c r="BC244" s="19">
        <v>100</v>
      </c>
      <c r="BD244" s="19">
        <v>300</v>
      </c>
      <c r="BE244" s="19">
        <v>800</v>
      </c>
      <c r="BF244" s="19">
        <v>1200</v>
      </c>
      <c r="BG244" s="19">
        <v>1000</v>
      </c>
      <c r="BH244" s="19">
        <v>900</v>
      </c>
      <c r="BI244" s="19">
        <v>100</v>
      </c>
      <c r="BJ244" s="19">
        <v>1000</v>
      </c>
      <c r="BK244" s="19">
        <v>0</v>
      </c>
      <c r="BL244" s="20">
        <v>-900</v>
      </c>
      <c r="BM244" s="19">
        <v>-900</v>
      </c>
      <c r="BN244" s="19">
        <v>-900</v>
      </c>
      <c r="BO244" s="19">
        <v>-900</v>
      </c>
      <c r="BP244" s="19">
        <v>-900</v>
      </c>
      <c r="BQ244" s="19">
        <v>-900</v>
      </c>
    </row>
    <row r="245" spans="1:69" ht="12" customHeight="1" outlineLevel="1">
      <c r="B245" s="1" t="s">
        <v>177</v>
      </c>
      <c r="D245" s="19">
        <v>200</v>
      </c>
      <c r="E245" s="19">
        <v>200</v>
      </c>
      <c r="F245" s="19">
        <v>400</v>
      </c>
      <c r="G245" s="19">
        <v>600</v>
      </c>
      <c r="H245" s="19">
        <v>600</v>
      </c>
      <c r="I245" s="19">
        <v>600</v>
      </c>
      <c r="J245" s="19">
        <v>800</v>
      </c>
      <c r="K245" s="19">
        <v>1000</v>
      </c>
      <c r="L245" s="19">
        <v>700</v>
      </c>
      <c r="M245" s="19">
        <v>700</v>
      </c>
      <c r="N245" s="19">
        <v>500</v>
      </c>
      <c r="O245" s="19">
        <v>500</v>
      </c>
      <c r="P245" s="19">
        <v>500</v>
      </c>
      <c r="Q245" s="19">
        <v>400</v>
      </c>
      <c r="R245" s="19">
        <v>400</v>
      </c>
      <c r="S245" s="19">
        <v>500</v>
      </c>
      <c r="T245" s="19">
        <v>500</v>
      </c>
      <c r="U245" s="19">
        <v>400</v>
      </c>
      <c r="V245" s="19">
        <v>200</v>
      </c>
      <c r="W245" s="19">
        <v>300</v>
      </c>
      <c r="X245" s="19">
        <v>400</v>
      </c>
      <c r="Y245" s="19">
        <v>100</v>
      </c>
      <c r="Z245" s="19">
        <v>600</v>
      </c>
      <c r="AA245" s="19">
        <v>600</v>
      </c>
      <c r="AB245" s="19">
        <v>1000</v>
      </c>
      <c r="AC245" s="19">
        <v>900</v>
      </c>
      <c r="AD245" s="19">
        <v>1000</v>
      </c>
      <c r="AE245" s="19">
        <v>1000</v>
      </c>
      <c r="AF245" s="19">
        <v>1200</v>
      </c>
      <c r="AG245" s="20">
        <v>1500</v>
      </c>
      <c r="AH245" s="19">
        <v>1500</v>
      </c>
      <c r="AI245" s="19">
        <v>1500</v>
      </c>
      <c r="AJ245" s="19">
        <v>1500</v>
      </c>
      <c r="AK245" s="19">
        <v>1500</v>
      </c>
      <c r="AL245" s="19">
        <v>1500</v>
      </c>
      <c r="AM245" s="19">
        <v>1500</v>
      </c>
      <c r="AN245" s="19">
        <v>1500</v>
      </c>
      <c r="AO245" s="19">
        <v>1500</v>
      </c>
      <c r="AP245" s="19">
        <v>1500</v>
      </c>
      <c r="AQ245" s="19">
        <v>1500</v>
      </c>
      <c r="AS245" s="19"/>
      <c r="AT245" s="19"/>
      <c r="AU245" s="19"/>
      <c r="AV245" s="19">
        <v>0</v>
      </c>
      <c r="AW245" s="19">
        <v>300</v>
      </c>
      <c r="AX245" s="19">
        <v>200</v>
      </c>
      <c r="AY245" s="19">
        <v>600</v>
      </c>
      <c r="AZ245" s="19">
        <v>600</v>
      </c>
      <c r="BA245" s="19">
        <v>1000</v>
      </c>
      <c r="BB245" s="19">
        <v>700</v>
      </c>
      <c r="BC245" s="19">
        <v>500</v>
      </c>
      <c r="BD245" s="19">
        <v>400</v>
      </c>
      <c r="BE245" s="19">
        <v>500</v>
      </c>
      <c r="BF245" s="19">
        <v>400</v>
      </c>
      <c r="BG245" s="19">
        <v>300</v>
      </c>
      <c r="BH245" s="19">
        <v>100</v>
      </c>
      <c r="BI245" s="19">
        <v>600</v>
      </c>
      <c r="BJ245" s="19">
        <v>900</v>
      </c>
      <c r="BK245" s="19">
        <v>1000</v>
      </c>
      <c r="BL245" s="20">
        <v>1500</v>
      </c>
      <c r="BM245" s="19">
        <v>1500</v>
      </c>
      <c r="BN245" s="19">
        <v>1500</v>
      </c>
      <c r="BO245" s="19">
        <v>1500</v>
      </c>
      <c r="BP245" s="19">
        <v>1500</v>
      </c>
      <c r="BQ245" s="19">
        <v>1500</v>
      </c>
    </row>
    <row r="246" spans="1:69" ht="12" customHeight="1" outlineLevel="1">
      <c r="B246" s="1" t="s">
        <v>178</v>
      </c>
      <c r="D246" s="19">
        <v>600</v>
      </c>
      <c r="E246" s="19">
        <v>600</v>
      </c>
      <c r="F246" s="19">
        <v>600</v>
      </c>
      <c r="G246" s="19">
        <v>1700</v>
      </c>
      <c r="H246" s="19">
        <v>200</v>
      </c>
      <c r="I246" s="19">
        <v>200</v>
      </c>
      <c r="J246" s="19">
        <v>100</v>
      </c>
      <c r="K246" s="19">
        <v>100</v>
      </c>
      <c r="L246" s="19">
        <v>300</v>
      </c>
      <c r="M246" s="19">
        <v>100</v>
      </c>
      <c r="N246" s="19">
        <v>100</v>
      </c>
      <c r="O246" s="19">
        <v>100</v>
      </c>
      <c r="P246" s="19">
        <v>100</v>
      </c>
      <c r="Q246" s="19">
        <v>100</v>
      </c>
      <c r="R246" s="19">
        <v>-600</v>
      </c>
      <c r="S246" s="19">
        <v>200</v>
      </c>
      <c r="T246" s="19">
        <v>500</v>
      </c>
      <c r="U246" s="19">
        <v>500</v>
      </c>
      <c r="V246" s="19">
        <v>300</v>
      </c>
      <c r="W246" s="19">
        <v>4400</v>
      </c>
      <c r="X246" s="19">
        <v>1100</v>
      </c>
      <c r="Y246" s="19">
        <v>600</v>
      </c>
      <c r="Z246" s="19">
        <v>500</v>
      </c>
      <c r="AA246" s="19">
        <v>400</v>
      </c>
      <c r="AB246" s="19">
        <v>400</v>
      </c>
      <c r="AC246" s="19">
        <v>900</v>
      </c>
      <c r="AD246" s="19">
        <v>500</v>
      </c>
      <c r="AE246" s="19">
        <v>2400</v>
      </c>
      <c r="AF246" s="19">
        <v>2900</v>
      </c>
      <c r="AG246" s="20">
        <v>2800</v>
      </c>
      <c r="AH246" s="19">
        <v>2904.1322314049576</v>
      </c>
      <c r="AI246" s="19">
        <v>3012.7317355371852</v>
      </c>
      <c r="AJ246" s="19">
        <v>3078.489752892554</v>
      </c>
      <c r="AK246" s="19">
        <v>3145.7961179214799</v>
      </c>
      <c r="AL246" s="19">
        <v>3214.6885832881926</v>
      </c>
      <c r="AM246" s="19">
        <v>3285.2058359132607</v>
      </c>
      <c r="AN246" s="19">
        <v>3357.3875202343843</v>
      </c>
      <c r="AO246" s="19">
        <v>3431.2742620477729</v>
      </c>
      <c r="AP246" s="19">
        <v>3506.9076929445655</v>
      </c>
      <c r="AQ246" s="19">
        <v>3584.3304753572374</v>
      </c>
      <c r="AS246" s="19"/>
      <c r="AT246" s="19"/>
      <c r="AU246" s="19"/>
      <c r="AV246" s="19">
        <v>1100</v>
      </c>
      <c r="AW246" s="19">
        <v>800</v>
      </c>
      <c r="AX246" s="19">
        <v>600</v>
      </c>
      <c r="AY246" s="19">
        <v>1700</v>
      </c>
      <c r="AZ246" s="19">
        <v>200</v>
      </c>
      <c r="BA246" s="19">
        <v>100</v>
      </c>
      <c r="BB246" s="19">
        <v>100</v>
      </c>
      <c r="BC246" s="19">
        <v>100</v>
      </c>
      <c r="BD246" s="19">
        <v>100</v>
      </c>
      <c r="BE246" s="19">
        <v>200</v>
      </c>
      <c r="BF246" s="19">
        <v>500</v>
      </c>
      <c r="BG246" s="19">
        <v>4400</v>
      </c>
      <c r="BH246" s="19">
        <v>600</v>
      </c>
      <c r="BI246" s="19">
        <v>400</v>
      </c>
      <c r="BJ246" s="19">
        <v>900</v>
      </c>
      <c r="BK246" s="19">
        <v>2400</v>
      </c>
      <c r="BL246" s="20">
        <v>2800</v>
      </c>
      <c r="BM246" s="19">
        <v>3012.7317355371852</v>
      </c>
      <c r="BN246" s="19">
        <v>3145.7961179214799</v>
      </c>
      <c r="BO246" s="19">
        <v>3285.2058359132607</v>
      </c>
      <c r="BP246" s="19">
        <v>3431.2742620477729</v>
      </c>
      <c r="BQ246" s="19">
        <v>3584.3304753572374</v>
      </c>
    </row>
    <row r="247" spans="1:69" ht="12" customHeight="1" outlineLevel="1">
      <c r="B247" s="1" t="s">
        <v>179</v>
      </c>
      <c r="D247" s="19">
        <v>2100</v>
      </c>
      <c r="E247" s="19">
        <v>3200</v>
      </c>
      <c r="F247" s="19">
        <v>3500</v>
      </c>
      <c r="G247" s="19">
        <v>4100</v>
      </c>
      <c r="H247" s="19">
        <v>4700</v>
      </c>
      <c r="I247" s="19">
        <v>4500</v>
      </c>
      <c r="J247" s="19">
        <v>4400</v>
      </c>
      <c r="K247" s="19">
        <v>5800</v>
      </c>
      <c r="L247" s="19">
        <v>6400</v>
      </c>
      <c r="M247" s="19">
        <v>8000</v>
      </c>
      <c r="N247" s="19">
        <v>7300</v>
      </c>
      <c r="O247" s="19">
        <v>8100</v>
      </c>
      <c r="P247" s="19">
        <v>9000</v>
      </c>
      <c r="Q247" s="19">
        <v>8400</v>
      </c>
      <c r="R247" s="19">
        <v>9200</v>
      </c>
      <c r="S247" s="19">
        <v>7600</v>
      </c>
      <c r="T247" s="19">
        <v>6600</v>
      </c>
      <c r="U247" s="19">
        <v>14000</v>
      </c>
      <c r="V247" s="19">
        <v>14800</v>
      </c>
      <c r="W247" s="19">
        <v>16100</v>
      </c>
      <c r="X247" s="19">
        <v>15900</v>
      </c>
      <c r="Y247" s="19">
        <v>16500</v>
      </c>
      <c r="Z247" s="19">
        <v>14400</v>
      </c>
      <c r="AA247" s="19">
        <v>15300</v>
      </c>
      <c r="AB247" s="19">
        <v>21300</v>
      </c>
      <c r="AC247" s="19">
        <v>27300</v>
      </c>
      <c r="AD247" s="19">
        <v>37400</v>
      </c>
      <c r="AE247" s="19">
        <v>33900</v>
      </c>
      <c r="AF247" s="19">
        <v>36300</v>
      </c>
      <c r="AG247" s="20">
        <v>38100</v>
      </c>
      <c r="AH247" s="19">
        <v>39516.942148760332</v>
      </c>
      <c r="AI247" s="19">
        <v>40994.671115702484</v>
      </c>
      <c r="AJ247" s="19">
        <v>41889.449851859506</v>
      </c>
      <c r="AK247" s="19">
        <v>42805.297176003092</v>
      </c>
      <c r="AL247" s="19">
        <v>43742.726794028742</v>
      </c>
      <c r="AM247" s="19">
        <v>44702.265124391291</v>
      </c>
      <c r="AN247" s="19">
        <v>45684.451614618025</v>
      </c>
      <c r="AO247" s="19">
        <v>46689.839065721593</v>
      </c>
      <c r="AP247" s="19">
        <v>47718.993964710142</v>
      </c>
      <c r="AQ247" s="19">
        <v>48772.496825396855</v>
      </c>
      <c r="AS247" s="19"/>
      <c r="AT247" s="19"/>
      <c r="AU247" s="19"/>
      <c r="AV247" s="19">
        <v>0</v>
      </c>
      <c r="AW247" s="19">
        <v>0</v>
      </c>
      <c r="AX247" s="19">
        <v>3200</v>
      </c>
      <c r="AY247" s="19">
        <v>4100</v>
      </c>
      <c r="AZ247" s="19">
        <v>4500</v>
      </c>
      <c r="BA247" s="19">
        <v>5800</v>
      </c>
      <c r="BB247" s="19">
        <v>8000</v>
      </c>
      <c r="BC247" s="19">
        <v>8100</v>
      </c>
      <c r="BD247" s="19">
        <v>8400</v>
      </c>
      <c r="BE247" s="19">
        <v>7600</v>
      </c>
      <c r="BF247" s="19">
        <v>14000</v>
      </c>
      <c r="BG247" s="19">
        <v>16100</v>
      </c>
      <c r="BH247" s="19">
        <v>16500</v>
      </c>
      <c r="BI247" s="19">
        <v>15300</v>
      </c>
      <c r="BJ247" s="19">
        <v>27300</v>
      </c>
      <c r="BK247" s="19">
        <v>33900</v>
      </c>
      <c r="BL247" s="20">
        <v>38100</v>
      </c>
      <c r="BM247" s="19">
        <v>40994.671115702484</v>
      </c>
      <c r="BN247" s="19">
        <v>42805.297176003092</v>
      </c>
      <c r="BO247" s="19">
        <v>44702.265124391291</v>
      </c>
      <c r="BP247" s="19">
        <v>46689.839065721593</v>
      </c>
      <c r="BQ247" s="19">
        <v>48772.496825396855</v>
      </c>
    </row>
    <row r="248" spans="1:69" ht="12" customHeight="1" outlineLevel="1">
      <c r="B248" s="1" t="s">
        <v>180</v>
      </c>
      <c r="D248" s="19">
        <v>400</v>
      </c>
      <c r="E248" s="19">
        <v>500</v>
      </c>
      <c r="F248" s="19">
        <v>300</v>
      </c>
      <c r="G248" s="19">
        <v>300</v>
      </c>
      <c r="H248" s="19">
        <v>100</v>
      </c>
      <c r="I248" s="19">
        <v>300</v>
      </c>
      <c r="J248" s="19">
        <v>200</v>
      </c>
      <c r="K248" s="19">
        <v>700</v>
      </c>
      <c r="L248" s="19">
        <v>-500</v>
      </c>
      <c r="M248" s="19">
        <v>400</v>
      </c>
      <c r="N248" s="19">
        <v>700</v>
      </c>
      <c r="O248" s="19">
        <v>300</v>
      </c>
      <c r="P248" s="19">
        <v>400</v>
      </c>
      <c r="Q248" s="19">
        <v>200</v>
      </c>
      <c r="R248" s="19">
        <v>300</v>
      </c>
      <c r="S248" s="19">
        <v>200</v>
      </c>
      <c r="T248" s="19">
        <v>100</v>
      </c>
      <c r="U248" s="19">
        <v>100</v>
      </c>
      <c r="V248" s="19">
        <v>100</v>
      </c>
      <c r="W248" s="19">
        <v>500</v>
      </c>
      <c r="X248" s="19">
        <v>500</v>
      </c>
      <c r="Y248" s="19">
        <v>300</v>
      </c>
      <c r="Z248" s="19">
        <v>100</v>
      </c>
      <c r="AA248" s="19">
        <v>200</v>
      </c>
      <c r="AB248" s="19">
        <v>200</v>
      </c>
      <c r="AC248" s="19">
        <v>200</v>
      </c>
      <c r="AD248" s="19">
        <v>7100</v>
      </c>
      <c r="AE248" s="19">
        <v>7200</v>
      </c>
      <c r="AF248" s="19">
        <v>7400</v>
      </c>
      <c r="AG248" s="20">
        <v>6800</v>
      </c>
      <c r="AH248" s="19">
        <v>6800</v>
      </c>
      <c r="AI248" s="19">
        <v>6800</v>
      </c>
      <c r="AJ248" s="19">
        <v>6800</v>
      </c>
      <c r="AK248" s="19">
        <v>6800</v>
      </c>
      <c r="AL248" s="19">
        <v>6800</v>
      </c>
      <c r="AM248" s="19">
        <v>6800</v>
      </c>
      <c r="AN248" s="19">
        <v>6800</v>
      </c>
      <c r="AO248" s="19">
        <v>6800</v>
      </c>
      <c r="AP248" s="19">
        <v>6800</v>
      </c>
      <c r="AQ248" s="19">
        <v>6800</v>
      </c>
      <c r="AS248" s="19"/>
      <c r="AT248" s="19"/>
      <c r="AU248" s="19"/>
      <c r="AV248" s="19">
        <v>300</v>
      </c>
      <c r="AW248" s="19">
        <v>500</v>
      </c>
      <c r="AX248" s="19">
        <v>500</v>
      </c>
      <c r="AY248" s="19">
        <v>300</v>
      </c>
      <c r="AZ248" s="19">
        <v>300</v>
      </c>
      <c r="BA248" s="19">
        <v>700</v>
      </c>
      <c r="BB248" s="19">
        <v>400</v>
      </c>
      <c r="BC248" s="19">
        <v>300</v>
      </c>
      <c r="BD248" s="19">
        <v>200</v>
      </c>
      <c r="BE248" s="19">
        <v>200</v>
      </c>
      <c r="BF248" s="19">
        <v>100</v>
      </c>
      <c r="BG248" s="19">
        <v>500</v>
      </c>
      <c r="BH248" s="19">
        <v>300</v>
      </c>
      <c r="BI248" s="19">
        <v>200</v>
      </c>
      <c r="BJ248" s="19">
        <v>200</v>
      </c>
      <c r="BK248" s="19">
        <v>7200</v>
      </c>
      <c r="BL248" s="20">
        <v>6800</v>
      </c>
      <c r="BM248" s="19">
        <v>6800</v>
      </c>
      <c r="BN248" s="19">
        <v>6800</v>
      </c>
      <c r="BO248" s="19">
        <v>6800</v>
      </c>
      <c r="BP248" s="19">
        <v>6800</v>
      </c>
      <c r="BQ248" s="19">
        <v>6800</v>
      </c>
    </row>
    <row r="249" spans="1:69" ht="12" customHeight="1" outlineLevel="1">
      <c r="B249" s="1" t="s">
        <v>181</v>
      </c>
      <c r="D249" s="19">
        <v>7000</v>
      </c>
      <c r="E249" s="19">
        <v>6900</v>
      </c>
      <c r="F249" s="19">
        <v>6700</v>
      </c>
      <c r="G249" s="19">
        <v>4500</v>
      </c>
      <c r="H249" s="19">
        <v>4300</v>
      </c>
      <c r="I249" s="19">
        <v>3200</v>
      </c>
      <c r="J249" s="19">
        <v>3200</v>
      </c>
      <c r="K249" s="19">
        <v>2400</v>
      </c>
      <c r="L249" s="19">
        <v>2600</v>
      </c>
      <c r="M249" s="19">
        <v>1300</v>
      </c>
      <c r="N249" s="19">
        <v>1400</v>
      </c>
      <c r="O249" s="19">
        <v>2600</v>
      </c>
      <c r="P249" s="19">
        <v>3100</v>
      </c>
      <c r="Q249" s="19">
        <v>2900</v>
      </c>
      <c r="R249" s="19">
        <v>2400</v>
      </c>
      <c r="S249" s="19">
        <v>2400</v>
      </c>
      <c r="T249" s="19">
        <v>3200</v>
      </c>
      <c r="U249" s="19">
        <v>3200</v>
      </c>
      <c r="V249" s="19">
        <v>5800</v>
      </c>
      <c r="W249" s="19">
        <v>8300</v>
      </c>
      <c r="X249" s="19">
        <v>8700</v>
      </c>
      <c r="Y249" s="19">
        <v>10100</v>
      </c>
      <c r="Z249" s="19">
        <v>7300</v>
      </c>
      <c r="AA249" s="19">
        <v>5800</v>
      </c>
      <c r="AB249" s="19">
        <v>6400</v>
      </c>
      <c r="AC249" s="19">
        <v>6300</v>
      </c>
      <c r="AD249" s="19">
        <v>0</v>
      </c>
      <c r="AE249" s="19">
        <v>0</v>
      </c>
      <c r="AF249" s="19">
        <v>0</v>
      </c>
      <c r="AG249" s="20">
        <v>0</v>
      </c>
      <c r="AH249" s="19">
        <v>0</v>
      </c>
      <c r="AI249" s="19">
        <v>0</v>
      </c>
      <c r="AJ249" s="19">
        <v>0</v>
      </c>
      <c r="AK249" s="19">
        <v>0</v>
      </c>
      <c r="AL249" s="19">
        <v>0</v>
      </c>
      <c r="AM249" s="19">
        <v>0</v>
      </c>
      <c r="AN249" s="19">
        <v>0</v>
      </c>
      <c r="AO249" s="19">
        <v>0</v>
      </c>
      <c r="AP249" s="19">
        <v>0</v>
      </c>
      <c r="AQ249" s="19">
        <v>0</v>
      </c>
      <c r="AS249" s="19"/>
      <c r="AT249" s="19"/>
      <c r="AU249" s="19"/>
      <c r="AV249" s="19">
        <v>4900</v>
      </c>
      <c r="AW249" s="19">
        <v>7400</v>
      </c>
      <c r="AX249" s="19">
        <v>6900</v>
      </c>
      <c r="AY249" s="19">
        <v>4500</v>
      </c>
      <c r="AZ249" s="19">
        <v>3200</v>
      </c>
      <c r="BA249" s="19">
        <v>2400</v>
      </c>
      <c r="BB249" s="19">
        <v>1300</v>
      </c>
      <c r="BC249" s="19">
        <v>2600</v>
      </c>
      <c r="BD249" s="19">
        <v>2900</v>
      </c>
      <c r="BE249" s="19">
        <v>2400</v>
      </c>
      <c r="BF249" s="19">
        <v>3200</v>
      </c>
      <c r="BG249" s="19">
        <v>8300</v>
      </c>
      <c r="BH249" s="19">
        <v>10100</v>
      </c>
      <c r="BI249" s="19">
        <v>5800</v>
      </c>
      <c r="BJ249" s="19">
        <v>6300</v>
      </c>
      <c r="BK249" s="19">
        <v>0</v>
      </c>
      <c r="BL249" s="20">
        <v>0</v>
      </c>
      <c r="BM249" s="19">
        <v>0</v>
      </c>
      <c r="BN249" s="19">
        <v>0</v>
      </c>
      <c r="BO249" s="19">
        <v>0</v>
      </c>
      <c r="BP249" s="19">
        <v>0</v>
      </c>
      <c r="BQ249" s="19">
        <v>0</v>
      </c>
    </row>
    <row r="250" spans="1:69" ht="12" customHeight="1" outlineLevel="1">
      <c r="B250" s="1" t="s">
        <v>171</v>
      </c>
      <c r="D250" s="19">
        <v>1400</v>
      </c>
      <c r="E250" s="19">
        <v>1200</v>
      </c>
      <c r="F250" s="19">
        <v>1200</v>
      </c>
      <c r="G250" s="19">
        <v>700</v>
      </c>
      <c r="H250" s="19">
        <v>0</v>
      </c>
      <c r="I250" s="19">
        <v>0</v>
      </c>
      <c r="J250" s="19">
        <v>0</v>
      </c>
      <c r="K250" s="19">
        <v>0</v>
      </c>
      <c r="L250" s="19">
        <v>0</v>
      </c>
      <c r="M250" s="19">
        <v>0</v>
      </c>
      <c r="N250" s="19">
        <v>0</v>
      </c>
      <c r="O250" s="19">
        <v>0</v>
      </c>
      <c r="P250" s="19">
        <v>0</v>
      </c>
      <c r="Q250" s="19">
        <v>0</v>
      </c>
      <c r="R250" s="19">
        <v>0</v>
      </c>
      <c r="S250" s="19">
        <v>0</v>
      </c>
      <c r="T250" s="19">
        <v>0</v>
      </c>
      <c r="U250" s="19">
        <v>0</v>
      </c>
      <c r="V250" s="19">
        <v>0</v>
      </c>
      <c r="W250" s="19">
        <v>0</v>
      </c>
      <c r="X250" s="19">
        <v>0</v>
      </c>
      <c r="Y250" s="19">
        <v>0</v>
      </c>
      <c r="Z250" s="19">
        <v>0</v>
      </c>
      <c r="AA250" s="19">
        <v>0</v>
      </c>
      <c r="AB250" s="19">
        <v>0</v>
      </c>
      <c r="AC250" s="19">
        <v>0</v>
      </c>
      <c r="AD250" s="19">
        <v>0</v>
      </c>
      <c r="AE250" s="19">
        <v>0</v>
      </c>
      <c r="AF250" s="19">
        <v>0</v>
      </c>
      <c r="AG250" s="20">
        <v>0</v>
      </c>
      <c r="AH250" s="19">
        <v>0</v>
      </c>
      <c r="AI250" s="19">
        <v>0</v>
      </c>
      <c r="AJ250" s="19">
        <v>0</v>
      </c>
      <c r="AK250" s="19">
        <v>0</v>
      </c>
      <c r="AL250" s="19">
        <v>0</v>
      </c>
      <c r="AM250" s="19">
        <v>0</v>
      </c>
      <c r="AN250" s="19">
        <v>0</v>
      </c>
      <c r="AO250" s="19">
        <v>0</v>
      </c>
      <c r="AP250" s="19">
        <v>0</v>
      </c>
      <c r="AQ250" s="19">
        <v>0</v>
      </c>
      <c r="AS250" s="19"/>
      <c r="AT250" s="19"/>
      <c r="AU250" s="19"/>
      <c r="AV250" s="19">
        <v>8800</v>
      </c>
      <c r="AW250" s="19">
        <v>3800</v>
      </c>
      <c r="AX250" s="19">
        <v>1200</v>
      </c>
      <c r="AY250" s="19">
        <v>700</v>
      </c>
      <c r="AZ250" s="19">
        <v>0</v>
      </c>
      <c r="BA250" s="19">
        <v>0</v>
      </c>
      <c r="BB250" s="19">
        <v>0</v>
      </c>
      <c r="BC250" s="19">
        <v>0</v>
      </c>
      <c r="BD250" s="19">
        <v>0</v>
      </c>
      <c r="BE250" s="19">
        <v>0</v>
      </c>
      <c r="BF250" s="19">
        <v>0</v>
      </c>
      <c r="BG250" s="19">
        <v>0</v>
      </c>
      <c r="BH250" s="19">
        <v>0</v>
      </c>
      <c r="BI250" s="19">
        <v>0</v>
      </c>
      <c r="BJ250" s="19">
        <v>0</v>
      </c>
      <c r="BK250" s="19">
        <v>0</v>
      </c>
      <c r="BL250" s="20">
        <v>0</v>
      </c>
      <c r="BM250" s="19">
        <v>0</v>
      </c>
      <c r="BN250" s="19">
        <v>0</v>
      </c>
      <c r="BO250" s="19">
        <v>0</v>
      </c>
      <c r="BP250" s="19">
        <v>0</v>
      </c>
      <c r="BQ250" s="19">
        <v>0</v>
      </c>
    </row>
    <row r="251" spans="1:69" ht="12" customHeight="1" outlineLevel="1">
      <c r="B251" s="1" t="s">
        <v>182</v>
      </c>
      <c r="D251" s="19">
        <v>0</v>
      </c>
      <c r="E251" s="19">
        <v>0</v>
      </c>
      <c r="F251" s="19">
        <v>0</v>
      </c>
      <c r="G251" s="19">
        <v>0</v>
      </c>
      <c r="H251" s="19">
        <v>0</v>
      </c>
      <c r="I251" s="19">
        <v>0</v>
      </c>
      <c r="J251" s="19">
        <v>0</v>
      </c>
      <c r="K251" s="19">
        <v>0</v>
      </c>
      <c r="L251" s="19">
        <v>0</v>
      </c>
      <c r="M251" s="19">
        <v>0</v>
      </c>
      <c r="N251" s="19">
        <v>0</v>
      </c>
      <c r="O251" s="19">
        <v>0</v>
      </c>
      <c r="P251" s="19">
        <v>0</v>
      </c>
      <c r="Q251" s="19">
        <v>0</v>
      </c>
      <c r="R251" s="19">
        <v>0</v>
      </c>
      <c r="S251" s="19">
        <v>0</v>
      </c>
      <c r="T251" s="19">
        <v>0</v>
      </c>
      <c r="U251" s="19">
        <v>0</v>
      </c>
      <c r="V251" s="19">
        <v>0</v>
      </c>
      <c r="W251" s="19">
        <v>0</v>
      </c>
      <c r="X251" s="19">
        <v>0</v>
      </c>
      <c r="Y251" s="19">
        <v>0</v>
      </c>
      <c r="Z251" s="19">
        <v>0</v>
      </c>
      <c r="AA251" s="19">
        <v>0</v>
      </c>
      <c r="AB251" s="19">
        <v>0</v>
      </c>
      <c r="AC251" s="19">
        <v>0</v>
      </c>
      <c r="AD251" s="19">
        <v>0</v>
      </c>
      <c r="AE251" s="19">
        <v>0</v>
      </c>
      <c r="AF251" s="19">
        <v>0</v>
      </c>
      <c r="AG251" s="20">
        <v>0</v>
      </c>
      <c r="AH251" s="19">
        <v>0</v>
      </c>
      <c r="AI251" s="19">
        <v>0</v>
      </c>
      <c r="AJ251" s="19">
        <v>0</v>
      </c>
      <c r="AK251" s="19">
        <v>0</v>
      </c>
      <c r="AL251" s="19">
        <v>0</v>
      </c>
      <c r="AM251" s="19">
        <v>0</v>
      </c>
      <c r="AN251" s="19">
        <v>0</v>
      </c>
      <c r="AO251" s="19">
        <v>0</v>
      </c>
      <c r="AP251" s="19">
        <v>0</v>
      </c>
      <c r="AQ251" s="19">
        <v>0</v>
      </c>
      <c r="AS251" s="19"/>
      <c r="AT251" s="19"/>
      <c r="AU251" s="19"/>
      <c r="AV251" s="19">
        <v>200</v>
      </c>
      <c r="AW251" s="19">
        <v>0</v>
      </c>
      <c r="AX251" s="19">
        <v>0</v>
      </c>
      <c r="AY251" s="19">
        <v>0</v>
      </c>
      <c r="AZ251" s="19">
        <v>0</v>
      </c>
      <c r="BA251" s="19">
        <v>0</v>
      </c>
      <c r="BB251" s="19">
        <v>0</v>
      </c>
      <c r="BC251" s="19">
        <v>0</v>
      </c>
      <c r="BD251" s="19">
        <v>0</v>
      </c>
      <c r="BE251" s="19">
        <v>0</v>
      </c>
      <c r="BF251" s="19">
        <v>0</v>
      </c>
      <c r="BG251" s="19">
        <v>0</v>
      </c>
      <c r="BH251" s="19">
        <v>0</v>
      </c>
      <c r="BI251" s="19">
        <v>0</v>
      </c>
      <c r="BJ251" s="19">
        <v>0</v>
      </c>
      <c r="BK251" s="19">
        <v>0</v>
      </c>
      <c r="BL251" s="20">
        <v>0</v>
      </c>
      <c r="BM251" s="19">
        <v>0</v>
      </c>
      <c r="BN251" s="19">
        <v>0</v>
      </c>
      <c r="BO251" s="19">
        <v>0</v>
      </c>
      <c r="BP251" s="19">
        <v>0</v>
      </c>
      <c r="BQ251" s="19">
        <v>0</v>
      </c>
    </row>
    <row r="252" spans="1:69" ht="12" customHeight="1" outlineLevel="1">
      <c r="B252" s="1" t="s">
        <v>183</v>
      </c>
      <c r="D252" s="19">
        <v>580</v>
      </c>
      <c r="E252" s="19">
        <v>631</v>
      </c>
      <c r="F252" s="19">
        <v>607</v>
      </c>
      <c r="G252" s="19">
        <v>968</v>
      </c>
      <c r="H252" s="19">
        <v>1036</v>
      </c>
      <c r="I252" s="19">
        <v>968</v>
      </c>
      <c r="J252" s="19">
        <v>1401</v>
      </c>
      <c r="K252" s="19">
        <v>445</v>
      </c>
      <c r="L252" s="19">
        <v>1781</v>
      </c>
      <c r="M252" s="19">
        <v>986</v>
      </c>
      <c r="N252" s="19">
        <v>1084</v>
      </c>
      <c r="O252" s="19">
        <v>1204</v>
      </c>
      <c r="P252" s="19">
        <v>1183</v>
      </c>
      <c r="Q252" s="19">
        <v>1093</v>
      </c>
      <c r="R252" s="19">
        <v>1288</v>
      </c>
      <c r="S252" s="19">
        <v>1146</v>
      </c>
      <c r="T252" s="19">
        <v>1152</v>
      </c>
      <c r="U252" s="19">
        <v>2552</v>
      </c>
      <c r="V252" s="19">
        <v>2949</v>
      </c>
      <c r="W252" s="19">
        <v>3948</v>
      </c>
      <c r="X252" s="19">
        <v>4092</v>
      </c>
      <c r="Y252" s="19">
        <v>3946</v>
      </c>
      <c r="Z252" s="19">
        <v>4192</v>
      </c>
      <c r="AA252" s="19">
        <v>4352</v>
      </c>
      <c r="AB252" s="19">
        <v>5036</v>
      </c>
      <c r="AC252" s="19">
        <v>4939</v>
      </c>
      <c r="AD252" s="19">
        <v>5763</v>
      </c>
      <c r="AE252" s="19">
        <v>5745</v>
      </c>
      <c r="AF252" s="19">
        <v>5749</v>
      </c>
      <c r="AG252" s="20">
        <v>5719</v>
      </c>
      <c r="AH252" s="19">
        <v>5719</v>
      </c>
      <c r="AI252" s="19">
        <v>5719</v>
      </c>
      <c r="AJ252" s="19">
        <v>5719</v>
      </c>
      <c r="AK252" s="19">
        <v>5719</v>
      </c>
      <c r="AL252" s="19">
        <v>5719</v>
      </c>
      <c r="AM252" s="19">
        <v>5719</v>
      </c>
      <c r="AN252" s="19">
        <v>5719</v>
      </c>
      <c r="AO252" s="19">
        <v>5719</v>
      </c>
      <c r="AP252" s="19">
        <v>5719</v>
      </c>
      <c r="AQ252" s="19">
        <v>5719</v>
      </c>
      <c r="AS252" s="19"/>
      <c r="AT252" s="19"/>
      <c r="AU252" s="19"/>
      <c r="AV252" s="19">
        <v>-61</v>
      </c>
      <c r="AW252" s="19">
        <v>-360</v>
      </c>
      <c r="AX252" s="19">
        <v>631</v>
      </c>
      <c r="AY252" s="19">
        <v>968</v>
      </c>
      <c r="AZ252" s="19">
        <v>968</v>
      </c>
      <c r="BA252" s="19">
        <v>445</v>
      </c>
      <c r="BB252" s="19">
        <v>986</v>
      </c>
      <c r="BC252" s="19">
        <v>1204</v>
      </c>
      <c r="BD252" s="19">
        <v>1093</v>
      </c>
      <c r="BE252" s="19">
        <v>1146</v>
      </c>
      <c r="BF252" s="19">
        <v>2552</v>
      </c>
      <c r="BG252" s="19">
        <v>3948</v>
      </c>
      <c r="BH252" s="19">
        <v>3946</v>
      </c>
      <c r="BI252" s="19">
        <v>4352</v>
      </c>
      <c r="BJ252" s="19">
        <v>4939</v>
      </c>
      <c r="BK252" s="19">
        <v>5745</v>
      </c>
      <c r="BL252" s="20">
        <v>5719</v>
      </c>
      <c r="BM252" s="19">
        <v>5719</v>
      </c>
      <c r="BN252" s="19">
        <v>5719</v>
      </c>
      <c r="BO252" s="19">
        <v>5719</v>
      </c>
      <c r="BP252" s="19">
        <v>5719</v>
      </c>
      <c r="BQ252" s="19">
        <v>5719</v>
      </c>
    </row>
    <row r="253" spans="1:69" ht="12" hidden="1" customHeight="1" outlineLevel="2">
      <c r="B253" s="1" t="s">
        <v>173</v>
      </c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20"/>
      <c r="AH253" s="19"/>
      <c r="AI253" s="19"/>
      <c r="AJ253" s="19"/>
      <c r="AK253" s="19"/>
      <c r="AL253" s="19"/>
      <c r="AM253" s="19"/>
      <c r="AN253" s="19"/>
      <c r="AO253" s="19"/>
      <c r="AP253" s="19"/>
      <c r="AQ253" s="19"/>
      <c r="AS253" s="19"/>
      <c r="AT253" s="19"/>
      <c r="AU253" s="19"/>
      <c r="AV253" s="19"/>
      <c r="AW253" s="19"/>
      <c r="AX253" s="19">
        <v>0</v>
      </c>
      <c r="AY253" s="19">
        <v>0</v>
      </c>
      <c r="AZ253" s="19">
        <v>0</v>
      </c>
      <c r="BA253" s="19">
        <v>0</v>
      </c>
      <c r="BB253" s="19">
        <v>0</v>
      </c>
      <c r="BC253" s="19">
        <v>0</v>
      </c>
      <c r="BD253" s="19">
        <v>0</v>
      </c>
      <c r="BE253" s="19">
        <v>0</v>
      </c>
      <c r="BF253" s="19">
        <v>0</v>
      </c>
      <c r="BG253" s="19">
        <v>0</v>
      </c>
      <c r="BH253" s="19">
        <v>0</v>
      </c>
      <c r="BI253" s="19">
        <v>0</v>
      </c>
      <c r="BJ253" s="19">
        <v>0</v>
      </c>
      <c r="BK253" s="19">
        <v>0</v>
      </c>
      <c r="BL253" s="20">
        <v>0</v>
      </c>
      <c r="BM253" s="19">
        <v>0</v>
      </c>
      <c r="BN253" s="19">
        <v>0</v>
      </c>
      <c r="BO253" s="19">
        <v>0</v>
      </c>
      <c r="BP253" s="19">
        <v>0</v>
      </c>
      <c r="BQ253" s="19">
        <v>0</v>
      </c>
    </row>
    <row r="254" spans="1:69" ht="12" hidden="1" customHeight="1" outlineLevel="2">
      <c r="B254" s="1" t="s">
        <v>173</v>
      </c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20"/>
      <c r="AH254" s="19"/>
      <c r="AI254" s="19"/>
      <c r="AJ254" s="19"/>
      <c r="AK254" s="19"/>
      <c r="AL254" s="19"/>
      <c r="AM254" s="19"/>
      <c r="AN254" s="19"/>
      <c r="AO254" s="19"/>
      <c r="AP254" s="19"/>
      <c r="AQ254" s="19"/>
      <c r="AS254" s="19"/>
      <c r="AT254" s="19"/>
      <c r="AU254" s="19"/>
      <c r="AV254" s="19"/>
      <c r="AW254" s="19"/>
      <c r="AX254" s="19">
        <v>0</v>
      </c>
      <c r="AY254" s="19">
        <v>0</v>
      </c>
      <c r="AZ254" s="19">
        <v>0</v>
      </c>
      <c r="BA254" s="19">
        <v>0</v>
      </c>
      <c r="BB254" s="19">
        <v>0</v>
      </c>
      <c r="BC254" s="19">
        <v>0</v>
      </c>
      <c r="BD254" s="19">
        <v>0</v>
      </c>
      <c r="BE254" s="19">
        <v>0</v>
      </c>
      <c r="BF254" s="19">
        <v>0</v>
      </c>
      <c r="BG254" s="19">
        <v>0</v>
      </c>
      <c r="BH254" s="19">
        <v>0</v>
      </c>
      <c r="BI254" s="19">
        <v>0</v>
      </c>
      <c r="BJ254" s="19">
        <v>0</v>
      </c>
      <c r="BK254" s="19">
        <v>0</v>
      </c>
      <c r="BL254" s="20">
        <v>0</v>
      </c>
      <c r="BM254" s="19">
        <v>0</v>
      </c>
      <c r="BN254" s="19">
        <v>0</v>
      </c>
      <c r="BO254" s="19">
        <v>0</v>
      </c>
      <c r="BP254" s="19">
        <v>0</v>
      </c>
      <c r="BQ254" s="19">
        <v>0</v>
      </c>
    </row>
    <row r="255" spans="1:69" ht="12" hidden="1" customHeight="1" outlineLevel="2">
      <c r="B255" s="1" t="s">
        <v>173</v>
      </c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20"/>
      <c r="AH255" s="19"/>
      <c r="AI255" s="19"/>
      <c r="AJ255" s="19"/>
      <c r="AK255" s="19"/>
      <c r="AL255" s="19"/>
      <c r="AM255" s="19"/>
      <c r="AN255" s="19"/>
      <c r="AO255" s="19"/>
      <c r="AP255" s="19"/>
      <c r="AQ255" s="19"/>
      <c r="AS255" s="19"/>
      <c r="AT255" s="19"/>
      <c r="AU255" s="19"/>
      <c r="AV255" s="19"/>
      <c r="AW255" s="19"/>
      <c r="AX255" s="19">
        <v>0</v>
      </c>
      <c r="AY255" s="19">
        <v>0</v>
      </c>
      <c r="AZ255" s="19">
        <v>0</v>
      </c>
      <c r="BA255" s="19">
        <v>0</v>
      </c>
      <c r="BB255" s="19">
        <v>0</v>
      </c>
      <c r="BC255" s="19">
        <v>0</v>
      </c>
      <c r="BD255" s="19">
        <v>0</v>
      </c>
      <c r="BE255" s="19">
        <v>0</v>
      </c>
      <c r="BF255" s="19">
        <v>0</v>
      </c>
      <c r="BG255" s="19">
        <v>0</v>
      </c>
      <c r="BH255" s="19">
        <v>0</v>
      </c>
      <c r="BI255" s="19">
        <v>0</v>
      </c>
      <c r="BJ255" s="19">
        <v>0</v>
      </c>
      <c r="BK255" s="19">
        <v>0</v>
      </c>
      <c r="BL255" s="20">
        <v>0</v>
      </c>
      <c r="BM255" s="19">
        <v>0</v>
      </c>
      <c r="BN255" s="19">
        <v>0</v>
      </c>
      <c r="BO255" s="19">
        <v>0</v>
      </c>
      <c r="BP255" s="19">
        <v>0</v>
      </c>
      <c r="BQ255" s="19">
        <v>0</v>
      </c>
    </row>
    <row r="256" spans="1:69" ht="12" hidden="1" customHeight="1" outlineLevel="2">
      <c r="B256" s="1" t="s">
        <v>173</v>
      </c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20"/>
      <c r="AH256" s="19"/>
      <c r="AI256" s="19"/>
      <c r="AJ256" s="19"/>
      <c r="AK256" s="19"/>
      <c r="AL256" s="19"/>
      <c r="AM256" s="19"/>
      <c r="AN256" s="19"/>
      <c r="AO256" s="19"/>
      <c r="AP256" s="19"/>
      <c r="AQ256" s="19"/>
      <c r="AS256" s="19"/>
      <c r="AT256" s="19"/>
      <c r="AU256" s="19"/>
      <c r="AV256" s="19"/>
      <c r="AW256" s="19"/>
      <c r="AX256" s="19">
        <v>0</v>
      </c>
      <c r="AY256" s="19">
        <v>0</v>
      </c>
      <c r="AZ256" s="19">
        <v>0</v>
      </c>
      <c r="BA256" s="19">
        <v>0</v>
      </c>
      <c r="BB256" s="19">
        <v>0</v>
      </c>
      <c r="BC256" s="19">
        <v>0</v>
      </c>
      <c r="BD256" s="19">
        <v>0</v>
      </c>
      <c r="BE256" s="19">
        <v>0</v>
      </c>
      <c r="BF256" s="19">
        <v>0</v>
      </c>
      <c r="BG256" s="19">
        <v>0</v>
      </c>
      <c r="BH256" s="19">
        <v>0</v>
      </c>
      <c r="BI256" s="19">
        <v>0</v>
      </c>
      <c r="BJ256" s="19">
        <v>0</v>
      </c>
      <c r="BK256" s="19">
        <v>0</v>
      </c>
      <c r="BL256" s="20">
        <v>0</v>
      </c>
      <c r="BM256" s="19">
        <v>0</v>
      </c>
      <c r="BN256" s="19">
        <v>0</v>
      </c>
      <c r="BO256" s="19">
        <v>0</v>
      </c>
      <c r="BP256" s="19">
        <v>0</v>
      </c>
      <c r="BQ256" s="19">
        <v>0</v>
      </c>
    </row>
    <row r="257" spans="2:69" s="1" customFormat="1" ht="12" hidden="1" customHeight="1" outlineLevel="2">
      <c r="B257" s="1" t="s">
        <v>173</v>
      </c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20"/>
      <c r="AH257" s="19"/>
      <c r="AI257" s="19"/>
      <c r="AJ257" s="19"/>
      <c r="AK257" s="19"/>
      <c r="AL257" s="19"/>
      <c r="AM257" s="19"/>
      <c r="AN257" s="19"/>
      <c r="AO257" s="19"/>
      <c r="AP257" s="19"/>
      <c r="AQ257" s="19"/>
      <c r="AS257" s="19"/>
      <c r="AT257" s="19"/>
      <c r="AU257" s="19"/>
      <c r="AV257" s="19"/>
      <c r="AW257" s="19"/>
      <c r="AX257" s="19">
        <v>0</v>
      </c>
      <c r="AY257" s="19">
        <v>0</v>
      </c>
      <c r="AZ257" s="19">
        <v>0</v>
      </c>
      <c r="BA257" s="19">
        <v>0</v>
      </c>
      <c r="BB257" s="19">
        <v>0</v>
      </c>
      <c r="BC257" s="19">
        <v>0</v>
      </c>
      <c r="BD257" s="19">
        <v>0</v>
      </c>
      <c r="BE257" s="19">
        <v>0</v>
      </c>
      <c r="BF257" s="19">
        <v>0</v>
      </c>
      <c r="BG257" s="19">
        <v>0</v>
      </c>
      <c r="BH257" s="19">
        <v>0</v>
      </c>
      <c r="BI257" s="19">
        <v>0</v>
      </c>
      <c r="BJ257" s="19">
        <v>0</v>
      </c>
      <c r="BK257" s="19">
        <v>0</v>
      </c>
      <c r="BL257" s="20">
        <v>0</v>
      </c>
      <c r="BM257" s="19">
        <v>0</v>
      </c>
      <c r="BN257" s="19">
        <v>0</v>
      </c>
      <c r="BO257" s="19">
        <v>0</v>
      </c>
      <c r="BP257" s="19">
        <v>0</v>
      </c>
      <c r="BQ257" s="19">
        <v>0</v>
      </c>
    </row>
    <row r="258" spans="2:69" s="1" customFormat="1" ht="12" hidden="1" customHeight="1" outlineLevel="2">
      <c r="B258" s="1" t="s">
        <v>173</v>
      </c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20"/>
      <c r="AH258" s="19"/>
      <c r="AI258" s="19"/>
      <c r="AJ258" s="19"/>
      <c r="AK258" s="19"/>
      <c r="AL258" s="19"/>
      <c r="AM258" s="19"/>
      <c r="AN258" s="19"/>
      <c r="AO258" s="19"/>
      <c r="AP258" s="19"/>
      <c r="AQ258" s="19"/>
      <c r="AS258" s="19"/>
      <c r="AT258" s="19"/>
      <c r="AU258" s="19"/>
      <c r="AV258" s="19"/>
      <c r="AW258" s="19"/>
      <c r="AX258" s="19">
        <v>0</v>
      </c>
      <c r="AY258" s="19">
        <v>0</v>
      </c>
      <c r="AZ258" s="19">
        <v>0</v>
      </c>
      <c r="BA258" s="19">
        <v>0</v>
      </c>
      <c r="BB258" s="19">
        <v>0</v>
      </c>
      <c r="BC258" s="19">
        <v>0</v>
      </c>
      <c r="BD258" s="19">
        <v>0</v>
      </c>
      <c r="BE258" s="19">
        <v>0</v>
      </c>
      <c r="BF258" s="19">
        <v>0</v>
      </c>
      <c r="BG258" s="19">
        <v>0</v>
      </c>
      <c r="BH258" s="19">
        <v>0</v>
      </c>
      <c r="BI258" s="19">
        <v>0</v>
      </c>
      <c r="BJ258" s="19">
        <v>0</v>
      </c>
      <c r="BK258" s="19">
        <v>0</v>
      </c>
      <c r="BL258" s="20">
        <v>0</v>
      </c>
      <c r="BM258" s="19">
        <v>0</v>
      </c>
      <c r="BN258" s="19">
        <v>0</v>
      </c>
      <c r="BO258" s="19">
        <v>0</v>
      </c>
      <c r="BP258" s="19">
        <v>0</v>
      </c>
      <c r="BQ258" s="19">
        <v>0</v>
      </c>
    </row>
    <row r="259" spans="2:69" s="1" customFormat="1" ht="12" hidden="1" customHeight="1" outlineLevel="2">
      <c r="B259" s="1" t="s">
        <v>173</v>
      </c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20"/>
      <c r="AH259" s="19"/>
      <c r="AI259" s="19"/>
      <c r="AJ259" s="19"/>
      <c r="AK259" s="19"/>
      <c r="AL259" s="19"/>
      <c r="AM259" s="19"/>
      <c r="AN259" s="19"/>
      <c r="AO259" s="19"/>
      <c r="AP259" s="19"/>
      <c r="AQ259" s="19"/>
      <c r="AS259" s="19"/>
      <c r="AT259" s="19"/>
      <c r="AU259" s="19"/>
      <c r="AV259" s="19"/>
      <c r="AW259" s="19"/>
      <c r="AX259" s="19">
        <v>0</v>
      </c>
      <c r="AY259" s="19">
        <v>0</v>
      </c>
      <c r="AZ259" s="19">
        <v>0</v>
      </c>
      <c r="BA259" s="19">
        <v>0</v>
      </c>
      <c r="BB259" s="19">
        <v>0</v>
      </c>
      <c r="BC259" s="19">
        <v>0</v>
      </c>
      <c r="BD259" s="19">
        <v>0</v>
      </c>
      <c r="BE259" s="19">
        <v>0</v>
      </c>
      <c r="BF259" s="19">
        <v>0</v>
      </c>
      <c r="BG259" s="19">
        <v>0</v>
      </c>
      <c r="BH259" s="19">
        <v>0</v>
      </c>
      <c r="BI259" s="19">
        <v>0</v>
      </c>
      <c r="BJ259" s="19">
        <v>0</v>
      </c>
      <c r="BK259" s="19">
        <v>0</v>
      </c>
      <c r="BL259" s="20">
        <v>0</v>
      </c>
      <c r="BM259" s="19">
        <v>0</v>
      </c>
      <c r="BN259" s="19">
        <v>0</v>
      </c>
      <c r="BO259" s="19">
        <v>0</v>
      </c>
      <c r="BP259" s="19">
        <v>0</v>
      </c>
      <c r="BQ259" s="19">
        <v>0</v>
      </c>
    </row>
    <row r="260" spans="2:69" s="1" customFormat="1" ht="12" hidden="1" customHeight="1" outlineLevel="2">
      <c r="B260" s="1" t="s">
        <v>173</v>
      </c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20"/>
      <c r="AH260" s="19"/>
      <c r="AI260" s="19"/>
      <c r="AJ260" s="19"/>
      <c r="AK260" s="19"/>
      <c r="AL260" s="19"/>
      <c r="AM260" s="19"/>
      <c r="AN260" s="19"/>
      <c r="AO260" s="19"/>
      <c r="AP260" s="19"/>
      <c r="AQ260" s="19"/>
      <c r="AS260" s="19"/>
      <c r="AT260" s="19"/>
      <c r="AU260" s="19"/>
      <c r="AV260" s="19"/>
      <c r="AW260" s="19"/>
      <c r="AX260" s="19">
        <v>0</v>
      </c>
      <c r="AY260" s="19">
        <v>0</v>
      </c>
      <c r="AZ260" s="19">
        <v>0</v>
      </c>
      <c r="BA260" s="19">
        <v>0</v>
      </c>
      <c r="BB260" s="19">
        <v>0</v>
      </c>
      <c r="BC260" s="19">
        <v>0</v>
      </c>
      <c r="BD260" s="19">
        <v>0</v>
      </c>
      <c r="BE260" s="19">
        <v>0</v>
      </c>
      <c r="BF260" s="19">
        <v>0</v>
      </c>
      <c r="BG260" s="19">
        <v>0</v>
      </c>
      <c r="BH260" s="19">
        <v>0</v>
      </c>
      <c r="BI260" s="19">
        <v>0</v>
      </c>
      <c r="BJ260" s="19">
        <v>0</v>
      </c>
      <c r="BK260" s="19">
        <v>0</v>
      </c>
      <c r="BL260" s="20">
        <v>0</v>
      </c>
      <c r="BM260" s="19">
        <v>0</v>
      </c>
      <c r="BN260" s="19">
        <v>0</v>
      </c>
      <c r="BO260" s="19">
        <v>0</v>
      </c>
      <c r="BP260" s="19">
        <v>0</v>
      </c>
      <c r="BQ260" s="19">
        <v>0</v>
      </c>
    </row>
    <row r="261" spans="2:69" s="1" customFormat="1" ht="12" hidden="1" customHeight="1" outlineLevel="2">
      <c r="B261" s="1" t="s">
        <v>173</v>
      </c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20"/>
      <c r="AH261" s="19"/>
      <c r="AI261" s="19"/>
      <c r="AJ261" s="19"/>
      <c r="AK261" s="19"/>
      <c r="AL261" s="19"/>
      <c r="AM261" s="19"/>
      <c r="AN261" s="19"/>
      <c r="AO261" s="19"/>
      <c r="AP261" s="19"/>
      <c r="AQ261" s="19"/>
      <c r="AS261" s="19"/>
      <c r="AT261" s="19"/>
      <c r="AU261" s="19"/>
      <c r="AV261" s="19"/>
      <c r="AW261" s="19"/>
      <c r="AX261" s="19">
        <v>0</v>
      </c>
      <c r="AY261" s="19">
        <v>0</v>
      </c>
      <c r="AZ261" s="19">
        <v>0</v>
      </c>
      <c r="BA261" s="19">
        <v>0</v>
      </c>
      <c r="BB261" s="19">
        <v>0</v>
      </c>
      <c r="BC261" s="19">
        <v>0</v>
      </c>
      <c r="BD261" s="19">
        <v>0</v>
      </c>
      <c r="BE261" s="19">
        <v>0</v>
      </c>
      <c r="BF261" s="19">
        <v>0</v>
      </c>
      <c r="BG261" s="19">
        <v>0</v>
      </c>
      <c r="BH261" s="19">
        <v>0</v>
      </c>
      <c r="BI261" s="19">
        <v>0</v>
      </c>
      <c r="BJ261" s="19">
        <v>0</v>
      </c>
      <c r="BK261" s="19">
        <v>0</v>
      </c>
      <c r="BL261" s="20">
        <v>0</v>
      </c>
      <c r="BM261" s="19">
        <v>0</v>
      </c>
      <c r="BN261" s="19">
        <v>0</v>
      </c>
      <c r="BO261" s="19">
        <v>0</v>
      </c>
      <c r="BP261" s="19">
        <v>0</v>
      </c>
      <c r="BQ261" s="19">
        <v>0</v>
      </c>
    </row>
    <row r="262" spans="2:69" s="1" customFormat="1" ht="12" hidden="1" customHeight="1" outlineLevel="2">
      <c r="B262" s="1" t="s">
        <v>173</v>
      </c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20"/>
      <c r="AH262" s="19"/>
      <c r="AI262" s="19"/>
      <c r="AJ262" s="19"/>
      <c r="AK262" s="19"/>
      <c r="AL262" s="19"/>
      <c r="AM262" s="19"/>
      <c r="AN262" s="19"/>
      <c r="AO262" s="19"/>
      <c r="AP262" s="19"/>
      <c r="AQ262" s="19"/>
      <c r="AS262" s="19"/>
      <c r="AT262" s="19"/>
      <c r="AU262" s="19"/>
      <c r="AV262" s="19"/>
      <c r="AW262" s="19"/>
      <c r="AX262" s="19">
        <v>0</v>
      </c>
      <c r="AY262" s="19">
        <v>0</v>
      </c>
      <c r="AZ262" s="19">
        <v>0</v>
      </c>
      <c r="BA262" s="19">
        <v>0</v>
      </c>
      <c r="BB262" s="19">
        <v>0</v>
      </c>
      <c r="BC262" s="19">
        <v>0</v>
      </c>
      <c r="BD262" s="19">
        <v>0</v>
      </c>
      <c r="BE262" s="19">
        <v>0</v>
      </c>
      <c r="BF262" s="19">
        <v>0</v>
      </c>
      <c r="BG262" s="19">
        <v>0</v>
      </c>
      <c r="BH262" s="19">
        <v>0</v>
      </c>
      <c r="BI262" s="19">
        <v>0</v>
      </c>
      <c r="BJ262" s="19">
        <v>0</v>
      </c>
      <c r="BK262" s="19">
        <v>0</v>
      </c>
      <c r="BL262" s="20">
        <v>0</v>
      </c>
      <c r="BM262" s="19">
        <v>0</v>
      </c>
      <c r="BN262" s="19">
        <v>0</v>
      </c>
      <c r="BO262" s="19">
        <v>0</v>
      </c>
      <c r="BP262" s="19">
        <v>0</v>
      </c>
      <c r="BQ262" s="19">
        <v>0</v>
      </c>
    </row>
    <row r="263" spans="2:69" s="1" customFormat="1" ht="12" customHeight="1" outlineLevel="1" collapsed="1">
      <c r="B263" s="9" t="s">
        <v>184</v>
      </c>
      <c r="C263" s="17"/>
      <c r="D263" s="17">
        <v>12280</v>
      </c>
      <c r="E263" s="17">
        <v>13631</v>
      </c>
      <c r="F263" s="17">
        <v>13307</v>
      </c>
      <c r="G263" s="17">
        <v>13368</v>
      </c>
      <c r="H263" s="17">
        <v>10936</v>
      </c>
      <c r="I263" s="17">
        <v>9268</v>
      </c>
      <c r="J263" s="17">
        <v>9701</v>
      </c>
      <c r="K263" s="17">
        <v>10445</v>
      </c>
      <c r="L263" s="17">
        <v>11281</v>
      </c>
      <c r="M263" s="17">
        <v>11786</v>
      </c>
      <c r="N263" s="17">
        <v>10384</v>
      </c>
      <c r="O263" s="17">
        <v>12904</v>
      </c>
      <c r="P263" s="17">
        <v>14183</v>
      </c>
      <c r="Q263" s="17">
        <v>13393</v>
      </c>
      <c r="R263" s="17">
        <v>12488</v>
      </c>
      <c r="S263" s="17">
        <v>12846</v>
      </c>
      <c r="T263" s="17">
        <v>12852</v>
      </c>
      <c r="U263" s="17">
        <v>21952</v>
      </c>
      <c r="V263" s="17">
        <v>24149</v>
      </c>
      <c r="W263" s="17">
        <v>34548</v>
      </c>
      <c r="X263" s="17">
        <v>30192</v>
      </c>
      <c r="Y263" s="17">
        <v>32446</v>
      </c>
      <c r="Z263" s="17">
        <v>27392</v>
      </c>
      <c r="AA263" s="17">
        <v>26752</v>
      </c>
      <c r="AB263" s="17">
        <v>33936</v>
      </c>
      <c r="AC263" s="17">
        <v>41539</v>
      </c>
      <c r="AD263" s="17">
        <v>51763</v>
      </c>
      <c r="AE263" s="17">
        <v>50245</v>
      </c>
      <c r="AF263" s="17">
        <v>52549</v>
      </c>
      <c r="AG263" s="18">
        <v>54019</v>
      </c>
      <c r="AH263" s="17">
        <v>56021.119399016228</v>
      </c>
      <c r="AI263" s="17">
        <v>57943.600241140412</v>
      </c>
      <c r="AJ263" s="17">
        <v>59121.451959507249</v>
      </c>
      <c r="AK263" s="17">
        <v>60191.5935628882</v>
      </c>
      <c r="AL263" s="17">
        <v>61464.094581001438</v>
      </c>
      <c r="AM263" s="17">
        <v>62562.957056116313</v>
      </c>
      <c r="AN263" s="17">
        <v>63895.670670569358</v>
      </c>
      <c r="AO263" s="17">
        <v>65051.725394837333</v>
      </c>
      <c r="AP263" s="17">
        <v>66449.461966441188</v>
      </c>
      <c r="AQ263" s="17">
        <v>67663.067103072593</v>
      </c>
      <c r="AS263" s="17"/>
      <c r="AT263" s="17"/>
      <c r="AU263" s="17"/>
      <c r="AV263" s="17">
        <v>15939</v>
      </c>
      <c r="AW263" s="17">
        <v>12640</v>
      </c>
      <c r="AX263" s="17">
        <v>13631</v>
      </c>
      <c r="AY263" s="17">
        <v>13368</v>
      </c>
      <c r="AZ263" s="17">
        <v>9268</v>
      </c>
      <c r="BA263" s="17">
        <v>10445</v>
      </c>
      <c r="BB263" s="17">
        <v>11786</v>
      </c>
      <c r="BC263" s="17">
        <v>12904</v>
      </c>
      <c r="BD263" s="17">
        <v>13393</v>
      </c>
      <c r="BE263" s="17">
        <v>12846</v>
      </c>
      <c r="BF263" s="17">
        <v>21952</v>
      </c>
      <c r="BG263" s="17">
        <v>34548</v>
      </c>
      <c r="BH263" s="17">
        <v>32446</v>
      </c>
      <c r="BI263" s="17">
        <v>26752</v>
      </c>
      <c r="BJ263" s="17">
        <v>41539</v>
      </c>
      <c r="BK263" s="17">
        <v>50245</v>
      </c>
      <c r="BL263" s="18">
        <v>54019</v>
      </c>
      <c r="BM263" s="17">
        <v>57943.600241140433</v>
      </c>
      <c r="BN263" s="17">
        <v>60191.593562888171</v>
      </c>
      <c r="BO263" s="17">
        <v>62562.957056116276</v>
      </c>
      <c r="BP263" s="17">
        <v>65051.725394837369</v>
      </c>
      <c r="BQ263" s="17">
        <v>67663.067103072623</v>
      </c>
    </row>
    <row r="264" spans="2:69" s="1" customFormat="1" ht="12" customHeight="1" outlineLevel="1"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20"/>
      <c r="AH264" s="19"/>
      <c r="AI264" s="19"/>
      <c r="AJ264" s="19"/>
      <c r="AK264" s="19"/>
      <c r="AL264" s="19"/>
      <c r="AM264" s="19"/>
      <c r="AN264" s="19"/>
      <c r="AO264" s="19"/>
      <c r="AP264" s="19"/>
      <c r="AQ264" s="19"/>
      <c r="AS264" s="19"/>
      <c r="AT264" s="19"/>
      <c r="AU264" s="19"/>
      <c r="AV264" s="19"/>
      <c r="AW264" s="19"/>
      <c r="BL264" s="15"/>
    </row>
    <row r="265" spans="2:69" s="1" customFormat="1" ht="12" customHeight="1" outlineLevel="1">
      <c r="B265" s="1" t="s">
        <v>185</v>
      </c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20"/>
      <c r="AH265" s="19"/>
      <c r="AI265" s="19"/>
      <c r="AJ265" s="19"/>
      <c r="AK265" s="19"/>
      <c r="AL265" s="19"/>
      <c r="AM265" s="19"/>
      <c r="AN265" s="19"/>
      <c r="AO265" s="19"/>
      <c r="AP265" s="19"/>
      <c r="AQ265" s="19"/>
      <c r="AS265" s="19"/>
      <c r="AT265" s="19"/>
      <c r="AU265" s="19"/>
      <c r="AV265" s="19"/>
      <c r="AW265" s="19"/>
      <c r="AX265" s="19"/>
      <c r="AY265" s="19"/>
      <c r="AZ265" s="19"/>
      <c r="BA265" s="19"/>
      <c r="BB265" s="19"/>
      <c r="BC265" s="19"/>
      <c r="BD265" s="19"/>
      <c r="BE265" s="19"/>
      <c r="BF265" s="19"/>
      <c r="BG265" s="19"/>
      <c r="BH265" s="19"/>
      <c r="BI265" s="19"/>
      <c r="BJ265" s="19"/>
      <c r="BL265" s="15"/>
    </row>
    <row r="266" spans="2:69" s="1" customFormat="1" ht="12" customHeight="1" outlineLevel="1">
      <c r="B266" s="1" t="s">
        <v>186</v>
      </c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20"/>
      <c r="AH266" s="19"/>
      <c r="AI266" s="19"/>
      <c r="AJ266" s="19"/>
      <c r="AK266" s="19"/>
      <c r="AL266" s="19"/>
      <c r="AM266" s="19"/>
      <c r="AN266" s="19"/>
      <c r="AO266" s="19"/>
      <c r="AP266" s="19"/>
      <c r="AQ266" s="19"/>
      <c r="AS266" s="19"/>
      <c r="AT266" s="19"/>
      <c r="AU266" s="19"/>
      <c r="AV266" s="19"/>
      <c r="AW266" s="19"/>
      <c r="AX266" s="19"/>
      <c r="AY266" s="19"/>
      <c r="AZ266" s="19"/>
      <c r="BA266" s="19"/>
      <c r="BB266" s="19"/>
      <c r="BC266" s="19"/>
      <c r="BD266" s="19"/>
      <c r="BE266" s="19"/>
      <c r="BF266" s="19"/>
      <c r="BG266" s="19"/>
      <c r="BH266" s="19"/>
      <c r="BI266" s="19"/>
      <c r="BJ266" s="19"/>
      <c r="BL266" s="15"/>
    </row>
    <row r="267" spans="2:69" s="1" customFormat="1" ht="12" customHeight="1" outlineLevel="1">
      <c r="B267" s="1" t="s">
        <v>187</v>
      </c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20"/>
      <c r="AH267" s="19"/>
      <c r="AI267" s="19"/>
      <c r="AJ267" s="19"/>
      <c r="AK267" s="19"/>
      <c r="AL267" s="19"/>
      <c r="AM267" s="19"/>
      <c r="AN267" s="19"/>
      <c r="AO267" s="19"/>
      <c r="AP267" s="19"/>
      <c r="AQ267" s="19"/>
      <c r="AS267" s="19"/>
      <c r="AT267" s="19"/>
      <c r="AU267" s="19"/>
      <c r="AV267" s="19"/>
      <c r="AW267" s="19"/>
      <c r="AX267" s="19"/>
      <c r="AY267" s="19"/>
      <c r="AZ267" s="19"/>
      <c r="BA267" s="19"/>
      <c r="BB267" s="19"/>
      <c r="BC267" s="19"/>
      <c r="BD267" s="19"/>
      <c r="BE267" s="19"/>
      <c r="BF267" s="19"/>
      <c r="BG267" s="19"/>
      <c r="BH267" s="19"/>
      <c r="BI267" s="19"/>
      <c r="BJ267" s="19"/>
      <c r="BL267" s="15"/>
    </row>
    <row r="268" spans="2:69" s="1" customFormat="1" ht="12" customHeight="1" outlineLevel="1">
      <c r="B268" s="1" t="s">
        <v>188</v>
      </c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20"/>
      <c r="AH268" s="19"/>
      <c r="AI268" s="19"/>
      <c r="AJ268" s="19"/>
      <c r="AK268" s="19"/>
      <c r="AL268" s="19"/>
      <c r="AM268" s="19"/>
      <c r="AN268" s="19"/>
      <c r="AO268" s="19"/>
      <c r="AP268" s="19"/>
      <c r="AQ268" s="19"/>
      <c r="AS268" s="19"/>
      <c r="AT268" s="19"/>
      <c r="AU268" s="19"/>
      <c r="AV268" s="19"/>
      <c r="AW268" s="19"/>
      <c r="AX268" s="19"/>
      <c r="AY268" s="19"/>
      <c r="AZ268" s="19"/>
      <c r="BA268" s="19"/>
      <c r="BB268" s="19"/>
      <c r="BC268" s="19"/>
      <c r="BD268" s="19"/>
      <c r="BE268" s="19"/>
      <c r="BF268" s="19"/>
      <c r="BG268" s="19"/>
      <c r="BH268" s="19"/>
      <c r="BI268" s="19"/>
      <c r="BJ268" s="19"/>
      <c r="BL268" s="15"/>
    </row>
    <row r="269" spans="2:69" s="1" customFormat="1" ht="12" customHeight="1" outlineLevel="1">
      <c r="B269" s="1" t="s">
        <v>189</v>
      </c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20"/>
      <c r="AH269" s="19"/>
      <c r="AI269" s="19"/>
      <c r="AJ269" s="19"/>
      <c r="AK269" s="19"/>
      <c r="AL269" s="19"/>
      <c r="AM269" s="19"/>
      <c r="AN269" s="19"/>
      <c r="AO269" s="19"/>
      <c r="AP269" s="19"/>
      <c r="AQ269" s="19"/>
      <c r="AS269" s="19"/>
      <c r="AT269" s="19"/>
      <c r="AU269" s="19"/>
      <c r="AV269" s="19"/>
      <c r="AW269" s="19"/>
      <c r="AX269" s="19"/>
      <c r="AY269" s="19"/>
      <c r="AZ269" s="19"/>
      <c r="BA269" s="19"/>
      <c r="BB269" s="19"/>
      <c r="BC269" s="19"/>
      <c r="BD269" s="19"/>
      <c r="BE269" s="19"/>
      <c r="BF269" s="19"/>
      <c r="BG269" s="19"/>
      <c r="BH269" s="19"/>
      <c r="BI269" s="19"/>
      <c r="BJ269" s="19"/>
      <c r="BL269" s="15"/>
    </row>
    <row r="270" spans="2:69" s="1" customFormat="1" ht="12" customHeight="1" outlineLevel="1">
      <c r="B270" s="1" t="s">
        <v>190</v>
      </c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20"/>
      <c r="AH270" s="19"/>
      <c r="AI270" s="19"/>
      <c r="AJ270" s="19"/>
      <c r="AK270" s="19"/>
      <c r="AL270" s="19"/>
      <c r="AM270" s="19"/>
      <c r="AN270" s="19"/>
      <c r="AO270" s="19"/>
      <c r="AP270" s="19"/>
      <c r="AQ270" s="19"/>
      <c r="AS270" s="19"/>
      <c r="AT270" s="19"/>
      <c r="AU270" s="19"/>
      <c r="AV270" s="19"/>
      <c r="AW270" s="19"/>
      <c r="AX270" s="19"/>
      <c r="AY270" s="19"/>
      <c r="AZ270" s="19"/>
      <c r="BA270" s="19"/>
      <c r="BB270" s="19"/>
      <c r="BC270" s="19"/>
      <c r="BD270" s="19"/>
      <c r="BE270" s="19"/>
      <c r="BF270" s="19"/>
      <c r="BG270" s="19"/>
      <c r="BH270" s="19"/>
      <c r="BI270" s="19"/>
      <c r="BJ270" s="19"/>
      <c r="BL270" s="15"/>
    </row>
    <row r="271" spans="2:69" s="1" customFormat="1" ht="12" customHeight="1" outlineLevel="1">
      <c r="B271" s="9" t="s">
        <v>191</v>
      </c>
      <c r="C271" s="17"/>
      <c r="D271" s="17">
        <v>4420</v>
      </c>
      <c r="E271" s="17">
        <v>3269</v>
      </c>
      <c r="F271" s="17">
        <v>2893</v>
      </c>
      <c r="G271" s="17">
        <v>2832</v>
      </c>
      <c r="H271" s="17">
        <v>2364</v>
      </c>
      <c r="I271" s="17">
        <v>2532</v>
      </c>
      <c r="J271" s="17">
        <v>2799</v>
      </c>
      <c r="K271" s="17">
        <v>3255</v>
      </c>
      <c r="L271" s="17">
        <v>3319</v>
      </c>
      <c r="M271" s="17">
        <v>2414</v>
      </c>
      <c r="N271" s="17">
        <v>2816</v>
      </c>
      <c r="O271" s="17">
        <v>2796</v>
      </c>
      <c r="P271" s="17">
        <v>3317</v>
      </c>
      <c r="Q271" s="17">
        <v>2807</v>
      </c>
      <c r="R271" s="17">
        <v>2812</v>
      </c>
      <c r="S271" s="17">
        <v>3354</v>
      </c>
      <c r="T271" s="17">
        <v>3148</v>
      </c>
      <c r="U271" s="17">
        <v>2148</v>
      </c>
      <c r="V271" s="17">
        <v>2451</v>
      </c>
      <c r="W271" s="17">
        <v>5352</v>
      </c>
      <c r="X271" s="17">
        <v>6008</v>
      </c>
      <c r="Y271" s="17">
        <v>5654</v>
      </c>
      <c r="Z271" s="17">
        <v>4808</v>
      </c>
      <c r="AA271" s="17">
        <v>6248</v>
      </c>
      <c r="AB271" s="17">
        <v>5664</v>
      </c>
      <c r="AC271" s="17">
        <v>8261</v>
      </c>
      <c r="AD271" s="17">
        <v>8237</v>
      </c>
      <c r="AE271" s="17">
        <v>10455</v>
      </c>
      <c r="AF271" s="17">
        <v>10151</v>
      </c>
      <c r="AG271" s="18">
        <v>9681</v>
      </c>
      <c r="AH271" s="17">
        <v>9627.1202704052885</v>
      </c>
      <c r="AI271" s="17">
        <v>9732.6272795207151</v>
      </c>
      <c r="AJ271" s="17">
        <v>9912.5971363605531</v>
      </c>
      <c r="AK271" s="17">
        <v>10234.282097438274</v>
      </c>
      <c r="AL271" s="17">
        <v>10388.494860995848</v>
      </c>
      <c r="AM271" s="17">
        <v>10752.138934717012</v>
      </c>
      <c r="AN271" s="17">
        <v>10918.654132282278</v>
      </c>
      <c r="AO271" s="17">
        <v>11299.504566229225</v>
      </c>
      <c r="AP271" s="17">
        <v>11477.328827303889</v>
      </c>
      <c r="AQ271" s="17">
        <v>11878.945447384915</v>
      </c>
      <c r="AS271" s="17"/>
      <c r="AT271" s="17"/>
      <c r="AU271" s="17"/>
      <c r="AV271" s="17">
        <v>3661</v>
      </c>
      <c r="AW271" s="17">
        <v>3160</v>
      </c>
      <c r="AX271" s="17">
        <v>3269</v>
      </c>
      <c r="AY271" s="17">
        <v>2832</v>
      </c>
      <c r="AZ271" s="17">
        <v>2532</v>
      </c>
      <c r="BA271" s="17">
        <v>3255</v>
      </c>
      <c r="BB271" s="17">
        <v>2414</v>
      </c>
      <c r="BC271" s="17">
        <v>2796</v>
      </c>
      <c r="BD271" s="17">
        <v>2807</v>
      </c>
      <c r="BE271" s="17">
        <v>3354</v>
      </c>
      <c r="BF271" s="17">
        <v>2148</v>
      </c>
      <c r="BG271" s="17">
        <v>5352</v>
      </c>
      <c r="BH271" s="17">
        <v>5654</v>
      </c>
      <c r="BI271" s="17">
        <v>6248</v>
      </c>
      <c r="BJ271" s="17">
        <v>8261</v>
      </c>
      <c r="BK271" s="17">
        <v>10455</v>
      </c>
      <c r="BL271" s="18">
        <v>9681</v>
      </c>
      <c r="BM271" s="17">
        <v>9732.6272795207151</v>
      </c>
      <c r="BN271" s="17">
        <v>10234.282097438274</v>
      </c>
      <c r="BO271" s="17">
        <v>10752.138934717012</v>
      </c>
      <c r="BP271" s="17">
        <v>11299.504566229225</v>
      </c>
      <c r="BQ271" s="17">
        <v>11878.945447384915</v>
      </c>
    </row>
    <row r="272" spans="2:69" s="1" customFormat="1" ht="12" customHeight="1" outlineLevel="1">
      <c r="AG272" s="15"/>
      <c r="BL272" s="15"/>
    </row>
    <row r="273" spans="1:69" ht="12" customHeight="1" outlineLevel="1">
      <c r="B273" s="3" t="s">
        <v>247</v>
      </c>
      <c r="C273" s="96" t="s">
        <v>622</v>
      </c>
      <c r="D273" s="96" t="s">
        <v>622</v>
      </c>
      <c r="E273" s="96" t="s">
        <v>622</v>
      </c>
      <c r="F273" s="96" t="s">
        <v>622</v>
      </c>
      <c r="G273" s="96" t="s">
        <v>622</v>
      </c>
      <c r="H273" s="96" t="s">
        <v>622</v>
      </c>
      <c r="I273" s="96" t="s">
        <v>622</v>
      </c>
      <c r="J273" s="96" t="s">
        <v>622</v>
      </c>
      <c r="K273" s="100" t="s">
        <v>622</v>
      </c>
      <c r="L273" s="100" t="s">
        <v>622</v>
      </c>
      <c r="M273" s="100" t="s">
        <v>622</v>
      </c>
      <c r="N273" s="100" t="s">
        <v>622</v>
      </c>
      <c r="O273" s="100" t="s">
        <v>622</v>
      </c>
      <c r="P273" s="100" t="s">
        <v>622</v>
      </c>
      <c r="Q273" s="100" t="s">
        <v>622</v>
      </c>
      <c r="R273" s="100" t="s">
        <v>622</v>
      </c>
      <c r="S273" s="100" t="s">
        <v>622</v>
      </c>
      <c r="T273" s="100" t="s">
        <v>622</v>
      </c>
      <c r="U273" s="100" t="s">
        <v>622</v>
      </c>
      <c r="V273" s="100" t="s">
        <v>622</v>
      </c>
      <c r="W273" s="100" t="s">
        <v>622</v>
      </c>
      <c r="X273" s="100" t="s">
        <v>622</v>
      </c>
      <c r="Y273" s="100" t="s">
        <v>622</v>
      </c>
      <c r="Z273" s="100" t="s">
        <v>622</v>
      </c>
      <c r="AA273" s="100" t="s">
        <v>622</v>
      </c>
      <c r="AB273" s="100" t="s">
        <v>622</v>
      </c>
      <c r="AC273" s="100" t="s">
        <v>622</v>
      </c>
      <c r="AD273" s="100" t="s">
        <v>622</v>
      </c>
      <c r="AE273" s="100" t="s">
        <v>622</v>
      </c>
      <c r="AF273" s="100" t="s">
        <v>622</v>
      </c>
      <c r="AG273" s="97" t="s">
        <v>622</v>
      </c>
      <c r="AH273" s="96" t="s">
        <v>622</v>
      </c>
      <c r="AI273" s="96" t="s">
        <v>622</v>
      </c>
      <c r="AJ273" s="96" t="s">
        <v>622</v>
      </c>
      <c r="AK273" s="96" t="s">
        <v>622</v>
      </c>
      <c r="AL273" s="96" t="s">
        <v>622</v>
      </c>
      <c r="AM273" s="96" t="s">
        <v>622</v>
      </c>
      <c r="AN273" s="96" t="s">
        <v>622</v>
      </c>
      <c r="AO273" s="96" t="s">
        <v>622</v>
      </c>
      <c r="AP273" s="96" t="s">
        <v>622</v>
      </c>
      <c r="AQ273" s="96" t="s">
        <v>622</v>
      </c>
      <c r="AS273" s="96" t="s">
        <v>622</v>
      </c>
      <c r="AT273" s="96" t="s">
        <v>622</v>
      </c>
      <c r="AU273" s="96" t="s">
        <v>622</v>
      </c>
      <c r="AV273" s="96" t="s">
        <v>622</v>
      </c>
      <c r="AW273" s="96" t="s">
        <v>622</v>
      </c>
      <c r="AX273" s="100" t="s">
        <v>622</v>
      </c>
      <c r="AY273" s="100" t="s">
        <v>622</v>
      </c>
      <c r="AZ273" s="100" t="s">
        <v>622</v>
      </c>
      <c r="BA273" s="100" t="s">
        <v>622</v>
      </c>
      <c r="BB273" s="100" t="s">
        <v>622</v>
      </c>
      <c r="BC273" s="100" t="s">
        <v>622</v>
      </c>
      <c r="BD273" s="100" t="s">
        <v>622</v>
      </c>
      <c r="BE273" s="100" t="s">
        <v>622</v>
      </c>
      <c r="BF273" s="100" t="s">
        <v>622</v>
      </c>
      <c r="BG273" s="100" t="s">
        <v>622</v>
      </c>
      <c r="BH273" s="100" t="s">
        <v>622</v>
      </c>
      <c r="BI273" s="100" t="s">
        <v>622</v>
      </c>
      <c r="BJ273" s="100" t="s">
        <v>622</v>
      </c>
      <c r="BK273" s="100" t="s">
        <v>622</v>
      </c>
      <c r="BL273" s="97" t="s">
        <v>622</v>
      </c>
      <c r="BM273" s="100" t="s">
        <v>622</v>
      </c>
      <c r="BN273" s="100" t="s">
        <v>622</v>
      </c>
      <c r="BO273" s="100" t="s">
        <v>622</v>
      </c>
      <c r="BP273" s="100" t="s">
        <v>622</v>
      </c>
      <c r="BQ273" s="100" t="s">
        <v>622</v>
      </c>
    </row>
    <row r="274" spans="1:69" ht="12" customHeight="1">
      <c r="C274" s="19"/>
      <c r="D274" s="19"/>
      <c r="AH274" s="19"/>
      <c r="AI274" s="19"/>
      <c r="AJ274" s="19"/>
      <c r="AK274" s="19"/>
      <c r="AL274" s="19"/>
      <c r="AM274" s="19"/>
      <c r="AN274" s="19"/>
      <c r="AO274" s="19"/>
      <c r="AP274" s="19"/>
      <c r="AQ274" s="19"/>
      <c r="AS274" s="19"/>
      <c r="AT274" s="19"/>
      <c r="AU274" s="19"/>
      <c r="AV274" s="19"/>
      <c r="AW274" s="19"/>
    </row>
    <row r="275" spans="1:69" s="9" customFormat="1" ht="12" customHeight="1">
      <c r="A275" s="91" t="s">
        <v>583</v>
      </c>
      <c r="B275" s="2" t="s">
        <v>194</v>
      </c>
      <c r="C275" s="2"/>
      <c r="D275" s="93">
        <v>9093</v>
      </c>
      <c r="E275" s="93">
        <v>8885</v>
      </c>
      <c r="F275" s="93">
        <v>8473</v>
      </c>
      <c r="G275" s="93">
        <v>9047</v>
      </c>
      <c r="H275" s="93">
        <v>9655</v>
      </c>
      <c r="I275" s="93">
        <v>8989</v>
      </c>
      <c r="J275" s="93">
        <v>9103</v>
      </c>
      <c r="K275" s="93">
        <v>9665</v>
      </c>
      <c r="L275" s="93">
        <v>10196</v>
      </c>
      <c r="M275" s="93">
        <v>9515</v>
      </c>
      <c r="N275" s="93">
        <v>9692</v>
      </c>
      <c r="O275" s="93">
        <v>12195</v>
      </c>
      <c r="P275" s="93">
        <v>13312</v>
      </c>
      <c r="Q275" s="93">
        <v>13859</v>
      </c>
      <c r="R275" s="93">
        <v>13622</v>
      </c>
      <c r="S275" s="93">
        <v>14439</v>
      </c>
      <c r="T275" s="93">
        <v>14202</v>
      </c>
      <c r="U275" s="93">
        <v>14954</v>
      </c>
      <c r="V275" s="93">
        <v>15503</v>
      </c>
      <c r="W275" s="93">
        <v>18197</v>
      </c>
      <c r="X275" s="93">
        <v>20162</v>
      </c>
      <c r="Y275" s="93">
        <v>21242</v>
      </c>
      <c r="Z275" s="93">
        <v>21086</v>
      </c>
      <c r="AA275" s="93">
        <v>22428</v>
      </c>
      <c r="AB275" s="93">
        <v>24292</v>
      </c>
      <c r="AC275" s="93">
        <v>28290</v>
      </c>
      <c r="AD275" s="93">
        <v>31507</v>
      </c>
      <c r="AE275" s="93">
        <v>33363</v>
      </c>
      <c r="AF275" s="93">
        <v>32712</v>
      </c>
      <c r="AG275" s="94">
        <v>33250</v>
      </c>
      <c r="AH275" s="93">
        <v>32999.029660369226</v>
      </c>
      <c r="AI275" s="93">
        <v>33296.980970725723</v>
      </c>
      <c r="AJ275" s="93">
        <v>33871.604309014307</v>
      </c>
      <c r="AK275" s="93">
        <v>34935.347701452483</v>
      </c>
      <c r="AL275" s="93">
        <v>35418.888426309655</v>
      </c>
      <c r="AM275" s="93">
        <v>36625.695974488597</v>
      </c>
      <c r="AN275" s="93">
        <v>37149.68988960977</v>
      </c>
      <c r="AO275" s="93">
        <v>38413.86381156907</v>
      </c>
      <c r="AP275" s="93">
        <v>38974.780986149024</v>
      </c>
      <c r="AQ275" s="93">
        <v>40308.536022556305</v>
      </c>
      <c r="AR275" s="2"/>
      <c r="AS275" s="93">
        <v>2215</v>
      </c>
      <c r="AT275" s="93">
        <v>2586</v>
      </c>
      <c r="AU275" s="93">
        <v>4664</v>
      </c>
      <c r="AV275" s="93">
        <v>3592</v>
      </c>
      <c r="AW275" s="93">
        <v>7196</v>
      </c>
      <c r="AX275" s="93">
        <v>8885</v>
      </c>
      <c r="AY275" s="93">
        <v>9047</v>
      </c>
      <c r="AZ275" s="93">
        <v>8989</v>
      </c>
      <c r="BA275" s="93">
        <v>9665</v>
      </c>
      <c r="BB275" s="93">
        <v>9515</v>
      </c>
      <c r="BC275" s="93">
        <v>12195</v>
      </c>
      <c r="BD275" s="93">
        <v>13859</v>
      </c>
      <c r="BE275" s="93">
        <v>14439</v>
      </c>
      <c r="BF275" s="93">
        <v>14954</v>
      </c>
      <c r="BG275" s="93">
        <v>18197</v>
      </c>
      <c r="BH275" s="93">
        <v>21242</v>
      </c>
      <c r="BI275" s="93">
        <v>22428</v>
      </c>
      <c r="BJ275" s="93">
        <v>28290</v>
      </c>
      <c r="BK275" s="93">
        <v>33363</v>
      </c>
      <c r="BL275" s="94">
        <v>33250</v>
      </c>
      <c r="BM275" s="93">
        <v>33296.980970725723</v>
      </c>
      <c r="BN275" s="93">
        <v>34935.347701452483</v>
      </c>
      <c r="BO275" s="93">
        <v>36625.695974488597</v>
      </c>
      <c r="BP275" s="93">
        <v>38413.86381156907</v>
      </c>
      <c r="BQ275" s="93">
        <v>40308.536022556305</v>
      </c>
    </row>
    <row r="276" spans="1:69" ht="12" customHeight="1" outlineLevel="1">
      <c r="L276" s="19"/>
      <c r="M276" s="19"/>
    </row>
    <row r="277" spans="1:69" ht="12" customHeight="1" outlineLevel="1">
      <c r="B277" s="9" t="s">
        <v>192</v>
      </c>
    </row>
    <row r="278" spans="1:69" s="9" customFormat="1" ht="12" customHeight="1" outlineLevel="1">
      <c r="A278" s="91"/>
      <c r="B278" s="9" t="s">
        <v>191</v>
      </c>
      <c r="C278" s="17"/>
      <c r="D278" s="17">
        <v>6800</v>
      </c>
      <c r="E278" s="17">
        <v>8500</v>
      </c>
      <c r="F278" s="17">
        <v>8700</v>
      </c>
      <c r="G278" s="17">
        <v>9100</v>
      </c>
      <c r="H278" s="17">
        <v>9400</v>
      </c>
      <c r="I278" s="17">
        <v>9200</v>
      </c>
      <c r="J278" s="17">
        <v>8700</v>
      </c>
      <c r="K278" s="17">
        <v>8700</v>
      </c>
      <c r="L278" s="17">
        <v>9400</v>
      </c>
      <c r="M278" s="17">
        <v>9500</v>
      </c>
      <c r="N278" s="17">
        <v>9400</v>
      </c>
      <c r="O278" s="17">
        <v>11600</v>
      </c>
      <c r="P278" s="17">
        <v>11900</v>
      </c>
      <c r="Q278" s="17">
        <v>12700</v>
      </c>
      <c r="R278" s="17">
        <v>12500</v>
      </c>
      <c r="S278" s="17">
        <v>12600</v>
      </c>
      <c r="T278" s="17">
        <v>12600</v>
      </c>
      <c r="U278" s="17">
        <v>14600</v>
      </c>
      <c r="V278" s="17">
        <v>14500</v>
      </c>
      <c r="W278" s="17">
        <v>12800</v>
      </c>
      <c r="X278" s="17">
        <v>14000</v>
      </c>
      <c r="Y278" s="17">
        <v>15800</v>
      </c>
      <c r="Z278" s="17">
        <v>15700</v>
      </c>
      <c r="AA278" s="17">
        <v>15800</v>
      </c>
      <c r="AB278" s="17">
        <v>18400</v>
      </c>
      <c r="AC278" s="17">
        <v>20300</v>
      </c>
      <c r="AD278" s="17">
        <v>23100</v>
      </c>
      <c r="AE278" s="17">
        <v>22700</v>
      </c>
      <c r="AF278" s="17">
        <v>22500</v>
      </c>
      <c r="AG278" s="18">
        <v>23800</v>
      </c>
      <c r="AH278" s="17">
        <v>23667.540794922617</v>
      </c>
      <c r="AI278" s="17">
        <v>23926.921728395097</v>
      </c>
      <c r="AJ278" s="17">
        <v>24369.363892715734</v>
      </c>
      <c r="AK278" s="17">
        <v>25160.201830289308</v>
      </c>
      <c r="AL278" s="17">
        <v>25539.322145615228</v>
      </c>
      <c r="AM278" s="17">
        <v>26433.313360837179</v>
      </c>
      <c r="AN278" s="17">
        <v>26842.678271699009</v>
      </c>
      <c r="AO278" s="17">
        <v>27778.970010975674</v>
      </c>
      <c r="AP278" s="17">
        <v>28216.137391781082</v>
      </c>
      <c r="AQ278" s="17">
        <v>29203.481215552212</v>
      </c>
      <c r="AS278" s="17">
        <v>0</v>
      </c>
      <c r="AT278" s="17">
        <v>0</v>
      </c>
      <c r="AU278" s="17">
        <v>0</v>
      </c>
      <c r="AV278" s="17">
        <v>6400</v>
      </c>
      <c r="AW278" s="17">
        <v>6400</v>
      </c>
      <c r="AX278" s="17">
        <v>8500</v>
      </c>
      <c r="AY278" s="17">
        <v>9100</v>
      </c>
      <c r="AZ278" s="17">
        <v>9200</v>
      </c>
      <c r="BA278" s="17">
        <v>8700</v>
      </c>
      <c r="BB278" s="17">
        <v>9500</v>
      </c>
      <c r="BC278" s="17">
        <v>11600</v>
      </c>
      <c r="BD278" s="17">
        <v>12700</v>
      </c>
      <c r="BE278" s="17">
        <v>12600</v>
      </c>
      <c r="BF278" s="17">
        <v>14600</v>
      </c>
      <c r="BG278" s="17">
        <v>12800</v>
      </c>
      <c r="BH278" s="17">
        <v>15800</v>
      </c>
      <c r="BI278" s="17">
        <v>15800</v>
      </c>
      <c r="BJ278" s="17">
        <v>20300</v>
      </c>
      <c r="BK278" s="17">
        <v>22700</v>
      </c>
      <c r="BL278" s="18">
        <v>23800</v>
      </c>
      <c r="BM278" s="17">
        <v>23926.921728395097</v>
      </c>
      <c r="BN278" s="17">
        <v>25160.201830289308</v>
      </c>
      <c r="BO278" s="17">
        <v>26433.313360837179</v>
      </c>
      <c r="BP278" s="17">
        <v>27778.970010975674</v>
      </c>
      <c r="BQ278" s="17">
        <v>29203.481215552212</v>
      </c>
    </row>
    <row r="279" spans="1:69" ht="12" customHeight="1" outlineLevel="1"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20"/>
      <c r="AH279" s="19"/>
      <c r="AI279" s="19"/>
      <c r="AJ279" s="19"/>
      <c r="AK279" s="19"/>
      <c r="AL279" s="19"/>
      <c r="AM279" s="19"/>
      <c r="AN279" s="19"/>
      <c r="AO279" s="19"/>
      <c r="AP279" s="19"/>
      <c r="AQ279" s="19"/>
      <c r="AS279" s="19"/>
      <c r="AT279" s="19"/>
      <c r="AU279" s="19"/>
      <c r="AV279" s="19"/>
      <c r="AW279" s="19"/>
    </row>
    <row r="280" spans="1:69" ht="12" customHeight="1" outlineLevel="1">
      <c r="B280" s="102" t="s">
        <v>197</v>
      </c>
      <c r="C280" s="19"/>
      <c r="D280" s="19">
        <v>-294</v>
      </c>
      <c r="E280" s="19">
        <v>-1029</v>
      </c>
      <c r="F280" s="19">
        <v>-711</v>
      </c>
      <c r="G280" s="19">
        <v>-1036</v>
      </c>
      <c r="H280" s="19">
        <v>-636</v>
      </c>
      <c r="I280" s="19">
        <v>-302</v>
      </c>
      <c r="J280" s="19">
        <v>-337</v>
      </c>
      <c r="K280" s="19">
        <v>-392</v>
      </c>
      <c r="L280" s="19">
        <v>-459</v>
      </c>
      <c r="M280" s="19">
        <v>-461</v>
      </c>
      <c r="N280" s="59">
        <v>-409</v>
      </c>
      <c r="O280" s="59">
        <v>-387</v>
      </c>
      <c r="P280" s="59">
        <v>-344</v>
      </c>
      <c r="Q280" s="59">
        <v>-270</v>
      </c>
      <c r="R280" s="59">
        <v>-493</v>
      </c>
      <c r="S280" s="59">
        <v>-315</v>
      </c>
      <c r="T280" s="59">
        <v>-374</v>
      </c>
      <c r="U280" s="59">
        <v>-1938</v>
      </c>
      <c r="V280" s="59">
        <v>-1856</v>
      </c>
      <c r="W280" s="59">
        <v>-1926</v>
      </c>
      <c r="X280" s="59">
        <v>-2032</v>
      </c>
      <c r="Y280" s="59">
        <v>-1952</v>
      </c>
      <c r="Z280" s="59">
        <v>-1853</v>
      </c>
      <c r="AA280" s="59">
        <v>-1721</v>
      </c>
      <c r="AB280" s="59">
        <v>-2332</v>
      </c>
      <c r="AC280" s="59">
        <v>-2342</v>
      </c>
      <c r="AD280" s="59">
        <v>-2447</v>
      </c>
      <c r="AE280" s="59">
        <v>-2347</v>
      </c>
      <c r="AF280" s="59">
        <v>-2352</v>
      </c>
      <c r="AG280" s="60">
        <v>-2447</v>
      </c>
      <c r="AH280" s="58">
        <v>-2447</v>
      </c>
      <c r="AI280" s="58">
        <v>-2447</v>
      </c>
      <c r="AJ280" s="58">
        <v>-2447</v>
      </c>
      <c r="AK280" s="58">
        <v>-2447</v>
      </c>
      <c r="AL280" s="58">
        <v>-2447</v>
      </c>
      <c r="AM280" s="58">
        <v>-2447</v>
      </c>
      <c r="AN280" s="58">
        <v>-2447</v>
      </c>
      <c r="AO280" s="58">
        <v>-2447</v>
      </c>
      <c r="AP280" s="58">
        <v>-2447</v>
      </c>
      <c r="AQ280" s="58">
        <v>-2447</v>
      </c>
      <c r="AS280" s="19">
        <v>3386</v>
      </c>
      <c r="AT280" s="19">
        <v>3802</v>
      </c>
      <c r="AU280" s="19">
        <v>5991</v>
      </c>
      <c r="AV280" s="19">
        <v>-1601</v>
      </c>
      <c r="AW280" s="19">
        <v>-768</v>
      </c>
      <c r="AX280" s="19">
        <v>-1029</v>
      </c>
      <c r="AY280" s="19">
        <v>-1036</v>
      </c>
      <c r="AZ280" s="19">
        <v>-302</v>
      </c>
      <c r="BA280" s="19">
        <v>-392</v>
      </c>
      <c r="BB280" s="19">
        <v>-461</v>
      </c>
      <c r="BC280" s="19">
        <v>-387</v>
      </c>
      <c r="BD280" s="19">
        <v>-270</v>
      </c>
      <c r="BE280" s="19">
        <v>-315</v>
      </c>
      <c r="BF280" s="19">
        <v>-1938</v>
      </c>
      <c r="BG280" s="19">
        <v>-1926</v>
      </c>
      <c r="BH280" s="19">
        <v>-1952</v>
      </c>
      <c r="BI280" s="19">
        <v>-1721</v>
      </c>
      <c r="BJ280" s="19">
        <v>-2342</v>
      </c>
      <c r="BK280" s="19">
        <v>-2347</v>
      </c>
      <c r="BL280" s="20">
        <v>-2447</v>
      </c>
      <c r="BM280" s="19">
        <v>-2447</v>
      </c>
      <c r="BN280" s="19">
        <v>-2447</v>
      </c>
      <c r="BO280" s="19">
        <v>-2447</v>
      </c>
      <c r="BP280" s="19">
        <v>-2447</v>
      </c>
      <c r="BQ280" s="19">
        <v>-2447</v>
      </c>
    </row>
    <row r="281" spans="1:69" s="9" customFormat="1" ht="12" customHeight="1" outlineLevel="1">
      <c r="A281" s="91"/>
      <c r="B281" s="103" t="s">
        <v>198</v>
      </c>
      <c r="C281" s="17"/>
      <c r="D281" s="22">
        <v>6506</v>
      </c>
      <c r="E281" s="22">
        <v>7471</v>
      </c>
      <c r="F281" s="22">
        <v>7989</v>
      </c>
      <c r="G281" s="22">
        <v>8064</v>
      </c>
      <c r="H281" s="22">
        <v>8764</v>
      </c>
      <c r="I281" s="22">
        <v>8898</v>
      </c>
      <c r="J281" s="22">
        <v>8363</v>
      </c>
      <c r="K281" s="22">
        <v>8308</v>
      </c>
      <c r="L281" s="22">
        <v>8941</v>
      </c>
      <c r="M281" s="22">
        <v>9039</v>
      </c>
      <c r="N281" s="22">
        <v>8991</v>
      </c>
      <c r="O281" s="22">
        <v>11213</v>
      </c>
      <c r="P281" s="22">
        <v>11556</v>
      </c>
      <c r="Q281" s="22">
        <v>12430</v>
      </c>
      <c r="R281" s="22">
        <v>12007</v>
      </c>
      <c r="S281" s="22">
        <v>12285</v>
      </c>
      <c r="T281" s="22">
        <v>12226</v>
      </c>
      <c r="U281" s="22">
        <v>12662</v>
      </c>
      <c r="V281" s="22">
        <v>12644</v>
      </c>
      <c r="W281" s="22">
        <v>10874</v>
      </c>
      <c r="X281" s="22">
        <v>11968</v>
      </c>
      <c r="Y281" s="22">
        <v>13848</v>
      </c>
      <c r="Z281" s="22">
        <v>13847</v>
      </c>
      <c r="AA281" s="22">
        <v>14079</v>
      </c>
      <c r="AB281" s="22">
        <v>16068</v>
      </c>
      <c r="AC281" s="22">
        <v>17958</v>
      </c>
      <c r="AD281" s="22">
        <v>20653</v>
      </c>
      <c r="AE281" s="22">
        <v>20353</v>
      </c>
      <c r="AF281" s="22">
        <v>20148</v>
      </c>
      <c r="AG281" s="23">
        <v>21353</v>
      </c>
      <c r="AH281" s="17">
        <v>21220.540794922617</v>
      </c>
      <c r="AI281" s="17">
        <v>21479.921728395097</v>
      </c>
      <c r="AJ281" s="17">
        <v>21922.363892715734</v>
      </c>
      <c r="AK281" s="17">
        <v>22713.201830289308</v>
      </c>
      <c r="AL281" s="17">
        <v>23092.322145615228</v>
      </c>
      <c r="AM281" s="17">
        <v>23986.313360837179</v>
      </c>
      <c r="AN281" s="17">
        <v>24395.678271699009</v>
      </c>
      <c r="AO281" s="17">
        <v>25331.970010975674</v>
      </c>
      <c r="AP281" s="17">
        <v>25769.137391781082</v>
      </c>
      <c r="AQ281" s="17">
        <v>26756.481215552212</v>
      </c>
      <c r="AS281" s="22">
        <v>3386</v>
      </c>
      <c r="AT281" s="22">
        <v>3802</v>
      </c>
      <c r="AU281" s="22">
        <v>5991</v>
      </c>
      <c r="AV281" s="22">
        <v>4799</v>
      </c>
      <c r="AW281" s="22">
        <v>5632</v>
      </c>
      <c r="AX281" s="17">
        <v>7471</v>
      </c>
      <c r="AY281" s="17">
        <v>8064</v>
      </c>
      <c r="AZ281" s="17">
        <v>8898</v>
      </c>
      <c r="BA281" s="17">
        <v>8308</v>
      </c>
      <c r="BB281" s="17">
        <v>9039</v>
      </c>
      <c r="BC281" s="17">
        <v>11213</v>
      </c>
      <c r="BD281" s="17">
        <v>12430</v>
      </c>
      <c r="BE281" s="17">
        <v>12285</v>
      </c>
      <c r="BF281" s="17">
        <v>12662</v>
      </c>
      <c r="BG281" s="17">
        <v>10874</v>
      </c>
      <c r="BH281" s="17">
        <v>13848</v>
      </c>
      <c r="BI281" s="17">
        <v>14079</v>
      </c>
      <c r="BJ281" s="17">
        <v>17958</v>
      </c>
      <c r="BK281" s="17">
        <v>20353</v>
      </c>
      <c r="BL281" s="18">
        <v>21353</v>
      </c>
      <c r="BM281" s="17">
        <v>21479.921728395097</v>
      </c>
      <c r="BN281" s="17">
        <v>22713.201830289308</v>
      </c>
      <c r="BO281" s="17">
        <v>23986.313360837179</v>
      </c>
      <c r="BP281" s="17">
        <v>25331.970010975674</v>
      </c>
      <c r="BQ281" s="17">
        <v>26756.481215552212</v>
      </c>
    </row>
    <row r="282" spans="1:69" ht="12" customHeight="1" outlineLevel="1"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20"/>
      <c r="AH282" s="19"/>
      <c r="AI282" s="19"/>
      <c r="AJ282" s="19"/>
      <c r="AK282" s="19"/>
      <c r="AL282" s="19"/>
      <c r="AM282" s="19"/>
      <c r="AN282" s="19"/>
      <c r="AO282" s="19"/>
      <c r="AP282" s="19"/>
      <c r="AQ282" s="19"/>
      <c r="AS282" s="19"/>
      <c r="AT282" s="19"/>
      <c r="AU282" s="19"/>
      <c r="AV282" s="19"/>
      <c r="AW282" s="19"/>
    </row>
    <row r="283" spans="1:69" ht="12" customHeight="1" outlineLevel="1">
      <c r="B283" s="103" t="s">
        <v>199</v>
      </c>
      <c r="C283" s="19"/>
      <c r="D283" s="19"/>
      <c r="E283" s="19"/>
      <c r="F283" s="176">
        <v>-0.33888888888888891</v>
      </c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20"/>
      <c r="AH283" s="19"/>
      <c r="AI283" s="19"/>
      <c r="AJ283" s="19"/>
      <c r="AK283" s="19"/>
      <c r="AL283" s="19"/>
      <c r="AM283" s="19"/>
      <c r="AN283" s="19"/>
      <c r="AO283" s="19"/>
      <c r="AP283" s="19"/>
      <c r="AQ283" s="19"/>
      <c r="AS283" s="19"/>
      <c r="AT283" s="19"/>
      <c r="AU283" s="19"/>
      <c r="AV283" s="19"/>
      <c r="AW283" s="19"/>
    </row>
    <row r="284" spans="1:69" ht="12" customHeight="1" outlineLevel="1">
      <c r="A284" s="91" t="s">
        <v>1057</v>
      </c>
      <c r="B284" s="1" t="s">
        <v>200</v>
      </c>
      <c r="C284" s="19"/>
      <c r="D284" s="21">
        <v>-135</v>
      </c>
      <c r="E284" s="21">
        <v>-193</v>
      </c>
      <c r="F284" s="21">
        <v>-193</v>
      </c>
      <c r="G284" s="21">
        <v>-181</v>
      </c>
      <c r="H284" s="21">
        <v>-193</v>
      </c>
      <c r="I284" s="21">
        <v>-138</v>
      </c>
      <c r="J284" s="21">
        <v>-133</v>
      </c>
      <c r="K284" s="21">
        <v>-136</v>
      </c>
      <c r="L284" s="21">
        <v>-185</v>
      </c>
      <c r="M284" s="21">
        <v>-104</v>
      </c>
      <c r="N284" s="62">
        <v>-109</v>
      </c>
      <c r="O284" s="62">
        <v>-50</v>
      </c>
      <c r="P284" s="62">
        <v>-51</v>
      </c>
      <c r="Q284" s="62">
        <v>-46</v>
      </c>
      <c r="R284" s="62">
        <v>-46</v>
      </c>
      <c r="S284" s="62">
        <v>-37</v>
      </c>
      <c r="T284" s="62">
        <v>-39</v>
      </c>
      <c r="U284" s="62">
        <v>-40</v>
      </c>
      <c r="V284" s="62">
        <v>-41</v>
      </c>
      <c r="W284" s="62">
        <v>-42</v>
      </c>
      <c r="X284" s="62">
        <v>-44</v>
      </c>
      <c r="Y284" s="62">
        <v>-47</v>
      </c>
      <c r="Z284" s="62">
        <v>-41</v>
      </c>
      <c r="AA284" s="62">
        <v>-39</v>
      </c>
      <c r="AB284" s="62">
        <v>-41</v>
      </c>
      <c r="AC284" s="62">
        <v>-36</v>
      </c>
      <c r="AD284" s="62">
        <v>-41</v>
      </c>
      <c r="AE284" s="62">
        <v>-39</v>
      </c>
      <c r="AF284" s="62">
        <v>-41</v>
      </c>
      <c r="AG284" s="57">
        <v>-40</v>
      </c>
      <c r="AH284" s="58">
        <v>-40</v>
      </c>
      <c r="AI284" s="58">
        <v>-40</v>
      </c>
      <c r="AJ284" s="58">
        <v>-40</v>
      </c>
      <c r="AK284" s="58">
        <v>-40</v>
      </c>
      <c r="AL284" s="58">
        <v>-40</v>
      </c>
      <c r="AM284" s="58">
        <v>-40</v>
      </c>
      <c r="AN284" s="58">
        <v>-40</v>
      </c>
      <c r="AO284" s="58">
        <v>-40</v>
      </c>
      <c r="AP284" s="58">
        <v>-40</v>
      </c>
      <c r="AQ284" s="58">
        <v>-40</v>
      </c>
      <c r="AS284" s="21">
        <v>-294</v>
      </c>
      <c r="AT284" s="21">
        <v>-283</v>
      </c>
      <c r="AU284" s="21">
        <v>-151</v>
      </c>
      <c r="AV284" s="21">
        <v>-62</v>
      </c>
      <c r="AW284" s="21">
        <v>-162</v>
      </c>
      <c r="AX284" s="19">
        <v>-193</v>
      </c>
      <c r="AY284" s="19">
        <v>-181</v>
      </c>
      <c r="AZ284" s="19">
        <v>-138</v>
      </c>
      <c r="BA284" s="19">
        <v>-136</v>
      </c>
      <c r="BB284" s="19">
        <v>-104</v>
      </c>
      <c r="BC284" s="19">
        <v>-50</v>
      </c>
      <c r="BD284" s="19">
        <v>-46</v>
      </c>
      <c r="BE284" s="19">
        <v>-37</v>
      </c>
      <c r="BF284" s="19">
        <v>-40</v>
      </c>
      <c r="BG284" s="19">
        <v>-42</v>
      </c>
      <c r="BH284" s="19">
        <v>-47</v>
      </c>
      <c r="BI284" s="19">
        <v>-39</v>
      </c>
      <c r="BJ284" s="19">
        <v>-36</v>
      </c>
      <c r="BK284" s="19">
        <v>-39</v>
      </c>
      <c r="BL284" s="20">
        <v>-40</v>
      </c>
      <c r="BM284" s="19">
        <v>-40</v>
      </c>
      <c r="BN284" s="19">
        <v>-40</v>
      </c>
      <c r="BO284" s="19">
        <v>-40</v>
      </c>
      <c r="BP284" s="19">
        <v>-40</v>
      </c>
      <c r="BQ284" s="19">
        <v>-40</v>
      </c>
    </row>
    <row r="285" spans="1:69" ht="12" customHeight="1" outlineLevel="1">
      <c r="B285" s="1" t="s">
        <v>201</v>
      </c>
      <c r="C285" s="19"/>
      <c r="D285" s="21">
        <v>-426</v>
      </c>
      <c r="E285" s="21">
        <v>-434</v>
      </c>
      <c r="F285" s="21">
        <v>-381</v>
      </c>
      <c r="G285" s="21">
        <v>-291</v>
      </c>
      <c r="H285" s="21">
        <v>-123</v>
      </c>
      <c r="I285" s="21">
        <v>-104</v>
      </c>
      <c r="J285" s="21">
        <v>-122</v>
      </c>
      <c r="K285" s="21">
        <v>-200</v>
      </c>
      <c r="L285" s="21">
        <v>-249</v>
      </c>
      <c r="M285" s="21">
        <v>-189</v>
      </c>
      <c r="N285" s="62">
        <v>-201</v>
      </c>
      <c r="O285" s="62">
        <v>-243</v>
      </c>
      <c r="P285" s="62">
        <v>-241</v>
      </c>
      <c r="Q285" s="62">
        <v>-173</v>
      </c>
      <c r="R285" s="62">
        <v>-149</v>
      </c>
      <c r="S285" s="62">
        <v>-157</v>
      </c>
      <c r="T285" s="62">
        <v>-167</v>
      </c>
      <c r="U285" s="62">
        <v>-142</v>
      </c>
      <c r="V285" s="62">
        <v>-198</v>
      </c>
      <c r="W285" s="62">
        <v>-420</v>
      </c>
      <c r="X285" s="62">
        <v>-437</v>
      </c>
      <c r="Y285" s="62">
        <v>-489</v>
      </c>
      <c r="Z285" s="62">
        <v>-527</v>
      </c>
      <c r="AA285" s="62">
        <v>-793</v>
      </c>
      <c r="AB285" s="62">
        <v>-748</v>
      </c>
      <c r="AC285" s="62">
        <v>-853</v>
      </c>
      <c r="AD285" s="62">
        <v>-912</v>
      </c>
      <c r="AE285" s="62">
        <v>-1044</v>
      </c>
      <c r="AF285" s="62">
        <v>-963</v>
      </c>
      <c r="AG285" s="57">
        <v>-1032</v>
      </c>
      <c r="AH285" s="58">
        <v>-1032</v>
      </c>
      <c r="AI285" s="58">
        <v>-1032</v>
      </c>
      <c r="AJ285" s="58">
        <v>-1032</v>
      </c>
      <c r="AK285" s="58">
        <v>-1032</v>
      </c>
      <c r="AL285" s="58">
        <v>-1032</v>
      </c>
      <c r="AM285" s="58">
        <v>-1032</v>
      </c>
      <c r="AN285" s="58">
        <v>-1032</v>
      </c>
      <c r="AO285" s="58">
        <v>-1032</v>
      </c>
      <c r="AP285" s="58">
        <v>-1032</v>
      </c>
      <c r="AQ285" s="58">
        <v>-1032</v>
      </c>
      <c r="AS285" s="21">
        <v>-96</v>
      </c>
      <c r="AT285" s="21">
        <v>-114</v>
      </c>
      <c r="AU285" s="21">
        <v>-445</v>
      </c>
      <c r="AV285" s="21">
        <v>-68</v>
      </c>
      <c r="AW285" s="21">
        <v>-53</v>
      </c>
      <c r="AX285" s="19">
        <v>-434</v>
      </c>
      <c r="AY285" s="19">
        <v>-291</v>
      </c>
      <c r="AZ285" s="19">
        <v>-104</v>
      </c>
      <c r="BA285" s="19">
        <v>-200</v>
      </c>
      <c r="BB285" s="19">
        <v>-189</v>
      </c>
      <c r="BC285" s="19">
        <v>-243</v>
      </c>
      <c r="BD285" s="19">
        <v>-173</v>
      </c>
      <c r="BE285" s="19">
        <v>-157</v>
      </c>
      <c r="BF285" s="19">
        <v>-142</v>
      </c>
      <c r="BG285" s="19">
        <v>-420</v>
      </c>
      <c r="BH285" s="19">
        <v>-489</v>
      </c>
      <c r="BI285" s="19">
        <v>-793</v>
      </c>
      <c r="BJ285" s="19">
        <v>-853</v>
      </c>
      <c r="BK285" s="19">
        <v>-1044</v>
      </c>
      <c r="BL285" s="20">
        <v>-1032</v>
      </c>
      <c r="BM285" s="19">
        <v>-1032</v>
      </c>
      <c r="BN285" s="19">
        <v>-1032</v>
      </c>
      <c r="BO285" s="19">
        <v>-1032</v>
      </c>
      <c r="BP285" s="19">
        <v>-1032</v>
      </c>
      <c r="BQ285" s="19">
        <v>-1032</v>
      </c>
    </row>
    <row r="286" spans="1:69" ht="12" customHeight="1" outlineLevel="1">
      <c r="B286" s="1" t="s">
        <v>202</v>
      </c>
      <c r="C286" s="19"/>
      <c r="D286" s="21">
        <v>-139</v>
      </c>
      <c r="E286" s="21">
        <v>-621</v>
      </c>
      <c r="F286" s="21">
        <v>-610</v>
      </c>
      <c r="G286" s="21">
        <v>-583</v>
      </c>
      <c r="H286" s="21">
        <v>-631</v>
      </c>
      <c r="I286" s="21">
        <v>-608</v>
      </c>
      <c r="J286" s="21">
        <v>-563</v>
      </c>
      <c r="K286" s="21">
        <v>-380</v>
      </c>
      <c r="L286" s="21">
        <v>-410</v>
      </c>
      <c r="M286" s="21">
        <v>-443</v>
      </c>
      <c r="N286" s="21">
        <v>-438</v>
      </c>
      <c r="O286" s="21">
        <v>-479</v>
      </c>
      <c r="P286" s="21">
        <v>-42</v>
      </c>
      <c r="Q286" s="21">
        <v>-36</v>
      </c>
      <c r="R286" s="21">
        <v>-39</v>
      </c>
      <c r="S286" s="21">
        <v>-51</v>
      </c>
      <c r="T286" s="21">
        <v>-51</v>
      </c>
      <c r="U286" s="21">
        <v>-63</v>
      </c>
      <c r="V286" s="21">
        <v>-59</v>
      </c>
      <c r="W286" s="21">
        <v>-50</v>
      </c>
      <c r="X286" s="21">
        <v>-52</v>
      </c>
      <c r="Y286" s="21">
        <v>-53</v>
      </c>
      <c r="Z286" s="21">
        <v>-36</v>
      </c>
      <c r="AA286" s="21">
        <v>-35</v>
      </c>
      <c r="AB286" s="21">
        <v>-34</v>
      </c>
      <c r="AC286" s="21">
        <v>-37</v>
      </c>
      <c r="AD286" s="21">
        <v>-38</v>
      </c>
      <c r="AE286" s="21">
        <v>-39</v>
      </c>
      <c r="AF286" s="21">
        <v>-40</v>
      </c>
      <c r="AG286" s="24">
        <v>-40</v>
      </c>
      <c r="AH286" s="19">
        <v>-41.2</v>
      </c>
      <c r="AI286" s="19">
        <v>-42.436000000000007</v>
      </c>
      <c r="AJ286" s="19">
        <v>-43.709080000000007</v>
      </c>
      <c r="AK286" s="19">
        <v>-45.0203524</v>
      </c>
      <c r="AL286" s="19">
        <v>-46.370962972000008</v>
      </c>
      <c r="AM286" s="19">
        <v>-47.762091861160009</v>
      </c>
      <c r="AN286" s="19">
        <v>-49.194954616994806</v>
      </c>
      <c r="AO286" s="19">
        <v>-50.670803255504666</v>
      </c>
      <c r="AP286" s="19">
        <v>-52.190927353169798</v>
      </c>
      <c r="AQ286" s="19">
        <v>-53.756655173764898</v>
      </c>
      <c r="AS286" s="21">
        <v>0</v>
      </c>
      <c r="AT286" s="21">
        <v>0</v>
      </c>
      <c r="AU286" s="21">
        <v>0</v>
      </c>
      <c r="AV286" s="21">
        <v>-48</v>
      </c>
      <c r="AW286" s="21">
        <v>-128</v>
      </c>
      <c r="AX286" s="19">
        <v>-621</v>
      </c>
      <c r="AY286" s="19">
        <v>-583</v>
      </c>
      <c r="AZ286" s="19">
        <v>-608</v>
      </c>
      <c r="BA286" s="19">
        <v>-380</v>
      </c>
      <c r="BB286" s="19">
        <v>-443</v>
      </c>
      <c r="BC286" s="19">
        <v>-479</v>
      </c>
      <c r="BD286" s="19">
        <v>-36</v>
      </c>
      <c r="BE286" s="19">
        <v>-51</v>
      </c>
      <c r="BF286" s="19">
        <v>-63</v>
      </c>
      <c r="BG286" s="19">
        <v>-50</v>
      </c>
      <c r="BH286" s="19">
        <v>-53</v>
      </c>
      <c r="BI286" s="19">
        <v>-35</v>
      </c>
      <c r="BJ286" s="19">
        <v>-37</v>
      </c>
      <c r="BK286" s="19">
        <v>-39</v>
      </c>
      <c r="BL286" s="20">
        <v>-40</v>
      </c>
      <c r="BM286" s="19">
        <v>-42.436000000000007</v>
      </c>
      <c r="BN286" s="19">
        <v>-45.0203524</v>
      </c>
      <c r="BO286" s="19">
        <v>-47.762091861160009</v>
      </c>
      <c r="BP286" s="19">
        <v>-50.670803255504666</v>
      </c>
      <c r="BQ286" s="19">
        <v>-53.756655173764898</v>
      </c>
    </row>
    <row r="287" spans="1:69" ht="12" customHeight="1" outlineLevel="1">
      <c r="B287" s="1" t="s">
        <v>203</v>
      </c>
      <c r="C287" s="19"/>
      <c r="D287" s="21">
        <v>-142</v>
      </c>
      <c r="E287" s="21">
        <v>-132</v>
      </c>
      <c r="F287" s="21">
        <v>-131</v>
      </c>
      <c r="G287" s="21">
        <v>-97</v>
      </c>
      <c r="H287" s="21">
        <v>-97</v>
      </c>
      <c r="I287" s="21">
        <v>-124</v>
      </c>
      <c r="J287" s="21">
        <v>-81</v>
      </c>
      <c r="K287" s="21">
        <v>-86</v>
      </c>
      <c r="L287" s="21">
        <v>-117</v>
      </c>
      <c r="M287" s="21">
        <v>-115</v>
      </c>
      <c r="N287" s="21">
        <v>-173</v>
      </c>
      <c r="O287" s="21">
        <v>-215</v>
      </c>
      <c r="P287" s="21">
        <v>-265</v>
      </c>
      <c r="Q287" s="21">
        <v>-278</v>
      </c>
      <c r="R287" s="21">
        <v>-320</v>
      </c>
      <c r="S287" s="21">
        <v>-349</v>
      </c>
      <c r="T287" s="21">
        <v>-384</v>
      </c>
      <c r="U287" s="21">
        <v>-397</v>
      </c>
      <c r="V287" s="21">
        <v>-429</v>
      </c>
      <c r="W287" s="21">
        <v>-411</v>
      </c>
      <c r="X287" s="21">
        <v>-415</v>
      </c>
      <c r="Y287" s="21">
        <v>-441</v>
      </c>
      <c r="Z287" s="21">
        <v>-458</v>
      </c>
      <c r="AA287" s="21">
        <v>-497</v>
      </c>
      <c r="AB287" s="21">
        <v>-534</v>
      </c>
      <c r="AC287" s="21">
        <v>-582</v>
      </c>
      <c r="AD287" s="21">
        <v>-630</v>
      </c>
      <c r="AE287" s="21">
        <v>-717</v>
      </c>
      <c r="AF287" s="21">
        <v>-752</v>
      </c>
      <c r="AG287" s="24">
        <v>-783</v>
      </c>
      <c r="AH287" s="19">
        <v>-812.11983471074382</v>
      </c>
      <c r="AI287" s="19">
        <v>-842.48891033057873</v>
      </c>
      <c r="AJ287" s="19">
        <v>-860.87767018388445</v>
      </c>
      <c r="AK287" s="19">
        <v>-879.69941440447326</v>
      </c>
      <c r="AL287" s="19">
        <v>-898.96470025523661</v>
      </c>
      <c r="AM287" s="19">
        <v>-918.68434625717566</v>
      </c>
      <c r="AN287" s="19">
        <v>-938.86943869411857</v>
      </c>
      <c r="AO287" s="19">
        <v>-959.53133827979036</v>
      </c>
      <c r="AP287" s="19">
        <v>-980.68168699128694</v>
      </c>
      <c r="AQ287" s="19">
        <v>-1002.3324150731163</v>
      </c>
      <c r="AS287" s="21">
        <v>0</v>
      </c>
      <c r="AT287" s="21">
        <v>0</v>
      </c>
      <c r="AU287" s="21">
        <v>0</v>
      </c>
      <c r="AV287" s="21">
        <v>-252</v>
      </c>
      <c r="AW287" s="21">
        <v>-170</v>
      </c>
      <c r="AX287" s="19">
        <v>-132</v>
      </c>
      <c r="AY287" s="19">
        <v>-97</v>
      </c>
      <c r="AZ287" s="19">
        <v>-124</v>
      </c>
      <c r="BA287" s="19">
        <v>-86</v>
      </c>
      <c r="BB287" s="19">
        <v>-115</v>
      </c>
      <c r="BC287" s="19">
        <v>-215</v>
      </c>
      <c r="BD287" s="19">
        <v>-278</v>
      </c>
      <c r="BE287" s="19">
        <v>-349</v>
      </c>
      <c r="BF287" s="19">
        <v>-397</v>
      </c>
      <c r="BG287" s="19">
        <v>-411</v>
      </c>
      <c r="BH287" s="19">
        <v>-441</v>
      </c>
      <c r="BI287" s="19">
        <v>-497</v>
      </c>
      <c r="BJ287" s="19">
        <v>-582</v>
      </c>
      <c r="BK287" s="19">
        <v>-717</v>
      </c>
      <c r="BL287" s="20">
        <v>-783</v>
      </c>
      <c r="BM287" s="19">
        <v>-842.48891033057873</v>
      </c>
      <c r="BN287" s="19">
        <v>-879.69941440447326</v>
      </c>
      <c r="BO287" s="19">
        <v>-918.68434625717566</v>
      </c>
      <c r="BP287" s="19">
        <v>-959.53133827979036</v>
      </c>
      <c r="BQ287" s="19">
        <v>-1002.3324150731163</v>
      </c>
    </row>
    <row r="288" spans="1:69" ht="12" customHeight="1" outlineLevel="1">
      <c r="B288" s="1" t="s">
        <v>204</v>
      </c>
      <c r="C288" s="19"/>
      <c r="D288" s="21">
        <v>-256</v>
      </c>
      <c r="E288" s="21">
        <v>-171</v>
      </c>
      <c r="F288" s="21">
        <v>-155</v>
      </c>
      <c r="G288" s="21">
        <v>-141</v>
      </c>
      <c r="H288" s="21">
        <v>-58</v>
      </c>
      <c r="I288" s="21">
        <v>-230</v>
      </c>
      <c r="J288" s="21">
        <v>-202</v>
      </c>
      <c r="K288" s="21">
        <v>-140</v>
      </c>
      <c r="L288" s="21">
        <v>-152</v>
      </c>
      <c r="M288" s="21">
        <v>-380</v>
      </c>
      <c r="N288" s="21">
        <v>-348</v>
      </c>
      <c r="O288" s="21">
        <v>-263</v>
      </c>
      <c r="P288" s="21">
        <v>-259</v>
      </c>
      <c r="Q288" s="21">
        <v>-267</v>
      </c>
      <c r="R288" s="21">
        <v>-304</v>
      </c>
      <c r="S288" s="21">
        <v>-338</v>
      </c>
      <c r="T288" s="21">
        <v>-364</v>
      </c>
      <c r="U288" s="21">
        <v>-428</v>
      </c>
      <c r="V288" s="21">
        <v>-376</v>
      </c>
      <c r="W288" s="21">
        <v>-269</v>
      </c>
      <c r="X288" s="21">
        <v>-350</v>
      </c>
      <c r="Y288" s="21">
        <v>-317</v>
      </c>
      <c r="Z288" s="21">
        <v>-80</v>
      </c>
      <c r="AA288" s="21">
        <v>-63</v>
      </c>
      <c r="AB288" s="21">
        <v>-141</v>
      </c>
      <c r="AC288" s="21">
        <v>-302</v>
      </c>
      <c r="AD288" s="21">
        <v>-231</v>
      </c>
      <c r="AE288" s="21">
        <v>-218</v>
      </c>
      <c r="AF288" s="21">
        <v>-246</v>
      </c>
      <c r="AG288" s="24">
        <v>-487</v>
      </c>
      <c r="AH288" s="19">
        <v>-505.11157024793391</v>
      </c>
      <c r="AI288" s="19">
        <v>-524.00012685950435</v>
      </c>
      <c r="AJ288" s="19">
        <v>-535.43732487809939</v>
      </c>
      <c r="AK288" s="19">
        <v>-547.14382479563039</v>
      </c>
      <c r="AL288" s="19">
        <v>-559.12619287905534</v>
      </c>
      <c r="AM288" s="19">
        <v>-571.39115788920139</v>
      </c>
      <c r="AN288" s="19">
        <v>-583.94561512648261</v>
      </c>
      <c r="AO288" s="19">
        <v>-596.7966305775966</v>
      </c>
      <c r="AP288" s="19">
        <v>-609.95144516571781</v>
      </c>
      <c r="AQ288" s="19">
        <v>-623.41747910677896</v>
      </c>
      <c r="AS288" s="21">
        <v>0</v>
      </c>
      <c r="AT288" s="21">
        <v>0</v>
      </c>
      <c r="AU288" s="21">
        <v>0</v>
      </c>
      <c r="AV288" s="21">
        <v>-89</v>
      </c>
      <c r="AW288" s="21">
        <v>-294</v>
      </c>
      <c r="AX288" s="19">
        <v>-171</v>
      </c>
      <c r="AY288" s="19">
        <v>-141</v>
      </c>
      <c r="AZ288" s="19">
        <v>-230</v>
      </c>
      <c r="BA288" s="19">
        <v>-140</v>
      </c>
      <c r="BB288" s="19">
        <v>-380</v>
      </c>
      <c r="BC288" s="19">
        <v>-263</v>
      </c>
      <c r="BD288" s="19">
        <v>-267</v>
      </c>
      <c r="BE288" s="19">
        <v>-338</v>
      </c>
      <c r="BF288" s="19">
        <v>-428</v>
      </c>
      <c r="BG288" s="19">
        <v>-269</v>
      </c>
      <c r="BH288" s="19">
        <v>-317</v>
      </c>
      <c r="BI288" s="19">
        <v>-63</v>
      </c>
      <c r="BJ288" s="19">
        <v>-302</v>
      </c>
      <c r="BK288" s="19">
        <v>-218</v>
      </c>
      <c r="BL288" s="20">
        <v>-487</v>
      </c>
      <c r="BM288" s="19">
        <v>-524.00012685950435</v>
      </c>
      <c r="BN288" s="19">
        <v>-547.14382479563039</v>
      </c>
      <c r="BO288" s="19">
        <v>-571.39115788920139</v>
      </c>
      <c r="BP288" s="19">
        <v>-596.7966305775966</v>
      </c>
      <c r="BQ288" s="19">
        <v>-623.41747910677896</v>
      </c>
    </row>
    <row r="289" spans="1:69" ht="12" customHeight="1" outlineLevel="1">
      <c r="B289" s="1" t="s">
        <v>206</v>
      </c>
      <c r="C289" s="19"/>
      <c r="D289" s="21">
        <v>-472</v>
      </c>
      <c r="E289" s="21">
        <v>-449</v>
      </c>
      <c r="F289" s="21">
        <v>-752</v>
      </c>
      <c r="G289" s="21">
        <v>-900</v>
      </c>
      <c r="H289" s="21">
        <v>-772</v>
      </c>
      <c r="I289" s="21">
        <v>-1641</v>
      </c>
      <c r="J289" s="21">
        <v>-1518</v>
      </c>
      <c r="K289" s="21">
        <v>-1455</v>
      </c>
      <c r="L289" s="21">
        <v>-1490</v>
      </c>
      <c r="M289" s="21">
        <v>-1307</v>
      </c>
      <c r="N289" s="21">
        <v>-1361</v>
      </c>
      <c r="O289" s="21">
        <v>-1386</v>
      </c>
      <c r="P289" s="21">
        <v>-1474</v>
      </c>
      <c r="Q289" s="21">
        <v>-1345</v>
      </c>
      <c r="R289" s="21">
        <v>-1257</v>
      </c>
      <c r="S289" s="21">
        <v>-1179</v>
      </c>
      <c r="T289" s="21">
        <v>-1137</v>
      </c>
      <c r="U289" s="21">
        <v>-1201</v>
      </c>
      <c r="V289" s="21">
        <v>-1279</v>
      </c>
      <c r="W289" s="21">
        <v>-678</v>
      </c>
      <c r="X289" s="21">
        <v>-565</v>
      </c>
      <c r="Y289" s="21">
        <v>-588</v>
      </c>
      <c r="Z289" s="21">
        <v>-613</v>
      </c>
      <c r="AA289" s="21">
        <v>-695</v>
      </c>
      <c r="AB289" s="21">
        <v>-859</v>
      </c>
      <c r="AC289" s="21">
        <v>-952</v>
      </c>
      <c r="AD289" s="21">
        <v>-975</v>
      </c>
      <c r="AE289" s="21">
        <v>-998</v>
      </c>
      <c r="AF289" s="21">
        <v>-1044</v>
      </c>
      <c r="AG289" s="24">
        <v>-1080</v>
      </c>
      <c r="AH289" s="19">
        <v>-1096.2</v>
      </c>
      <c r="AI289" s="19">
        <v>-1112.6430000000003</v>
      </c>
      <c r="AJ289" s="19">
        <v>-1129.3326450000004</v>
      </c>
      <c r="AK289" s="19">
        <v>-1146.2726346750003</v>
      </c>
      <c r="AL289" s="19">
        <v>-1163.4667241951254</v>
      </c>
      <c r="AM289" s="19">
        <v>-1180.9187250580524</v>
      </c>
      <c r="AN289" s="19">
        <v>-1198.6325059339233</v>
      </c>
      <c r="AO289" s="19">
        <v>-1216.6119935229324</v>
      </c>
      <c r="AP289" s="19">
        <v>-1234.8611734257763</v>
      </c>
      <c r="AQ289" s="19">
        <v>-1253.3840910271631</v>
      </c>
      <c r="AS289" s="21">
        <v>-781</v>
      </c>
      <c r="AT289" s="21">
        <v>-819</v>
      </c>
      <c r="AU289" s="21">
        <v>-687</v>
      </c>
      <c r="AV289" s="21">
        <v>-327</v>
      </c>
      <c r="AW289" s="21">
        <v>-460</v>
      </c>
      <c r="AX289" s="19">
        <v>-449</v>
      </c>
      <c r="AY289" s="19">
        <v>-900</v>
      </c>
      <c r="AZ289" s="19">
        <v>-1641</v>
      </c>
      <c r="BA289" s="19">
        <v>-1455</v>
      </c>
      <c r="BB289" s="19">
        <v>-1307</v>
      </c>
      <c r="BC289" s="19">
        <v>-1386</v>
      </c>
      <c r="BD289" s="19">
        <v>-1345</v>
      </c>
      <c r="BE289" s="19">
        <v>-1179</v>
      </c>
      <c r="BF289" s="19">
        <v>-1201</v>
      </c>
      <c r="BG289" s="19">
        <v>-678</v>
      </c>
      <c r="BH289" s="19">
        <v>-588</v>
      </c>
      <c r="BI289" s="19">
        <v>-695</v>
      </c>
      <c r="BJ289" s="19">
        <v>-952</v>
      </c>
      <c r="BK289" s="19">
        <v>-998</v>
      </c>
      <c r="BL289" s="20">
        <v>-1080</v>
      </c>
      <c r="BM289" s="19">
        <v>-1112.6430000000003</v>
      </c>
      <c r="BN289" s="19">
        <v>-1146.2726346750003</v>
      </c>
      <c r="BO289" s="19">
        <v>-1180.9187250580524</v>
      </c>
      <c r="BP289" s="19">
        <v>-1216.6119935229324</v>
      </c>
      <c r="BQ289" s="19">
        <v>-1253.3840910271631</v>
      </c>
    </row>
    <row r="290" spans="1:69" ht="12" customHeight="1" outlineLevel="1">
      <c r="B290" s="1" t="s">
        <v>170</v>
      </c>
      <c r="C290" s="19"/>
      <c r="D290" s="21">
        <v>-355</v>
      </c>
      <c r="E290" s="21">
        <v>-466</v>
      </c>
      <c r="F290" s="21">
        <v>-442</v>
      </c>
      <c r="G290" s="21">
        <v>-394</v>
      </c>
      <c r="H290" s="21">
        <v>-380</v>
      </c>
      <c r="I290" s="21">
        <v>-368</v>
      </c>
      <c r="J290" s="21">
        <v>-235</v>
      </c>
      <c r="K290" s="21">
        <v>-239</v>
      </c>
      <c r="L290" s="21">
        <v>-203</v>
      </c>
      <c r="M290" s="21">
        <v>-183</v>
      </c>
      <c r="N290" s="62">
        <v>-255</v>
      </c>
      <c r="O290" s="62">
        <v>-162</v>
      </c>
      <c r="P290" s="62">
        <v>-156</v>
      </c>
      <c r="Q290" s="62">
        <v>-209</v>
      </c>
      <c r="R290" s="62">
        <v>-135</v>
      </c>
      <c r="S290" s="62">
        <v>-150</v>
      </c>
      <c r="T290" s="62">
        <v>-185</v>
      </c>
      <c r="U290" s="62">
        <v>-263</v>
      </c>
      <c r="V290" s="62">
        <v>-283</v>
      </c>
      <c r="W290" s="62">
        <v>-165</v>
      </c>
      <c r="X290" s="62">
        <v>-70</v>
      </c>
      <c r="Y290" s="62">
        <v>-260</v>
      </c>
      <c r="Z290" s="62">
        <v>-81</v>
      </c>
      <c r="AA290" s="62">
        <v>-117</v>
      </c>
      <c r="AB290" s="62">
        <v>-123</v>
      </c>
      <c r="AC290" s="62">
        <v>-221</v>
      </c>
      <c r="AD290" s="62">
        <v>-418</v>
      </c>
      <c r="AE290" s="62">
        <v>-238</v>
      </c>
      <c r="AF290" s="62">
        <v>-350</v>
      </c>
      <c r="AG290" s="57">
        <v>-183</v>
      </c>
      <c r="AH290" s="58">
        <v>-183</v>
      </c>
      <c r="AI290" s="58">
        <v>-183</v>
      </c>
      <c r="AJ290" s="58">
        <v>-183</v>
      </c>
      <c r="AK290" s="58">
        <v>-183</v>
      </c>
      <c r="AL290" s="58">
        <v>-183</v>
      </c>
      <c r="AM290" s="58">
        <v>-183</v>
      </c>
      <c r="AN290" s="58">
        <v>-183</v>
      </c>
      <c r="AO290" s="58">
        <v>-183</v>
      </c>
      <c r="AP290" s="58">
        <v>-183</v>
      </c>
      <c r="AQ290" s="58">
        <v>-183</v>
      </c>
      <c r="AS290" s="21">
        <v>0</v>
      </c>
      <c r="AT290" s="21">
        <v>0</v>
      </c>
      <c r="AU290" s="21">
        <v>-44</v>
      </c>
      <c r="AV290" s="21">
        <v>-361</v>
      </c>
      <c r="AW290" s="21">
        <v>-996</v>
      </c>
      <c r="AX290" s="19">
        <v>-466</v>
      </c>
      <c r="AY290" s="19">
        <v>-394</v>
      </c>
      <c r="AZ290" s="19">
        <v>-368</v>
      </c>
      <c r="BA290" s="19">
        <v>-239</v>
      </c>
      <c r="BB290" s="19">
        <v>-183</v>
      </c>
      <c r="BC290" s="19">
        <v>-162</v>
      </c>
      <c r="BD290" s="19">
        <v>-209</v>
      </c>
      <c r="BE290" s="19">
        <v>-150</v>
      </c>
      <c r="BF290" s="19">
        <v>-263</v>
      </c>
      <c r="BG290" s="19">
        <v>-165</v>
      </c>
      <c r="BH290" s="19">
        <v>-260</v>
      </c>
      <c r="BI290" s="19">
        <v>-117</v>
      </c>
      <c r="BJ290" s="19">
        <v>-221</v>
      </c>
      <c r="BK290" s="19">
        <v>-238</v>
      </c>
      <c r="BL290" s="20">
        <v>-183</v>
      </c>
      <c r="BM290" s="19">
        <v>-183</v>
      </c>
      <c r="BN290" s="19">
        <v>-183</v>
      </c>
      <c r="BO290" s="19">
        <v>-183</v>
      </c>
      <c r="BP290" s="19">
        <v>-183</v>
      </c>
      <c r="BQ290" s="19">
        <v>-183</v>
      </c>
    </row>
    <row r="291" spans="1:69" ht="12" hidden="1" customHeight="1" outlineLevel="2">
      <c r="B291" s="1" t="s">
        <v>173</v>
      </c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20"/>
      <c r="AH291" s="19"/>
      <c r="AI291" s="19"/>
      <c r="AJ291" s="19"/>
      <c r="AK291" s="19"/>
      <c r="AL291" s="19"/>
      <c r="AM291" s="19"/>
      <c r="AN291" s="19"/>
      <c r="AO291" s="19"/>
      <c r="AP291" s="19"/>
      <c r="AQ291" s="19"/>
      <c r="AS291" s="21"/>
      <c r="AT291" s="21"/>
      <c r="AU291" s="21"/>
      <c r="AV291" s="21"/>
      <c r="AW291" s="21"/>
      <c r="AX291" s="19">
        <v>0</v>
      </c>
      <c r="AY291" s="19">
        <v>0</v>
      </c>
      <c r="AZ291" s="19">
        <v>0</v>
      </c>
      <c r="BA291" s="19">
        <v>0</v>
      </c>
      <c r="BB291" s="19">
        <v>0</v>
      </c>
      <c r="BC291" s="19">
        <v>0</v>
      </c>
      <c r="BD291" s="19">
        <v>0</v>
      </c>
      <c r="BE291" s="19">
        <v>0</v>
      </c>
      <c r="BF291" s="19">
        <v>0</v>
      </c>
      <c r="BG291" s="19">
        <v>0</v>
      </c>
      <c r="BH291" s="19">
        <v>0</v>
      </c>
      <c r="BI291" s="19">
        <v>0</v>
      </c>
      <c r="BJ291" s="19">
        <v>0</v>
      </c>
      <c r="BK291" s="19">
        <v>0</v>
      </c>
      <c r="BL291" s="20">
        <v>0</v>
      </c>
      <c r="BM291" s="19">
        <v>0</v>
      </c>
      <c r="BN291" s="19">
        <v>0</v>
      </c>
      <c r="BO291" s="19">
        <v>0</v>
      </c>
      <c r="BP291" s="19">
        <v>0</v>
      </c>
      <c r="BQ291" s="19">
        <v>0</v>
      </c>
    </row>
    <row r="292" spans="1:69" ht="12" hidden="1" customHeight="1" outlineLevel="2">
      <c r="B292" s="1" t="s">
        <v>173</v>
      </c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20"/>
      <c r="AH292" s="19"/>
      <c r="AI292" s="19"/>
      <c r="AJ292" s="19"/>
      <c r="AK292" s="19"/>
      <c r="AL292" s="19"/>
      <c r="AM292" s="19"/>
      <c r="AN292" s="19"/>
      <c r="AO292" s="19"/>
      <c r="AP292" s="19"/>
      <c r="AQ292" s="19"/>
      <c r="AS292" s="21"/>
      <c r="AT292" s="21"/>
      <c r="AU292" s="21"/>
      <c r="AV292" s="21"/>
      <c r="AW292" s="21"/>
      <c r="AX292" s="19">
        <v>0</v>
      </c>
      <c r="AY292" s="19">
        <v>0</v>
      </c>
      <c r="AZ292" s="19">
        <v>0</v>
      </c>
      <c r="BA292" s="19">
        <v>0</v>
      </c>
      <c r="BB292" s="19">
        <v>0</v>
      </c>
      <c r="BC292" s="19">
        <v>0</v>
      </c>
      <c r="BD292" s="19">
        <v>0</v>
      </c>
      <c r="BE292" s="19">
        <v>0</v>
      </c>
      <c r="BF292" s="19">
        <v>0</v>
      </c>
      <c r="BG292" s="19">
        <v>0</v>
      </c>
      <c r="BH292" s="19">
        <v>0</v>
      </c>
      <c r="BI292" s="19">
        <v>0</v>
      </c>
      <c r="BJ292" s="19">
        <v>0</v>
      </c>
      <c r="BK292" s="19">
        <v>0</v>
      </c>
      <c r="BL292" s="20">
        <v>0</v>
      </c>
      <c r="BM292" s="19">
        <v>0</v>
      </c>
      <c r="BN292" s="19">
        <v>0</v>
      </c>
      <c r="BO292" s="19">
        <v>0</v>
      </c>
      <c r="BP292" s="19">
        <v>0</v>
      </c>
      <c r="BQ292" s="19">
        <v>0</v>
      </c>
    </row>
    <row r="293" spans="1:69" ht="12" hidden="1" customHeight="1" outlineLevel="2">
      <c r="B293" s="1" t="s">
        <v>173</v>
      </c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20"/>
      <c r="AH293" s="19"/>
      <c r="AI293" s="19"/>
      <c r="AJ293" s="19"/>
      <c r="AK293" s="19"/>
      <c r="AL293" s="19"/>
      <c r="AM293" s="19"/>
      <c r="AN293" s="19"/>
      <c r="AO293" s="19"/>
      <c r="AP293" s="19"/>
      <c r="AQ293" s="19"/>
      <c r="AS293" s="21"/>
      <c r="AT293" s="21"/>
      <c r="AU293" s="21"/>
      <c r="AV293" s="21"/>
      <c r="AW293" s="21"/>
      <c r="AX293" s="19">
        <v>0</v>
      </c>
      <c r="AY293" s="19">
        <v>0</v>
      </c>
      <c r="AZ293" s="19">
        <v>0</v>
      </c>
      <c r="BA293" s="19">
        <v>0</v>
      </c>
      <c r="BB293" s="19">
        <v>0</v>
      </c>
      <c r="BC293" s="19">
        <v>0</v>
      </c>
      <c r="BD293" s="19">
        <v>0</v>
      </c>
      <c r="BE293" s="19">
        <v>0</v>
      </c>
      <c r="BF293" s="19">
        <v>0</v>
      </c>
      <c r="BG293" s="19">
        <v>0</v>
      </c>
      <c r="BH293" s="19">
        <v>0</v>
      </c>
      <c r="BI293" s="19">
        <v>0</v>
      </c>
      <c r="BJ293" s="19">
        <v>0</v>
      </c>
      <c r="BK293" s="19">
        <v>0</v>
      </c>
      <c r="BL293" s="20">
        <v>0</v>
      </c>
      <c r="BM293" s="19">
        <v>0</v>
      </c>
      <c r="BN293" s="19">
        <v>0</v>
      </c>
      <c r="BO293" s="19">
        <v>0</v>
      </c>
      <c r="BP293" s="19">
        <v>0</v>
      </c>
      <c r="BQ293" s="19">
        <v>0</v>
      </c>
    </row>
    <row r="294" spans="1:69" ht="12" hidden="1" customHeight="1" outlineLevel="2">
      <c r="B294" s="1" t="s">
        <v>173</v>
      </c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20"/>
      <c r="AH294" s="19"/>
      <c r="AI294" s="19"/>
      <c r="AJ294" s="19"/>
      <c r="AK294" s="19"/>
      <c r="AL294" s="19"/>
      <c r="AM294" s="19"/>
      <c r="AN294" s="19"/>
      <c r="AO294" s="19"/>
      <c r="AP294" s="19"/>
      <c r="AQ294" s="19"/>
      <c r="AS294" s="21"/>
      <c r="AT294" s="21"/>
      <c r="AU294" s="21"/>
      <c r="AV294" s="21"/>
      <c r="AW294" s="21"/>
      <c r="AX294" s="19">
        <v>0</v>
      </c>
      <c r="AY294" s="19">
        <v>0</v>
      </c>
      <c r="AZ294" s="19">
        <v>0</v>
      </c>
      <c r="BA294" s="19">
        <v>0</v>
      </c>
      <c r="BB294" s="19">
        <v>0</v>
      </c>
      <c r="BC294" s="19">
        <v>0</v>
      </c>
      <c r="BD294" s="19">
        <v>0</v>
      </c>
      <c r="BE294" s="19">
        <v>0</v>
      </c>
      <c r="BF294" s="19">
        <v>0</v>
      </c>
      <c r="BG294" s="19">
        <v>0</v>
      </c>
      <c r="BH294" s="19">
        <v>0</v>
      </c>
      <c r="BI294" s="19">
        <v>0</v>
      </c>
      <c r="BJ294" s="19">
        <v>0</v>
      </c>
      <c r="BK294" s="19">
        <v>0</v>
      </c>
      <c r="BL294" s="20">
        <v>0</v>
      </c>
      <c r="BM294" s="19">
        <v>0</v>
      </c>
      <c r="BN294" s="19">
        <v>0</v>
      </c>
      <c r="BO294" s="19">
        <v>0</v>
      </c>
      <c r="BP294" s="19">
        <v>0</v>
      </c>
      <c r="BQ294" s="19">
        <v>0</v>
      </c>
    </row>
    <row r="295" spans="1:69" ht="12" hidden="1" customHeight="1" outlineLevel="2">
      <c r="B295" s="1" t="s">
        <v>173</v>
      </c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20"/>
      <c r="AH295" s="19"/>
      <c r="AI295" s="19"/>
      <c r="AJ295" s="19"/>
      <c r="AK295" s="19"/>
      <c r="AL295" s="19"/>
      <c r="AM295" s="19"/>
      <c r="AN295" s="19"/>
      <c r="AO295" s="19"/>
      <c r="AP295" s="19"/>
      <c r="AQ295" s="19"/>
      <c r="AS295" s="21"/>
      <c r="AT295" s="21"/>
      <c r="AU295" s="21"/>
      <c r="AV295" s="21"/>
      <c r="AW295" s="21"/>
      <c r="AX295" s="19">
        <v>0</v>
      </c>
      <c r="AY295" s="19">
        <v>0</v>
      </c>
      <c r="AZ295" s="19">
        <v>0</v>
      </c>
      <c r="BA295" s="19">
        <v>0</v>
      </c>
      <c r="BB295" s="19">
        <v>0</v>
      </c>
      <c r="BC295" s="19">
        <v>0</v>
      </c>
      <c r="BD295" s="19">
        <v>0</v>
      </c>
      <c r="BE295" s="19">
        <v>0</v>
      </c>
      <c r="BF295" s="19">
        <v>0</v>
      </c>
      <c r="BG295" s="19">
        <v>0</v>
      </c>
      <c r="BH295" s="19">
        <v>0</v>
      </c>
      <c r="BI295" s="19">
        <v>0</v>
      </c>
      <c r="BJ295" s="19">
        <v>0</v>
      </c>
      <c r="BK295" s="19">
        <v>0</v>
      </c>
      <c r="BL295" s="20">
        <v>0</v>
      </c>
      <c r="BM295" s="19">
        <v>0</v>
      </c>
      <c r="BN295" s="19">
        <v>0</v>
      </c>
      <c r="BO295" s="19">
        <v>0</v>
      </c>
      <c r="BP295" s="19">
        <v>0</v>
      </c>
      <c r="BQ295" s="19">
        <v>0</v>
      </c>
    </row>
    <row r="296" spans="1:69" ht="12" hidden="1" customHeight="1" outlineLevel="2">
      <c r="B296" s="1" t="s">
        <v>173</v>
      </c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20"/>
      <c r="AH296" s="19"/>
      <c r="AI296" s="19"/>
      <c r="AJ296" s="19"/>
      <c r="AK296" s="19"/>
      <c r="AL296" s="19"/>
      <c r="AM296" s="19"/>
      <c r="AN296" s="19"/>
      <c r="AO296" s="19"/>
      <c r="AP296" s="19"/>
      <c r="AQ296" s="19"/>
      <c r="AS296" s="21"/>
      <c r="AT296" s="21"/>
      <c r="AU296" s="21"/>
      <c r="AV296" s="21"/>
      <c r="AW296" s="21"/>
      <c r="AX296" s="19">
        <v>0</v>
      </c>
      <c r="AY296" s="19">
        <v>0</v>
      </c>
      <c r="AZ296" s="19">
        <v>0</v>
      </c>
      <c r="BA296" s="19">
        <v>0</v>
      </c>
      <c r="BB296" s="19">
        <v>0</v>
      </c>
      <c r="BC296" s="19">
        <v>0</v>
      </c>
      <c r="BD296" s="19">
        <v>0</v>
      </c>
      <c r="BE296" s="19">
        <v>0</v>
      </c>
      <c r="BF296" s="19">
        <v>0</v>
      </c>
      <c r="BG296" s="19">
        <v>0</v>
      </c>
      <c r="BH296" s="19">
        <v>0</v>
      </c>
      <c r="BI296" s="19">
        <v>0</v>
      </c>
      <c r="BJ296" s="19">
        <v>0</v>
      </c>
      <c r="BK296" s="19">
        <v>0</v>
      </c>
      <c r="BL296" s="20">
        <v>0</v>
      </c>
      <c r="BM296" s="19">
        <v>0</v>
      </c>
      <c r="BN296" s="19">
        <v>0</v>
      </c>
      <c r="BO296" s="19">
        <v>0</v>
      </c>
      <c r="BP296" s="19">
        <v>0</v>
      </c>
      <c r="BQ296" s="19">
        <v>0</v>
      </c>
    </row>
    <row r="297" spans="1:69" ht="12" hidden="1" customHeight="1" outlineLevel="2">
      <c r="B297" s="1" t="s">
        <v>173</v>
      </c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20"/>
      <c r="AH297" s="19"/>
      <c r="AI297" s="19"/>
      <c r="AJ297" s="19"/>
      <c r="AK297" s="19"/>
      <c r="AL297" s="19"/>
      <c r="AM297" s="19"/>
      <c r="AN297" s="19"/>
      <c r="AO297" s="19"/>
      <c r="AP297" s="19"/>
      <c r="AQ297" s="19"/>
      <c r="AS297" s="21"/>
      <c r="AT297" s="21"/>
      <c r="AU297" s="21"/>
      <c r="AV297" s="21"/>
      <c r="AW297" s="21"/>
      <c r="AX297" s="19">
        <v>0</v>
      </c>
      <c r="AY297" s="19">
        <v>0</v>
      </c>
      <c r="AZ297" s="19">
        <v>0</v>
      </c>
      <c r="BA297" s="19">
        <v>0</v>
      </c>
      <c r="BB297" s="19">
        <v>0</v>
      </c>
      <c r="BC297" s="19">
        <v>0</v>
      </c>
      <c r="BD297" s="19">
        <v>0</v>
      </c>
      <c r="BE297" s="19">
        <v>0</v>
      </c>
      <c r="BF297" s="19">
        <v>0</v>
      </c>
      <c r="BG297" s="19">
        <v>0</v>
      </c>
      <c r="BH297" s="19">
        <v>0</v>
      </c>
      <c r="BI297" s="19">
        <v>0</v>
      </c>
      <c r="BJ297" s="19">
        <v>0</v>
      </c>
      <c r="BK297" s="19">
        <v>0</v>
      </c>
      <c r="BL297" s="20">
        <v>0</v>
      </c>
      <c r="BM297" s="19">
        <v>0</v>
      </c>
      <c r="BN297" s="19">
        <v>0</v>
      </c>
      <c r="BO297" s="19">
        <v>0</v>
      </c>
      <c r="BP297" s="19">
        <v>0</v>
      </c>
      <c r="BQ297" s="19">
        <v>0</v>
      </c>
    </row>
    <row r="298" spans="1:69" ht="12" hidden="1" customHeight="1" outlineLevel="2">
      <c r="B298" s="1" t="s">
        <v>173</v>
      </c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20"/>
      <c r="AH298" s="19"/>
      <c r="AI298" s="19"/>
      <c r="AJ298" s="19"/>
      <c r="AK298" s="19"/>
      <c r="AL298" s="19"/>
      <c r="AM298" s="19"/>
      <c r="AN298" s="19"/>
      <c r="AO298" s="19"/>
      <c r="AP298" s="19"/>
      <c r="AQ298" s="19"/>
      <c r="AS298" s="21"/>
      <c r="AT298" s="21"/>
      <c r="AU298" s="21"/>
      <c r="AV298" s="21"/>
      <c r="AW298" s="21"/>
      <c r="AX298" s="19">
        <v>0</v>
      </c>
      <c r="AY298" s="19">
        <v>0</v>
      </c>
      <c r="AZ298" s="19">
        <v>0</v>
      </c>
      <c r="BA298" s="19">
        <v>0</v>
      </c>
      <c r="BB298" s="19">
        <v>0</v>
      </c>
      <c r="BC298" s="19">
        <v>0</v>
      </c>
      <c r="BD298" s="19">
        <v>0</v>
      </c>
      <c r="BE298" s="19">
        <v>0</v>
      </c>
      <c r="BF298" s="19">
        <v>0</v>
      </c>
      <c r="BG298" s="19">
        <v>0</v>
      </c>
      <c r="BH298" s="19">
        <v>0</v>
      </c>
      <c r="BI298" s="19">
        <v>0</v>
      </c>
      <c r="BJ298" s="19">
        <v>0</v>
      </c>
      <c r="BK298" s="19">
        <v>0</v>
      </c>
      <c r="BL298" s="20">
        <v>0</v>
      </c>
      <c r="BM298" s="19">
        <v>0</v>
      </c>
      <c r="BN298" s="19">
        <v>0</v>
      </c>
      <c r="BO298" s="19">
        <v>0</v>
      </c>
      <c r="BP298" s="19">
        <v>0</v>
      </c>
      <c r="BQ298" s="19">
        <v>0</v>
      </c>
    </row>
    <row r="299" spans="1:69" ht="12" hidden="1" customHeight="1" outlineLevel="2">
      <c r="B299" s="1" t="s">
        <v>173</v>
      </c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20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S299" s="21"/>
      <c r="AT299" s="21"/>
      <c r="AU299" s="21"/>
      <c r="AV299" s="21"/>
      <c r="AW299" s="21"/>
      <c r="AX299" s="19">
        <v>0</v>
      </c>
      <c r="AY299" s="19">
        <v>0</v>
      </c>
      <c r="AZ299" s="19">
        <v>0</v>
      </c>
      <c r="BA299" s="19">
        <v>0</v>
      </c>
      <c r="BB299" s="19">
        <v>0</v>
      </c>
      <c r="BC299" s="19">
        <v>0</v>
      </c>
      <c r="BD299" s="19">
        <v>0</v>
      </c>
      <c r="BE299" s="19">
        <v>0</v>
      </c>
      <c r="BF299" s="19">
        <v>0</v>
      </c>
      <c r="BG299" s="19">
        <v>0</v>
      </c>
      <c r="BH299" s="19">
        <v>0</v>
      </c>
      <c r="BI299" s="19">
        <v>0</v>
      </c>
      <c r="BJ299" s="19">
        <v>0</v>
      </c>
      <c r="BK299" s="19">
        <v>0</v>
      </c>
      <c r="BL299" s="20">
        <v>0</v>
      </c>
      <c r="BM299" s="19">
        <v>0</v>
      </c>
      <c r="BN299" s="19">
        <v>0</v>
      </c>
      <c r="BO299" s="19">
        <v>0</v>
      </c>
      <c r="BP299" s="19">
        <v>0</v>
      </c>
      <c r="BQ299" s="19">
        <v>0</v>
      </c>
    </row>
    <row r="300" spans="1:69" ht="12" hidden="1" customHeight="1" outlineLevel="2">
      <c r="B300" s="1" t="s">
        <v>173</v>
      </c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20"/>
      <c r="AH300" s="19"/>
      <c r="AI300" s="19"/>
      <c r="AJ300" s="19"/>
      <c r="AK300" s="19"/>
      <c r="AL300" s="19"/>
      <c r="AM300" s="19"/>
      <c r="AN300" s="19"/>
      <c r="AO300" s="19"/>
      <c r="AP300" s="19"/>
      <c r="AQ300" s="19"/>
      <c r="AS300" s="21"/>
      <c r="AT300" s="21"/>
      <c r="AU300" s="21"/>
      <c r="AV300" s="21"/>
      <c r="AW300" s="21"/>
      <c r="AX300" s="19">
        <v>0</v>
      </c>
      <c r="AY300" s="19">
        <v>0</v>
      </c>
      <c r="AZ300" s="19">
        <v>0</v>
      </c>
      <c r="BA300" s="19">
        <v>0</v>
      </c>
      <c r="BB300" s="19">
        <v>0</v>
      </c>
      <c r="BC300" s="19">
        <v>0</v>
      </c>
      <c r="BD300" s="19">
        <v>0</v>
      </c>
      <c r="BE300" s="19">
        <v>0</v>
      </c>
      <c r="BF300" s="19">
        <v>0</v>
      </c>
      <c r="BG300" s="19">
        <v>0</v>
      </c>
      <c r="BH300" s="19">
        <v>0</v>
      </c>
      <c r="BI300" s="19">
        <v>0</v>
      </c>
      <c r="BJ300" s="19">
        <v>0</v>
      </c>
      <c r="BK300" s="19">
        <v>0</v>
      </c>
      <c r="BL300" s="20">
        <v>0</v>
      </c>
      <c r="BM300" s="19">
        <v>0</v>
      </c>
      <c r="BN300" s="19">
        <v>0</v>
      </c>
      <c r="BO300" s="19">
        <v>0</v>
      </c>
      <c r="BP300" s="19">
        <v>0</v>
      </c>
      <c r="BQ300" s="19">
        <v>0</v>
      </c>
    </row>
    <row r="301" spans="1:69" s="9" customFormat="1" ht="12" customHeight="1" outlineLevel="1" collapsed="1">
      <c r="A301" s="91"/>
      <c r="B301" s="9" t="s">
        <v>205</v>
      </c>
      <c r="C301" s="17"/>
      <c r="D301" s="17">
        <v>-1925</v>
      </c>
      <c r="E301" s="17">
        <v>-2466</v>
      </c>
      <c r="F301" s="17">
        <v>-2664</v>
      </c>
      <c r="G301" s="17">
        <v>-2587</v>
      </c>
      <c r="H301" s="17">
        <v>-2254</v>
      </c>
      <c r="I301" s="17">
        <v>-3213</v>
      </c>
      <c r="J301" s="17">
        <v>-2854</v>
      </c>
      <c r="K301" s="17">
        <v>-2636</v>
      </c>
      <c r="L301" s="17">
        <v>-2806</v>
      </c>
      <c r="M301" s="17">
        <v>-2721</v>
      </c>
      <c r="N301" s="17">
        <v>-2885</v>
      </c>
      <c r="O301" s="17">
        <v>-2798</v>
      </c>
      <c r="P301" s="17">
        <v>-2488</v>
      </c>
      <c r="Q301" s="17">
        <v>-2354</v>
      </c>
      <c r="R301" s="17">
        <v>-2250</v>
      </c>
      <c r="S301" s="17">
        <v>-2261</v>
      </c>
      <c r="T301" s="17">
        <v>-2327</v>
      </c>
      <c r="U301" s="17">
        <v>-2534</v>
      </c>
      <c r="V301" s="17">
        <v>-2665</v>
      </c>
      <c r="W301" s="17">
        <v>-2035</v>
      </c>
      <c r="X301" s="17">
        <v>-1933</v>
      </c>
      <c r="Y301" s="17">
        <v>-2195</v>
      </c>
      <c r="Z301" s="17">
        <v>-1836</v>
      </c>
      <c r="AA301" s="17">
        <v>-2239</v>
      </c>
      <c r="AB301" s="17">
        <v>-2480</v>
      </c>
      <c r="AC301" s="17">
        <v>-2983</v>
      </c>
      <c r="AD301" s="17">
        <v>-3245</v>
      </c>
      <c r="AE301" s="17">
        <v>-3293</v>
      </c>
      <c r="AF301" s="17">
        <v>-3436</v>
      </c>
      <c r="AG301" s="18">
        <v>-3645</v>
      </c>
      <c r="AH301" s="17">
        <v>-3709.6314049586781</v>
      </c>
      <c r="AI301" s="17">
        <v>-3776.5680371900835</v>
      </c>
      <c r="AJ301" s="17">
        <v>-3824.3567200619846</v>
      </c>
      <c r="AK301" s="17">
        <v>-3873.1362262751036</v>
      </c>
      <c r="AL301" s="17">
        <v>-3922.9285803014172</v>
      </c>
      <c r="AM301" s="17">
        <v>-3973.7563210655899</v>
      </c>
      <c r="AN301" s="17">
        <v>-4025.6425143715192</v>
      </c>
      <c r="AO301" s="17">
        <v>-4078.6107656358245</v>
      </c>
      <c r="AP301" s="17">
        <v>-4132.6852329359508</v>
      </c>
      <c r="AQ301" s="17">
        <v>-4187.8906403808232</v>
      </c>
      <c r="AS301" s="17">
        <v>-1171</v>
      </c>
      <c r="AT301" s="17">
        <v>-1216</v>
      </c>
      <c r="AU301" s="17">
        <v>-1327</v>
      </c>
      <c r="AV301" s="17">
        <v>-1207</v>
      </c>
      <c r="AW301" s="17">
        <v>-2263</v>
      </c>
      <c r="AX301" s="17">
        <v>-2466</v>
      </c>
      <c r="AY301" s="17">
        <v>-2587</v>
      </c>
      <c r="AZ301" s="17">
        <v>-3213</v>
      </c>
      <c r="BA301" s="17">
        <v>-2636</v>
      </c>
      <c r="BB301" s="17">
        <v>-2721</v>
      </c>
      <c r="BC301" s="17">
        <v>-2798</v>
      </c>
      <c r="BD301" s="17">
        <v>-2354</v>
      </c>
      <c r="BE301" s="17">
        <v>-2261</v>
      </c>
      <c r="BF301" s="17">
        <v>-2534</v>
      </c>
      <c r="BG301" s="17">
        <v>-2035</v>
      </c>
      <c r="BH301" s="17">
        <v>-2195</v>
      </c>
      <c r="BI301" s="17">
        <v>-2239</v>
      </c>
      <c r="BJ301" s="17">
        <v>-2983</v>
      </c>
      <c r="BK301" s="17">
        <v>-3293</v>
      </c>
      <c r="BL301" s="18">
        <v>-3645</v>
      </c>
      <c r="BM301" s="17">
        <v>-3776.5680371900835</v>
      </c>
      <c r="BN301" s="17">
        <v>-3873.1362262751036</v>
      </c>
      <c r="BO301" s="17">
        <v>-3973.7563210655899</v>
      </c>
      <c r="BP301" s="17">
        <v>-4078.6107656358245</v>
      </c>
      <c r="BQ301" s="17">
        <v>-4187.8906403808232</v>
      </c>
    </row>
    <row r="302" spans="1:69" ht="12" customHeight="1" outlineLevel="1"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20"/>
      <c r="AH302" s="19"/>
      <c r="AI302" s="19"/>
      <c r="AJ302" s="19"/>
      <c r="AK302" s="19"/>
      <c r="AL302" s="19"/>
      <c r="AM302" s="19"/>
      <c r="AN302" s="19"/>
      <c r="AO302" s="19"/>
      <c r="AP302" s="19"/>
      <c r="AQ302" s="19"/>
      <c r="AS302" s="19"/>
      <c r="AT302" s="19"/>
      <c r="AU302" s="19"/>
      <c r="AV302" s="19"/>
      <c r="AW302" s="19"/>
      <c r="AX302" s="19"/>
      <c r="AY302" s="19"/>
      <c r="AZ302" s="19"/>
      <c r="BA302" s="19"/>
      <c r="BB302" s="19"/>
      <c r="BC302" s="19"/>
      <c r="BD302" s="19"/>
      <c r="BE302" s="19"/>
      <c r="BF302" s="19"/>
      <c r="BG302" s="19"/>
      <c r="BH302" s="19"/>
      <c r="BI302" s="19"/>
      <c r="BJ302" s="19"/>
    </row>
    <row r="303" spans="1:69" s="9" customFormat="1" ht="12" customHeight="1" outlineLevel="1">
      <c r="A303" s="91" t="s">
        <v>584</v>
      </c>
      <c r="B303" s="103" t="s">
        <v>207</v>
      </c>
      <c r="C303" s="17"/>
      <c r="D303" s="17">
        <v>4581</v>
      </c>
      <c r="E303" s="17">
        <v>5005</v>
      </c>
      <c r="F303" s="17">
        <v>5325</v>
      </c>
      <c r="G303" s="17">
        <v>5477</v>
      </c>
      <c r="H303" s="17">
        <v>6510</v>
      </c>
      <c r="I303" s="17">
        <v>5685</v>
      </c>
      <c r="J303" s="17">
        <v>5509</v>
      </c>
      <c r="K303" s="17">
        <v>5672</v>
      </c>
      <c r="L303" s="17">
        <v>6135</v>
      </c>
      <c r="M303" s="17">
        <v>6318</v>
      </c>
      <c r="N303" s="17">
        <v>6106</v>
      </c>
      <c r="O303" s="17">
        <v>8415</v>
      </c>
      <c r="P303" s="17">
        <v>9068</v>
      </c>
      <c r="Q303" s="17">
        <v>10076</v>
      </c>
      <c r="R303" s="17">
        <v>9757</v>
      </c>
      <c r="S303" s="17">
        <v>10024</v>
      </c>
      <c r="T303" s="17">
        <v>9899</v>
      </c>
      <c r="U303" s="17">
        <v>10128</v>
      </c>
      <c r="V303" s="17">
        <v>9979</v>
      </c>
      <c r="W303" s="17">
        <v>8839</v>
      </c>
      <c r="X303" s="17">
        <v>10035</v>
      </c>
      <c r="Y303" s="17">
        <v>11653</v>
      </c>
      <c r="Z303" s="17">
        <v>12011</v>
      </c>
      <c r="AA303" s="17">
        <v>11840</v>
      </c>
      <c r="AB303" s="17">
        <v>13588</v>
      </c>
      <c r="AC303" s="17">
        <v>14975</v>
      </c>
      <c r="AD303" s="17">
        <v>17408</v>
      </c>
      <c r="AE303" s="17">
        <v>17060</v>
      </c>
      <c r="AF303" s="17">
        <v>16712</v>
      </c>
      <c r="AG303" s="18">
        <v>17708</v>
      </c>
      <c r="AH303" s="17">
        <v>17510.909389963941</v>
      </c>
      <c r="AI303" s="17">
        <v>17703.353691205011</v>
      </c>
      <c r="AJ303" s="17">
        <v>18098.00717265375</v>
      </c>
      <c r="AK303" s="17">
        <v>18840.065604014206</v>
      </c>
      <c r="AL303" s="17">
        <v>19169.393565313811</v>
      </c>
      <c r="AM303" s="17">
        <v>20012.557039771589</v>
      </c>
      <c r="AN303" s="17">
        <v>20370.035757327489</v>
      </c>
      <c r="AO303" s="17">
        <v>21253.359245339849</v>
      </c>
      <c r="AP303" s="17">
        <v>21636.452158845132</v>
      </c>
      <c r="AQ303" s="17">
        <v>22568.590575171387</v>
      </c>
      <c r="AS303" s="17">
        <v>2215</v>
      </c>
      <c r="AT303" s="17">
        <v>2586</v>
      </c>
      <c r="AU303" s="17">
        <v>4664</v>
      </c>
      <c r="AV303" s="17">
        <v>3592</v>
      </c>
      <c r="AW303" s="17">
        <v>3369</v>
      </c>
      <c r="AX303" s="17">
        <v>5005</v>
      </c>
      <c r="AY303" s="17">
        <v>5477</v>
      </c>
      <c r="AZ303" s="17">
        <v>5685</v>
      </c>
      <c r="BA303" s="17">
        <v>5672</v>
      </c>
      <c r="BB303" s="17">
        <v>6318</v>
      </c>
      <c r="BC303" s="17">
        <v>8415</v>
      </c>
      <c r="BD303" s="17">
        <v>10076</v>
      </c>
      <c r="BE303" s="17">
        <v>10024</v>
      </c>
      <c r="BF303" s="17">
        <v>10128</v>
      </c>
      <c r="BG303" s="17">
        <v>8839</v>
      </c>
      <c r="BH303" s="17">
        <v>11653</v>
      </c>
      <c r="BI303" s="17">
        <v>11840</v>
      </c>
      <c r="BJ303" s="17">
        <v>14975</v>
      </c>
      <c r="BK303" s="17">
        <v>17060</v>
      </c>
      <c r="BL303" s="18">
        <v>17708</v>
      </c>
      <c r="BM303" s="17">
        <v>17703.353691205011</v>
      </c>
      <c r="BN303" s="17">
        <v>18840.065604014206</v>
      </c>
      <c r="BO303" s="17">
        <v>20012.557039771589</v>
      </c>
      <c r="BP303" s="17">
        <v>21253.359245339849</v>
      </c>
      <c r="BQ303" s="17">
        <v>22568.590575171387</v>
      </c>
    </row>
    <row r="304" spans="1:69" ht="12" customHeight="1" outlineLevel="1"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20"/>
      <c r="AH304" s="19"/>
      <c r="AI304" s="19"/>
      <c r="AJ304" s="19"/>
      <c r="AK304" s="19"/>
      <c r="AL304" s="19"/>
      <c r="AM304" s="19"/>
      <c r="AN304" s="19"/>
      <c r="AO304" s="19"/>
      <c r="AP304" s="19"/>
      <c r="AQ304" s="19"/>
      <c r="AS304" s="19"/>
      <c r="AT304" s="19"/>
      <c r="AU304" s="19"/>
      <c r="AV304" s="19"/>
      <c r="AW304" s="19"/>
    </row>
    <row r="305" spans="1:69" ht="12" customHeight="1" outlineLevel="1">
      <c r="B305" s="9" t="s">
        <v>193</v>
      </c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20"/>
      <c r="AH305" s="19"/>
      <c r="AI305" s="19"/>
      <c r="AJ305" s="19"/>
      <c r="AK305" s="19"/>
      <c r="AL305" s="19"/>
      <c r="AM305" s="19"/>
      <c r="AN305" s="19"/>
      <c r="AO305" s="19"/>
      <c r="AP305" s="19"/>
      <c r="AQ305" s="19"/>
      <c r="AS305" s="19"/>
      <c r="AT305" s="19"/>
      <c r="AU305" s="19"/>
      <c r="AV305" s="19"/>
      <c r="AW305" s="19"/>
    </row>
    <row r="306" spans="1:69" ht="12" customHeight="1" outlineLevel="1">
      <c r="A306" s="91" t="s">
        <v>585</v>
      </c>
      <c r="B306" s="1" t="s">
        <v>208</v>
      </c>
      <c r="C306" s="19"/>
      <c r="D306" s="21">
        <v>4512</v>
      </c>
      <c r="E306" s="21">
        <v>3880</v>
      </c>
      <c r="F306" s="21">
        <v>3148</v>
      </c>
      <c r="G306" s="21">
        <v>3570</v>
      </c>
      <c r="H306" s="21">
        <v>3145</v>
      </c>
      <c r="I306" s="21">
        <v>3304</v>
      </c>
      <c r="J306" s="21">
        <v>3594</v>
      </c>
      <c r="K306" s="21">
        <v>3993</v>
      </c>
      <c r="L306" s="21">
        <v>4061</v>
      </c>
      <c r="M306" s="21">
        <v>3197</v>
      </c>
      <c r="N306" s="62">
        <v>3586</v>
      </c>
      <c r="O306" s="62">
        <v>3780</v>
      </c>
      <c r="P306" s="62">
        <v>4244</v>
      </c>
      <c r="Q306" s="62">
        <v>3783</v>
      </c>
      <c r="R306" s="62">
        <v>3865</v>
      </c>
      <c r="S306" s="62">
        <v>4415</v>
      </c>
      <c r="T306" s="62">
        <v>4303</v>
      </c>
      <c r="U306" s="62">
        <v>4826</v>
      </c>
      <c r="V306" s="62">
        <v>5524</v>
      </c>
      <c r="W306" s="62">
        <v>9358</v>
      </c>
      <c r="X306" s="62">
        <v>10127</v>
      </c>
      <c r="Y306" s="62">
        <v>9589</v>
      </c>
      <c r="Z306" s="62">
        <v>9075</v>
      </c>
      <c r="AA306" s="62">
        <v>10588</v>
      </c>
      <c r="AB306" s="62">
        <v>10704</v>
      </c>
      <c r="AC306" s="62">
        <v>13315</v>
      </c>
      <c r="AD306" s="62">
        <v>14099</v>
      </c>
      <c r="AE306" s="62">
        <v>16303</v>
      </c>
      <c r="AF306" s="62">
        <v>16000</v>
      </c>
      <c r="AG306" s="57">
        <v>15542</v>
      </c>
      <c r="AH306" s="41">
        <v>15488.120270405288</v>
      </c>
      <c r="AI306" s="41">
        <v>15593.627279520715</v>
      </c>
      <c r="AJ306" s="41">
        <v>15773.597136360553</v>
      </c>
      <c r="AK306" s="41">
        <v>16095.282097438274</v>
      </c>
      <c r="AL306" s="41">
        <v>16249.494860995848</v>
      </c>
      <c r="AM306" s="41">
        <v>16613.138934717012</v>
      </c>
      <c r="AN306" s="41">
        <v>16779.654132282278</v>
      </c>
      <c r="AO306" s="41">
        <v>17160.504566229225</v>
      </c>
      <c r="AP306" s="41">
        <v>17338.328827303889</v>
      </c>
      <c r="AQ306" s="41">
        <v>17739.945447384915</v>
      </c>
      <c r="AS306" s="21"/>
      <c r="AT306" s="21"/>
      <c r="AU306" s="21"/>
      <c r="AV306" s="21"/>
      <c r="AW306" s="21">
        <v>3827</v>
      </c>
      <c r="AX306" s="19">
        <v>3880</v>
      </c>
      <c r="AY306" s="19">
        <v>3570</v>
      </c>
      <c r="AZ306" s="19">
        <v>3304</v>
      </c>
      <c r="BA306" s="19">
        <v>3993</v>
      </c>
      <c r="BB306" s="19">
        <v>3197</v>
      </c>
      <c r="BC306" s="19">
        <v>3780</v>
      </c>
      <c r="BD306" s="19">
        <v>3783</v>
      </c>
      <c r="BE306" s="19">
        <v>4415</v>
      </c>
      <c r="BF306" s="19">
        <v>4826</v>
      </c>
      <c r="BG306" s="19">
        <v>9358</v>
      </c>
      <c r="BH306" s="19">
        <v>9589</v>
      </c>
      <c r="BI306" s="19">
        <v>10588</v>
      </c>
      <c r="BJ306" s="19">
        <v>13315</v>
      </c>
      <c r="BK306" s="19">
        <v>16303</v>
      </c>
      <c r="BL306" s="20">
        <v>15542</v>
      </c>
      <c r="BM306" s="19">
        <v>15593.627279520715</v>
      </c>
      <c r="BN306" s="19">
        <v>16095.282097438274</v>
      </c>
      <c r="BO306" s="19">
        <v>16613.138934717012</v>
      </c>
      <c r="BP306" s="19">
        <v>17160.504566229225</v>
      </c>
      <c r="BQ306" s="19">
        <v>17739.945447384915</v>
      </c>
    </row>
    <row r="307" spans="1:69" ht="12" customHeight="1"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20"/>
      <c r="AH307" s="19"/>
      <c r="AI307" s="19"/>
      <c r="AJ307" s="19"/>
      <c r="AK307" s="19"/>
      <c r="AL307" s="19"/>
      <c r="AM307" s="19"/>
      <c r="AN307" s="19"/>
      <c r="AO307" s="19"/>
      <c r="AP307" s="19"/>
      <c r="AQ307" s="19"/>
      <c r="AS307" s="19"/>
      <c r="AT307" s="19"/>
      <c r="AU307" s="19"/>
      <c r="AV307" s="19"/>
      <c r="AW307" s="19"/>
    </row>
    <row r="308" spans="1:69" s="9" customFormat="1" ht="12" customHeight="1">
      <c r="A308" s="91" t="s">
        <v>586</v>
      </c>
      <c r="B308" s="2" t="s">
        <v>209</v>
      </c>
      <c r="C308" s="2"/>
      <c r="D308" s="93">
        <v>5638.4500000000007</v>
      </c>
      <c r="E308" s="93">
        <v>5998.9724999999999</v>
      </c>
      <c r="F308" s="93">
        <v>6757.6725000000006</v>
      </c>
      <c r="G308" s="93">
        <v>7255.5</v>
      </c>
      <c r="H308" s="93">
        <v>7300.0825000000004</v>
      </c>
      <c r="I308" s="93">
        <v>7332.1675000000005</v>
      </c>
      <c r="J308" s="93">
        <v>7466.8249999999998</v>
      </c>
      <c r="K308" s="93">
        <v>7949.7725</v>
      </c>
      <c r="L308" s="93">
        <v>8612.630000000001</v>
      </c>
      <c r="M308" s="93">
        <v>8243.0849999999991</v>
      </c>
      <c r="N308" s="93">
        <v>8933.1550000000007</v>
      </c>
      <c r="O308" s="93">
        <v>10568.415000000001</v>
      </c>
      <c r="P308" s="93">
        <v>11404.52</v>
      </c>
      <c r="Q308" s="93">
        <v>10991.04</v>
      </c>
      <c r="R308" s="93">
        <v>10968.830000000002</v>
      </c>
      <c r="S308" s="93">
        <v>10952.36</v>
      </c>
      <c r="T308" s="93">
        <v>12552.375</v>
      </c>
      <c r="U308" s="93">
        <v>13258.35</v>
      </c>
      <c r="V308" s="93">
        <v>14703</v>
      </c>
      <c r="W308" s="93">
        <v>14517.115</v>
      </c>
      <c r="X308" s="93">
        <v>16158.74</v>
      </c>
      <c r="Y308" s="93">
        <v>16514.71</v>
      </c>
      <c r="Z308" s="93">
        <v>14360.865</v>
      </c>
      <c r="AA308" s="93">
        <v>16248</v>
      </c>
      <c r="AB308" s="93">
        <v>19443.885000000002</v>
      </c>
      <c r="AC308" s="93">
        <v>21295.8</v>
      </c>
      <c r="AD308" s="93">
        <v>23232.58</v>
      </c>
      <c r="AE308" s="93">
        <v>23210.04</v>
      </c>
      <c r="AF308" s="93">
        <v>24788.44</v>
      </c>
      <c r="AG308" s="94">
        <v>25146.095000000001</v>
      </c>
      <c r="AH308" s="93">
        <v>25946.003293679314</v>
      </c>
      <c r="AI308" s="93">
        <v>26778.480363828436</v>
      </c>
      <c r="AJ308" s="93">
        <v>27341.774672645464</v>
      </c>
      <c r="AK308" s="93">
        <v>27919.259793633864</v>
      </c>
      <c r="AL308" s="93">
        <v>28511.305951404036</v>
      </c>
      <c r="AM308" s="93">
        <v>29118.293211817581</v>
      </c>
      <c r="AN308" s="93">
        <v>29740.611746807655</v>
      </c>
      <c r="AO308" s="93">
        <v>30378.662106395863</v>
      </c>
      <c r="AP308" s="93">
        <v>31032.855498102679</v>
      </c>
      <c r="AQ308" s="93">
        <v>31703.614073954483</v>
      </c>
      <c r="AR308" s="2"/>
      <c r="AS308" s="93">
        <v>1631.1075000000001</v>
      </c>
      <c r="AT308" s="93">
        <v>2371.9575</v>
      </c>
      <c r="AU308" s="93">
        <v>3249.3450000000003</v>
      </c>
      <c r="AV308" s="93">
        <v>3124.605</v>
      </c>
      <c r="AW308" s="93">
        <v>5434.1125000000002</v>
      </c>
      <c r="AX308" s="93">
        <v>5998.9724999999999</v>
      </c>
      <c r="AY308" s="93">
        <v>7255.5</v>
      </c>
      <c r="AZ308" s="93">
        <v>7332.1675000000005</v>
      </c>
      <c r="BA308" s="93">
        <v>7949.7725</v>
      </c>
      <c r="BB308" s="93">
        <v>8243.0849999999991</v>
      </c>
      <c r="BC308" s="93">
        <v>10568.415000000001</v>
      </c>
      <c r="BD308" s="93">
        <v>10991.04</v>
      </c>
      <c r="BE308" s="93">
        <v>10952.36</v>
      </c>
      <c r="BF308" s="93">
        <v>13258.35</v>
      </c>
      <c r="BG308" s="93">
        <v>14517.115</v>
      </c>
      <c r="BH308" s="93">
        <v>16514.71</v>
      </c>
      <c r="BI308" s="93">
        <v>16248</v>
      </c>
      <c r="BJ308" s="93">
        <v>21295.8</v>
      </c>
      <c r="BK308" s="93">
        <v>23210.04</v>
      </c>
      <c r="BL308" s="94">
        <v>25146.095000000001</v>
      </c>
      <c r="BM308" s="93">
        <v>26778.480363828436</v>
      </c>
      <c r="BN308" s="93">
        <v>27919.259793633864</v>
      </c>
      <c r="BO308" s="93">
        <v>29118.293211817581</v>
      </c>
      <c r="BP308" s="93">
        <v>30378.662106395863</v>
      </c>
      <c r="BQ308" s="93">
        <v>31703.614073954483</v>
      </c>
    </row>
    <row r="309" spans="1:69" ht="12" customHeight="1" outlineLevel="1">
      <c r="H309" s="326"/>
      <c r="K309" s="326"/>
      <c r="L309" s="326"/>
      <c r="M309" s="326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20"/>
    </row>
    <row r="310" spans="1:69" ht="12" customHeight="1" outlineLevel="1">
      <c r="B310" s="9" t="s">
        <v>192</v>
      </c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20"/>
      <c r="AH310" s="19"/>
      <c r="AI310" s="19"/>
      <c r="AJ310" s="19"/>
      <c r="AK310" s="19"/>
      <c r="AL310" s="19"/>
      <c r="AM310" s="19"/>
      <c r="AN310" s="19"/>
      <c r="AO310" s="19"/>
      <c r="AP310" s="19"/>
      <c r="AQ310" s="19"/>
      <c r="AS310" s="19"/>
      <c r="AT310" s="19"/>
      <c r="AU310" s="19"/>
      <c r="AV310" s="19"/>
      <c r="AW310" s="19"/>
    </row>
    <row r="311" spans="1:69" ht="12" customHeight="1" outlineLevel="1">
      <c r="B311" s="1" t="s">
        <v>210</v>
      </c>
      <c r="C311" s="19"/>
      <c r="D311" s="21">
        <v>32046</v>
      </c>
      <c r="E311" s="21">
        <v>35117</v>
      </c>
      <c r="F311" s="21">
        <v>40145</v>
      </c>
      <c r="G311" s="21">
        <v>40983</v>
      </c>
      <c r="H311" s="21">
        <v>43375</v>
      </c>
      <c r="I311" s="21">
        <v>38944</v>
      </c>
      <c r="J311" s="21">
        <v>40000</v>
      </c>
      <c r="K311" s="21">
        <v>44134</v>
      </c>
      <c r="L311" s="21">
        <v>47940</v>
      </c>
      <c r="M311" s="21">
        <v>50723</v>
      </c>
      <c r="N311" s="21">
        <v>54885</v>
      </c>
      <c r="O311" s="21">
        <v>70450</v>
      </c>
      <c r="P311" s="21">
        <v>75224</v>
      </c>
      <c r="Q311" s="21">
        <v>79698</v>
      </c>
      <c r="R311" s="21">
        <v>79124</v>
      </c>
      <c r="S311" s="21">
        <v>75997</v>
      </c>
      <c r="T311" s="21">
        <v>76286</v>
      </c>
      <c r="U311" s="21">
        <v>77714</v>
      </c>
      <c r="V311" s="21">
        <v>78769</v>
      </c>
      <c r="W311" s="21">
        <v>62024</v>
      </c>
      <c r="X311" s="21">
        <v>72772</v>
      </c>
      <c r="Y311" s="21">
        <v>80992</v>
      </c>
      <c r="Z311" s="21">
        <v>73966</v>
      </c>
      <c r="AA311" s="21">
        <v>77589</v>
      </c>
      <c r="AB311" s="21">
        <v>96456</v>
      </c>
      <c r="AC311" s="21">
        <v>108487</v>
      </c>
      <c r="AD311" s="21">
        <v>113517</v>
      </c>
      <c r="AE311" s="21">
        <v>97485</v>
      </c>
      <c r="AF311" s="21">
        <v>97783</v>
      </c>
      <c r="AG311" s="24">
        <v>98250</v>
      </c>
      <c r="AH311" s="19">
        <v>101903.9256198347</v>
      </c>
      <c r="AI311" s="19">
        <v>105714.60464876035</v>
      </c>
      <c r="AJ311" s="19">
        <v>108022.00650774794</v>
      </c>
      <c r="AK311" s="19">
        <v>110383.73878063791</v>
      </c>
      <c r="AL311" s="19">
        <v>112801.12618145208</v>
      </c>
      <c r="AM311" s="19">
        <v>115275.52620659961</v>
      </c>
      <c r="AN311" s="19">
        <v>117808.32995108191</v>
      </c>
      <c r="AO311" s="19">
        <v>120400.96294506946</v>
      </c>
      <c r="AP311" s="19">
        <v>123054.88601135879</v>
      </c>
      <c r="AQ311" s="19">
        <v>125771.59614423201</v>
      </c>
      <c r="AS311" s="21">
        <v>14835</v>
      </c>
      <c r="AT311" s="21">
        <v>22308</v>
      </c>
      <c r="AU311" s="21">
        <v>30693</v>
      </c>
      <c r="AV311" s="21">
        <v>27303</v>
      </c>
      <c r="AW311" s="21">
        <v>27615</v>
      </c>
      <c r="AX311" s="19">
        <v>35117</v>
      </c>
      <c r="AY311" s="19">
        <v>40983</v>
      </c>
      <c r="AZ311" s="19">
        <v>38944</v>
      </c>
      <c r="BA311" s="19">
        <v>44134</v>
      </c>
      <c r="BB311" s="19">
        <v>50723</v>
      </c>
      <c r="BC311" s="19">
        <v>70450</v>
      </c>
      <c r="BD311" s="19">
        <v>79698</v>
      </c>
      <c r="BE311" s="19">
        <v>75997</v>
      </c>
      <c r="BF311" s="19">
        <v>77714</v>
      </c>
      <c r="BG311" s="19">
        <v>62024</v>
      </c>
      <c r="BH311" s="19">
        <v>80992</v>
      </c>
      <c r="BI311" s="19">
        <v>77589</v>
      </c>
      <c r="BJ311" s="19">
        <v>108487</v>
      </c>
      <c r="BK311" s="19">
        <v>97485</v>
      </c>
      <c r="BL311" s="20">
        <v>98250</v>
      </c>
      <c r="BM311" s="19">
        <v>105714.60464876035</v>
      </c>
      <c r="BN311" s="19">
        <v>110383.73878063791</v>
      </c>
      <c r="BO311" s="19">
        <v>115275.52620659961</v>
      </c>
      <c r="BP311" s="19">
        <v>120400.96294506946</v>
      </c>
      <c r="BQ311" s="19">
        <v>125771.59614423201</v>
      </c>
    </row>
    <row r="312" spans="1:69" ht="12" customHeight="1" outlineLevel="1">
      <c r="B312" s="1" t="s">
        <v>211</v>
      </c>
      <c r="C312" s="19"/>
      <c r="D312" s="19">
        <v>11014</v>
      </c>
      <c r="E312" s="19">
        <v>12216</v>
      </c>
      <c r="F312" s="19">
        <v>13548</v>
      </c>
      <c r="G312" s="19">
        <v>14417</v>
      </c>
      <c r="H312" s="19">
        <v>14226</v>
      </c>
      <c r="I312" s="19">
        <v>17155</v>
      </c>
      <c r="J312" s="19">
        <v>16010</v>
      </c>
      <c r="K312" s="19">
        <v>14239</v>
      </c>
      <c r="L312" s="19">
        <v>14904</v>
      </c>
      <c r="M312" s="19">
        <v>14975</v>
      </c>
      <c r="N312" s="19">
        <v>15058</v>
      </c>
      <c r="O312" s="19">
        <v>16049</v>
      </c>
      <c r="P312" s="19">
        <v>16688</v>
      </c>
      <c r="Q312" s="19">
        <v>14126</v>
      </c>
      <c r="R312" s="19">
        <v>14474</v>
      </c>
      <c r="S312" s="19">
        <v>14019</v>
      </c>
      <c r="T312" s="19">
        <v>13339</v>
      </c>
      <c r="U312" s="19">
        <v>14016</v>
      </c>
      <c r="V312" s="19">
        <v>17231</v>
      </c>
      <c r="W312" s="19">
        <v>15493</v>
      </c>
      <c r="X312" s="19">
        <v>15320</v>
      </c>
      <c r="Y312" s="19">
        <v>14626</v>
      </c>
      <c r="Z312" s="19">
        <v>14801</v>
      </c>
      <c r="AA312" s="19">
        <v>16411</v>
      </c>
      <c r="AB312" s="19">
        <v>19427</v>
      </c>
      <c r="AC312" s="19">
        <v>22153</v>
      </c>
      <c r="AD312" s="19">
        <v>22847</v>
      </c>
      <c r="AE312" s="19">
        <v>27491</v>
      </c>
      <c r="AF312" s="19">
        <v>28545</v>
      </c>
      <c r="AG312" s="20">
        <v>31789</v>
      </c>
      <c r="AH312" s="19">
        <v>33021.954626934072</v>
      </c>
      <c r="AI312" s="19">
        <v>34307.722070896518</v>
      </c>
      <c r="AJ312" s="19">
        <v>35089.009521284032</v>
      </c>
      <c r="AK312" s="19">
        <v>35888.736236048135</v>
      </c>
      <c r="AL312" s="19">
        <v>36707.35293320335</v>
      </c>
      <c r="AM312" s="19">
        <v>37545.321516047457</v>
      </c>
      <c r="AN312" s="19">
        <v>38403.115352565757</v>
      </c>
      <c r="AO312" s="19">
        <v>39281.2195618365</v>
      </c>
      <c r="AP312" s="19">
        <v>40180.131307612566</v>
      </c>
      <c r="AQ312" s="19">
        <v>41100.36009926004</v>
      </c>
      <c r="AS312" s="19">
        <v>4936</v>
      </c>
      <c r="AT312" s="19">
        <v>6443</v>
      </c>
      <c r="AU312" s="19">
        <v>8693</v>
      </c>
      <c r="AV312" s="19">
        <v>10571</v>
      </c>
      <c r="AW312" s="19">
        <v>9150</v>
      </c>
      <c r="AX312" s="19">
        <v>12216</v>
      </c>
      <c r="AY312" s="19">
        <v>14417</v>
      </c>
      <c r="AZ312" s="19">
        <v>17155</v>
      </c>
      <c r="BA312" s="19">
        <v>14239</v>
      </c>
      <c r="BB312" s="19">
        <v>14975</v>
      </c>
      <c r="BC312" s="19">
        <v>16049</v>
      </c>
      <c r="BD312" s="19">
        <v>14126</v>
      </c>
      <c r="BE312" s="19">
        <v>14019</v>
      </c>
      <c r="BF312" s="19">
        <v>14016</v>
      </c>
      <c r="BG312" s="19">
        <v>15493</v>
      </c>
      <c r="BH312" s="19">
        <v>14626</v>
      </c>
      <c r="BI312" s="19">
        <v>16411</v>
      </c>
      <c r="BJ312" s="19">
        <v>22153</v>
      </c>
      <c r="BK312" s="19">
        <v>27491</v>
      </c>
      <c r="BL312" s="20">
        <v>31789</v>
      </c>
      <c r="BM312" s="19">
        <v>34307.722070896518</v>
      </c>
      <c r="BN312" s="19">
        <v>35888.736236048135</v>
      </c>
      <c r="BO312" s="19">
        <v>37545.321516047457</v>
      </c>
      <c r="BP312" s="19">
        <v>39281.2195618365</v>
      </c>
      <c r="BQ312" s="19">
        <v>41100.36009926004</v>
      </c>
    </row>
    <row r="313" spans="1:69" s="9" customFormat="1" ht="12" customHeight="1" outlineLevel="1">
      <c r="A313" s="91" t="s">
        <v>714</v>
      </c>
      <c r="B313" s="103" t="s">
        <v>212</v>
      </c>
      <c r="C313" s="17"/>
      <c r="D313" s="22">
        <v>43060</v>
      </c>
      <c r="E313" s="22">
        <v>47333</v>
      </c>
      <c r="F313" s="22">
        <v>53693</v>
      </c>
      <c r="G313" s="22">
        <v>55400</v>
      </c>
      <c r="H313" s="22">
        <v>57601</v>
      </c>
      <c r="I313" s="22">
        <v>56099</v>
      </c>
      <c r="J313" s="22">
        <v>56010</v>
      </c>
      <c r="K313" s="22">
        <v>58373</v>
      </c>
      <c r="L313" s="22">
        <v>62844</v>
      </c>
      <c r="M313" s="22">
        <v>65698</v>
      </c>
      <c r="N313" s="22">
        <v>69943</v>
      </c>
      <c r="O313" s="22">
        <v>86499</v>
      </c>
      <c r="P313" s="22">
        <v>91912</v>
      </c>
      <c r="Q313" s="22">
        <v>93824</v>
      </c>
      <c r="R313" s="22">
        <v>93598</v>
      </c>
      <c r="S313" s="22">
        <v>90016</v>
      </c>
      <c r="T313" s="22">
        <v>89625</v>
      </c>
      <c r="U313" s="22">
        <v>91730</v>
      </c>
      <c r="V313" s="22">
        <v>96000</v>
      </c>
      <c r="W313" s="22">
        <v>77517</v>
      </c>
      <c r="X313" s="22">
        <v>88092</v>
      </c>
      <c r="Y313" s="22">
        <v>95618</v>
      </c>
      <c r="Z313" s="22">
        <v>88767</v>
      </c>
      <c r="AA313" s="22">
        <v>94000</v>
      </c>
      <c r="AB313" s="22">
        <v>115883</v>
      </c>
      <c r="AC313" s="22">
        <v>130640</v>
      </c>
      <c r="AD313" s="22">
        <v>136364</v>
      </c>
      <c r="AE313" s="22">
        <v>124976</v>
      </c>
      <c r="AF313" s="22">
        <v>126328</v>
      </c>
      <c r="AG313" s="23">
        <v>130039</v>
      </c>
      <c r="AH313" s="17">
        <v>134925.88024676876</v>
      </c>
      <c r="AI313" s="17">
        <v>140022.32671965688</v>
      </c>
      <c r="AJ313" s="17">
        <v>143111.01602903198</v>
      </c>
      <c r="AK313" s="17">
        <v>146272.47501668605</v>
      </c>
      <c r="AL313" s="17">
        <v>149508.47911465543</v>
      </c>
      <c r="AM313" s="17">
        <v>152820.84772264707</v>
      </c>
      <c r="AN313" s="17">
        <v>156211.44530364766</v>
      </c>
      <c r="AO313" s="17">
        <v>159682.18250690596</v>
      </c>
      <c r="AP313" s="17">
        <v>163235.01731897134</v>
      </c>
      <c r="AQ313" s="17">
        <v>166871.95624349205</v>
      </c>
      <c r="AS313" s="22">
        <v>19771</v>
      </c>
      <c r="AT313" s="22">
        <v>28751</v>
      </c>
      <c r="AU313" s="22">
        <v>39386</v>
      </c>
      <c r="AV313" s="22">
        <v>37874</v>
      </c>
      <c r="AW313" s="22">
        <v>36765</v>
      </c>
      <c r="AX313" s="17">
        <v>47333</v>
      </c>
      <c r="AY313" s="17">
        <v>55400</v>
      </c>
      <c r="AZ313" s="17">
        <v>56099</v>
      </c>
      <c r="BA313" s="17">
        <v>58373</v>
      </c>
      <c r="BB313" s="17">
        <v>65698</v>
      </c>
      <c r="BC313" s="17">
        <v>86499</v>
      </c>
      <c r="BD313" s="17">
        <v>93824</v>
      </c>
      <c r="BE313" s="17">
        <v>90016</v>
      </c>
      <c r="BF313" s="17">
        <v>91730</v>
      </c>
      <c r="BG313" s="17">
        <v>77517</v>
      </c>
      <c r="BH313" s="17">
        <v>95618</v>
      </c>
      <c r="BI313" s="17">
        <v>94000</v>
      </c>
      <c r="BJ313" s="17">
        <v>130640</v>
      </c>
      <c r="BK313" s="17">
        <v>124976</v>
      </c>
      <c r="BL313" s="18">
        <v>130039</v>
      </c>
      <c r="BM313" s="17">
        <v>140022.32671965688</v>
      </c>
      <c r="BN313" s="17">
        <v>146272.47501668605</v>
      </c>
      <c r="BO313" s="17">
        <v>152820.84772264707</v>
      </c>
      <c r="BP313" s="17">
        <v>159682.18250690596</v>
      </c>
      <c r="BQ313" s="17">
        <v>166871.95624349205</v>
      </c>
    </row>
    <row r="314" spans="1:69" ht="12" customHeight="1" outlineLevel="1">
      <c r="C314" s="19"/>
      <c r="D314" s="19"/>
      <c r="E314" s="19"/>
      <c r="F314" s="176"/>
      <c r="G314" s="176"/>
      <c r="H314" s="176"/>
      <c r="I314" s="19"/>
      <c r="J314" s="323"/>
      <c r="K314" s="324"/>
      <c r="L314" s="323"/>
      <c r="M314" s="323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20"/>
      <c r="AH314" s="19"/>
      <c r="AI314" s="19"/>
      <c r="AJ314" s="19"/>
      <c r="AK314" s="19"/>
      <c r="AL314" s="19"/>
      <c r="AM314" s="19"/>
      <c r="AN314" s="19"/>
      <c r="AO314" s="19"/>
      <c r="AP314" s="19"/>
      <c r="AQ314" s="19"/>
      <c r="AS314" s="176"/>
      <c r="AT314" s="176"/>
      <c r="AU314" s="176"/>
      <c r="AV314" s="176"/>
      <c r="AW314" s="19"/>
    </row>
    <row r="315" spans="1:69" ht="12" customHeight="1" outlineLevel="1">
      <c r="B315" s="1" t="s">
        <v>1827</v>
      </c>
      <c r="C315" s="19"/>
      <c r="D315" s="19">
        <v>3552.4500000000003</v>
      </c>
      <c r="E315" s="19">
        <v>3904.9725000000003</v>
      </c>
      <c r="F315" s="19">
        <v>4429.6725000000006</v>
      </c>
      <c r="G315" s="19">
        <v>4570.5</v>
      </c>
      <c r="H315" s="19">
        <v>4752.0825000000004</v>
      </c>
      <c r="I315" s="19">
        <v>4628.1675000000005</v>
      </c>
      <c r="J315" s="19">
        <v>4620.8249999999998</v>
      </c>
      <c r="K315" s="19">
        <v>4815.7725</v>
      </c>
      <c r="L315" s="19">
        <v>5184.63</v>
      </c>
      <c r="M315" s="19">
        <v>5420.085</v>
      </c>
      <c r="N315" s="19">
        <v>5945.1550000000007</v>
      </c>
      <c r="O315" s="19">
        <v>7352.4150000000009</v>
      </c>
      <c r="P315" s="19">
        <v>7812.52</v>
      </c>
      <c r="Q315" s="19">
        <v>7975.0400000000009</v>
      </c>
      <c r="R315" s="19">
        <v>7955.8300000000008</v>
      </c>
      <c r="S315" s="19">
        <v>7651.3600000000006</v>
      </c>
      <c r="T315" s="19">
        <v>8514.375</v>
      </c>
      <c r="U315" s="19">
        <v>8714.35</v>
      </c>
      <c r="V315" s="19">
        <v>9120</v>
      </c>
      <c r="W315" s="19">
        <v>7364.1149999999998</v>
      </c>
      <c r="X315" s="19">
        <v>8368.74</v>
      </c>
      <c r="Y315" s="19">
        <v>9083.7100000000009</v>
      </c>
      <c r="Z315" s="19">
        <v>8432.8649999999998</v>
      </c>
      <c r="AA315" s="19">
        <v>8930</v>
      </c>
      <c r="AB315" s="19">
        <v>11008.885</v>
      </c>
      <c r="AC315" s="19">
        <v>12410.8</v>
      </c>
      <c r="AD315" s="19">
        <v>12954.58</v>
      </c>
      <c r="AE315" s="19">
        <v>12810.039999999999</v>
      </c>
      <c r="AF315" s="19">
        <v>13264.439999999999</v>
      </c>
      <c r="AG315" s="20">
        <v>13654.094999999999</v>
      </c>
      <c r="AH315" s="19">
        <v>14167.21742591072</v>
      </c>
      <c r="AI315" s="19">
        <v>14702.344305563971</v>
      </c>
      <c r="AJ315" s="19">
        <v>15026.656683048357</v>
      </c>
      <c r="AK315" s="19">
        <v>15358.609876752034</v>
      </c>
      <c r="AL315" s="19">
        <v>15698.390307038821</v>
      </c>
      <c r="AM315" s="19">
        <v>16046.189010877943</v>
      </c>
      <c r="AN315" s="19">
        <v>16402.201756883005</v>
      </c>
      <c r="AO315" s="19">
        <v>16766.629163225123</v>
      </c>
      <c r="AP315" s="19">
        <v>17139.676818491989</v>
      </c>
      <c r="AQ315" s="19">
        <v>17521.555405566665</v>
      </c>
      <c r="AS315" s="19">
        <v>1631.1075000000001</v>
      </c>
      <c r="AT315" s="19">
        <v>2371.9575</v>
      </c>
      <c r="AU315" s="19">
        <v>3249.3450000000003</v>
      </c>
      <c r="AV315" s="19">
        <v>3124.605</v>
      </c>
      <c r="AW315" s="19">
        <v>3033.1125000000002</v>
      </c>
      <c r="AX315" s="19">
        <v>3904.9725000000003</v>
      </c>
      <c r="AY315" s="19">
        <v>4570.5</v>
      </c>
      <c r="AZ315" s="19">
        <v>4628.1675000000005</v>
      </c>
      <c r="BA315" s="19">
        <v>4815.7725</v>
      </c>
      <c r="BB315" s="19">
        <v>5420.085</v>
      </c>
      <c r="BC315" s="19">
        <v>7352.4150000000009</v>
      </c>
      <c r="BD315" s="19">
        <v>7975.0400000000009</v>
      </c>
      <c r="BE315" s="19">
        <v>7651.3600000000006</v>
      </c>
      <c r="BF315" s="19">
        <v>8714.35</v>
      </c>
      <c r="BG315" s="19">
        <v>7364.1149999999998</v>
      </c>
      <c r="BH315" s="19">
        <v>9083.7100000000009</v>
      </c>
      <c r="BI315" s="19">
        <v>8930</v>
      </c>
      <c r="BJ315" s="19">
        <v>12410.8</v>
      </c>
      <c r="BK315" s="19">
        <v>12810.039999999999</v>
      </c>
      <c r="BL315" s="20">
        <v>13654.094999999999</v>
      </c>
      <c r="BM315" s="19">
        <v>14702.344305563971</v>
      </c>
      <c r="BN315" s="19">
        <v>15358.609876752034</v>
      </c>
      <c r="BO315" s="19">
        <v>16046.189010877943</v>
      </c>
      <c r="BP315" s="19">
        <v>16766.629163225123</v>
      </c>
      <c r="BQ315" s="19">
        <v>17521.555405566665</v>
      </c>
    </row>
    <row r="316" spans="1:69" ht="12" customHeight="1" outlineLevel="1">
      <c r="B316" s="1" t="s">
        <v>215</v>
      </c>
      <c r="C316" s="19"/>
      <c r="D316" s="21">
        <v>0</v>
      </c>
      <c r="E316" s="21">
        <v>0</v>
      </c>
      <c r="F316" s="21">
        <v>0</v>
      </c>
      <c r="G316" s="21">
        <v>-60</v>
      </c>
      <c r="H316" s="21">
        <v>-60</v>
      </c>
      <c r="I316" s="21">
        <v>-60</v>
      </c>
      <c r="J316" s="21">
        <v>-60</v>
      </c>
      <c r="K316" s="21">
        <v>0</v>
      </c>
      <c r="L316" s="21">
        <v>0</v>
      </c>
      <c r="M316" s="21">
        <v>0</v>
      </c>
      <c r="N316" s="21">
        <v>0</v>
      </c>
      <c r="O316" s="21">
        <v>0</v>
      </c>
      <c r="P316" s="21">
        <v>0</v>
      </c>
      <c r="Q316" s="21">
        <v>0</v>
      </c>
      <c r="R316" s="21">
        <v>0</v>
      </c>
      <c r="S316" s="21">
        <v>0</v>
      </c>
      <c r="T316" s="21">
        <v>0</v>
      </c>
      <c r="U316" s="21">
        <v>0</v>
      </c>
      <c r="V316" s="21">
        <v>0</v>
      </c>
      <c r="W316" s="21">
        <v>0</v>
      </c>
      <c r="X316" s="21">
        <v>0</v>
      </c>
      <c r="Y316" s="21">
        <v>0</v>
      </c>
      <c r="Z316" s="21">
        <v>0</v>
      </c>
      <c r="AA316" s="21">
        <v>0</v>
      </c>
      <c r="AB316" s="21">
        <v>0</v>
      </c>
      <c r="AC316" s="21">
        <v>0</v>
      </c>
      <c r="AD316" s="21">
        <v>0</v>
      </c>
      <c r="AE316" s="21">
        <v>0</v>
      </c>
      <c r="AF316" s="21">
        <v>0</v>
      </c>
      <c r="AG316" s="24">
        <v>0</v>
      </c>
      <c r="AH316" s="58">
        <v>0</v>
      </c>
      <c r="AI316" s="58">
        <v>0</v>
      </c>
      <c r="AJ316" s="58">
        <v>0</v>
      </c>
      <c r="AK316" s="58">
        <v>0</v>
      </c>
      <c r="AL316" s="58">
        <v>0</v>
      </c>
      <c r="AM316" s="58">
        <v>0</v>
      </c>
      <c r="AN316" s="58">
        <v>0</v>
      </c>
      <c r="AO316" s="58">
        <v>0</v>
      </c>
      <c r="AP316" s="58">
        <v>0</v>
      </c>
      <c r="AQ316" s="58">
        <v>0</v>
      </c>
      <c r="AS316" s="21">
        <v>0</v>
      </c>
      <c r="AT316" s="21">
        <v>0</v>
      </c>
      <c r="AU316" s="21">
        <v>0</v>
      </c>
      <c r="AV316" s="21">
        <v>0</v>
      </c>
      <c r="AW316" s="21">
        <v>0</v>
      </c>
      <c r="AX316" s="19">
        <v>0</v>
      </c>
      <c r="AY316" s="19">
        <v>-60</v>
      </c>
      <c r="AZ316" s="19">
        <v>-60</v>
      </c>
      <c r="BA316" s="19">
        <v>0</v>
      </c>
      <c r="BB316" s="19">
        <v>0</v>
      </c>
      <c r="BC316" s="19">
        <v>0</v>
      </c>
      <c r="BD316" s="19">
        <v>0</v>
      </c>
      <c r="BE316" s="19">
        <v>0</v>
      </c>
      <c r="BF316" s="19">
        <v>0</v>
      </c>
      <c r="BG316" s="19">
        <v>0</v>
      </c>
      <c r="BH316" s="19">
        <v>0</v>
      </c>
      <c r="BI316" s="19">
        <v>0</v>
      </c>
      <c r="BJ316" s="19">
        <v>0</v>
      </c>
      <c r="BK316" s="19">
        <v>0</v>
      </c>
      <c r="BL316" s="20">
        <v>0</v>
      </c>
      <c r="BM316" s="19">
        <v>0</v>
      </c>
      <c r="BN316" s="19">
        <v>0</v>
      </c>
      <c r="BO316" s="19">
        <v>0</v>
      </c>
      <c r="BP316" s="19">
        <v>0</v>
      </c>
      <c r="BQ316" s="19">
        <v>0</v>
      </c>
    </row>
    <row r="317" spans="1:69" s="9" customFormat="1" ht="12" customHeight="1" outlineLevel="1">
      <c r="A317" s="91" t="s">
        <v>587</v>
      </c>
      <c r="B317" s="9" t="s">
        <v>216</v>
      </c>
      <c r="C317" s="17"/>
      <c r="D317" s="17">
        <v>3552.4500000000003</v>
      </c>
      <c r="E317" s="17">
        <v>3904.9725000000003</v>
      </c>
      <c r="F317" s="17">
        <v>4429.6725000000006</v>
      </c>
      <c r="G317" s="17">
        <v>4510.5</v>
      </c>
      <c r="H317" s="17">
        <v>4692.0825000000004</v>
      </c>
      <c r="I317" s="17">
        <v>4568.1675000000005</v>
      </c>
      <c r="J317" s="17">
        <v>4560.8249999999998</v>
      </c>
      <c r="K317" s="17">
        <v>4815.7725</v>
      </c>
      <c r="L317" s="17">
        <v>5184.63</v>
      </c>
      <c r="M317" s="17">
        <v>5420.085</v>
      </c>
      <c r="N317" s="17">
        <v>5945.1550000000007</v>
      </c>
      <c r="O317" s="17">
        <v>7352.4150000000009</v>
      </c>
      <c r="P317" s="17">
        <v>7812.52</v>
      </c>
      <c r="Q317" s="17">
        <v>7975.0400000000009</v>
      </c>
      <c r="R317" s="17">
        <v>7955.8300000000008</v>
      </c>
      <c r="S317" s="17">
        <v>7651.3600000000006</v>
      </c>
      <c r="T317" s="17">
        <v>8514.375</v>
      </c>
      <c r="U317" s="17">
        <v>8714.35</v>
      </c>
      <c r="V317" s="17">
        <v>9120</v>
      </c>
      <c r="W317" s="17">
        <v>7364.1149999999998</v>
      </c>
      <c r="X317" s="17">
        <v>8368.74</v>
      </c>
      <c r="Y317" s="17">
        <v>9083.7100000000009</v>
      </c>
      <c r="Z317" s="17">
        <v>8432.8649999999998</v>
      </c>
      <c r="AA317" s="17">
        <v>8930</v>
      </c>
      <c r="AB317" s="17">
        <v>11008.885</v>
      </c>
      <c r="AC317" s="17">
        <v>12410.8</v>
      </c>
      <c r="AD317" s="17">
        <v>12954.58</v>
      </c>
      <c r="AE317" s="17">
        <v>12810.039999999999</v>
      </c>
      <c r="AF317" s="17">
        <v>13264.439999999999</v>
      </c>
      <c r="AG317" s="18">
        <v>13654.094999999999</v>
      </c>
      <c r="AH317" s="17">
        <v>14167.21742591072</v>
      </c>
      <c r="AI317" s="17">
        <v>14702.344305563971</v>
      </c>
      <c r="AJ317" s="17">
        <v>15026.656683048357</v>
      </c>
      <c r="AK317" s="17">
        <v>15358.609876752034</v>
      </c>
      <c r="AL317" s="17">
        <v>15698.390307038821</v>
      </c>
      <c r="AM317" s="17">
        <v>16046.189010877943</v>
      </c>
      <c r="AN317" s="17">
        <v>16402.201756883005</v>
      </c>
      <c r="AO317" s="17">
        <v>16766.629163225123</v>
      </c>
      <c r="AP317" s="17">
        <v>17139.676818491989</v>
      </c>
      <c r="AQ317" s="17">
        <v>17521.555405566665</v>
      </c>
      <c r="AS317" s="17">
        <v>1631.1075000000001</v>
      </c>
      <c r="AT317" s="17">
        <v>2371.9575</v>
      </c>
      <c r="AU317" s="17">
        <v>3249.3450000000003</v>
      </c>
      <c r="AV317" s="17">
        <v>3124.605</v>
      </c>
      <c r="AW317" s="17">
        <v>3033.1125000000002</v>
      </c>
      <c r="AX317" s="17">
        <v>3904.9725000000003</v>
      </c>
      <c r="AY317" s="17">
        <v>4510.5</v>
      </c>
      <c r="AZ317" s="17">
        <v>4568.1675000000005</v>
      </c>
      <c r="BA317" s="17">
        <v>4815.7725</v>
      </c>
      <c r="BB317" s="17">
        <v>5420.085</v>
      </c>
      <c r="BC317" s="17">
        <v>7352.4150000000009</v>
      </c>
      <c r="BD317" s="17">
        <v>7975.0400000000009</v>
      </c>
      <c r="BE317" s="17">
        <v>7651.3600000000006</v>
      </c>
      <c r="BF317" s="17">
        <v>8714.35</v>
      </c>
      <c r="BG317" s="17">
        <v>7364.1149999999998</v>
      </c>
      <c r="BH317" s="17">
        <v>9083.7100000000009</v>
      </c>
      <c r="BI317" s="17">
        <v>8930</v>
      </c>
      <c r="BJ317" s="17">
        <v>12410.8</v>
      </c>
      <c r="BK317" s="17">
        <v>12810.039999999999</v>
      </c>
      <c r="BL317" s="18">
        <v>13654.094999999999</v>
      </c>
      <c r="BM317" s="17">
        <v>14702.344305563971</v>
      </c>
      <c r="BN317" s="17">
        <v>15358.609876752034</v>
      </c>
      <c r="BO317" s="17">
        <v>16046.189010877943</v>
      </c>
      <c r="BP317" s="17">
        <v>16766.629163225123</v>
      </c>
      <c r="BQ317" s="17">
        <v>17521.555405566665</v>
      </c>
    </row>
    <row r="318" spans="1:69" ht="12" customHeight="1" outlineLevel="1"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20"/>
      <c r="AH318" s="19"/>
      <c r="AI318" s="19"/>
      <c r="AJ318" s="19"/>
      <c r="AK318" s="19"/>
      <c r="AL318" s="19"/>
      <c r="AM318" s="19"/>
      <c r="AN318" s="19"/>
      <c r="AO318" s="19"/>
      <c r="AP318" s="19"/>
      <c r="AQ318" s="19"/>
      <c r="AS318" s="19"/>
      <c r="AT318" s="19"/>
      <c r="AU318" s="19"/>
      <c r="AV318" s="19"/>
      <c r="AW318" s="19"/>
    </row>
    <row r="319" spans="1:69" ht="12" customHeight="1" outlineLevel="1">
      <c r="B319" s="9" t="s">
        <v>193</v>
      </c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20"/>
      <c r="AH319" s="19"/>
      <c r="AI319" s="19"/>
      <c r="AJ319" s="19"/>
      <c r="AK319" s="19"/>
      <c r="AL319" s="19"/>
      <c r="AM319" s="19"/>
      <c r="AN319" s="19"/>
      <c r="AO319" s="19"/>
      <c r="AP319" s="19"/>
      <c r="AQ319" s="19"/>
      <c r="AS319" s="19"/>
      <c r="AT319" s="19"/>
      <c r="AU319" s="19"/>
      <c r="AV319" s="19"/>
      <c r="AW319" s="19"/>
    </row>
    <row r="320" spans="1:69" ht="12" customHeight="1" outlineLevel="1">
      <c r="B320" s="1" t="s">
        <v>163</v>
      </c>
      <c r="C320" s="19"/>
      <c r="D320" s="21">
        <v>27</v>
      </c>
      <c r="E320" s="21">
        <v>23</v>
      </c>
      <c r="F320" s="21">
        <v>25</v>
      </c>
      <c r="G320" s="21">
        <v>24</v>
      </c>
      <c r="H320" s="21">
        <v>26</v>
      </c>
      <c r="I320" s="21">
        <v>16</v>
      </c>
      <c r="J320" s="21">
        <v>17</v>
      </c>
      <c r="K320" s="21">
        <v>20</v>
      </c>
      <c r="L320" s="21">
        <v>21</v>
      </c>
      <c r="M320" s="21">
        <v>22</v>
      </c>
      <c r="N320" s="21">
        <v>23</v>
      </c>
      <c r="O320" s="21">
        <v>30</v>
      </c>
      <c r="P320" s="21">
        <v>19</v>
      </c>
      <c r="Q320" s="21">
        <v>18</v>
      </c>
      <c r="R320" s="21">
        <v>22</v>
      </c>
      <c r="S320" s="21">
        <v>20</v>
      </c>
      <c r="T320" s="21">
        <v>22</v>
      </c>
      <c r="U320" s="21">
        <v>28</v>
      </c>
      <c r="V320" s="21">
        <v>38</v>
      </c>
      <c r="W320" s="21">
        <v>34</v>
      </c>
      <c r="X320" s="21">
        <v>57</v>
      </c>
      <c r="Y320" s="21">
        <v>51</v>
      </c>
      <c r="Z320" s="21">
        <v>84</v>
      </c>
      <c r="AA320" s="21">
        <v>80</v>
      </c>
      <c r="AB320" s="21">
        <v>143</v>
      </c>
      <c r="AC320" s="21">
        <v>217</v>
      </c>
      <c r="AD320" s="21">
        <v>293</v>
      </c>
      <c r="AE320" s="21">
        <v>262</v>
      </c>
      <c r="AF320" s="21">
        <v>305</v>
      </c>
      <c r="AG320" s="24">
        <v>247</v>
      </c>
      <c r="AH320" s="19">
        <v>256.18595041322322</v>
      </c>
      <c r="AI320" s="19">
        <v>265.76597809917348</v>
      </c>
      <c r="AJ320" s="19">
        <v>271.56677463016507</v>
      </c>
      <c r="AK320" s="19">
        <v>277.50415754521686</v>
      </c>
      <c r="AL320" s="19">
        <v>283.581457168638</v>
      </c>
      <c r="AM320" s="19">
        <v>289.80208623949221</v>
      </c>
      <c r="AN320" s="19">
        <v>296.16954196353402</v>
      </c>
      <c r="AO320" s="19">
        <v>302.68740811635786</v>
      </c>
      <c r="AP320" s="19">
        <v>309.35935719903944</v>
      </c>
      <c r="AQ320" s="19">
        <v>316.18915264758567</v>
      </c>
      <c r="AS320" s="21"/>
      <c r="AT320" s="21"/>
      <c r="AU320" s="21"/>
      <c r="AV320" s="21"/>
      <c r="AW320" s="21">
        <v>16</v>
      </c>
      <c r="AX320" s="19">
        <v>23</v>
      </c>
      <c r="AY320" s="19">
        <v>24</v>
      </c>
      <c r="AZ320" s="19">
        <v>16</v>
      </c>
      <c r="BA320" s="19">
        <v>20</v>
      </c>
      <c r="BB320" s="19">
        <v>22</v>
      </c>
      <c r="BC320" s="19">
        <v>30</v>
      </c>
      <c r="BD320" s="19">
        <v>18</v>
      </c>
      <c r="BE320" s="19">
        <v>20</v>
      </c>
      <c r="BF320" s="19">
        <v>28</v>
      </c>
      <c r="BG320" s="19">
        <v>34</v>
      </c>
      <c r="BH320" s="19">
        <v>51</v>
      </c>
      <c r="BI320" s="19">
        <v>80</v>
      </c>
      <c r="BJ320" s="19">
        <v>217</v>
      </c>
      <c r="BK320" s="19">
        <v>262</v>
      </c>
      <c r="BL320" s="20">
        <v>247</v>
      </c>
      <c r="BM320" s="19">
        <v>265.76597809917348</v>
      </c>
      <c r="BN320" s="19">
        <v>277.50415754521686</v>
      </c>
      <c r="BO320" s="19">
        <v>289.80208623949221</v>
      </c>
      <c r="BP320" s="19">
        <v>302.68740811635786</v>
      </c>
      <c r="BQ320" s="19">
        <v>316.18915264758567</v>
      </c>
    </row>
    <row r="321" spans="1:69" ht="12" customHeight="1" outlineLevel="1">
      <c r="B321" s="1" t="s">
        <v>218</v>
      </c>
      <c r="C321" s="19"/>
      <c r="D321" s="21">
        <v>80</v>
      </c>
      <c r="E321" s="21">
        <v>85</v>
      </c>
      <c r="F321" s="21">
        <v>88</v>
      </c>
      <c r="G321" s="21">
        <v>278</v>
      </c>
      <c r="H321" s="21">
        <v>95</v>
      </c>
      <c r="I321" s="21">
        <v>115</v>
      </c>
      <c r="J321" s="21">
        <v>120</v>
      </c>
      <c r="K321" s="21">
        <v>149</v>
      </c>
      <c r="L321" s="21">
        <v>192</v>
      </c>
      <c r="M321" s="21">
        <v>150</v>
      </c>
      <c r="N321" s="21">
        <v>137</v>
      </c>
      <c r="O321" s="21">
        <v>127</v>
      </c>
      <c r="P321" s="21">
        <v>169</v>
      </c>
      <c r="Q321" s="21">
        <v>120</v>
      </c>
      <c r="R321" s="21">
        <v>138</v>
      </c>
      <c r="S321" s="21">
        <v>118</v>
      </c>
      <c r="T321" s="21">
        <v>117</v>
      </c>
      <c r="U321" s="21">
        <v>124</v>
      </c>
      <c r="V321" s="21">
        <v>194</v>
      </c>
      <c r="W321" s="21">
        <v>1689</v>
      </c>
      <c r="X321" s="21">
        <v>567</v>
      </c>
      <c r="Y321" s="21">
        <v>758</v>
      </c>
      <c r="Z321" s="21">
        <v>659</v>
      </c>
      <c r="AA321" s="21">
        <v>695</v>
      </c>
      <c r="AB321" s="21">
        <v>967</v>
      </c>
      <c r="AC321" s="21">
        <v>1352</v>
      </c>
      <c r="AD321" s="21">
        <v>1664</v>
      </c>
      <c r="AE321" s="21">
        <v>1842</v>
      </c>
      <c r="AF321" s="21">
        <v>1980</v>
      </c>
      <c r="AG321" s="24">
        <v>2014</v>
      </c>
      <c r="AH321" s="19">
        <v>2088.9008264462814</v>
      </c>
      <c r="AI321" s="19">
        <v>2167.0148983471076</v>
      </c>
      <c r="AJ321" s="19">
        <v>2214.3137008305794</v>
      </c>
      <c r="AK321" s="19">
        <v>2262.726207676385</v>
      </c>
      <c r="AL321" s="19">
        <v>2312.2795738365867</v>
      </c>
      <c r="AM321" s="19">
        <v>2363.0016262604763</v>
      </c>
      <c r="AN321" s="19">
        <v>2414.9208806257429</v>
      </c>
      <c r="AO321" s="19">
        <v>2468.0665584872304</v>
      </c>
      <c r="AP321" s="19">
        <v>2522.4686048537119</v>
      </c>
      <c r="AQ321" s="19">
        <v>2578.157706203398</v>
      </c>
      <c r="AS321" s="21"/>
      <c r="AT321" s="21"/>
      <c r="AU321" s="21"/>
      <c r="AV321" s="21"/>
      <c r="AW321" s="21">
        <v>186</v>
      </c>
      <c r="AX321" s="19">
        <v>85</v>
      </c>
      <c r="AY321" s="19">
        <v>278</v>
      </c>
      <c r="AZ321" s="19">
        <v>115</v>
      </c>
      <c r="BA321" s="19">
        <v>149</v>
      </c>
      <c r="BB321" s="19">
        <v>150</v>
      </c>
      <c r="BC321" s="19">
        <v>127</v>
      </c>
      <c r="BD321" s="19">
        <v>120</v>
      </c>
      <c r="BE321" s="19">
        <v>118</v>
      </c>
      <c r="BF321" s="19">
        <v>124</v>
      </c>
      <c r="BG321" s="19">
        <v>1689</v>
      </c>
      <c r="BH321" s="19">
        <v>758</v>
      </c>
      <c r="BI321" s="19">
        <v>695</v>
      </c>
      <c r="BJ321" s="19">
        <v>1352</v>
      </c>
      <c r="BK321" s="19">
        <v>1842</v>
      </c>
      <c r="BL321" s="20">
        <v>2014</v>
      </c>
      <c r="BM321" s="19">
        <v>2167.0148983471076</v>
      </c>
      <c r="BN321" s="19">
        <v>2262.726207676385</v>
      </c>
      <c r="BO321" s="19">
        <v>2363.0016262604763</v>
      </c>
      <c r="BP321" s="19">
        <v>2468.0665584872304</v>
      </c>
      <c r="BQ321" s="19">
        <v>2578.157706203398</v>
      </c>
    </row>
    <row r="322" spans="1:69" ht="12" customHeight="1" outlineLevel="1">
      <c r="B322" s="1" t="s">
        <v>168</v>
      </c>
      <c r="C322" s="19"/>
      <c r="D322" s="21">
        <v>21</v>
      </c>
      <c r="E322" s="21">
        <v>17</v>
      </c>
      <c r="F322" s="21">
        <v>10</v>
      </c>
      <c r="G322" s="21">
        <v>9</v>
      </c>
      <c r="H322" s="21">
        <v>6</v>
      </c>
      <c r="I322" s="21">
        <v>5</v>
      </c>
      <c r="J322" s="21">
        <v>4</v>
      </c>
      <c r="K322" s="21">
        <v>5</v>
      </c>
      <c r="L322" s="21">
        <v>11</v>
      </c>
      <c r="M322" s="21">
        <v>54</v>
      </c>
      <c r="N322" s="21">
        <v>85</v>
      </c>
      <c r="O322" s="21">
        <v>77</v>
      </c>
      <c r="P322" s="21">
        <v>48</v>
      </c>
      <c r="Q322" s="21">
        <v>68</v>
      </c>
      <c r="R322" s="21">
        <v>73</v>
      </c>
      <c r="S322" s="21">
        <v>68</v>
      </c>
      <c r="T322" s="21">
        <v>85</v>
      </c>
      <c r="U322" s="21">
        <v>81</v>
      </c>
      <c r="V322" s="21">
        <v>130</v>
      </c>
      <c r="W322" s="21">
        <v>96</v>
      </c>
      <c r="X322" s="21">
        <v>102</v>
      </c>
      <c r="Y322" s="21">
        <v>54</v>
      </c>
      <c r="Z322" s="21">
        <v>35</v>
      </c>
      <c r="AA322" s="21">
        <v>67</v>
      </c>
      <c r="AB322" s="21">
        <v>137</v>
      </c>
      <c r="AC322" s="21">
        <v>136</v>
      </c>
      <c r="AD322" s="21">
        <v>144</v>
      </c>
      <c r="AE322" s="21">
        <v>164</v>
      </c>
      <c r="AF322" s="21">
        <v>302</v>
      </c>
      <c r="AG322" s="24">
        <v>162</v>
      </c>
      <c r="AH322" s="19">
        <v>162</v>
      </c>
      <c r="AI322" s="19">
        <v>162</v>
      </c>
      <c r="AJ322" s="19">
        <v>162</v>
      </c>
      <c r="AK322" s="19">
        <v>162</v>
      </c>
      <c r="AL322" s="19">
        <v>162</v>
      </c>
      <c r="AM322" s="19">
        <v>162</v>
      </c>
      <c r="AN322" s="19">
        <v>162</v>
      </c>
      <c r="AO322" s="19">
        <v>162</v>
      </c>
      <c r="AP322" s="19">
        <v>162</v>
      </c>
      <c r="AQ322" s="19">
        <v>162</v>
      </c>
      <c r="AS322" s="21"/>
      <c r="AT322" s="21"/>
      <c r="AU322" s="21"/>
      <c r="AV322" s="21"/>
      <c r="AW322" s="21">
        <v>73</v>
      </c>
      <c r="AX322" s="19">
        <v>17</v>
      </c>
      <c r="AY322" s="19">
        <v>9</v>
      </c>
      <c r="AZ322" s="19">
        <v>5</v>
      </c>
      <c r="BA322" s="19">
        <v>5</v>
      </c>
      <c r="BB322" s="19">
        <v>54</v>
      </c>
      <c r="BC322" s="19">
        <v>77</v>
      </c>
      <c r="BD322" s="19">
        <v>68</v>
      </c>
      <c r="BE322" s="19">
        <v>68</v>
      </c>
      <c r="BF322" s="19">
        <v>81</v>
      </c>
      <c r="BG322" s="19">
        <v>96</v>
      </c>
      <c r="BH322" s="19">
        <v>54</v>
      </c>
      <c r="BI322" s="19">
        <v>67</v>
      </c>
      <c r="BJ322" s="19">
        <v>136</v>
      </c>
      <c r="BK322" s="19">
        <v>164</v>
      </c>
      <c r="BL322" s="20">
        <v>162</v>
      </c>
      <c r="BM322" s="19">
        <v>162</v>
      </c>
      <c r="BN322" s="19">
        <v>162</v>
      </c>
      <c r="BO322" s="19">
        <v>162</v>
      </c>
      <c r="BP322" s="19">
        <v>162</v>
      </c>
      <c r="BQ322" s="19">
        <v>162</v>
      </c>
    </row>
    <row r="323" spans="1:69" ht="12" customHeight="1" outlineLevel="1">
      <c r="B323" s="1" t="s">
        <v>169</v>
      </c>
      <c r="C323" s="19"/>
      <c r="D323" s="21">
        <v>1788</v>
      </c>
      <c r="E323" s="21">
        <v>1685</v>
      </c>
      <c r="F323" s="21">
        <v>1811</v>
      </c>
      <c r="G323" s="21">
        <v>1690</v>
      </c>
      <c r="H323" s="21">
        <v>1866</v>
      </c>
      <c r="I323" s="21">
        <v>1854</v>
      </c>
      <c r="J323" s="21">
        <v>1894</v>
      </c>
      <c r="K323" s="21">
        <v>2121</v>
      </c>
      <c r="L323" s="21">
        <v>2293</v>
      </c>
      <c r="M323" s="21">
        <v>1718</v>
      </c>
      <c r="N323" s="21">
        <v>1662</v>
      </c>
      <c r="O323" s="21">
        <v>1868</v>
      </c>
      <c r="P323" s="21">
        <v>2303</v>
      </c>
      <c r="Q323" s="21">
        <v>2114</v>
      </c>
      <c r="R323" s="21">
        <v>1963</v>
      </c>
      <c r="S323" s="21">
        <v>2054</v>
      </c>
      <c r="T323" s="21">
        <v>2715</v>
      </c>
      <c r="U323" s="21">
        <v>2597</v>
      </c>
      <c r="V323" s="21">
        <v>2509</v>
      </c>
      <c r="W323" s="21">
        <v>2473</v>
      </c>
      <c r="X323" s="21">
        <v>4042</v>
      </c>
      <c r="Y323" s="21">
        <v>3411</v>
      </c>
      <c r="Z323" s="21">
        <v>2850</v>
      </c>
      <c r="AA323" s="21">
        <v>2355</v>
      </c>
      <c r="AB323" s="21">
        <v>2498</v>
      </c>
      <c r="AC323" s="21">
        <v>2402</v>
      </c>
      <c r="AD323" s="21">
        <v>3170</v>
      </c>
      <c r="AE323" s="21">
        <v>3414</v>
      </c>
      <c r="AF323" s="21">
        <v>4008</v>
      </c>
      <c r="AG323" s="24">
        <v>4493</v>
      </c>
      <c r="AH323" s="19">
        <v>4627.79</v>
      </c>
      <c r="AI323" s="19">
        <v>4766.6236999999992</v>
      </c>
      <c r="AJ323" s="19">
        <v>4909.6224110000003</v>
      </c>
      <c r="AK323" s="19">
        <v>5056.9110833300001</v>
      </c>
      <c r="AL323" s="19">
        <v>5208.6184158299011</v>
      </c>
      <c r="AM323" s="19">
        <v>5364.8769683047994</v>
      </c>
      <c r="AN323" s="19">
        <v>5525.8232773539421</v>
      </c>
      <c r="AO323" s="19">
        <v>5691.5979756745619</v>
      </c>
      <c r="AP323" s="19">
        <v>5862.3459149447981</v>
      </c>
      <c r="AQ323" s="19">
        <v>6038.2162923931428</v>
      </c>
      <c r="AS323" s="21"/>
      <c r="AT323" s="21"/>
      <c r="AU323" s="21"/>
      <c r="AV323" s="21"/>
      <c r="AW323" s="21">
        <v>2120</v>
      </c>
      <c r="AX323" s="19">
        <v>1685</v>
      </c>
      <c r="AY323" s="19">
        <v>1690</v>
      </c>
      <c r="AZ323" s="19">
        <v>1854</v>
      </c>
      <c r="BA323" s="19">
        <v>2121</v>
      </c>
      <c r="BB323" s="19">
        <v>1718</v>
      </c>
      <c r="BC323" s="19">
        <v>1868</v>
      </c>
      <c r="BD323" s="19">
        <v>2114</v>
      </c>
      <c r="BE323" s="19">
        <v>2054</v>
      </c>
      <c r="BF323" s="19">
        <v>2597</v>
      </c>
      <c r="BG323" s="19">
        <v>2473</v>
      </c>
      <c r="BH323" s="19">
        <v>3411</v>
      </c>
      <c r="BI323" s="19">
        <v>2355</v>
      </c>
      <c r="BJ323" s="19">
        <v>2402</v>
      </c>
      <c r="BK323" s="19">
        <v>3414</v>
      </c>
      <c r="BL323" s="20">
        <v>4493</v>
      </c>
      <c r="BM323" s="19">
        <v>4766.6236999999992</v>
      </c>
      <c r="BN323" s="19">
        <v>5056.9110833300001</v>
      </c>
      <c r="BO323" s="19">
        <v>5364.8769683047994</v>
      </c>
      <c r="BP323" s="19">
        <v>5691.5979756745619</v>
      </c>
      <c r="BQ323" s="19">
        <v>6038.2162923931428</v>
      </c>
    </row>
    <row r="324" spans="1:69" ht="12" customHeight="1" outlineLevel="1">
      <c r="B324" s="1" t="s">
        <v>170</v>
      </c>
      <c r="C324" s="19"/>
      <c r="D324" s="21">
        <v>211</v>
      </c>
      <c r="E324" s="21">
        <v>276</v>
      </c>
      <c r="F324" s="21">
        <v>284</v>
      </c>
      <c r="G324" s="21">
        <v>325</v>
      </c>
      <c r="H324" s="21">
        <v>322</v>
      </c>
      <c r="I324" s="21">
        <v>364</v>
      </c>
      <c r="J324" s="21">
        <v>286</v>
      </c>
      <c r="K324" s="21">
        <v>290</v>
      </c>
      <c r="L324" s="21">
        <v>293</v>
      </c>
      <c r="M324" s="21">
        <v>286</v>
      </c>
      <c r="N324" s="21">
        <v>310</v>
      </c>
      <c r="O324" s="21">
        <v>254</v>
      </c>
      <c r="P324" s="21">
        <v>337</v>
      </c>
      <c r="Q324" s="21">
        <v>249</v>
      </c>
      <c r="R324" s="21">
        <v>253</v>
      </c>
      <c r="S324" s="21">
        <v>198</v>
      </c>
      <c r="T324" s="21">
        <v>275</v>
      </c>
      <c r="U324" s="21">
        <v>288</v>
      </c>
      <c r="V324" s="21">
        <v>914</v>
      </c>
      <c r="W324" s="21">
        <v>930</v>
      </c>
      <c r="X324" s="21">
        <v>1001</v>
      </c>
      <c r="Y324" s="21">
        <v>1126</v>
      </c>
      <c r="Z324" s="21">
        <v>896</v>
      </c>
      <c r="AA324" s="21">
        <v>956</v>
      </c>
      <c r="AB324" s="21">
        <v>1835</v>
      </c>
      <c r="AC324" s="21">
        <v>1843</v>
      </c>
      <c r="AD324" s="21">
        <v>2012</v>
      </c>
      <c r="AE324" s="21">
        <v>1925</v>
      </c>
      <c r="AF324" s="21">
        <v>2107</v>
      </c>
      <c r="AG324" s="24">
        <v>1826</v>
      </c>
      <c r="AH324" s="19">
        <v>1893.909090909091</v>
      </c>
      <c r="AI324" s="19">
        <v>1964.7314818181819</v>
      </c>
      <c r="AJ324" s="19">
        <v>2007.6151031363634</v>
      </c>
      <c r="AK324" s="19">
        <v>2051.5084683302271</v>
      </c>
      <c r="AL324" s="19">
        <v>2096.4361975300908</v>
      </c>
      <c r="AM324" s="19">
        <v>2142.4235201348683</v>
      </c>
      <c r="AN324" s="19">
        <v>2189.4962899814304</v>
      </c>
      <c r="AO324" s="19">
        <v>2237.6810008925886</v>
      </c>
      <c r="AP324" s="19">
        <v>2287.0048026131412</v>
      </c>
      <c r="AQ324" s="19">
        <v>2337.4955171436909</v>
      </c>
      <c r="AS324" s="21"/>
      <c r="AT324" s="21"/>
      <c r="AU324" s="21"/>
      <c r="AV324" s="21"/>
      <c r="AW324" s="21">
        <v>222</v>
      </c>
      <c r="AX324" s="19">
        <v>276</v>
      </c>
      <c r="AY324" s="19">
        <v>325</v>
      </c>
      <c r="AZ324" s="19">
        <v>364</v>
      </c>
      <c r="BA324" s="19">
        <v>290</v>
      </c>
      <c r="BB324" s="19">
        <v>286</v>
      </c>
      <c r="BC324" s="19">
        <v>254</v>
      </c>
      <c r="BD324" s="19">
        <v>249</v>
      </c>
      <c r="BE324" s="19">
        <v>198</v>
      </c>
      <c r="BF324" s="19">
        <v>288</v>
      </c>
      <c r="BG324" s="19">
        <v>930</v>
      </c>
      <c r="BH324" s="19">
        <v>1126</v>
      </c>
      <c r="BI324" s="19">
        <v>956</v>
      </c>
      <c r="BJ324" s="19">
        <v>1843</v>
      </c>
      <c r="BK324" s="19">
        <v>1925</v>
      </c>
      <c r="BL324" s="20">
        <v>1826</v>
      </c>
      <c r="BM324" s="19">
        <v>1964.7314818181819</v>
      </c>
      <c r="BN324" s="19">
        <v>2051.5084683302271</v>
      </c>
      <c r="BO324" s="19">
        <v>2142.4235201348683</v>
      </c>
      <c r="BP324" s="19">
        <v>2237.6810008925886</v>
      </c>
      <c r="BQ324" s="19">
        <v>2337.4955171436909</v>
      </c>
    </row>
    <row r="325" spans="1:69" ht="12" customHeight="1" outlineLevel="1">
      <c r="B325" s="1" t="s">
        <v>219</v>
      </c>
      <c r="C325" s="19"/>
      <c r="D325" s="19">
        <v>-41</v>
      </c>
      <c r="E325" s="19">
        <v>8</v>
      </c>
      <c r="F325" s="19">
        <v>110</v>
      </c>
      <c r="G325" s="19">
        <v>419</v>
      </c>
      <c r="H325" s="19">
        <v>293</v>
      </c>
      <c r="I325" s="19">
        <v>410</v>
      </c>
      <c r="J325" s="19">
        <v>585</v>
      </c>
      <c r="K325" s="19">
        <v>549</v>
      </c>
      <c r="L325" s="19">
        <v>618</v>
      </c>
      <c r="M325" s="19">
        <v>593</v>
      </c>
      <c r="N325" s="59">
        <v>771</v>
      </c>
      <c r="O325" s="59">
        <v>860</v>
      </c>
      <c r="P325" s="59">
        <v>716</v>
      </c>
      <c r="Q325" s="59">
        <v>447</v>
      </c>
      <c r="R325" s="59">
        <v>564</v>
      </c>
      <c r="S325" s="59">
        <v>843</v>
      </c>
      <c r="T325" s="59">
        <v>824</v>
      </c>
      <c r="U325" s="59">
        <v>1426</v>
      </c>
      <c r="V325" s="59">
        <v>1798</v>
      </c>
      <c r="W325" s="59">
        <v>1931</v>
      </c>
      <c r="X325" s="59">
        <v>2021</v>
      </c>
      <c r="Y325" s="59">
        <v>2031</v>
      </c>
      <c r="Z325" s="59">
        <v>1404</v>
      </c>
      <c r="AA325" s="59">
        <v>3165</v>
      </c>
      <c r="AB325" s="59">
        <v>2855</v>
      </c>
      <c r="AC325" s="59">
        <v>2935</v>
      </c>
      <c r="AD325" s="59">
        <v>2995</v>
      </c>
      <c r="AE325" s="59">
        <v>2793</v>
      </c>
      <c r="AF325" s="59">
        <v>2822</v>
      </c>
      <c r="AG325" s="60">
        <v>2750</v>
      </c>
      <c r="AH325" s="58">
        <v>2750</v>
      </c>
      <c r="AI325" s="58">
        <v>2750</v>
      </c>
      <c r="AJ325" s="58">
        <v>2750</v>
      </c>
      <c r="AK325" s="58">
        <v>2750</v>
      </c>
      <c r="AL325" s="58">
        <v>2750</v>
      </c>
      <c r="AM325" s="58">
        <v>2750</v>
      </c>
      <c r="AN325" s="58">
        <v>2750</v>
      </c>
      <c r="AO325" s="58">
        <v>2750</v>
      </c>
      <c r="AP325" s="58">
        <v>2750</v>
      </c>
      <c r="AQ325" s="58">
        <v>2750</v>
      </c>
      <c r="AS325" s="19"/>
      <c r="AT325" s="19"/>
      <c r="AU325" s="19"/>
      <c r="AV325" s="19"/>
      <c r="AW325" s="19">
        <v>-216</v>
      </c>
      <c r="AX325" s="19">
        <v>8</v>
      </c>
      <c r="AY325" s="19">
        <v>419</v>
      </c>
      <c r="AZ325" s="19">
        <v>410</v>
      </c>
      <c r="BA325" s="19">
        <v>549</v>
      </c>
      <c r="BB325" s="19">
        <v>593</v>
      </c>
      <c r="BC325" s="19">
        <v>860</v>
      </c>
      <c r="BD325" s="19">
        <v>447</v>
      </c>
      <c r="BE325" s="19">
        <v>843</v>
      </c>
      <c r="BF325" s="19">
        <v>1426</v>
      </c>
      <c r="BG325" s="19">
        <v>1931</v>
      </c>
      <c r="BH325" s="19">
        <v>2031</v>
      </c>
      <c r="BI325" s="19">
        <v>3165</v>
      </c>
      <c r="BJ325" s="19">
        <v>2935</v>
      </c>
      <c r="BK325" s="19">
        <v>2793</v>
      </c>
      <c r="BL325" s="20">
        <v>2750</v>
      </c>
      <c r="BM325" s="19">
        <v>2750</v>
      </c>
      <c r="BN325" s="19">
        <v>2750</v>
      </c>
      <c r="BO325" s="19">
        <v>2750</v>
      </c>
      <c r="BP325" s="19">
        <v>2750</v>
      </c>
      <c r="BQ325" s="19">
        <v>2750</v>
      </c>
    </row>
    <row r="326" spans="1:69" ht="12" hidden="1" customHeight="1" outlineLevel="2">
      <c r="B326" s="1" t="s">
        <v>173</v>
      </c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20"/>
      <c r="AH326" s="19"/>
      <c r="AI326" s="19"/>
      <c r="AJ326" s="19"/>
      <c r="AK326" s="19"/>
      <c r="AL326" s="19"/>
      <c r="AM326" s="19"/>
      <c r="AN326" s="19"/>
      <c r="AO326" s="19"/>
      <c r="AP326" s="19"/>
      <c r="AQ326" s="19"/>
      <c r="AS326" s="21"/>
      <c r="AT326" s="21"/>
      <c r="AU326" s="21"/>
      <c r="AV326" s="21"/>
      <c r="AW326" s="21"/>
      <c r="AX326" s="19">
        <v>0</v>
      </c>
      <c r="AY326" s="19">
        <v>0</v>
      </c>
      <c r="AZ326" s="19">
        <v>0</v>
      </c>
      <c r="BA326" s="19">
        <v>0</v>
      </c>
      <c r="BB326" s="19">
        <v>0</v>
      </c>
      <c r="BC326" s="19">
        <v>0</v>
      </c>
      <c r="BD326" s="19">
        <v>0</v>
      </c>
      <c r="BE326" s="19">
        <v>0</v>
      </c>
      <c r="BF326" s="19">
        <v>0</v>
      </c>
      <c r="BG326" s="19">
        <v>0</v>
      </c>
      <c r="BH326" s="19">
        <v>0</v>
      </c>
      <c r="BI326" s="19">
        <v>0</v>
      </c>
      <c r="BJ326" s="19">
        <v>0</v>
      </c>
      <c r="BK326" s="19">
        <v>0</v>
      </c>
      <c r="BL326" s="20">
        <v>0</v>
      </c>
      <c r="BM326" s="19">
        <v>0</v>
      </c>
      <c r="BN326" s="19">
        <v>0</v>
      </c>
      <c r="BO326" s="19">
        <v>0</v>
      </c>
      <c r="BP326" s="19">
        <v>0</v>
      </c>
      <c r="BQ326" s="19">
        <v>0</v>
      </c>
    </row>
    <row r="327" spans="1:69" ht="12" hidden="1" customHeight="1" outlineLevel="2">
      <c r="B327" s="1" t="s">
        <v>173</v>
      </c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20"/>
      <c r="AH327" s="19"/>
      <c r="AI327" s="19"/>
      <c r="AJ327" s="19"/>
      <c r="AK327" s="19"/>
      <c r="AL327" s="19"/>
      <c r="AM327" s="19"/>
      <c r="AN327" s="19"/>
      <c r="AO327" s="19"/>
      <c r="AP327" s="19"/>
      <c r="AQ327" s="19"/>
      <c r="AS327" s="21"/>
      <c r="AT327" s="21"/>
      <c r="AU327" s="21"/>
      <c r="AV327" s="21"/>
      <c r="AW327" s="21"/>
      <c r="AX327" s="19">
        <v>0</v>
      </c>
      <c r="AY327" s="19">
        <v>0</v>
      </c>
      <c r="AZ327" s="19">
        <v>0</v>
      </c>
      <c r="BA327" s="19">
        <v>0</v>
      </c>
      <c r="BB327" s="19">
        <v>0</v>
      </c>
      <c r="BC327" s="19">
        <v>0</v>
      </c>
      <c r="BD327" s="19">
        <v>0</v>
      </c>
      <c r="BE327" s="19">
        <v>0</v>
      </c>
      <c r="BF327" s="19">
        <v>0</v>
      </c>
      <c r="BG327" s="19">
        <v>0</v>
      </c>
      <c r="BH327" s="19">
        <v>0</v>
      </c>
      <c r="BI327" s="19">
        <v>0</v>
      </c>
      <c r="BJ327" s="19">
        <v>0</v>
      </c>
      <c r="BK327" s="19">
        <v>0</v>
      </c>
      <c r="BL327" s="20">
        <v>0</v>
      </c>
      <c r="BM327" s="19">
        <v>0</v>
      </c>
      <c r="BN327" s="19">
        <v>0</v>
      </c>
      <c r="BO327" s="19">
        <v>0</v>
      </c>
      <c r="BP327" s="19">
        <v>0</v>
      </c>
      <c r="BQ327" s="19">
        <v>0</v>
      </c>
    </row>
    <row r="328" spans="1:69" ht="12" hidden="1" customHeight="1" outlineLevel="2">
      <c r="B328" s="1" t="s">
        <v>173</v>
      </c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20"/>
      <c r="AH328" s="19"/>
      <c r="AI328" s="19"/>
      <c r="AJ328" s="19"/>
      <c r="AK328" s="19"/>
      <c r="AL328" s="19"/>
      <c r="AM328" s="19"/>
      <c r="AN328" s="19"/>
      <c r="AO328" s="19"/>
      <c r="AP328" s="19"/>
      <c r="AQ328" s="19"/>
      <c r="AS328" s="21"/>
      <c r="AT328" s="21"/>
      <c r="AU328" s="21"/>
      <c r="AV328" s="21"/>
      <c r="AW328" s="21"/>
      <c r="AX328" s="19">
        <v>0</v>
      </c>
      <c r="AY328" s="19">
        <v>0</v>
      </c>
      <c r="AZ328" s="19">
        <v>0</v>
      </c>
      <c r="BA328" s="19">
        <v>0</v>
      </c>
      <c r="BB328" s="19">
        <v>0</v>
      </c>
      <c r="BC328" s="19">
        <v>0</v>
      </c>
      <c r="BD328" s="19">
        <v>0</v>
      </c>
      <c r="BE328" s="19">
        <v>0</v>
      </c>
      <c r="BF328" s="19">
        <v>0</v>
      </c>
      <c r="BG328" s="19">
        <v>0</v>
      </c>
      <c r="BH328" s="19">
        <v>0</v>
      </c>
      <c r="BI328" s="19">
        <v>0</v>
      </c>
      <c r="BJ328" s="19">
        <v>0</v>
      </c>
      <c r="BK328" s="19">
        <v>0</v>
      </c>
      <c r="BL328" s="20">
        <v>0</v>
      </c>
      <c r="BM328" s="19">
        <v>0</v>
      </c>
      <c r="BN328" s="19">
        <v>0</v>
      </c>
      <c r="BO328" s="19">
        <v>0</v>
      </c>
      <c r="BP328" s="19">
        <v>0</v>
      </c>
      <c r="BQ328" s="19">
        <v>0</v>
      </c>
    </row>
    <row r="329" spans="1:69" ht="12" hidden="1" customHeight="1" outlineLevel="2">
      <c r="B329" s="1" t="s">
        <v>173</v>
      </c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20"/>
      <c r="AH329" s="19"/>
      <c r="AI329" s="19"/>
      <c r="AJ329" s="19"/>
      <c r="AK329" s="19"/>
      <c r="AL329" s="19"/>
      <c r="AM329" s="19"/>
      <c r="AN329" s="19"/>
      <c r="AO329" s="19"/>
      <c r="AP329" s="19"/>
      <c r="AQ329" s="19"/>
      <c r="AS329" s="21"/>
      <c r="AT329" s="21"/>
      <c r="AU329" s="21"/>
      <c r="AV329" s="21"/>
      <c r="AW329" s="21"/>
      <c r="AX329" s="19">
        <v>0</v>
      </c>
      <c r="AY329" s="19">
        <v>0</v>
      </c>
      <c r="AZ329" s="19">
        <v>0</v>
      </c>
      <c r="BA329" s="19">
        <v>0</v>
      </c>
      <c r="BB329" s="19">
        <v>0</v>
      </c>
      <c r="BC329" s="19">
        <v>0</v>
      </c>
      <c r="BD329" s="19">
        <v>0</v>
      </c>
      <c r="BE329" s="19">
        <v>0</v>
      </c>
      <c r="BF329" s="19">
        <v>0</v>
      </c>
      <c r="BG329" s="19">
        <v>0</v>
      </c>
      <c r="BH329" s="19">
        <v>0</v>
      </c>
      <c r="BI329" s="19">
        <v>0</v>
      </c>
      <c r="BJ329" s="19">
        <v>0</v>
      </c>
      <c r="BK329" s="19">
        <v>0</v>
      </c>
      <c r="BL329" s="20">
        <v>0</v>
      </c>
      <c r="BM329" s="19">
        <v>0</v>
      </c>
      <c r="BN329" s="19">
        <v>0</v>
      </c>
      <c r="BO329" s="19">
        <v>0</v>
      </c>
      <c r="BP329" s="19">
        <v>0</v>
      </c>
      <c r="BQ329" s="19">
        <v>0</v>
      </c>
    </row>
    <row r="330" spans="1:69" ht="12" hidden="1" customHeight="1" outlineLevel="2">
      <c r="B330" s="1" t="s">
        <v>173</v>
      </c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20"/>
      <c r="AH330" s="19"/>
      <c r="AI330" s="19"/>
      <c r="AJ330" s="19"/>
      <c r="AK330" s="19"/>
      <c r="AL330" s="19"/>
      <c r="AM330" s="19"/>
      <c r="AN330" s="19"/>
      <c r="AO330" s="19"/>
      <c r="AP330" s="19"/>
      <c r="AQ330" s="19"/>
      <c r="AS330" s="21"/>
      <c r="AT330" s="21"/>
      <c r="AU330" s="21"/>
      <c r="AV330" s="21"/>
      <c r="AW330" s="21"/>
      <c r="AX330" s="19">
        <v>0</v>
      </c>
      <c r="AY330" s="19">
        <v>0</v>
      </c>
      <c r="AZ330" s="19">
        <v>0</v>
      </c>
      <c r="BA330" s="19">
        <v>0</v>
      </c>
      <c r="BB330" s="19">
        <v>0</v>
      </c>
      <c r="BC330" s="19">
        <v>0</v>
      </c>
      <c r="BD330" s="19">
        <v>0</v>
      </c>
      <c r="BE330" s="19">
        <v>0</v>
      </c>
      <c r="BF330" s="19">
        <v>0</v>
      </c>
      <c r="BG330" s="19">
        <v>0</v>
      </c>
      <c r="BH330" s="19">
        <v>0</v>
      </c>
      <c r="BI330" s="19">
        <v>0</v>
      </c>
      <c r="BJ330" s="19">
        <v>0</v>
      </c>
      <c r="BK330" s="19">
        <v>0</v>
      </c>
      <c r="BL330" s="20">
        <v>0</v>
      </c>
      <c r="BM330" s="19">
        <v>0</v>
      </c>
      <c r="BN330" s="19">
        <v>0</v>
      </c>
      <c r="BO330" s="19">
        <v>0</v>
      </c>
      <c r="BP330" s="19">
        <v>0</v>
      </c>
      <c r="BQ330" s="19">
        <v>0</v>
      </c>
    </row>
    <row r="331" spans="1:69" ht="12" hidden="1" customHeight="1" outlineLevel="2">
      <c r="B331" s="1" t="s">
        <v>173</v>
      </c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20"/>
      <c r="AH331" s="19"/>
      <c r="AI331" s="19"/>
      <c r="AJ331" s="19"/>
      <c r="AK331" s="19"/>
      <c r="AL331" s="19"/>
      <c r="AM331" s="19"/>
      <c r="AN331" s="19"/>
      <c r="AO331" s="19"/>
      <c r="AP331" s="19"/>
      <c r="AQ331" s="19"/>
      <c r="AS331" s="21"/>
      <c r="AT331" s="21"/>
      <c r="AU331" s="21"/>
      <c r="AV331" s="21"/>
      <c r="AW331" s="21"/>
      <c r="AX331" s="19">
        <v>0</v>
      </c>
      <c r="AY331" s="19">
        <v>0</v>
      </c>
      <c r="AZ331" s="19">
        <v>0</v>
      </c>
      <c r="BA331" s="19">
        <v>0</v>
      </c>
      <c r="BB331" s="19">
        <v>0</v>
      </c>
      <c r="BC331" s="19">
        <v>0</v>
      </c>
      <c r="BD331" s="19">
        <v>0</v>
      </c>
      <c r="BE331" s="19">
        <v>0</v>
      </c>
      <c r="BF331" s="19">
        <v>0</v>
      </c>
      <c r="BG331" s="19">
        <v>0</v>
      </c>
      <c r="BH331" s="19">
        <v>0</v>
      </c>
      <c r="BI331" s="19">
        <v>0</v>
      </c>
      <c r="BJ331" s="19">
        <v>0</v>
      </c>
      <c r="BK331" s="19">
        <v>0</v>
      </c>
      <c r="BL331" s="20">
        <v>0</v>
      </c>
      <c r="BM331" s="19">
        <v>0</v>
      </c>
      <c r="BN331" s="19">
        <v>0</v>
      </c>
      <c r="BO331" s="19">
        <v>0</v>
      </c>
      <c r="BP331" s="19">
        <v>0</v>
      </c>
      <c r="BQ331" s="19">
        <v>0</v>
      </c>
    </row>
    <row r="332" spans="1:69" ht="12" hidden="1" customHeight="1" outlineLevel="2">
      <c r="B332" s="1" t="s">
        <v>173</v>
      </c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20"/>
      <c r="AH332" s="19"/>
      <c r="AI332" s="19"/>
      <c r="AJ332" s="19"/>
      <c r="AK332" s="19"/>
      <c r="AL332" s="19"/>
      <c r="AM332" s="19"/>
      <c r="AN332" s="19"/>
      <c r="AO332" s="19"/>
      <c r="AP332" s="19"/>
      <c r="AQ332" s="19"/>
      <c r="AS332" s="21"/>
      <c r="AT332" s="21"/>
      <c r="AU332" s="21"/>
      <c r="AV332" s="21"/>
      <c r="AW332" s="21"/>
      <c r="AX332" s="19">
        <v>0</v>
      </c>
      <c r="AY332" s="19">
        <v>0</v>
      </c>
      <c r="AZ332" s="19">
        <v>0</v>
      </c>
      <c r="BA332" s="19">
        <v>0</v>
      </c>
      <c r="BB332" s="19">
        <v>0</v>
      </c>
      <c r="BC332" s="19">
        <v>0</v>
      </c>
      <c r="BD332" s="19">
        <v>0</v>
      </c>
      <c r="BE332" s="19">
        <v>0</v>
      </c>
      <c r="BF332" s="19">
        <v>0</v>
      </c>
      <c r="BG332" s="19">
        <v>0</v>
      </c>
      <c r="BH332" s="19">
        <v>0</v>
      </c>
      <c r="BI332" s="19">
        <v>0</v>
      </c>
      <c r="BJ332" s="19">
        <v>0</v>
      </c>
      <c r="BK332" s="19">
        <v>0</v>
      </c>
      <c r="BL332" s="20">
        <v>0</v>
      </c>
      <c r="BM332" s="19">
        <v>0</v>
      </c>
      <c r="BN332" s="19">
        <v>0</v>
      </c>
      <c r="BO332" s="19">
        <v>0</v>
      </c>
      <c r="BP332" s="19">
        <v>0</v>
      </c>
      <c r="BQ332" s="19">
        <v>0</v>
      </c>
    </row>
    <row r="333" spans="1:69" ht="12" hidden="1" customHeight="1" outlineLevel="2">
      <c r="B333" s="1" t="s">
        <v>173</v>
      </c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20"/>
      <c r="AH333" s="19"/>
      <c r="AI333" s="19"/>
      <c r="AJ333" s="19"/>
      <c r="AK333" s="19"/>
      <c r="AL333" s="19"/>
      <c r="AM333" s="19"/>
      <c r="AN333" s="19"/>
      <c r="AO333" s="19"/>
      <c r="AP333" s="19"/>
      <c r="AQ333" s="19"/>
      <c r="AS333" s="21"/>
      <c r="AT333" s="21"/>
      <c r="AU333" s="21"/>
      <c r="AV333" s="21"/>
      <c r="AW333" s="21"/>
      <c r="AX333" s="19">
        <v>0</v>
      </c>
      <c r="AY333" s="19">
        <v>0</v>
      </c>
      <c r="AZ333" s="19">
        <v>0</v>
      </c>
      <c r="BA333" s="19">
        <v>0</v>
      </c>
      <c r="BB333" s="19">
        <v>0</v>
      </c>
      <c r="BC333" s="19">
        <v>0</v>
      </c>
      <c r="BD333" s="19">
        <v>0</v>
      </c>
      <c r="BE333" s="19">
        <v>0</v>
      </c>
      <c r="BF333" s="19">
        <v>0</v>
      </c>
      <c r="BG333" s="19">
        <v>0</v>
      </c>
      <c r="BH333" s="19">
        <v>0</v>
      </c>
      <c r="BI333" s="19">
        <v>0</v>
      </c>
      <c r="BJ333" s="19">
        <v>0</v>
      </c>
      <c r="BK333" s="19">
        <v>0</v>
      </c>
      <c r="BL333" s="20">
        <v>0</v>
      </c>
      <c r="BM333" s="19">
        <v>0</v>
      </c>
      <c r="BN333" s="19">
        <v>0</v>
      </c>
      <c r="BO333" s="19">
        <v>0</v>
      </c>
      <c r="BP333" s="19">
        <v>0</v>
      </c>
      <c r="BQ333" s="19">
        <v>0</v>
      </c>
    </row>
    <row r="334" spans="1:69" ht="12" hidden="1" customHeight="1" outlineLevel="2">
      <c r="B334" s="1" t="s">
        <v>173</v>
      </c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20"/>
      <c r="AH334" s="19"/>
      <c r="AI334" s="19"/>
      <c r="AJ334" s="19"/>
      <c r="AK334" s="19"/>
      <c r="AL334" s="19"/>
      <c r="AM334" s="19"/>
      <c r="AN334" s="19"/>
      <c r="AO334" s="19"/>
      <c r="AP334" s="19"/>
      <c r="AQ334" s="19"/>
      <c r="AS334" s="21"/>
      <c r="AT334" s="21"/>
      <c r="AU334" s="21"/>
      <c r="AV334" s="21"/>
      <c r="AW334" s="21"/>
      <c r="AX334" s="19">
        <v>0</v>
      </c>
      <c r="AY334" s="19">
        <v>0</v>
      </c>
      <c r="AZ334" s="19">
        <v>0</v>
      </c>
      <c r="BA334" s="19">
        <v>0</v>
      </c>
      <c r="BB334" s="19">
        <v>0</v>
      </c>
      <c r="BC334" s="19">
        <v>0</v>
      </c>
      <c r="BD334" s="19">
        <v>0</v>
      </c>
      <c r="BE334" s="19">
        <v>0</v>
      </c>
      <c r="BF334" s="19">
        <v>0</v>
      </c>
      <c r="BG334" s="19">
        <v>0</v>
      </c>
      <c r="BH334" s="19">
        <v>0</v>
      </c>
      <c r="BI334" s="19">
        <v>0</v>
      </c>
      <c r="BJ334" s="19">
        <v>0</v>
      </c>
      <c r="BK334" s="19">
        <v>0</v>
      </c>
      <c r="BL334" s="20">
        <v>0</v>
      </c>
      <c r="BM334" s="19">
        <v>0</v>
      </c>
      <c r="BN334" s="19">
        <v>0</v>
      </c>
      <c r="BO334" s="19">
        <v>0</v>
      </c>
      <c r="BP334" s="19">
        <v>0</v>
      </c>
      <c r="BQ334" s="19">
        <v>0</v>
      </c>
    </row>
    <row r="335" spans="1:69" ht="12" hidden="1" customHeight="1" outlineLevel="2">
      <c r="B335" s="1" t="s">
        <v>173</v>
      </c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20"/>
      <c r="AH335" s="19"/>
      <c r="AI335" s="19"/>
      <c r="AJ335" s="19"/>
      <c r="AK335" s="19"/>
      <c r="AL335" s="19"/>
      <c r="AM335" s="19"/>
      <c r="AN335" s="19"/>
      <c r="AO335" s="19"/>
      <c r="AP335" s="19"/>
      <c r="AQ335" s="19"/>
      <c r="AS335" s="21"/>
      <c r="AT335" s="21"/>
      <c r="AU335" s="21"/>
      <c r="AV335" s="21"/>
      <c r="AW335" s="21"/>
      <c r="AX335" s="19">
        <v>0</v>
      </c>
      <c r="AY335" s="19">
        <v>0</v>
      </c>
      <c r="AZ335" s="19">
        <v>0</v>
      </c>
      <c r="BA335" s="19">
        <v>0</v>
      </c>
      <c r="BB335" s="19">
        <v>0</v>
      </c>
      <c r="BC335" s="19">
        <v>0</v>
      </c>
      <c r="BD335" s="19">
        <v>0</v>
      </c>
      <c r="BE335" s="19">
        <v>0</v>
      </c>
      <c r="BF335" s="19">
        <v>0</v>
      </c>
      <c r="BG335" s="19">
        <v>0</v>
      </c>
      <c r="BH335" s="19">
        <v>0</v>
      </c>
      <c r="BI335" s="19">
        <v>0</v>
      </c>
      <c r="BJ335" s="19">
        <v>0</v>
      </c>
      <c r="BK335" s="19">
        <v>0</v>
      </c>
      <c r="BL335" s="20">
        <v>0</v>
      </c>
      <c r="BM335" s="19">
        <v>0</v>
      </c>
      <c r="BN335" s="19">
        <v>0</v>
      </c>
      <c r="BO335" s="19">
        <v>0</v>
      </c>
      <c r="BP335" s="19">
        <v>0</v>
      </c>
      <c r="BQ335" s="19">
        <v>0</v>
      </c>
    </row>
    <row r="336" spans="1:69" s="9" customFormat="1" ht="12" customHeight="1" outlineLevel="1" collapsed="1">
      <c r="A336" s="91" t="s">
        <v>588</v>
      </c>
      <c r="B336" s="9" t="s">
        <v>216</v>
      </c>
      <c r="C336" s="17"/>
      <c r="D336" s="22">
        <v>2086</v>
      </c>
      <c r="E336" s="22">
        <v>2094</v>
      </c>
      <c r="F336" s="22">
        <v>2328</v>
      </c>
      <c r="G336" s="22">
        <v>2745</v>
      </c>
      <c r="H336" s="22">
        <v>2608</v>
      </c>
      <c r="I336" s="22">
        <v>2764</v>
      </c>
      <c r="J336" s="22">
        <v>2906</v>
      </c>
      <c r="K336" s="22">
        <v>3134</v>
      </c>
      <c r="L336" s="22">
        <v>3428</v>
      </c>
      <c r="M336" s="22">
        <v>2823</v>
      </c>
      <c r="N336" s="22">
        <v>2988</v>
      </c>
      <c r="O336" s="22">
        <v>3216</v>
      </c>
      <c r="P336" s="22">
        <v>3592</v>
      </c>
      <c r="Q336" s="22">
        <v>3016</v>
      </c>
      <c r="R336" s="22">
        <v>3013</v>
      </c>
      <c r="S336" s="22">
        <v>3301</v>
      </c>
      <c r="T336" s="22">
        <v>4038</v>
      </c>
      <c r="U336" s="22">
        <v>4544</v>
      </c>
      <c r="V336" s="22">
        <v>5583</v>
      </c>
      <c r="W336" s="22">
        <v>7153</v>
      </c>
      <c r="X336" s="22">
        <v>7790</v>
      </c>
      <c r="Y336" s="22">
        <v>7431</v>
      </c>
      <c r="Z336" s="22">
        <v>5928</v>
      </c>
      <c r="AA336" s="22">
        <v>7318</v>
      </c>
      <c r="AB336" s="22">
        <v>8435</v>
      </c>
      <c r="AC336" s="22">
        <v>8885</v>
      </c>
      <c r="AD336" s="22">
        <v>10278</v>
      </c>
      <c r="AE336" s="22">
        <v>10400</v>
      </c>
      <c r="AF336" s="22">
        <v>11524</v>
      </c>
      <c r="AG336" s="23">
        <v>11492</v>
      </c>
      <c r="AH336" s="17">
        <v>11778.785867768594</v>
      </c>
      <c r="AI336" s="17">
        <v>12076.136058264463</v>
      </c>
      <c r="AJ336" s="17">
        <v>12315.117989597107</v>
      </c>
      <c r="AK336" s="17">
        <v>12560.649916881828</v>
      </c>
      <c r="AL336" s="17">
        <v>12812.915644365217</v>
      </c>
      <c r="AM336" s="17">
        <v>13072.104200939637</v>
      </c>
      <c r="AN336" s="17">
        <v>13338.40998992465</v>
      </c>
      <c r="AO336" s="17">
        <v>13612.03294317074</v>
      </c>
      <c r="AP336" s="17">
        <v>13893.17867961069</v>
      </c>
      <c r="AQ336" s="17">
        <v>14182.058668387817</v>
      </c>
      <c r="AS336" s="22"/>
      <c r="AT336" s="22"/>
      <c r="AU336" s="22"/>
      <c r="AV336" s="22"/>
      <c r="AW336" s="22">
        <v>2401</v>
      </c>
      <c r="AX336" s="17">
        <v>2094</v>
      </c>
      <c r="AY336" s="17">
        <v>2745</v>
      </c>
      <c r="AZ336" s="17">
        <v>2764</v>
      </c>
      <c r="BA336" s="17">
        <v>3134</v>
      </c>
      <c r="BB336" s="17">
        <v>2823</v>
      </c>
      <c r="BC336" s="17">
        <v>3216</v>
      </c>
      <c r="BD336" s="17">
        <v>3016</v>
      </c>
      <c r="BE336" s="17">
        <v>3301</v>
      </c>
      <c r="BF336" s="17">
        <v>4544</v>
      </c>
      <c r="BG336" s="17">
        <v>7153</v>
      </c>
      <c r="BH336" s="17">
        <v>7431</v>
      </c>
      <c r="BI336" s="17">
        <v>7318</v>
      </c>
      <c r="BJ336" s="17">
        <v>8885</v>
      </c>
      <c r="BK336" s="17">
        <v>10400</v>
      </c>
      <c r="BL336" s="18">
        <v>11492</v>
      </c>
      <c r="BM336" s="17">
        <v>12076.136058264463</v>
      </c>
      <c r="BN336" s="17">
        <v>12560.649916881828</v>
      </c>
      <c r="BO336" s="17">
        <v>13072.104200939637</v>
      </c>
      <c r="BP336" s="17">
        <v>13612.03294317074</v>
      </c>
      <c r="BQ336" s="17">
        <v>14182.058668387817</v>
      </c>
    </row>
    <row r="337" spans="1:69" ht="12" customHeight="1">
      <c r="C337" s="19"/>
      <c r="D337" s="19"/>
      <c r="E337" s="19"/>
      <c r="F337" s="19"/>
      <c r="G337" s="19"/>
      <c r="H337" s="19"/>
      <c r="I337" s="19"/>
      <c r="J337" s="19"/>
      <c r="K337" s="323"/>
      <c r="L337" s="323"/>
      <c r="M337" s="323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20"/>
      <c r="AH337" s="19"/>
      <c r="AI337" s="19"/>
      <c r="AJ337" s="19"/>
      <c r="AK337" s="19"/>
      <c r="AL337" s="19"/>
      <c r="AM337" s="19"/>
      <c r="AN337" s="19"/>
      <c r="AO337" s="19"/>
      <c r="AP337" s="19"/>
      <c r="AQ337" s="19"/>
      <c r="AS337" s="19"/>
      <c r="AT337" s="19"/>
      <c r="AU337" s="19"/>
      <c r="AV337" s="19"/>
      <c r="AW337" s="19"/>
    </row>
    <row r="338" spans="1:69" s="9" customFormat="1" ht="12" customHeight="1">
      <c r="A338" s="91"/>
      <c r="B338" s="2" t="s">
        <v>220</v>
      </c>
      <c r="C338" s="2"/>
      <c r="D338" s="93">
        <v>-9721</v>
      </c>
      <c r="E338" s="93">
        <v>65</v>
      </c>
      <c r="F338" s="93">
        <v>509</v>
      </c>
      <c r="G338" s="93">
        <v>306</v>
      </c>
      <c r="H338" s="93">
        <v>577</v>
      </c>
      <c r="I338" s="93">
        <v>256</v>
      </c>
      <c r="J338" s="93">
        <v>745</v>
      </c>
      <c r="K338" s="93">
        <v>416</v>
      </c>
      <c r="L338" s="93">
        <v>945</v>
      </c>
      <c r="M338" s="93">
        <v>1385</v>
      </c>
      <c r="N338" s="93">
        <v>906</v>
      </c>
      <c r="O338" s="93">
        <v>607</v>
      </c>
      <c r="P338" s="93">
        <v>917</v>
      </c>
      <c r="Q338" s="93">
        <v>291</v>
      </c>
      <c r="R338" s="93">
        <v>1078</v>
      </c>
      <c r="S338" s="93">
        <v>952</v>
      </c>
      <c r="T338" s="93">
        <v>1070</v>
      </c>
      <c r="U338" s="93">
        <v>1089</v>
      </c>
      <c r="V338" s="93">
        <v>1184</v>
      </c>
      <c r="W338" s="93">
        <v>1224</v>
      </c>
      <c r="X338" s="93">
        <v>-179</v>
      </c>
      <c r="Y338" s="93">
        <v>637</v>
      </c>
      <c r="Z338" s="93">
        <v>-309</v>
      </c>
      <c r="AA338" s="93">
        <v>1164</v>
      </c>
      <c r="AB338" s="93">
        <v>-34</v>
      </c>
      <c r="AC338" s="93">
        <v>-1524</v>
      </c>
      <c r="AD338" s="93">
        <v>671</v>
      </c>
      <c r="AE338" s="93">
        <v>1734</v>
      </c>
      <c r="AF338" s="93">
        <v>982</v>
      </c>
      <c r="AG338" s="94">
        <v>2118.40575205</v>
      </c>
      <c r="AH338" s="93">
        <v>1612.5281308581684</v>
      </c>
      <c r="AI338" s="93">
        <v>2161.3740154144589</v>
      </c>
      <c r="AJ338" s="93">
        <v>1054.1269916468734</v>
      </c>
      <c r="AK338" s="93">
        <v>1543.5430949115027</v>
      </c>
      <c r="AL338" s="93">
        <v>1054.1269916468848</v>
      </c>
      <c r="AM338" s="93">
        <v>1637.6615763085474</v>
      </c>
      <c r="AN338" s="93">
        <v>1129.4217767645107</v>
      </c>
      <c r="AO338" s="93">
        <v>1731.7800577055909</v>
      </c>
      <c r="AP338" s="93">
        <v>1204.7165618821475</v>
      </c>
      <c r="AQ338" s="93">
        <v>1844.7222353820368</v>
      </c>
      <c r="AR338" s="2"/>
      <c r="AS338" s="93"/>
      <c r="AT338" s="93"/>
      <c r="AU338" s="93"/>
      <c r="AV338" s="93"/>
      <c r="AW338" s="93"/>
      <c r="AX338" s="93">
        <v>-982</v>
      </c>
      <c r="AY338" s="93">
        <v>815</v>
      </c>
      <c r="AZ338" s="93">
        <v>833</v>
      </c>
      <c r="BA338" s="93">
        <v>1161</v>
      </c>
      <c r="BB338" s="93">
        <v>2330</v>
      </c>
      <c r="BC338" s="93">
        <v>1513</v>
      </c>
      <c r="BD338" s="93">
        <v>1208</v>
      </c>
      <c r="BE338" s="93">
        <v>2030</v>
      </c>
      <c r="BF338" s="93">
        <v>2159</v>
      </c>
      <c r="BG338" s="93">
        <v>2408</v>
      </c>
      <c r="BH338" s="93">
        <v>458</v>
      </c>
      <c r="BI338" s="93">
        <v>855</v>
      </c>
      <c r="BJ338" s="93">
        <v>-1558</v>
      </c>
      <c r="BK338" s="93">
        <v>2405</v>
      </c>
      <c r="BL338" s="94">
        <v>3100.40575205</v>
      </c>
      <c r="BM338" s="93">
        <v>3773.9021462726278</v>
      </c>
      <c r="BN338" s="93">
        <v>2597.6700865583757</v>
      </c>
      <c r="BO338" s="93">
        <v>2691.788567955432</v>
      </c>
      <c r="BP338" s="93">
        <v>2861.2018344701019</v>
      </c>
      <c r="BQ338" s="93">
        <v>3049.4387972641839</v>
      </c>
    </row>
    <row r="339" spans="1:69" ht="12" customHeight="1" outlineLevel="1"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20"/>
      <c r="AH339" s="19"/>
      <c r="AI339" s="19"/>
      <c r="AJ339" s="19"/>
      <c r="AK339" s="19"/>
      <c r="AL339" s="19"/>
      <c r="AM339" s="19"/>
      <c r="AN339" s="19"/>
      <c r="AO339" s="19"/>
      <c r="AP339" s="19"/>
      <c r="AQ339" s="19"/>
      <c r="AS339" s="19"/>
      <c r="AT339" s="19"/>
      <c r="AU339" s="19"/>
      <c r="AV339" s="19"/>
      <c r="AW339" s="19"/>
      <c r="BH339" s="34"/>
    </row>
    <row r="340" spans="1:69" ht="12" customHeight="1" outlineLevel="1">
      <c r="A340" s="91" t="s">
        <v>237</v>
      </c>
      <c r="B340" s="9" t="s">
        <v>221</v>
      </c>
      <c r="C340" s="19"/>
      <c r="D340" s="17">
        <v>479</v>
      </c>
      <c r="E340" s="17">
        <v>571</v>
      </c>
      <c r="F340" s="17">
        <v>403</v>
      </c>
      <c r="G340" s="17">
        <v>553</v>
      </c>
      <c r="H340" s="17">
        <v>305</v>
      </c>
      <c r="I340" s="17">
        <v>425</v>
      </c>
      <c r="J340" s="17">
        <v>361</v>
      </c>
      <c r="K340" s="17">
        <v>490</v>
      </c>
      <c r="L340" s="17">
        <v>501</v>
      </c>
      <c r="M340" s="17">
        <v>764</v>
      </c>
      <c r="N340" s="17">
        <v>678</v>
      </c>
      <c r="O340" s="17">
        <v>926</v>
      </c>
      <c r="P340" s="17">
        <v>1070</v>
      </c>
      <c r="Q340" s="17">
        <v>993</v>
      </c>
      <c r="R340" s="17">
        <v>1050</v>
      </c>
      <c r="S340" s="17">
        <v>1167</v>
      </c>
      <c r="T340" s="17">
        <v>1248</v>
      </c>
      <c r="U340" s="17">
        <v>1309</v>
      </c>
      <c r="V340" s="17">
        <v>1310</v>
      </c>
      <c r="W340" s="17">
        <v>1672</v>
      </c>
      <c r="X340" s="17">
        <v>1457</v>
      </c>
      <c r="Y340" s="17">
        <v>1274</v>
      </c>
      <c r="Z340" s="17">
        <v>985</v>
      </c>
      <c r="AA340" s="17">
        <v>2030</v>
      </c>
      <c r="AB340" s="17">
        <v>2043</v>
      </c>
      <c r="AC340" s="17">
        <v>2663</v>
      </c>
      <c r="AD340" s="17">
        <v>2305</v>
      </c>
      <c r="AE340" s="17">
        <v>2877</v>
      </c>
      <c r="AF340" s="17">
        <v>1415</v>
      </c>
      <c r="AG340" s="18">
        <v>2107</v>
      </c>
      <c r="AH340" s="17">
        <v>1932.0921164279089</v>
      </c>
      <c r="AI340" s="17">
        <v>2045.3401762960684</v>
      </c>
      <c r="AJ340" s="17">
        <v>2071.8366346749312</v>
      </c>
      <c r="AK340" s="17">
        <v>2166.6498902981757</v>
      </c>
      <c r="AL340" s="17">
        <v>2076.8761737950003</v>
      </c>
      <c r="AM340" s="17">
        <v>2311.7622805899964</v>
      </c>
      <c r="AN340" s="17">
        <v>2213.5416847356364</v>
      </c>
      <c r="AO340" s="17">
        <v>2446.5639499881299</v>
      </c>
      <c r="AP340" s="17">
        <v>2346.7716995856604</v>
      </c>
      <c r="AQ340" s="17">
        <v>2593.6770057342992</v>
      </c>
      <c r="AS340" s="17"/>
      <c r="AT340" s="17">
        <v>916</v>
      </c>
      <c r="AU340" s="17">
        <v>1463</v>
      </c>
      <c r="AV340" s="17">
        <v>1803</v>
      </c>
      <c r="AW340" s="17">
        <v>871</v>
      </c>
      <c r="AX340" s="17">
        <v>1050</v>
      </c>
      <c r="AY340" s="17">
        <v>956</v>
      </c>
      <c r="AZ340" s="17">
        <v>730</v>
      </c>
      <c r="BA340" s="17">
        <v>851</v>
      </c>
      <c r="BB340" s="17">
        <v>1265</v>
      </c>
      <c r="BC340" s="17">
        <v>1604</v>
      </c>
      <c r="BD340" s="17">
        <v>2063</v>
      </c>
      <c r="BE340" s="17">
        <v>2217</v>
      </c>
      <c r="BF340" s="17">
        <v>2557</v>
      </c>
      <c r="BG340" s="17">
        <v>2982</v>
      </c>
      <c r="BH340" s="17">
        <v>2731</v>
      </c>
      <c r="BI340" s="17">
        <v>3015</v>
      </c>
      <c r="BJ340" s="17">
        <v>4706</v>
      </c>
      <c r="BK340" s="17">
        <v>5182</v>
      </c>
      <c r="BL340" s="18">
        <v>3522</v>
      </c>
      <c r="BM340" s="17">
        <v>3977.4322927239773</v>
      </c>
      <c r="BN340" s="17">
        <v>4238.4865249731065</v>
      </c>
      <c r="BO340" s="17">
        <v>4388.6384543849963</v>
      </c>
      <c r="BP340" s="17">
        <v>4660.1056347237663</v>
      </c>
      <c r="BQ340" s="17">
        <v>4940.4487053199591</v>
      </c>
    </row>
    <row r="341" spans="1:69" ht="12" customHeight="1" outlineLevel="1">
      <c r="A341" s="91" t="s">
        <v>238</v>
      </c>
      <c r="B341" s="1" t="s">
        <v>129</v>
      </c>
      <c r="C341" s="19"/>
      <c r="D341" s="19">
        <v>-42</v>
      </c>
      <c r="E341" s="19">
        <v>-200</v>
      </c>
      <c r="F341" s="19">
        <v>-284</v>
      </c>
      <c r="G341" s="19">
        <v>-219</v>
      </c>
      <c r="H341" s="19">
        <v>333</v>
      </c>
      <c r="I341" s="19">
        <v>-293</v>
      </c>
      <c r="J341" s="19">
        <v>-28</v>
      </c>
      <c r="K341" s="19">
        <v>-94</v>
      </c>
      <c r="L341" s="19">
        <v>599</v>
      </c>
      <c r="M341" s="19">
        <v>13</v>
      </c>
      <c r="N341" s="19">
        <v>250</v>
      </c>
      <c r="O341" s="19">
        <v>627</v>
      </c>
      <c r="P341" s="19">
        <v>474</v>
      </c>
      <c r="Q341" s="19">
        <v>-662</v>
      </c>
      <c r="R341" s="19">
        <v>-80</v>
      </c>
      <c r="S341" s="19">
        <v>-50</v>
      </c>
      <c r="T341" s="19">
        <v>-10</v>
      </c>
      <c r="U341" s="19">
        <v>273</v>
      </c>
      <c r="V341" s="19">
        <v>308</v>
      </c>
      <c r="W341" s="19">
        <v>114</v>
      </c>
      <c r="X341" s="19">
        <v>338</v>
      </c>
      <c r="Y341" s="19">
        <v>892</v>
      </c>
      <c r="Z341" s="19">
        <v>-1319</v>
      </c>
      <c r="AA341" s="19">
        <v>-442</v>
      </c>
      <c r="AB341" s="19">
        <v>441</v>
      </c>
      <c r="AC341" s="19">
        <v>-441</v>
      </c>
      <c r="AD341" s="19">
        <v>1719</v>
      </c>
      <c r="AE341" s="19">
        <v>-381</v>
      </c>
      <c r="AF341" s="19">
        <v>572</v>
      </c>
      <c r="AG341" s="20">
        <v>-125</v>
      </c>
      <c r="AH341" s="19">
        <v>0</v>
      </c>
      <c r="AI341" s="19">
        <v>0</v>
      </c>
      <c r="AJ341" s="19">
        <v>0</v>
      </c>
      <c r="AK341" s="19">
        <v>0</v>
      </c>
      <c r="AL341" s="19">
        <v>0</v>
      </c>
      <c r="AM341" s="19">
        <v>0</v>
      </c>
      <c r="AN341" s="19">
        <v>0</v>
      </c>
      <c r="AO341" s="19">
        <v>0</v>
      </c>
      <c r="AP341" s="19">
        <v>0</v>
      </c>
      <c r="AQ341" s="19">
        <v>0</v>
      </c>
      <c r="AS341" s="19"/>
      <c r="AT341" s="19">
        <v>0</v>
      </c>
      <c r="AU341" s="19">
        <v>-3</v>
      </c>
      <c r="AV341" s="19">
        <v>-109</v>
      </c>
      <c r="AW341" s="19">
        <v>21</v>
      </c>
      <c r="AX341" s="19">
        <v>-242</v>
      </c>
      <c r="AY341" s="19">
        <v>-503</v>
      </c>
      <c r="AZ341" s="19">
        <v>40</v>
      </c>
      <c r="BA341" s="19">
        <v>-122</v>
      </c>
      <c r="BB341" s="19">
        <v>612</v>
      </c>
      <c r="BC341" s="19">
        <v>877</v>
      </c>
      <c r="BD341" s="19">
        <v>-188</v>
      </c>
      <c r="BE341" s="19">
        <v>-130</v>
      </c>
      <c r="BF341" s="19">
        <v>263</v>
      </c>
      <c r="BG341" s="19">
        <v>422</v>
      </c>
      <c r="BH341" s="19">
        <v>1230</v>
      </c>
      <c r="BI341" s="19">
        <v>-1761</v>
      </c>
      <c r="BJ341" s="19">
        <v>0</v>
      </c>
      <c r="BK341" s="19">
        <v>1338</v>
      </c>
      <c r="BL341" s="20">
        <v>447</v>
      </c>
      <c r="BM341" s="19">
        <v>0</v>
      </c>
      <c r="BN341" s="19">
        <v>0</v>
      </c>
      <c r="BO341" s="19">
        <v>0</v>
      </c>
      <c r="BP341" s="19">
        <v>0</v>
      </c>
      <c r="BQ341" s="19">
        <v>0</v>
      </c>
    </row>
    <row r="342" spans="1:69" ht="12" customHeight="1" outlineLevel="1">
      <c r="A342" s="91" t="s">
        <v>239</v>
      </c>
      <c r="B342" s="1" t="s">
        <v>130</v>
      </c>
      <c r="C342" s="19"/>
      <c r="D342" s="19">
        <v>45</v>
      </c>
      <c r="E342" s="19">
        <v>156</v>
      </c>
      <c r="F342" s="19">
        <v>106</v>
      </c>
      <c r="G342" s="19">
        <v>142</v>
      </c>
      <c r="H342" s="19">
        <v>91</v>
      </c>
      <c r="I342" s="19">
        <v>149</v>
      </c>
      <c r="J342" s="19">
        <v>119</v>
      </c>
      <c r="K342" s="19">
        <v>138</v>
      </c>
      <c r="L342" s="19">
        <v>127</v>
      </c>
      <c r="M342" s="19">
        <v>139</v>
      </c>
      <c r="N342" s="19">
        <v>165</v>
      </c>
      <c r="O342" s="19">
        <v>1217</v>
      </c>
      <c r="P342" s="19">
        <v>138</v>
      </c>
      <c r="Q342" s="19">
        <v>250</v>
      </c>
      <c r="R342" s="19">
        <v>233</v>
      </c>
      <c r="S342" s="19">
        <v>168</v>
      </c>
      <c r="T342" s="19">
        <v>162</v>
      </c>
      <c r="U342" s="19">
        <v>156</v>
      </c>
      <c r="V342" s="19">
        <v>128</v>
      </c>
      <c r="W342" s="19">
        <v>265</v>
      </c>
      <c r="X342" s="19">
        <v>222</v>
      </c>
      <c r="Y342" s="19">
        <v>339</v>
      </c>
      <c r="Z342" s="19">
        <v>-373</v>
      </c>
      <c r="AA342" s="19">
        <v>309</v>
      </c>
      <c r="AB342" s="19">
        <v>-301</v>
      </c>
      <c r="AC342" s="19">
        <v>408</v>
      </c>
      <c r="AD342" s="19">
        <v>-584</v>
      </c>
      <c r="AE342" s="19">
        <v>406</v>
      </c>
      <c r="AF342" s="19">
        <v>-659</v>
      </c>
      <c r="AG342" s="20">
        <v>427</v>
      </c>
      <c r="AH342" s="19">
        <v>0</v>
      </c>
      <c r="AI342" s="19">
        <v>0</v>
      </c>
      <c r="AJ342" s="19">
        <v>0</v>
      </c>
      <c r="AK342" s="19">
        <v>0</v>
      </c>
      <c r="AL342" s="19">
        <v>0</v>
      </c>
      <c r="AM342" s="19">
        <v>0</v>
      </c>
      <c r="AN342" s="19">
        <v>0</v>
      </c>
      <c r="AO342" s="19">
        <v>0</v>
      </c>
      <c r="AP342" s="19">
        <v>0</v>
      </c>
      <c r="AQ342" s="19">
        <v>0</v>
      </c>
      <c r="AS342" s="19"/>
      <c r="AT342" s="19">
        <v>185</v>
      </c>
      <c r="AU342" s="19">
        <v>73</v>
      </c>
      <c r="AV342" s="19">
        <v>270</v>
      </c>
      <c r="AW342" s="19">
        <v>75</v>
      </c>
      <c r="AX342" s="19">
        <v>201</v>
      </c>
      <c r="AY342" s="19">
        <v>248</v>
      </c>
      <c r="AZ342" s="19">
        <v>240</v>
      </c>
      <c r="BA342" s="19">
        <v>257</v>
      </c>
      <c r="BB342" s="19">
        <v>266</v>
      </c>
      <c r="BC342" s="19">
        <v>1382</v>
      </c>
      <c r="BD342" s="19">
        <v>388</v>
      </c>
      <c r="BE342" s="19">
        <v>401</v>
      </c>
      <c r="BF342" s="19">
        <v>318</v>
      </c>
      <c r="BG342" s="19">
        <v>393</v>
      </c>
      <c r="BH342" s="19">
        <v>561</v>
      </c>
      <c r="BI342" s="19">
        <v>-64</v>
      </c>
      <c r="BJ342" s="19">
        <v>107</v>
      </c>
      <c r="BK342" s="19">
        <v>-178</v>
      </c>
      <c r="BL342" s="20">
        <v>-232</v>
      </c>
      <c r="BM342" s="19">
        <v>0</v>
      </c>
      <c r="BN342" s="19">
        <v>0</v>
      </c>
      <c r="BO342" s="19">
        <v>0</v>
      </c>
      <c r="BP342" s="19">
        <v>0</v>
      </c>
      <c r="BQ342" s="19">
        <v>0</v>
      </c>
    </row>
    <row r="343" spans="1:69" ht="12" customHeight="1" outlineLevel="1">
      <c r="A343" s="91" t="s">
        <v>242</v>
      </c>
      <c r="B343" s="1" t="s">
        <v>131</v>
      </c>
      <c r="C343" s="19"/>
      <c r="D343" s="19">
        <v>316</v>
      </c>
      <c r="E343" s="19">
        <v>27</v>
      </c>
      <c r="F343" s="19">
        <v>162</v>
      </c>
      <c r="G343" s="19">
        <v>123</v>
      </c>
      <c r="H343" s="19">
        <v>-183</v>
      </c>
      <c r="I343" s="19">
        <v>-105</v>
      </c>
      <c r="J343" s="19">
        <v>82</v>
      </c>
      <c r="K343" s="19">
        <v>131</v>
      </c>
      <c r="L343" s="19">
        <v>223</v>
      </c>
      <c r="M343" s="19">
        <v>-116</v>
      </c>
      <c r="N343" s="19">
        <v>-46</v>
      </c>
      <c r="O343" s="19">
        <v>34</v>
      </c>
      <c r="P343" s="19">
        <v>83</v>
      </c>
      <c r="Q343" s="19">
        <v>-80</v>
      </c>
      <c r="R343" s="19">
        <v>-150</v>
      </c>
      <c r="S343" s="19">
        <v>3</v>
      </c>
      <c r="T343" s="19">
        <v>-281</v>
      </c>
      <c r="U343" s="19">
        <v>-41</v>
      </c>
      <c r="V343" s="19">
        <v>0</v>
      </c>
      <c r="W343" s="19">
        <v>-120</v>
      </c>
      <c r="X343" s="19">
        <v>0</v>
      </c>
      <c r="Y343" s="19">
        <v>-175</v>
      </c>
      <c r="Z343" s="19">
        <v>-6</v>
      </c>
      <c r="AA343" s="19">
        <v>85</v>
      </c>
      <c r="AB343" s="19">
        <v>-14</v>
      </c>
      <c r="AC343" s="19">
        <v>25</v>
      </c>
      <c r="AD343" s="19">
        <v>190</v>
      </c>
      <c r="AE343" s="19">
        <v>72</v>
      </c>
      <c r="AF343" s="19">
        <v>-98</v>
      </c>
      <c r="AG343" s="20">
        <v>47</v>
      </c>
      <c r="AH343" s="19">
        <v>0</v>
      </c>
      <c r="AI343" s="19">
        <v>0</v>
      </c>
      <c r="AJ343" s="19">
        <v>0</v>
      </c>
      <c r="AK343" s="19">
        <v>0</v>
      </c>
      <c r="AL343" s="19">
        <v>0</v>
      </c>
      <c r="AM343" s="19">
        <v>0</v>
      </c>
      <c r="AN343" s="19">
        <v>0</v>
      </c>
      <c r="AO343" s="19">
        <v>0</v>
      </c>
      <c r="AP343" s="19">
        <v>0</v>
      </c>
      <c r="AQ343" s="19">
        <v>0</v>
      </c>
      <c r="AS343" s="19"/>
      <c r="AT343" s="19">
        <v>80</v>
      </c>
      <c r="AU343" s="19">
        <v>73</v>
      </c>
      <c r="AV343" s="19">
        <v>13</v>
      </c>
      <c r="AW343" s="19">
        <v>-535</v>
      </c>
      <c r="AX343" s="19">
        <v>343</v>
      </c>
      <c r="AY343" s="19">
        <v>285</v>
      </c>
      <c r="AZ343" s="19">
        <v>-288</v>
      </c>
      <c r="BA343" s="19">
        <v>213</v>
      </c>
      <c r="BB343" s="19">
        <v>107</v>
      </c>
      <c r="BC343" s="19">
        <v>-12</v>
      </c>
      <c r="BD343" s="19">
        <v>3</v>
      </c>
      <c r="BE343" s="19">
        <v>-147</v>
      </c>
      <c r="BF343" s="19">
        <v>-322</v>
      </c>
      <c r="BG343" s="19">
        <v>-120</v>
      </c>
      <c r="BH343" s="19">
        <v>-175</v>
      </c>
      <c r="BI343" s="19">
        <v>79</v>
      </c>
      <c r="BJ343" s="19">
        <v>11</v>
      </c>
      <c r="BK343" s="19">
        <v>262</v>
      </c>
      <c r="BL343" s="20">
        <v>-51</v>
      </c>
      <c r="BM343" s="19">
        <v>0</v>
      </c>
      <c r="BN343" s="19">
        <v>0</v>
      </c>
      <c r="BO343" s="19">
        <v>0</v>
      </c>
      <c r="BP343" s="19">
        <v>0</v>
      </c>
      <c r="BQ343" s="19">
        <v>0</v>
      </c>
    </row>
    <row r="344" spans="1:69" s="9" customFormat="1" ht="12" customHeight="1" outlineLevel="1">
      <c r="A344" s="91" t="s">
        <v>240</v>
      </c>
      <c r="B344" s="9" t="s">
        <v>222</v>
      </c>
      <c r="C344" s="17"/>
      <c r="D344" s="17">
        <v>798</v>
      </c>
      <c r="E344" s="17">
        <v>554</v>
      </c>
      <c r="F344" s="17">
        <v>387</v>
      </c>
      <c r="G344" s="17">
        <v>599</v>
      </c>
      <c r="H344" s="17">
        <v>546</v>
      </c>
      <c r="I344" s="17">
        <v>176</v>
      </c>
      <c r="J344" s="17">
        <v>534</v>
      </c>
      <c r="K344" s="17">
        <v>665</v>
      </c>
      <c r="L344" s="17">
        <v>1450</v>
      </c>
      <c r="M344" s="17">
        <v>800</v>
      </c>
      <c r="N344" s="17">
        <v>1047</v>
      </c>
      <c r="O344" s="17">
        <v>2804</v>
      </c>
      <c r="P344" s="17">
        <v>1765</v>
      </c>
      <c r="Q344" s="17">
        <v>501</v>
      </c>
      <c r="R344" s="17">
        <v>1053</v>
      </c>
      <c r="S344" s="17">
        <v>1288</v>
      </c>
      <c r="T344" s="17">
        <v>1119</v>
      </c>
      <c r="U344" s="17">
        <v>1697</v>
      </c>
      <c r="V344" s="17">
        <v>1746</v>
      </c>
      <c r="W344" s="17">
        <v>1931</v>
      </c>
      <c r="X344" s="17">
        <v>2017</v>
      </c>
      <c r="Y344" s="17">
        <v>2330</v>
      </c>
      <c r="Z344" s="17">
        <v>-713</v>
      </c>
      <c r="AA344" s="17">
        <v>1982</v>
      </c>
      <c r="AB344" s="17">
        <v>2169</v>
      </c>
      <c r="AC344" s="17">
        <v>2655</v>
      </c>
      <c r="AD344" s="17">
        <v>3630</v>
      </c>
      <c r="AE344" s="17">
        <v>2974</v>
      </c>
      <c r="AF344" s="17">
        <v>1230</v>
      </c>
      <c r="AG344" s="18">
        <v>2456</v>
      </c>
      <c r="AH344" s="17">
        <v>1932.0921164279089</v>
      </c>
      <c r="AI344" s="17">
        <v>2045.3401762960684</v>
      </c>
      <c r="AJ344" s="17">
        <v>2071.8366346749312</v>
      </c>
      <c r="AK344" s="17">
        <v>2166.6498902981757</v>
      </c>
      <c r="AL344" s="17">
        <v>2076.8761737950003</v>
      </c>
      <c r="AM344" s="17">
        <v>2311.7622805899964</v>
      </c>
      <c r="AN344" s="17">
        <v>2213.5416847356364</v>
      </c>
      <c r="AO344" s="17">
        <v>2446.5639499881299</v>
      </c>
      <c r="AP344" s="17">
        <v>2346.7716995856604</v>
      </c>
      <c r="AQ344" s="17">
        <v>2593.6770057342992</v>
      </c>
      <c r="AS344" s="17"/>
      <c r="AT344" s="17">
        <v>1181</v>
      </c>
      <c r="AU344" s="17">
        <v>1606</v>
      </c>
      <c r="AV344" s="17">
        <v>1977</v>
      </c>
      <c r="AW344" s="17">
        <v>432</v>
      </c>
      <c r="AX344" s="17">
        <v>1352</v>
      </c>
      <c r="AY344" s="17">
        <v>986</v>
      </c>
      <c r="AZ344" s="17">
        <v>722</v>
      </c>
      <c r="BA344" s="17">
        <v>1199</v>
      </c>
      <c r="BB344" s="17">
        <v>2250</v>
      </c>
      <c r="BC344" s="17">
        <v>3851</v>
      </c>
      <c r="BD344" s="17">
        <v>2266</v>
      </c>
      <c r="BE344" s="17">
        <v>2341</v>
      </c>
      <c r="BF344" s="17">
        <v>2816</v>
      </c>
      <c r="BG344" s="17">
        <v>3677</v>
      </c>
      <c r="BH344" s="17">
        <v>4347</v>
      </c>
      <c r="BI344" s="17">
        <v>1269</v>
      </c>
      <c r="BJ344" s="17">
        <v>4824</v>
      </c>
      <c r="BK344" s="17">
        <v>6604</v>
      </c>
      <c r="BL344" s="18">
        <v>3686</v>
      </c>
      <c r="BM344" s="17">
        <v>3977.4322927239773</v>
      </c>
      <c r="BN344" s="17">
        <v>4238.4865249731065</v>
      </c>
      <c r="BO344" s="17">
        <v>4388.6384543849963</v>
      </c>
      <c r="BP344" s="17">
        <v>4660.1056347237663</v>
      </c>
      <c r="BQ344" s="17">
        <v>4940.4487053199591</v>
      </c>
    </row>
    <row r="345" spans="1:69" ht="12" customHeight="1" outlineLevel="1">
      <c r="A345" s="91" t="s">
        <v>241</v>
      </c>
      <c r="B345" s="1" t="s">
        <v>223</v>
      </c>
      <c r="C345" s="19"/>
      <c r="D345" s="19">
        <v>-3552.4500000000003</v>
      </c>
      <c r="E345" s="19">
        <v>-352.52250000000004</v>
      </c>
      <c r="F345" s="19">
        <v>-524.70000000000027</v>
      </c>
      <c r="G345" s="19">
        <v>-140.82749999999942</v>
      </c>
      <c r="H345" s="19">
        <v>-181.58250000000044</v>
      </c>
      <c r="I345" s="19">
        <v>123.91499999999996</v>
      </c>
      <c r="J345" s="19">
        <v>7.3425000000006548</v>
      </c>
      <c r="K345" s="19">
        <v>-194.94750000000022</v>
      </c>
      <c r="L345" s="19">
        <v>-368.85750000000007</v>
      </c>
      <c r="M345" s="19">
        <v>-235.45499999999993</v>
      </c>
      <c r="N345" s="19">
        <v>-525.07000000000062</v>
      </c>
      <c r="O345" s="19">
        <v>-1407.2600000000002</v>
      </c>
      <c r="P345" s="19">
        <v>-460.10499999999956</v>
      </c>
      <c r="Q345" s="19">
        <v>-162.52000000000044</v>
      </c>
      <c r="R345" s="19">
        <v>19.210000000000036</v>
      </c>
      <c r="S345" s="19">
        <v>304.47000000000025</v>
      </c>
      <c r="T345" s="19">
        <v>-863.01499999999942</v>
      </c>
      <c r="U345" s="19">
        <v>-199.97500000000036</v>
      </c>
      <c r="V345" s="19">
        <v>-405.64999999999964</v>
      </c>
      <c r="W345" s="19">
        <v>1755.8850000000002</v>
      </c>
      <c r="X345" s="19">
        <v>-1004.625</v>
      </c>
      <c r="Y345" s="19">
        <v>-714.97000000000116</v>
      </c>
      <c r="Z345" s="19">
        <v>650.84500000000116</v>
      </c>
      <c r="AA345" s="19">
        <v>-497.13500000000022</v>
      </c>
      <c r="AB345" s="19">
        <v>-2078.8850000000002</v>
      </c>
      <c r="AC345" s="19">
        <v>-1401.9149999999991</v>
      </c>
      <c r="AD345" s="19">
        <v>-543.78000000000065</v>
      </c>
      <c r="AE345" s="19">
        <v>144.54000000000087</v>
      </c>
      <c r="AF345" s="19">
        <v>-454.39999999999964</v>
      </c>
      <c r="AG345" s="20">
        <v>-389.65500000000065</v>
      </c>
      <c r="AH345" s="19">
        <v>-513.12242591072027</v>
      </c>
      <c r="AI345" s="19">
        <v>-535.12687965325131</v>
      </c>
      <c r="AJ345" s="19">
        <v>-324.31237748438616</v>
      </c>
      <c r="AK345" s="19">
        <v>-331.95319370367724</v>
      </c>
      <c r="AL345" s="19">
        <v>-339.78043028678621</v>
      </c>
      <c r="AM345" s="19">
        <v>-347.79870383912203</v>
      </c>
      <c r="AN345" s="19">
        <v>-356.01274600506258</v>
      </c>
      <c r="AO345" s="19">
        <v>-364.42740634211805</v>
      </c>
      <c r="AP345" s="19">
        <v>-373.04765526686606</v>
      </c>
      <c r="AQ345" s="19">
        <v>-381.87858707467603</v>
      </c>
      <c r="AS345" s="19"/>
      <c r="AT345" s="19">
        <v>-740.84999999999991</v>
      </c>
      <c r="AU345" s="19">
        <v>-877.38750000000027</v>
      </c>
      <c r="AV345" s="19">
        <v>124.74000000000024</v>
      </c>
      <c r="AW345" s="19">
        <v>91.492499999999836</v>
      </c>
      <c r="AX345" s="19">
        <v>-871.86000000000013</v>
      </c>
      <c r="AY345" s="19">
        <v>-665.52749999999969</v>
      </c>
      <c r="AZ345" s="19">
        <v>-57.667500000000473</v>
      </c>
      <c r="BA345" s="19">
        <v>-187.60499999999956</v>
      </c>
      <c r="BB345" s="19">
        <v>-604.3125</v>
      </c>
      <c r="BC345" s="19">
        <v>-1932.3300000000008</v>
      </c>
      <c r="BD345" s="19">
        <v>-622.625</v>
      </c>
      <c r="BE345" s="19">
        <v>323.68000000000029</v>
      </c>
      <c r="BF345" s="19">
        <v>-1062.9899999999998</v>
      </c>
      <c r="BG345" s="19">
        <v>1350.2350000000006</v>
      </c>
      <c r="BH345" s="19">
        <v>-1719.5950000000012</v>
      </c>
      <c r="BI345" s="19">
        <v>153.71000000000095</v>
      </c>
      <c r="BJ345" s="19">
        <v>-3480.7999999999993</v>
      </c>
      <c r="BK345" s="19">
        <v>-399.23999999999978</v>
      </c>
      <c r="BL345" s="20">
        <v>-844.05500000000029</v>
      </c>
      <c r="BM345" s="19">
        <v>-1048.2493055639716</v>
      </c>
      <c r="BN345" s="19">
        <v>-656.2655711880634</v>
      </c>
      <c r="BO345" s="19">
        <v>-687.57913412590824</v>
      </c>
      <c r="BP345" s="19">
        <v>-720.44015234718063</v>
      </c>
      <c r="BQ345" s="19">
        <v>-754.92624234154209</v>
      </c>
    </row>
    <row r="346" spans="1:69" ht="12" customHeight="1" outlineLevel="1">
      <c r="A346" s="91" t="s">
        <v>245</v>
      </c>
      <c r="B346" s="1" t="s">
        <v>224</v>
      </c>
      <c r="C346" s="19"/>
      <c r="D346" s="19">
        <v>-2086</v>
      </c>
      <c r="E346" s="19">
        <v>-8</v>
      </c>
      <c r="F346" s="19">
        <v>-234</v>
      </c>
      <c r="G346" s="19">
        <v>-357</v>
      </c>
      <c r="H346" s="19">
        <v>137</v>
      </c>
      <c r="I346" s="19">
        <v>-156</v>
      </c>
      <c r="J346" s="19">
        <v>-142</v>
      </c>
      <c r="K346" s="19">
        <v>-288</v>
      </c>
      <c r="L346" s="19">
        <v>-294</v>
      </c>
      <c r="M346" s="19">
        <v>605</v>
      </c>
      <c r="N346" s="19">
        <v>-165</v>
      </c>
      <c r="O346" s="19">
        <v>-228</v>
      </c>
      <c r="P346" s="19">
        <v>-376</v>
      </c>
      <c r="Q346" s="19">
        <v>576</v>
      </c>
      <c r="R346" s="19">
        <v>3</v>
      </c>
      <c r="S346" s="19">
        <v>-288</v>
      </c>
      <c r="T346" s="19">
        <v>-737</v>
      </c>
      <c r="U346" s="19">
        <v>-506</v>
      </c>
      <c r="V346" s="19">
        <v>-1039</v>
      </c>
      <c r="W346" s="19">
        <v>-1570</v>
      </c>
      <c r="X346" s="19">
        <v>-637</v>
      </c>
      <c r="Y346" s="19">
        <v>359</v>
      </c>
      <c r="Z346" s="19">
        <v>1503</v>
      </c>
      <c r="AA346" s="19">
        <v>-1390</v>
      </c>
      <c r="AB346" s="19">
        <v>-1117</v>
      </c>
      <c r="AC346" s="19">
        <v>-450</v>
      </c>
      <c r="AD346" s="19">
        <v>-1393</v>
      </c>
      <c r="AE346" s="19">
        <v>-122</v>
      </c>
      <c r="AF346" s="19">
        <v>-1124</v>
      </c>
      <c r="AG346" s="20">
        <v>32</v>
      </c>
      <c r="AH346" s="19">
        <v>-286.78586776859447</v>
      </c>
      <c r="AI346" s="19">
        <v>-297.35019049586845</v>
      </c>
      <c r="AJ346" s="19">
        <v>-238.98193133264431</v>
      </c>
      <c r="AK346" s="19">
        <v>-245.53192728472095</v>
      </c>
      <c r="AL346" s="19">
        <v>-252.26572748338913</v>
      </c>
      <c r="AM346" s="19">
        <v>-259.18855657441964</v>
      </c>
      <c r="AN346" s="19">
        <v>-266.30578898501335</v>
      </c>
      <c r="AO346" s="19">
        <v>-273.62295324608931</v>
      </c>
      <c r="AP346" s="19">
        <v>-281.14573643995027</v>
      </c>
      <c r="AQ346" s="19">
        <v>-288.87998877712744</v>
      </c>
      <c r="AS346" s="19"/>
      <c r="AT346" s="19">
        <v>0</v>
      </c>
      <c r="AU346" s="19">
        <v>0</v>
      </c>
      <c r="AV346" s="19">
        <v>0</v>
      </c>
      <c r="AW346" s="19">
        <v>-2401</v>
      </c>
      <c r="AX346" s="19">
        <v>307</v>
      </c>
      <c r="AY346" s="19">
        <v>-591</v>
      </c>
      <c r="AZ346" s="19">
        <v>-19</v>
      </c>
      <c r="BA346" s="19">
        <v>-430</v>
      </c>
      <c r="BB346" s="19">
        <v>311</v>
      </c>
      <c r="BC346" s="19">
        <v>-393</v>
      </c>
      <c r="BD346" s="19">
        <v>200</v>
      </c>
      <c r="BE346" s="19">
        <v>-285</v>
      </c>
      <c r="BF346" s="19">
        <v>-1243</v>
      </c>
      <c r="BG346" s="19">
        <v>-2609</v>
      </c>
      <c r="BH346" s="19">
        <v>-278</v>
      </c>
      <c r="BI346" s="19">
        <v>113</v>
      </c>
      <c r="BJ346" s="19">
        <v>-1567</v>
      </c>
      <c r="BK346" s="19">
        <v>-1515</v>
      </c>
      <c r="BL346" s="20">
        <v>-1092</v>
      </c>
      <c r="BM346" s="19">
        <v>-584.13605826446292</v>
      </c>
      <c r="BN346" s="19">
        <v>-484.51385861736526</v>
      </c>
      <c r="BO346" s="19">
        <v>-511.45428405780876</v>
      </c>
      <c r="BP346" s="19">
        <v>-539.92874223110266</v>
      </c>
      <c r="BQ346" s="19">
        <v>-570.02572521707771</v>
      </c>
    </row>
    <row r="347" spans="1:69" ht="12" customHeight="1" outlineLevel="1">
      <c r="A347" s="91" t="s">
        <v>246</v>
      </c>
      <c r="B347" s="1" t="s">
        <v>225</v>
      </c>
      <c r="C347" s="19"/>
      <c r="D347" s="19">
        <v>-1683</v>
      </c>
      <c r="E347" s="19">
        <v>-1275</v>
      </c>
      <c r="F347" s="19">
        <v>115</v>
      </c>
      <c r="G347" s="19">
        <v>-252</v>
      </c>
      <c r="H347" s="19">
        <v>718</v>
      </c>
      <c r="I347" s="19">
        <v>-609</v>
      </c>
      <c r="J347" s="19">
        <v>307</v>
      </c>
      <c r="K347" s="19">
        <v>203</v>
      </c>
      <c r="L347" s="19">
        <v>-299</v>
      </c>
      <c r="M347" s="19">
        <v>89</v>
      </c>
      <c r="N347" s="19">
        <v>-82</v>
      </c>
      <c r="O347" s="19">
        <v>70</v>
      </c>
      <c r="P347" s="19">
        <v>452</v>
      </c>
      <c r="Q347" s="19">
        <v>170</v>
      </c>
      <c r="R347" s="19">
        <v>-125</v>
      </c>
      <c r="S347" s="19">
        <v>1332</v>
      </c>
      <c r="T347" s="19">
        <v>-90</v>
      </c>
      <c r="U347" s="19">
        <v>-1690</v>
      </c>
      <c r="V347" s="19">
        <v>-1273</v>
      </c>
      <c r="W347" s="19">
        <v>564</v>
      </c>
      <c r="X347" s="19">
        <v>88</v>
      </c>
      <c r="Y347" s="19">
        <v>-156</v>
      </c>
      <c r="Z347" s="19">
        <v>18</v>
      </c>
      <c r="AA347" s="19">
        <v>-249</v>
      </c>
      <c r="AB347" s="19">
        <v>-805</v>
      </c>
      <c r="AC347" s="19">
        <v>-618</v>
      </c>
      <c r="AD347" s="19">
        <v>-262</v>
      </c>
      <c r="AE347" s="19">
        <v>653</v>
      </c>
      <c r="AF347" s="19">
        <v>-612</v>
      </c>
      <c r="AG347" s="20">
        <v>-276</v>
      </c>
      <c r="AH347" s="19">
        <v>-64.631404958678104</v>
      </c>
      <c r="AI347" s="19">
        <v>-66.936632231405383</v>
      </c>
      <c r="AJ347" s="19">
        <v>-47.788682871901074</v>
      </c>
      <c r="AK347" s="19">
        <v>-48.779506213119021</v>
      </c>
      <c r="AL347" s="19">
        <v>-49.79235402631366</v>
      </c>
      <c r="AM347" s="19">
        <v>-50.827740764172631</v>
      </c>
      <c r="AN347" s="19">
        <v>-51.886193305928828</v>
      </c>
      <c r="AO347" s="19">
        <v>-52.968251264305763</v>
      </c>
      <c r="AP347" s="19">
        <v>-54.074467300126344</v>
      </c>
      <c r="AQ347" s="19">
        <v>-55.205407444872435</v>
      </c>
      <c r="AS347" s="19"/>
      <c r="AT347" s="19">
        <v>356</v>
      </c>
      <c r="AU347" s="19">
        <v>2087</v>
      </c>
      <c r="AV347" s="19">
        <v>-7488</v>
      </c>
      <c r="AW347" s="19">
        <v>-559</v>
      </c>
      <c r="AX347" s="19">
        <v>-823</v>
      </c>
      <c r="AY347" s="19">
        <v>-137</v>
      </c>
      <c r="AZ347" s="19">
        <v>109</v>
      </c>
      <c r="BA347" s="19">
        <v>510</v>
      </c>
      <c r="BB347" s="19">
        <v>-210</v>
      </c>
      <c r="BC347" s="19">
        <v>-12</v>
      </c>
      <c r="BD347" s="19">
        <v>622</v>
      </c>
      <c r="BE347" s="19">
        <v>1207</v>
      </c>
      <c r="BF347" s="19">
        <v>-1780</v>
      </c>
      <c r="BG347" s="19">
        <v>-709</v>
      </c>
      <c r="BH347" s="19">
        <v>-68</v>
      </c>
      <c r="BI347" s="19">
        <v>-231</v>
      </c>
      <c r="BJ347" s="19">
        <v>-1423</v>
      </c>
      <c r="BK347" s="19">
        <v>391</v>
      </c>
      <c r="BL347" s="20">
        <v>-888</v>
      </c>
      <c r="BM347" s="19">
        <v>-131.56803719008349</v>
      </c>
      <c r="BN347" s="19">
        <v>-96.568189085020094</v>
      </c>
      <c r="BO347" s="19">
        <v>-100.62009479048629</v>
      </c>
      <c r="BP347" s="19">
        <v>-104.85444457023459</v>
      </c>
      <c r="BQ347" s="19">
        <v>-109.27987474499878</v>
      </c>
    </row>
    <row r="348" spans="1:69" s="9" customFormat="1" ht="12" customHeight="1" outlineLevel="1">
      <c r="A348" s="91" t="s">
        <v>243</v>
      </c>
      <c r="B348" s="16" t="s">
        <v>226</v>
      </c>
      <c r="C348" s="17"/>
      <c r="D348" s="17">
        <v>-6523.4500000000007</v>
      </c>
      <c r="E348" s="17">
        <v>-1081.5225</v>
      </c>
      <c r="F348" s="17">
        <v>-256.70000000000027</v>
      </c>
      <c r="G348" s="17">
        <v>-150.82749999999942</v>
      </c>
      <c r="H348" s="17">
        <v>1219.4174999999996</v>
      </c>
      <c r="I348" s="17">
        <v>-465.08500000000004</v>
      </c>
      <c r="J348" s="17">
        <v>706.34250000000065</v>
      </c>
      <c r="K348" s="17">
        <v>385.05249999999978</v>
      </c>
      <c r="L348" s="17">
        <v>488.14249999999993</v>
      </c>
      <c r="M348" s="17">
        <v>1258.5450000000001</v>
      </c>
      <c r="N348" s="17">
        <v>274.92999999999938</v>
      </c>
      <c r="O348" s="17">
        <v>1238.7399999999998</v>
      </c>
      <c r="P348" s="17">
        <v>1380.8950000000004</v>
      </c>
      <c r="Q348" s="17">
        <v>1084.4799999999996</v>
      </c>
      <c r="R348" s="17">
        <v>950.21</v>
      </c>
      <c r="S348" s="17">
        <v>2636.4700000000003</v>
      </c>
      <c r="T348" s="17">
        <v>-571.01499999999942</v>
      </c>
      <c r="U348" s="17">
        <v>-698.97500000000036</v>
      </c>
      <c r="V348" s="17">
        <v>-971.64999999999964</v>
      </c>
      <c r="W348" s="17">
        <v>2680.8850000000002</v>
      </c>
      <c r="X348" s="17">
        <v>463.375</v>
      </c>
      <c r="Y348" s="17">
        <v>1818.0299999999988</v>
      </c>
      <c r="Z348" s="17">
        <v>1458.8450000000012</v>
      </c>
      <c r="AA348" s="17">
        <v>-154.13500000000022</v>
      </c>
      <c r="AB348" s="17">
        <v>-1831.8850000000002</v>
      </c>
      <c r="AC348" s="17">
        <v>185.08500000000095</v>
      </c>
      <c r="AD348" s="17">
        <v>1431.2199999999993</v>
      </c>
      <c r="AE348" s="17">
        <v>3649.5400000000009</v>
      </c>
      <c r="AF348" s="17">
        <v>-960.39999999999964</v>
      </c>
      <c r="AG348" s="18">
        <v>1822.3449999999993</v>
      </c>
      <c r="AH348" s="17">
        <v>1067.552417789916</v>
      </c>
      <c r="AI348" s="17">
        <v>1145.9264739155433</v>
      </c>
      <c r="AJ348" s="17">
        <v>1460.7536429859997</v>
      </c>
      <c r="AK348" s="17">
        <v>1540.3852630966585</v>
      </c>
      <c r="AL348" s="17">
        <v>1435.0376619985113</v>
      </c>
      <c r="AM348" s="17">
        <v>1653.9472794122821</v>
      </c>
      <c r="AN348" s="17">
        <v>1539.3369564396316</v>
      </c>
      <c r="AO348" s="17">
        <v>1755.5453391356168</v>
      </c>
      <c r="AP348" s="17">
        <v>1638.5038405787177</v>
      </c>
      <c r="AQ348" s="17">
        <v>1867.7130224376233</v>
      </c>
      <c r="AS348" s="17"/>
      <c r="AT348" s="17">
        <v>796.15000000000009</v>
      </c>
      <c r="AU348" s="17">
        <v>2815.6124999999997</v>
      </c>
      <c r="AV348" s="17">
        <v>-5386.26</v>
      </c>
      <c r="AW348" s="17">
        <v>-2436.5075000000002</v>
      </c>
      <c r="AX348" s="17">
        <v>-35.860000000000127</v>
      </c>
      <c r="AY348" s="17">
        <v>-407.52749999999969</v>
      </c>
      <c r="AZ348" s="17">
        <v>754.33249999999953</v>
      </c>
      <c r="BA348" s="17">
        <v>1091.3950000000004</v>
      </c>
      <c r="BB348" s="17">
        <v>1746.6875</v>
      </c>
      <c r="BC348" s="17">
        <v>1513.6699999999992</v>
      </c>
      <c r="BD348" s="17">
        <v>2465.375</v>
      </c>
      <c r="BE348" s="17">
        <v>3586.6800000000003</v>
      </c>
      <c r="BF348" s="17">
        <v>-1269.9899999999998</v>
      </c>
      <c r="BG348" s="17">
        <v>1709.2350000000006</v>
      </c>
      <c r="BH348" s="17">
        <v>2281.4049999999988</v>
      </c>
      <c r="BI348" s="17">
        <v>1304.7100000000009</v>
      </c>
      <c r="BJ348" s="17">
        <v>-1646.7999999999993</v>
      </c>
      <c r="BK348" s="17">
        <v>5080.76</v>
      </c>
      <c r="BL348" s="18">
        <v>861.94499999999971</v>
      </c>
      <c r="BM348" s="17">
        <v>2213.4788917054593</v>
      </c>
      <c r="BN348" s="17">
        <v>3001.1389060826577</v>
      </c>
      <c r="BO348" s="17">
        <v>3088.984941410793</v>
      </c>
      <c r="BP348" s="17">
        <v>3294.8822955752485</v>
      </c>
      <c r="BQ348" s="17">
        <v>3506.2168630163405</v>
      </c>
    </row>
    <row r="349" spans="1:69" ht="12" customHeight="1" outlineLevel="1">
      <c r="A349" s="91" t="s">
        <v>244</v>
      </c>
      <c r="B349" s="87" t="s">
        <v>227</v>
      </c>
      <c r="C349" s="19"/>
      <c r="D349" s="19">
        <v>-3197.5499999999997</v>
      </c>
      <c r="E349" s="19">
        <v>1146.5225</v>
      </c>
      <c r="F349" s="19">
        <v>765.70000000000027</v>
      </c>
      <c r="G349" s="19">
        <v>456.82749999999942</v>
      </c>
      <c r="H349" s="19">
        <v>-642.41749999999956</v>
      </c>
      <c r="I349" s="19">
        <v>721.08500000000004</v>
      </c>
      <c r="J349" s="19">
        <v>38.657499999999345</v>
      </c>
      <c r="K349" s="19">
        <v>30.947500000000218</v>
      </c>
      <c r="L349" s="19">
        <v>456.85750000000007</v>
      </c>
      <c r="M349" s="19">
        <v>126.45499999999993</v>
      </c>
      <c r="N349" s="19">
        <v>631.07000000000062</v>
      </c>
      <c r="O349" s="19">
        <v>-631.73999999999978</v>
      </c>
      <c r="P349" s="19">
        <v>-463.89500000000044</v>
      </c>
      <c r="Q349" s="19">
        <v>-793.47999999999956</v>
      </c>
      <c r="R349" s="19">
        <v>127.78999999999996</v>
      </c>
      <c r="S349" s="19">
        <v>-1684.4700000000003</v>
      </c>
      <c r="T349" s="19">
        <v>1641.0149999999994</v>
      </c>
      <c r="U349" s="19">
        <v>1787.9750000000004</v>
      </c>
      <c r="V349" s="19">
        <v>2155.6499999999996</v>
      </c>
      <c r="W349" s="19">
        <v>-1456.8850000000002</v>
      </c>
      <c r="X349" s="19">
        <v>-642.375</v>
      </c>
      <c r="Y349" s="19">
        <v>-1181.0299999999988</v>
      </c>
      <c r="Z349" s="19">
        <v>-1767.8450000000012</v>
      </c>
      <c r="AA349" s="19">
        <v>1318.1350000000002</v>
      </c>
      <c r="AB349" s="19">
        <v>1797.8850000000002</v>
      </c>
      <c r="AC349" s="19">
        <v>-1709.0850000000009</v>
      </c>
      <c r="AD349" s="19">
        <v>-760.21999999999935</v>
      </c>
      <c r="AE349" s="19">
        <v>-1915.5400000000009</v>
      </c>
      <c r="AF349" s="19">
        <v>1942.3999999999996</v>
      </c>
      <c r="AG349" s="20">
        <v>296.0607520500007</v>
      </c>
      <c r="AH349" s="19">
        <v>544.9757130682525</v>
      </c>
      <c r="AI349" s="19">
        <v>1015.4475414989157</v>
      </c>
      <c r="AJ349" s="19">
        <v>-406.62665133912628</v>
      </c>
      <c r="AK349" s="19">
        <v>3.1578318148442577</v>
      </c>
      <c r="AL349" s="19">
        <v>-380.91067035162655</v>
      </c>
      <c r="AM349" s="19">
        <v>-16.285703103734704</v>
      </c>
      <c r="AN349" s="19">
        <v>-409.91517967512095</v>
      </c>
      <c r="AO349" s="19">
        <v>-23.76528143002588</v>
      </c>
      <c r="AP349" s="19">
        <v>-433.78727869657018</v>
      </c>
      <c r="AQ349" s="19">
        <v>-22.990787055586452</v>
      </c>
      <c r="AS349" s="19"/>
      <c r="AT349" s="19">
        <v>-490.15000000000009</v>
      </c>
      <c r="AU349" s="19">
        <v>-3104.6124999999997</v>
      </c>
      <c r="AV349" s="19">
        <v>4887.26</v>
      </c>
      <c r="AW349" s="19">
        <v>2480.5075000000002</v>
      </c>
      <c r="AX349" s="19">
        <v>-946.13999999999987</v>
      </c>
      <c r="AY349" s="19">
        <v>1222.5274999999997</v>
      </c>
      <c r="AZ349" s="19">
        <v>78.667500000000473</v>
      </c>
      <c r="BA349" s="19">
        <v>69.604999999999563</v>
      </c>
      <c r="BB349" s="19">
        <v>583.3125</v>
      </c>
      <c r="BC349" s="19">
        <v>-0.66999999999916326</v>
      </c>
      <c r="BD349" s="19">
        <v>-1257.375</v>
      </c>
      <c r="BE349" s="19">
        <v>-1556.6800000000003</v>
      </c>
      <c r="BF349" s="19">
        <v>3428.99</v>
      </c>
      <c r="BG349" s="19">
        <v>698.76499999999942</v>
      </c>
      <c r="BH349" s="19">
        <v>-1823.4049999999988</v>
      </c>
      <c r="BI349" s="19">
        <v>-449.71000000000095</v>
      </c>
      <c r="BJ349" s="19">
        <v>88.799999999999272</v>
      </c>
      <c r="BK349" s="19">
        <v>-2675.76</v>
      </c>
      <c r="BL349" s="20">
        <v>2238.4607520500003</v>
      </c>
      <c r="BM349" s="19">
        <v>1560.4232545671682</v>
      </c>
      <c r="BN349" s="19">
        <v>-403.46881952428203</v>
      </c>
      <c r="BO349" s="19">
        <v>-397.19637345536125</v>
      </c>
      <c r="BP349" s="19">
        <v>-433.68046110514683</v>
      </c>
      <c r="BQ349" s="19">
        <v>-456.77806575215664</v>
      </c>
    </row>
    <row r="350" spans="1:69" s="9" customFormat="1" ht="12" customHeight="1" outlineLevel="1">
      <c r="A350" s="91" t="s">
        <v>233</v>
      </c>
      <c r="B350" s="16" t="s">
        <v>228</v>
      </c>
      <c r="C350" s="17"/>
      <c r="D350" s="17">
        <v>-9721</v>
      </c>
      <c r="E350" s="17">
        <v>65</v>
      </c>
      <c r="F350" s="17">
        <v>509</v>
      </c>
      <c r="G350" s="17">
        <v>306</v>
      </c>
      <c r="H350" s="17">
        <v>577</v>
      </c>
      <c r="I350" s="17">
        <v>256</v>
      </c>
      <c r="J350" s="17">
        <v>745</v>
      </c>
      <c r="K350" s="17">
        <v>416</v>
      </c>
      <c r="L350" s="17">
        <v>945</v>
      </c>
      <c r="M350" s="17">
        <v>1385</v>
      </c>
      <c r="N350" s="17">
        <v>906</v>
      </c>
      <c r="O350" s="17">
        <v>607</v>
      </c>
      <c r="P350" s="17">
        <v>917</v>
      </c>
      <c r="Q350" s="17">
        <v>291</v>
      </c>
      <c r="R350" s="17">
        <v>1078</v>
      </c>
      <c r="S350" s="17">
        <v>952</v>
      </c>
      <c r="T350" s="17">
        <v>1070</v>
      </c>
      <c r="U350" s="17">
        <v>1089</v>
      </c>
      <c r="V350" s="17">
        <v>1184</v>
      </c>
      <c r="W350" s="17">
        <v>1224</v>
      </c>
      <c r="X350" s="17">
        <v>-179</v>
      </c>
      <c r="Y350" s="17">
        <v>637</v>
      </c>
      <c r="Z350" s="17">
        <v>-309</v>
      </c>
      <c r="AA350" s="17">
        <v>1164</v>
      </c>
      <c r="AB350" s="17">
        <v>-34</v>
      </c>
      <c r="AC350" s="17">
        <v>-1524</v>
      </c>
      <c r="AD350" s="17">
        <v>671</v>
      </c>
      <c r="AE350" s="17">
        <v>1734</v>
      </c>
      <c r="AF350" s="17">
        <v>982</v>
      </c>
      <c r="AG350" s="18">
        <v>2118.40575205</v>
      </c>
      <c r="AH350" s="17">
        <v>1612.5281308581684</v>
      </c>
      <c r="AI350" s="17">
        <v>2161.3740154144589</v>
      </c>
      <c r="AJ350" s="17">
        <v>1054.1269916468734</v>
      </c>
      <c r="AK350" s="17">
        <v>1543.5430949115027</v>
      </c>
      <c r="AL350" s="17">
        <v>1054.1269916468848</v>
      </c>
      <c r="AM350" s="17">
        <v>1637.6615763085474</v>
      </c>
      <c r="AN350" s="17">
        <v>1129.4217767645107</v>
      </c>
      <c r="AO350" s="17">
        <v>1731.7800577055909</v>
      </c>
      <c r="AP350" s="17">
        <v>1204.7165618821475</v>
      </c>
      <c r="AQ350" s="17">
        <v>1844.7222353820368</v>
      </c>
      <c r="AS350" s="17"/>
      <c r="AT350" s="17">
        <v>306</v>
      </c>
      <c r="AU350" s="17">
        <v>-289</v>
      </c>
      <c r="AV350" s="17">
        <v>-499</v>
      </c>
      <c r="AW350" s="17">
        <v>44</v>
      </c>
      <c r="AX350" s="17">
        <v>-982</v>
      </c>
      <c r="AY350" s="17">
        <v>815</v>
      </c>
      <c r="AZ350" s="17">
        <v>833</v>
      </c>
      <c r="BA350" s="17">
        <v>1161</v>
      </c>
      <c r="BB350" s="17">
        <v>2330</v>
      </c>
      <c r="BC350" s="17">
        <v>1513</v>
      </c>
      <c r="BD350" s="17">
        <v>1208</v>
      </c>
      <c r="BE350" s="17">
        <v>2030</v>
      </c>
      <c r="BF350" s="17">
        <v>2159</v>
      </c>
      <c r="BG350" s="17">
        <v>2408</v>
      </c>
      <c r="BH350" s="17">
        <v>458</v>
      </c>
      <c r="BI350" s="17">
        <v>855</v>
      </c>
      <c r="BJ350" s="17">
        <v>-1558</v>
      </c>
      <c r="BK350" s="17">
        <v>2405</v>
      </c>
      <c r="BL350" s="18">
        <v>3100.40575205</v>
      </c>
      <c r="BM350" s="17">
        <v>3773.9021462726278</v>
      </c>
      <c r="BN350" s="17">
        <v>2597.6700865583757</v>
      </c>
      <c r="BO350" s="17">
        <v>2691.788567955432</v>
      </c>
      <c r="BP350" s="17">
        <v>2861.2018344701019</v>
      </c>
      <c r="BQ350" s="17">
        <v>3049.4387972641839</v>
      </c>
    </row>
    <row r="351" spans="1:69" ht="12" customHeight="1" outlineLevel="1"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20"/>
      <c r="AH351" s="19"/>
      <c r="AI351" s="19"/>
      <c r="AJ351" s="19"/>
      <c r="AK351" s="19"/>
      <c r="AL351" s="19"/>
      <c r="AM351" s="19"/>
      <c r="AN351" s="19"/>
      <c r="AO351" s="19"/>
      <c r="AP351" s="19"/>
      <c r="AQ351" s="19"/>
      <c r="AS351" s="19"/>
      <c r="AT351" s="19"/>
      <c r="AU351" s="19"/>
      <c r="AV351" s="19"/>
      <c r="AW351" s="19"/>
      <c r="AX351" s="19"/>
    </row>
    <row r="352" spans="1:69" ht="12" customHeight="1" outlineLevel="1">
      <c r="A352" s="91" t="s">
        <v>231</v>
      </c>
      <c r="B352" s="87" t="s">
        <v>229</v>
      </c>
      <c r="C352" s="19"/>
      <c r="D352" s="19">
        <v>287</v>
      </c>
      <c r="E352" s="19">
        <v>346</v>
      </c>
      <c r="F352" s="19">
        <v>297</v>
      </c>
      <c r="G352" s="19">
        <v>347</v>
      </c>
      <c r="H352" s="19">
        <v>225</v>
      </c>
      <c r="I352" s="19">
        <v>257</v>
      </c>
      <c r="J352" s="19">
        <v>252</v>
      </c>
      <c r="K352" s="19">
        <v>419</v>
      </c>
      <c r="L352" s="19">
        <v>740</v>
      </c>
      <c r="M352" s="19">
        <v>514</v>
      </c>
      <c r="N352" s="19">
        <v>645</v>
      </c>
      <c r="O352" s="19">
        <v>667</v>
      </c>
      <c r="P352" s="19">
        <v>541</v>
      </c>
      <c r="Q352" s="19">
        <v>816</v>
      </c>
      <c r="R352" s="19">
        <v>646</v>
      </c>
      <c r="S352" s="19">
        <v>952</v>
      </c>
      <c r="T352" s="19">
        <v>697</v>
      </c>
      <c r="U352" s="19">
        <v>1089</v>
      </c>
      <c r="V352" s="19">
        <v>730</v>
      </c>
      <c r="W352" s="19">
        <v>1224</v>
      </c>
      <c r="X352" s="19">
        <v>884</v>
      </c>
      <c r="Y352" s="19">
        <v>637</v>
      </c>
      <c r="Z352" s="19">
        <v>486</v>
      </c>
      <c r="AA352" s="19">
        <v>1208</v>
      </c>
      <c r="AB352" s="19">
        <v>1021</v>
      </c>
      <c r="AC352" s="19">
        <v>1339</v>
      </c>
      <c r="AD352" s="19">
        <v>1156</v>
      </c>
      <c r="AE352" s="19">
        <v>1734</v>
      </c>
      <c r="AF352" s="19">
        <v>982</v>
      </c>
      <c r="AG352" s="20">
        <v>1474.40575205</v>
      </c>
      <c r="AH352" s="19">
        <v>968.50283180816734</v>
      </c>
      <c r="AI352" s="19">
        <v>1449.4246135144601</v>
      </c>
      <c r="AJ352" s="19">
        <v>1054.12699164688</v>
      </c>
      <c r="AK352" s="19">
        <v>1543.5430949115027</v>
      </c>
      <c r="AL352" s="19">
        <v>1054.12699164688</v>
      </c>
      <c r="AM352" s="19">
        <v>1637.6615763085456</v>
      </c>
      <c r="AN352" s="19">
        <v>1129.4217767645143</v>
      </c>
      <c r="AO352" s="19">
        <v>1731.7800577055884</v>
      </c>
      <c r="AP352" s="19">
        <v>1204.7165618821487</v>
      </c>
      <c r="AQ352" s="19">
        <v>1844.72223538204</v>
      </c>
      <c r="AS352" s="19"/>
      <c r="AT352" s="19">
        <v>602</v>
      </c>
      <c r="AU352" s="19">
        <v>880</v>
      </c>
      <c r="AV352" s="19">
        <v>962</v>
      </c>
      <c r="AW352" s="19">
        <v>409</v>
      </c>
      <c r="AX352" s="19">
        <v>643</v>
      </c>
      <c r="AY352" s="19">
        <v>644</v>
      </c>
      <c r="AZ352" s="19">
        <v>482</v>
      </c>
      <c r="BA352" s="19">
        <v>671</v>
      </c>
      <c r="BB352" s="19">
        <v>1254</v>
      </c>
      <c r="BC352" s="19">
        <v>1312</v>
      </c>
      <c r="BD352" s="19">
        <v>1357</v>
      </c>
      <c r="BE352" s="19">
        <v>1598</v>
      </c>
      <c r="BF352" s="19">
        <v>1786</v>
      </c>
      <c r="BG352" s="19">
        <v>1954</v>
      </c>
      <c r="BH352" s="19">
        <v>1521</v>
      </c>
      <c r="BI352" s="19">
        <v>1694</v>
      </c>
      <c r="BJ352" s="19">
        <v>2360</v>
      </c>
      <c r="BK352" s="19">
        <v>2890</v>
      </c>
      <c r="BL352" s="20">
        <v>2456.40575205</v>
      </c>
      <c r="BM352" s="19">
        <v>2417.9274453226276</v>
      </c>
      <c r="BN352" s="19">
        <v>2597.6700865583825</v>
      </c>
      <c r="BO352" s="19">
        <v>2691.7885679554256</v>
      </c>
      <c r="BP352" s="19">
        <v>2861.2018344701028</v>
      </c>
      <c r="BQ352" s="19">
        <v>3049.4387972641889</v>
      </c>
    </row>
    <row r="353" spans="1:69" ht="12" customHeight="1" outlineLevel="1">
      <c r="A353" s="91" t="s">
        <v>232</v>
      </c>
      <c r="B353" s="87" t="s">
        <v>109</v>
      </c>
      <c r="C353" s="19"/>
      <c r="D353" s="19">
        <v>-1344</v>
      </c>
      <c r="E353" s="19">
        <v>-281</v>
      </c>
      <c r="F353" s="19">
        <v>212</v>
      </c>
      <c r="G353" s="19">
        <v>-41</v>
      </c>
      <c r="H353" s="19">
        <v>352</v>
      </c>
      <c r="I353" s="19">
        <v>-1</v>
      </c>
      <c r="J353" s="19">
        <v>493</v>
      </c>
      <c r="K353" s="19">
        <v>-3</v>
      </c>
      <c r="L353" s="19">
        <v>205</v>
      </c>
      <c r="M353" s="19">
        <v>871</v>
      </c>
      <c r="N353" s="19">
        <v>261</v>
      </c>
      <c r="O353" s="19">
        <v>-60</v>
      </c>
      <c r="P353" s="19">
        <v>376</v>
      </c>
      <c r="Q353" s="19">
        <v>-525</v>
      </c>
      <c r="R353" s="19">
        <v>432</v>
      </c>
      <c r="S353" s="19">
        <v>0</v>
      </c>
      <c r="T353" s="19">
        <v>373</v>
      </c>
      <c r="U353" s="19">
        <v>0</v>
      </c>
      <c r="V353" s="19">
        <v>454</v>
      </c>
      <c r="W353" s="19">
        <v>0</v>
      </c>
      <c r="X353" s="19">
        <v>-1063</v>
      </c>
      <c r="Y353" s="19">
        <v>0</v>
      </c>
      <c r="Z353" s="19">
        <v>-795</v>
      </c>
      <c r="AA353" s="19">
        <v>-44</v>
      </c>
      <c r="AB353" s="19">
        <v>-1055</v>
      </c>
      <c r="AC353" s="19">
        <v>-2863</v>
      </c>
      <c r="AD353" s="19">
        <v>-485</v>
      </c>
      <c r="AE353" s="19">
        <v>0</v>
      </c>
      <c r="AF353" s="19">
        <v>0</v>
      </c>
      <c r="AG353" s="20">
        <v>644</v>
      </c>
      <c r="AH353" s="19">
        <v>644.02529904999994</v>
      </c>
      <c r="AI353" s="19">
        <v>711.94940190000023</v>
      </c>
      <c r="AJ353" s="19">
        <v>0</v>
      </c>
      <c r="AK353" s="19">
        <v>0</v>
      </c>
      <c r="AL353" s="19">
        <v>0</v>
      </c>
      <c r="AM353" s="19">
        <v>0</v>
      </c>
      <c r="AN353" s="19">
        <v>0</v>
      </c>
      <c r="AO353" s="19">
        <v>0</v>
      </c>
      <c r="AP353" s="19">
        <v>0</v>
      </c>
      <c r="AQ353" s="19">
        <v>0</v>
      </c>
      <c r="AS353" s="19"/>
      <c r="AT353" s="19">
        <v>-296</v>
      </c>
      <c r="AU353" s="19">
        <v>-1169</v>
      </c>
      <c r="AV353" s="19">
        <v>-1461</v>
      </c>
      <c r="AW353" s="19">
        <v>-365</v>
      </c>
      <c r="AX353" s="19">
        <v>-1625</v>
      </c>
      <c r="AY353" s="19">
        <v>171</v>
      </c>
      <c r="AZ353" s="19">
        <v>351</v>
      </c>
      <c r="BA353" s="19">
        <v>490</v>
      </c>
      <c r="BB353" s="19">
        <v>1076</v>
      </c>
      <c r="BC353" s="19">
        <v>201</v>
      </c>
      <c r="BD353" s="19">
        <v>-149</v>
      </c>
      <c r="BE353" s="19">
        <v>432</v>
      </c>
      <c r="BF353" s="19">
        <v>373</v>
      </c>
      <c r="BG353" s="19">
        <v>454</v>
      </c>
      <c r="BH353" s="19">
        <v>-1063</v>
      </c>
      <c r="BI353" s="19">
        <v>-839</v>
      </c>
      <c r="BJ353" s="19">
        <v>-3918</v>
      </c>
      <c r="BK353" s="19">
        <v>-485</v>
      </c>
      <c r="BL353" s="20">
        <v>644</v>
      </c>
      <c r="BM353" s="19">
        <v>1355.9747009500002</v>
      </c>
      <c r="BN353" s="19">
        <v>0</v>
      </c>
      <c r="BO353" s="19">
        <v>0</v>
      </c>
      <c r="BP353" s="19">
        <v>0</v>
      </c>
      <c r="BQ353" s="19">
        <v>0</v>
      </c>
    </row>
    <row r="354" spans="1:69" s="9" customFormat="1" ht="12" customHeight="1" outlineLevel="1">
      <c r="A354" s="91" t="s">
        <v>233</v>
      </c>
      <c r="B354" s="16" t="s">
        <v>228</v>
      </c>
      <c r="C354" s="17"/>
      <c r="D354" s="17">
        <v>-1057</v>
      </c>
      <c r="E354" s="17">
        <v>65</v>
      </c>
      <c r="F354" s="17">
        <v>509</v>
      </c>
      <c r="G354" s="17">
        <v>306</v>
      </c>
      <c r="H354" s="17">
        <v>577</v>
      </c>
      <c r="I354" s="17">
        <v>256</v>
      </c>
      <c r="J354" s="17">
        <v>745</v>
      </c>
      <c r="K354" s="17">
        <v>416</v>
      </c>
      <c r="L354" s="17">
        <v>945</v>
      </c>
      <c r="M354" s="17">
        <v>1385</v>
      </c>
      <c r="N354" s="17">
        <v>906</v>
      </c>
      <c r="O354" s="17">
        <v>607</v>
      </c>
      <c r="P354" s="17">
        <v>917</v>
      </c>
      <c r="Q354" s="17">
        <v>291</v>
      </c>
      <c r="R354" s="17">
        <v>1078</v>
      </c>
      <c r="S354" s="17">
        <v>952</v>
      </c>
      <c r="T354" s="17">
        <v>1070</v>
      </c>
      <c r="U354" s="17">
        <v>1089</v>
      </c>
      <c r="V354" s="17">
        <v>1184</v>
      </c>
      <c r="W354" s="17">
        <v>1224</v>
      </c>
      <c r="X354" s="17">
        <v>-179</v>
      </c>
      <c r="Y354" s="17">
        <v>637</v>
      </c>
      <c r="Z354" s="17">
        <v>-309</v>
      </c>
      <c r="AA354" s="17">
        <v>1164</v>
      </c>
      <c r="AB354" s="17">
        <v>-34</v>
      </c>
      <c r="AC354" s="17">
        <v>-1524</v>
      </c>
      <c r="AD354" s="17">
        <v>671</v>
      </c>
      <c r="AE354" s="17">
        <v>1734</v>
      </c>
      <c r="AF354" s="17">
        <v>982</v>
      </c>
      <c r="AG354" s="18">
        <v>2118.40575205</v>
      </c>
      <c r="AH354" s="17">
        <v>1612.5281308581673</v>
      </c>
      <c r="AI354" s="17">
        <v>2161.3740154144602</v>
      </c>
      <c r="AJ354" s="17">
        <v>1054.12699164688</v>
      </c>
      <c r="AK354" s="17">
        <v>1543.5430949115027</v>
      </c>
      <c r="AL354" s="17">
        <v>1054.12699164688</v>
      </c>
      <c r="AM354" s="17">
        <v>1637.6615763085456</v>
      </c>
      <c r="AN354" s="17">
        <v>1129.4217767645143</v>
      </c>
      <c r="AO354" s="17">
        <v>1731.7800577055884</v>
      </c>
      <c r="AP354" s="17">
        <v>1204.7165618821487</v>
      </c>
      <c r="AQ354" s="17">
        <v>1844.72223538204</v>
      </c>
      <c r="AS354" s="17"/>
      <c r="AT354" s="17">
        <v>306</v>
      </c>
      <c r="AU354" s="17">
        <v>-289</v>
      </c>
      <c r="AV354" s="17">
        <v>-499</v>
      </c>
      <c r="AW354" s="17">
        <v>44</v>
      </c>
      <c r="AX354" s="17">
        <v>-982</v>
      </c>
      <c r="AY354" s="17">
        <v>815</v>
      </c>
      <c r="AZ354" s="17">
        <v>833</v>
      </c>
      <c r="BA354" s="17">
        <v>1161</v>
      </c>
      <c r="BB354" s="17">
        <v>2330</v>
      </c>
      <c r="BC354" s="17">
        <v>1513</v>
      </c>
      <c r="BD354" s="17">
        <v>1208</v>
      </c>
      <c r="BE354" s="17">
        <v>2030</v>
      </c>
      <c r="BF354" s="17">
        <v>2159</v>
      </c>
      <c r="BG354" s="17">
        <v>2408</v>
      </c>
      <c r="BH354" s="17">
        <v>458</v>
      </c>
      <c r="BI354" s="17">
        <v>855</v>
      </c>
      <c r="BJ354" s="17">
        <v>-1558</v>
      </c>
      <c r="BK354" s="17">
        <v>2405</v>
      </c>
      <c r="BL354" s="18">
        <v>3100.40575205</v>
      </c>
      <c r="BM354" s="17">
        <v>3773.9021462726278</v>
      </c>
      <c r="BN354" s="17">
        <v>2597.6700865583825</v>
      </c>
      <c r="BO354" s="17">
        <v>2691.7885679554256</v>
      </c>
      <c r="BP354" s="17">
        <v>2861.2018344701028</v>
      </c>
      <c r="BQ354" s="17">
        <v>3049.4387972641889</v>
      </c>
    </row>
    <row r="355" spans="1:69" ht="12" customHeight="1" outlineLevel="1">
      <c r="A355" s="91" t="s">
        <v>234</v>
      </c>
      <c r="B355" s="87" t="s">
        <v>236</v>
      </c>
      <c r="C355" s="19"/>
      <c r="D355" s="19">
        <v>0</v>
      </c>
      <c r="E355" s="19">
        <v>0</v>
      </c>
      <c r="F355" s="19">
        <v>0</v>
      </c>
      <c r="G355" s="19">
        <v>0</v>
      </c>
      <c r="H355" s="19">
        <v>0</v>
      </c>
      <c r="I355" s="19">
        <v>0</v>
      </c>
      <c r="J355" s="19">
        <v>0</v>
      </c>
      <c r="K355" s="19">
        <v>43.097142857142856</v>
      </c>
      <c r="L355" s="19">
        <v>76.1142857142857</v>
      </c>
      <c r="M355" s="19">
        <v>52.868571428571435</v>
      </c>
      <c r="N355" s="19">
        <v>66.342857142857142</v>
      </c>
      <c r="O355" s="19">
        <v>68.605714285714285</v>
      </c>
      <c r="P355" s="19">
        <v>55.645714285714284</v>
      </c>
      <c r="Q355" s="19">
        <v>83.931428571428569</v>
      </c>
      <c r="R355" s="19">
        <v>74.751428571428562</v>
      </c>
      <c r="S355" s="19">
        <v>110.16</v>
      </c>
      <c r="T355" s="19">
        <v>80.652857142857144</v>
      </c>
      <c r="U355" s="19">
        <v>126.01285714285714</v>
      </c>
      <c r="V355" s="19">
        <v>84.471428571428561</v>
      </c>
      <c r="W355" s="19">
        <v>141.63428571428571</v>
      </c>
      <c r="X355" s="19">
        <v>90.925714285714278</v>
      </c>
      <c r="Y355" s="19">
        <v>65.519999999999982</v>
      </c>
      <c r="Z355" s="19">
        <v>49.988571428571433</v>
      </c>
      <c r="AA355" s="19">
        <v>124.25142857142856</v>
      </c>
      <c r="AB355" s="19">
        <v>105.01714285714286</v>
      </c>
      <c r="AC355" s="19">
        <v>137.7257142857143</v>
      </c>
      <c r="AD355" s="19">
        <v>118.90285714285716</v>
      </c>
      <c r="AE355" s="19">
        <v>178.35428571428574</v>
      </c>
      <c r="AF355" s="19">
        <v>101.00571428571428</v>
      </c>
      <c r="AG355" s="20">
        <v>151.653163068</v>
      </c>
      <c r="AH355" s="19">
        <v>99.61743412884006</v>
      </c>
      <c r="AI355" s="19">
        <v>149.08367453291586</v>
      </c>
      <c r="AJ355" s="19">
        <v>108.42449056939338</v>
      </c>
      <c r="AK355" s="19">
        <v>158.76443261946886</v>
      </c>
      <c r="AL355" s="19">
        <v>108.42449056939338</v>
      </c>
      <c r="AM355" s="19">
        <v>168.44519070602186</v>
      </c>
      <c r="AN355" s="19">
        <v>116.16909703863575</v>
      </c>
      <c r="AO355" s="19">
        <v>178.12594879257483</v>
      </c>
      <c r="AP355" s="19">
        <v>123.91370350787814</v>
      </c>
      <c r="AQ355" s="19">
        <v>189.7428584964384</v>
      </c>
      <c r="AS355" s="19"/>
      <c r="AT355" s="19">
        <v>148.32</v>
      </c>
      <c r="AU355" s="19">
        <v>226.28571428571425</v>
      </c>
      <c r="AV355" s="19">
        <v>247.37142857142859</v>
      </c>
      <c r="AW355" s="19">
        <v>79.589189189189227</v>
      </c>
      <c r="AX355" s="19">
        <v>0</v>
      </c>
      <c r="AY355" s="19">
        <v>0</v>
      </c>
      <c r="AZ355" s="19">
        <v>0</v>
      </c>
      <c r="BA355" s="19">
        <v>43.097142857142856</v>
      </c>
      <c r="BB355" s="19">
        <v>128.98285714285714</v>
      </c>
      <c r="BC355" s="19">
        <v>134.94857142857143</v>
      </c>
      <c r="BD355" s="19">
        <v>139.57714285714286</v>
      </c>
      <c r="BE355" s="19">
        <v>184.91142857142856</v>
      </c>
      <c r="BF355" s="19">
        <v>206.66571428571427</v>
      </c>
      <c r="BG355" s="19">
        <v>226.10571428571427</v>
      </c>
      <c r="BH355" s="19">
        <v>156.44571428571425</v>
      </c>
      <c r="BI355" s="19">
        <v>174.24</v>
      </c>
      <c r="BJ355" s="19">
        <v>242.74285714285716</v>
      </c>
      <c r="BK355" s="19">
        <v>297.25714285714287</v>
      </c>
      <c r="BL355" s="20">
        <v>252.65887735371427</v>
      </c>
      <c r="BM355" s="19">
        <v>248.70110866175594</v>
      </c>
      <c r="BN355" s="19">
        <v>267.18892318886225</v>
      </c>
      <c r="BO355" s="19">
        <v>276.86968127541525</v>
      </c>
      <c r="BP355" s="19">
        <v>294.29504583121059</v>
      </c>
      <c r="BQ355" s="19">
        <v>313.65656200431653</v>
      </c>
    </row>
    <row r="356" spans="1:69" s="9" customFormat="1" ht="12" customHeight="1" outlineLevel="1">
      <c r="A356" s="91" t="s">
        <v>235</v>
      </c>
      <c r="B356" s="16" t="s">
        <v>230</v>
      </c>
      <c r="C356" s="17"/>
      <c r="D356" s="17">
        <v>-1057</v>
      </c>
      <c r="E356" s="17">
        <v>65</v>
      </c>
      <c r="F356" s="17">
        <v>509</v>
      </c>
      <c r="G356" s="17">
        <v>306</v>
      </c>
      <c r="H356" s="17">
        <v>577</v>
      </c>
      <c r="I356" s="17">
        <v>256</v>
      </c>
      <c r="J356" s="17">
        <v>745</v>
      </c>
      <c r="K356" s="17">
        <v>459.09714285714284</v>
      </c>
      <c r="L356" s="17">
        <v>1021.1142857142856</v>
      </c>
      <c r="M356" s="17">
        <v>1437.8685714285714</v>
      </c>
      <c r="N356" s="17">
        <v>972.34285714285716</v>
      </c>
      <c r="O356" s="17">
        <v>675.60571428571427</v>
      </c>
      <c r="P356" s="17">
        <v>972.64571428571423</v>
      </c>
      <c r="Q356" s="17">
        <v>374.93142857142857</v>
      </c>
      <c r="R356" s="17">
        <v>1152.7514285714285</v>
      </c>
      <c r="S356" s="17">
        <v>1062.1600000000001</v>
      </c>
      <c r="T356" s="17">
        <v>1150.6528571428571</v>
      </c>
      <c r="U356" s="17">
        <v>1215.0128571428572</v>
      </c>
      <c r="V356" s="17">
        <v>1268.4714285714285</v>
      </c>
      <c r="W356" s="17">
        <v>1365.6342857142856</v>
      </c>
      <c r="X356" s="17">
        <v>-88.074285714285722</v>
      </c>
      <c r="Y356" s="17">
        <v>702.52</v>
      </c>
      <c r="Z356" s="17">
        <v>-259.01142857142855</v>
      </c>
      <c r="AA356" s="17">
        <v>1288.2514285714285</v>
      </c>
      <c r="AB356" s="17">
        <v>71.017142857142858</v>
      </c>
      <c r="AC356" s="17">
        <v>-1386.2742857142857</v>
      </c>
      <c r="AD356" s="17">
        <v>789.9028571428571</v>
      </c>
      <c r="AE356" s="17">
        <v>1912.3542857142857</v>
      </c>
      <c r="AF356" s="17">
        <v>1083.0057142857142</v>
      </c>
      <c r="AG356" s="18">
        <v>2270.0589151180002</v>
      </c>
      <c r="AH356" s="17">
        <v>1712.1455649870074</v>
      </c>
      <c r="AI356" s="17">
        <v>2310.4576899473759</v>
      </c>
      <c r="AJ356" s="17">
        <v>1162.5514822162734</v>
      </c>
      <c r="AK356" s="17">
        <v>1702.3075275309716</v>
      </c>
      <c r="AL356" s="17">
        <v>1162.5514822162734</v>
      </c>
      <c r="AM356" s="17">
        <v>1806.1067670145674</v>
      </c>
      <c r="AN356" s="17">
        <v>1245.5908738031501</v>
      </c>
      <c r="AO356" s="17">
        <v>1909.9060064981632</v>
      </c>
      <c r="AP356" s="17">
        <v>1328.6302653900268</v>
      </c>
      <c r="AQ356" s="17">
        <v>2034.4650938784785</v>
      </c>
      <c r="AS356" s="17"/>
      <c r="AT356" s="17">
        <v>454.32</v>
      </c>
      <c r="AU356" s="17">
        <v>-62.714285714285751</v>
      </c>
      <c r="AV356" s="17">
        <v>-251.62857142857141</v>
      </c>
      <c r="AW356" s="17">
        <v>123.58918918918923</v>
      </c>
      <c r="AX356" s="17">
        <v>-982</v>
      </c>
      <c r="AY356" s="17">
        <v>815</v>
      </c>
      <c r="AZ356" s="17">
        <v>833</v>
      </c>
      <c r="BA356" s="17">
        <v>1204.0971428571429</v>
      </c>
      <c r="BB356" s="17">
        <v>2458.982857142857</v>
      </c>
      <c r="BC356" s="17">
        <v>1647.9485714285715</v>
      </c>
      <c r="BD356" s="17">
        <v>1347.5771428571429</v>
      </c>
      <c r="BE356" s="17">
        <v>2214.9114285714286</v>
      </c>
      <c r="BF356" s="17">
        <v>2365.6657142857143</v>
      </c>
      <c r="BG356" s="17">
        <v>2634.1057142857144</v>
      </c>
      <c r="BH356" s="17">
        <v>614.4457142857143</v>
      </c>
      <c r="BI356" s="17">
        <v>1029.24</v>
      </c>
      <c r="BJ356" s="17">
        <v>-1315.2571428571428</v>
      </c>
      <c r="BK356" s="17">
        <v>2702.2571428571428</v>
      </c>
      <c r="BL356" s="18">
        <v>3353.0646294037142</v>
      </c>
      <c r="BM356" s="17">
        <v>4022.6032549343836</v>
      </c>
      <c r="BN356" s="17">
        <v>2864.8590097472447</v>
      </c>
      <c r="BO356" s="17">
        <v>2968.6582492308407</v>
      </c>
      <c r="BP356" s="17">
        <v>3155.4968803013135</v>
      </c>
      <c r="BQ356" s="17">
        <v>3363.0953592685055</v>
      </c>
    </row>
    <row r="357" spans="1:69" ht="12" customHeight="1" outlineLevel="1"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20"/>
      <c r="AH357" s="19"/>
      <c r="AI357" s="19"/>
      <c r="AJ357" s="19"/>
      <c r="AK357" s="19"/>
      <c r="AL357" s="19"/>
      <c r="AM357" s="19"/>
      <c r="AN357" s="19"/>
      <c r="AO357" s="19"/>
      <c r="AP357" s="19"/>
      <c r="AQ357" s="19"/>
      <c r="AS357" s="19"/>
      <c r="AT357" s="19"/>
      <c r="AU357" s="19"/>
      <c r="AV357" s="19"/>
      <c r="AW357" s="19"/>
      <c r="AX357" s="19"/>
    </row>
    <row r="358" spans="1:69" ht="12" customHeight="1" outlineLevel="1">
      <c r="B358" s="3" t="s">
        <v>248</v>
      </c>
      <c r="C358" s="96" t="s">
        <v>622</v>
      </c>
      <c r="D358" s="96" t="s">
        <v>738</v>
      </c>
      <c r="E358" s="96" t="s">
        <v>622</v>
      </c>
      <c r="F358" s="96" t="s">
        <v>622</v>
      </c>
      <c r="G358" s="96" t="s">
        <v>622</v>
      </c>
      <c r="H358" s="96" t="s">
        <v>622</v>
      </c>
      <c r="I358" s="96" t="s">
        <v>622</v>
      </c>
      <c r="J358" s="96" t="s">
        <v>622</v>
      </c>
      <c r="K358" s="100" t="s">
        <v>622</v>
      </c>
      <c r="L358" s="100" t="s">
        <v>622</v>
      </c>
      <c r="M358" s="100" t="s">
        <v>622</v>
      </c>
      <c r="N358" s="100" t="s">
        <v>622</v>
      </c>
      <c r="O358" s="100" t="s">
        <v>622</v>
      </c>
      <c r="P358" s="100" t="s">
        <v>622</v>
      </c>
      <c r="Q358" s="100" t="s">
        <v>622</v>
      </c>
      <c r="R358" s="100" t="s">
        <v>622</v>
      </c>
      <c r="S358" s="100" t="s">
        <v>622</v>
      </c>
      <c r="T358" s="100" t="s">
        <v>622</v>
      </c>
      <c r="U358" s="100" t="s">
        <v>622</v>
      </c>
      <c r="V358" s="100" t="s">
        <v>622</v>
      </c>
      <c r="W358" s="100" t="s">
        <v>622</v>
      </c>
      <c r="X358" s="100" t="s">
        <v>622</v>
      </c>
      <c r="Y358" s="100" t="s">
        <v>622</v>
      </c>
      <c r="Z358" s="100" t="s">
        <v>622</v>
      </c>
      <c r="AA358" s="100" t="s">
        <v>622</v>
      </c>
      <c r="AB358" s="100" t="s">
        <v>622</v>
      </c>
      <c r="AC358" s="100" t="s">
        <v>622</v>
      </c>
      <c r="AD358" s="100" t="s">
        <v>622</v>
      </c>
      <c r="AE358" s="100" t="s">
        <v>622</v>
      </c>
      <c r="AF358" s="100" t="s">
        <v>622</v>
      </c>
      <c r="AG358" s="97" t="s">
        <v>622</v>
      </c>
      <c r="AH358" s="96" t="s">
        <v>622</v>
      </c>
      <c r="AI358" s="96" t="s">
        <v>622</v>
      </c>
      <c r="AJ358" s="96" t="s">
        <v>622</v>
      </c>
      <c r="AK358" s="96" t="s">
        <v>622</v>
      </c>
      <c r="AL358" s="96" t="s">
        <v>622</v>
      </c>
      <c r="AM358" s="96" t="s">
        <v>622</v>
      </c>
      <c r="AN358" s="96" t="s">
        <v>622</v>
      </c>
      <c r="AO358" s="96" t="s">
        <v>622</v>
      </c>
      <c r="AP358" s="96" t="s">
        <v>622</v>
      </c>
      <c r="AQ358" s="96" t="s">
        <v>622</v>
      </c>
      <c r="AS358" s="96"/>
      <c r="AT358" s="96" t="s">
        <v>622</v>
      </c>
      <c r="AU358" s="96" t="s">
        <v>622</v>
      </c>
      <c r="AV358" s="96" t="s">
        <v>622</v>
      </c>
      <c r="AW358" s="96" t="s">
        <v>622</v>
      </c>
      <c r="AX358" s="96" t="s">
        <v>622</v>
      </c>
      <c r="AY358" s="100" t="s">
        <v>622</v>
      </c>
      <c r="AZ358" s="100" t="s">
        <v>622</v>
      </c>
      <c r="BA358" s="100" t="s">
        <v>622</v>
      </c>
      <c r="BB358" s="100" t="s">
        <v>622</v>
      </c>
      <c r="BC358" s="100" t="s">
        <v>622</v>
      </c>
      <c r="BD358" s="100" t="s">
        <v>622</v>
      </c>
      <c r="BE358" s="100" t="s">
        <v>622</v>
      </c>
      <c r="BF358" s="100" t="s">
        <v>622</v>
      </c>
      <c r="BG358" s="100" t="s">
        <v>622</v>
      </c>
      <c r="BH358" s="100" t="s">
        <v>622</v>
      </c>
      <c r="BI358" s="100" t="s">
        <v>622</v>
      </c>
      <c r="BJ358" s="100" t="s">
        <v>622</v>
      </c>
      <c r="BK358" s="100" t="s">
        <v>622</v>
      </c>
      <c r="BL358" s="97" t="s">
        <v>622</v>
      </c>
      <c r="BM358" s="100" t="s">
        <v>622</v>
      </c>
      <c r="BN358" s="100" t="s">
        <v>622</v>
      </c>
      <c r="BO358" s="100" t="s">
        <v>622</v>
      </c>
      <c r="BP358" s="100" t="s">
        <v>622</v>
      </c>
      <c r="BQ358" s="100" t="s">
        <v>622</v>
      </c>
    </row>
    <row r="359" spans="1:69" ht="12" customHeight="1"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20"/>
      <c r="AH359" s="19"/>
      <c r="AI359" s="19"/>
      <c r="AJ359" s="19"/>
      <c r="AK359" s="19"/>
      <c r="AL359" s="19"/>
      <c r="AM359" s="19"/>
      <c r="AN359" s="19"/>
      <c r="AO359" s="19"/>
      <c r="AP359" s="19"/>
      <c r="AQ359" s="19"/>
      <c r="AS359" s="19"/>
      <c r="AT359" s="19"/>
      <c r="AU359" s="19"/>
      <c r="AV359" s="19"/>
      <c r="AW359" s="19"/>
    </row>
    <row r="360" spans="1:69" s="9" customFormat="1" ht="12" customHeight="1">
      <c r="A360" s="91" t="s">
        <v>251</v>
      </c>
      <c r="B360" s="2" t="s">
        <v>249</v>
      </c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14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172"/>
      <c r="AT360" s="172">
        <v>74.752243438566566</v>
      </c>
      <c r="AU360" s="172">
        <v>75.371404588540926</v>
      </c>
      <c r="AV360" s="172">
        <v>77.441098845994077</v>
      </c>
      <c r="AW360" s="172">
        <v>81.941414252726887</v>
      </c>
      <c r="AX360" s="172">
        <v>76.884619552942141</v>
      </c>
      <c r="AY360" s="172">
        <v>81.482625573376524</v>
      </c>
      <c r="AZ360" s="172">
        <v>86.663784889721185</v>
      </c>
      <c r="BA360" s="172">
        <v>94.21342572159773</v>
      </c>
      <c r="BB360" s="172">
        <v>103.57269016948595</v>
      </c>
      <c r="BC360" s="172">
        <v>104.55769169438237</v>
      </c>
      <c r="BD360" s="172">
        <v>108.53530825782028</v>
      </c>
      <c r="BE360" s="172">
        <v>112.64677858251594</v>
      </c>
      <c r="BF360" s="172">
        <v>116.73102385815415</v>
      </c>
      <c r="BG360" s="172">
        <v>120.42525885714124</v>
      </c>
      <c r="BH360" s="172">
        <v>125.26989479609622</v>
      </c>
      <c r="BI360" s="172">
        <v>131.87342873244845</v>
      </c>
      <c r="BJ360" s="172">
        <v>139.98761061771958</v>
      </c>
      <c r="BK360" s="172">
        <v>145.58919279822447</v>
      </c>
      <c r="BL360" s="173">
        <v>152.56825191420955</v>
      </c>
      <c r="BM360" s="172">
        <v>159.72223689063523</v>
      </c>
      <c r="BN360" s="172">
        <v>167.76530182020321</v>
      </c>
      <c r="BO360" s="172">
        <v>176.32087282715455</v>
      </c>
      <c r="BP360" s="172">
        <v>185.21860407850144</v>
      </c>
      <c r="BQ360" s="172">
        <v>194.4368844210517</v>
      </c>
    </row>
    <row r="361" spans="1:69" ht="12" customHeight="1" outlineLevel="1">
      <c r="B361" s="87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20"/>
      <c r="AH361" s="19"/>
      <c r="AI361" s="19"/>
      <c r="AJ361" s="19"/>
      <c r="AK361" s="19"/>
      <c r="AL361" s="19"/>
      <c r="AM361" s="19"/>
      <c r="AN361" s="19"/>
      <c r="AO361" s="19"/>
      <c r="AP361" s="19"/>
      <c r="AQ361" s="19"/>
      <c r="AS361" s="19"/>
      <c r="AT361" s="19"/>
      <c r="AU361" s="19"/>
      <c r="AV361" s="19"/>
      <c r="AW361" s="19"/>
    </row>
    <row r="362" spans="1:69" ht="12" customHeight="1" outlineLevel="1">
      <c r="A362" s="91" t="s">
        <v>252</v>
      </c>
      <c r="B362" s="87" t="s">
        <v>250</v>
      </c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20"/>
      <c r="AH362" s="19"/>
      <c r="AI362" s="19"/>
      <c r="AJ362" s="19"/>
      <c r="AK362" s="19"/>
      <c r="AL362" s="19"/>
      <c r="AM362" s="19"/>
      <c r="AN362" s="19"/>
      <c r="AO362" s="19"/>
      <c r="AP362" s="19"/>
      <c r="AQ362" s="19"/>
      <c r="AR362" s="19"/>
      <c r="AS362" s="19">
        <v>7412.2631452678206</v>
      </c>
      <c r="AT362" s="19">
        <v>7832.6649335040674</v>
      </c>
      <c r="AU362" s="19">
        <v>8889.2660969874651</v>
      </c>
      <c r="AV362" s="19">
        <v>10259.414174492238</v>
      </c>
      <c r="AW362" s="19">
        <v>11220.836763592479</v>
      </c>
      <c r="AX362" s="19">
        <v>13302.478766424541</v>
      </c>
      <c r="AY362" s="19">
        <v>13791.12168553415</v>
      </c>
      <c r="AZ362" s="19">
        <v>14309.651610716495</v>
      </c>
      <c r="BA362" s="19">
        <v>14550.997468566711</v>
      </c>
      <c r="BB362" s="19">
        <v>13646.995220486255</v>
      </c>
      <c r="BC362" s="19">
        <v>13471.400752093905</v>
      </c>
      <c r="BD362" s="19">
        <v>13583.59802579911</v>
      </c>
      <c r="BE362" s="19">
        <v>12884.790632327426</v>
      </c>
      <c r="BF362" s="19">
        <v>11988.500114295512</v>
      </c>
      <c r="BG362" s="19">
        <v>10755.373125496475</v>
      </c>
      <c r="BH362" s="19">
        <v>11351.399691795128</v>
      </c>
      <c r="BI362" s="19">
        <v>11608.836861591049</v>
      </c>
      <c r="BJ362" s="19">
        <v>14304.502874026977</v>
      </c>
      <c r="BK362" s="19">
        <v>13301.34415568162</v>
      </c>
      <c r="BL362" s="20">
        <v>11504.470130888421</v>
      </c>
      <c r="BM362" s="19">
        <v>8858.0060574428589</v>
      </c>
      <c r="BN362" s="19">
        <v>7128.4205645138827</v>
      </c>
      <c r="BO362" s="19">
        <v>5135.2172118808121</v>
      </c>
      <c r="BP362" s="19">
        <v>2777.2666641750307</v>
      </c>
      <c r="BQ362" s="19">
        <v>0</v>
      </c>
    </row>
    <row r="363" spans="1:69" ht="12" customHeight="1" outlineLevel="1">
      <c r="A363" s="91" t="s">
        <v>253</v>
      </c>
      <c r="B363" s="87" t="s">
        <v>254</v>
      </c>
      <c r="C363" s="19"/>
      <c r="D363" s="19"/>
      <c r="E363" s="19"/>
      <c r="F363" s="19"/>
      <c r="G363" s="19"/>
      <c r="H363" s="36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20"/>
      <c r="AH363" s="19"/>
      <c r="AI363" s="19"/>
      <c r="AJ363" s="19"/>
      <c r="AK363" s="19"/>
      <c r="AL363" s="19"/>
      <c r="AM363" s="19"/>
      <c r="AN363" s="19"/>
      <c r="AO363" s="19"/>
      <c r="AP363" s="19"/>
      <c r="AQ363" s="19"/>
      <c r="AR363" s="19"/>
      <c r="AS363" s="19">
        <v>7296.4085186182274</v>
      </c>
      <c r="AT363" s="19">
        <v>8011.4565534428139</v>
      </c>
      <c r="AU363" s="19">
        <v>8796.5792956802106</v>
      </c>
      <c r="AV363" s="19">
        <v>9658.6440666568706</v>
      </c>
      <c r="AW363" s="19">
        <v>10605.191185189246</v>
      </c>
      <c r="AX363" s="19">
        <v>11644.499921337792</v>
      </c>
      <c r="AY363" s="19">
        <v>12785.660913628897</v>
      </c>
      <c r="AZ363" s="19">
        <v>14038.65568316453</v>
      </c>
      <c r="BA363" s="19">
        <v>15414.443940114654</v>
      </c>
      <c r="BB363" s="19">
        <v>16925.05944624589</v>
      </c>
      <c r="BC363" s="19">
        <v>18583.715271977992</v>
      </c>
      <c r="BD363" s="19">
        <v>20404.919368631836</v>
      </c>
      <c r="BE363" s="19">
        <v>22404.601466757755</v>
      </c>
      <c r="BF363" s="19">
        <v>24600.252410500012</v>
      </c>
      <c r="BG363" s="19">
        <v>27011.077146729021</v>
      </c>
      <c r="BH363" s="19">
        <v>29658.162707108462</v>
      </c>
      <c r="BI363" s="19">
        <v>32564.662652405095</v>
      </c>
      <c r="BJ363" s="19">
        <v>35755.999592340799</v>
      </c>
      <c r="BK363" s="19">
        <v>39260.0875523902</v>
      </c>
      <c r="BL363" s="20">
        <v>43107.576132524438</v>
      </c>
      <c r="BM363" s="19">
        <v>47332.118593511841</v>
      </c>
      <c r="BN363" s="19">
        <v>51970.666215675999</v>
      </c>
      <c r="BO363" s="19">
        <v>57063.791504812252</v>
      </c>
      <c r="BP363" s="19">
        <v>62656.043072283857</v>
      </c>
      <c r="BQ363" s="19">
        <v>68796.33529336768</v>
      </c>
    </row>
    <row r="364" spans="1:69" ht="12" customHeight="1" outlineLevel="1">
      <c r="A364" s="91" t="s">
        <v>255</v>
      </c>
      <c r="B364" s="16" t="s">
        <v>205</v>
      </c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20"/>
      <c r="AH364" s="19"/>
      <c r="AI364" s="19"/>
      <c r="AJ364" s="19"/>
      <c r="AK364" s="19"/>
      <c r="AL364" s="19"/>
      <c r="AM364" s="19"/>
      <c r="AN364" s="19"/>
      <c r="AO364" s="19"/>
      <c r="AP364" s="19"/>
      <c r="AQ364" s="19"/>
      <c r="AR364" s="19"/>
      <c r="AS364" s="17">
        <v>14708.671663886049</v>
      </c>
      <c r="AT364" s="17">
        <v>15844.121486946882</v>
      </c>
      <c r="AU364" s="17">
        <v>17685.845392667674</v>
      </c>
      <c r="AV364" s="17">
        <v>19918.058241149109</v>
      </c>
      <c r="AW364" s="17">
        <v>21826.027948781724</v>
      </c>
      <c r="AX364" s="17">
        <v>24946.978687762334</v>
      </c>
      <c r="AY364" s="17">
        <v>26576.782599163045</v>
      </c>
      <c r="AZ364" s="17">
        <v>28348.307293881026</v>
      </c>
      <c r="BA364" s="17">
        <v>29965.441408681363</v>
      </c>
      <c r="BB364" s="17">
        <v>30572.054666732147</v>
      </c>
      <c r="BC364" s="17">
        <v>32055.116024071896</v>
      </c>
      <c r="BD364" s="17">
        <v>33988.51739443095</v>
      </c>
      <c r="BE364" s="17">
        <v>35289.392099085177</v>
      </c>
      <c r="BF364" s="17">
        <v>36588.75252479552</v>
      </c>
      <c r="BG364" s="17">
        <v>37766.450272225498</v>
      </c>
      <c r="BH364" s="17">
        <v>41009.562398903588</v>
      </c>
      <c r="BI364" s="17">
        <v>44173.499513996147</v>
      </c>
      <c r="BJ364" s="17">
        <v>50060.502466367776</v>
      </c>
      <c r="BK364" s="17">
        <v>52561.431708071817</v>
      </c>
      <c r="BL364" s="18">
        <v>54612.046263412863</v>
      </c>
      <c r="BM364" s="17">
        <v>56190.124650954698</v>
      </c>
      <c r="BN364" s="17">
        <v>59099.086780189886</v>
      </c>
      <c r="BO364" s="17">
        <v>62199.008716693061</v>
      </c>
      <c r="BP364" s="17">
        <v>65433.30973645889</v>
      </c>
      <c r="BQ364" s="17">
        <v>68796.33529336768</v>
      </c>
    </row>
    <row r="365" spans="1:69" ht="12" customHeight="1" outlineLevel="1">
      <c r="B365" s="87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20"/>
      <c r="AH365" s="19"/>
      <c r="AI365" s="19"/>
      <c r="AJ365" s="19"/>
      <c r="AK365" s="19"/>
      <c r="AL365" s="19"/>
      <c r="AM365" s="19"/>
      <c r="AN365" s="19"/>
      <c r="AO365" s="19"/>
      <c r="AP365" s="19"/>
      <c r="AQ365" s="19"/>
      <c r="AR365" s="19"/>
      <c r="AS365" s="19"/>
      <c r="AT365" s="19"/>
      <c r="AU365" s="19"/>
      <c r="AV365" s="19"/>
      <c r="AW365" s="19"/>
      <c r="AX365" s="19"/>
      <c r="AY365" s="19"/>
      <c r="AZ365" s="19"/>
      <c r="BA365" s="19"/>
      <c r="BB365" s="19"/>
      <c r="BC365" s="19"/>
      <c r="BD365" s="19"/>
      <c r="BE365" s="19"/>
      <c r="BF365" s="19"/>
      <c r="BG365" s="19"/>
      <c r="BH365" s="19"/>
      <c r="BI365" s="19"/>
      <c r="BJ365" s="19"/>
      <c r="BK365" s="19"/>
      <c r="BL365" s="20"/>
      <c r="BM365" s="19"/>
      <c r="BN365" s="19"/>
      <c r="BO365" s="19"/>
      <c r="BP365" s="19"/>
      <c r="BQ365" s="19"/>
    </row>
    <row r="366" spans="1:69" ht="12" customHeight="1" outlineLevel="1">
      <c r="A366" s="91" t="s">
        <v>256</v>
      </c>
      <c r="B366" s="87" t="s">
        <v>257</v>
      </c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20"/>
      <c r="AH366" s="19"/>
      <c r="AI366" s="19"/>
      <c r="AJ366" s="19"/>
      <c r="AK366" s="19"/>
      <c r="AL366" s="19"/>
      <c r="AM366" s="19"/>
      <c r="AN366" s="19"/>
      <c r="AO366" s="19"/>
      <c r="AP366" s="19"/>
      <c r="AQ366" s="19"/>
      <c r="AR366" s="19"/>
      <c r="AS366" s="19">
        <v>1329.7590354692516</v>
      </c>
      <c r="AT366" s="19">
        <v>1311.7554209452383</v>
      </c>
      <c r="AU366" s="19">
        <v>1214.0217379121575</v>
      </c>
      <c r="AV366" s="19">
        <v>1085.6244396561203</v>
      </c>
      <c r="AW366" s="19">
        <v>1112.4264455532309</v>
      </c>
      <c r="AX366" s="19">
        <v>1221.4442372174476</v>
      </c>
      <c r="AY366" s="19">
        <v>1341.1457724647573</v>
      </c>
      <c r="AZ366" s="19">
        <v>1472.5780581663039</v>
      </c>
      <c r="BA366" s="19">
        <v>1573.7935650094589</v>
      </c>
      <c r="BB366" s="19">
        <v>1599.0424772375286</v>
      </c>
      <c r="BC366" s="19">
        <v>1620.8000685782351</v>
      </c>
      <c r="BD366" s="19">
        <v>1640.06133244176</v>
      </c>
      <c r="BE366" s="19">
        <v>1615.8759144496239</v>
      </c>
      <c r="BF366" s="19">
        <v>1567.5660397799729</v>
      </c>
      <c r="BG366" s="19">
        <v>1495.081797392696</v>
      </c>
      <c r="BH366" s="19">
        <v>1485.1540992514661</v>
      </c>
      <c r="BI366" s="19">
        <v>1456.4592009781095</v>
      </c>
      <c r="BJ366" s="19">
        <v>1356.4493455311069</v>
      </c>
      <c r="BK366" s="19">
        <v>1192.1242385360129</v>
      </c>
      <c r="BL366" s="20">
        <v>1056.293536558828</v>
      </c>
      <c r="BM366" s="19">
        <v>911.10919447983747</v>
      </c>
      <c r="BN366" s="19">
        <v>733.20897234999927</v>
      </c>
      <c r="BO366" s="19">
        <v>528.19377036488402</v>
      </c>
      <c r="BP366" s="19">
        <v>285.66171402943218</v>
      </c>
      <c r="BQ366" s="19">
        <v>0</v>
      </c>
    </row>
    <row r="367" spans="1:69" ht="12" customHeight="1" outlineLevel="1">
      <c r="A367" s="91" t="s">
        <v>258</v>
      </c>
      <c r="B367" s="87" t="s">
        <v>259</v>
      </c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20"/>
      <c r="AH367" s="19"/>
      <c r="AI367" s="19"/>
      <c r="AJ367" s="19"/>
      <c r="AK367" s="19"/>
      <c r="AL367" s="19"/>
      <c r="AM367" s="19"/>
      <c r="AN367" s="19"/>
      <c r="AO367" s="19"/>
      <c r="AP367" s="19"/>
      <c r="AQ367" s="19"/>
      <c r="AR367" s="19"/>
      <c r="AS367" s="19">
        <v>467.08854898151554</v>
      </c>
      <c r="AT367" s="19">
        <v>512.86322678170416</v>
      </c>
      <c r="AU367" s="19">
        <v>563.12382300631123</v>
      </c>
      <c r="AV367" s="19">
        <v>618.30995766092974</v>
      </c>
      <c r="AW367" s="19">
        <v>678.90433351170088</v>
      </c>
      <c r="AX367" s="19">
        <v>745.43695819584764</v>
      </c>
      <c r="AY367" s="19">
        <v>818.48978009904067</v>
      </c>
      <c r="AZ367" s="19">
        <v>898.7017785487468</v>
      </c>
      <c r="BA367" s="19">
        <v>986.77455284652399</v>
      </c>
      <c r="BB367" s="19">
        <v>1083.4784590254833</v>
      </c>
      <c r="BC367" s="19">
        <v>1189.6593480099809</v>
      </c>
      <c r="BD367" s="19">
        <v>1306.2459641149592</v>
      </c>
      <c r="BE367" s="19">
        <v>1434.2580685982252</v>
      </c>
      <c r="BF367" s="19">
        <v>1574.815359320851</v>
      </c>
      <c r="BG367" s="19">
        <v>1729.1472645342949</v>
      </c>
      <c r="BH367" s="19">
        <v>1898.6036964586556</v>
      </c>
      <c r="BI367" s="19">
        <v>2084.6668587116042</v>
      </c>
      <c r="BJ367" s="19">
        <v>2288.9642108653416</v>
      </c>
      <c r="BK367" s="19">
        <v>2513.2827035301452</v>
      </c>
      <c r="BL367" s="20">
        <v>2759.5844084760997</v>
      </c>
      <c r="BM367" s="19">
        <v>3030.0236805067575</v>
      </c>
      <c r="BN367" s="19">
        <v>3326.9660011964197</v>
      </c>
      <c r="BO367" s="19">
        <v>3653.0086693136695</v>
      </c>
      <c r="BP367" s="19">
        <v>4011.0035189064088</v>
      </c>
      <c r="BQ367" s="19">
        <v>4404.0818637592374</v>
      </c>
    </row>
    <row r="368" spans="1:69" ht="12" customHeight="1" outlineLevel="1">
      <c r="A368" s="91" t="s">
        <v>260</v>
      </c>
      <c r="B368" s="16" t="s">
        <v>205</v>
      </c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20"/>
      <c r="AH368" s="19"/>
      <c r="AI368" s="19"/>
      <c r="AJ368" s="19"/>
      <c r="AK368" s="19"/>
      <c r="AL368" s="19"/>
      <c r="AM368" s="19"/>
      <c r="AN368" s="19"/>
      <c r="AO368" s="19"/>
      <c r="AP368" s="19"/>
      <c r="AQ368" s="19"/>
      <c r="AR368" s="19"/>
      <c r="AS368" s="17">
        <v>1796.847584450767</v>
      </c>
      <c r="AT368" s="17">
        <v>1824.6186477269425</v>
      </c>
      <c r="AU368" s="17">
        <v>1777.1455609184686</v>
      </c>
      <c r="AV368" s="17">
        <v>1703.9343973170501</v>
      </c>
      <c r="AW368" s="17">
        <v>1791.3307790649319</v>
      </c>
      <c r="AX368" s="17">
        <v>1966.8811954132952</v>
      </c>
      <c r="AY368" s="17">
        <v>2159.6355525637982</v>
      </c>
      <c r="AZ368" s="17">
        <v>2371.2798367150508</v>
      </c>
      <c r="BA368" s="17">
        <v>2560.568117855983</v>
      </c>
      <c r="BB368" s="17">
        <v>2682.5209362630121</v>
      </c>
      <c r="BC368" s="17">
        <v>2810.4594165882163</v>
      </c>
      <c r="BD368" s="17">
        <v>2946.3072965567189</v>
      </c>
      <c r="BE368" s="17">
        <v>3050.1339830478491</v>
      </c>
      <c r="BF368" s="17">
        <v>3142.3813991008237</v>
      </c>
      <c r="BG368" s="17">
        <v>3224.2290619269907</v>
      </c>
      <c r="BH368" s="17">
        <v>3383.7577957101216</v>
      </c>
      <c r="BI368" s="17">
        <v>3541.1260596897137</v>
      </c>
      <c r="BJ368" s="17">
        <v>3645.4135563964483</v>
      </c>
      <c r="BK368" s="17">
        <v>3705.4069420661581</v>
      </c>
      <c r="BL368" s="18">
        <v>3815.8779450349275</v>
      </c>
      <c r="BM368" s="17">
        <v>3941.1328749865952</v>
      </c>
      <c r="BN368" s="17">
        <v>4060.1749735464191</v>
      </c>
      <c r="BO368" s="17">
        <v>4181.2024396785537</v>
      </c>
      <c r="BP368" s="17">
        <v>4296.6652329358412</v>
      </c>
      <c r="BQ368" s="17">
        <v>4404.0818637592374</v>
      </c>
    </row>
    <row r="369" spans="1:69" ht="12" customHeight="1" outlineLevel="1">
      <c r="B369" s="87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20"/>
      <c r="AH369" s="19"/>
      <c r="AI369" s="19"/>
      <c r="AJ369" s="19"/>
      <c r="AK369" s="19"/>
      <c r="AL369" s="19"/>
      <c r="AM369" s="19"/>
      <c r="AN369" s="19"/>
      <c r="AO369" s="19"/>
      <c r="AP369" s="19"/>
      <c r="AQ369" s="19"/>
      <c r="AR369" s="19"/>
      <c r="AS369" s="19"/>
      <c r="AT369" s="19"/>
      <c r="AU369" s="19"/>
      <c r="AV369" s="19"/>
      <c r="AW369" s="19"/>
      <c r="AX369" s="19"/>
      <c r="AY369" s="19"/>
      <c r="AZ369" s="19"/>
      <c r="BA369" s="19"/>
      <c r="BB369" s="19"/>
      <c r="BC369" s="19"/>
      <c r="BD369" s="19"/>
      <c r="BE369" s="19"/>
      <c r="BF369" s="19"/>
      <c r="BG369" s="19"/>
      <c r="BH369" s="19"/>
      <c r="BI369" s="33"/>
      <c r="BJ369" s="19"/>
      <c r="BK369" s="19"/>
      <c r="BL369" s="20"/>
      <c r="BM369" s="19"/>
      <c r="BN369" s="19"/>
      <c r="BO369" s="19"/>
      <c r="BP369" s="19"/>
      <c r="BQ369" s="19"/>
    </row>
    <row r="370" spans="1:69" s="9" customFormat="1" ht="12" customHeight="1" outlineLevel="1">
      <c r="A370" s="91" t="s">
        <v>261</v>
      </c>
      <c r="B370" s="16" t="s">
        <v>262</v>
      </c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8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>
        <v>16505.519248336816</v>
      </c>
      <c r="AT370" s="17">
        <v>17668.740134673826</v>
      </c>
      <c r="AU370" s="17">
        <v>19462.990953586144</v>
      </c>
      <c r="AV370" s="17">
        <v>21621.992638466159</v>
      </c>
      <c r="AW370" s="17">
        <v>23617.358727846655</v>
      </c>
      <c r="AX370" s="17">
        <v>26913.859883175628</v>
      </c>
      <c r="AY370" s="17">
        <v>28736.418151726844</v>
      </c>
      <c r="AZ370" s="17">
        <v>30719.587130596075</v>
      </c>
      <c r="BA370" s="17">
        <v>32526.009526537346</v>
      </c>
      <c r="BB370" s="17">
        <v>33254.575602995159</v>
      </c>
      <c r="BC370" s="17">
        <v>34865.575440660112</v>
      </c>
      <c r="BD370" s="17">
        <v>36934.824690987669</v>
      </c>
      <c r="BE370" s="17">
        <v>38339.526082133023</v>
      </c>
      <c r="BF370" s="17">
        <v>39731.133923896341</v>
      </c>
      <c r="BG370" s="17">
        <v>40990.67933415249</v>
      </c>
      <c r="BH370" s="17">
        <v>44393.320194613712</v>
      </c>
      <c r="BI370" s="17">
        <v>47714.625573685858</v>
      </c>
      <c r="BJ370" s="17">
        <v>53705.916022764228</v>
      </c>
      <c r="BK370" s="17">
        <v>56266.838650137972</v>
      </c>
      <c r="BL370" s="18">
        <v>58427.924208447788</v>
      </c>
      <c r="BM370" s="17">
        <v>60131.257525941292</v>
      </c>
      <c r="BN370" s="17">
        <v>63159.261753736304</v>
      </c>
      <c r="BO370" s="17">
        <v>66380.211156371617</v>
      </c>
      <c r="BP370" s="17">
        <v>69729.974969394738</v>
      </c>
      <c r="BQ370" s="17">
        <v>73200.417157126911</v>
      </c>
    </row>
    <row r="371" spans="1:69" ht="12" customHeight="1" outlineLevel="1">
      <c r="A371" s="91" t="s">
        <v>263</v>
      </c>
      <c r="B371" s="87" t="s">
        <v>150</v>
      </c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20"/>
      <c r="AH371" s="19"/>
      <c r="AI371" s="19"/>
      <c r="AJ371" s="19"/>
      <c r="AK371" s="19"/>
      <c r="AL371" s="19"/>
      <c r="AM371" s="19"/>
      <c r="AN371" s="19"/>
      <c r="AO371" s="19"/>
      <c r="AP371" s="19"/>
      <c r="AQ371" s="19"/>
      <c r="AR371" s="19"/>
      <c r="AS371" s="19">
        <v>227.45941834451901</v>
      </c>
      <c r="AT371" s="19">
        <v>236.36401159243439</v>
      </c>
      <c r="AU371" s="19">
        <v>258.22778625177955</v>
      </c>
      <c r="AV371" s="19">
        <v>279.20565385397595</v>
      </c>
      <c r="AW371" s="19">
        <v>288.2224933902786</v>
      </c>
      <c r="AX371" s="19">
        <v>350.05518710595891</v>
      </c>
      <c r="AY371" s="19">
        <v>352.66927089688829</v>
      </c>
      <c r="AZ371" s="19">
        <v>354.46856111450069</v>
      </c>
      <c r="BA371" s="19">
        <v>345.23752084604433</v>
      </c>
      <c r="BB371" s="19">
        <v>321.07474999999999</v>
      </c>
      <c r="BC371" s="19">
        <v>333.45777700000002</v>
      </c>
      <c r="BD371" s="19">
        <v>340.30238900000001</v>
      </c>
      <c r="BE371" s="19">
        <v>340.35173099999997</v>
      </c>
      <c r="BF371" s="19">
        <v>340.36482000000001</v>
      </c>
      <c r="BG371" s="19">
        <v>340.38273800000002</v>
      </c>
      <c r="BH371" s="19">
        <v>354.381396</v>
      </c>
      <c r="BI371" s="19">
        <v>361.82137699999998</v>
      </c>
      <c r="BJ371" s="19">
        <v>383.64763699999997</v>
      </c>
      <c r="BK371" s="19">
        <v>386.47675400000003</v>
      </c>
      <c r="BL371" s="20">
        <v>382.96253300000001</v>
      </c>
      <c r="BM371" s="19">
        <v>376.47392558817143</v>
      </c>
      <c r="BN371" s="19">
        <v>376.47392558817143</v>
      </c>
      <c r="BO371" s="19">
        <v>376.47392558817143</v>
      </c>
      <c r="BP371" s="19">
        <v>376.47392558817143</v>
      </c>
      <c r="BQ371" s="19">
        <v>376.47392558817143</v>
      </c>
    </row>
    <row r="372" spans="1:69" ht="12" customHeight="1" outlineLevel="1">
      <c r="A372" s="91" t="s">
        <v>264</v>
      </c>
      <c r="B372" s="16" t="s">
        <v>265</v>
      </c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20"/>
      <c r="AH372" s="19"/>
      <c r="AI372" s="19"/>
      <c r="AJ372" s="19"/>
      <c r="AK372" s="19"/>
      <c r="AL372" s="19"/>
      <c r="AM372" s="19"/>
      <c r="AN372" s="19"/>
      <c r="AO372" s="19"/>
      <c r="AP372" s="19"/>
      <c r="AQ372" s="19"/>
      <c r="AR372" s="19"/>
      <c r="AS372" s="155">
        <v>72.564677112366937</v>
      </c>
      <c r="AT372" s="155">
        <v>74.752243438566566</v>
      </c>
      <c r="AU372" s="155">
        <v>75.371404588540926</v>
      </c>
      <c r="AV372" s="155">
        <v>77.441098845994077</v>
      </c>
      <c r="AW372" s="155">
        <v>81.941414252726887</v>
      </c>
      <c r="AX372" s="155">
        <v>76.884619552942141</v>
      </c>
      <c r="AY372" s="155">
        <v>81.482625573376524</v>
      </c>
      <c r="AZ372" s="155">
        <v>86.663784889721185</v>
      </c>
      <c r="BA372" s="155">
        <v>94.21342572159773</v>
      </c>
      <c r="BB372" s="155">
        <v>103.57269016948595</v>
      </c>
      <c r="BC372" s="155">
        <v>104.55769169438237</v>
      </c>
      <c r="BD372" s="155">
        <v>108.53530825782028</v>
      </c>
      <c r="BE372" s="155">
        <v>112.64677858251594</v>
      </c>
      <c r="BF372" s="155">
        <v>116.73102385815415</v>
      </c>
      <c r="BG372" s="155">
        <v>120.42525885714124</v>
      </c>
      <c r="BH372" s="155">
        <v>125.26989479609622</v>
      </c>
      <c r="BI372" s="155">
        <v>131.87342873244845</v>
      </c>
      <c r="BJ372" s="155">
        <v>139.98761061771958</v>
      </c>
      <c r="BK372" s="155">
        <v>145.58919279822447</v>
      </c>
      <c r="BL372" s="156">
        <v>152.56825191420955</v>
      </c>
      <c r="BM372" s="155">
        <v>159.72223689063523</v>
      </c>
      <c r="BN372" s="155">
        <v>167.76530182020321</v>
      </c>
      <c r="BO372" s="155">
        <v>176.32087282715455</v>
      </c>
      <c r="BP372" s="155">
        <v>185.21860407850144</v>
      </c>
      <c r="BQ372" s="155">
        <v>194.4368844210517</v>
      </c>
    </row>
    <row r="373" spans="1:69" ht="12" customHeight="1" outlineLevel="1">
      <c r="B373" s="87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20"/>
      <c r="AH373" s="19"/>
      <c r="AI373" s="19"/>
      <c r="AJ373" s="19"/>
      <c r="AK373" s="19"/>
      <c r="AL373" s="19"/>
      <c r="AM373" s="19"/>
      <c r="AN373" s="19"/>
      <c r="AO373" s="19"/>
      <c r="AP373" s="19"/>
      <c r="AQ373" s="19"/>
      <c r="AR373" s="19"/>
      <c r="AS373" s="19"/>
      <c r="AT373" s="19"/>
      <c r="AU373" s="36"/>
      <c r="AV373" s="36"/>
      <c r="AW373" s="36"/>
      <c r="AX373" s="36"/>
      <c r="AY373" s="36"/>
      <c r="AZ373" s="36"/>
      <c r="BA373" s="36"/>
      <c r="BB373" s="19"/>
      <c r="BC373" s="19"/>
      <c r="BD373" s="19"/>
      <c r="BE373" s="19"/>
      <c r="BF373" s="19"/>
      <c r="BG373" s="19"/>
      <c r="BH373" s="19"/>
      <c r="BI373" s="19"/>
      <c r="BJ373" s="19"/>
      <c r="BK373" s="19"/>
      <c r="BL373" s="20"/>
      <c r="BM373" s="19"/>
      <c r="BN373" s="19"/>
      <c r="BO373" s="19"/>
      <c r="BP373" s="19"/>
      <c r="BQ373" s="19"/>
    </row>
    <row r="374" spans="1:69" ht="12" customHeight="1" outlineLevel="1">
      <c r="B374" s="3" t="s">
        <v>405</v>
      </c>
      <c r="C374" s="96"/>
      <c r="D374" s="96"/>
      <c r="E374" s="96"/>
      <c r="F374" s="96"/>
      <c r="G374" s="96"/>
      <c r="H374" s="96"/>
      <c r="I374" s="96"/>
      <c r="J374" s="96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  <c r="V374" s="100"/>
      <c r="W374" s="100"/>
      <c r="X374" s="100"/>
      <c r="Y374" s="100"/>
      <c r="Z374" s="100"/>
      <c r="AA374" s="100"/>
      <c r="AB374" s="100"/>
      <c r="AC374" s="100"/>
      <c r="AD374" s="100"/>
      <c r="AE374" s="100"/>
      <c r="AF374" s="100"/>
      <c r="AG374" s="97"/>
      <c r="AH374" s="96"/>
      <c r="AI374" s="96"/>
      <c r="AJ374" s="96"/>
      <c r="AK374" s="96"/>
      <c r="AL374" s="96"/>
      <c r="AM374" s="96"/>
      <c r="AN374" s="96"/>
      <c r="AO374" s="96"/>
      <c r="AP374" s="96"/>
      <c r="AQ374" s="96"/>
      <c r="AS374" s="100"/>
      <c r="AT374" s="100" t="s">
        <v>622</v>
      </c>
      <c r="AU374" s="100" t="s">
        <v>622</v>
      </c>
      <c r="AV374" s="100" t="s">
        <v>622</v>
      </c>
      <c r="AW374" s="100" t="s">
        <v>622</v>
      </c>
      <c r="AX374" s="100" t="s">
        <v>622</v>
      </c>
      <c r="AY374" s="100" t="s">
        <v>622</v>
      </c>
      <c r="AZ374" s="100" t="s">
        <v>622</v>
      </c>
      <c r="BA374" s="100" t="s">
        <v>622</v>
      </c>
      <c r="BB374" s="100" t="s">
        <v>622</v>
      </c>
      <c r="BC374" s="100" t="s">
        <v>622</v>
      </c>
      <c r="BD374" s="100" t="s">
        <v>622</v>
      </c>
      <c r="BE374" s="100" t="s">
        <v>622</v>
      </c>
      <c r="BF374" s="100" t="s">
        <v>622</v>
      </c>
      <c r="BG374" s="100" t="s">
        <v>622</v>
      </c>
      <c r="BH374" s="100" t="s">
        <v>622</v>
      </c>
      <c r="BI374" s="100" t="s">
        <v>622</v>
      </c>
      <c r="BJ374" s="100" t="s">
        <v>622</v>
      </c>
      <c r="BK374" s="100" t="s">
        <v>622</v>
      </c>
      <c r="BL374" s="97" t="s">
        <v>622</v>
      </c>
      <c r="BM374" s="100" t="s">
        <v>622</v>
      </c>
      <c r="BN374" s="100" t="s">
        <v>622</v>
      </c>
      <c r="BO374" s="100" t="s">
        <v>622</v>
      </c>
      <c r="BP374" s="100" t="s">
        <v>622</v>
      </c>
      <c r="BQ374" s="100" t="s">
        <v>622</v>
      </c>
    </row>
    <row r="375" spans="1:69" ht="12" customHeight="1"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20"/>
      <c r="AH375" s="19"/>
      <c r="AI375" s="19"/>
      <c r="AJ375" s="19"/>
      <c r="AK375" s="19"/>
      <c r="AL375" s="19"/>
      <c r="AM375" s="19"/>
      <c r="AN375" s="19"/>
      <c r="AO375" s="19"/>
      <c r="AP375" s="19"/>
      <c r="AQ375" s="19"/>
      <c r="AR375" s="19"/>
      <c r="AS375" s="19"/>
      <c r="AT375" s="19"/>
      <c r="AU375" s="19"/>
      <c r="AV375" s="19"/>
      <c r="AW375" s="19"/>
      <c r="AX375" s="19"/>
      <c r="AY375" s="19"/>
      <c r="AZ375" s="19"/>
      <c r="BA375" s="19"/>
      <c r="BB375" s="19"/>
      <c r="BC375" s="19"/>
      <c r="BD375" s="19"/>
      <c r="BE375" s="19"/>
      <c r="BF375" s="19"/>
      <c r="BG375" s="19"/>
      <c r="BH375" s="19"/>
      <c r="BI375" s="19"/>
      <c r="BJ375" s="19"/>
      <c r="BK375" s="19"/>
      <c r="BL375" s="20"/>
      <c r="BM375" s="19"/>
      <c r="BN375" s="19"/>
      <c r="BO375" s="19"/>
      <c r="BP375" s="19"/>
      <c r="BQ375" s="19"/>
    </row>
    <row r="376" spans="1:69" s="9" customFormat="1" ht="12" customHeight="1">
      <c r="A376" s="91" t="s">
        <v>577</v>
      </c>
      <c r="B376" s="2" t="s">
        <v>406</v>
      </c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14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14"/>
      <c r="BM376" s="2"/>
      <c r="BN376" s="2"/>
      <c r="BO376" s="2"/>
      <c r="BP376" s="2"/>
      <c r="BQ376" s="2"/>
    </row>
    <row r="377" spans="1:69" ht="12" customHeight="1" outlineLevel="1"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20"/>
      <c r="AH377" s="19"/>
      <c r="AI377" s="19"/>
      <c r="AJ377" s="19"/>
      <c r="AK377" s="19"/>
      <c r="AL377" s="19"/>
      <c r="AM377" s="19"/>
      <c r="AN377" s="19"/>
      <c r="AO377" s="19"/>
      <c r="AP377" s="19"/>
      <c r="AQ377" s="19"/>
      <c r="AR377" s="19"/>
      <c r="AS377" s="19"/>
      <c r="AT377" s="19"/>
      <c r="AU377" s="19"/>
      <c r="AV377" s="19"/>
      <c r="AW377" s="19"/>
      <c r="AX377" s="19"/>
      <c r="AY377" s="19"/>
      <c r="AZ377" s="19"/>
      <c r="BA377" s="19"/>
      <c r="BB377" s="19"/>
      <c r="BC377" s="19"/>
      <c r="BD377" s="19"/>
      <c r="BE377" s="19"/>
      <c r="BF377" s="19"/>
      <c r="BG377" s="19"/>
      <c r="BH377" s="19"/>
      <c r="BI377" s="19"/>
      <c r="BJ377" s="19"/>
      <c r="BK377" s="19"/>
      <c r="BL377" s="20"/>
      <c r="BM377" s="19"/>
      <c r="BN377" s="19"/>
      <c r="BO377" s="19"/>
      <c r="BP377" s="19"/>
      <c r="BQ377" s="19"/>
    </row>
    <row r="378" spans="1:69" ht="12" customHeight="1" outlineLevel="1">
      <c r="B378" s="9" t="s">
        <v>407</v>
      </c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20"/>
      <c r="AH378" s="19"/>
      <c r="AI378" s="19"/>
      <c r="AJ378" s="19"/>
      <c r="AK378" s="19"/>
      <c r="AL378" s="19"/>
      <c r="AM378" s="19"/>
      <c r="AN378" s="19"/>
      <c r="AO378" s="19"/>
      <c r="AP378" s="19"/>
      <c r="AQ378" s="19"/>
      <c r="AR378" s="19"/>
      <c r="AS378" s="19"/>
      <c r="AT378" s="19"/>
      <c r="AU378" s="19"/>
      <c r="AV378" s="19"/>
      <c r="AW378" s="19"/>
      <c r="AX378" s="19"/>
      <c r="AY378" s="19"/>
      <c r="AZ378" s="19"/>
      <c r="BA378" s="19"/>
      <c r="BB378" s="19"/>
      <c r="BC378" s="19"/>
      <c r="BD378" s="19"/>
      <c r="BE378" s="19"/>
      <c r="BF378" s="19"/>
      <c r="BG378" s="19"/>
      <c r="BH378" s="19"/>
      <c r="BI378" s="19"/>
      <c r="BJ378" s="19"/>
      <c r="BK378" s="19"/>
      <c r="BL378" s="20"/>
      <c r="BM378" s="19"/>
      <c r="BN378" s="19"/>
      <c r="BO378" s="19"/>
      <c r="BP378" s="19"/>
      <c r="BQ378" s="19"/>
    </row>
    <row r="379" spans="1:69" ht="12" customHeight="1" outlineLevel="1">
      <c r="B379" s="1" t="s">
        <v>427</v>
      </c>
      <c r="C379" s="19"/>
      <c r="D379" s="21">
        <v>13432</v>
      </c>
      <c r="E379" s="21">
        <v>15400</v>
      </c>
      <c r="F379" s="21">
        <v>19032</v>
      </c>
      <c r="G379" s="21">
        <v>18607</v>
      </c>
      <c r="H379" s="21">
        <v>18221</v>
      </c>
      <c r="I379" s="21">
        <v>18510</v>
      </c>
      <c r="J379" s="21">
        <v>18226</v>
      </c>
      <c r="K379" s="21">
        <v>14806</v>
      </c>
      <c r="L379" s="21">
        <v>20001</v>
      </c>
      <c r="M379" s="21">
        <v>19457</v>
      </c>
      <c r="N379" s="21">
        <v>20775</v>
      </c>
      <c r="O379" s="21">
        <v>28705</v>
      </c>
      <c r="P379" s="21">
        <v>36954</v>
      </c>
      <c r="Q379" s="21">
        <v>33128</v>
      </c>
      <c r="R379" s="21">
        <v>33260</v>
      </c>
      <c r="S379" s="21">
        <v>27471</v>
      </c>
      <c r="T379" s="21">
        <v>40345</v>
      </c>
      <c r="U379" s="21">
        <v>38559</v>
      </c>
      <c r="V379" s="21">
        <v>37462</v>
      </c>
      <c r="W379" s="21">
        <v>47427</v>
      </c>
      <c r="X379" s="21">
        <v>39780</v>
      </c>
      <c r="Y379" s="21">
        <v>47427</v>
      </c>
      <c r="Z379" s="21">
        <v>51614</v>
      </c>
      <c r="AA379" s="21">
        <v>55106</v>
      </c>
      <c r="AB379" s="21">
        <v>71665</v>
      </c>
      <c r="AC379" s="21">
        <v>103951</v>
      </c>
      <c r="AD379" s="21">
        <v>129913</v>
      </c>
      <c r="AE379" s="21">
        <v>99979</v>
      </c>
      <c r="AF379" s="21">
        <v>95706</v>
      </c>
      <c r="AG379" s="24">
        <v>90271</v>
      </c>
      <c r="AH379" s="19">
        <v>93239.606942739221</v>
      </c>
      <c r="AI379" s="19">
        <v>96335.489294987347</v>
      </c>
      <c r="AJ379" s="19">
        <v>98223.602182538598</v>
      </c>
      <c r="AK379" s="19">
        <v>100156.69624177174</v>
      </c>
      <c r="AL379" s="19">
        <v>102135.87859548029</v>
      </c>
      <c r="AM379" s="19">
        <v>104162.28401476273</v>
      </c>
      <c r="AN379" s="19">
        <v>106237.07561426144</v>
      </c>
      <c r="AO379" s="19">
        <v>108361.44556495355</v>
      </c>
      <c r="AP379" s="19">
        <v>110536.61582493543</v>
      </c>
      <c r="AQ379" s="19">
        <v>112763.83888866048</v>
      </c>
      <c r="AR379" s="19"/>
      <c r="AS379" s="21">
        <v>12900</v>
      </c>
      <c r="AT379" s="21">
        <v>19969</v>
      </c>
      <c r="AU379" s="21">
        <v>32032</v>
      </c>
      <c r="AV379" s="21">
        <v>33023</v>
      </c>
      <c r="AW379" s="21">
        <v>17508</v>
      </c>
      <c r="AX379" s="19">
        <v>15400</v>
      </c>
      <c r="AY379" s="19">
        <v>18607</v>
      </c>
      <c r="AZ379" s="19">
        <v>18510</v>
      </c>
      <c r="BA379" s="19">
        <v>14806</v>
      </c>
      <c r="BB379" s="19">
        <v>19457</v>
      </c>
      <c r="BC379" s="19">
        <v>28705</v>
      </c>
      <c r="BD379" s="19">
        <v>33128</v>
      </c>
      <c r="BE379" s="19">
        <v>27471</v>
      </c>
      <c r="BF379" s="19">
        <v>38559</v>
      </c>
      <c r="BG379" s="19">
        <v>47427</v>
      </c>
      <c r="BH379" s="19">
        <v>47427</v>
      </c>
      <c r="BI379" s="19">
        <v>55106</v>
      </c>
      <c r="BJ379" s="19">
        <v>103951</v>
      </c>
      <c r="BK379" s="19">
        <v>99979</v>
      </c>
      <c r="BL379" s="20">
        <v>90271</v>
      </c>
      <c r="BM379" s="19">
        <v>96335.489294987347</v>
      </c>
      <c r="BN379" s="19">
        <v>100156.69624177174</v>
      </c>
      <c r="BO379" s="19">
        <v>104162.28401476273</v>
      </c>
      <c r="BP379" s="19">
        <v>108361.44556495355</v>
      </c>
      <c r="BQ379" s="19">
        <v>112763.83888866048</v>
      </c>
    </row>
    <row r="380" spans="1:69" ht="12" customHeight="1" outlineLevel="1">
      <c r="B380" s="1" t="s">
        <v>428</v>
      </c>
      <c r="C380" s="19"/>
      <c r="D380" s="21">
        <v>14502</v>
      </c>
      <c r="E380" s="21">
        <v>12138</v>
      </c>
      <c r="F380" s="21">
        <v>15938</v>
      </c>
      <c r="G380" s="21">
        <v>14898</v>
      </c>
      <c r="H380" s="21">
        <v>14616</v>
      </c>
      <c r="I380" s="21">
        <v>12689</v>
      </c>
      <c r="J380" s="21">
        <v>15546</v>
      </c>
      <c r="K380" s="21">
        <v>19776</v>
      </c>
      <c r="L380" s="21">
        <v>22489</v>
      </c>
      <c r="M380" s="21">
        <v>22462</v>
      </c>
      <c r="N380" s="21">
        <v>26310</v>
      </c>
      <c r="O380" s="21">
        <v>30406</v>
      </c>
      <c r="P380" s="21">
        <v>31337</v>
      </c>
      <c r="Q380" s="21">
        <v>23537</v>
      </c>
      <c r="R380" s="21">
        <v>27207</v>
      </c>
      <c r="S380" s="21">
        <v>26933</v>
      </c>
      <c r="T380" s="21">
        <v>18596</v>
      </c>
      <c r="U380" s="21">
        <v>15341</v>
      </c>
      <c r="V380" s="21">
        <v>20158</v>
      </c>
      <c r="W380" s="21">
        <v>17446</v>
      </c>
      <c r="X380" s="21">
        <v>24230</v>
      </c>
      <c r="Y380" s="21">
        <v>16855</v>
      </c>
      <c r="Z380" s="21">
        <v>19252</v>
      </c>
      <c r="AA380" s="21">
        <v>21746</v>
      </c>
      <c r="AB380" s="21">
        <v>21783</v>
      </c>
      <c r="AC380" s="21">
        <v>13578</v>
      </c>
      <c r="AD380" s="21">
        <v>13310</v>
      </c>
      <c r="AE380" s="21">
        <v>16881</v>
      </c>
      <c r="AF380" s="21">
        <v>20224</v>
      </c>
      <c r="AG380" s="24">
        <v>27924</v>
      </c>
      <c r="AH380" s="19">
        <v>28962.495867768597</v>
      </c>
      <c r="AI380" s="19">
        <v>30045.543208264473</v>
      </c>
      <c r="AJ380" s="19">
        <v>30701.338521347119</v>
      </c>
      <c r="AK380" s="19">
        <v>31372.57528458559</v>
      </c>
      <c r="AL380" s="19">
        <v>32059.629999907069</v>
      </c>
      <c r="AM380" s="19">
        <v>32762.888486443655</v>
      </c>
      <c r="AN380" s="19">
        <v>33482.746112509041</v>
      </c>
      <c r="AO380" s="19">
        <v>34219.608033365112</v>
      </c>
      <c r="AP380" s="19">
        <v>34973.88943492301</v>
      </c>
      <c r="AQ380" s="19">
        <v>35746.015783527095</v>
      </c>
      <c r="AR380" s="19"/>
      <c r="AS380" s="21">
        <v>9512</v>
      </c>
      <c r="AT380" s="21">
        <v>14246</v>
      </c>
      <c r="AU380" s="21">
        <v>15518</v>
      </c>
      <c r="AV380" s="21">
        <v>15807</v>
      </c>
      <c r="AW380" s="21">
        <v>9260</v>
      </c>
      <c r="AX380" s="19">
        <v>12138</v>
      </c>
      <c r="AY380" s="19">
        <v>14898</v>
      </c>
      <c r="AZ380" s="19">
        <v>12689</v>
      </c>
      <c r="BA380" s="19">
        <v>19776</v>
      </c>
      <c r="BB380" s="19">
        <v>22462</v>
      </c>
      <c r="BC380" s="19">
        <v>30406</v>
      </c>
      <c r="BD380" s="19">
        <v>23537</v>
      </c>
      <c r="BE380" s="19">
        <v>26933</v>
      </c>
      <c r="BF380" s="19">
        <v>15341</v>
      </c>
      <c r="BG380" s="19">
        <v>17446</v>
      </c>
      <c r="BH380" s="19">
        <v>16855</v>
      </c>
      <c r="BI380" s="19">
        <v>21746</v>
      </c>
      <c r="BJ380" s="19">
        <v>13578</v>
      </c>
      <c r="BK380" s="19">
        <v>16881</v>
      </c>
      <c r="BL380" s="20">
        <v>27924</v>
      </c>
      <c r="BM380" s="19">
        <v>30045.543208264473</v>
      </c>
      <c r="BN380" s="19">
        <v>31372.57528458559</v>
      </c>
      <c r="BO380" s="19">
        <v>32762.888486443655</v>
      </c>
      <c r="BP380" s="19">
        <v>34219.608033365112</v>
      </c>
      <c r="BQ380" s="19">
        <v>35746.015783527095</v>
      </c>
    </row>
    <row r="381" spans="1:69" ht="12" customHeight="1" outlineLevel="1">
      <c r="B381" s="1" t="s">
        <v>429</v>
      </c>
      <c r="C381" s="19"/>
      <c r="D381" s="21">
        <v>21441</v>
      </c>
      <c r="E381" s="21">
        <v>21561</v>
      </c>
      <c r="F381" s="21">
        <v>23430</v>
      </c>
      <c r="G381" s="21">
        <v>21185</v>
      </c>
      <c r="H381" s="21">
        <v>34201</v>
      </c>
      <c r="I381" s="21">
        <v>22078</v>
      </c>
      <c r="J381" s="21">
        <v>21691</v>
      </c>
      <c r="K381" s="21">
        <v>14704</v>
      </c>
      <c r="L381" s="21">
        <v>14647</v>
      </c>
      <c r="M381" s="21">
        <v>12633</v>
      </c>
      <c r="N381" s="21">
        <v>14648</v>
      </c>
      <c r="O381" s="21">
        <v>20080</v>
      </c>
      <c r="P381" s="21">
        <v>22307</v>
      </c>
      <c r="Q381" s="21">
        <v>17983</v>
      </c>
      <c r="R381" s="21">
        <v>15233</v>
      </c>
      <c r="S381" s="21">
        <v>12106</v>
      </c>
      <c r="T381" s="21">
        <v>12360</v>
      </c>
      <c r="U381" s="21">
        <v>12937</v>
      </c>
      <c r="V381" s="21">
        <v>18115</v>
      </c>
      <c r="W381" s="21">
        <v>14390</v>
      </c>
      <c r="X381" s="21">
        <v>18221</v>
      </c>
      <c r="Y381" s="21">
        <v>45607</v>
      </c>
      <c r="Z381" s="21">
        <v>22055</v>
      </c>
      <c r="AA381" s="21">
        <v>20642</v>
      </c>
      <c r="AB381" s="21">
        <v>77186</v>
      </c>
      <c r="AC381" s="21">
        <v>84981</v>
      </c>
      <c r="AD381" s="21">
        <v>111913</v>
      </c>
      <c r="AE381" s="21">
        <v>36114</v>
      </c>
      <c r="AF381" s="21">
        <v>29121</v>
      </c>
      <c r="AG381" s="24">
        <v>24067</v>
      </c>
      <c r="AH381" s="19">
        <v>24943.753155843086</v>
      </c>
      <c r="AI381" s="19">
        <v>25857.81993801428</v>
      </c>
      <c r="AJ381" s="19">
        <v>26421.432926568919</v>
      </c>
      <c r="AK381" s="19">
        <v>26998.475571103554</v>
      </c>
      <c r="AL381" s="19">
        <v>27589.279466006919</v>
      </c>
      <c r="AM381" s="19">
        <v>28194.18452784765</v>
      </c>
      <c r="AN381" s="19">
        <v>28813.539205965684</v>
      </c>
      <c r="AO381" s="19">
        <v>29447.700698420267</v>
      </c>
      <c r="AP381" s="19">
        <v>30097.035173431283</v>
      </c>
      <c r="AQ381" s="19">
        <v>30761.917996454373</v>
      </c>
      <c r="AR381" s="19"/>
      <c r="AS381" s="21">
        <v>5690</v>
      </c>
      <c r="AT381" s="21">
        <v>10978</v>
      </c>
      <c r="AU381" s="21">
        <v>11913</v>
      </c>
      <c r="AV381" s="21">
        <v>21136</v>
      </c>
      <c r="AW381" s="21">
        <v>27428</v>
      </c>
      <c r="AX381" s="19">
        <v>21561</v>
      </c>
      <c r="AY381" s="19">
        <v>21185</v>
      </c>
      <c r="AZ381" s="19">
        <v>22078</v>
      </c>
      <c r="BA381" s="19">
        <v>14704</v>
      </c>
      <c r="BB381" s="19">
        <v>12633</v>
      </c>
      <c r="BC381" s="19">
        <v>20080</v>
      </c>
      <c r="BD381" s="19">
        <v>17983</v>
      </c>
      <c r="BE381" s="19">
        <v>12106</v>
      </c>
      <c r="BF381" s="19">
        <v>12937</v>
      </c>
      <c r="BG381" s="19">
        <v>14390</v>
      </c>
      <c r="BH381" s="19">
        <v>45607</v>
      </c>
      <c r="BI381" s="19">
        <v>20642</v>
      </c>
      <c r="BJ381" s="19">
        <v>84981</v>
      </c>
      <c r="BK381" s="19">
        <v>36114</v>
      </c>
      <c r="BL381" s="20">
        <v>24067</v>
      </c>
      <c r="BM381" s="19">
        <v>25857.81993801428</v>
      </c>
      <c r="BN381" s="19">
        <v>26998.475571103554</v>
      </c>
      <c r="BO381" s="19">
        <v>28194.18452784765</v>
      </c>
      <c r="BP381" s="19">
        <v>29447.700698420267</v>
      </c>
      <c r="BQ381" s="19">
        <v>30761.917996454373</v>
      </c>
    </row>
    <row r="382" spans="1:69" ht="12" customHeight="1" outlineLevel="1">
      <c r="B382" s="1" t="s">
        <v>1771</v>
      </c>
      <c r="C382" s="19"/>
      <c r="D382" s="21">
        <v>23152</v>
      </c>
      <c r="E382" s="21">
        <v>18221</v>
      </c>
      <c r="F382" s="21">
        <v>18576</v>
      </c>
      <c r="G382" s="21">
        <v>17051</v>
      </c>
      <c r="H382" s="21">
        <v>21334</v>
      </c>
      <c r="I382" s="21">
        <v>18266</v>
      </c>
      <c r="J382" s="21">
        <v>20506</v>
      </c>
      <c r="K382" s="21">
        <v>17057</v>
      </c>
      <c r="L382" s="21">
        <v>16578</v>
      </c>
      <c r="M382" s="21">
        <v>14051</v>
      </c>
      <c r="N382" s="21">
        <v>9299</v>
      </c>
      <c r="O382" s="21">
        <v>8896</v>
      </c>
      <c r="P382" s="21">
        <v>10707</v>
      </c>
      <c r="Q382" s="21">
        <v>11456</v>
      </c>
      <c r="R382" s="21">
        <v>7857</v>
      </c>
      <c r="S382" s="21">
        <v>6893</v>
      </c>
      <c r="T382" s="21">
        <v>5761</v>
      </c>
      <c r="U382" s="21">
        <v>7160</v>
      </c>
      <c r="V382" s="21">
        <v>6633</v>
      </c>
      <c r="W382" s="21">
        <v>7161</v>
      </c>
      <c r="X382" s="21">
        <v>7937</v>
      </c>
      <c r="Y382" s="21">
        <v>8930</v>
      </c>
      <c r="Z382" s="21">
        <v>8977</v>
      </c>
      <c r="AA382" s="21">
        <v>9566</v>
      </c>
      <c r="AB382" s="21">
        <v>13142</v>
      </c>
      <c r="AC382" s="21">
        <v>12127</v>
      </c>
      <c r="AD382" s="21">
        <v>25046</v>
      </c>
      <c r="AE382" s="21">
        <v>21874</v>
      </c>
      <c r="AF382" s="21">
        <v>22862</v>
      </c>
      <c r="AG382" s="24">
        <v>24378</v>
      </c>
      <c r="AH382" s="19">
        <v>25266.08278693409</v>
      </c>
      <c r="AI382" s="19">
        <v>26191.961376528525</v>
      </c>
      <c r="AJ382" s="19">
        <v>26762.857517924833</v>
      </c>
      <c r="AK382" s="19">
        <v>27347.356856789891</v>
      </c>
      <c r="AL382" s="19">
        <v>27945.795272460902</v>
      </c>
      <c r="AM382" s="19">
        <v>28558.51707399634</v>
      </c>
      <c r="AN382" s="19">
        <v>29185.875213488645</v>
      </c>
      <c r="AO382" s="19">
        <v>29828.231504802803</v>
      </c>
      <c r="AP382" s="19">
        <v>30485.956847879152</v>
      </c>
      <c r="AQ382" s="19">
        <v>31159.431458742863</v>
      </c>
      <c r="AR382" s="19"/>
      <c r="AS382" s="21">
        <v>0</v>
      </c>
      <c r="AT382" s="21">
        <v>3746</v>
      </c>
      <c r="AU382" s="21">
        <v>6060</v>
      </c>
      <c r="AV382" s="21">
        <v>16454</v>
      </c>
      <c r="AW382" s="21">
        <v>18123</v>
      </c>
      <c r="AX382" s="19">
        <v>18221</v>
      </c>
      <c r="AY382" s="19">
        <v>17051</v>
      </c>
      <c r="AZ382" s="19">
        <v>18266</v>
      </c>
      <c r="BA382" s="19">
        <v>17057</v>
      </c>
      <c r="BB382" s="19">
        <v>14051</v>
      </c>
      <c r="BC382" s="19">
        <v>8896</v>
      </c>
      <c r="BD382" s="19">
        <v>11456</v>
      </c>
      <c r="BE382" s="19">
        <v>6893</v>
      </c>
      <c r="BF382" s="19">
        <v>7160</v>
      </c>
      <c r="BG382" s="19">
        <v>7161</v>
      </c>
      <c r="BH382" s="19">
        <v>8930</v>
      </c>
      <c r="BI382" s="19">
        <v>9566</v>
      </c>
      <c r="BJ382" s="19">
        <v>12127</v>
      </c>
      <c r="BK382" s="19">
        <v>21874</v>
      </c>
      <c r="BL382" s="20">
        <v>24378</v>
      </c>
      <c r="BM382" s="19">
        <v>26191.961376528525</v>
      </c>
      <c r="BN382" s="19">
        <v>27347.356856789891</v>
      </c>
      <c r="BO382" s="19">
        <v>28558.51707399634</v>
      </c>
      <c r="BP382" s="19">
        <v>29828.231504802803</v>
      </c>
      <c r="BQ382" s="19">
        <v>31159.431458742863</v>
      </c>
    </row>
    <row r="383" spans="1:69" ht="12" customHeight="1" outlineLevel="1">
      <c r="B383" s="1" t="s">
        <v>430</v>
      </c>
      <c r="C383" s="19"/>
      <c r="D383" s="19">
        <v>13260</v>
      </c>
      <c r="E383" s="19">
        <v>13223</v>
      </c>
      <c r="F383" s="19">
        <v>11746</v>
      </c>
      <c r="G383" s="19">
        <v>12725</v>
      </c>
      <c r="H383" s="19">
        <v>15049</v>
      </c>
      <c r="I383" s="19">
        <v>13717</v>
      </c>
      <c r="J383" s="19">
        <v>7295</v>
      </c>
      <c r="K383" s="19">
        <v>14107</v>
      </c>
      <c r="L383" s="19">
        <v>16018</v>
      </c>
      <c r="M383" s="19">
        <v>13426</v>
      </c>
      <c r="N383" s="19">
        <v>13024</v>
      </c>
      <c r="O383" s="19">
        <v>13557</v>
      </c>
      <c r="P383" s="19">
        <v>13742</v>
      </c>
      <c r="Q383" s="19">
        <v>12496</v>
      </c>
      <c r="R383" s="19">
        <v>15421</v>
      </c>
      <c r="S383" s="19">
        <v>16558</v>
      </c>
      <c r="T383" s="19">
        <v>26049</v>
      </c>
      <c r="U383" s="19">
        <v>26695</v>
      </c>
      <c r="V383" s="19">
        <v>28104</v>
      </c>
      <c r="W383" s="19">
        <v>21540</v>
      </c>
      <c r="X383" s="19">
        <v>26545</v>
      </c>
      <c r="Y383" s="19">
        <v>24895</v>
      </c>
      <c r="Z383" s="19">
        <v>20845</v>
      </c>
      <c r="AA383" s="19">
        <v>20682</v>
      </c>
      <c r="AB383" s="19">
        <v>31888</v>
      </c>
      <c r="AC383" s="19">
        <v>34947</v>
      </c>
      <c r="AD383" s="19">
        <v>41545</v>
      </c>
      <c r="AE383" s="19">
        <v>36615</v>
      </c>
      <c r="AF383" s="19">
        <v>39646</v>
      </c>
      <c r="AG383" s="20">
        <v>38959</v>
      </c>
      <c r="AH383" s="19">
        <v>40378.263979660558</v>
      </c>
      <c r="AI383" s="19">
        <v>41857.930234973122</v>
      </c>
      <c r="AJ383" s="19">
        <v>42770.291494004166</v>
      </c>
      <c r="AK383" s="19">
        <v>43704.392312071432</v>
      </c>
      <c r="AL383" s="19">
        <v>44660.769465083446</v>
      </c>
      <c r="AM383" s="19">
        <v>45639.973200665489</v>
      </c>
      <c r="AN383" s="19">
        <v>46642.567579059156</v>
      </c>
      <c r="AO383" s="19">
        <v>47669.1308226931</v>
      </c>
      <c r="AP383" s="19">
        <v>48720.255674646156</v>
      </c>
      <c r="AQ383" s="19">
        <v>49796.549766230339</v>
      </c>
      <c r="AR383" s="19"/>
      <c r="AS383" s="19">
        <v>4141</v>
      </c>
      <c r="AT383" s="19">
        <v>10841</v>
      </c>
      <c r="AU383" s="19">
        <v>11438</v>
      </c>
      <c r="AV383" s="19">
        <v>11506</v>
      </c>
      <c r="AW383" s="19">
        <v>11177</v>
      </c>
      <c r="AX383" s="19">
        <v>13223</v>
      </c>
      <c r="AY383" s="19">
        <v>12725</v>
      </c>
      <c r="AZ383" s="19">
        <v>13717</v>
      </c>
      <c r="BA383" s="19">
        <v>14107</v>
      </c>
      <c r="BB383" s="19">
        <v>13426</v>
      </c>
      <c r="BC383" s="19">
        <v>13557</v>
      </c>
      <c r="BD383" s="19">
        <v>12496</v>
      </c>
      <c r="BE383" s="19">
        <v>16558</v>
      </c>
      <c r="BF383" s="19">
        <v>26695</v>
      </c>
      <c r="BG383" s="19">
        <v>21540</v>
      </c>
      <c r="BH383" s="19">
        <v>24895</v>
      </c>
      <c r="BI383" s="19">
        <v>20682</v>
      </c>
      <c r="BJ383" s="19">
        <v>34947</v>
      </c>
      <c r="BK383" s="19">
        <v>36615</v>
      </c>
      <c r="BL383" s="20">
        <v>38959</v>
      </c>
      <c r="BM383" s="19">
        <v>41857.930234973122</v>
      </c>
      <c r="BN383" s="19">
        <v>43704.392312071432</v>
      </c>
      <c r="BO383" s="19">
        <v>45639.973200665489</v>
      </c>
      <c r="BP383" s="19">
        <v>47669.1308226931</v>
      </c>
      <c r="BQ383" s="19">
        <v>49796.549766230339</v>
      </c>
    </row>
    <row r="384" spans="1:69" ht="12" customHeight="1" outlineLevel="1">
      <c r="A384" s="91" t="s">
        <v>652</v>
      </c>
      <c r="B384" s="1" t="s">
        <v>431</v>
      </c>
      <c r="C384" s="19"/>
      <c r="D384" s="25">
        <v>42504</v>
      </c>
      <c r="E384" s="25">
        <v>44267</v>
      </c>
      <c r="F384" s="25">
        <v>45130</v>
      </c>
      <c r="G384" s="25">
        <v>46016</v>
      </c>
      <c r="H384" s="25">
        <v>45843</v>
      </c>
      <c r="I384" s="25">
        <v>45218</v>
      </c>
      <c r="J384" s="25">
        <v>47559</v>
      </c>
      <c r="K384" s="25">
        <v>49083</v>
      </c>
      <c r="L384" s="25">
        <v>50793</v>
      </c>
      <c r="M384" s="25">
        <v>58712</v>
      </c>
      <c r="N384" s="25">
        <v>64435</v>
      </c>
      <c r="O384" s="25">
        <v>72762</v>
      </c>
      <c r="P384" s="25">
        <v>76690</v>
      </c>
      <c r="Q384" s="25">
        <v>80366</v>
      </c>
      <c r="R384" s="25">
        <v>77976</v>
      </c>
      <c r="S384" s="25">
        <v>76663</v>
      </c>
      <c r="T384" s="25">
        <v>70387</v>
      </c>
      <c r="U384" s="25">
        <v>73509</v>
      </c>
      <c r="V384" s="25">
        <v>76953</v>
      </c>
      <c r="W384" s="25">
        <v>77811</v>
      </c>
      <c r="X384" s="25">
        <v>85066</v>
      </c>
      <c r="Y384" s="25">
        <v>94117</v>
      </c>
      <c r="Z384" s="25">
        <v>93414</v>
      </c>
      <c r="AA384" s="25">
        <v>105026</v>
      </c>
      <c r="AB384" s="25">
        <v>118359</v>
      </c>
      <c r="AC384" s="25">
        <v>134744</v>
      </c>
      <c r="AD384" s="25">
        <v>148874</v>
      </c>
      <c r="AE384" s="25">
        <v>158572</v>
      </c>
      <c r="AF384" s="25">
        <v>167495</v>
      </c>
      <c r="AG384" s="26">
        <v>176371</v>
      </c>
      <c r="AH384" s="25">
        <v>182890.19500000001</v>
      </c>
      <c r="AI384" s="25">
        <v>189688.578775</v>
      </c>
      <c r="AJ384" s="25">
        <v>193811.08249437498</v>
      </c>
      <c r="AK384" s="25">
        <v>198030.45169923437</v>
      </c>
      <c r="AL384" s="25">
        <v>202349.04605564018</v>
      </c>
      <c r="AM384" s="25">
        <v>206769.28360159544</v>
      </c>
      <c r="AN384" s="25">
        <v>211293.64220014523</v>
      </c>
      <c r="AO384" s="25">
        <v>215924.66102874384</v>
      </c>
      <c r="AP384" s="25">
        <v>220664.94210579334</v>
      </c>
      <c r="AQ384" s="25">
        <v>225517.15185528243</v>
      </c>
      <c r="AR384" s="19"/>
      <c r="AS384" s="21">
        <v>28425</v>
      </c>
      <c r="AT384" s="21">
        <v>34999</v>
      </c>
      <c r="AU384" s="21">
        <v>45796</v>
      </c>
      <c r="AV384" s="21">
        <v>52407</v>
      </c>
      <c r="AW384" s="21">
        <v>44751</v>
      </c>
      <c r="AX384" s="19">
        <v>44267</v>
      </c>
      <c r="AY384" s="19">
        <v>46016</v>
      </c>
      <c r="AZ384" s="19">
        <v>45218</v>
      </c>
      <c r="BA384" s="19">
        <v>49083</v>
      </c>
      <c r="BB384" s="19">
        <v>58712</v>
      </c>
      <c r="BC384" s="19">
        <v>72762</v>
      </c>
      <c r="BD384" s="19">
        <v>80366</v>
      </c>
      <c r="BE384" s="19">
        <v>76663</v>
      </c>
      <c r="BF384" s="19">
        <v>73509</v>
      </c>
      <c r="BG384" s="19">
        <v>77811</v>
      </c>
      <c r="BH384" s="19">
        <v>94117</v>
      </c>
      <c r="BI384" s="19">
        <v>105026</v>
      </c>
      <c r="BJ384" s="19">
        <v>134744</v>
      </c>
      <c r="BK384" s="19">
        <v>158572</v>
      </c>
      <c r="BL384" s="20">
        <v>176371</v>
      </c>
      <c r="BM384" s="19">
        <v>189688.578775</v>
      </c>
      <c r="BN384" s="19">
        <v>198030.45169923437</v>
      </c>
      <c r="BO384" s="19">
        <v>206769.28360159544</v>
      </c>
      <c r="BP384" s="19">
        <v>215924.66102874384</v>
      </c>
      <c r="BQ384" s="19">
        <v>225517.15185528243</v>
      </c>
    </row>
    <row r="385" spans="1:69" ht="12" customHeight="1" outlineLevel="1">
      <c r="B385" s="1" t="s">
        <v>432</v>
      </c>
      <c r="C385" s="19"/>
      <c r="D385" s="21">
        <v>5249</v>
      </c>
      <c r="E385" s="21">
        <v>9172</v>
      </c>
      <c r="F385" s="21">
        <v>11025</v>
      </c>
      <c r="G385" s="21">
        <v>11668</v>
      </c>
      <c r="H385" s="21">
        <v>9998</v>
      </c>
      <c r="I385" s="21">
        <v>6715</v>
      </c>
      <c r="J385" s="21">
        <v>5327</v>
      </c>
      <c r="K385" s="21">
        <v>5033</v>
      </c>
      <c r="L385" s="21">
        <v>3116</v>
      </c>
      <c r="M385" s="21">
        <v>2854</v>
      </c>
      <c r="N385" s="21">
        <v>2752</v>
      </c>
      <c r="O385" s="21">
        <v>2125</v>
      </c>
      <c r="P385" s="21">
        <v>2101</v>
      </c>
      <c r="Q385" s="21">
        <v>1649</v>
      </c>
      <c r="R385" s="21">
        <v>1378</v>
      </c>
      <c r="S385" s="21">
        <v>1502</v>
      </c>
      <c r="T385" s="21">
        <v>0</v>
      </c>
      <c r="U385" s="21">
        <v>0</v>
      </c>
      <c r="V385" s="21">
        <v>0</v>
      </c>
      <c r="W385" s="21">
        <v>0</v>
      </c>
      <c r="X385" s="21">
        <v>0</v>
      </c>
      <c r="Y385" s="21">
        <v>0</v>
      </c>
      <c r="Z385" s="21">
        <v>0</v>
      </c>
      <c r="AA385" s="21">
        <v>0</v>
      </c>
      <c r="AB385" s="21">
        <v>0</v>
      </c>
      <c r="AC385" s="21">
        <v>0</v>
      </c>
      <c r="AD385" s="21">
        <v>0</v>
      </c>
      <c r="AE385" s="21">
        <v>0</v>
      </c>
      <c r="AF385" s="21">
        <v>0</v>
      </c>
      <c r="AG385" s="24">
        <v>0</v>
      </c>
      <c r="AH385" s="19">
        <v>0</v>
      </c>
      <c r="AI385" s="19">
        <v>0</v>
      </c>
      <c r="AJ385" s="19">
        <v>0</v>
      </c>
      <c r="AK385" s="19">
        <v>0</v>
      </c>
      <c r="AL385" s="19">
        <v>0</v>
      </c>
      <c r="AM385" s="19">
        <v>0</v>
      </c>
      <c r="AN385" s="19">
        <v>0</v>
      </c>
      <c r="AO385" s="19">
        <v>0</v>
      </c>
      <c r="AP385" s="19">
        <v>0</v>
      </c>
      <c r="AQ385" s="19">
        <v>0</v>
      </c>
      <c r="AR385" s="19"/>
      <c r="AS385" s="21">
        <v>0</v>
      </c>
      <c r="AT385" s="21">
        <v>2104</v>
      </c>
      <c r="AU385" s="21">
        <v>2779</v>
      </c>
      <c r="AV385" s="21">
        <v>4131</v>
      </c>
      <c r="AW385" s="21">
        <v>7910</v>
      </c>
      <c r="AX385" s="19">
        <v>9172</v>
      </c>
      <c r="AY385" s="19">
        <v>11668</v>
      </c>
      <c r="AZ385" s="19">
        <v>6715</v>
      </c>
      <c r="BA385" s="19">
        <v>5033</v>
      </c>
      <c r="BB385" s="19">
        <v>2854</v>
      </c>
      <c r="BC385" s="19">
        <v>2125</v>
      </c>
      <c r="BD385" s="19">
        <v>1649</v>
      </c>
      <c r="BE385" s="19">
        <v>1502</v>
      </c>
      <c r="BF385" s="19">
        <v>0</v>
      </c>
      <c r="BG385" s="19">
        <v>0</v>
      </c>
      <c r="BH385" s="19">
        <v>0</v>
      </c>
      <c r="BI385" s="19">
        <v>0</v>
      </c>
      <c r="BJ385" s="19">
        <v>0</v>
      </c>
      <c r="BK385" s="19">
        <v>0</v>
      </c>
      <c r="BL385" s="20">
        <v>0</v>
      </c>
      <c r="BM385" s="19">
        <v>0</v>
      </c>
      <c r="BN385" s="19">
        <v>0</v>
      </c>
      <c r="BO385" s="19">
        <v>0</v>
      </c>
      <c r="BP385" s="19">
        <v>0</v>
      </c>
      <c r="BQ385" s="19">
        <v>0</v>
      </c>
    </row>
    <row r="386" spans="1:69" ht="12" customHeight="1" outlineLevel="1">
      <c r="B386" s="1" t="s">
        <v>433</v>
      </c>
      <c r="C386" s="19"/>
      <c r="D386" s="21">
        <v>5066</v>
      </c>
      <c r="E386" s="21">
        <v>4846</v>
      </c>
      <c r="F386" s="21">
        <v>5047</v>
      </c>
      <c r="G386" s="21">
        <v>5059</v>
      </c>
      <c r="H386" s="21">
        <v>4758</v>
      </c>
      <c r="I386" s="21">
        <v>5904</v>
      </c>
      <c r="J386" s="21">
        <v>6059</v>
      </c>
      <c r="K386" s="21">
        <v>0</v>
      </c>
      <c r="L386" s="21">
        <v>0</v>
      </c>
      <c r="M386" s="21">
        <v>0</v>
      </c>
      <c r="N386" s="62">
        <v>0</v>
      </c>
      <c r="O386" s="62">
        <v>0</v>
      </c>
      <c r="P386" s="62">
        <v>0</v>
      </c>
      <c r="Q386" s="62">
        <v>0</v>
      </c>
      <c r="R386" s="62">
        <v>0</v>
      </c>
      <c r="S386" s="62">
        <v>0</v>
      </c>
      <c r="T386" s="62">
        <v>0</v>
      </c>
      <c r="U386" s="62">
        <v>0</v>
      </c>
      <c r="V386" s="62">
        <v>0</v>
      </c>
      <c r="W386" s="62">
        <v>0</v>
      </c>
      <c r="X386" s="62">
        <v>0</v>
      </c>
      <c r="Y386" s="62">
        <v>0</v>
      </c>
      <c r="Z386" s="62">
        <v>0</v>
      </c>
      <c r="AA386" s="62">
        <v>0</v>
      </c>
      <c r="AB386" s="62">
        <v>0</v>
      </c>
      <c r="AC386" s="62">
        <v>0</v>
      </c>
      <c r="AD386" s="62">
        <v>0</v>
      </c>
      <c r="AE386" s="62">
        <v>0</v>
      </c>
      <c r="AF386" s="62">
        <v>0</v>
      </c>
      <c r="AG386" s="57">
        <v>0</v>
      </c>
      <c r="AH386" s="58">
        <v>0</v>
      </c>
      <c r="AI386" s="58">
        <v>0</v>
      </c>
      <c r="AJ386" s="58">
        <v>0</v>
      </c>
      <c r="AK386" s="58">
        <v>0</v>
      </c>
      <c r="AL386" s="58">
        <v>0</v>
      </c>
      <c r="AM386" s="58">
        <v>0</v>
      </c>
      <c r="AN386" s="58">
        <v>0</v>
      </c>
      <c r="AO386" s="58">
        <v>0</v>
      </c>
      <c r="AP386" s="58">
        <v>0</v>
      </c>
      <c r="AQ386" s="58">
        <v>0</v>
      </c>
      <c r="AR386" s="19"/>
      <c r="AS386" s="21">
        <v>4473</v>
      </c>
      <c r="AT386" s="21">
        <v>5183</v>
      </c>
      <c r="AU386" s="21">
        <v>5847</v>
      </c>
      <c r="AV386" s="21">
        <v>5699</v>
      </c>
      <c r="AW386" s="21">
        <v>4314</v>
      </c>
      <c r="AX386" s="19">
        <v>4846</v>
      </c>
      <c r="AY386" s="19">
        <v>5059</v>
      </c>
      <c r="AZ386" s="19">
        <v>5904</v>
      </c>
      <c r="BA386" s="19">
        <v>0</v>
      </c>
      <c r="BB386" s="19">
        <v>0</v>
      </c>
      <c r="BC386" s="19">
        <v>0</v>
      </c>
      <c r="BD386" s="19">
        <v>0</v>
      </c>
      <c r="BE386" s="19">
        <v>0</v>
      </c>
      <c r="BF386" s="19">
        <v>0</v>
      </c>
      <c r="BG386" s="19">
        <v>0</v>
      </c>
      <c r="BH386" s="19">
        <v>0</v>
      </c>
      <c r="BI386" s="19">
        <v>0</v>
      </c>
      <c r="BJ386" s="19">
        <v>0</v>
      </c>
      <c r="BK386" s="19">
        <v>0</v>
      </c>
      <c r="BL386" s="20">
        <v>0</v>
      </c>
      <c r="BM386" s="19">
        <v>0</v>
      </c>
      <c r="BN386" s="19">
        <v>0</v>
      </c>
      <c r="BO386" s="19">
        <v>0</v>
      </c>
      <c r="BP386" s="19">
        <v>0</v>
      </c>
      <c r="BQ386" s="19">
        <v>0</v>
      </c>
    </row>
    <row r="387" spans="1:69" ht="12" customHeight="1" outlineLevel="1">
      <c r="B387" s="1" t="s">
        <v>434</v>
      </c>
      <c r="C387" s="19"/>
      <c r="D387" s="21">
        <v>647</v>
      </c>
      <c r="E387" s="21">
        <v>605</v>
      </c>
      <c r="F387" s="21">
        <v>2899</v>
      </c>
      <c r="G387" s="21">
        <v>5007</v>
      </c>
      <c r="H387" s="21">
        <v>5133</v>
      </c>
      <c r="I387" s="21">
        <v>5235</v>
      </c>
      <c r="J387" s="21">
        <v>5134</v>
      </c>
      <c r="K387" s="21">
        <v>5643</v>
      </c>
      <c r="L387" s="21">
        <v>6175</v>
      </c>
      <c r="M387" s="21">
        <v>6311</v>
      </c>
      <c r="N387" s="21">
        <v>6636</v>
      </c>
      <c r="O387" s="21">
        <v>7079</v>
      </c>
      <c r="P387" s="21">
        <v>10383</v>
      </c>
      <c r="Q387" s="21">
        <v>11521</v>
      </c>
      <c r="R387" s="21">
        <v>10957</v>
      </c>
      <c r="S387" s="21">
        <v>11009</v>
      </c>
      <c r="T387" s="21">
        <v>10960</v>
      </c>
      <c r="U387" s="21">
        <v>11426</v>
      </c>
      <c r="V387" s="21">
        <v>11361</v>
      </c>
      <c r="W387" s="21">
        <v>4701</v>
      </c>
      <c r="X387" s="21">
        <v>5471</v>
      </c>
      <c r="Y387" s="21">
        <v>5044</v>
      </c>
      <c r="Z387" s="21">
        <v>4519</v>
      </c>
      <c r="AA387" s="21">
        <v>4676</v>
      </c>
      <c r="AB387" s="21">
        <v>4961</v>
      </c>
      <c r="AC387" s="21">
        <v>5143</v>
      </c>
      <c r="AD387" s="21">
        <v>5511</v>
      </c>
      <c r="AE387" s="21">
        <v>6639</v>
      </c>
      <c r="AF387" s="21">
        <v>7531</v>
      </c>
      <c r="AG387" s="24">
        <v>8134</v>
      </c>
      <c r="AH387" s="19">
        <v>8434.6567526974395</v>
      </c>
      <c r="AI387" s="19">
        <v>8748.1893267932373</v>
      </c>
      <c r="AJ387" s="19">
        <v>8938.3138101459208</v>
      </c>
      <c r="AK387" s="19">
        <v>9132.9056030842512</v>
      </c>
      <c r="AL387" s="19">
        <v>9332.0735303228848</v>
      </c>
      <c r="AM387" s="19">
        <v>9535.929108614102</v>
      </c>
      <c r="AN387" s="19">
        <v>9744.5866137629291</v>
      </c>
      <c r="AO387" s="19">
        <v>9958.1631493148107</v>
      </c>
      <c r="AP387" s="19">
        <v>10176.778716957568</v>
      </c>
      <c r="AQ387" s="19">
        <v>10400.556288680495</v>
      </c>
      <c r="AR387" s="19"/>
      <c r="AS387" s="21">
        <v>148</v>
      </c>
      <c r="AT387" s="21">
        <v>292</v>
      </c>
      <c r="AU387" s="21">
        <v>378</v>
      </c>
      <c r="AV387" s="21">
        <v>375</v>
      </c>
      <c r="AW387" s="21">
        <v>605</v>
      </c>
      <c r="AX387" s="19">
        <v>605</v>
      </c>
      <c r="AY387" s="19">
        <v>5007</v>
      </c>
      <c r="AZ387" s="19">
        <v>5235</v>
      </c>
      <c r="BA387" s="19">
        <v>5643</v>
      </c>
      <c r="BB387" s="19">
        <v>6311</v>
      </c>
      <c r="BC387" s="19">
        <v>7079</v>
      </c>
      <c r="BD387" s="19">
        <v>11521</v>
      </c>
      <c r="BE387" s="19">
        <v>11009</v>
      </c>
      <c r="BF387" s="19">
        <v>11426</v>
      </c>
      <c r="BG387" s="19">
        <v>4701</v>
      </c>
      <c r="BH387" s="19">
        <v>5044</v>
      </c>
      <c r="BI387" s="19">
        <v>4676</v>
      </c>
      <c r="BJ387" s="19">
        <v>5143</v>
      </c>
      <c r="BK387" s="19">
        <v>6639</v>
      </c>
      <c r="BL387" s="20">
        <v>8134</v>
      </c>
      <c r="BM387" s="19">
        <v>8748.1893267932373</v>
      </c>
      <c r="BN387" s="19">
        <v>9132.9056030842512</v>
      </c>
      <c r="BO387" s="19">
        <v>9535.929108614102</v>
      </c>
      <c r="BP387" s="19">
        <v>9958.1631493148107</v>
      </c>
      <c r="BQ387" s="19">
        <v>10400.556288680495</v>
      </c>
    </row>
    <row r="388" spans="1:69" ht="12" customHeight="1" outlineLevel="1">
      <c r="A388" s="91" t="s">
        <v>1309</v>
      </c>
      <c r="B388" s="1" t="s">
        <v>435</v>
      </c>
      <c r="C388" s="19"/>
      <c r="D388" s="21">
        <v>4931</v>
      </c>
      <c r="E388" s="21">
        <v>3927</v>
      </c>
      <c r="F388" s="21">
        <v>2719</v>
      </c>
      <c r="G388" s="21">
        <v>2790</v>
      </c>
      <c r="H388" s="21">
        <v>2891</v>
      </c>
      <c r="I388" s="21">
        <v>2664</v>
      </c>
      <c r="J388" s="21">
        <v>2285</v>
      </c>
      <c r="K388" s="21">
        <v>2048</v>
      </c>
      <c r="L388" s="21">
        <v>2497</v>
      </c>
      <c r="M388" s="21">
        <v>2447</v>
      </c>
      <c r="N388" s="21">
        <v>2483</v>
      </c>
      <c r="O388" s="21">
        <v>2328</v>
      </c>
      <c r="P388" s="21">
        <v>2779</v>
      </c>
      <c r="Q388" s="21">
        <v>2691</v>
      </c>
      <c r="R388" s="21">
        <v>2048</v>
      </c>
      <c r="S388" s="21">
        <v>2095</v>
      </c>
      <c r="T388" s="21">
        <v>3622</v>
      </c>
      <c r="U388" s="21">
        <v>4055</v>
      </c>
      <c r="V388" s="21">
        <v>4143</v>
      </c>
      <c r="W388" s="21">
        <v>4219</v>
      </c>
      <c r="X388" s="21">
        <v>8500</v>
      </c>
      <c r="Y388" s="21">
        <v>8319</v>
      </c>
      <c r="Z388" s="21">
        <v>6012</v>
      </c>
      <c r="AA388" s="21">
        <v>4194</v>
      </c>
      <c r="AB388" s="21">
        <v>4675</v>
      </c>
      <c r="AC388" s="21">
        <v>4373</v>
      </c>
      <c r="AD388" s="21">
        <v>4840</v>
      </c>
      <c r="AE388" s="21">
        <v>5574</v>
      </c>
      <c r="AF388" s="21">
        <v>6174</v>
      </c>
      <c r="AG388" s="24">
        <v>6969</v>
      </c>
      <c r="AH388" s="19">
        <v>7178.07</v>
      </c>
      <c r="AI388" s="19">
        <v>7393.4121000000005</v>
      </c>
      <c r="AJ388" s="19">
        <v>7615.2144630000003</v>
      </c>
      <c r="AK388" s="19">
        <v>7843.6708968900002</v>
      </c>
      <c r="AL388" s="19">
        <v>8078.9810237967013</v>
      </c>
      <c r="AM388" s="19">
        <v>8321.3504545106025</v>
      </c>
      <c r="AN388" s="19">
        <v>8570.9909681459194</v>
      </c>
      <c r="AO388" s="19">
        <v>8828.1206971902975</v>
      </c>
      <c r="AP388" s="19">
        <v>9092.9643181060055</v>
      </c>
      <c r="AQ388" s="19">
        <v>9365.753247649187</v>
      </c>
      <c r="AR388" s="19"/>
      <c r="AS388" s="21">
        <v>2117</v>
      </c>
      <c r="AT388" s="21">
        <v>3463</v>
      </c>
      <c r="AU388" s="21">
        <v>4071</v>
      </c>
      <c r="AV388" s="21">
        <v>5500</v>
      </c>
      <c r="AW388" s="21">
        <v>6123</v>
      </c>
      <c r="AX388" s="19">
        <v>3927</v>
      </c>
      <c r="AY388" s="19">
        <v>2790</v>
      </c>
      <c r="AZ388" s="19">
        <v>2664</v>
      </c>
      <c r="BA388" s="19">
        <v>2048</v>
      </c>
      <c r="BB388" s="19">
        <v>2447</v>
      </c>
      <c r="BC388" s="19">
        <v>2328</v>
      </c>
      <c r="BD388" s="19">
        <v>2691</v>
      </c>
      <c r="BE388" s="19">
        <v>2095</v>
      </c>
      <c r="BF388" s="19">
        <v>4055</v>
      </c>
      <c r="BG388" s="19">
        <v>4219</v>
      </c>
      <c r="BH388" s="19">
        <v>8319</v>
      </c>
      <c r="BI388" s="19">
        <v>4194</v>
      </c>
      <c r="BJ388" s="19">
        <v>4373</v>
      </c>
      <c r="BK388" s="19">
        <v>5574</v>
      </c>
      <c r="BL388" s="20">
        <v>6969</v>
      </c>
      <c r="BM388" s="19">
        <v>7393.4121000000005</v>
      </c>
      <c r="BN388" s="19">
        <v>7843.6708968900002</v>
      </c>
      <c r="BO388" s="19">
        <v>8321.3504545106025</v>
      </c>
      <c r="BP388" s="19">
        <v>8828.1206971902975</v>
      </c>
      <c r="BQ388" s="19">
        <v>9365.753247649187</v>
      </c>
    </row>
    <row r="389" spans="1:69" ht="12" customHeight="1" outlineLevel="1">
      <c r="A389" s="91" t="s">
        <v>1335</v>
      </c>
      <c r="B389" s="1" t="s">
        <v>1773</v>
      </c>
      <c r="C389" s="19"/>
      <c r="D389" s="21">
        <v>715</v>
      </c>
      <c r="E389" s="21">
        <v>689</v>
      </c>
      <c r="F389" s="21">
        <v>695</v>
      </c>
      <c r="G389" s="21">
        <v>652</v>
      </c>
      <c r="H389" s="21">
        <v>689.6</v>
      </c>
      <c r="I389" s="21">
        <v>658</v>
      </c>
      <c r="J389" s="21">
        <v>635.1</v>
      </c>
      <c r="K389" s="21">
        <v>608</v>
      </c>
      <c r="L389" s="21">
        <v>635.4</v>
      </c>
      <c r="M389" s="21">
        <v>467</v>
      </c>
      <c r="N389" s="21">
        <v>788</v>
      </c>
      <c r="O389" s="21">
        <v>584</v>
      </c>
      <c r="P389" s="21">
        <v>629.5</v>
      </c>
      <c r="Q389" s="21">
        <v>553</v>
      </c>
      <c r="R389" s="21">
        <v>509.5</v>
      </c>
      <c r="S389" s="21">
        <v>567</v>
      </c>
      <c r="T389" s="21">
        <v>535.5</v>
      </c>
      <c r="U389" s="21">
        <v>524</v>
      </c>
      <c r="V389" s="21">
        <v>999.45216515609263</v>
      </c>
      <c r="W389" s="21">
        <v>999</v>
      </c>
      <c r="X389" s="21">
        <v>1200</v>
      </c>
      <c r="Y389" s="21">
        <v>1551</v>
      </c>
      <c r="Z389" s="21">
        <v>1355</v>
      </c>
      <c r="AA389" s="21">
        <v>1222</v>
      </c>
      <c r="AB389" s="21">
        <v>1964</v>
      </c>
      <c r="AC389" s="21">
        <v>1917</v>
      </c>
      <c r="AD389" s="21">
        <v>2114.7857142857142</v>
      </c>
      <c r="AE389" s="21">
        <v>1823</v>
      </c>
      <c r="AF389" s="21">
        <v>2024.0206428011497</v>
      </c>
      <c r="AG389" s="24">
        <v>1876</v>
      </c>
      <c r="AH389" s="19">
        <v>1904.14</v>
      </c>
      <c r="AI389" s="19">
        <v>1933.1242</v>
      </c>
      <c r="AJ389" s="19">
        <v>1962.9779259999998</v>
      </c>
      <c r="AK389" s="19">
        <v>1993.7272637800002</v>
      </c>
      <c r="AL389" s="19">
        <v>2025.3990816933999</v>
      </c>
      <c r="AM389" s="19">
        <v>2058.021054144202</v>
      </c>
      <c r="AN389" s="19">
        <v>2091.6216857685281</v>
      </c>
      <c r="AO389" s="19">
        <v>2126.230336341584</v>
      </c>
      <c r="AP389" s="19">
        <v>2161.8772464318313</v>
      </c>
      <c r="AQ389" s="19">
        <v>2198.5935638247865</v>
      </c>
      <c r="AR389" s="19"/>
      <c r="AS389" s="21">
        <v>371</v>
      </c>
      <c r="AT389" s="21">
        <v>150</v>
      </c>
      <c r="AU389" s="21">
        <v>61</v>
      </c>
      <c r="AV389" s="21">
        <v>118</v>
      </c>
      <c r="AW389" s="21">
        <v>264</v>
      </c>
      <c r="AX389" s="19">
        <v>689</v>
      </c>
      <c r="AY389" s="19">
        <v>652</v>
      </c>
      <c r="AZ389" s="19">
        <v>658</v>
      </c>
      <c r="BA389" s="19">
        <v>608</v>
      </c>
      <c r="BB389" s="19">
        <v>467</v>
      </c>
      <c r="BC389" s="19">
        <v>584</v>
      </c>
      <c r="BD389" s="19">
        <v>553</v>
      </c>
      <c r="BE389" s="19">
        <v>567</v>
      </c>
      <c r="BF389" s="19">
        <v>524</v>
      </c>
      <c r="BG389" s="19">
        <v>999</v>
      </c>
      <c r="BH389" s="19">
        <v>1551</v>
      </c>
      <c r="BI389" s="19">
        <v>1222</v>
      </c>
      <c r="BJ389" s="19">
        <v>1917</v>
      </c>
      <c r="BK389" s="19">
        <v>1823</v>
      </c>
      <c r="BL389" s="20">
        <v>1876</v>
      </c>
      <c r="BM389" s="19">
        <v>1933.1242</v>
      </c>
      <c r="BN389" s="19">
        <v>1993.7272637800002</v>
      </c>
      <c r="BO389" s="19">
        <v>2058.021054144202</v>
      </c>
      <c r="BP389" s="19">
        <v>2126.230336341584</v>
      </c>
      <c r="BQ389" s="19">
        <v>2198.5935638247865</v>
      </c>
    </row>
    <row r="390" spans="1:69" ht="12" customHeight="1" outlineLevel="1">
      <c r="A390" s="91" t="s">
        <v>1320</v>
      </c>
      <c r="B390" s="1" t="s">
        <v>200</v>
      </c>
      <c r="D390" s="325">
        <v>631</v>
      </c>
      <c r="E390" s="21">
        <v>767</v>
      </c>
      <c r="F390" s="21">
        <v>716</v>
      </c>
      <c r="G390" s="21">
        <v>665</v>
      </c>
      <c r="H390" s="21">
        <v>703.4</v>
      </c>
      <c r="I390" s="21">
        <v>693</v>
      </c>
      <c r="J390" s="21">
        <v>668.9</v>
      </c>
      <c r="K390" s="21">
        <v>613</v>
      </c>
      <c r="L390" s="21">
        <v>640.6</v>
      </c>
      <c r="M390" s="21">
        <v>318</v>
      </c>
      <c r="N390" s="21">
        <v>449</v>
      </c>
      <c r="O390" s="21">
        <v>580</v>
      </c>
      <c r="P390" s="21">
        <v>552.5</v>
      </c>
      <c r="Q390" s="21">
        <v>525</v>
      </c>
      <c r="R390" s="21">
        <v>483.5</v>
      </c>
      <c r="S390" s="21">
        <v>442</v>
      </c>
      <c r="T390" s="21">
        <v>455.5</v>
      </c>
      <c r="U390" s="21">
        <v>469</v>
      </c>
      <c r="V390" s="21">
        <v>894.54783484390737</v>
      </c>
      <c r="W390" s="21">
        <v>1032</v>
      </c>
      <c r="X390" s="21">
        <v>1466</v>
      </c>
      <c r="Y390" s="21">
        <v>1717</v>
      </c>
      <c r="Z390" s="21">
        <v>1461</v>
      </c>
      <c r="AA390" s="21">
        <v>1321</v>
      </c>
      <c r="AB390" s="21">
        <v>1533</v>
      </c>
      <c r="AC390" s="21">
        <v>1863</v>
      </c>
      <c r="AD390" s="21">
        <v>2055.2142857142858</v>
      </c>
      <c r="AE390" s="21">
        <v>2004</v>
      </c>
      <c r="AF390" s="21">
        <v>2224.9793571988503</v>
      </c>
      <c r="AG390" s="24">
        <v>2378</v>
      </c>
      <c r="AH390" s="19">
        <v>2378</v>
      </c>
      <c r="AI390" s="19">
        <v>2378</v>
      </c>
      <c r="AJ390" s="19">
        <v>2378</v>
      </c>
      <c r="AK390" s="19">
        <v>2378</v>
      </c>
      <c r="AL390" s="19">
        <v>2378</v>
      </c>
      <c r="AM390" s="19">
        <v>2378</v>
      </c>
      <c r="AN390" s="19">
        <v>2378</v>
      </c>
      <c r="AO390" s="19">
        <v>2378</v>
      </c>
      <c r="AP390" s="19">
        <v>2378</v>
      </c>
      <c r="AQ390" s="19">
        <v>2378</v>
      </c>
      <c r="AS390" s="21"/>
      <c r="AT390" s="325">
        <v>0</v>
      </c>
      <c r="AU390" s="21">
        <v>39</v>
      </c>
      <c r="AV390" s="21">
        <v>376</v>
      </c>
      <c r="AW390" s="21">
        <v>495</v>
      </c>
      <c r="AX390" s="19">
        <v>767</v>
      </c>
      <c r="AY390" s="19">
        <v>665</v>
      </c>
      <c r="AZ390" s="19">
        <v>693</v>
      </c>
      <c r="BA390" s="19">
        <v>613</v>
      </c>
      <c r="BB390" s="19">
        <v>318</v>
      </c>
      <c r="BC390" s="19">
        <v>580</v>
      </c>
      <c r="BD390" s="19">
        <v>525</v>
      </c>
      <c r="BE390" s="19">
        <v>442</v>
      </c>
      <c r="BF390" s="19">
        <v>469</v>
      </c>
      <c r="BG390" s="19">
        <v>1032</v>
      </c>
      <c r="BH390" s="19">
        <v>1717</v>
      </c>
      <c r="BI390" s="19">
        <v>1321</v>
      </c>
      <c r="BJ390" s="19">
        <v>1863</v>
      </c>
      <c r="BK390" s="19">
        <v>2004</v>
      </c>
      <c r="BL390" s="20">
        <v>2378</v>
      </c>
      <c r="BM390" s="19">
        <v>2378</v>
      </c>
      <c r="BN390" s="19">
        <v>2378</v>
      </c>
      <c r="BO390" s="19">
        <v>2378</v>
      </c>
      <c r="BP390" s="19">
        <v>2378</v>
      </c>
      <c r="BQ390" s="19">
        <v>2378</v>
      </c>
    </row>
    <row r="391" spans="1:69" ht="12" customHeight="1" outlineLevel="1">
      <c r="B391" s="1" t="s">
        <v>201</v>
      </c>
      <c r="C391" s="19"/>
      <c r="D391" s="21">
        <v>1401</v>
      </c>
      <c r="E391" s="21">
        <v>1124</v>
      </c>
      <c r="F391" s="21">
        <v>1107</v>
      </c>
      <c r="G391" s="21">
        <v>1245</v>
      </c>
      <c r="H391" s="21">
        <v>1251</v>
      </c>
      <c r="I391" s="21">
        <v>1279</v>
      </c>
      <c r="J391" s="21">
        <v>1248</v>
      </c>
      <c r="K391" s="21">
        <v>1270</v>
      </c>
      <c r="L391" s="21">
        <v>1010</v>
      </c>
      <c r="M391" s="21">
        <v>766</v>
      </c>
      <c r="N391" s="21">
        <v>733</v>
      </c>
      <c r="O391" s="21">
        <v>874</v>
      </c>
      <c r="P391" s="21">
        <v>908</v>
      </c>
      <c r="Q391" s="21">
        <v>850</v>
      </c>
      <c r="R391" s="21">
        <v>763</v>
      </c>
      <c r="S391" s="21">
        <v>638</v>
      </c>
      <c r="T391" s="21">
        <v>689</v>
      </c>
      <c r="U391" s="21">
        <v>650</v>
      </c>
      <c r="V391" s="21">
        <v>775</v>
      </c>
      <c r="W391" s="21">
        <v>1031</v>
      </c>
      <c r="X391" s="21">
        <v>1079</v>
      </c>
      <c r="Y391" s="21">
        <v>1340</v>
      </c>
      <c r="Z391" s="21">
        <v>1231</v>
      </c>
      <c r="AA391" s="21">
        <v>1472</v>
      </c>
      <c r="AB391" s="21">
        <v>1411</v>
      </c>
      <c r="AC391" s="21">
        <v>1552</v>
      </c>
      <c r="AD391" s="21">
        <v>1452</v>
      </c>
      <c r="AE391" s="21">
        <v>1797</v>
      </c>
      <c r="AF391" s="21">
        <v>1586</v>
      </c>
      <c r="AG391" s="24">
        <v>2077</v>
      </c>
      <c r="AH391" s="19">
        <v>2077</v>
      </c>
      <c r="AI391" s="19">
        <v>2077</v>
      </c>
      <c r="AJ391" s="19">
        <v>2077</v>
      </c>
      <c r="AK391" s="19">
        <v>2077</v>
      </c>
      <c r="AL391" s="19">
        <v>2077</v>
      </c>
      <c r="AM391" s="19">
        <v>2077</v>
      </c>
      <c r="AN391" s="19">
        <v>2077</v>
      </c>
      <c r="AO391" s="19">
        <v>2077</v>
      </c>
      <c r="AP391" s="19">
        <v>2077</v>
      </c>
      <c r="AQ391" s="19">
        <v>2077</v>
      </c>
      <c r="AR391" s="19"/>
      <c r="AS391" s="21">
        <v>203</v>
      </c>
      <c r="AT391" s="21">
        <v>240</v>
      </c>
      <c r="AU391" s="21">
        <v>457</v>
      </c>
      <c r="AV391" s="21">
        <v>718</v>
      </c>
      <c r="AW391" s="21">
        <v>1186</v>
      </c>
      <c r="AX391" s="19">
        <v>1124</v>
      </c>
      <c r="AY391" s="19">
        <v>1245</v>
      </c>
      <c r="AZ391" s="19">
        <v>1279</v>
      </c>
      <c r="BA391" s="19">
        <v>1270</v>
      </c>
      <c r="BB391" s="19">
        <v>766</v>
      </c>
      <c r="BC391" s="19">
        <v>874</v>
      </c>
      <c r="BD391" s="19">
        <v>850</v>
      </c>
      <c r="BE391" s="19">
        <v>638</v>
      </c>
      <c r="BF391" s="19">
        <v>650</v>
      </c>
      <c r="BG391" s="19">
        <v>1031</v>
      </c>
      <c r="BH391" s="19">
        <v>1340</v>
      </c>
      <c r="BI391" s="19">
        <v>1472</v>
      </c>
      <c r="BJ391" s="19">
        <v>1552</v>
      </c>
      <c r="BK391" s="19">
        <v>1797</v>
      </c>
      <c r="BL391" s="20">
        <v>2077</v>
      </c>
      <c r="BM391" s="19">
        <v>2077</v>
      </c>
      <c r="BN391" s="19">
        <v>2077</v>
      </c>
      <c r="BO391" s="19">
        <v>2077</v>
      </c>
      <c r="BP391" s="19">
        <v>2077</v>
      </c>
      <c r="BQ391" s="19">
        <v>2077</v>
      </c>
    </row>
    <row r="392" spans="1:69" ht="12" hidden="1" customHeight="1" outlineLevel="2">
      <c r="B392" s="1" t="s">
        <v>173</v>
      </c>
      <c r="D392" s="21"/>
      <c r="E392" s="21"/>
      <c r="F392" s="21"/>
      <c r="G392" s="21"/>
      <c r="H392" s="21"/>
      <c r="I392" s="21"/>
      <c r="J392" s="21"/>
      <c r="K392" s="21"/>
      <c r="L392" s="21"/>
      <c r="M392" s="21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20"/>
      <c r="AH392" s="19"/>
      <c r="AI392" s="19"/>
      <c r="AJ392" s="19"/>
      <c r="AK392" s="19"/>
      <c r="AL392" s="19"/>
      <c r="AM392" s="19"/>
      <c r="AN392" s="19"/>
      <c r="AO392" s="19"/>
      <c r="AP392" s="19"/>
      <c r="AQ392" s="19"/>
      <c r="AS392" s="21"/>
      <c r="AT392" s="21"/>
      <c r="AU392" s="21"/>
      <c r="AV392" s="21"/>
      <c r="AW392" s="21"/>
      <c r="AX392" s="19">
        <v>0</v>
      </c>
      <c r="AY392" s="19">
        <v>0</v>
      </c>
      <c r="AZ392" s="19">
        <v>0</v>
      </c>
      <c r="BA392" s="19">
        <v>0</v>
      </c>
      <c r="BB392" s="19">
        <v>0</v>
      </c>
      <c r="BC392" s="19">
        <v>0</v>
      </c>
      <c r="BD392" s="19">
        <v>0</v>
      </c>
      <c r="BE392" s="19">
        <v>0</v>
      </c>
      <c r="BF392" s="19">
        <v>0</v>
      </c>
      <c r="BG392" s="19">
        <v>0</v>
      </c>
      <c r="BH392" s="19">
        <v>0</v>
      </c>
      <c r="BI392" s="19">
        <v>0</v>
      </c>
      <c r="BJ392" s="19">
        <v>0</v>
      </c>
      <c r="BK392" s="19">
        <v>0</v>
      </c>
      <c r="BL392" s="20">
        <v>0</v>
      </c>
      <c r="BM392" s="19">
        <v>0</v>
      </c>
      <c r="BN392" s="19">
        <v>0</v>
      </c>
      <c r="BO392" s="19">
        <v>0</v>
      </c>
      <c r="BP392" s="19">
        <v>0</v>
      </c>
      <c r="BQ392" s="19">
        <v>0</v>
      </c>
    </row>
    <row r="393" spans="1:69" ht="12" hidden="1" customHeight="1" outlineLevel="2">
      <c r="B393" s="1" t="s">
        <v>173</v>
      </c>
      <c r="D393" s="21"/>
      <c r="E393" s="21"/>
      <c r="F393" s="21"/>
      <c r="G393" s="21"/>
      <c r="H393" s="21"/>
      <c r="I393" s="21"/>
      <c r="J393" s="21"/>
      <c r="K393" s="21"/>
      <c r="L393" s="21"/>
      <c r="M393" s="21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20"/>
      <c r="AH393" s="19"/>
      <c r="AI393" s="19"/>
      <c r="AJ393" s="19"/>
      <c r="AK393" s="19"/>
      <c r="AL393" s="19"/>
      <c r="AM393" s="19"/>
      <c r="AN393" s="19"/>
      <c r="AO393" s="19"/>
      <c r="AP393" s="19"/>
      <c r="AQ393" s="19"/>
      <c r="AS393" s="21"/>
      <c r="AT393" s="21"/>
      <c r="AU393" s="21"/>
      <c r="AV393" s="21"/>
      <c r="AW393" s="21"/>
      <c r="AX393" s="19">
        <v>0</v>
      </c>
      <c r="AY393" s="19">
        <v>0</v>
      </c>
      <c r="AZ393" s="19">
        <v>0</v>
      </c>
      <c r="BA393" s="19">
        <v>0</v>
      </c>
      <c r="BB393" s="19">
        <v>0</v>
      </c>
      <c r="BC393" s="19">
        <v>0</v>
      </c>
      <c r="BD393" s="19">
        <v>0</v>
      </c>
      <c r="BE393" s="19">
        <v>0</v>
      </c>
      <c r="BF393" s="19">
        <v>0</v>
      </c>
      <c r="BG393" s="19">
        <v>0</v>
      </c>
      <c r="BH393" s="19">
        <v>0</v>
      </c>
      <c r="BI393" s="19">
        <v>0</v>
      </c>
      <c r="BJ393" s="19">
        <v>0</v>
      </c>
      <c r="BK393" s="19">
        <v>0</v>
      </c>
      <c r="BL393" s="20">
        <v>0</v>
      </c>
      <c r="BM393" s="19">
        <v>0</v>
      </c>
      <c r="BN393" s="19">
        <v>0</v>
      </c>
      <c r="BO393" s="19">
        <v>0</v>
      </c>
      <c r="BP393" s="19">
        <v>0</v>
      </c>
      <c r="BQ393" s="19">
        <v>0</v>
      </c>
    </row>
    <row r="394" spans="1:69" ht="12" hidden="1" customHeight="1" outlineLevel="2">
      <c r="B394" s="1" t="s">
        <v>173</v>
      </c>
      <c r="D394" s="21"/>
      <c r="E394" s="21"/>
      <c r="F394" s="21"/>
      <c r="G394" s="21"/>
      <c r="H394" s="21"/>
      <c r="I394" s="21"/>
      <c r="J394" s="21"/>
      <c r="K394" s="21"/>
      <c r="L394" s="21"/>
      <c r="M394" s="21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20"/>
      <c r="AH394" s="19"/>
      <c r="AI394" s="19"/>
      <c r="AJ394" s="19"/>
      <c r="AK394" s="19"/>
      <c r="AL394" s="19"/>
      <c r="AM394" s="19"/>
      <c r="AN394" s="19"/>
      <c r="AO394" s="19"/>
      <c r="AP394" s="19"/>
      <c r="AQ394" s="19"/>
      <c r="AS394" s="21"/>
      <c r="AT394" s="21"/>
      <c r="AU394" s="21"/>
      <c r="AV394" s="21"/>
      <c r="AW394" s="21"/>
      <c r="AX394" s="19">
        <v>0</v>
      </c>
      <c r="AY394" s="19">
        <v>0</v>
      </c>
      <c r="AZ394" s="19">
        <v>0</v>
      </c>
      <c r="BA394" s="19">
        <v>0</v>
      </c>
      <c r="BB394" s="19">
        <v>0</v>
      </c>
      <c r="BC394" s="19">
        <v>0</v>
      </c>
      <c r="BD394" s="19">
        <v>0</v>
      </c>
      <c r="BE394" s="19">
        <v>0</v>
      </c>
      <c r="BF394" s="19">
        <v>0</v>
      </c>
      <c r="BG394" s="19">
        <v>0</v>
      </c>
      <c r="BH394" s="19">
        <v>0</v>
      </c>
      <c r="BI394" s="19">
        <v>0</v>
      </c>
      <c r="BJ394" s="19">
        <v>0</v>
      </c>
      <c r="BK394" s="19">
        <v>0</v>
      </c>
      <c r="BL394" s="20">
        <v>0</v>
      </c>
      <c r="BM394" s="19">
        <v>0</v>
      </c>
      <c r="BN394" s="19">
        <v>0</v>
      </c>
      <c r="BO394" s="19">
        <v>0</v>
      </c>
      <c r="BP394" s="19">
        <v>0</v>
      </c>
      <c r="BQ394" s="19">
        <v>0</v>
      </c>
    </row>
    <row r="395" spans="1:69" ht="12" hidden="1" customHeight="1" outlineLevel="2">
      <c r="B395" s="1" t="s">
        <v>173</v>
      </c>
      <c r="D395" s="21"/>
      <c r="E395" s="21"/>
      <c r="F395" s="21"/>
      <c r="G395" s="21"/>
      <c r="H395" s="21"/>
      <c r="I395" s="21"/>
      <c r="J395" s="21"/>
      <c r="K395" s="21"/>
      <c r="L395" s="21"/>
      <c r="M395" s="21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20"/>
      <c r="AH395" s="19"/>
      <c r="AI395" s="19"/>
      <c r="AJ395" s="19"/>
      <c r="AK395" s="19"/>
      <c r="AL395" s="19"/>
      <c r="AM395" s="19"/>
      <c r="AN395" s="19"/>
      <c r="AO395" s="19"/>
      <c r="AP395" s="19"/>
      <c r="AQ395" s="19"/>
      <c r="AS395" s="21"/>
      <c r="AT395" s="21"/>
      <c r="AU395" s="21"/>
      <c r="AV395" s="21"/>
      <c r="AW395" s="21"/>
      <c r="AX395" s="19">
        <v>0</v>
      </c>
      <c r="AY395" s="19">
        <v>0</v>
      </c>
      <c r="AZ395" s="19">
        <v>0</v>
      </c>
      <c r="BA395" s="19">
        <v>0</v>
      </c>
      <c r="BB395" s="19">
        <v>0</v>
      </c>
      <c r="BC395" s="19">
        <v>0</v>
      </c>
      <c r="BD395" s="19">
        <v>0</v>
      </c>
      <c r="BE395" s="19">
        <v>0</v>
      </c>
      <c r="BF395" s="19">
        <v>0</v>
      </c>
      <c r="BG395" s="19">
        <v>0</v>
      </c>
      <c r="BH395" s="19">
        <v>0</v>
      </c>
      <c r="BI395" s="19">
        <v>0</v>
      </c>
      <c r="BJ395" s="19">
        <v>0</v>
      </c>
      <c r="BK395" s="19">
        <v>0</v>
      </c>
      <c r="BL395" s="20">
        <v>0</v>
      </c>
      <c r="BM395" s="19">
        <v>0</v>
      </c>
      <c r="BN395" s="19">
        <v>0</v>
      </c>
      <c r="BO395" s="19">
        <v>0</v>
      </c>
      <c r="BP395" s="19">
        <v>0</v>
      </c>
      <c r="BQ395" s="19">
        <v>0</v>
      </c>
    </row>
    <row r="396" spans="1:69" ht="12" hidden="1" customHeight="1" outlineLevel="2">
      <c r="B396" s="1" t="s">
        <v>173</v>
      </c>
      <c r="D396" s="21"/>
      <c r="E396" s="21"/>
      <c r="F396" s="21"/>
      <c r="G396" s="21"/>
      <c r="H396" s="21"/>
      <c r="I396" s="21"/>
      <c r="J396" s="21"/>
      <c r="K396" s="21"/>
      <c r="L396" s="21"/>
      <c r="M396" s="21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20"/>
      <c r="AH396" s="19"/>
      <c r="AI396" s="19"/>
      <c r="AJ396" s="19"/>
      <c r="AK396" s="19"/>
      <c r="AL396" s="19"/>
      <c r="AM396" s="19"/>
      <c r="AN396" s="19"/>
      <c r="AO396" s="19"/>
      <c r="AP396" s="19"/>
      <c r="AQ396" s="19"/>
      <c r="AS396" s="21"/>
      <c r="AT396" s="21"/>
      <c r="AU396" s="21"/>
      <c r="AV396" s="21"/>
      <c r="AW396" s="21"/>
      <c r="AX396" s="19">
        <v>0</v>
      </c>
      <c r="AY396" s="19">
        <v>0</v>
      </c>
      <c r="AZ396" s="19">
        <v>0</v>
      </c>
      <c r="BA396" s="19">
        <v>0</v>
      </c>
      <c r="BB396" s="19">
        <v>0</v>
      </c>
      <c r="BC396" s="19">
        <v>0</v>
      </c>
      <c r="BD396" s="19">
        <v>0</v>
      </c>
      <c r="BE396" s="19">
        <v>0</v>
      </c>
      <c r="BF396" s="19">
        <v>0</v>
      </c>
      <c r="BG396" s="19">
        <v>0</v>
      </c>
      <c r="BH396" s="19">
        <v>0</v>
      </c>
      <c r="BI396" s="19">
        <v>0</v>
      </c>
      <c r="BJ396" s="19">
        <v>0</v>
      </c>
      <c r="BK396" s="19">
        <v>0</v>
      </c>
      <c r="BL396" s="20">
        <v>0</v>
      </c>
      <c r="BM396" s="19">
        <v>0</v>
      </c>
      <c r="BN396" s="19">
        <v>0</v>
      </c>
      <c r="BO396" s="19">
        <v>0</v>
      </c>
      <c r="BP396" s="19">
        <v>0</v>
      </c>
      <c r="BQ396" s="19">
        <v>0</v>
      </c>
    </row>
    <row r="397" spans="1:69" ht="12" hidden="1" customHeight="1" outlineLevel="2">
      <c r="B397" s="1" t="s">
        <v>173</v>
      </c>
      <c r="D397" s="21"/>
      <c r="E397" s="21"/>
      <c r="F397" s="21"/>
      <c r="G397" s="21"/>
      <c r="H397" s="21"/>
      <c r="I397" s="21"/>
      <c r="J397" s="21"/>
      <c r="K397" s="21"/>
      <c r="L397" s="21"/>
      <c r="M397" s="21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20"/>
      <c r="AH397" s="19"/>
      <c r="AI397" s="19"/>
      <c r="AJ397" s="19"/>
      <c r="AK397" s="19"/>
      <c r="AL397" s="19"/>
      <c r="AM397" s="19"/>
      <c r="AN397" s="19"/>
      <c r="AO397" s="19"/>
      <c r="AP397" s="19"/>
      <c r="AQ397" s="19"/>
      <c r="AS397" s="21"/>
      <c r="AT397" s="21"/>
      <c r="AU397" s="21"/>
      <c r="AV397" s="21"/>
      <c r="AW397" s="21"/>
      <c r="AX397" s="19">
        <v>0</v>
      </c>
      <c r="AY397" s="19">
        <v>0</v>
      </c>
      <c r="AZ397" s="19">
        <v>0</v>
      </c>
      <c r="BA397" s="19">
        <v>0</v>
      </c>
      <c r="BB397" s="19">
        <v>0</v>
      </c>
      <c r="BC397" s="19">
        <v>0</v>
      </c>
      <c r="BD397" s="19">
        <v>0</v>
      </c>
      <c r="BE397" s="19">
        <v>0</v>
      </c>
      <c r="BF397" s="19">
        <v>0</v>
      </c>
      <c r="BG397" s="19">
        <v>0</v>
      </c>
      <c r="BH397" s="19">
        <v>0</v>
      </c>
      <c r="BI397" s="19">
        <v>0</v>
      </c>
      <c r="BJ397" s="19">
        <v>0</v>
      </c>
      <c r="BK397" s="19">
        <v>0</v>
      </c>
      <c r="BL397" s="20">
        <v>0</v>
      </c>
      <c r="BM397" s="19">
        <v>0</v>
      </c>
      <c r="BN397" s="19">
        <v>0</v>
      </c>
      <c r="BO397" s="19">
        <v>0</v>
      </c>
      <c r="BP397" s="19">
        <v>0</v>
      </c>
      <c r="BQ397" s="19">
        <v>0</v>
      </c>
    </row>
    <row r="398" spans="1:69" ht="12" hidden="1" customHeight="1" outlineLevel="2">
      <c r="B398" s="1" t="s">
        <v>173</v>
      </c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20"/>
      <c r="AH398" s="19"/>
      <c r="AI398" s="19"/>
      <c r="AJ398" s="19"/>
      <c r="AK398" s="19"/>
      <c r="AL398" s="19"/>
      <c r="AM398" s="19"/>
      <c r="AN398" s="19"/>
      <c r="AO398" s="19"/>
      <c r="AP398" s="19"/>
      <c r="AQ398" s="19"/>
      <c r="AS398" s="21"/>
      <c r="AT398" s="21"/>
      <c r="AU398" s="21"/>
      <c r="AV398" s="21"/>
      <c r="AW398" s="21"/>
      <c r="AX398" s="19">
        <v>0</v>
      </c>
      <c r="AY398" s="19">
        <v>0</v>
      </c>
      <c r="AZ398" s="19">
        <v>0</v>
      </c>
      <c r="BA398" s="19">
        <v>0</v>
      </c>
      <c r="BB398" s="19">
        <v>0</v>
      </c>
      <c r="BC398" s="19">
        <v>0</v>
      </c>
      <c r="BD398" s="19">
        <v>0</v>
      </c>
      <c r="BE398" s="19">
        <v>0</v>
      </c>
      <c r="BF398" s="19">
        <v>0</v>
      </c>
      <c r="BG398" s="19">
        <v>0</v>
      </c>
      <c r="BH398" s="19">
        <v>0</v>
      </c>
      <c r="BI398" s="19">
        <v>0</v>
      </c>
      <c r="BJ398" s="19">
        <v>0</v>
      </c>
      <c r="BK398" s="19">
        <v>0</v>
      </c>
      <c r="BL398" s="20">
        <v>0</v>
      </c>
      <c r="BM398" s="19">
        <v>0</v>
      </c>
      <c r="BN398" s="19">
        <v>0</v>
      </c>
      <c r="BO398" s="19">
        <v>0</v>
      </c>
      <c r="BP398" s="19">
        <v>0</v>
      </c>
      <c r="BQ398" s="19">
        <v>0</v>
      </c>
    </row>
    <row r="399" spans="1:69" ht="12" hidden="1" customHeight="1" outlineLevel="2">
      <c r="B399" s="1" t="s">
        <v>173</v>
      </c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20"/>
      <c r="AH399" s="19"/>
      <c r="AI399" s="19"/>
      <c r="AJ399" s="19"/>
      <c r="AK399" s="19"/>
      <c r="AL399" s="19"/>
      <c r="AM399" s="19"/>
      <c r="AN399" s="19"/>
      <c r="AO399" s="19"/>
      <c r="AP399" s="19"/>
      <c r="AQ399" s="19"/>
      <c r="AS399" s="21"/>
      <c r="AT399" s="21"/>
      <c r="AU399" s="21"/>
      <c r="AV399" s="21"/>
      <c r="AW399" s="21"/>
      <c r="AX399" s="19">
        <v>0</v>
      </c>
      <c r="AY399" s="19">
        <v>0</v>
      </c>
      <c r="AZ399" s="19">
        <v>0</v>
      </c>
      <c r="BA399" s="19">
        <v>0</v>
      </c>
      <c r="BB399" s="19">
        <v>0</v>
      </c>
      <c r="BC399" s="19">
        <v>0</v>
      </c>
      <c r="BD399" s="19">
        <v>0</v>
      </c>
      <c r="BE399" s="19">
        <v>0</v>
      </c>
      <c r="BF399" s="19">
        <v>0</v>
      </c>
      <c r="BG399" s="19">
        <v>0</v>
      </c>
      <c r="BH399" s="19">
        <v>0</v>
      </c>
      <c r="BI399" s="19">
        <v>0</v>
      </c>
      <c r="BJ399" s="19">
        <v>0</v>
      </c>
      <c r="BK399" s="19">
        <v>0</v>
      </c>
      <c r="BL399" s="20">
        <v>0</v>
      </c>
      <c r="BM399" s="19">
        <v>0</v>
      </c>
      <c r="BN399" s="19">
        <v>0</v>
      </c>
      <c r="BO399" s="19">
        <v>0</v>
      </c>
      <c r="BP399" s="19">
        <v>0</v>
      </c>
      <c r="BQ399" s="19">
        <v>0</v>
      </c>
    </row>
    <row r="400" spans="1:69" ht="12" hidden="1" customHeight="1" outlineLevel="2">
      <c r="B400" s="1" t="s">
        <v>173</v>
      </c>
      <c r="D400" s="21"/>
      <c r="E400" s="21"/>
      <c r="F400" s="21"/>
      <c r="G400" s="21"/>
      <c r="H400" s="21"/>
      <c r="I400" s="21"/>
      <c r="J400" s="21"/>
      <c r="K400" s="21"/>
      <c r="L400" s="21"/>
      <c r="M400" s="21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20"/>
      <c r="AH400" s="19"/>
      <c r="AI400" s="19"/>
      <c r="AJ400" s="19"/>
      <c r="AK400" s="19"/>
      <c r="AL400" s="19"/>
      <c r="AM400" s="19"/>
      <c r="AN400" s="19"/>
      <c r="AO400" s="19"/>
      <c r="AP400" s="19"/>
      <c r="AQ400" s="19"/>
      <c r="AS400" s="21"/>
      <c r="AT400" s="21"/>
      <c r="AU400" s="21"/>
      <c r="AV400" s="21"/>
      <c r="AW400" s="21"/>
      <c r="AX400" s="19">
        <v>0</v>
      </c>
      <c r="AY400" s="19">
        <v>0</v>
      </c>
      <c r="AZ400" s="19">
        <v>0</v>
      </c>
      <c r="BA400" s="19">
        <v>0</v>
      </c>
      <c r="BB400" s="19">
        <v>0</v>
      </c>
      <c r="BC400" s="19">
        <v>0</v>
      </c>
      <c r="BD400" s="19">
        <v>0</v>
      </c>
      <c r="BE400" s="19">
        <v>0</v>
      </c>
      <c r="BF400" s="19">
        <v>0</v>
      </c>
      <c r="BG400" s="19">
        <v>0</v>
      </c>
      <c r="BH400" s="19">
        <v>0</v>
      </c>
      <c r="BI400" s="19">
        <v>0</v>
      </c>
      <c r="BJ400" s="19">
        <v>0</v>
      </c>
      <c r="BK400" s="19">
        <v>0</v>
      </c>
      <c r="BL400" s="20">
        <v>0</v>
      </c>
      <c r="BM400" s="19">
        <v>0</v>
      </c>
      <c r="BN400" s="19">
        <v>0</v>
      </c>
      <c r="BO400" s="19">
        <v>0</v>
      </c>
      <c r="BP400" s="19">
        <v>0</v>
      </c>
      <c r="BQ400" s="19">
        <v>0</v>
      </c>
    </row>
    <row r="401" spans="1:69" s="9" customFormat="1" ht="12" customHeight="1" outlineLevel="1" collapsed="1">
      <c r="A401" s="91" t="s">
        <v>655</v>
      </c>
      <c r="B401" s="9" t="s">
        <v>174</v>
      </c>
      <c r="C401" s="17"/>
      <c r="D401" s="22">
        <v>146931</v>
      </c>
      <c r="E401" s="22">
        <v>145940</v>
      </c>
      <c r="F401" s="22">
        <v>158060</v>
      </c>
      <c r="G401" s="22">
        <v>157568</v>
      </c>
      <c r="H401" s="22">
        <v>174688</v>
      </c>
      <c r="I401" s="22">
        <v>153626</v>
      </c>
      <c r="J401" s="22">
        <v>152180</v>
      </c>
      <c r="K401" s="22">
        <v>144748</v>
      </c>
      <c r="L401" s="22">
        <v>154600</v>
      </c>
      <c r="M401" s="22">
        <v>153904</v>
      </c>
      <c r="N401" s="22">
        <v>162332</v>
      </c>
      <c r="O401" s="22">
        <v>187976</v>
      </c>
      <c r="P401" s="22">
        <v>209090</v>
      </c>
      <c r="Q401" s="22">
        <v>196755</v>
      </c>
      <c r="R401" s="22">
        <v>193093</v>
      </c>
      <c r="S401" s="22">
        <v>182877</v>
      </c>
      <c r="T401" s="22">
        <v>189760</v>
      </c>
      <c r="U401" s="22">
        <v>191325</v>
      </c>
      <c r="V401" s="22">
        <v>205598</v>
      </c>
      <c r="W401" s="22">
        <v>197757</v>
      </c>
      <c r="X401" s="22">
        <v>219495</v>
      </c>
      <c r="Y401" s="22">
        <v>255802</v>
      </c>
      <c r="Z401" s="22">
        <v>230735</v>
      </c>
      <c r="AA401" s="22">
        <v>245653</v>
      </c>
      <c r="AB401" s="22">
        <v>348567</v>
      </c>
      <c r="AC401" s="22">
        <v>399176</v>
      </c>
      <c r="AD401" s="22">
        <v>486574</v>
      </c>
      <c r="AE401" s="22">
        <v>387872</v>
      </c>
      <c r="AF401" s="22">
        <v>394594</v>
      </c>
      <c r="AG401" s="23">
        <v>403404</v>
      </c>
      <c r="AH401" s="17">
        <v>417652.26448564301</v>
      </c>
      <c r="AI401" s="17">
        <v>432507.04845456104</v>
      </c>
      <c r="AJ401" s="17">
        <v>441662.11133590457</v>
      </c>
      <c r="AK401" s="17">
        <v>451035.25172931084</v>
      </c>
      <c r="AL401" s="17">
        <v>460631.85249039176</v>
      </c>
      <c r="AM401" s="17">
        <v>470457.43152258021</v>
      </c>
      <c r="AN401" s="17">
        <v>480517.64519310661</v>
      </c>
      <c r="AO401" s="17">
        <v>490818.29183582537</v>
      </c>
      <c r="AP401" s="17">
        <v>501365.31534310378</v>
      </c>
      <c r="AQ401" s="17">
        <v>512164.808849052</v>
      </c>
      <c r="AR401" s="17"/>
      <c r="AS401" s="22">
        <v>67980</v>
      </c>
      <c r="AT401" s="22">
        <v>106211</v>
      </c>
      <c r="AU401" s="22">
        <v>136389</v>
      </c>
      <c r="AV401" s="22">
        <v>167250</v>
      </c>
      <c r="AW401" s="22">
        <v>149144</v>
      </c>
      <c r="AX401" s="17">
        <v>145940</v>
      </c>
      <c r="AY401" s="17">
        <v>157568</v>
      </c>
      <c r="AZ401" s="17">
        <v>153626</v>
      </c>
      <c r="BA401" s="17">
        <v>144748</v>
      </c>
      <c r="BB401" s="17">
        <v>153904</v>
      </c>
      <c r="BC401" s="17">
        <v>187976</v>
      </c>
      <c r="BD401" s="17">
        <v>196755</v>
      </c>
      <c r="BE401" s="17">
        <v>182877</v>
      </c>
      <c r="BF401" s="17">
        <v>191325</v>
      </c>
      <c r="BG401" s="17">
        <v>197757</v>
      </c>
      <c r="BH401" s="17">
        <v>255802</v>
      </c>
      <c r="BI401" s="17">
        <v>245653</v>
      </c>
      <c r="BJ401" s="17">
        <v>399176</v>
      </c>
      <c r="BK401" s="17">
        <v>387872</v>
      </c>
      <c r="BL401" s="18">
        <v>403404</v>
      </c>
      <c r="BM401" s="17">
        <v>432507.04845456098</v>
      </c>
      <c r="BN401" s="17">
        <v>451035.2517293109</v>
      </c>
      <c r="BO401" s="17">
        <v>470457.43152258021</v>
      </c>
      <c r="BP401" s="17">
        <v>490818.29183582537</v>
      </c>
      <c r="BQ401" s="17">
        <v>512164.808849052</v>
      </c>
    </row>
    <row r="402" spans="1:69" ht="12" customHeight="1" outlineLevel="1">
      <c r="B402" s="1" t="s">
        <v>437</v>
      </c>
      <c r="C402" s="19"/>
      <c r="D402" s="21">
        <v>-16000</v>
      </c>
      <c r="E402" s="21">
        <v>-15400</v>
      </c>
      <c r="F402" s="21">
        <v>-16600</v>
      </c>
      <c r="G402" s="21">
        <v>-14700</v>
      </c>
      <c r="H402" s="21">
        <v>-15000</v>
      </c>
      <c r="I402" s="21">
        <v>-10000</v>
      </c>
      <c r="J402" s="21">
        <v>-13900</v>
      </c>
      <c r="K402" s="21">
        <v>-13600</v>
      </c>
      <c r="L402" s="21">
        <v>-16700</v>
      </c>
      <c r="M402" s="21">
        <v>-17900</v>
      </c>
      <c r="N402" s="21">
        <v>-16200</v>
      </c>
      <c r="O402" s="21">
        <v>-19300</v>
      </c>
      <c r="P402" s="21">
        <v>-25900</v>
      </c>
      <c r="Q402" s="21">
        <v>-16600</v>
      </c>
      <c r="R402" s="21">
        <v>-21100</v>
      </c>
      <c r="S402" s="21">
        <v>-14600</v>
      </c>
      <c r="T402" s="21">
        <v>-20100</v>
      </c>
      <c r="U402" s="21">
        <v>-16700</v>
      </c>
      <c r="V402" s="21">
        <v>-18200</v>
      </c>
      <c r="W402" s="21">
        <v>-16600</v>
      </c>
      <c r="X402" s="21">
        <v>-19100</v>
      </c>
      <c r="Y402" s="21">
        <v>-17700</v>
      </c>
      <c r="Z402" s="21">
        <v>-17100</v>
      </c>
      <c r="AA402" s="21">
        <v>-15900</v>
      </c>
      <c r="AB402" s="21">
        <v>-17100</v>
      </c>
      <c r="AC402" s="21">
        <v>-20700</v>
      </c>
      <c r="AD402" s="21">
        <v>-33500</v>
      </c>
      <c r="AE402" s="21">
        <v>-14800</v>
      </c>
      <c r="AF402" s="21">
        <v>-14800</v>
      </c>
      <c r="AG402" s="24">
        <v>-10200</v>
      </c>
      <c r="AH402" s="19">
        <v>-10579.338842975207</v>
      </c>
      <c r="AI402" s="19">
        <v>-10974.951322314051</v>
      </c>
      <c r="AJ402" s="19">
        <v>-11214.498385537192</v>
      </c>
      <c r="AK402" s="19">
        <v>-11459.685858142564</v>
      </c>
      <c r="AL402" s="19">
        <v>-11710.65126769274</v>
      </c>
      <c r="AM402" s="19">
        <v>-11967.535545112634</v>
      </c>
      <c r="AN402" s="19">
        <v>-12230.483109425302</v>
      </c>
      <c r="AO402" s="19">
        <v>-12499.641954602637</v>
      </c>
      <c r="AP402" s="19">
        <v>-12775.16373858382</v>
      </c>
      <c r="AQ402" s="19">
        <v>-13057.203874515697</v>
      </c>
      <c r="AR402" s="19"/>
      <c r="AS402" s="21"/>
      <c r="AT402" s="21"/>
      <c r="AU402" s="21"/>
      <c r="AV402" s="21">
        <v>-28900</v>
      </c>
      <c r="AW402" s="21">
        <v>-10500</v>
      </c>
      <c r="AX402" s="19">
        <v>-15400</v>
      </c>
      <c r="AY402" s="19">
        <v>-14700</v>
      </c>
      <c r="AZ402" s="19">
        <v>-10000</v>
      </c>
      <c r="BA402" s="19">
        <v>-13600</v>
      </c>
      <c r="BB402" s="19">
        <v>-17900</v>
      </c>
      <c r="BC402" s="19">
        <v>-19300</v>
      </c>
      <c r="BD402" s="19">
        <v>-16600</v>
      </c>
      <c r="BE402" s="19">
        <v>-14600</v>
      </c>
      <c r="BF402" s="19">
        <v>-16700</v>
      </c>
      <c r="BG402" s="19">
        <v>-16600</v>
      </c>
      <c r="BH402" s="19">
        <v>-17700</v>
      </c>
      <c r="BI402" s="19">
        <v>-15900</v>
      </c>
      <c r="BJ402" s="19">
        <v>-20700</v>
      </c>
      <c r="BK402" s="19">
        <v>-14800</v>
      </c>
      <c r="BL402" s="20">
        <v>-10200</v>
      </c>
      <c r="BM402" s="19">
        <v>-10974.951322314051</v>
      </c>
      <c r="BN402" s="19">
        <v>-11459.685858142564</v>
      </c>
      <c r="BO402" s="19">
        <v>-11967.535545112634</v>
      </c>
      <c r="BP402" s="19">
        <v>-12499.641954602637</v>
      </c>
      <c r="BQ402" s="19">
        <v>-13057.203874515697</v>
      </c>
    </row>
    <row r="403" spans="1:69" ht="12" customHeight="1" outlineLevel="1">
      <c r="B403" s="1" t="s">
        <v>1779</v>
      </c>
      <c r="C403" s="19"/>
      <c r="D403" s="21">
        <v>-20600</v>
      </c>
      <c r="E403" s="21">
        <v>-21200</v>
      </c>
      <c r="F403" s="21">
        <v>-21800</v>
      </c>
      <c r="G403" s="21">
        <v>-20500</v>
      </c>
      <c r="H403" s="21">
        <v>-32000</v>
      </c>
      <c r="I403" s="21">
        <v>-20500</v>
      </c>
      <c r="J403" s="21">
        <v>-20400</v>
      </c>
      <c r="K403" s="21">
        <v>-14400</v>
      </c>
      <c r="L403" s="21">
        <v>-13900</v>
      </c>
      <c r="M403" s="21">
        <v>-11600</v>
      </c>
      <c r="N403" s="21">
        <v>-14300</v>
      </c>
      <c r="O403" s="21">
        <v>-17900</v>
      </c>
      <c r="P403" s="21">
        <v>-19800</v>
      </c>
      <c r="Q403" s="21">
        <v>-14400</v>
      </c>
      <c r="R403" s="21">
        <v>-12500</v>
      </c>
      <c r="S403" s="21">
        <v>-10700</v>
      </c>
      <c r="T403" s="21">
        <v>-10400</v>
      </c>
      <c r="U403" s="21">
        <v>-11800</v>
      </c>
      <c r="V403" s="21">
        <v>-18000</v>
      </c>
      <c r="W403" s="21">
        <v>-12500</v>
      </c>
      <c r="X403" s="21">
        <v>-14300</v>
      </c>
      <c r="Y403" s="21">
        <v>-38000</v>
      </c>
      <c r="Z403" s="21">
        <v>-16400</v>
      </c>
      <c r="AA403" s="21">
        <v>-17400</v>
      </c>
      <c r="AB403" s="21">
        <v>-78000</v>
      </c>
      <c r="AC403" s="21">
        <v>-84500</v>
      </c>
      <c r="AD403" s="21">
        <v>-111700</v>
      </c>
      <c r="AE403" s="21">
        <v>-32800</v>
      </c>
      <c r="AF403" s="21">
        <v>-29500</v>
      </c>
      <c r="AG403" s="24">
        <v>-25600</v>
      </c>
      <c r="AH403" s="19">
        <v>-26532.599858294881</v>
      </c>
      <c r="AI403" s="19">
        <v>-27504.890115642396</v>
      </c>
      <c r="AJ403" s="19">
        <v>-28104.403661451957</v>
      </c>
      <c r="AK403" s="19">
        <v>-28718.202294438484</v>
      </c>
      <c r="AL403" s="19">
        <v>-29346.638730617738</v>
      </c>
      <c r="AM403" s="19">
        <v>-29990.074538284782</v>
      </c>
      <c r="AN403" s="19">
        <v>-30648.880362019423</v>
      </c>
      <c r="AO403" s="19">
        <v>-31323.436152389528</v>
      </c>
      <c r="AP403" s="19">
        <v>-32014.131401497518</v>
      </c>
      <c r="AQ403" s="19">
        <v>-32721.365384519548</v>
      </c>
      <c r="AR403" s="19"/>
      <c r="AS403" s="21"/>
      <c r="AT403" s="21"/>
      <c r="AU403" s="21"/>
      <c r="AV403" s="21">
        <v>-18600</v>
      </c>
      <c r="AW403" s="21">
        <v>-26100</v>
      </c>
      <c r="AX403" s="19">
        <v>-21200</v>
      </c>
      <c r="AY403" s="19">
        <v>-20500</v>
      </c>
      <c r="AZ403" s="19">
        <v>-20500</v>
      </c>
      <c r="BA403" s="19">
        <v>-14400</v>
      </c>
      <c r="BB403" s="19">
        <v>-11600</v>
      </c>
      <c r="BC403" s="19">
        <v>-17900</v>
      </c>
      <c r="BD403" s="19">
        <v>-14400</v>
      </c>
      <c r="BE403" s="19">
        <v>-10700</v>
      </c>
      <c r="BF403" s="19">
        <v>-11800</v>
      </c>
      <c r="BG403" s="19">
        <v>-12500</v>
      </c>
      <c r="BH403" s="19">
        <v>-38000</v>
      </c>
      <c r="BI403" s="19">
        <v>-17400</v>
      </c>
      <c r="BJ403" s="19">
        <v>-84500</v>
      </c>
      <c r="BK403" s="19">
        <v>-32800</v>
      </c>
      <c r="BL403" s="20">
        <v>-25600</v>
      </c>
      <c r="BM403" s="19">
        <v>-27504.890115642396</v>
      </c>
      <c r="BN403" s="19">
        <v>-28718.202294438484</v>
      </c>
      <c r="BO403" s="19">
        <v>-29990.074538284782</v>
      </c>
      <c r="BP403" s="19">
        <v>-31323.436152389528</v>
      </c>
      <c r="BQ403" s="19">
        <v>-32721.365384519548</v>
      </c>
    </row>
    <row r="404" spans="1:69" ht="12" customHeight="1" outlineLevel="1">
      <c r="B404" s="1" t="s">
        <v>1780</v>
      </c>
      <c r="C404" s="19"/>
      <c r="D404" s="21">
        <v>-8000</v>
      </c>
      <c r="E404" s="21">
        <v>-7300</v>
      </c>
      <c r="F404" s="21">
        <v>-8300</v>
      </c>
      <c r="G404" s="21">
        <v>-8100</v>
      </c>
      <c r="H404" s="21">
        <v>-7800</v>
      </c>
      <c r="I404" s="21">
        <v>-9000</v>
      </c>
      <c r="J404" s="21">
        <v>-9800</v>
      </c>
      <c r="K404" s="21">
        <v>-5400</v>
      </c>
      <c r="L404" s="21">
        <v>0</v>
      </c>
      <c r="M404" s="21">
        <v>-5700</v>
      </c>
      <c r="N404" s="62">
        <v>-5600</v>
      </c>
      <c r="O404" s="62">
        <v>-7500</v>
      </c>
      <c r="P404" s="62">
        <v>-8500</v>
      </c>
      <c r="Q404" s="62">
        <v>-8400</v>
      </c>
      <c r="R404" s="62">
        <v>-9400</v>
      </c>
      <c r="S404" s="62">
        <v>-9600</v>
      </c>
      <c r="T404" s="62">
        <v>-9000</v>
      </c>
      <c r="U404" s="62">
        <v>-9800</v>
      </c>
      <c r="V404" s="62">
        <v>-10500</v>
      </c>
      <c r="W404" s="62">
        <v>-4800</v>
      </c>
      <c r="X404" s="62">
        <v>-11100</v>
      </c>
      <c r="Y404" s="62">
        <v>-7300</v>
      </c>
      <c r="Z404" s="62">
        <v>-7700</v>
      </c>
      <c r="AA404" s="62">
        <v>-8000</v>
      </c>
      <c r="AB404" s="62">
        <v>-9400</v>
      </c>
      <c r="AC404" s="21">
        <v>-7600</v>
      </c>
      <c r="AD404" s="21">
        <v>-12700</v>
      </c>
      <c r="AE404" s="21">
        <v>-9700</v>
      </c>
      <c r="AF404" s="21">
        <v>-8800</v>
      </c>
      <c r="AG404" s="24">
        <v>-12500</v>
      </c>
      <c r="AH404" s="58">
        <v>-12500</v>
      </c>
      <c r="AI404" s="58">
        <v>-12500</v>
      </c>
      <c r="AJ404" s="58">
        <v>-12500</v>
      </c>
      <c r="AK404" s="58">
        <v>-12500</v>
      </c>
      <c r="AL404" s="58">
        <v>-12500</v>
      </c>
      <c r="AM404" s="58">
        <v>-12500</v>
      </c>
      <c r="AN404" s="58">
        <v>-12500</v>
      </c>
      <c r="AO404" s="58">
        <v>-12500</v>
      </c>
      <c r="AP404" s="58">
        <v>-12500</v>
      </c>
      <c r="AQ404" s="58">
        <v>-12500</v>
      </c>
      <c r="AR404" s="19"/>
      <c r="AS404" s="21"/>
      <c r="AT404" s="21"/>
      <c r="AU404" s="21"/>
      <c r="AV404" s="21">
        <v>-8300</v>
      </c>
      <c r="AW404" s="21">
        <v>-6900</v>
      </c>
      <c r="AX404" s="19">
        <v>-7300</v>
      </c>
      <c r="AY404" s="19">
        <v>-8100</v>
      </c>
      <c r="AZ404" s="19">
        <v>-9000</v>
      </c>
      <c r="BA404" s="19">
        <v>-5400</v>
      </c>
      <c r="BB404" s="19">
        <v>-5700</v>
      </c>
      <c r="BC404" s="19">
        <v>-7500</v>
      </c>
      <c r="BD404" s="19">
        <v>-8400</v>
      </c>
      <c r="BE404" s="19">
        <v>-9600</v>
      </c>
      <c r="BF404" s="19">
        <v>-9800</v>
      </c>
      <c r="BG404" s="19">
        <v>-4800</v>
      </c>
      <c r="BH404" s="19">
        <v>-7300</v>
      </c>
      <c r="BI404" s="19">
        <v>-8000</v>
      </c>
      <c r="BJ404" s="19">
        <v>-7600</v>
      </c>
      <c r="BK404" s="19">
        <v>-9700</v>
      </c>
      <c r="BL404" s="20">
        <v>-12500</v>
      </c>
      <c r="BM404" s="19">
        <v>-12500</v>
      </c>
      <c r="BN404" s="19">
        <v>-12500</v>
      </c>
      <c r="BO404" s="19">
        <v>-12500</v>
      </c>
      <c r="BP404" s="19">
        <v>-12500</v>
      </c>
      <c r="BQ404" s="19">
        <v>-12500</v>
      </c>
    </row>
    <row r="405" spans="1:69" ht="12" customHeight="1" outlineLevel="1">
      <c r="B405" s="1" t="s">
        <v>438</v>
      </c>
      <c r="C405" s="19"/>
      <c r="D405" s="21">
        <v>-7500</v>
      </c>
      <c r="E405" s="21">
        <v>-5700</v>
      </c>
      <c r="F405" s="21">
        <v>-7400</v>
      </c>
      <c r="G405" s="21">
        <v>-6300</v>
      </c>
      <c r="H405" s="21">
        <v>-8800</v>
      </c>
      <c r="I405" s="21">
        <v>-9200</v>
      </c>
      <c r="J405" s="21">
        <v>-7400</v>
      </c>
      <c r="K405" s="21">
        <v>-7700</v>
      </c>
      <c r="L405" s="21">
        <v>-7000</v>
      </c>
      <c r="M405" s="21">
        <v>-7200</v>
      </c>
      <c r="N405" s="21">
        <v>-7100</v>
      </c>
      <c r="O405" s="21">
        <v>-7700</v>
      </c>
      <c r="P405" s="21">
        <v>-8800</v>
      </c>
      <c r="Q405" s="21">
        <v>-5800</v>
      </c>
      <c r="R405" s="21">
        <v>-7000</v>
      </c>
      <c r="S405" s="21">
        <v>-6600</v>
      </c>
      <c r="T405" s="21">
        <v>-7500</v>
      </c>
      <c r="U405" s="21">
        <v>-7000</v>
      </c>
      <c r="V405" s="21">
        <v>-9300</v>
      </c>
      <c r="W405" s="21">
        <v>-7400</v>
      </c>
      <c r="X405" s="21">
        <v>-8200</v>
      </c>
      <c r="Y405" s="21">
        <v>-6800</v>
      </c>
      <c r="Z405" s="21">
        <v>-5600</v>
      </c>
      <c r="AA405" s="21">
        <v>-7500</v>
      </c>
      <c r="AB405" s="21">
        <v>-7400</v>
      </c>
      <c r="AC405" s="21">
        <v>-5800</v>
      </c>
      <c r="AD405" s="21">
        <v>-5600</v>
      </c>
      <c r="AE405" s="21">
        <v>-6400</v>
      </c>
      <c r="AF405" s="21">
        <v>-6500</v>
      </c>
      <c r="AG405" s="24">
        <v>-6300</v>
      </c>
      <c r="AH405" s="19">
        <v>-6529.5069963772557</v>
      </c>
      <c r="AI405" s="19">
        <v>-6768.7815518963689</v>
      </c>
      <c r="AJ405" s="19">
        <v>-6916.3180885604406</v>
      </c>
      <c r="AK405" s="19">
        <v>-7067.3700958969685</v>
      </c>
      <c r="AL405" s="19">
        <v>-7222.0243751129574</v>
      </c>
      <c r="AM405" s="19">
        <v>-7380.3699059060182</v>
      </c>
      <c r="AN405" s="19">
        <v>-7542.4979015907147</v>
      </c>
      <c r="AO405" s="19">
        <v>-7708.5018656271086</v>
      </c>
      <c r="AP405" s="19">
        <v>-7878.4776495872784</v>
      </c>
      <c r="AQ405" s="19">
        <v>-8052.5235125966055</v>
      </c>
      <c r="AR405" s="19"/>
      <c r="AS405" s="21"/>
      <c r="AT405" s="21"/>
      <c r="AU405" s="21"/>
      <c r="AV405" s="21">
        <v>-5800</v>
      </c>
      <c r="AW405" s="21">
        <v>-5500</v>
      </c>
      <c r="AX405" s="19">
        <v>-5700</v>
      </c>
      <c r="AY405" s="19">
        <v>-6300</v>
      </c>
      <c r="AZ405" s="19">
        <v>-9200</v>
      </c>
      <c r="BA405" s="19">
        <v>-7700</v>
      </c>
      <c r="BB405" s="19">
        <v>-7200</v>
      </c>
      <c r="BC405" s="19">
        <v>-7700</v>
      </c>
      <c r="BD405" s="19">
        <v>-5800</v>
      </c>
      <c r="BE405" s="19">
        <v>-6600</v>
      </c>
      <c r="BF405" s="19">
        <v>-7000</v>
      </c>
      <c r="BG405" s="19">
        <v>-7400</v>
      </c>
      <c r="BH405" s="19">
        <v>-6800</v>
      </c>
      <c r="BI405" s="19">
        <v>-7500</v>
      </c>
      <c r="BJ405" s="19">
        <v>-5800</v>
      </c>
      <c r="BK405" s="19">
        <v>-6400</v>
      </c>
      <c r="BL405" s="20">
        <v>-6300</v>
      </c>
      <c r="BM405" s="19">
        <v>-6768.7815518963689</v>
      </c>
      <c r="BN405" s="19">
        <v>-7067.3700958969685</v>
      </c>
      <c r="BO405" s="19">
        <v>-7380.3699059060182</v>
      </c>
      <c r="BP405" s="19">
        <v>-7708.5018656271086</v>
      </c>
      <c r="BQ405" s="19">
        <v>-8052.5235125966055</v>
      </c>
    </row>
    <row r="406" spans="1:69" ht="12" customHeight="1" outlineLevel="1">
      <c r="B406" s="1" t="s">
        <v>439</v>
      </c>
      <c r="C406" s="19"/>
      <c r="D406" s="21">
        <v>-5800</v>
      </c>
      <c r="E406" s="21">
        <v>-6600</v>
      </c>
      <c r="F406" s="21">
        <v>-6000</v>
      </c>
      <c r="G406" s="21">
        <v>-7600</v>
      </c>
      <c r="H406" s="21">
        <v>-6500</v>
      </c>
      <c r="I406" s="21">
        <v>-5700</v>
      </c>
      <c r="J406" s="21">
        <v>-4900</v>
      </c>
      <c r="K406" s="21">
        <v>-5200</v>
      </c>
      <c r="L406" s="21">
        <v>-5300</v>
      </c>
      <c r="M406" s="21">
        <v>-5500</v>
      </c>
      <c r="N406" s="21">
        <v>-5700</v>
      </c>
      <c r="O406" s="21">
        <v>-6200</v>
      </c>
      <c r="P406" s="21">
        <v>-5800</v>
      </c>
      <c r="Q406" s="21">
        <v>-5600</v>
      </c>
      <c r="R406" s="21">
        <v>-7000</v>
      </c>
      <c r="S406" s="21">
        <v>-5800</v>
      </c>
      <c r="T406" s="21">
        <v>-6200</v>
      </c>
      <c r="U406" s="21">
        <v>-6800</v>
      </c>
      <c r="V406" s="21">
        <v>-7500</v>
      </c>
      <c r="W406" s="21">
        <v>-8800</v>
      </c>
      <c r="X406" s="21">
        <v>-9700</v>
      </c>
      <c r="Y406" s="21">
        <v>-8400</v>
      </c>
      <c r="Z406" s="21">
        <v>-7700</v>
      </c>
      <c r="AA406" s="21">
        <v>-9100</v>
      </c>
      <c r="AB406" s="21">
        <v>-10800</v>
      </c>
      <c r="AC406" s="21">
        <v>-13400</v>
      </c>
      <c r="AD406" s="21">
        <v>-15500</v>
      </c>
      <c r="AE406" s="21">
        <v>-13900</v>
      </c>
      <c r="AF406" s="21">
        <v>-16600</v>
      </c>
      <c r="AG406" s="24">
        <v>-17400</v>
      </c>
      <c r="AH406" s="19">
        <v>-18033.876466184804</v>
      </c>
      <c r="AI406" s="19">
        <v>-18694.730000475687</v>
      </c>
      <c r="AJ406" s="19">
        <v>-19102.211863643122</v>
      </c>
      <c r="AK406" s="19">
        <v>-19519.403122001149</v>
      </c>
      <c r="AL406" s="19">
        <v>-19946.54351221674</v>
      </c>
      <c r="AM406" s="19">
        <v>-20383.878787740432</v>
      </c>
      <c r="AN406" s="19">
        <v>-20831.66087106007</v>
      </c>
      <c r="AO406" s="19">
        <v>-21290.148009827251</v>
      </c>
      <c r="AP406" s="19">
        <v>-21759.60493695534</v>
      </c>
      <c r="AQ406" s="19">
        <v>-22240.303034790628</v>
      </c>
      <c r="AR406" s="19"/>
      <c r="AS406" s="21"/>
      <c r="AT406" s="21"/>
      <c r="AU406" s="21"/>
      <c r="AV406" s="21">
        <v>-6700</v>
      </c>
      <c r="AW406" s="21">
        <v>-5100</v>
      </c>
      <c r="AX406" s="19">
        <v>-6600</v>
      </c>
      <c r="AY406" s="19">
        <v>-7600</v>
      </c>
      <c r="AZ406" s="19">
        <v>-5700</v>
      </c>
      <c r="BA406" s="19">
        <v>-5200</v>
      </c>
      <c r="BB406" s="19">
        <v>-5500</v>
      </c>
      <c r="BC406" s="19">
        <v>-6200</v>
      </c>
      <c r="BD406" s="19">
        <v>-5600</v>
      </c>
      <c r="BE406" s="19">
        <v>-5800</v>
      </c>
      <c r="BF406" s="19">
        <v>-6800</v>
      </c>
      <c r="BG406" s="19">
        <v>-8800</v>
      </c>
      <c r="BH406" s="19">
        <v>-8400</v>
      </c>
      <c r="BI406" s="19">
        <v>-9100</v>
      </c>
      <c r="BJ406" s="19">
        <v>-13400</v>
      </c>
      <c r="BK406" s="19">
        <v>-13900</v>
      </c>
      <c r="BL406" s="20">
        <v>-17400</v>
      </c>
      <c r="BM406" s="19">
        <v>-18694.730000475687</v>
      </c>
      <c r="BN406" s="19">
        <v>-19519.403122001149</v>
      </c>
      <c r="BO406" s="19">
        <v>-20383.878787740432</v>
      </c>
      <c r="BP406" s="19">
        <v>-21290.148009827251</v>
      </c>
      <c r="BQ406" s="19">
        <v>-22240.303034790628</v>
      </c>
    </row>
    <row r="407" spans="1:69" ht="12" customHeight="1" outlineLevel="1">
      <c r="B407" s="1" t="s">
        <v>440</v>
      </c>
      <c r="C407" s="19"/>
      <c r="D407" s="19">
        <v>-16031</v>
      </c>
      <c r="E407" s="19">
        <v>-13640</v>
      </c>
      <c r="F407" s="19">
        <v>-11760</v>
      </c>
      <c r="G407" s="19">
        <v>-12068</v>
      </c>
      <c r="H407" s="19">
        <v>-12988</v>
      </c>
      <c r="I407" s="19">
        <v>-13026</v>
      </c>
      <c r="J407" s="19">
        <v>-7380</v>
      </c>
      <c r="K407" s="19">
        <v>-10848</v>
      </c>
      <c r="L407" s="19">
        <v>-17900</v>
      </c>
      <c r="M407" s="19">
        <v>-13404</v>
      </c>
      <c r="N407" s="19">
        <v>-15532</v>
      </c>
      <c r="O407" s="19">
        <v>-16176</v>
      </c>
      <c r="P407" s="19">
        <v>-16590</v>
      </c>
      <c r="Q407" s="19">
        <v>-15155</v>
      </c>
      <c r="R407" s="19">
        <v>-13693</v>
      </c>
      <c r="S407" s="19">
        <v>-14777</v>
      </c>
      <c r="T407" s="19">
        <v>-12660</v>
      </c>
      <c r="U407" s="19">
        <v>-10425</v>
      </c>
      <c r="V407" s="19">
        <v>-7698</v>
      </c>
      <c r="W407" s="19">
        <v>-7157</v>
      </c>
      <c r="X407" s="19">
        <v>-10695</v>
      </c>
      <c r="Y407" s="19">
        <v>-16002</v>
      </c>
      <c r="Z407" s="19">
        <v>-3735</v>
      </c>
      <c r="AA407" s="19">
        <v>-1353</v>
      </c>
      <c r="AB407" s="19">
        <v>-967</v>
      </c>
      <c r="AC407" s="19">
        <v>-1276</v>
      </c>
      <c r="AD407" s="19">
        <v>-1074</v>
      </c>
      <c r="AE407" s="19">
        <v>-1272</v>
      </c>
      <c r="AF407" s="19">
        <v>-1394</v>
      </c>
      <c r="AG407" s="20">
        <v>-1304</v>
      </c>
      <c r="AH407" s="19">
        <v>-1351.5043052818958</v>
      </c>
      <c r="AI407" s="19">
        <v>-1401.0303402655345</v>
      </c>
      <c r="AJ407" s="19">
        <v>-1431.568061505209</v>
      </c>
      <c r="AK407" s="19">
        <v>-1462.8334293729602</v>
      </c>
      <c r="AL407" s="19">
        <v>-1494.844410340841</v>
      </c>
      <c r="AM407" s="19">
        <v>-1527.619421793881</v>
      </c>
      <c r="AN407" s="19">
        <v>-1561.1773434403644</v>
      </c>
      <c r="AO407" s="19">
        <v>-1595.5375290123418</v>
      </c>
      <c r="AP407" s="19">
        <v>-1630.7198182637803</v>
      </c>
      <c r="AQ407" s="19">
        <v>-1666.744549273965</v>
      </c>
      <c r="AR407" s="19"/>
      <c r="AS407" s="19">
        <v>-67980</v>
      </c>
      <c r="AT407" s="19">
        <v>-106211</v>
      </c>
      <c r="AU407" s="19">
        <v>-136389</v>
      </c>
      <c r="AV407" s="19">
        <v>-16450</v>
      </c>
      <c r="AW407" s="19">
        <v>-16644</v>
      </c>
      <c r="AX407" s="19">
        <v>-13640</v>
      </c>
      <c r="AY407" s="19">
        <v>-12068</v>
      </c>
      <c r="AZ407" s="19">
        <v>-13026</v>
      </c>
      <c r="BA407" s="19">
        <v>-10848</v>
      </c>
      <c r="BB407" s="19">
        <v>-13404</v>
      </c>
      <c r="BC407" s="19">
        <v>-16176</v>
      </c>
      <c r="BD407" s="19">
        <v>-15155</v>
      </c>
      <c r="BE407" s="19">
        <v>-14777</v>
      </c>
      <c r="BF407" s="19">
        <v>-10425</v>
      </c>
      <c r="BG407" s="19">
        <v>-7157</v>
      </c>
      <c r="BH407" s="19">
        <v>-16002</v>
      </c>
      <c r="BI407" s="19">
        <v>-1353</v>
      </c>
      <c r="BJ407" s="19">
        <v>-1276</v>
      </c>
      <c r="BK407" s="19">
        <v>-1272</v>
      </c>
      <c r="BL407" s="20">
        <v>-1304</v>
      </c>
      <c r="BM407" s="19">
        <v>-1401.0303402655345</v>
      </c>
      <c r="BN407" s="19">
        <v>-1462.8334293729602</v>
      </c>
      <c r="BO407" s="19">
        <v>-1527.619421793881</v>
      </c>
      <c r="BP407" s="19">
        <v>-1595.5375290123418</v>
      </c>
      <c r="BQ407" s="19">
        <v>-1666.744549273965</v>
      </c>
    </row>
    <row r="408" spans="1:69" ht="12" hidden="1" customHeight="1" outlineLevel="2">
      <c r="B408" s="1" t="s">
        <v>173</v>
      </c>
      <c r="D408" s="21"/>
      <c r="E408" s="21"/>
      <c r="F408" s="21"/>
      <c r="G408" s="21"/>
      <c r="H408" s="21"/>
      <c r="I408" s="21"/>
      <c r="J408" s="21"/>
      <c r="K408" s="21"/>
      <c r="L408" s="21"/>
      <c r="M408" s="21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20"/>
      <c r="AH408" s="19"/>
      <c r="AI408" s="19"/>
      <c r="AJ408" s="19"/>
      <c r="AK408" s="19"/>
      <c r="AL408" s="19"/>
      <c r="AM408" s="19"/>
      <c r="AN408" s="19"/>
      <c r="AO408" s="19"/>
      <c r="AP408" s="19"/>
      <c r="AQ408" s="19"/>
      <c r="AS408" s="21"/>
      <c r="AT408" s="21"/>
      <c r="AU408" s="21"/>
      <c r="AV408" s="21"/>
      <c r="AW408" s="21"/>
      <c r="AX408" s="19">
        <v>0</v>
      </c>
      <c r="AY408" s="19">
        <v>0</v>
      </c>
      <c r="AZ408" s="19">
        <v>0</v>
      </c>
      <c r="BA408" s="19">
        <v>0</v>
      </c>
      <c r="BB408" s="19">
        <v>0</v>
      </c>
      <c r="BC408" s="19">
        <v>0</v>
      </c>
      <c r="BD408" s="19">
        <v>0</v>
      </c>
      <c r="BE408" s="19">
        <v>0</v>
      </c>
      <c r="BF408" s="19">
        <v>0</v>
      </c>
      <c r="BG408" s="19">
        <v>0</v>
      </c>
      <c r="BH408" s="19">
        <v>0</v>
      </c>
      <c r="BI408" s="19">
        <v>0</v>
      </c>
      <c r="BJ408" s="19">
        <v>0</v>
      </c>
      <c r="BK408" s="19">
        <v>0</v>
      </c>
      <c r="BL408" s="20">
        <v>0</v>
      </c>
      <c r="BM408" s="19">
        <v>0</v>
      </c>
      <c r="BN408" s="19">
        <v>0</v>
      </c>
      <c r="BO408" s="19">
        <v>0</v>
      </c>
      <c r="BP408" s="19">
        <v>0</v>
      </c>
      <c r="BQ408" s="19">
        <v>0</v>
      </c>
    </row>
    <row r="409" spans="1:69" ht="12" hidden="1" customHeight="1" outlineLevel="2">
      <c r="B409" s="1" t="s">
        <v>173</v>
      </c>
      <c r="D409" s="21"/>
      <c r="E409" s="21"/>
      <c r="F409" s="21"/>
      <c r="G409" s="21"/>
      <c r="H409" s="21"/>
      <c r="I409" s="21"/>
      <c r="J409" s="21"/>
      <c r="K409" s="21"/>
      <c r="L409" s="21"/>
      <c r="M409" s="21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20"/>
      <c r="AH409" s="19"/>
      <c r="AI409" s="19"/>
      <c r="AJ409" s="19"/>
      <c r="AK409" s="19"/>
      <c r="AL409" s="19"/>
      <c r="AM409" s="19"/>
      <c r="AN409" s="19"/>
      <c r="AO409" s="19"/>
      <c r="AP409" s="19"/>
      <c r="AQ409" s="19"/>
      <c r="AS409" s="21"/>
      <c r="AT409" s="21"/>
      <c r="AU409" s="21"/>
      <c r="AV409" s="21"/>
      <c r="AW409" s="21"/>
      <c r="AX409" s="19">
        <v>0</v>
      </c>
      <c r="AY409" s="19">
        <v>0</v>
      </c>
      <c r="AZ409" s="19">
        <v>0</v>
      </c>
      <c r="BA409" s="19">
        <v>0</v>
      </c>
      <c r="BB409" s="19">
        <v>0</v>
      </c>
      <c r="BC409" s="19">
        <v>0</v>
      </c>
      <c r="BD409" s="19">
        <v>0</v>
      </c>
      <c r="BE409" s="19">
        <v>0</v>
      </c>
      <c r="BF409" s="19">
        <v>0</v>
      </c>
      <c r="BG409" s="19">
        <v>0</v>
      </c>
      <c r="BH409" s="19">
        <v>0</v>
      </c>
      <c r="BI409" s="19">
        <v>0</v>
      </c>
      <c r="BJ409" s="19">
        <v>0</v>
      </c>
      <c r="BK409" s="19">
        <v>0</v>
      </c>
      <c r="BL409" s="20">
        <v>0</v>
      </c>
      <c r="BM409" s="19">
        <v>0</v>
      </c>
      <c r="BN409" s="19">
        <v>0</v>
      </c>
      <c r="BO409" s="19">
        <v>0</v>
      </c>
      <c r="BP409" s="19">
        <v>0</v>
      </c>
      <c r="BQ409" s="19">
        <v>0</v>
      </c>
    </row>
    <row r="410" spans="1:69" ht="12" hidden="1" customHeight="1" outlineLevel="2">
      <c r="B410" s="1" t="s">
        <v>173</v>
      </c>
      <c r="D410" s="21"/>
      <c r="E410" s="21"/>
      <c r="F410" s="21"/>
      <c r="G410" s="21"/>
      <c r="H410" s="21"/>
      <c r="I410" s="21"/>
      <c r="J410" s="21"/>
      <c r="K410" s="21"/>
      <c r="L410" s="21"/>
      <c r="M410" s="21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20"/>
      <c r="AH410" s="19"/>
      <c r="AI410" s="19"/>
      <c r="AJ410" s="19"/>
      <c r="AK410" s="19"/>
      <c r="AL410" s="19"/>
      <c r="AM410" s="19"/>
      <c r="AN410" s="19"/>
      <c r="AO410" s="19"/>
      <c r="AP410" s="19"/>
      <c r="AQ410" s="19"/>
      <c r="AS410" s="21"/>
      <c r="AT410" s="21"/>
      <c r="AU410" s="21"/>
      <c r="AV410" s="21"/>
      <c r="AW410" s="21"/>
      <c r="AX410" s="19">
        <v>0</v>
      </c>
      <c r="AY410" s="19">
        <v>0</v>
      </c>
      <c r="AZ410" s="19">
        <v>0</v>
      </c>
      <c r="BA410" s="19">
        <v>0</v>
      </c>
      <c r="BB410" s="19">
        <v>0</v>
      </c>
      <c r="BC410" s="19">
        <v>0</v>
      </c>
      <c r="BD410" s="19">
        <v>0</v>
      </c>
      <c r="BE410" s="19">
        <v>0</v>
      </c>
      <c r="BF410" s="19">
        <v>0</v>
      </c>
      <c r="BG410" s="19">
        <v>0</v>
      </c>
      <c r="BH410" s="19">
        <v>0</v>
      </c>
      <c r="BI410" s="19">
        <v>0</v>
      </c>
      <c r="BJ410" s="19">
        <v>0</v>
      </c>
      <c r="BK410" s="19">
        <v>0</v>
      </c>
      <c r="BL410" s="20">
        <v>0</v>
      </c>
      <c r="BM410" s="19">
        <v>0</v>
      </c>
      <c r="BN410" s="19">
        <v>0</v>
      </c>
      <c r="BO410" s="19">
        <v>0</v>
      </c>
      <c r="BP410" s="19">
        <v>0</v>
      </c>
      <c r="BQ410" s="19">
        <v>0</v>
      </c>
    </row>
    <row r="411" spans="1:69" ht="12" hidden="1" customHeight="1" outlineLevel="2">
      <c r="B411" s="1" t="s">
        <v>173</v>
      </c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20"/>
      <c r="AH411" s="19"/>
      <c r="AI411" s="19"/>
      <c r="AJ411" s="19"/>
      <c r="AK411" s="19"/>
      <c r="AL411" s="19"/>
      <c r="AM411" s="19"/>
      <c r="AN411" s="19"/>
      <c r="AO411" s="19"/>
      <c r="AP411" s="19"/>
      <c r="AQ411" s="19"/>
      <c r="AS411" s="21"/>
      <c r="AT411" s="21"/>
      <c r="AU411" s="21"/>
      <c r="AV411" s="21"/>
      <c r="AW411" s="21"/>
      <c r="AX411" s="19">
        <v>0</v>
      </c>
      <c r="AY411" s="19">
        <v>0</v>
      </c>
      <c r="AZ411" s="19">
        <v>0</v>
      </c>
      <c r="BA411" s="19">
        <v>0</v>
      </c>
      <c r="BB411" s="19">
        <v>0</v>
      </c>
      <c r="BC411" s="19">
        <v>0</v>
      </c>
      <c r="BD411" s="19">
        <v>0</v>
      </c>
      <c r="BE411" s="19">
        <v>0</v>
      </c>
      <c r="BF411" s="19">
        <v>0</v>
      </c>
      <c r="BG411" s="19">
        <v>0</v>
      </c>
      <c r="BH411" s="19">
        <v>0</v>
      </c>
      <c r="BI411" s="19">
        <v>0</v>
      </c>
      <c r="BJ411" s="19">
        <v>0</v>
      </c>
      <c r="BK411" s="19">
        <v>0</v>
      </c>
      <c r="BL411" s="20">
        <v>0</v>
      </c>
      <c r="BM411" s="19">
        <v>0</v>
      </c>
      <c r="BN411" s="19">
        <v>0</v>
      </c>
      <c r="BO411" s="19">
        <v>0</v>
      </c>
      <c r="BP411" s="19">
        <v>0</v>
      </c>
      <c r="BQ411" s="19">
        <v>0</v>
      </c>
    </row>
    <row r="412" spans="1:69" ht="12" hidden="1" customHeight="1" outlineLevel="2">
      <c r="B412" s="1" t="s">
        <v>173</v>
      </c>
      <c r="D412" s="21"/>
      <c r="E412" s="21"/>
      <c r="F412" s="21"/>
      <c r="G412" s="21"/>
      <c r="H412" s="21"/>
      <c r="I412" s="21"/>
      <c r="J412" s="21"/>
      <c r="K412" s="21"/>
      <c r="L412" s="21"/>
      <c r="M412" s="21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20"/>
      <c r="AH412" s="19"/>
      <c r="AI412" s="19"/>
      <c r="AJ412" s="19"/>
      <c r="AK412" s="19"/>
      <c r="AL412" s="19"/>
      <c r="AM412" s="19"/>
      <c r="AN412" s="19"/>
      <c r="AO412" s="19"/>
      <c r="AP412" s="19"/>
      <c r="AQ412" s="19"/>
      <c r="AS412" s="21"/>
      <c r="AT412" s="21"/>
      <c r="AU412" s="21"/>
      <c r="AV412" s="21"/>
      <c r="AW412" s="21"/>
      <c r="AX412" s="19">
        <v>0</v>
      </c>
      <c r="AY412" s="19">
        <v>0</v>
      </c>
      <c r="AZ412" s="19">
        <v>0</v>
      </c>
      <c r="BA412" s="19">
        <v>0</v>
      </c>
      <c r="BB412" s="19">
        <v>0</v>
      </c>
      <c r="BC412" s="19">
        <v>0</v>
      </c>
      <c r="BD412" s="19">
        <v>0</v>
      </c>
      <c r="BE412" s="19">
        <v>0</v>
      </c>
      <c r="BF412" s="19">
        <v>0</v>
      </c>
      <c r="BG412" s="19">
        <v>0</v>
      </c>
      <c r="BH412" s="19">
        <v>0</v>
      </c>
      <c r="BI412" s="19">
        <v>0</v>
      </c>
      <c r="BJ412" s="19">
        <v>0</v>
      </c>
      <c r="BK412" s="19">
        <v>0</v>
      </c>
      <c r="BL412" s="20">
        <v>0</v>
      </c>
      <c r="BM412" s="19">
        <v>0</v>
      </c>
      <c r="BN412" s="19">
        <v>0</v>
      </c>
      <c r="BO412" s="19">
        <v>0</v>
      </c>
      <c r="BP412" s="19">
        <v>0</v>
      </c>
      <c r="BQ412" s="19">
        <v>0</v>
      </c>
    </row>
    <row r="413" spans="1:69" ht="12" hidden="1" customHeight="1" outlineLevel="2">
      <c r="B413" s="1" t="s">
        <v>173</v>
      </c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20"/>
      <c r="AH413" s="19"/>
      <c r="AI413" s="19"/>
      <c r="AJ413" s="19"/>
      <c r="AK413" s="19"/>
      <c r="AL413" s="19"/>
      <c r="AM413" s="19"/>
      <c r="AN413" s="19"/>
      <c r="AO413" s="19"/>
      <c r="AP413" s="19"/>
      <c r="AQ413" s="19"/>
      <c r="AS413" s="21"/>
      <c r="AT413" s="21"/>
      <c r="AU413" s="21"/>
      <c r="AV413" s="21"/>
      <c r="AW413" s="21"/>
      <c r="AX413" s="19">
        <v>0</v>
      </c>
      <c r="AY413" s="19">
        <v>0</v>
      </c>
      <c r="AZ413" s="19">
        <v>0</v>
      </c>
      <c r="BA413" s="19">
        <v>0</v>
      </c>
      <c r="BB413" s="19">
        <v>0</v>
      </c>
      <c r="BC413" s="19">
        <v>0</v>
      </c>
      <c r="BD413" s="19">
        <v>0</v>
      </c>
      <c r="BE413" s="19">
        <v>0</v>
      </c>
      <c r="BF413" s="19">
        <v>0</v>
      </c>
      <c r="BG413" s="19">
        <v>0</v>
      </c>
      <c r="BH413" s="19">
        <v>0</v>
      </c>
      <c r="BI413" s="19">
        <v>0</v>
      </c>
      <c r="BJ413" s="19">
        <v>0</v>
      </c>
      <c r="BK413" s="19">
        <v>0</v>
      </c>
      <c r="BL413" s="20">
        <v>0</v>
      </c>
      <c r="BM413" s="19">
        <v>0</v>
      </c>
      <c r="BN413" s="19">
        <v>0</v>
      </c>
      <c r="BO413" s="19">
        <v>0</v>
      </c>
      <c r="BP413" s="19">
        <v>0</v>
      </c>
      <c r="BQ413" s="19">
        <v>0</v>
      </c>
    </row>
    <row r="414" spans="1:69" ht="12" hidden="1" customHeight="1" outlineLevel="2">
      <c r="B414" s="1" t="s">
        <v>173</v>
      </c>
      <c r="D414" s="21"/>
      <c r="E414" s="21"/>
      <c r="F414" s="21"/>
      <c r="G414" s="21"/>
      <c r="H414" s="21"/>
      <c r="I414" s="21"/>
      <c r="J414" s="21"/>
      <c r="K414" s="21"/>
      <c r="L414" s="21"/>
      <c r="M414" s="21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20"/>
      <c r="AH414" s="19"/>
      <c r="AI414" s="19"/>
      <c r="AJ414" s="19"/>
      <c r="AK414" s="19"/>
      <c r="AL414" s="19"/>
      <c r="AM414" s="19"/>
      <c r="AN414" s="19"/>
      <c r="AO414" s="19"/>
      <c r="AP414" s="19"/>
      <c r="AQ414" s="19"/>
      <c r="AS414" s="21"/>
      <c r="AT414" s="21"/>
      <c r="AU414" s="21"/>
      <c r="AV414" s="21"/>
      <c r="AW414" s="21"/>
      <c r="AX414" s="19">
        <v>0</v>
      </c>
      <c r="AY414" s="19">
        <v>0</v>
      </c>
      <c r="AZ414" s="19">
        <v>0</v>
      </c>
      <c r="BA414" s="19">
        <v>0</v>
      </c>
      <c r="BB414" s="19">
        <v>0</v>
      </c>
      <c r="BC414" s="19">
        <v>0</v>
      </c>
      <c r="BD414" s="19">
        <v>0</v>
      </c>
      <c r="BE414" s="19">
        <v>0</v>
      </c>
      <c r="BF414" s="19">
        <v>0</v>
      </c>
      <c r="BG414" s="19">
        <v>0</v>
      </c>
      <c r="BH414" s="19">
        <v>0</v>
      </c>
      <c r="BI414" s="19">
        <v>0</v>
      </c>
      <c r="BJ414" s="19">
        <v>0</v>
      </c>
      <c r="BK414" s="19">
        <v>0</v>
      </c>
      <c r="BL414" s="20">
        <v>0</v>
      </c>
      <c r="BM414" s="19">
        <v>0</v>
      </c>
      <c r="BN414" s="19">
        <v>0</v>
      </c>
      <c r="BO414" s="19">
        <v>0</v>
      </c>
      <c r="BP414" s="19">
        <v>0</v>
      </c>
      <c r="BQ414" s="19">
        <v>0</v>
      </c>
    </row>
    <row r="415" spans="1:69" ht="12" hidden="1" customHeight="1" outlineLevel="2">
      <c r="B415" s="1" t="s">
        <v>173</v>
      </c>
      <c r="D415" s="21"/>
      <c r="E415" s="21"/>
      <c r="F415" s="21"/>
      <c r="G415" s="21"/>
      <c r="H415" s="21"/>
      <c r="I415" s="21"/>
      <c r="J415" s="21"/>
      <c r="K415" s="21"/>
      <c r="L415" s="21"/>
      <c r="M415" s="21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20"/>
      <c r="AH415" s="19"/>
      <c r="AI415" s="19"/>
      <c r="AJ415" s="19"/>
      <c r="AK415" s="19"/>
      <c r="AL415" s="19"/>
      <c r="AM415" s="19"/>
      <c r="AN415" s="19"/>
      <c r="AO415" s="19"/>
      <c r="AP415" s="19"/>
      <c r="AQ415" s="19"/>
      <c r="AS415" s="21"/>
      <c r="AT415" s="21"/>
      <c r="AU415" s="21"/>
      <c r="AV415" s="21"/>
      <c r="AW415" s="21"/>
      <c r="AX415" s="19">
        <v>0</v>
      </c>
      <c r="AY415" s="19">
        <v>0</v>
      </c>
      <c r="AZ415" s="19">
        <v>0</v>
      </c>
      <c r="BA415" s="19">
        <v>0</v>
      </c>
      <c r="BB415" s="19">
        <v>0</v>
      </c>
      <c r="BC415" s="19">
        <v>0</v>
      </c>
      <c r="BD415" s="19">
        <v>0</v>
      </c>
      <c r="BE415" s="19">
        <v>0</v>
      </c>
      <c r="BF415" s="19">
        <v>0</v>
      </c>
      <c r="BG415" s="19">
        <v>0</v>
      </c>
      <c r="BH415" s="19">
        <v>0</v>
      </c>
      <c r="BI415" s="19">
        <v>0</v>
      </c>
      <c r="BJ415" s="19">
        <v>0</v>
      </c>
      <c r="BK415" s="19">
        <v>0</v>
      </c>
      <c r="BL415" s="20">
        <v>0</v>
      </c>
      <c r="BM415" s="19">
        <v>0</v>
      </c>
      <c r="BN415" s="19">
        <v>0</v>
      </c>
      <c r="BO415" s="19">
        <v>0</v>
      </c>
      <c r="BP415" s="19">
        <v>0</v>
      </c>
      <c r="BQ415" s="19">
        <v>0</v>
      </c>
    </row>
    <row r="416" spans="1:69" ht="12" hidden="1" customHeight="1" outlineLevel="2">
      <c r="B416" s="1" t="s">
        <v>173</v>
      </c>
      <c r="D416" s="21"/>
      <c r="E416" s="21"/>
      <c r="F416" s="21"/>
      <c r="G416" s="21"/>
      <c r="H416" s="21"/>
      <c r="I416" s="21"/>
      <c r="J416" s="21"/>
      <c r="K416" s="21"/>
      <c r="L416" s="21"/>
      <c r="M416" s="21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20"/>
      <c r="AH416" s="19"/>
      <c r="AI416" s="19"/>
      <c r="AJ416" s="19"/>
      <c r="AK416" s="19"/>
      <c r="AL416" s="19"/>
      <c r="AM416" s="19"/>
      <c r="AN416" s="19"/>
      <c r="AO416" s="19"/>
      <c r="AP416" s="19"/>
      <c r="AQ416" s="19"/>
      <c r="AS416" s="21"/>
      <c r="AT416" s="21"/>
      <c r="AU416" s="21"/>
      <c r="AV416" s="21"/>
      <c r="AW416" s="21"/>
      <c r="AX416" s="19">
        <v>0</v>
      </c>
      <c r="AY416" s="19">
        <v>0</v>
      </c>
      <c r="AZ416" s="19">
        <v>0</v>
      </c>
      <c r="BA416" s="19">
        <v>0</v>
      </c>
      <c r="BB416" s="19">
        <v>0</v>
      </c>
      <c r="BC416" s="19">
        <v>0</v>
      </c>
      <c r="BD416" s="19">
        <v>0</v>
      </c>
      <c r="BE416" s="19">
        <v>0</v>
      </c>
      <c r="BF416" s="19">
        <v>0</v>
      </c>
      <c r="BG416" s="19">
        <v>0</v>
      </c>
      <c r="BH416" s="19">
        <v>0</v>
      </c>
      <c r="BI416" s="19">
        <v>0</v>
      </c>
      <c r="BJ416" s="19">
        <v>0</v>
      </c>
      <c r="BK416" s="19">
        <v>0</v>
      </c>
      <c r="BL416" s="20">
        <v>0</v>
      </c>
      <c r="BM416" s="19">
        <v>0</v>
      </c>
      <c r="BN416" s="19">
        <v>0</v>
      </c>
      <c r="BO416" s="19">
        <v>0</v>
      </c>
      <c r="BP416" s="19">
        <v>0</v>
      </c>
      <c r="BQ416" s="19">
        <v>0</v>
      </c>
    </row>
    <row r="417" spans="1:69" ht="12" hidden="1" customHeight="1" outlineLevel="2">
      <c r="B417" s="1" t="s">
        <v>173</v>
      </c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20"/>
      <c r="AH417" s="19"/>
      <c r="AI417" s="19"/>
      <c r="AJ417" s="19"/>
      <c r="AK417" s="19"/>
      <c r="AL417" s="19"/>
      <c r="AM417" s="19"/>
      <c r="AN417" s="19"/>
      <c r="AO417" s="19"/>
      <c r="AP417" s="19"/>
      <c r="AQ417" s="19"/>
      <c r="AS417" s="21"/>
      <c r="AT417" s="21"/>
      <c r="AU417" s="21"/>
      <c r="AV417" s="21"/>
      <c r="AW417" s="21"/>
      <c r="AX417" s="19">
        <v>0</v>
      </c>
      <c r="AY417" s="19">
        <v>0</v>
      </c>
      <c r="AZ417" s="19">
        <v>0</v>
      </c>
      <c r="BA417" s="19">
        <v>0</v>
      </c>
      <c r="BB417" s="19">
        <v>0</v>
      </c>
      <c r="BC417" s="19">
        <v>0</v>
      </c>
      <c r="BD417" s="19">
        <v>0</v>
      </c>
      <c r="BE417" s="19">
        <v>0</v>
      </c>
      <c r="BF417" s="19">
        <v>0</v>
      </c>
      <c r="BG417" s="19">
        <v>0</v>
      </c>
      <c r="BH417" s="19">
        <v>0</v>
      </c>
      <c r="BI417" s="19">
        <v>0</v>
      </c>
      <c r="BJ417" s="19">
        <v>0</v>
      </c>
      <c r="BK417" s="19">
        <v>0</v>
      </c>
      <c r="BL417" s="20">
        <v>0</v>
      </c>
      <c r="BM417" s="19">
        <v>0</v>
      </c>
      <c r="BN417" s="19">
        <v>0</v>
      </c>
      <c r="BO417" s="19">
        <v>0</v>
      </c>
      <c r="BP417" s="19">
        <v>0</v>
      </c>
      <c r="BQ417" s="19">
        <v>0</v>
      </c>
    </row>
    <row r="418" spans="1:69" s="9" customFormat="1" ht="12" customHeight="1" outlineLevel="1" collapsed="1">
      <c r="A418" s="91"/>
      <c r="B418" s="9" t="s">
        <v>441</v>
      </c>
      <c r="C418" s="17"/>
      <c r="D418" s="17">
        <v>73000</v>
      </c>
      <c r="E418" s="17">
        <v>76100</v>
      </c>
      <c r="F418" s="17">
        <v>86200</v>
      </c>
      <c r="G418" s="17">
        <v>88300</v>
      </c>
      <c r="H418" s="17">
        <v>91600</v>
      </c>
      <c r="I418" s="17">
        <v>86200</v>
      </c>
      <c r="J418" s="17">
        <v>88400</v>
      </c>
      <c r="K418" s="17">
        <v>87600</v>
      </c>
      <c r="L418" s="17">
        <v>93800</v>
      </c>
      <c r="M418" s="17">
        <v>92600</v>
      </c>
      <c r="N418" s="17">
        <v>97900</v>
      </c>
      <c r="O418" s="17">
        <v>113200</v>
      </c>
      <c r="P418" s="17">
        <v>123700</v>
      </c>
      <c r="Q418" s="17">
        <v>130800</v>
      </c>
      <c r="R418" s="17">
        <v>122400</v>
      </c>
      <c r="S418" s="17">
        <v>120800</v>
      </c>
      <c r="T418" s="17">
        <v>123900</v>
      </c>
      <c r="U418" s="17">
        <v>128800</v>
      </c>
      <c r="V418" s="17">
        <v>134400</v>
      </c>
      <c r="W418" s="17">
        <v>140500</v>
      </c>
      <c r="X418" s="17">
        <v>146400</v>
      </c>
      <c r="Y418" s="17">
        <v>161600</v>
      </c>
      <c r="Z418" s="17">
        <v>172500</v>
      </c>
      <c r="AA418" s="17">
        <v>186400</v>
      </c>
      <c r="AB418" s="17">
        <v>224900</v>
      </c>
      <c r="AC418" s="17">
        <v>265900</v>
      </c>
      <c r="AD418" s="17">
        <v>306500</v>
      </c>
      <c r="AE418" s="17">
        <v>309000</v>
      </c>
      <c r="AF418" s="17">
        <v>317000</v>
      </c>
      <c r="AG418" s="18">
        <v>330100</v>
      </c>
      <c r="AH418" s="17">
        <v>342125.43801652896</v>
      </c>
      <c r="AI418" s="17">
        <v>354662.66512396699</v>
      </c>
      <c r="AJ418" s="17">
        <v>362393.11127520667</v>
      </c>
      <c r="AK418" s="17">
        <v>370307.7569294587</v>
      </c>
      <c r="AL418" s="17">
        <v>378411.15019441076</v>
      </c>
      <c r="AM418" s="17">
        <v>386707.95332374243</v>
      </c>
      <c r="AN418" s="17">
        <v>395202.94560557074</v>
      </c>
      <c r="AO418" s="17">
        <v>403901.02632436651</v>
      </c>
      <c r="AP418" s="17">
        <v>412807.21779821604</v>
      </c>
      <c r="AQ418" s="17">
        <v>421926.66849335557</v>
      </c>
      <c r="AR418" s="17"/>
      <c r="AS418" s="17">
        <v>0</v>
      </c>
      <c r="AT418" s="17">
        <v>0</v>
      </c>
      <c r="AU418" s="17">
        <v>0</v>
      </c>
      <c r="AV418" s="17">
        <v>82500</v>
      </c>
      <c r="AW418" s="17">
        <v>78400</v>
      </c>
      <c r="AX418" s="17">
        <v>76100</v>
      </c>
      <c r="AY418" s="17">
        <v>88300</v>
      </c>
      <c r="AZ418" s="17">
        <v>86200</v>
      </c>
      <c r="BA418" s="17">
        <v>87600</v>
      </c>
      <c r="BB418" s="17">
        <v>92600</v>
      </c>
      <c r="BC418" s="17">
        <v>113200</v>
      </c>
      <c r="BD418" s="17">
        <v>130800</v>
      </c>
      <c r="BE418" s="17">
        <v>120800</v>
      </c>
      <c r="BF418" s="17">
        <v>128800</v>
      </c>
      <c r="BG418" s="17">
        <v>140500</v>
      </c>
      <c r="BH418" s="17">
        <v>161600</v>
      </c>
      <c r="BI418" s="17">
        <v>186400</v>
      </c>
      <c r="BJ418" s="17">
        <v>265900</v>
      </c>
      <c r="BK418" s="17">
        <v>309000</v>
      </c>
      <c r="BL418" s="18">
        <v>330100</v>
      </c>
      <c r="BM418" s="17">
        <v>354662.66512396693</v>
      </c>
      <c r="BN418" s="17">
        <v>370307.75692945876</v>
      </c>
      <c r="BO418" s="17">
        <v>386707.95332374243</v>
      </c>
      <c r="BP418" s="17">
        <v>403901.02632436651</v>
      </c>
      <c r="BQ418" s="17">
        <v>421926.66849335551</v>
      </c>
    </row>
    <row r="419" spans="1:69" ht="12" customHeight="1" outlineLevel="1"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77"/>
      <c r="U419" s="177"/>
      <c r="V419" s="177"/>
      <c r="W419" s="177"/>
      <c r="X419" s="177"/>
      <c r="Y419" s="177"/>
      <c r="Z419" s="177"/>
      <c r="AA419" s="177"/>
      <c r="AB419" s="177"/>
      <c r="AC419" s="177"/>
      <c r="AD419" s="177"/>
      <c r="AE419" s="177"/>
      <c r="AF419" s="177"/>
      <c r="AG419" s="178"/>
      <c r="AH419" s="19"/>
      <c r="AI419" s="19"/>
      <c r="AJ419" s="19"/>
      <c r="AK419" s="19"/>
      <c r="AL419" s="19"/>
      <c r="AM419" s="19"/>
      <c r="AN419" s="19"/>
      <c r="AO419" s="19"/>
      <c r="AP419" s="19"/>
      <c r="AQ419" s="19"/>
      <c r="AR419" s="19"/>
      <c r="AS419" s="19"/>
      <c r="AT419" s="19"/>
      <c r="AU419" s="19"/>
      <c r="AV419" s="19"/>
      <c r="AW419" s="19"/>
      <c r="AX419" s="19"/>
      <c r="AY419" s="19"/>
      <c r="AZ419" s="19"/>
      <c r="BA419" s="19"/>
      <c r="BB419" s="19"/>
      <c r="BC419" s="19"/>
      <c r="BD419" s="19"/>
      <c r="BE419" s="19"/>
      <c r="BF419" s="19"/>
      <c r="BG419" s="19"/>
      <c r="BH419" s="19"/>
      <c r="BI419" s="19"/>
      <c r="BJ419" s="19"/>
      <c r="BK419" s="19"/>
      <c r="BL419" s="20"/>
      <c r="BM419" s="19"/>
      <c r="BN419" s="19"/>
      <c r="BO419" s="19"/>
      <c r="BP419" s="19"/>
      <c r="BQ419" s="19"/>
    </row>
    <row r="420" spans="1:69" ht="12" customHeight="1" outlineLevel="1">
      <c r="B420" s="1" t="s">
        <v>442</v>
      </c>
      <c r="C420" s="19"/>
      <c r="D420" s="21">
        <v>7368</v>
      </c>
      <c r="E420" s="21">
        <v>5432</v>
      </c>
      <c r="F420" s="21">
        <v>5811</v>
      </c>
      <c r="G420" s="21">
        <v>5808</v>
      </c>
      <c r="H420" s="21">
        <v>4425</v>
      </c>
      <c r="I420" s="21">
        <v>3615</v>
      </c>
      <c r="J420" s="21">
        <v>3641</v>
      </c>
      <c r="K420" s="21">
        <v>1497</v>
      </c>
      <c r="L420" s="21">
        <v>3485</v>
      </c>
      <c r="M420" s="21">
        <v>2762</v>
      </c>
      <c r="N420" s="21">
        <v>4118</v>
      </c>
      <c r="O420" s="21">
        <v>5295</v>
      </c>
      <c r="P420" s="21">
        <v>8702</v>
      </c>
      <c r="Q420" s="21">
        <v>5030</v>
      </c>
      <c r="R420" s="21">
        <v>5714</v>
      </c>
      <c r="S420" s="21">
        <v>5067</v>
      </c>
      <c r="T420" s="21">
        <v>7451</v>
      </c>
      <c r="U420" s="21">
        <v>8061</v>
      </c>
      <c r="V420" s="21">
        <v>7197</v>
      </c>
      <c r="W420" s="21">
        <v>4838</v>
      </c>
      <c r="X420" s="21">
        <v>8146</v>
      </c>
      <c r="Y420" s="21">
        <v>2334</v>
      </c>
      <c r="Z420" s="21">
        <v>4961</v>
      </c>
      <c r="AA420" s="21">
        <v>4542</v>
      </c>
      <c r="AB420" s="21">
        <v>13809</v>
      </c>
      <c r="AC420" s="21">
        <v>16947</v>
      </c>
      <c r="AD420" s="21">
        <v>22410</v>
      </c>
      <c r="AE420" s="21">
        <v>18737</v>
      </c>
      <c r="AF420" s="21">
        <v>13507</v>
      </c>
      <c r="AG420" s="24">
        <v>12599</v>
      </c>
      <c r="AH420" s="19">
        <v>13067.55785123967</v>
      </c>
      <c r="AI420" s="19">
        <v>13556.216834297526</v>
      </c>
      <c r="AJ420" s="19">
        <v>13852.104427390503</v>
      </c>
      <c r="AK420" s="19">
        <v>14154.959032033157</v>
      </c>
      <c r="AL420" s="19">
        <v>14464.950521731456</v>
      </c>
      <c r="AM420" s="19">
        <v>14782.252973811188</v>
      </c>
      <c r="AN420" s="19">
        <v>15107.044774083277</v>
      </c>
      <c r="AO420" s="19">
        <v>15439.508724121439</v>
      </c>
      <c r="AP420" s="19">
        <v>15779.832151217413</v>
      </c>
      <c r="AQ420" s="19">
        <v>16128.207021080718</v>
      </c>
      <c r="AR420" s="19"/>
      <c r="AS420" s="21">
        <v>7681</v>
      </c>
      <c r="AT420" s="21">
        <v>10057</v>
      </c>
      <c r="AU420" s="21">
        <v>15922</v>
      </c>
      <c r="AV420" s="21">
        <v>11825</v>
      </c>
      <c r="AW420" s="21">
        <v>2161</v>
      </c>
      <c r="AX420" s="19">
        <v>5432</v>
      </c>
      <c r="AY420" s="19">
        <v>5808</v>
      </c>
      <c r="AZ420" s="19">
        <v>3615</v>
      </c>
      <c r="BA420" s="19">
        <v>1497</v>
      </c>
      <c r="BB420" s="19">
        <v>2762</v>
      </c>
      <c r="BC420" s="19">
        <v>5295</v>
      </c>
      <c r="BD420" s="19">
        <v>5030</v>
      </c>
      <c r="BE420" s="19">
        <v>5067</v>
      </c>
      <c r="BF420" s="19">
        <v>8061</v>
      </c>
      <c r="BG420" s="19">
        <v>4838</v>
      </c>
      <c r="BH420" s="19">
        <v>2334</v>
      </c>
      <c r="BI420" s="19">
        <v>4542</v>
      </c>
      <c r="BJ420" s="19">
        <v>16947</v>
      </c>
      <c r="BK420" s="19">
        <v>18737</v>
      </c>
      <c r="BL420" s="20">
        <v>12599</v>
      </c>
      <c r="BM420" s="19">
        <v>13556.216834297526</v>
      </c>
      <c r="BN420" s="19">
        <v>14154.959032033157</v>
      </c>
      <c r="BO420" s="19">
        <v>14782.252973811188</v>
      </c>
      <c r="BP420" s="19">
        <v>15439.508724121439</v>
      </c>
      <c r="BQ420" s="19">
        <v>16128.207021080718</v>
      </c>
    </row>
    <row r="421" spans="1:69" ht="12" customHeight="1" outlineLevel="1">
      <c r="B421" s="1" t="s">
        <v>443</v>
      </c>
      <c r="C421" s="19"/>
      <c r="D421" s="21">
        <v>21552</v>
      </c>
      <c r="E421" s="21">
        <v>21706</v>
      </c>
      <c r="F421" s="21">
        <v>24326</v>
      </c>
      <c r="G421" s="21">
        <v>21572</v>
      </c>
      <c r="H421" s="21">
        <v>32240</v>
      </c>
      <c r="I421" s="21">
        <v>21022</v>
      </c>
      <c r="J421" s="21">
        <v>21047</v>
      </c>
      <c r="K421" s="21">
        <v>14853</v>
      </c>
      <c r="L421" s="21">
        <v>14149</v>
      </c>
      <c r="M421" s="21">
        <v>11973</v>
      </c>
      <c r="N421" s="21">
        <v>14634</v>
      </c>
      <c r="O421" s="21">
        <v>18267</v>
      </c>
      <c r="P421" s="21">
        <v>20018</v>
      </c>
      <c r="Q421" s="21">
        <v>14744</v>
      </c>
      <c r="R421" s="21">
        <v>12949</v>
      </c>
      <c r="S421" s="21">
        <v>11128</v>
      </c>
      <c r="T421" s="21">
        <v>10717</v>
      </c>
      <c r="U421" s="21">
        <v>11925</v>
      </c>
      <c r="V421" s="21">
        <v>18205</v>
      </c>
      <c r="W421" s="21">
        <v>12666</v>
      </c>
      <c r="X421" s="21">
        <v>14514</v>
      </c>
      <c r="Y421" s="21">
        <v>38399</v>
      </c>
      <c r="Z421" s="21">
        <v>16467</v>
      </c>
      <c r="AA421" s="21">
        <v>17579</v>
      </c>
      <c r="AB421" s="21">
        <v>77980</v>
      </c>
      <c r="AC421" s="21">
        <v>84464</v>
      </c>
      <c r="AD421" s="21">
        <v>111734</v>
      </c>
      <c r="AE421" s="21">
        <v>32790</v>
      </c>
      <c r="AF421" s="21">
        <v>29527</v>
      </c>
      <c r="AG421" s="24">
        <v>25585</v>
      </c>
      <c r="AH421" s="19">
        <v>26517.053413065412</v>
      </c>
      <c r="AI421" s="19">
        <v>27488.77396909026</v>
      </c>
      <c r="AJ421" s="19">
        <v>28087.936237431579</v>
      </c>
      <c r="AK421" s="19">
        <v>28701.375222781586</v>
      </c>
      <c r="AL421" s="19">
        <v>29329.443434486515</v>
      </c>
      <c r="AM421" s="19">
        <v>29972.502228985006</v>
      </c>
      <c r="AN421" s="19">
        <v>30630.922033682305</v>
      </c>
      <c r="AO421" s="19">
        <v>31305.082576518987</v>
      </c>
      <c r="AP421" s="19">
        <v>31995.373121379453</v>
      </c>
      <c r="AQ421" s="19">
        <v>32702.192709489551</v>
      </c>
      <c r="AR421" s="19"/>
      <c r="AS421" s="21">
        <v>6224</v>
      </c>
      <c r="AT421" s="21">
        <v>10057</v>
      </c>
      <c r="AU421" s="21">
        <v>11069</v>
      </c>
      <c r="AV421" s="21">
        <v>21399</v>
      </c>
      <c r="AW421" s="21">
        <v>27371</v>
      </c>
      <c r="AX421" s="19">
        <v>21706</v>
      </c>
      <c r="AY421" s="19">
        <v>21572</v>
      </c>
      <c r="AZ421" s="19">
        <v>21022</v>
      </c>
      <c r="BA421" s="19">
        <v>14853</v>
      </c>
      <c r="BB421" s="19">
        <v>11973</v>
      </c>
      <c r="BC421" s="19">
        <v>18267</v>
      </c>
      <c r="BD421" s="19">
        <v>14744</v>
      </c>
      <c r="BE421" s="19">
        <v>11128</v>
      </c>
      <c r="BF421" s="19">
        <v>11925</v>
      </c>
      <c r="BG421" s="19">
        <v>12666</v>
      </c>
      <c r="BH421" s="19">
        <v>38399</v>
      </c>
      <c r="BI421" s="19">
        <v>17579</v>
      </c>
      <c r="BJ421" s="19">
        <v>84464</v>
      </c>
      <c r="BK421" s="19">
        <v>32790</v>
      </c>
      <c r="BL421" s="20">
        <v>25585</v>
      </c>
      <c r="BM421" s="19">
        <v>27488.77396909026</v>
      </c>
      <c r="BN421" s="19">
        <v>28701.375222781586</v>
      </c>
      <c r="BO421" s="19">
        <v>29972.502228985006</v>
      </c>
      <c r="BP421" s="19">
        <v>31305.082576518987</v>
      </c>
      <c r="BQ421" s="19">
        <v>32702.192709489551</v>
      </c>
    </row>
    <row r="422" spans="1:69" ht="12" customHeight="1" outlineLevel="1">
      <c r="A422" s="91" t="s">
        <v>1362</v>
      </c>
      <c r="B422" s="1" t="s">
        <v>182</v>
      </c>
      <c r="C422" s="19"/>
      <c r="D422" s="21">
        <v>20692</v>
      </c>
      <c r="E422" s="21">
        <v>22484</v>
      </c>
      <c r="F422" s="21">
        <v>35047</v>
      </c>
      <c r="G422" s="21">
        <v>35338</v>
      </c>
      <c r="H422" s="21">
        <v>38050</v>
      </c>
      <c r="I422" s="21">
        <v>37169</v>
      </c>
      <c r="J422" s="21">
        <v>39959</v>
      </c>
      <c r="K422" s="21">
        <v>41103</v>
      </c>
      <c r="L422" s="21">
        <v>42694</v>
      </c>
      <c r="M422" s="21">
        <v>42401</v>
      </c>
      <c r="N422" s="21">
        <v>44216</v>
      </c>
      <c r="O422" s="21">
        <v>47386</v>
      </c>
      <c r="P422" s="21">
        <v>51915</v>
      </c>
      <c r="Q422" s="21">
        <v>52245</v>
      </c>
      <c r="R422" s="21">
        <v>55438</v>
      </c>
      <c r="S422" s="21">
        <v>57708</v>
      </c>
      <c r="T422" s="21">
        <v>49330</v>
      </c>
      <c r="U422" s="21">
        <v>48395</v>
      </c>
      <c r="V422" s="21">
        <v>52620</v>
      </c>
      <c r="W422" s="21">
        <v>56191</v>
      </c>
      <c r="X422" s="21">
        <v>59042</v>
      </c>
      <c r="Y422" s="21">
        <v>67342</v>
      </c>
      <c r="Z422" s="21">
        <v>77258</v>
      </c>
      <c r="AA422" s="21">
        <v>84199</v>
      </c>
      <c r="AB422" s="21">
        <v>91736</v>
      </c>
      <c r="AC422" s="21">
        <v>101667</v>
      </c>
      <c r="AD422" s="21">
        <v>122227</v>
      </c>
      <c r="AE422" s="21">
        <v>134714</v>
      </c>
      <c r="AF422" s="21">
        <v>135966</v>
      </c>
      <c r="AG422" s="24">
        <v>148416</v>
      </c>
      <c r="AH422" s="19">
        <v>153935.6033057851</v>
      </c>
      <c r="AI422" s="19">
        <v>159691.99759338843</v>
      </c>
      <c r="AJ422" s="19">
        <v>163177.54827332226</v>
      </c>
      <c r="AK422" s="19">
        <v>166745.17022765544</v>
      </c>
      <c r="AL422" s="19">
        <v>170396.86456332196</v>
      </c>
      <c r="AM422" s="19">
        <v>174134.68190817992</v>
      </c>
      <c r="AN422" s="19">
        <v>177960.72364396704</v>
      </c>
      <c r="AO422" s="19">
        <v>181877.14317002974</v>
      </c>
      <c r="AP422" s="19">
        <v>185886.14719859356</v>
      </c>
      <c r="AQ422" s="19">
        <v>189989.99708236472</v>
      </c>
      <c r="AR422" s="19"/>
      <c r="AS422" s="21">
        <v>7240</v>
      </c>
      <c r="AT422" s="21">
        <v>9267</v>
      </c>
      <c r="AU422" s="21">
        <v>12403</v>
      </c>
      <c r="AV422" s="21">
        <v>15783</v>
      </c>
      <c r="AW422" s="21">
        <v>21868</v>
      </c>
      <c r="AX422" s="19">
        <v>22484</v>
      </c>
      <c r="AY422" s="19">
        <v>35338</v>
      </c>
      <c r="AZ422" s="19">
        <v>37169</v>
      </c>
      <c r="BA422" s="19">
        <v>41103</v>
      </c>
      <c r="BB422" s="19">
        <v>42401</v>
      </c>
      <c r="BC422" s="19">
        <v>47386</v>
      </c>
      <c r="BD422" s="19">
        <v>52245</v>
      </c>
      <c r="BE422" s="19">
        <v>57708</v>
      </c>
      <c r="BF422" s="19">
        <v>48395</v>
      </c>
      <c r="BG422" s="19">
        <v>56191</v>
      </c>
      <c r="BH422" s="19">
        <v>67342</v>
      </c>
      <c r="BI422" s="19">
        <v>84199</v>
      </c>
      <c r="BJ422" s="19">
        <v>101667</v>
      </c>
      <c r="BK422" s="19">
        <v>134714</v>
      </c>
      <c r="BL422" s="20">
        <v>148416</v>
      </c>
      <c r="BM422" s="19">
        <v>159691.99759338843</v>
      </c>
      <c r="BN422" s="19">
        <v>166745.17022765544</v>
      </c>
      <c r="BO422" s="19">
        <v>174134.68190817992</v>
      </c>
      <c r="BP422" s="19">
        <v>181877.14317002974</v>
      </c>
      <c r="BQ422" s="19">
        <v>189989.99708236472</v>
      </c>
    </row>
    <row r="423" spans="1:69" ht="12" customHeight="1" outlineLevel="1">
      <c r="B423" s="1" t="s">
        <v>444</v>
      </c>
      <c r="C423" s="19"/>
      <c r="D423" s="19">
        <v>18302</v>
      </c>
      <c r="E423" s="19">
        <v>20297</v>
      </c>
      <c r="F423" s="19">
        <v>19549</v>
      </c>
      <c r="G423" s="19">
        <v>21141</v>
      </c>
      <c r="H423" s="19">
        <v>24096</v>
      </c>
      <c r="I423" s="19">
        <v>15096</v>
      </c>
      <c r="J423" s="19">
        <v>7242</v>
      </c>
      <c r="K423" s="19">
        <v>13572</v>
      </c>
      <c r="L423" s="19">
        <v>12638</v>
      </c>
      <c r="M423" s="19">
        <v>13908</v>
      </c>
      <c r="N423" s="19">
        <v>13287</v>
      </c>
      <c r="O423" s="19">
        <v>15830</v>
      </c>
      <c r="P423" s="19">
        <v>15372</v>
      </c>
      <c r="Q423" s="19">
        <v>13103</v>
      </c>
      <c r="R423" s="19">
        <v>13676</v>
      </c>
      <c r="S423" s="19">
        <v>15031</v>
      </c>
      <c r="T423" s="19">
        <v>26687</v>
      </c>
      <c r="U423" s="19">
        <v>28306</v>
      </c>
      <c r="V423" s="19">
        <v>31817</v>
      </c>
      <c r="W423" s="19">
        <v>30024</v>
      </c>
      <c r="X423" s="19">
        <v>33439</v>
      </c>
      <c r="Y423" s="19">
        <v>30924</v>
      </c>
      <c r="Z423" s="19">
        <v>26252</v>
      </c>
      <c r="AA423" s="19">
        <v>24251</v>
      </c>
      <c r="AB423" s="19">
        <v>24409</v>
      </c>
      <c r="AC423" s="19">
        <v>30878</v>
      </c>
      <c r="AD423" s="19">
        <v>17754</v>
      </c>
      <c r="AE423" s="19">
        <v>17495</v>
      </c>
      <c r="AF423" s="19">
        <v>22360</v>
      </c>
      <c r="AG423" s="20">
        <v>19923</v>
      </c>
      <c r="AH423" s="19">
        <v>20626.682098708654</v>
      </c>
      <c r="AI423" s="19">
        <v>21360.318505419429</v>
      </c>
      <c r="AJ423" s="19">
        <v>21812.461562466477</v>
      </c>
      <c r="AK423" s="19">
        <v>22275.374860445263</v>
      </c>
      <c r="AL423" s="19">
        <v>22749.324243602136</v>
      </c>
      <c r="AM423" s="19">
        <v>23234.582225819198</v>
      </c>
      <c r="AN423" s="19">
        <v>23731.42815931985</v>
      </c>
      <c r="AO423" s="19">
        <v>24240.148407663659</v>
      </c>
      <c r="AP423" s="19">
        <v>24761.036523139726</v>
      </c>
      <c r="AQ423" s="19">
        <v>25294.39342867117</v>
      </c>
      <c r="AR423" s="19"/>
      <c r="AS423" s="19">
        <v>6605</v>
      </c>
      <c r="AT423" s="19">
        <v>18072</v>
      </c>
      <c r="AU423" s="19">
        <v>19749</v>
      </c>
      <c r="AV423" s="19">
        <v>26399</v>
      </c>
      <c r="AW423" s="19">
        <v>14810</v>
      </c>
      <c r="AX423" s="19">
        <v>20297</v>
      </c>
      <c r="AY423" s="19">
        <v>21141</v>
      </c>
      <c r="AZ423" s="19">
        <v>15096</v>
      </c>
      <c r="BA423" s="19">
        <v>13572</v>
      </c>
      <c r="BB423" s="19">
        <v>13908</v>
      </c>
      <c r="BC423" s="19">
        <v>15830</v>
      </c>
      <c r="BD423" s="19">
        <v>13103</v>
      </c>
      <c r="BE423" s="19">
        <v>15031</v>
      </c>
      <c r="BF423" s="19">
        <v>28306</v>
      </c>
      <c r="BG423" s="19">
        <v>30024</v>
      </c>
      <c r="BH423" s="19">
        <v>30924</v>
      </c>
      <c r="BI423" s="19">
        <v>24251</v>
      </c>
      <c r="BJ423" s="19">
        <v>30878</v>
      </c>
      <c r="BK423" s="19">
        <v>17495</v>
      </c>
      <c r="BL423" s="20">
        <v>19923</v>
      </c>
      <c r="BM423" s="19">
        <v>21360.318505419429</v>
      </c>
      <c r="BN423" s="19">
        <v>22275.374860445263</v>
      </c>
      <c r="BO423" s="19">
        <v>23234.582225819198</v>
      </c>
      <c r="BP423" s="19">
        <v>24240.148407663659</v>
      </c>
      <c r="BQ423" s="19">
        <v>25294.39342867117</v>
      </c>
    </row>
    <row r="424" spans="1:69" ht="12" customHeight="1" outlineLevel="1">
      <c r="B424" s="1" t="s">
        <v>445</v>
      </c>
      <c r="C424" s="19"/>
      <c r="D424" s="21">
        <v>10284</v>
      </c>
      <c r="E424" s="21">
        <v>9927</v>
      </c>
      <c r="F424" s="21">
        <v>9981</v>
      </c>
      <c r="G424" s="21">
        <v>7810</v>
      </c>
      <c r="H424" s="21">
        <v>9557</v>
      </c>
      <c r="I424" s="21">
        <v>12629</v>
      </c>
      <c r="J424" s="21">
        <v>16703</v>
      </c>
      <c r="K424" s="21">
        <v>18075</v>
      </c>
      <c r="L424" s="21">
        <v>19625</v>
      </c>
      <c r="M424" s="21">
        <v>19654</v>
      </c>
      <c r="N424" s="21">
        <v>16961</v>
      </c>
      <c r="O424" s="21">
        <v>18645</v>
      </c>
      <c r="P424" s="21">
        <v>23525</v>
      </c>
      <c r="Q424" s="21">
        <v>23860</v>
      </c>
      <c r="R424" s="21">
        <v>23736</v>
      </c>
      <c r="S424" s="21">
        <v>17072</v>
      </c>
      <c r="T424" s="21">
        <v>17799</v>
      </c>
      <c r="U424" s="21">
        <v>14390</v>
      </c>
      <c r="V424" s="21">
        <v>20252</v>
      </c>
      <c r="W424" s="21">
        <v>16897</v>
      </c>
      <c r="X424" s="21">
        <v>20429</v>
      </c>
      <c r="Y424" s="21">
        <v>22815</v>
      </c>
      <c r="Z424" s="21">
        <v>20093</v>
      </c>
      <c r="AA424" s="21">
        <v>22124</v>
      </c>
      <c r="AB424" s="21">
        <v>25895</v>
      </c>
      <c r="AC424" s="21">
        <v>27158</v>
      </c>
      <c r="AD424" s="21">
        <v>40426</v>
      </c>
      <c r="AE424" s="21">
        <v>27482</v>
      </c>
      <c r="AF424" s="21">
        <v>27136</v>
      </c>
      <c r="AG424" s="24">
        <v>28423</v>
      </c>
      <c r="AH424" s="19">
        <v>29426.902840515788</v>
      </c>
      <c r="AI424" s="19">
        <v>30473.539772099401</v>
      </c>
      <c r="AJ424" s="19">
        <v>31118.586306780333</v>
      </c>
      <c r="AK424" s="19">
        <v>31778.998125705744</v>
      </c>
      <c r="AL424" s="19">
        <v>32455.154493595506</v>
      </c>
      <c r="AM424" s="19">
        <v>33147.444190355811</v>
      </c>
      <c r="AN424" s="19">
        <v>33856.265751761675</v>
      </c>
      <c r="AO424" s="19">
        <v>34582.027716258795</v>
      </c>
      <c r="AP424" s="19">
        <v>35325.148878040469</v>
      </c>
      <c r="AQ424" s="19">
        <v>36086.058546560285</v>
      </c>
      <c r="AR424" s="19"/>
      <c r="AS424" s="21">
        <v>1548</v>
      </c>
      <c r="AT424" s="21">
        <v>2118</v>
      </c>
      <c r="AU424" s="21">
        <v>4127</v>
      </c>
      <c r="AV424" s="21">
        <v>10041</v>
      </c>
      <c r="AW424" s="21">
        <v>11858</v>
      </c>
      <c r="AX424" s="19">
        <v>9927</v>
      </c>
      <c r="AY424" s="19">
        <v>7810</v>
      </c>
      <c r="AZ424" s="19">
        <v>12629</v>
      </c>
      <c r="BA424" s="19">
        <v>18075</v>
      </c>
      <c r="BB424" s="19">
        <v>19654</v>
      </c>
      <c r="BC424" s="19">
        <v>18645</v>
      </c>
      <c r="BD424" s="19">
        <v>23860</v>
      </c>
      <c r="BE424" s="19">
        <v>17072</v>
      </c>
      <c r="BF424" s="19">
        <v>14390</v>
      </c>
      <c r="BG424" s="19">
        <v>16897</v>
      </c>
      <c r="BH424" s="19">
        <v>22815</v>
      </c>
      <c r="BI424" s="19">
        <v>22124</v>
      </c>
      <c r="BJ424" s="19">
        <v>27158</v>
      </c>
      <c r="BK424" s="19">
        <v>27482</v>
      </c>
      <c r="BL424" s="20">
        <v>28423</v>
      </c>
      <c r="BM424" s="19">
        <v>30473.539772099401</v>
      </c>
      <c r="BN424" s="19">
        <v>31778.998125705744</v>
      </c>
      <c r="BO424" s="19">
        <v>33147.444190355811</v>
      </c>
      <c r="BP424" s="19">
        <v>34582.027716258795</v>
      </c>
      <c r="BQ424" s="19">
        <v>36086.058546560285</v>
      </c>
    </row>
    <row r="425" spans="1:69" ht="12" customHeight="1" outlineLevel="1">
      <c r="B425" s="1" t="s">
        <v>446</v>
      </c>
      <c r="C425" s="19"/>
      <c r="D425" s="21">
        <v>5037</v>
      </c>
      <c r="E425" s="21">
        <v>4413</v>
      </c>
      <c r="F425" s="21">
        <v>3710</v>
      </c>
      <c r="G425" s="21">
        <v>4339</v>
      </c>
      <c r="H425" s="21">
        <v>3334</v>
      </c>
      <c r="I425" s="21">
        <v>2733</v>
      </c>
      <c r="J425" s="21">
        <v>1593</v>
      </c>
      <c r="K425" s="21">
        <v>1704</v>
      </c>
      <c r="L425" s="21">
        <v>1205</v>
      </c>
      <c r="M425" s="21">
        <v>1464</v>
      </c>
      <c r="N425" s="21">
        <v>1364</v>
      </c>
      <c r="O425" s="21">
        <v>1626</v>
      </c>
      <c r="P425" s="21">
        <v>2309</v>
      </c>
      <c r="Q425" s="21">
        <v>2672</v>
      </c>
      <c r="R425" s="21">
        <v>3018</v>
      </c>
      <c r="S425" s="21">
        <v>2404</v>
      </c>
      <c r="T425" s="21">
        <v>0</v>
      </c>
      <c r="U425" s="21">
        <v>0</v>
      </c>
      <c r="V425" s="21">
        <v>0</v>
      </c>
      <c r="W425" s="21">
        <v>0</v>
      </c>
      <c r="X425" s="21">
        <v>0</v>
      </c>
      <c r="Y425" s="21">
        <v>0</v>
      </c>
      <c r="Z425" s="21">
        <v>0</v>
      </c>
      <c r="AA425" s="21">
        <v>0</v>
      </c>
      <c r="AB425" s="21">
        <v>0</v>
      </c>
      <c r="AC425" s="21">
        <v>0</v>
      </c>
      <c r="AD425" s="21">
        <v>0</v>
      </c>
      <c r="AE425" s="21">
        <v>0</v>
      </c>
      <c r="AF425" s="21">
        <v>0</v>
      </c>
      <c r="AG425" s="24">
        <v>0</v>
      </c>
      <c r="AH425" s="58">
        <v>0</v>
      </c>
      <c r="AI425" s="58">
        <v>0</v>
      </c>
      <c r="AJ425" s="58">
        <v>0</v>
      </c>
      <c r="AK425" s="58">
        <v>0</v>
      </c>
      <c r="AL425" s="58">
        <v>0</v>
      </c>
      <c r="AM425" s="58">
        <v>0</v>
      </c>
      <c r="AN425" s="58">
        <v>0</v>
      </c>
      <c r="AO425" s="58">
        <v>0</v>
      </c>
      <c r="AP425" s="58">
        <v>0</v>
      </c>
      <c r="AQ425" s="58">
        <v>0</v>
      </c>
      <c r="AR425" s="19"/>
      <c r="AS425" s="21">
        <v>0</v>
      </c>
      <c r="AT425" s="21">
        <v>5481</v>
      </c>
      <c r="AU425" s="21">
        <v>5552</v>
      </c>
      <c r="AV425" s="21">
        <v>6288</v>
      </c>
      <c r="AW425" s="21">
        <v>6203</v>
      </c>
      <c r="AX425" s="19">
        <v>4413</v>
      </c>
      <c r="AY425" s="19">
        <v>4339</v>
      </c>
      <c r="AZ425" s="19">
        <v>2733</v>
      </c>
      <c r="BA425" s="19">
        <v>1704</v>
      </c>
      <c r="BB425" s="19">
        <v>1464</v>
      </c>
      <c r="BC425" s="19">
        <v>1626</v>
      </c>
      <c r="BD425" s="19">
        <v>2672</v>
      </c>
      <c r="BE425" s="19">
        <v>2404</v>
      </c>
      <c r="BF425" s="19">
        <v>0</v>
      </c>
      <c r="BG425" s="19">
        <v>0</v>
      </c>
      <c r="BH425" s="19">
        <v>0</v>
      </c>
      <c r="BI425" s="19">
        <v>0</v>
      </c>
      <c r="BJ425" s="19">
        <v>0</v>
      </c>
      <c r="BK425" s="19">
        <v>0</v>
      </c>
      <c r="BL425" s="20">
        <v>0</v>
      </c>
      <c r="BM425" s="19">
        <v>0</v>
      </c>
      <c r="BN425" s="19">
        <v>0</v>
      </c>
      <c r="BO425" s="19">
        <v>0</v>
      </c>
      <c r="BP425" s="19">
        <v>0</v>
      </c>
      <c r="BQ425" s="19">
        <v>0</v>
      </c>
    </row>
    <row r="426" spans="1:69" ht="12" customHeight="1" outlineLevel="1">
      <c r="B426" s="1" t="s">
        <v>447</v>
      </c>
      <c r="C426" s="19"/>
      <c r="D426" s="21">
        <v>5062</v>
      </c>
      <c r="E426" s="21">
        <v>4864</v>
      </c>
      <c r="F426" s="21">
        <v>5069</v>
      </c>
      <c r="G426" s="21">
        <v>5055</v>
      </c>
      <c r="H426" s="21">
        <v>4759</v>
      </c>
      <c r="I426" s="21">
        <v>5897</v>
      </c>
      <c r="J426" s="21">
        <v>6047</v>
      </c>
      <c r="K426" s="21">
        <v>0</v>
      </c>
      <c r="L426" s="21">
        <v>0</v>
      </c>
      <c r="M426" s="21">
        <v>0</v>
      </c>
      <c r="N426" s="62">
        <v>0</v>
      </c>
      <c r="O426" s="62">
        <v>0</v>
      </c>
      <c r="P426" s="62">
        <v>0</v>
      </c>
      <c r="Q426" s="62">
        <v>0</v>
      </c>
      <c r="R426" s="62">
        <v>0</v>
      </c>
      <c r="S426" s="62">
        <v>0</v>
      </c>
      <c r="T426" s="62">
        <v>0</v>
      </c>
      <c r="U426" s="62">
        <v>0</v>
      </c>
      <c r="V426" s="62">
        <v>0</v>
      </c>
      <c r="W426" s="62">
        <v>0</v>
      </c>
      <c r="X426" s="62">
        <v>0</v>
      </c>
      <c r="Y426" s="62">
        <v>0</v>
      </c>
      <c r="Z426" s="62">
        <v>0</v>
      </c>
      <c r="AA426" s="62">
        <v>0</v>
      </c>
      <c r="AB426" s="62">
        <v>0</v>
      </c>
      <c r="AC426" s="62">
        <v>0</v>
      </c>
      <c r="AD426" s="62">
        <v>0</v>
      </c>
      <c r="AE426" s="62">
        <v>0</v>
      </c>
      <c r="AF426" s="62">
        <v>0</v>
      </c>
      <c r="AG426" s="57">
        <v>0</v>
      </c>
      <c r="AH426" s="58">
        <v>0</v>
      </c>
      <c r="AI426" s="58">
        <v>0</v>
      </c>
      <c r="AJ426" s="58">
        <v>0</v>
      </c>
      <c r="AK426" s="58">
        <v>0</v>
      </c>
      <c r="AL426" s="58">
        <v>0</v>
      </c>
      <c r="AM426" s="58">
        <v>0</v>
      </c>
      <c r="AN426" s="58">
        <v>0</v>
      </c>
      <c r="AO426" s="58">
        <v>0</v>
      </c>
      <c r="AP426" s="58">
        <v>0</v>
      </c>
      <c r="AQ426" s="58">
        <v>0</v>
      </c>
      <c r="AR426" s="19"/>
      <c r="AS426" s="21">
        <v>4429</v>
      </c>
      <c r="AT426" s="21">
        <v>5130</v>
      </c>
      <c r="AU426" s="21">
        <v>5781</v>
      </c>
      <c r="AV426" s="21">
        <v>5689</v>
      </c>
      <c r="AW426" s="21">
        <v>4312</v>
      </c>
      <c r="AX426" s="19">
        <v>4864</v>
      </c>
      <c r="AY426" s="19">
        <v>5055</v>
      </c>
      <c r="AZ426" s="19">
        <v>5897</v>
      </c>
      <c r="BA426" s="19">
        <v>0</v>
      </c>
      <c r="BB426" s="19">
        <v>0</v>
      </c>
      <c r="BC426" s="19">
        <v>0</v>
      </c>
      <c r="BD426" s="19">
        <v>0</v>
      </c>
      <c r="BE426" s="19">
        <v>0</v>
      </c>
      <c r="BF426" s="19">
        <v>0</v>
      </c>
      <c r="BG426" s="19">
        <v>0</v>
      </c>
      <c r="BH426" s="19">
        <v>0</v>
      </c>
      <c r="BI426" s="19">
        <v>0</v>
      </c>
      <c r="BJ426" s="19">
        <v>0</v>
      </c>
      <c r="BK426" s="19">
        <v>0</v>
      </c>
      <c r="BL426" s="20">
        <v>0</v>
      </c>
      <c r="BM426" s="19">
        <v>0</v>
      </c>
      <c r="BN426" s="19">
        <v>0</v>
      </c>
      <c r="BO426" s="19">
        <v>0</v>
      </c>
      <c r="BP426" s="19">
        <v>0</v>
      </c>
      <c r="BQ426" s="19">
        <v>0</v>
      </c>
    </row>
    <row r="427" spans="1:69" ht="12" customHeight="1" outlineLevel="1">
      <c r="B427" s="1" t="s">
        <v>448</v>
      </c>
      <c r="C427" s="19"/>
      <c r="D427" s="21">
        <v>44896</v>
      </c>
      <c r="E427" s="21">
        <v>42614</v>
      </c>
      <c r="F427" s="21">
        <v>39955</v>
      </c>
      <c r="G427" s="21">
        <v>41177</v>
      </c>
      <c r="H427" s="21">
        <v>42258</v>
      </c>
      <c r="I427" s="21">
        <v>39713</v>
      </c>
      <c r="J427" s="21">
        <v>40714</v>
      </c>
      <c r="K427" s="21">
        <v>38014</v>
      </c>
      <c r="L427" s="21">
        <v>43755</v>
      </c>
      <c r="M427" s="21">
        <v>45565</v>
      </c>
      <c r="N427" s="21">
        <v>51076</v>
      </c>
      <c r="O427" s="21">
        <v>61463</v>
      </c>
      <c r="P427" s="21">
        <v>65466</v>
      </c>
      <c r="Q427" s="21">
        <v>63685</v>
      </c>
      <c r="R427" s="21">
        <v>57617</v>
      </c>
      <c r="S427" s="21">
        <v>50828</v>
      </c>
      <c r="T427" s="21">
        <v>54551</v>
      </c>
      <c r="U427" s="21">
        <v>55927</v>
      </c>
      <c r="V427" s="21">
        <v>51665</v>
      </c>
      <c r="W427" s="21">
        <v>51389</v>
      </c>
      <c r="X427" s="21">
        <v>56070</v>
      </c>
      <c r="Y427" s="21">
        <v>64556</v>
      </c>
      <c r="Z427" s="21">
        <v>56339</v>
      </c>
      <c r="AA427" s="21">
        <v>60980</v>
      </c>
      <c r="AB427" s="21">
        <v>80043</v>
      </c>
      <c r="AC427" s="21">
        <v>99527</v>
      </c>
      <c r="AD427" s="21">
        <v>128621</v>
      </c>
      <c r="AE427" s="21">
        <v>109461</v>
      </c>
      <c r="AF427" s="21">
        <v>119886</v>
      </c>
      <c r="AG427" s="24">
        <v>119878</v>
      </c>
      <c r="AH427" s="19">
        <v>125684.80391100049</v>
      </c>
      <c r="AI427" s="19">
        <v>131177.65277235018</v>
      </c>
      <c r="AJ427" s="19">
        <v>134232.51349943707</v>
      </c>
      <c r="AK427" s="19">
        <v>136885.8903329621</v>
      </c>
      <c r="AL427" s="19">
        <v>140209.29822704307</v>
      </c>
      <c r="AM427" s="19">
        <v>142901.51569987484</v>
      </c>
      <c r="AN427" s="19">
        <v>146370.92842631118</v>
      </c>
      <c r="AO427" s="19">
        <v>149196.90666402783</v>
      </c>
      <c r="AP427" s="19">
        <v>152825.31125164818</v>
      </c>
      <c r="AQ427" s="19">
        <v>155782.53339794849</v>
      </c>
      <c r="AR427" s="19"/>
      <c r="AS427" s="21">
        <v>28161</v>
      </c>
      <c r="AT427" s="21">
        <v>39022</v>
      </c>
      <c r="AU427" s="21">
        <v>51365</v>
      </c>
      <c r="AV427" s="21">
        <v>57115</v>
      </c>
      <c r="AW427" s="21">
        <v>48270</v>
      </c>
      <c r="AX427" s="19">
        <v>42614</v>
      </c>
      <c r="AY427" s="19">
        <v>41177</v>
      </c>
      <c r="AZ427" s="19">
        <v>39713</v>
      </c>
      <c r="BA427" s="19">
        <v>38014</v>
      </c>
      <c r="BB427" s="19">
        <v>45565</v>
      </c>
      <c r="BC427" s="19">
        <v>61463</v>
      </c>
      <c r="BD427" s="19">
        <v>63685</v>
      </c>
      <c r="BE427" s="19">
        <v>50828</v>
      </c>
      <c r="BF427" s="19">
        <v>55927</v>
      </c>
      <c r="BG427" s="19">
        <v>51389</v>
      </c>
      <c r="BH427" s="19">
        <v>64556</v>
      </c>
      <c r="BI427" s="19">
        <v>60980</v>
      </c>
      <c r="BJ427" s="19">
        <v>99527</v>
      </c>
      <c r="BK427" s="19">
        <v>109461</v>
      </c>
      <c r="BL427" s="20">
        <v>119878</v>
      </c>
      <c r="BM427" s="19">
        <v>131177.65277235018</v>
      </c>
      <c r="BN427" s="19">
        <v>136885.8903329621</v>
      </c>
      <c r="BO427" s="19">
        <v>142901.51569987484</v>
      </c>
      <c r="BP427" s="19">
        <v>149196.90666402783</v>
      </c>
      <c r="BQ427" s="19">
        <v>155782.53339794849</v>
      </c>
    </row>
    <row r="428" spans="1:69" ht="12" customHeight="1" outlineLevel="1">
      <c r="B428" s="1" t="s">
        <v>449</v>
      </c>
      <c r="C428" s="19"/>
      <c r="D428" s="21">
        <v>184</v>
      </c>
      <c r="E428" s="21">
        <v>191</v>
      </c>
      <c r="F428" s="21">
        <v>221</v>
      </c>
      <c r="G428" s="21">
        <v>215</v>
      </c>
      <c r="H428" s="21">
        <v>232</v>
      </c>
      <c r="I428" s="21">
        <v>241</v>
      </c>
      <c r="J428" s="21">
        <v>228</v>
      </c>
      <c r="K428" s="21">
        <v>213</v>
      </c>
      <c r="L428" s="21">
        <v>225</v>
      </c>
      <c r="M428" s="21">
        <v>205</v>
      </c>
      <c r="N428" s="62">
        <v>221</v>
      </c>
      <c r="O428" s="62">
        <v>220</v>
      </c>
      <c r="P428" s="62">
        <v>238</v>
      </c>
      <c r="Q428" s="21">
        <v>0</v>
      </c>
      <c r="R428" s="21">
        <v>0</v>
      </c>
      <c r="S428" s="21">
        <v>0</v>
      </c>
      <c r="T428" s="21">
        <v>0</v>
      </c>
      <c r="U428" s="21">
        <v>0</v>
      </c>
      <c r="V428" s="21">
        <v>0</v>
      </c>
      <c r="W428" s="21">
        <v>0</v>
      </c>
      <c r="X428" s="21">
        <v>0</v>
      </c>
      <c r="Y428" s="21">
        <v>0</v>
      </c>
      <c r="Z428" s="21">
        <v>0</v>
      </c>
      <c r="AA428" s="21">
        <v>0</v>
      </c>
      <c r="AB428" s="21">
        <v>0</v>
      </c>
      <c r="AC428" s="21">
        <v>0</v>
      </c>
      <c r="AD428" s="21">
        <v>0</v>
      </c>
      <c r="AE428" s="21">
        <v>0</v>
      </c>
      <c r="AF428" s="21">
        <v>0</v>
      </c>
      <c r="AG428" s="24">
        <v>0</v>
      </c>
      <c r="AH428" s="58">
        <v>0</v>
      </c>
      <c r="AI428" s="58">
        <v>0</v>
      </c>
      <c r="AJ428" s="58">
        <v>0</v>
      </c>
      <c r="AK428" s="58">
        <v>0</v>
      </c>
      <c r="AL428" s="58">
        <v>0</v>
      </c>
      <c r="AM428" s="58">
        <v>0</v>
      </c>
      <c r="AN428" s="58">
        <v>0</v>
      </c>
      <c r="AO428" s="58">
        <v>0</v>
      </c>
      <c r="AP428" s="58">
        <v>0</v>
      </c>
      <c r="AQ428" s="58">
        <v>0</v>
      </c>
      <c r="AR428" s="19"/>
      <c r="AS428" s="21">
        <v>119</v>
      </c>
      <c r="AT428" s="21">
        <v>132</v>
      </c>
      <c r="AU428" s="21">
        <v>153</v>
      </c>
      <c r="AV428" s="21">
        <v>179</v>
      </c>
      <c r="AW428" s="21">
        <v>189</v>
      </c>
      <c r="AX428" s="19">
        <v>191</v>
      </c>
      <c r="AY428" s="19">
        <v>215</v>
      </c>
      <c r="AZ428" s="19">
        <v>241</v>
      </c>
      <c r="BA428" s="19">
        <v>213</v>
      </c>
      <c r="BB428" s="19">
        <v>205</v>
      </c>
      <c r="BC428" s="19">
        <v>220</v>
      </c>
      <c r="BD428" s="19">
        <v>0</v>
      </c>
      <c r="BE428" s="19">
        <v>0</v>
      </c>
      <c r="BF428" s="19">
        <v>0</v>
      </c>
      <c r="BG428" s="19">
        <v>0</v>
      </c>
      <c r="BH428" s="19">
        <v>0</v>
      </c>
      <c r="BI428" s="19">
        <v>0</v>
      </c>
      <c r="BJ428" s="19">
        <v>0</v>
      </c>
      <c r="BK428" s="19">
        <v>0</v>
      </c>
      <c r="BL428" s="20">
        <v>0</v>
      </c>
      <c r="BM428" s="19">
        <v>0</v>
      </c>
      <c r="BN428" s="19">
        <v>0</v>
      </c>
      <c r="BO428" s="19">
        <v>0</v>
      </c>
      <c r="BP428" s="19">
        <v>0</v>
      </c>
      <c r="BQ428" s="19">
        <v>0</v>
      </c>
    </row>
    <row r="429" spans="1:69" ht="12" customHeight="1" outlineLevel="1">
      <c r="B429" s="1" t="s">
        <v>450</v>
      </c>
      <c r="C429" s="19"/>
      <c r="D429" s="21">
        <v>210</v>
      </c>
      <c r="E429" s="21">
        <v>235</v>
      </c>
      <c r="F429" s="21">
        <v>235</v>
      </c>
      <c r="G429" s="21">
        <v>287</v>
      </c>
      <c r="H429" s="21">
        <v>351</v>
      </c>
      <c r="I429" s="21">
        <v>436</v>
      </c>
      <c r="J429" s="21">
        <v>514</v>
      </c>
      <c r="K429" s="21">
        <v>542</v>
      </c>
      <c r="L429" s="21">
        <v>667</v>
      </c>
      <c r="M429" s="21">
        <v>551</v>
      </c>
      <c r="N429" s="21">
        <v>635</v>
      </c>
      <c r="O429" s="21">
        <v>464</v>
      </c>
      <c r="P429" s="21">
        <v>546</v>
      </c>
      <c r="Q429" s="21">
        <v>543</v>
      </c>
      <c r="R429" s="21">
        <v>540</v>
      </c>
      <c r="S429" s="21">
        <v>621</v>
      </c>
      <c r="T429" s="21">
        <v>746</v>
      </c>
      <c r="U429" s="21">
        <v>749</v>
      </c>
      <c r="V429" s="21">
        <v>800</v>
      </c>
      <c r="W429" s="21">
        <v>425</v>
      </c>
      <c r="X429" s="21">
        <v>297</v>
      </c>
      <c r="Y429" s="21">
        <v>234</v>
      </c>
      <c r="Z429" s="21">
        <v>165</v>
      </c>
      <c r="AA429" s="21">
        <v>204</v>
      </c>
      <c r="AB429" s="21">
        <v>320</v>
      </c>
      <c r="AC429" s="21">
        <v>216</v>
      </c>
      <c r="AD429" s="21">
        <v>258</v>
      </c>
      <c r="AE429" s="21">
        <v>196</v>
      </c>
      <c r="AF429" s="21">
        <v>241</v>
      </c>
      <c r="AG429" s="24">
        <v>383</v>
      </c>
      <c r="AH429" s="19">
        <v>383</v>
      </c>
      <c r="AI429" s="19">
        <v>383</v>
      </c>
      <c r="AJ429" s="19">
        <v>383</v>
      </c>
      <c r="AK429" s="19">
        <v>383</v>
      </c>
      <c r="AL429" s="19">
        <v>383</v>
      </c>
      <c r="AM429" s="19">
        <v>383</v>
      </c>
      <c r="AN429" s="19">
        <v>383</v>
      </c>
      <c r="AO429" s="19">
        <v>383</v>
      </c>
      <c r="AP429" s="19">
        <v>383</v>
      </c>
      <c r="AQ429" s="19">
        <v>383</v>
      </c>
      <c r="AR429" s="19"/>
      <c r="AS429" s="21">
        <v>189</v>
      </c>
      <c r="AT429" s="21">
        <v>157</v>
      </c>
      <c r="AU429" s="21">
        <v>78</v>
      </c>
      <c r="AV429" s="21">
        <v>121</v>
      </c>
      <c r="AW429" s="21">
        <v>4</v>
      </c>
      <c r="AX429" s="19">
        <v>235</v>
      </c>
      <c r="AY429" s="19">
        <v>287</v>
      </c>
      <c r="AZ429" s="19">
        <v>436</v>
      </c>
      <c r="BA429" s="19">
        <v>542</v>
      </c>
      <c r="BB429" s="19">
        <v>551</v>
      </c>
      <c r="BC429" s="19">
        <v>464</v>
      </c>
      <c r="BD429" s="19">
        <v>543</v>
      </c>
      <c r="BE429" s="19">
        <v>621</v>
      </c>
      <c r="BF429" s="19">
        <v>749</v>
      </c>
      <c r="BG429" s="19">
        <v>425</v>
      </c>
      <c r="BH429" s="19">
        <v>234</v>
      </c>
      <c r="BI429" s="19">
        <v>204</v>
      </c>
      <c r="BJ429" s="19">
        <v>216</v>
      </c>
      <c r="BK429" s="19">
        <v>196</v>
      </c>
      <c r="BL429" s="20">
        <v>383</v>
      </c>
      <c r="BM429" s="19">
        <v>383</v>
      </c>
      <c r="BN429" s="19">
        <v>383</v>
      </c>
      <c r="BO429" s="19">
        <v>383</v>
      </c>
      <c r="BP429" s="19">
        <v>383</v>
      </c>
      <c r="BQ429" s="19">
        <v>383</v>
      </c>
    </row>
    <row r="430" spans="1:69" ht="12" customHeight="1" outlineLevel="1">
      <c r="B430" s="1" t="s">
        <v>451</v>
      </c>
      <c r="C430" s="19"/>
      <c r="D430" s="21">
        <v>591</v>
      </c>
      <c r="E430" s="21">
        <v>593</v>
      </c>
      <c r="F430" s="21">
        <v>593</v>
      </c>
      <c r="G430" s="21">
        <v>595</v>
      </c>
      <c r="H430" s="21">
        <v>596</v>
      </c>
      <c r="I430" s="21">
        <v>614</v>
      </c>
      <c r="J430" s="21">
        <v>615</v>
      </c>
      <c r="K430" s="21">
        <v>616</v>
      </c>
      <c r="L430" s="21">
        <v>0</v>
      </c>
      <c r="M430" s="21">
        <v>0</v>
      </c>
      <c r="N430" s="62">
        <v>0</v>
      </c>
      <c r="O430" s="62">
        <v>0</v>
      </c>
      <c r="P430" s="62">
        <v>0</v>
      </c>
      <c r="Q430" s="62">
        <v>0</v>
      </c>
      <c r="R430" s="62">
        <v>0</v>
      </c>
      <c r="S430" s="62">
        <v>0</v>
      </c>
      <c r="T430" s="62">
        <v>0</v>
      </c>
      <c r="U430" s="62">
        <v>0</v>
      </c>
      <c r="V430" s="62">
        <v>0</v>
      </c>
      <c r="W430" s="62">
        <v>0</v>
      </c>
      <c r="X430" s="62">
        <v>0</v>
      </c>
      <c r="Y430" s="62">
        <v>0</v>
      </c>
      <c r="Z430" s="62">
        <v>0</v>
      </c>
      <c r="AA430" s="62">
        <v>0</v>
      </c>
      <c r="AB430" s="62">
        <v>0</v>
      </c>
      <c r="AC430" s="62">
        <v>0</v>
      </c>
      <c r="AD430" s="62">
        <v>0</v>
      </c>
      <c r="AE430" s="62">
        <v>0</v>
      </c>
      <c r="AF430" s="62">
        <v>0</v>
      </c>
      <c r="AG430" s="57">
        <v>0</v>
      </c>
      <c r="AH430" s="58">
        <v>0</v>
      </c>
      <c r="AI430" s="58">
        <v>0</v>
      </c>
      <c r="AJ430" s="58">
        <v>0</v>
      </c>
      <c r="AK430" s="58">
        <v>0</v>
      </c>
      <c r="AL430" s="58">
        <v>0</v>
      </c>
      <c r="AM430" s="58">
        <v>0</v>
      </c>
      <c r="AN430" s="58">
        <v>0</v>
      </c>
      <c r="AO430" s="58">
        <v>0</v>
      </c>
      <c r="AP430" s="58">
        <v>0</v>
      </c>
      <c r="AQ430" s="58">
        <v>0</v>
      </c>
      <c r="AR430" s="19"/>
      <c r="AS430" s="21">
        <v>0</v>
      </c>
      <c r="AT430" s="21">
        <v>0</v>
      </c>
      <c r="AU430" s="21">
        <v>0</v>
      </c>
      <c r="AV430" s="21">
        <v>0</v>
      </c>
      <c r="AW430" s="21">
        <v>591</v>
      </c>
      <c r="AX430" s="19">
        <v>593</v>
      </c>
      <c r="AY430" s="19">
        <v>595</v>
      </c>
      <c r="AZ430" s="19">
        <v>614</v>
      </c>
      <c r="BA430" s="19">
        <v>616</v>
      </c>
      <c r="BB430" s="19">
        <v>0</v>
      </c>
      <c r="BC430" s="19">
        <v>0</v>
      </c>
      <c r="BD430" s="19">
        <v>0</v>
      </c>
      <c r="BE430" s="19">
        <v>0</v>
      </c>
      <c r="BF430" s="19">
        <v>0</v>
      </c>
      <c r="BG430" s="19">
        <v>0</v>
      </c>
      <c r="BH430" s="19">
        <v>0</v>
      </c>
      <c r="BI430" s="19">
        <v>0</v>
      </c>
      <c r="BJ430" s="19">
        <v>0</v>
      </c>
      <c r="BK430" s="19">
        <v>0</v>
      </c>
      <c r="BL430" s="20">
        <v>0</v>
      </c>
      <c r="BM430" s="19">
        <v>0</v>
      </c>
      <c r="BN430" s="19">
        <v>0</v>
      </c>
      <c r="BO430" s="19">
        <v>0</v>
      </c>
      <c r="BP430" s="19">
        <v>0</v>
      </c>
      <c r="BQ430" s="19">
        <v>0</v>
      </c>
    </row>
    <row r="431" spans="1:69" ht="12" customHeight="1" outlineLevel="1">
      <c r="B431" s="1" t="s">
        <v>452</v>
      </c>
      <c r="C431" s="19"/>
      <c r="D431" s="21">
        <v>1011</v>
      </c>
      <c r="E431" s="21">
        <v>916</v>
      </c>
      <c r="F431" s="21">
        <v>1483</v>
      </c>
      <c r="G431" s="21">
        <v>1832</v>
      </c>
      <c r="H431" s="21">
        <v>2877</v>
      </c>
      <c r="I431" s="21">
        <v>2579</v>
      </c>
      <c r="J431" s="21">
        <v>2378</v>
      </c>
      <c r="K431" s="21">
        <v>2604</v>
      </c>
      <c r="L431" s="21">
        <v>3438</v>
      </c>
      <c r="M431" s="21">
        <v>3507</v>
      </c>
      <c r="N431" s="62">
        <v>3604</v>
      </c>
      <c r="O431" s="62">
        <v>4384</v>
      </c>
      <c r="P431" s="62">
        <v>5782</v>
      </c>
      <c r="Q431" s="62">
        <v>5209</v>
      </c>
      <c r="R431" s="62">
        <v>4942</v>
      </c>
      <c r="S431" s="62">
        <v>5748</v>
      </c>
      <c r="T431" s="62">
        <v>5380</v>
      </c>
      <c r="U431" s="62">
        <v>5392</v>
      </c>
      <c r="V431" s="62">
        <v>5883</v>
      </c>
      <c r="W431" s="62">
        <v>6963</v>
      </c>
      <c r="X431" s="62">
        <v>7246</v>
      </c>
      <c r="Y431" s="62">
        <v>7414</v>
      </c>
      <c r="Z431" s="62">
        <v>8411</v>
      </c>
      <c r="AA431" s="62">
        <v>9423</v>
      </c>
      <c r="AB431" s="62">
        <v>9961</v>
      </c>
      <c r="AC431" s="62">
        <v>9513</v>
      </c>
      <c r="AD431" s="62">
        <v>11457</v>
      </c>
      <c r="AE431" s="62">
        <v>12891</v>
      </c>
      <c r="AF431" s="62">
        <v>12833</v>
      </c>
      <c r="AG431" s="57">
        <v>14201</v>
      </c>
      <c r="AH431" s="58">
        <v>14201</v>
      </c>
      <c r="AI431" s="58">
        <v>14201</v>
      </c>
      <c r="AJ431" s="58">
        <v>14201</v>
      </c>
      <c r="AK431" s="58">
        <v>14201</v>
      </c>
      <c r="AL431" s="58">
        <v>14201</v>
      </c>
      <c r="AM431" s="58">
        <v>14201</v>
      </c>
      <c r="AN431" s="58">
        <v>14201</v>
      </c>
      <c r="AO431" s="58">
        <v>14201</v>
      </c>
      <c r="AP431" s="58">
        <v>14201</v>
      </c>
      <c r="AQ431" s="58">
        <v>14201</v>
      </c>
      <c r="AR431" s="19"/>
      <c r="AS431" s="21">
        <v>1359</v>
      </c>
      <c r="AT431" s="21">
        <v>1115</v>
      </c>
      <c r="AU431" s="21">
        <v>1783</v>
      </c>
      <c r="AV431" s="21">
        <v>1704</v>
      </c>
      <c r="AW431" s="21">
        <v>1496</v>
      </c>
      <c r="AX431" s="19">
        <v>916</v>
      </c>
      <c r="AY431" s="19">
        <v>1832</v>
      </c>
      <c r="AZ431" s="19">
        <v>2579</v>
      </c>
      <c r="BA431" s="19">
        <v>2604</v>
      </c>
      <c r="BB431" s="19">
        <v>3507</v>
      </c>
      <c r="BC431" s="19">
        <v>4384</v>
      </c>
      <c r="BD431" s="19">
        <v>5209</v>
      </c>
      <c r="BE431" s="19">
        <v>5748</v>
      </c>
      <c r="BF431" s="19">
        <v>5392</v>
      </c>
      <c r="BG431" s="19">
        <v>6963</v>
      </c>
      <c r="BH431" s="19">
        <v>7414</v>
      </c>
      <c r="BI431" s="19">
        <v>9423</v>
      </c>
      <c r="BJ431" s="19">
        <v>9513</v>
      </c>
      <c r="BK431" s="19">
        <v>12891</v>
      </c>
      <c r="BL431" s="20">
        <v>14201</v>
      </c>
      <c r="BM431" s="19">
        <v>14201</v>
      </c>
      <c r="BN431" s="19">
        <v>14201</v>
      </c>
      <c r="BO431" s="19">
        <v>14201</v>
      </c>
      <c r="BP431" s="19">
        <v>14201</v>
      </c>
      <c r="BQ431" s="19">
        <v>14201</v>
      </c>
    </row>
    <row r="432" spans="1:69" ht="12" customHeight="1" outlineLevel="1">
      <c r="B432" s="1" t="s">
        <v>453</v>
      </c>
      <c r="C432" s="19"/>
      <c r="D432" s="21">
        <v>522</v>
      </c>
      <c r="E432" s="21">
        <v>499</v>
      </c>
      <c r="F432" s="21">
        <v>487</v>
      </c>
      <c r="G432" s="21">
        <v>467</v>
      </c>
      <c r="H432" s="21">
        <v>149</v>
      </c>
      <c r="I432" s="21">
        <v>150</v>
      </c>
      <c r="J432" s="21">
        <v>0</v>
      </c>
      <c r="K432" s="21">
        <v>0</v>
      </c>
      <c r="L432" s="21">
        <v>0</v>
      </c>
      <c r="M432" s="21">
        <v>0</v>
      </c>
      <c r="N432" s="62">
        <v>0</v>
      </c>
      <c r="O432" s="62">
        <v>0</v>
      </c>
      <c r="P432" s="62">
        <v>0</v>
      </c>
      <c r="Q432" s="62">
        <v>0</v>
      </c>
      <c r="R432" s="62">
        <v>0</v>
      </c>
      <c r="S432" s="62">
        <v>0</v>
      </c>
      <c r="T432" s="62">
        <v>0</v>
      </c>
      <c r="U432" s="62">
        <v>0</v>
      </c>
      <c r="V432" s="62">
        <v>0</v>
      </c>
      <c r="W432" s="62">
        <v>0</v>
      </c>
      <c r="X432" s="62">
        <v>0</v>
      </c>
      <c r="Y432" s="62">
        <v>0</v>
      </c>
      <c r="Z432" s="62">
        <v>0</v>
      </c>
      <c r="AA432" s="62">
        <v>0</v>
      </c>
      <c r="AB432" s="62">
        <v>0</v>
      </c>
      <c r="AC432" s="62">
        <v>0</v>
      </c>
      <c r="AD432" s="62">
        <v>0</v>
      </c>
      <c r="AE432" s="62">
        <v>0</v>
      </c>
      <c r="AF432" s="62">
        <v>0</v>
      </c>
      <c r="AG432" s="57">
        <v>0</v>
      </c>
      <c r="AH432" s="58">
        <v>0</v>
      </c>
      <c r="AI432" s="58">
        <v>0</v>
      </c>
      <c r="AJ432" s="58">
        <v>0</v>
      </c>
      <c r="AK432" s="58">
        <v>0</v>
      </c>
      <c r="AL432" s="58">
        <v>0</v>
      </c>
      <c r="AM432" s="58">
        <v>0</v>
      </c>
      <c r="AN432" s="58">
        <v>0</v>
      </c>
      <c r="AO432" s="58">
        <v>0</v>
      </c>
      <c r="AP432" s="58">
        <v>0</v>
      </c>
      <c r="AQ432" s="58">
        <v>0</v>
      </c>
      <c r="AR432" s="19"/>
      <c r="AS432" s="21">
        <v>0</v>
      </c>
      <c r="AT432" s="21">
        <v>266</v>
      </c>
      <c r="AU432" s="21">
        <v>888</v>
      </c>
      <c r="AV432" s="21">
        <v>646</v>
      </c>
      <c r="AW432" s="21">
        <v>451</v>
      </c>
      <c r="AX432" s="19">
        <v>499</v>
      </c>
      <c r="AY432" s="19">
        <v>467</v>
      </c>
      <c r="AZ432" s="19">
        <v>150</v>
      </c>
      <c r="BA432" s="19">
        <v>0</v>
      </c>
      <c r="BB432" s="19">
        <v>0</v>
      </c>
      <c r="BC432" s="19">
        <v>0</v>
      </c>
      <c r="BD432" s="19">
        <v>0</v>
      </c>
      <c r="BE432" s="19">
        <v>0</v>
      </c>
      <c r="BF432" s="19">
        <v>0</v>
      </c>
      <c r="BG432" s="19">
        <v>0</v>
      </c>
      <c r="BH432" s="19">
        <v>0</v>
      </c>
      <c r="BI432" s="19">
        <v>0</v>
      </c>
      <c r="BJ432" s="19">
        <v>0</v>
      </c>
      <c r="BK432" s="19">
        <v>0</v>
      </c>
      <c r="BL432" s="20">
        <v>0</v>
      </c>
      <c r="BM432" s="19">
        <v>0</v>
      </c>
      <c r="BN432" s="19">
        <v>0</v>
      </c>
      <c r="BO432" s="19">
        <v>0</v>
      </c>
      <c r="BP432" s="19">
        <v>0</v>
      </c>
      <c r="BQ432" s="19">
        <v>0</v>
      </c>
    </row>
    <row r="433" spans="1:69" ht="12" hidden="1" customHeight="1" outlineLevel="2">
      <c r="B433" s="1" t="s">
        <v>173</v>
      </c>
      <c r="D433" s="21"/>
      <c r="E433" s="21"/>
      <c r="F433" s="21"/>
      <c r="G433" s="21"/>
      <c r="H433" s="21"/>
      <c r="I433" s="21"/>
      <c r="J433" s="21"/>
      <c r="K433" s="21"/>
      <c r="L433" s="21"/>
      <c r="M433" s="21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20"/>
      <c r="AH433" s="19"/>
      <c r="AI433" s="19"/>
      <c r="AJ433" s="19"/>
      <c r="AK433" s="19"/>
      <c r="AL433" s="19"/>
      <c r="AM433" s="19"/>
      <c r="AN433" s="19"/>
      <c r="AO433" s="19"/>
      <c r="AP433" s="19"/>
      <c r="AQ433" s="19"/>
      <c r="AS433" s="21"/>
      <c r="AT433" s="21"/>
      <c r="AU433" s="21"/>
      <c r="AV433" s="21"/>
      <c r="AW433" s="21"/>
      <c r="AX433" s="19">
        <v>0</v>
      </c>
      <c r="AY433" s="19">
        <v>0</v>
      </c>
      <c r="AZ433" s="19">
        <v>0</v>
      </c>
      <c r="BA433" s="19">
        <v>0</v>
      </c>
      <c r="BB433" s="19">
        <v>0</v>
      </c>
      <c r="BC433" s="19">
        <v>0</v>
      </c>
      <c r="BD433" s="19">
        <v>0</v>
      </c>
      <c r="BE433" s="19">
        <v>0</v>
      </c>
      <c r="BF433" s="19">
        <v>0</v>
      </c>
      <c r="BG433" s="19">
        <v>0</v>
      </c>
      <c r="BH433" s="19">
        <v>0</v>
      </c>
      <c r="BI433" s="19">
        <v>0</v>
      </c>
      <c r="BJ433" s="19">
        <v>0</v>
      </c>
      <c r="BK433" s="19">
        <v>0</v>
      </c>
      <c r="BL433" s="20">
        <v>0</v>
      </c>
      <c r="BM433" s="19">
        <v>0</v>
      </c>
      <c r="BN433" s="19">
        <v>0</v>
      </c>
      <c r="BO433" s="19">
        <v>0</v>
      </c>
      <c r="BP433" s="19">
        <v>0</v>
      </c>
      <c r="BQ433" s="19">
        <v>0</v>
      </c>
    </row>
    <row r="434" spans="1:69" ht="12" hidden="1" customHeight="1" outlineLevel="2">
      <c r="B434" s="1" t="s">
        <v>173</v>
      </c>
      <c r="D434" s="21"/>
      <c r="E434" s="21"/>
      <c r="F434" s="21"/>
      <c r="G434" s="21"/>
      <c r="H434" s="21"/>
      <c r="I434" s="21"/>
      <c r="J434" s="21"/>
      <c r="K434" s="21"/>
      <c r="L434" s="21"/>
      <c r="M434" s="21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20"/>
      <c r="AH434" s="19"/>
      <c r="AI434" s="19"/>
      <c r="AJ434" s="19"/>
      <c r="AK434" s="19"/>
      <c r="AL434" s="19"/>
      <c r="AM434" s="19"/>
      <c r="AN434" s="19"/>
      <c r="AO434" s="19"/>
      <c r="AP434" s="19"/>
      <c r="AQ434" s="19"/>
      <c r="AS434" s="21"/>
      <c r="AT434" s="21"/>
      <c r="AU434" s="21"/>
      <c r="AV434" s="21"/>
      <c r="AW434" s="21"/>
      <c r="AX434" s="19">
        <v>0</v>
      </c>
      <c r="AY434" s="19">
        <v>0</v>
      </c>
      <c r="AZ434" s="19">
        <v>0</v>
      </c>
      <c r="BA434" s="19">
        <v>0</v>
      </c>
      <c r="BB434" s="19">
        <v>0</v>
      </c>
      <c r="BC434" s="19">
        <v>0</v>
      </c>
      <c r="BD434" s="19">
        <v>0</v>
      </c>
      <c r="BE434" s="19">
        <v>0</v>
      </c>
      <c r="BF434" s="19">
        <v>0</v>
      </c>
      <c r="BG434" s="19">
        <v>0</v>
      </c>
      <c r="BH434" s="19">
        <v>0</v>
      </c>
      <c r="BI434" s="19">
        <v>0</v>
      </c>
      <c r="BJ434" s="19">
        <v>0</v>
      </c>
      <c r="BK434" s="19">
        <v>0</v>
      </c>
      <c r="BL434" s="20">
        <v>0</v>
      </c>
      <c r="BM434" s="19">
        <v>0</v>
      </c>
      <c r="BN434" s="19">
        <v>0</v>
      </c>
      <c r="BO434" s="19">
        <v>0</v>
      </c>
      <c r="BP434" s="19">
        <v>0</v>
      </c>
      <c r="BQ434" s="19">
        <v>0</v>
      </c>
    </row>
    <row r="435" spans="1:69" ht="12" hidden="1" customHeight="1" outlineLevel="2">
      <c r="B435" s="1" t="s">
        <v>173</v>
      </c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20"/>
      <c r="AH435" s="19"/>
      <c r="AI435" s="19"/>
      <c r="AJ435" s="19"/>
      <c r="AK435" s="19"/>
      <c r="AL435" s="19"/>
      <c r="AM435" s="19"/>
      <c r="AN435" s="19"/>
      <c r="AO435" s="19"/>
      <c r="AP435" s="19"/>
      <c r="AQ435" s="19"/>
      <c r="AS435" s="21"/>
      <c r="AT435" s="21"/>
      <c r="AU435" s="21"/>
      <c r="AV435" s="21"/>
      <c r="AW435" s="21"/>
      <c r="AX435" s="19">
        <v>0</v>
      </c>
      <c r="AY435" s="19">
        <v>0</v>
      </c>
      <c r="AZ435" s="19">
        <v>0</v>
      </c>
      <c r="BA435" s="19">
        <v>0</v>
      </c>
      <c r="BB435" s="19">
        <v>0</v>
      </c>
      <c r="BC435" s="19">
        <v>0</v>
      </c>
      <c r="BD435" s="19">
        <v>0</v>
      </c>
      <c r="BE435" s="19">
        <v>0</v>
      </c>
      <c r="BF435" s="19">
        <v>0</v>
      </c>
      <c r="BG435" s="19">
        <v>0</v>
      </c>
      <c r="BH435" s="19">
        <v>0</v>
      </c>
      <c r="BI435" s="19">
        <v>0</v>
      </c>
      <c r="BJ435" s="19">
        <v>0</v>
      </c>
      <c r="BK435" s="19">
        <v>0</v>
      </c>
      <c r="BL435" s="20">
        <v>0</v>
      </c>
      <c r="BM435" s="19">
        <v>0</v>
      </c>
      <c r="BN435" s="19">
        <v>0</v>
      </c>
      <c r="BO435" s="19">
        <v>0</v>
      </c>
      <c r="BP435" s="19">
        <v>0</v>
      </c>
      <c r="BQ435" s="19">
        <v>0</v>
      </c>
    </row>
    <row r="436" spans="1:69" ht="12" hidden="1" customHeight="1" outlineLevel="2">
      <c r="B436" s="1" t="s">
        <v>173</v>
      </c>
      <c r="D436" s="21"/>
      <c r="E436" s="21"/>
      <c r="F436" s="21"/>
      <c r="G436" s="21"/>
      <c r="H436" s="21"/>
      <c r="I436" s="21"/>
      <c r="J436" s="21"/>
      <c r="K436" s="21"/>
      <c r="L436" s="21"/>
      <c r="M436" s="21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20"/>
      <c r="AH436" s="19"/>
      <c r="AI436" s="19"/>
      <c r="AJ436" s="19"/>
      <c r="AK436" s="19"/>
      <c r="AL436" s="19"/>
      <c r="AM436" s="19"/>
      <c r="AN436" s="19"/>
      <c r="AO436" s="19"/>
      <c r="AP436" s="19"/>
      <c r="AQ436" s="19"/>
      <c r="AS436" s="21"/>
      <c r="AT436" s="21"/>
      <c r="AU436" s="21"/>
      <c r="AV436" s="21"/>
      <c r="AW436" s="21"/>
      <c r="AX436" s="19">
        <v>0</v>
      </c>
      <c r="AY436" s="19">
        <v>0</v>
      </c>
      <c r="AZ436" s="19">
        <v>0</v>
      </c>
      <c r="BA436" s="19">
        <v>0</v>
      </c>
      <c r="BB436" s="19">
        <v>0</v>
      </c>
      <c r="BC436" s="19">
        <v>0</v>
      </c>
      <c r="BD436" s="19">
        <v>0</v>
      </c>
      <c r="BE436" s="19">
        <v>0</v>
      </c>
      <c r="BF436" s="19">
        <v>0</v>
      </c>
      <c r="BG436" s="19">
        <v>0</v>
      </c>
      <c r="BH436" s="19">
        <v>0</v>
      </c>
      <c r="BI436" s="19">
        <v>0</v>
      </c>
      <c r="BJ436" s="19">
        <v>0</v>
      </c>
      <c r="BK436" s="19">
        <v>0</v>
      </c>
      <c r="BL436" s="20">
        <v>0</v>
      </c>
      <c r="BM436" s="19">
        <v>0</v>
      </c>
      <c r="BN436" s="19">
        <v>0</v>
      </c>
      <c r="BO436" s="19">
        <v>0</v>
      </c>
      <c r="BP436" s="19">
        <v>0</v>
      </c>
      <c r="BQ436" s="19">
        <v>0</v>
      </c>
    </row>
    <row r="437" spans="1:69" ht="12" hidden="1" customHeight="1" outlineLevel="2">
      <c r="B437" s="1" t="s">
        <v>173</v>
      </c>
      <c r="D437" s="21"/>
      <c r="E437" s="21"/>
      <c r="F437" s="21"/>
      <c r="G437" s="21"/>
      <c r="H437" s="21"/>
      <c r="I437" s="21"/>
      <c r="J437" s="21"/>
      <c r="K437" s="21"/>
      <c r="L437" s="21"/>
      <c r="M437" s="21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20"/>
      <c r="AH437" s="19"/>
      <c r="AI437" s="19"/>
      <c r="AJ437" s="19"/>
      <c r="AK437" s="19"/>
      <c r="AL437" s="19"/>
      <c r="AM437" s="19"/>
      <c r="AN437" s="19"/>
      <c r="AO437" s="19"/>
      <c r="AP437" s="19"/>
      <c r="AQ437" s="19"/>
      <c r="AS437" s="21"/>
      <c r="AT437" s="21"/>
      <c r="AU437" s="21"/>
      <c r="AV437" s="21"/>
      <c r="AW437" s="21"/>
      <c r="AX437" s="19">
        <v>0</v>
      </c>
      <c r="AY437" s="19">
        <v>0</v>
      </c>
      <c r="AZ437" s="19">
        <v>0</v>
      </c>
      <c r="BA437" s="19">
        <v>0</v>
      </c>
      <c r="BB437" s="19">
        <v>0</v>
      </c>
      <c r="BC437" s="19">
        <v>0</v>
      </c>
      <c r="BD437" s="19">
        <v>0</v>
      </c>
      <c r="BE437" s="19">
        <v>0</v>
      </c>
      <c r="BF437" s="19">
        <v>0</v>
      </c>
      <c r="BG437" s="19">
        <v>0</v>
      </c>
      <c r="BH437" s="19">
        <v>0</v>
      </c>
      <c r="BI437" s="19">
        <v>0</v>
      </c>
      <c r="BJ437" s="19">
        <v>0</v>
      </c>
      <c r="BK437" s="19">
        <v>0</v>
      </c>
      <c r="BL437" s="20">
        <v>0</v>
      </c>
      <c r="BM437" s="19">
        <v>0</v>
      </c>
      <c r="BN437" s="19">
        <v>0</v>
      </c>
      <c r="BO437" s="19">
        <v>0</v>
      </c>
      <c r="BP437" s="19">
        <v>0</v>
      </c>
      <c r="BQ437" s="19">
        <v>0</v>
      </c>
    </row>
    <row r="438" spans="1:69" ht="12" hidden="1" customHeight="1" outlineLevel="2">
      <c r="B438" s="1" t="s">
        <v>173</v>
      </c>
      <c r="D438" s="21"/>
      <c r="E438" s="21"/>
      <c r="F438" s="21"/>
      <c r="G438" s="21"/>
      <c r="H438" s="21"/>
      <c r="I438" s="21"/>
      <c r="J438" s="21"/>
      <c r="K438" s="21"/>
      <c r="L438" s="21"/>
      <c r="M438" s="21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20"/>
      <c r="AH438" s="19"/>
      <c r="AI438" s="19"/>
      <c r="AJ438" s="19"/>
      <c r="AK438" s="19"/>
      <c r="AL438" s="19"/>
      <c r="AM438" s="19"/>
      <c r="AN438" s="19"/>
      <c r="AO438" s="19"/>
      <c r="AP438" s="19"/>
      <c r="AQ438" s="19"/>
      <c r="AS438" s="21"/>
      <c r="AT438" s="21"/>
      <c r="AU438" s="21"/>
      <c r="AV438" s="21"/>
      <c r="AW438" s="21"/>
      <c r="AX438" s="19">
        <v>0</v>
      </c>
      <c r="AY438" s="19">
        <v>0</v>
      </c>
      <c r="AZ438" s="19">
        <v>0</v>
      </c>
      <c r="BA438" s="19">
        <v>0</v>
      </c>
      <c r="BB438" s="19">
        <v>0</v>
      </c>
      <c r="BC438" s="19">
        <v>0</v>
      </c>
      <c r="BD438" s="19">
        <v>0</v>
      </c>
      <c r="BE438" s="19">
        <v>0</v>
      </c>
      <c r="BF438" s="19">
        <v>0</v>
      </c>
      <c r="BG438" s="19">
        <v>0</v>
      </c>
      <c r="BH438" s="19">
        <v>0</v>
      </c>
      <c r="BI438" s="19">
        <v>0</v>
      </c>
      <c r="BJ438" s="19">
        <v>0</v>
      </c>
      <c r="BK438" s="19">
        <v>0</v>
      </c>
      <c r="BL438" s="20">
        <v>0</v>
      </c>
      <c r="BM438" s="19">
        <v>0</v>
      </c>
      <c r="BN438" s="19">
        <v>0</v>
      </c>
      <c r="BO438" s="19">
        <v>0</v>
      </c>
      <c r="BP438" s="19">
        <v>0</v>
      </c>
      <c r="BQ438" s="19">
        <v>0</v>
      </c>
    </row>
    <row r="439" spans="1:69" ht="12" hidden="1" customHeight="1" outlineLevel="2">
      <c r="B439" s="1" t="s">
        <v>173</v>
      </c>
      <c r="D439" s="21"/>
      <c r="E439" s="21"/>
      <c r="F439" s="21"/>
      <c r="G439" s="21"/>
      <c r="H439" s="21"/>
      <c r="I439" s="21"/>
      <c r="J439" s="21"/>
      <c r="K439" s="21"/>
      <c r="L439" s="21"/>
      <c r="M439" s="21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20"/>
      <c r="AH439" s="19"/>
      <c r="AI439" s="19"/>
      <c r="AJ439" s="19"/>
      <c r="AK439" s="19"/>
      <c r="AL439" s="19"/>
      <c r="AM439" s="19"/>
      <c r="AN439" s="19"/>
      <c r="AO439" s="19"/>
      <c r="AP439" s="19"/>
      <c r="AQ439" s="19"/>
      <c r="AS439" s="21"/>
      <c r="AT439" s="21"/>
      <c r="AU439" s="21"/>
      <c r="AV439" s="21"/>
      <c r="AW439" s="21"/>
      <c r="AX439" s="19">
        <v>0</v>
      </c>
      <c r="AY439" s="19">
        <v>0</v>
      </c>
      <c r="AZ439" s="19">
        <v>0</v>
      </c>
      <c r="BA439" s="19">
        <v>0</v>
      </c>
      <c r="BB439" s="19">
        <v>0</v>
      </c>
      <c r="BC439" s="19">
        <v>0</v>
      </c>
      <c r="BD439" s="19">
        <v>0</v>
      </c>
      <c r="BE439" s="19">
        <v>0</v>
      </c>
      <c r="BF439" s="19">
        <v>0</v>
      </c>
      <c r="BG439" s="19">
        <v>0</v>
      </c>
      <c r="BH439" s="19">
        <v>0</v>
      </c>
      <c r="BI439" s="19">
        <v>0</v>
      </c>
      <c r="BJ439" s="19">
        <v>0</v>
      </c>
      <c r="BK439" s="19">
        <v>0</v>
      </c>
      <c r="BL439" s="20">
        <v>0</v>
      </c>
      <c r="BM439" s="19">
        <v>0</v>
      </c>
      <c r="BN439" s="19">
        <v>0</v>
      </c>
      <c r="BO439" s="19">
        <v>0</v>
      </c>
      <c r="BP439" s="19">
        <v>0</v>
      </c>
      <c r="BQ439" s="19">
        <v>0</v>
      </c>
    </row>
    <row r="440" spans="1:69" ht="12" hidden="1" customHeight="1" outlineLevel="2">
      <c r="B440" s="1" t="s">
        <v>173</v>
      </c>
      <c r="D440" s="21"/>
      <c r="E440" s="21"/>
      <c r="F440" s="21"/>
      <c r="G440" s="21"/>
      <c r="H440" s="21"/>
      <c r="I440" s="21"/>
      <c r="J440" s="21"/>
      <c r="K440" s="21"/>
      <c r="L440" s="21"/>
      <c r="M440" s="21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20"/>
      <c r="AH440" s="19"/>
      <c r="AI440" s="19"/>
      <c r="AJ440" s="19"/>
      <c r="AK440" s="19"/>
      <c r="AL440" s="19"/>
      <c r="AM440" s="19"/>
      <c r="AN440" s="19"/>
      <c r="AO440" s="19"/>
      <c r="AP440" s="19"/>
      <c r="AQ440" s="19"/>
      <c r="AS440" s="21"/>
      <c r="AT440" s="21"/>
      <c r="AU440" s="21"/>
      <c r="AV440" s="21"/>
      <c r="AW440" s="21"/>
      <c r="AX440" s="19">
        <v>0</v>
      </c>
      <c r="AY440" s="19">
        <v>0</v>
      </c>
      <c r="AZ440" s="19">
        <v>0</v>
      </c>
      <c r="BA440" s="19">
        <v>0</v>
      </c>
      <c r="BB440" s="19">
        <v>0</v>
      </c>
      <c r="BC440" s="19">
        <v>0</v>
      </c>
      <c r="BD440" s="19">
        <v>0</v>
      </c>
      <c r="BE440" s="19">
        <v>0</v>
      </c>
      <c r="BF440" s="19">
        <v>0</v>
      </c>
      <c r="BG440" s="19">
        <v>0</v>
      </c>
      <c r="BH440" s="19">
        <v>0</v>
      </c>
      <c r="BI440" s="19">
        <v>0</v>
      </c>
      <c r="BJ440" s="19">
        <v>0</v>
      </c>
      <c r="BK440" s="19">
        <v>0</v>
      </c>
      <c r="BL440" s="20">
        <v>0</v>
      </c>
      <c r="BM440" s="19">
        <v>0</v>
      </c>
      <c r="BN440" s="19">
        <v>0</v>
      </c>
      <c r="BO440" s="19">
        <v>0</v>
      </c>
      <c r="BP440" s="19">
        <v>0</v>
      </c>
      <c r="BQ440" s="19">
        <v>0</v>
      </c>
    </row>
    <row r="441" spans="1:69" ht="12" hidden="1" customHeight="1" outlineLevel="2">
      <c r="B441" s="1" t="s">
        <v>173</v>
      </c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20"/>
      <c r="AH441" s="19"/>
      <c r="AI441" s="19"/>
      <c r="AJ441" s="19"/>
      <c r="AK441" s="19"/>
      <c r="AL441" s="19"/>
      <c r="AM441" s="19"/>
      <c r="AN441" s="19"/>
      <c r="AO441" s="19"/>
      <c r="AP441" s="19"/>
      <c r="AQ441" s="19"/>
      <c r="AS441" s="21"/>
      <c r="AT441" s="21"/>
      <c r="AU441" s="21"/>
      <c r="AV441" s="21"/>
      <c r="AW441" s="21"/>
      <c r="AX441" s="19">
        <v>0</v>
      </c>
      <c r="AY441" s="19">
        <v>0</v>
      </c>
      <c r="AZ441" s="19">
        <v>0</v>
      </c>
      <c r="BA441" s="19">
        <v>0</v>
      </c>
      <c r="BB441" s="19">
        <v>0</v>
      </c>
      <c r="BC441" s="19">
        <v>0</v>
      </c>
      <c r="BD441" s="19">
        <v>0</v>
      </c>
      <c r="BE441" s="19">
        <v>0</v>
      </c>
      <c r="BF441" s="19">
        <v>0</v>
      </c>
      <c r="BG441" s="19">
        <v>0</v>
      </c>
      <c r="BH441" s="19">
        <v>0</v>
      </c>
      <c r="BI441" s="19">
        <v>0</v>
      </c>
      <c r="BJ441" s="19">
        <v>0</v>
      </c>
      <c r="BK441" s="19">
        <v>0</v>
      </c>
      <c r="BL441" s="20">
        <v>0</v>
      </c>
      <c r="BM441" s="19">
        <v>0</v>
      </c>
      <c r="BN441" s="19">
        <v>0</v>
      </c>
      <c r="BO441" s="19">
        <v>0</v>
      </c>
      <c r="BP441" s="19">
        <v>0</v>
      </c>
      <c r="BQ441" s="19">
        <v>0</v>
      </c>
    </row>
    <row r="442" spans="1:69" ht="12" hidden="1" customHeight="1" outlineLevel="2">
      <c r="B442" s="1" t="s">
        <v>173</v>
      </c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27"/>
      <c r="AH442" s="30"/>
      <c r="AI442" s="30"/>
      <c r="AJ442" s="30"/>
      <c r="AK442" s="30"/>
      <c r="AL442" s="30"/>
      <c r="AM442" s="30"/>
      <c r="AN442" s="30"/>
      <c r="AO442" s="30"/>
      <c r="AP442" s="30"/>
      <c r="AQ442" s="30"/>
      <c r="AS442" s="22"/>
      <c r="AT442" s="22"/>
      <c r="AU442" s="22"/>
      <c r="AV442" s="22"/>
      <c r="AW442" s="22"/>
      <c r="AX442" s="19">
        <v>0</v>
      </c>
      <c r="AY442" s="19">
        <v>0</v>
      </c>
      <c r="AZ442" s="19">
        <v>0</v>
      </c>
      <c r="BA442" s="19">
        <v>0</v>
      </c>
      <c r="BB442" s="19">
        <v>0</v>
      </c>
      <c r="BC442" s="19">
        <v>0</v>
      </c>
      <c r="BD442" s="19">
        <v>0</v>
      </c>
      <c r="BE442" s="19">
        <v>0</v>
      </c>
      <c r="BF442" s="19">
        <v>0</v>
      </c>
      <c r="BG442" s="19">
        <v>0</v>
      </c>
      <c r="BH442" s="19">
        <v>0</v>
      </c>
      <c r="BI442" s="19">
        <v>0</v>
      </c>
      <c r="BJ442" s="19">
        <v>0</v>
      </c>
      <c r="BK442" s="19">
        <v>0</v>
      </c>
      <c r="BL442" s="20">
        <v>0</v>
      </c>
      <c r="BM442" s="19">
        <v>0</v>
      </c>
      <c r="BN442" s="19">
        <v>0</v>
      </c>
      <c r="BO442" s="19">
        <v>0</v>
      </c>
      <c r="BP442" s="19">
        <v>0</v>
      </c>
      <c r="BQ442" s="19">
        <v>0</v>
      </c>
    </row>
    <row r="443" spans="1:69" s="9" customFormat="1" ht="12" customHeight="1" outlineLevel="1" collapsed="1">
      <c r="A443" s="91" t="s">
        <v>1313</v>
      </c>
      <c r="B443" s="9" t="s">
        <v>184</v>
      </c>
      <c r="C443" s="17"/>
      <c r="D443" s="17">
        <v>135711</v>
      </c>
      <c r="E443" s="17">
        <v>134171</v>
      </c>
      <c r="F443" s="17">
        <v>146467</v>
      </c>
      <c r="G443" s="17">
        <v>145636</v>
      </c>
      <c r="H443" s="17">
        <v>162924</v>
      </c>
      <c r="I443" s="17">
        <v>141894</v>
      </c>
      <c r="J443" s="17">
        <v>140681</v>
      </c>
      <c r="K443" s="17">
        <v>132793</v>
      </c>
      <c r="L443" s="17">
        <v>141881</v>
      </c>
      <c r="M443" s="17">
        <v>141990</v>
      </c>
      <c r="N443" s="17">
        <v>150116</v>
      </c>
      <c r="O443" s="17">
        <v>173580</v>
      </c>
      <c r="P443" s="17">
        <v>193873</v>
      </c>
      <c r="Q443" s="17">
        <v>181091</v>
      </c>
      <c r="R443" s="17">
        <v>177630</v>
      </c>
      <c r="S443" s="17">
        <v>165607</v>
      </c>
      <c r="T443" s="17">
        <v>172661</v>
      </c>
      <c r="U443" s="17">
        <v>173145</v>
      </c>
      <c r="V443" s="17">
        <v>188439</v>
      </c>
      <c r="W443" s="17">
        <v>179393</v>
      </c>
      <c r="X443" s="17">
        <v>199183</v>
      </c>
      <c r="Y443" s="17">
        <v>234018</v>
      </c>
      <c r="Z443" s="17">
        <v>209946</v>
      </c>
      <c r="AA443" s="17">
        <v>223302</v>
      </c>
      <c r="AB443" s="17">
        <v>324153</v>
      </c>
      <c r="AC443" s="17">
        <v>370370</v>
      </c>
      <c r="AD443" s="17">
        <v>454887</v>
      </c>
      <c r="AE443" s="17">
        <v>353766</v>
      </c>
      <c r="AF443" s="17">
        <v>361456</v>
      </c>
      <c r="AG443" s="18">
        <v>369408</v>
      </c>
      <c r="AH443" s="17">
        <v>383842.60342031508</v>
      </c>
      <c r="AI443" s="17">
        <v>398332.4994466452</v>
      </c>
      <c r="AJ443" s="17">
        <v>406865.15030682826</v>
      </c>
      <c r="AK443" s="17">
        <v>415125.76780158328</v>
      </c>
      <c r="AL443" s="17">
        <v>424189.03548378067</v>
      </c>
      <c r="AM443" s="17">
        <v>432756.97922702599</v>
      </c>
      <c r="AN443" s="17">
        <v>442241.31278912531</v>
      </c>
      <c r="AO443" s="17">
        <v>451224.81725862046</v>
      </c>
      <c r="AP443" s="17">
        <v>461156.8491240188</v>
      </c>
      <c r="AQ443" s="17">
        <v>470567.3821861149</v>
      </c>
      <c r="AR443" s="17"/>
      <c r="AS443" s="17">
        <v>63555</v>
      </c>
      <c r="AT443" s="17">
        <v>100874</v>
      </c>
      <c r="AU443" s="17">
        <v>128870</v>
      </c>
      <c r="AV443" s="17">
        <v>157189</v>
      </c>
      <c r="AW443" s="17">
        <v>139584</v>
      </c>
      <c r="AX443" s="17">
        <v>134171</v>
      </c>
      <c r="AY443" s="17">
        <v>145636</v>
      </c>
      <c r="AZ443" s="17">
        <v>141894</v>
      </c>
      <c r="BA443" s="17">
        <v>132793</v>
      </c>
      <c r="BB443" s="17">
        <v>141990</v>
      </c>
      <c r="BC443" s="17">
        <v>173580</v>
      </c>
      <c r="BD443" s="17">
        <v>181091</v>
      </c>
      <c r="BE443" s="17">
        <v>165607</v>
      </c>
      <c r="BF443" s="17">
        <v>173145</v>
      </c>
      <c r="BG443" s="17">
        <v>179393</v>
      </c>
      <c r="BH443" s="17">
        <v>234018</v>
      </c>
      <c r="BI443" s="17">
        <v>223302</v>
      </c>
      <c r="BJ443" s="17">
        <v>370370</v>
      </c>
      <c r="BK443" s="17">
        <v>353766</v>
      </c>
      <c r="BL443" s="18">
        <v>369408</v>
      </c>
      <c r="BM443" s="17">
        <v>398332.4994466452</v>
      </c>
      <c r="BN443" s="17">
        <v>415125.76780158328</v>
      </c>
      <c r="BO443" s="17">
        <v>432756.97922702599</v>
      </c>
      <c r="BP443" s="17">
        <v>451224.81725862046</v>
      </c>
      <c r="BQ443" s="17">
        <v>470567.3821861149</v>
      </c>
    </row>
    <row r="444" spans="1:69" ht="12" customHeight="1" outlineLevel="1"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20"/>
      <c r="AH444" s="19"/>
      <c r="AI444" s="19"/>
      <c r="AJ444" s="19"/>
      <c r="AK444" s="19"/>
      <c r="AL444" s="19"/>
      <c r="AM444" s="19"/>
      <c r="AN444" s="19"/>
      <c r="AO444" s="19"/>
      <c r="AP444" s="19"/>
      <c r="AQ444" s="19"/>
      <c r="AR444" s="19"/>
      <c r="AS444" s="19"/>
      <c r="AT444" s="19"/>
      <c r="AU444" s="19"/>
      <c r="AV444" s="19"/>
      <c r="AW444" s="19"/>
      <c r="AX444" s="19"/>
      <c r="AY444" s="19"/>
      <c r="AZ444" s="19"/>
      <c r="BA444" s="19"/>
      <c r="BB444" s="19"/>
      <c r="BC444" s="19"/>
      <c r="BD444" s="19"/>
      <c r="BE444" s="19"/>
      <c r="BF444" s="19"/>
      <c r="BG444" s="19"/>
      <c r="BH444" s="19"/>
      <c r="BI444" s="19"/>
      <c r="BJ444" s="19"/>
      <c r="BK444" s="19"/>
      <c r="BL444" s="20"/>
      <c r="BM444" s="19"/>
      <c r="BN444" s="19"/>
      <c r="BO444" s="19"/>
      <c r="BP444" s="19"/>
      <c r="BQ444" s="19"/>
    </row>
    <row r="445" spans="1:69" ht="12" customHeight="1" outlineLevel="1">
      <c r="A445" s="91" t="s">
        <v>1308</v>
      </c>
      <c r="B445" s="1" t="s">
        <v>185</v>
      </c>
      <c r="C445" s="19"/>
      <c r="D445" s="19">
        <v>6267</v>
      </c>
      <c r="E445" s="19">
        <v>6990</v>
      </c>
      <c r="F445" s="19">
        <v>7063</v>
      </c>
      <c r="G445" s="19">
        <v>7140</v>
      </c>
      <c r="H445" s="19">
        <v>7079</v>
      </c>
      <c r="I445" s="19">
        <v>7127</v>
      </c>
      <c r="J445" s="19">
        <v>6876</v>
      </c>
      <c r="K445" s="19">
        <v>6882</v>
      </c>
      <c r="L445" s="19">
        <v>6884</v>
      </c>
      <c r="M445" s="19">
        <v>6075</v>
      </c>
      <c r="N445" s="19">
        <v>6041</v>
      </c>
      <c r="O445" s="19">
        <v>6901</v>
      </c>
      <c r="P445" s="19">
        <v>6911</v>
      </c>
      <c r="Q445" s="19">
        <v>7446</v>
      </c>
      <c r="R445" s="19">
        <v>7444</v>
      </c>
      <c r="S445" s="19">
        <v>7467</v>
      </c>
      <c r="T445" s="19">
        <v>7485</v>
      </c>
      <c r="U445" s="19">
        <v>7498</v>
      </c>
      <c r="V445" s="19">
        <v>7550</v>
      </c>
      <c r="W445" s="19">
        <v>7546</v>
      </c>
      <c r="X445" s="19">
        <v>9282</v>
      </c>
      <c r="Y445" s="19">
        <v>9290</v>
      </c>
      <c r="Z445" s="19">
        <v>10136</v>
      </c>
      <c r="AA445" s="19">
        <v>10164</v>
      </c>
      <c r="AB445" s="19">
        <v>11290</v>
      </c>
      <c r="AC445" s="19">
        <v>14156</v>
      </c>
      <c r="AD445" s="19">
        <v>14741</v>
      </c>
      <c r="AE445" s="19">
        <v>14735</v>
      </c>
      <c r="AF445" s="19">
        <v>14812</v>
      </c>
      <c r="AG445" s="20">
        <v>14156</v>
      </c>
      <c r="AH445" s="19">
        <v>13511.974700950001</v>
      </c>
      <c r="AI445" s="19">
        <v>12800.025299050001</v>
      </c>
      <c r="AJ445" s="19">
        <v>12800.025299050001</v>
      </c>
      <c r="AK445" s="19">
        <v>12800.025299050001</v>
      </c>
      <c r="AL445" s="19">
        <v>12800.025299050001</v>
      </c>
      <c r="AM445" s="19">
        <v>12800.025299050001</v>
      </c>
      <c r="AN445" s="19">
        <v>12800.025299050001</v>
      </c>
      <c r="AO445" s="19">
        <v>12800.025299050001</v>
      </c>
      <c r="AP445" s="19">
        <v>12800.025299050001</v>
      </c>
      <c r="AQ445" s="19">
        <v>12800.025299050001</v>
      </c>
      <c r="AR445" s="19"/>
      <c r="AS445" s="21">
        <v>1600</v>
      </c>
      <c r="AT445" s="21">
        <v>1916</v>
      </c>
      <c r="AU445" s="21">
        <v>3103</v>
      </c>
      <c r="AV445" s="19">
        <v>4534</v>
      </c>
      <c r="AW445" s="19">
        <v>4906</v>
      </c>
      <c r="AX445" s="19">
        <v>6990</v>
      </c>
      <c r="AY445" s="19">
        <v>7140</v>
      </c>
      <c r="AZ445" s="19">
        <v>7127</v>
      </c>
      <c r="BA445" s="19">
        <v>6882</v>
      </c>
      <c r="BB445" s="19">
        <v>6075</v>
      </c>
      <c r="BC445" s="19">
        <v>6901</v>
      </c>
      <c r="BD445" s="19">
        <v>7446</v>
      </c>
      <c r="BE445" s="19">
        <v>7467</v>
      </c>
      <c r="BF445" s="19">
        <v>7498</v>
      </c>
      <c r="BG445" s="19">
        <v>7546</v>
      </c>
      <c r="BH445" s="19">
        <v>9290</v>
      </c>
      <c r="BI445" s="19">
        <v>10164</v>
      </c>
      <c r="BJ445" s="19">
        <v>14156</v>
      </c>
      <c r="BK445" s="19">
        <v>14735</v>
      </c>
      <c r="BL445" s="20">
        <v>14156</v>
      </c>
      <c r="BM445" s="19">
        <v>12800.025299050001</v>
      </c>
      <c r="BN445" s="19">
        <v>12800.025299050001</v>
      </c>
      <c r="BO445" s="19">
        <v>12800.025299050001</v>
      </c>
      <c r="BP445" s="19">
        <v>12800.025299050001</v>
      </c>
      <c r="BQ445" s="19">
        <v>12800.025299050001</v>
      </c>
    </row>
    <row r="446" spans="1:69" ht="12" customHeight="1" outlineLevel="1">
      <c r="B446" s="1" t="s">
        <v>186</v>
      </c>
      <c r="C446" s="19"/>
      <c r="D446" s="19">
        <v>-2</v>
      </c>
      <c r="E446" s="19">
        <v>-443</v>
      </c>
      <c r="F446" s="19">
        <v>-719</v>
      </c>
      <c r="G446" s="19">
        <v>-731</v>
      </c>
      <c r="H446" s="19">
        <v>-993</v>
      </c>
      <c r="I446" s="19">
        <v>-974</v>
      </c>
      <c r="J446" s="19">
        <v>-1063</v>
      </c>
      <c r="K446" s="19">
        <v>-1011</v>
      </c>
      <c r="L446" s="19">
        <v>-1025</v>
      </c>
      <c r="M446" s="19">
        <v>-990</v>
      </c>
      <c r="N446" s="19">
        <v>-1003</v>
      </c>
      <c r="O446" s="19">
        <v>-971</v>
      </c>
      <c r="P446" s="19">
        <v>-1088</v>
      </c>
      <c r="Q446" s="19">
        <v>-1036</v>
      </c>
      <c r="R446" s="19">
        <v>-1221</v>
      </c>
      <c r="S446" s="19">
        <v>-1187</v>
      </c>
      <c r="T446" s="19">
        <v>-1307</v>
      </c>
      <c r="U446" s="19">
        <v>-1264</v>
      </c>
      <c r="V446" s="19">
        <v>-1413</v>
      </c>
      <c r="W446" s="19">
        <v>-1372</v>
      </c>
      <c r="X446" s="19">
        <v>-1568</v>
      </c>
      <c r="Y446" s="19">
        <v>-1446</v>
      </c>
      <c r="Z446" s="19">
        <v>-1702</v>
      </c>
      <c r="AA446" s="19">
        <v>-1633</v>
      </c>
      <c r="AB446" s="19">
        <v>-1896</v>
      </c>
      <c r="AC446" s="19">
        <v>-1858</v>
      </c>
      <c r="AD446" s="19">
        <v>-2389</v>
      </c>
      <c r="AE446" s="19">
        <v>-2328</v>
      </c>
      <c r="AF446" s="19">
        <v>-2871</v>
      </c>
      <c r="AG446" s="20">
        <v>-2784</v>
      </c>
      <c r="AH446" s="19">
        <v>-2784</v>
      </c>
      <c r="AI446" s="19">
        <v>-2784</v>
      </c>
      <c r="AJ446" s="19">
        <v>-2784</v>
      </c>
      <c r="AK446" s="19">
        <v>-2784</v>
      </c>
      <c r="AL446" s="19">
        <v>-2784</v>
      </c>
      <c r="AM446" s="19">
        <v>-2784</v>
      </c>
      <c r="AN446" s="19">
        <v>-2784</v>
      </c>
      <c r="AO446" s="19">
        <v>-2784</v>
      </c>
      <c r="AP446" s="19">
        <v>-2784</v>
      </c>
      <c r="AQ446" s="19">
        <v>-2784</v>
      </c>
      <c r="AR446" s="19"/>
      <c r="AS446" s="21">
        <v>-7</v>
      </c>
      <c r="AT446" s="21">
        <v>-2</v>
      </c>
      <c r="AU446" s="21">
        <v>-7</v>
      </c>
      <c r="AV446" s="19">
        <v>-12</v>
      </c>
      <c r="AW446" s="19">
        <v>-2</v>
      </c>
      <c r="AX446" s="19">
        <v>-443</v>
      </c>
      <c r="AY446" s="19">
        <v>-731</v>
      </c>
      <c r="AZ446" s="19">
        <v>-974</v>
      </c>
      <c r="BA446" s="19">
        <v>-1011</v>
      </c>
      <c r="BB446" s="19">
        <v>-990</v>
      </c>
      <c r="BC446" s="19">
        <v>-971</v>
      </c>
      <c r="BD446" s="19">
        <v>-1036</v>
      </c>
      <c r="BE446" s="19">
        <v>-1187</v>
      </c>
      <c r="BF446" s="19">
        <v>-1264</v>
      </c>
      <c r="BG446" s="19">
        <v>-1372</v>
      </c>
      <c r="BH446" s="19">
        <v>-1446</v>
      </c>
      <c r="BI446" s="19">
        <v>-1633</v>
      </c>
      <c r="BJ446" s="19">
        <v>-1858</v>
      </c>
      <c r="BK446" s="19">
        <v>-2328</v>
      </c>
      <c r="BL446" s="20">
        <v>-2784</v>
      </c>
      <c r="BM446" s="19">
        <v>-2784</v>
      </c>
      <c r="BN446" s="19">
        <v>-2784</v>
      </c>
      <c r="BO446" s="19">
        <v>-2784</v>
      </c>
      <c r="BP446" s="19">
        <v>-2784</v>
      </c>
      <c r="BQ446" s="19">
        <v>-2784</v>
      </c>
    </row>
    <row r="447" spans="1:69" ht="12" customHeight="1" outlineLevel="1">
      <c r="B447" s="1" t="s">
        <v>195</v>
      </c>
      <c r="C447" s="19"/>
      <c r="D447" s="19">
        <v>159</v>
      </c>
      <c r="E447" s="19">
        <v>137</v>
      </c>
      <c r="F447" s="19">
        <v>129</v>
      </c>
      <c r="G447" s="19">
        <v>104</v>
      </c>
      <c r="H447" s="19">
        <v>98</v>
      </c>
      <c r="I447" s="19">
        <v>82</v>
      </c>
      <c r="J447" s="19">
        <v>69</v>
      </c>
      <c r="K447" s="19">
        <v>36</v>
      </c>
      <c r="L447" s="19">
        <v>34</v>
      </c>
      <c r="M447" s="19">
        <v>27</v>
      </c>
      <c r="N447" s="19">
        <v>25</v>
      </c>
      <c r="O447" s="19">
        <v>17</v>
      </c>
      <c r="P447" s="19">
        <v>13</v>
      </c>
      <c r="Q447" s="19">
        <v>12</v>
      </c>
      <c r="R447" s="19">
        <v>11</v>
      </c>
      <c r="S447" s="19">
        <v>10</v>
      </c>
      <c r="T447" s="19">
        <v>10</v>
      </c>
      <c r="U447" s="19">
        <v>9</v>
      </c>
      <c r="V447" s="19">
        <v>7</v>
      </c>
      <c r="W447" s="19">
        <v>7</v>
      </c>
      <c r="X447" s="19">
        <v>7</v>
      </c>
      <c r="Y447" s="19">
        <v>7</v>
      </c>
      <c r="Z447" s="19">
        <v>0</v>
      </c>
      <c r="AA447" s="19">
        <v>0</v>
      </c>
      <c r="AB447" s="19">
        <v>0</v>
      </c>
      <c r="AC447" s="19">
        <v>0</v>
      </c>
      <c r="AD447" s="19">
        <v>0</v>
      </c>
      <c r="AE447" s="19">
        <v>0</v>
      </c>
      <c r="AF447" s="19">
        <v>0</v>
      </c>
      <c r="AG447" s="20">
        <v>0</v>
      </c>
      <c r="AH447" s="19">
        <v>0</v>
      </c>
      <c r="AI447" s="19">
        <v>0</v>
      </c>
      <c r="AJ447" s="19">
        <v>0</v>
      </c>
      <c r="AK447" s="19">
        <v>0</v>
      </c>
      <c r="AL447" s="19">
        <v>0</v>
      </c>
      <c r="AM447" s="19">
        <v>0</v>
      </c>
      <c r="AN447" s="19">
        <v>0</v>
      </c>
      <c r="AO447" s="19">
        <v>0</v>
      </c>
      <c r="AP447" s="19">
        <v>0</v>
      </c>
      <c r="AQ447" s="19">
        <v>0</v>
      </c>
      <c r="AR447" s="19"/>
      <c r="AS447" s="21">
        <v>0</v>
      </c>
      <c r="AT447" s="21">
        <v>0</v>
      </c>
      <c r="AU447" s="21">
        <v>0</v>
      </c>
      <c r="AV447" s="19">
        <v>133</v>
      </c>
      <c r="AW447" s="19">
        <v>116</v>
      </c>
      <c r="AX447" s="19">
        <v>137</v>
      </c>
      <c r="AY447" s="19">
        <v>104</v>
      </c>
      <c r="AZ447" s="19">
        <v>82</v>
      </c>
      <c r="BA447" s="19">
        <v>36</v>
      </c>
      <c r="BB447" s="19">
        <v>27</v>
      </c>
      <c r="BC447" s="19">
        <v>17</v>
      </c>
      <c r="BD447" s="19">
        <v>12</v>
      </c>
      <c r="BE447" s="19">
        <v>10</v>
      </c>
      <c r="BF447" s="19">
        <v>9</v>
      </c>
      <c r="BG447" s="19">
        <v>7</v>
      </c>
      <c r="BH447" s="19">
        <v>7</v>
      </c>
      <c r="BI447" s="19">
        <v>0</v>
      </c>
      <c r="BJ447" s="19">
        <v>0</v>
      </c>
      <c r="BK447" s="19">
        <v>0</v>
      </c>
      <c r="BL447" s="20">
        <v>0</v>
      </c>
      <c r="BM447" s="19">
        <v>0</v>
      </c>
      <c r="BN447" s="19">
        <v>0</v>
      </c>
      <c r="BO447" s="19">
        <v>0</v>
      </c>
      <c r="BP447" s="19">
        <v>0</v>
      </c>
      <c r="BQ447" s="19">
        <v>0</v>
      </c>
    </row>
    <row r="448" spans="1:69" ht="12" customHeight="1" outlineLevel="1">
      <c r="A448" s="91" t="s">
        <v>1310</v>
      </c>
      <c r="B448" s="1" t="s">
        <v>188</v>
      </c>
      <c r="C448" s="19"/>
      <c r="D448" s="19">
        <v>276</v>
      </c>
      <c r="E448" s="19">
        <v>280</v>
      </c>
      <c r="F448" s="19">
        <v>263</v>
      </c>
      <c r="G448" s="19">
        <v>310</v>
      </c>
      <c r="H448" s="19">
        <v>504</v>
      </c>
      <c r="I448" s="19">
        <v>44</v>
      </c>
      <c r="J448" s="19">
        <v>-50</v>
      </c>
      <c r="K448" s="19">
        <v>57</v>
      </c>
      <c r="L448" s="19">
        <v>726</v>
      </c>
      <c r="M448" s="19">
        <v>669</v>
      </c>
      <c r="N448" s="19">
        <v>826</v>
      </c>
      <c r="O448" s="19">
        <v>1656</v>
      </c>
      <c r="P448" s="19">
        <v>2090</v>
      </c>
      <c r="Q448" s="19">
        <v>1536</v>
      </c>
      <c r="R448" s="19">
        <v>1295</v>
      </c>
      <c r="S448" s="19">
        <v>1396</v>
      </c>
      <c r="T448" s="19">
        <v>999</v>
      </c>
      <c r="U448" s="19">
        <v>1297</v>
      </c>
      <c r="V448" s="19">
        <v>1567</v>
      </c>
      <c r="W448" s="19">
        <v>1773</v>
      </c>
      <c r="X448" s="19">
        <v>1927</v>
      </c>
      <c r="Y448" s="19">
        <v>2773</v>
      </c>
      <c r="Z448" s="19">
        <v>1378</v>
      </c>
      <c r="AA448" s="19">
        <v>1286</v>
      </c>
      <c r="AB448" s="19">
        <v>1613</v>
      </c>
      <c r="AC448" s="19">
        <v>1523</v>
      </c>
      <c r="AD448" s="19">
        <v>3250</v>
      </c>
      <c r="AE448" s="19">
        <v>3302</v>
      </c>
      <c r="AF448" s="19">
        <v>3590</v>
      </c>
      <c r="AG448" s="20">
        <v>3891</v>
      </c>
      <c r="AH448" s="19">
        <v>3890.9999999999964</v>
      </c>
      <c r="AI448" s="19">
        <v>3891</v>
      </c>
      <c r="AJ448" s="19">
        <v>3891.0000000000036</v>
      </c>
      <c r="AK448" s="19">
        <v>3891.0000000000036</v>
      </c>
      <c r="AL448" s="19">
        <v>3891</v>
      </c>
      <c r="AM448" s="19">
        <v>3891</v>
      </c>
      <c r="AN448" s="19">
        <v>3891.0000000000073</v>
      </c>
      <c r="AO448" s="19">
        <v>3891.0000000000036</v>
      </c>
      <c r="AP448" s="19">
        <v>3891.0000000000036</v>
      </c>
      <c r="AQ448" s="19">
        <v>3891.0000000000109</v>
      </c>
      <c r="AR448" s="19"/>
      <c r="AS448" s="21">
        <v>49</v>
      </c>
      <c r="AT448" s="21">
        <v>250</v>
      </c>
      <c r="AU448" s="21">
        <v>380</v>
      </c>
      <c r="AV448" s="19">
        <v>456</v>
      </c>
      <c r="AW448" s="19">
        <v>17</v>
      </c>
      <c r="AX448" s="19">
        <v>280</v>
      </c>
      <c r="AY448" s="19">
        <v>310</v>
      </c>
      <c r="AZ448" s="19">
        <v>44</v>
      </c>
      <c r="BA448" s="19">
        <v>57</v>
      </c>
      <c r="BB448" s="19">
        <v>669</v>
      </c>
      <c r="BC448" s="19">
        <v>1656</v>
      </c>
      <c r="BD448" s="19">
        <v>1536</v>
      </c>
      <c r="BE448" s="19">
        <v>1396</v>
      </c>
      <c r="BF448" s="19">
        <v>1297</v>
      </c>
      <c r="BG448" s="19">
        <v>1773</v>
      </c>
      <c r="BH448" s="19">
        <v>2773</v>
      </c>
      <c r="BI448" s="19">
        <v>1286</v>
      </c>
      <c r="BJ448" s="19">
        <v>1523</v>
      </c>
      <c r="BK448" s="19">
        <v>3302</v>
      </c>
      <c r="BL448" s="20">
        <v>3891</v>
      </c>
      <c r="BM448" s="19">
        <v>3891</v>
      </c>
      <c r="BN448" s="19">
        <v>3891.0000000000036</v>
      </c>
      <c r="BO448" s="19">
        <v>3891</v>
      </c>
      <c r="BP448" s="19">
        <v>3891.0000000000036</v>
      </c>
      <c r="BQ448" s="19">
        <v>3891.0000000000109</v>
      </c>
    </row>
    <row r="449" spans="1:69" ht="12" customHeight="1" outlineLevel="1">
      <c r="A449" s="91" t="s">
        <v>1311</v>
      </c>
      <c r="B449" s="1" t="s">
        <v>189</v>
      </c>
      <c r="C449" s="19"/>
      <c r="D449" s="19">
        <v>3984</v>
      </c>
      <c r="E449" s="19">
        <v>4268</v>
      </c>
      <c r="F449" s="19">
        <v>4325</v>
      </c>
      <c r="G449" s="19">
        <v>4581</v>
      </c>
      <c r="H449" s="19">
        <v>4563</v>
      </c>
      <c r="I449" s="19">
        <v>4924</v>
      </c>
      <c r="J449" s="19">
        <v>5155</v>
      </c>
      <c r="K449" s="19">
        <v>5439</v>
      </c>
      <c r="L449" s="19">
        <v>5610</v>
      </c>
      <c r="M449" s="19">
        <v>5637</v>
      </c>
      <c r="N449" s="19">
        <v>5801</v>
      </c>
      <c r="O449" s="19">
        <v>6306</v>
      </c>
      <c r="P449" s="19">
        <v>6705</v>
      </c>
      <c r="Q449" s="19">
        <v>7158</v>
      </c>
      <c r="R449" s="19">
        <v>7392</v>
      </c>
      <c r="S449" s="19">
        <v>7877</v>
      </c>
      <c r="T449" s="19">
        <v>8170</v>
      </c>
      <c r="U449" s="19">
        <v>8817</v>
      </c>
      <c r="V449" s="19">
        <v>8849</v>
      </c>
      <c r="W449" s="19">
        <v>9807</v>
      </c>
      <c r="X449" s="19">
        <v>9969</v>
      </c>
      <c r="Y449" s="19">
        <v>10439</v>
      </c>
      <c r="Z449" s="19">
        <v>10696</v>
      </c>
      <c r="AA449" s="19">
        <v>12231</v>
      </c>
      <c r="AB449" s="19">
        <v>13057</v>
      </c>
      <c r="AC449" s="19">
        <v>14740</v>
      </c>
      <c r="AD449" s="19">
        <v>15735</v>
      </c>
      <c r="AE449" s="19">
        <v>17446</v>
      </c>
      <c r="AF449" s="19">
        <v>17120</v>
      </c>
      <c r="AG449" s="20">
        <v>18218</v>
      </c>
      <c r="AH449" s="19">
        <v>18675.686364377911</v>
      </c>
      <c r="AI449" s="19">
        <v>19752.52370886581</v>
      </c>
      <c r="AJ449" s="19">
        <v>20374.935730026282</v>
      </c>
      <c r="AK449" s="19">
        <v>21487.458628677578</v>
      </c>
      <c r="AL449" s="19">
        <v>22020.791707561075</v>
      </c>
      <c r="AM449" s="19">
        <v>23278.426996504189</v>
      </c>
      <c r="AN449" s="19">
        <v>23854.307104931278</v>
      </c>
      <c r="AO449" s="19">
        <v>25171.449278154894</v>
      </c>
      <c r="AP449" s="19">
        <v>25786.440920034966</v>
      </c>
      <c r="AQ449" s="19">
        <v>27175.401363887115</v>
      </c>
      <c r="AR449" s="19"/>
      <c r="AS449" s="21">
        <v>1523</v>
      </c>
      <c r="AT449" s="21">
        <v>1934</v>
      </c>
      <c r="AU449" s="21">
        <v>2795</v>
      </c>
      <c r="AV449" s="19">
        <v>3718</v>
      </c>
      <c r="AW449" s="19">
        <v>3627</v>
      </c>
      <c r="AX449" s="19">
        <v>4268</v>
      </c>
      <c r="AY449" s="19">
        <v>4581</v>
      </c>
      <c r="AZ449" s="19">
        <v>4924</v>
      </c>
      <c r="BA449" s="19">
        <v>5439</v>
      </c>
      <c r="BB449" s="19">
        <v>5637</v>
      </c>
      <c r="BC449" s="19">
        <v>6306</v>
      </c>
      <c r="BD449" s="19">
        <v>7158</v>
      </c>
      <c r="BE449" s="19">
        <v>7877</v>
      </c>
      <c r="BF449" s="19">
        <v>8817</v>
      </c>
      <c r="BG449" s="19">
        <v>9807</v>
      </c>
      <c r="BH449" s="19">
        <v>10439</v>
      </c>
      <c r="BI449" s="19">
        <v>12231</v>
      </c>
      <c r="BJ449" s="19">
        <v>14740</v>
      </c>
      <c r="BK449" s="19">
        <v>17446</v>
      </c>
      <c r="BL449" s="20">
        <v>18218</v>
      </c>
      <c r="BM449" s="19">
        <v>19752.52370886581</v>
      </c>
      <c r="BN449" s="19">
        <v>21487.458628677578</v>
      </c>
      <c r="BO449" s="19">
        <v>23278.426996504189</v>
      </c>
      <c r="BP449" s="19">
        <v>25171.449278154894</v>
      </c>
      <c r="BQ449" s="19">
        <v>27175.401363887115</v>
      </c>
    </row>
    <row r="450" spans="1:69" ht="12" customHeight="1" outlineLevel="1">
      <c r="B450" s="1" t="s">
        <v>455</v>
      </c>
      <c r="C450" s="19"/>
      <c r="D450" s="21">
        <v>391</v>
      </c>
      <c r="E450" s="21">
        <v>391</v>
      </c>
      <c r="F450" s="21">
        <v>391</v>
      </c>
      <c r="G450" s="21">
        <v>391</v>
      </c>
      <c r="H450" s="21">
        <v>391</v>
      </c>
      <c r="I450" s="21">
        <v>391</v>
      </c>
      <c r="J450" s="21">
        <v>391</v>
      </c>
      <c r="K450" s="21">
        <v>391</v>
      </c>
      <c r="L450" s="21">
        <v>391</v>
      </c>
      <c r="M450" s="21">
        <v>391</v>
      </c>
      <c r="N450" s="62">
        <v>391</v>
      </c>
      <c r="O450" s="62">
        <v>391</v>
      </c>
      <c r="P450" s="62">
        <v>391</v>
      </c>
      <c r="Q450" s="62">
        <v>391</v>
      </c>
      <c r="R450" s="62">
        <v>391</v>
      </c>
      <c r="S450" s="62">
        <v>391</v>
      </c>
      <c r="T450" s="62">
        <v>391</v>
      </c>
      <c r="U450" s="62">
        <v>391</v>
      </c>
      <c r="V450" s="62">
        <v>391</v>
      </c>
      <c r="W450" s="62">
        <v>391</v>
      </c>
      <c r="X450" s="62">
        <v>391</v>
      </c>
      <c r="Y450" s="62">
        <v>391</v>
      </c>
      <c r="Z450" s="62">
        <v>0</v>
      </c>
      <c r="AA450" s="62">
        <v>0</v>
      </c>
      <c r="AB450" s="62">
        <v>0</v>
      </c>
      <c r="AC450" s="62">
        <v>0</v>
      </c>
      <c r="AD450" s="62">
        <v>0</v>
      </c>
      <c r="AE450" s="62">
        <v>0</v>
      </c>
      <c r="AF450" s="62">
        <v>0</v>
      </c>
      <c r="AG450" s="57">
        <v>0</v>
      </c>
      <c r="AH450" s="58">
        <v>0</v>
      </c>
      <c r="AI450" s="58">
        <v>0</v>
      </c>
      <c r="AJ450" s="58">
        <v>0</v>
      </c>
      <c r="AK450" s="58">
        <v>0</v>
      </c>
      <c r="AL450" s="58">
        <v>0</v>
      </c>
      <c r="AM450" s="58">
        <v>0</v>
      </c>
      <c r="AN450" s="58">
        <v>0</v>
      </c>
      <c r="AO450" s="58">
        <v>0</v>
      </c>
      <c r="AP450" s="58">
        <v>0</v>
      </c>
      <c r="AQ450" s="58">
        <v>0</v>
      </c>
      <c r="AR450" s="19"/>
      <c r="AS450" s="21">
        <v>391</v>
      </c>
      <c r="AT450" s="21">
        <v>391</v>
      </c>
      <c r="AU450" s="21">
        <v>391</v>
      </c>
      <c r="AV450" s="21">
        <v>391</v>
      </c>
      <c r="AW450" s="21">
        <v>391</v>
      </c>
      <c r="AX450" s="19">
        <v>391</v>
      </c>
      <c r="AY450" s="19">
        <v>391</v>
      </c>
      <c r="AZ450" s="19">
        <v>391</v>
      </c>
      <c r="BA450" s="19">
        <v>391</v>
      </c>
      <c r="BB450" s="19">
        <v>391</v>
      </c>
      <c r="BC450" s="19">
        <v>391</v>
      </c>
      <c r="BD450" s="19">
        <v>391</v>
      </c>
      <c r="BE450" s="19">
        <v>391</v>
      </c>
      <c r="BF450" s="19">
        <v>391</v>
      </c>
      <c r="BG450" s="19">
        <v>391</v>
      </c>
      <c r="BH450" s="19">
        <v>391</v>
      </c>
      <c r="BI450" s="19">
        <v>0</v>
      </c>
      <c r="BJ450" s="19">
        <v>0</v>
      </c>
      <c r="BK450" s="19">
        <v>0</v>
      </c>
      <c r="BL450" s="20">
        <v>0</v>
      </c>
      <c r="BM450" s="19">
        <v>0</v>
      </c>
      <c r="BN450" s="19">
        <v>0</v>
      </c>
      <c r="BO450" s="19">
        <v>0</v>
      </c>
      <c r="BP450" s="19">
        <v>0</v>
      </c>
      <c r="BQ450" s="19">
        <v>0</v>
      </c>
    </row>
    <row r="451" spans="1:69" ht="12" customHeight="1" outlineLevel="1">
      <c r="B451" s="1" t="s">
        <v>456</v>
      </c>
      <c r="C451" s="19"/>
      <c r="D451" s="21">
        <v>74</v>
      </c>
      <c r="E451" s="21">
        <v>67</v>
      </c>
      <c r="F451" s="21">
        <v>66</v>
      </c>
      <c r="G451" s="21">
        <v>63</v>
      </c>
      <c r="H451" s="21">
        <v>66</v>
      </c>
      <c r="I451" s="21">
        <v>63</v>
      </c>
      <c r="J451" s="21">
        <v>64</v>
      </c>
      <c r="K451" s="21">
        <v>60</v>
      </c>
      <c r="L451" s="21">
        <v>71</v>
      </c>
      <c r="M451" s="21">
        <v>76</v>
      </c>
      <c r="N451" s="62">
        <v>78</v>
      </c>
      <c r="O451" s="62">
        <v>82</v>
      </c>
      <c r="P451" s="62">
        <v>0</v>
      </c>
      <c r="Q451" s="62">
        <v>0</v>
      </c>
      <c r="R451" s="62">
        <v>0</v>
      </c>
      <c r="S451" s="62">
        <v>0</v>
      </c>
      <c r="T451" s="62">
        <v>0</v>
      </c>
      <c r="U451" s="62">
        <v>0</v>
      </c>
      <c r="V451" s="62">
        <v>0</v>
      </c>
      <c r="W451" s="62">
        <v>0</v>
      </c>
      <c r="X451" s="62">
        <v>0</v>
      </c>
      <c r="Y451" s="62">
        <v>0</v>
      </c>
      <c r="Z451" s="62">
        <v>0</v>
      </c>
      <c r="AA451" s="62">
        <v>0</v>
      </c>
      <c r="AB451" s="62">
        <v>0</v>
      </c>
      <c r="AC451" s="62">
        <v>0</v>
      </c>
      <c r="AD451" s="62">
        <v>0</v>
      </c>
      <c r="AE451" s="62">
        <v>0</v>
      </c>
      <c r="AF451" s="62">
        <v>0</v>
      </c>
      <c r="AG451" s="57">
        <v>0</v>
      </c>
      <c r="AH451" s="58">
        <v>0</v>
      </c>
      <c r="AI451" s="58">
        <v>0</v>
      </c>
      <c r="AJ451" s="58">
        <v>0</v>
      </c>
      <c r="AK451" s="58">
        <v>0</v>
      </c>
      <c r="AL451" s="58">
        <v>0</v>
      </c>
      <c r="AM451" s="58">
        <v>0</v>
      </c>
      <c r="AN451" s="58">
        <v>0</v>
      </c>
      <c r="AO451" s="58">
        <v>0</v>
      </c>
      <c r="AP451" s="58">
        <v>0</v>
      </c>
      <c r="AQ451" s="58">
        <v>0</v>
      </c>
      <c r="AR451" s="19"/>
      <c r="AS451" s="21">
        <v>841</v>
      </c>
      <c r="AT451" s="21">
        <v>841</v>
      </c>
      <c r="AU451" s="21">
        <v>841</v>
      </c>
      <c r="AV451" s="21">
        <v>752</v>
      </c>
      <c r="AW451" s="21">
        <v>398</v>
      </c>
      <c r="AX451" s="19">
        <v>67</v>
      </c>
      <c r="AY451" s="19">
        <v>63</v>
      </c>
      <c r="AZ451" s="19">
        <v>63</v>
      </c>
      <c r="BA451" s="19">
        <v>60</v>
      </c>
      <c r="BB451" s="19">
        <v>76</v>
      </c>
      <c r="BC451" s="19">
        <v>82</v>
      </c>
      <c r="BD451" s="19">
        <v>0</v>
      </c>
      <c r="BE451" s="19">
        <v>0</v>
      </c>
      <c r="BF451" s="19">
        <v>0</v>
      </c>
      <c r="BG451" s="19">
        <v>0</v>
      </c>
      <c r="BH451" s="19">
        <v>0</v>
      </c>
      <c r="BI451" s="19">
        <v>0</v>
      </c>
      <c r="BJ451" s="19">
        <v>0</v>
      </c>
      <c r="BK451" s="19">
        <v>0</v>
      </c>
      <c r="BL451" s="20">
        <v>0</v>
      </c>
      <c r="BM451" s="19">
        <v>0</v>
      </c>
      <c r="BN451" s="19">
        <v>0</v>
      </c>
      <c r="BO451" s="19">
        <v>0</v>
      </c>
      <c r="BP451" s="19">
        <v>0</v>
      </c>
      <c r="BQ451" s="19">
        <v>0</v>
      </c>
    </row>
    <row r="452" spans="1:69" ht="12" customHeight="1" outlineLevel="1">
      <c r="A452" s="91" t="s">
        <v>1312</v>
      </c>
      <c r="B452" s="1" t="s">
        <v>190</v>
      </c>
      <c r="C452" s="19"/>
      <c r="D452" s="19">
        <v>71</v>
      </c>
      <c r="E452" s="19">
        <v>79</v>
      </c>
      <c r="F452" s="19">
        <v>75</v>
      </c>
      <c r="G452" s="19">
        <v>74</v>
      </c>
      <c r="H452" s="19">
        <v>56</v>
      </c>
      <c r="I452" s="19">
        <v>75</v>
      </c>
      <c r="J452" s="19">
        <v>57</v>
      </c>
      <c r="K452" s="19">
        <v>101</v>
      </c>
      <c r="L452" s="19">
        <v>28</v>
      </c>
      <c r="M452" s="19">
        <v>29</v>
      </c>
      <c r="N452" s="59">
        <v>57</v>
      </c>
      <c r="O452" s="59">
        <v>14</v>
      </c>
      <c r="P452" s="59">
        <v>195</v>
      </c>
      <c r="Q452" s="59">
        <v>157</v>
      </c>
      <c r="R452" s="59">
        <v>151</v>
      </c>
      <c r="S452" s="59">
        <v>1316</v>
      </c>
      <c r="T452" s="59">
        <v>1351</v>
      </c>
      <c r="U452" s="59">
        <v>1432</v>
      </c>
      <c r="V452" s="59">
        <v>208</v>
      </c>
      <c r="W452" s="59">
        <v>212</v>
      </c>
      <c r="X452" s="59">
        <v>304</v>
      </c>
      <c r="Y452" s="59">
        <v>330</v>
      </c>
      <c r="Z452" s="59">
        <v>281</v>
      </c>
      <c r="AA452" s="59">
        <v>303</v>
      </c>
      <c r="AB452" s="59">
        <v>350</v>
      </c>
      <c r="AC452" s="59">
        <v>245</v>
      </c>
      <c r="AD452" s="59">
        <v>350</v>
      </c>
      <c r="AE452" s="59">
        <v>951</v>
      </c>
      <c r="AF452" s="59">
        <v>487</v>
      </c>
      <c r="AG452" s="60">
        <v>515</v>
      </c>
      <c r="AH452" s="58">
        <v>515</v>
      </c>
      <c r="AI452" s="58">
        <v>515</v>
      </c>
      <c r="AJ452" s="58">
        <v>515</v>
      </c>
      <c r="AK452" s="58">
        <v>515</v>
      </c>
      <c r="AL452" s="58">
        <v>515</v>
      </c>
      <c r="AM452" s="58">
        <v>515</v>
      </c>
      <c r="AN452" s="58">
        <v>515</v>
      </c>
      <c r="AO452" s="58">
        <v>515</v>
      </c>
      <c r="AP452" s="58">
        <v>515</v>
      </c>
      <c r="AQ452" s="58">
        <v>515</v>
      </c>
      <c r="AR452" s="19"/>
      <c r="AS452" s="19">
        <v>413</v>
      </c>
      <c r="AT452" s="19">
        <v>398</v>
      </c>
      <c r="AU452" s="19">
        <v>16</v>
      </c>
      <c r="AV452" s="19">
        <v>89</v>
      </c>
      <c r="AW452" s="19">
        <v>107</v>
      </c>
      <c r="AX452" s="19">
        <v>79</v>
      </c>
      <c r="AY452" s="19">
        <v>74</v>
      </c>
      <c r="AZ452" s="19">
        <v>75</v>
      </c>
      <c r="BA452" s="19">
        <v>101</v>
      </c>
      <c r="BB452" s="19">
        <v>29</v>
      </c>
      <c r="BC452" s="19">
        <v>14</v>
      </c>
      <c r="BD452" s="19">
        <v>157</v>
      </c>
      <c r="BE452" s="19">
        <v>1316</v>
      </c>
      <c r="BF452" s="19">
        <v>1432</v>
      </c>
      <c r="BG452" s="19">
        <v>212</v>
      </c>
      <c r="BH452" s="19">
        <v>330</v>
      </c>
      <c r="BI452" s="19">
        <v>303</v>
      </c>
      <c r="BJ452" s="19">
        <v>245</v>
      </c>
      <c r="BK452" s="19">
        <v>951</v>
      </c>
      <c r="BL452" s="20">
        <v>515</v>
      </c>
      <c r="BM452" s="19">
        <v>515</v>
      </c>
      <c r="BN452" s="19">
        <v>515</v>
      </c>
      <c r="BO452" s="19">
        <v>515</v>
      </c>
      <c r="BP452" s="19">
        <v>515</v>
      </c>
      <c r="BQ452" s="19">
        <v>515</v>
      </c>
    </row>
    <row r="453" spans="1:69" ht="12" customHeight="1" outlineLevel="1">
      <c r="A453" s="91" t="s">
        <v>580</v>
      </c>
      <c r="B453" s="9" t="s">
        <v>191</v>
      </c>
      <c r="C453" s="19"/>
      <c r="D453" s="17">
        <v>11220</v>
      </c>
      <c r="E453" s="17">
        <v>11769</v>
      </c>
      <c r="F453" s="17">
        <v>11593</v>
      </c>
      <c r="G453" s="17">
        <v>11932</v>
      </c>
      <c r="H453" s="17">
        <v>11764</v>
      </c>
      <c r="I453" s="17">
        <v>11732</v>
      </c>
      <c r="J453" s="17">
        <v>11499</v>
      </c>
      <c r="K453" s="17">
        <v>11955</v>
      </c>
      <c r="L453" s="17">
        <v>12719</v>
      </c>
      <c r="M453" s="17">
        <v>11914</v>
      </c>
      <c r="N453" s="17">
        <v>12216</v>
      </c>
      <c r="O453" s="17">
        <v>14396</v>
      </c>
      <c r="P453" s="17">
        <v>15217</v>
      </c>
      <c r="Q453" s="17">
        <v>15664</v>
      </c>
      <c r="R453" s="17">
        <v>15463</v>
      </c>
      <c r="S453" s="17">
        <v>17270</v>
      </c>
      <c r="T453" s="17">
        <v>17099</v>
      </c>
      <c r="U453" s="17">
        <v>18180</v>
      </c>
      <c r="V453" s="17">
        <v>17159</v>
      </c>
      <c r="W453" s="17">
        <v>18364</v>
      </c>
      <c r="X453" s="17">
        <v>20312</v>
      </c>
      <c r="Y453" s="17">
        <v>21784</v>
      </c>
      <c r="Z453" s="17">
        <v>20789</v>
      </c>
      <c r="AA453" s="17">
        <v>22351</v>
      </c>
      <c r="AB453" s="17">
        <v>24414</v>
      </c>
      <c r="AC453" s="17">
        <v>28806</v>
      </c>
      <c r="AD453" s="17">
        <v>31687</v>
      </c>
      <c r="AE453" s="17">
        <v>34106</v>
      </c>
      <c r="AF453" s="17">
        <v>33138</v>
      </c>
      <c r="AG453" s="18">
        <v>33996</v>
      </c>
      <c r="AH453" s="17">
        <v>33809.661065327906</v>
      </c>
      <c r="AI453" s="17">
        <v>34174.549007915812</v>
      </c>
      <c r="AJ453" s="17">
        <v>34796.961029076287</v>
      </c>
      <c r="AK453" s="17">
        <v>35909.483927727582</v>
      </c>
      <c r="AL453" s="17">
        <v>36442.817006611076</v>
      </c>
      <c r="AM453" s="17">
        <v>37700.452295554191</v>
      </c>
      <c r="AN453" s="17">
        <v>38276.332403981287</v>
      </c>
      <c r="AO453" s="17">
        <v>39593.474577204899</v>
      </c>
      <c r="AP453" s="17">
        <v>40208.46621908497</v>
      </c>
      <c r="AQ453" s="17">
        <v>41597.426662937127</v>
      </c>
      <c r="AR453" s="19"/>
      <c r="AS453" s="17">
        <v>4425</v>
      </c>
      <c r="AT453" s="17">
        <v>5337</v>
      </c>
      <c r="AU453" s="17">
        <v>7519</v>
      </c>
      <c r="AV453" s="17">
        <v>10061</v>
      </c>
      <c r="AW453" s="17">
        <v>9560</v>
      </c>
      <c r="AX453" s="17">
        <v>11769</v>
      </c>
      <c r="AY453" s="17">
        <v>11932</v>
      </c>
      <c r="AZ453" s="17">
        <v>11732</v>
      </c>
      <c r="BA453" s="17">
        <v>11955</v>
      </c>
      <c r="BB453" s="17">
        <v>11914</v>
      </c>
      <c r="BC453" s="17">
        <v>14396</v>
      </c>
      <c r="BD453" s="17">
        <v>15664</v>
      </c>
      <c r="BE453" s="17">
        <v>17270</v>
      </c>
      <c r="BF453" s="17">
        <v>18180</v>
      </c>
      <c r="BG453" s="17">
        <v>18364</v>
      </c>
      <c r="BH453" s="17">
        <v>21784</v>
      </c>
      <c r="BI453" s="17">
        <v>22351</v>
      </c>
      <c r="BJ453" s="17">
        <v>28806</v>
      </c>
      <c r="BK453" s="17">
        <v>34106</v>
      </c>
      <c r="BL453" s="18">
        <v>33996</v>
      </c>
      <c r="BM453" s="17">
        <v>34174.549007915812</v>
      </c>
      <c r="BN453" s="17">
        <v>35909.483927727582</v>
      </c>
      <c r="BO453" s="17">
        <v>37700.452295554191</v>
      </c>
      <c r="BP453" s="17">
        <v>39593.474577204899</v>
      </c>
      <c r="BQ453" s="17">
        <v>41597.426662937127</v>
      </c>
    </row>
    <row r="454" spans="1:69" ht="12" customHeight="1" outlineLevel="1"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20"/>
      <c r="AH454" s="19"/>
      <c r="AI454" s="19"/>
      <c r="AJ454" s="19"/>
      <c r="AK454" s="19"/>
      <c r="AL454" s="19"/>
      <c r="AM454" s="19"/>
      <c r="AN454" s="19"/>
      <c r="AO454" s="19"/>
      <c r="AP454" s="19"/>
      <c r="AQ454" s="19"/>
      <c r="AR454" s="19"/>
      <c r="AS454" s="19"/>
      <c r="AT454" s="19"/>
      <c r="AU454" s="19"/>
      <c r="AV454" s="19"/>
      <c r="AW454" s="19"/>
      <c r="AX454" s="19"/>
      <c r="AY454" s="19"/>
      <c r="AZ454" s="19"/>
      <c r="BA454" s="19"/>
      <c r="BB454" s="19"/>
      <c r="BC454" s="19"/>
      <c r="BD454" s="19"/>
      <c r="BE454" s="19"/>
      <c r="BF454" s="19"/>
      <c r="BG454" s="19"/>
      <c r="BH454" s="19"/>
      <c r="BI454" s="19"/>
      <c r="BJ454" s="19"/>
      <c r="BK454" s="19"/>
      <c r="BL454" s="20"/>
      <c r="BM454" s="19"/>
      <c r="BN454" s="19"/>
      <c r="BO454" s="19"/>
      <c r="BP454" s="19"/>
      <c r="BQ454" s="19"/>
    </row>
    <row r="455" spans="1:69" ht="12" customHeight="1" outlineLevel="1">
      <c r="B455" s="3" t="s">
        <v>454</v>
      </c>
      <c r="C455" s="96" t="s">
        <v>622</v>
      </c>
      <c r="D455" s="96" t="s">
        <v>622</v>
      </c>
      <c r="E455" s="96" t="s">
        <v>622</v>
      </c>
      <c r="F455" s="96" t="s">
        <v>622</v>
      </c>
      <c r="G455" s="96" t="s">
        <v>622</v>
      </c>
      <c r="H455" s="96" t="s">
        <v>622</v>
      </c>
      <c r="I455" s="96" t="s">
        <v>622</v>
      </c>
      <c r="J455" s="96" t="s">
        <v>622</v>
      </c>
      <c r="K455" s="100" t="s">
        <v>622</v>
      </c>
      <c r="L455" s="100" t="s">
        <v>622</v>
      </c>
      <c r="M455" s="100" t="s">
        <v>622</v>
      </c>
      <c r="N455" s="100" t="s">
        <v>622</v>
      </c>
      <c r="O455" s="100" t="s">
        <v>622</v>
      </c>
      <c r="P455" s="100" t="s">
        <v>622</v>
      </c>
      <c r="Q455" s="100" t="s">
        <v>622</v>
      </c>
      <c r="R455" s="100" t="s">
        <v>622</v>
      </c>
      <c r="S455" s="100" t="s">
        <v>622</v>
      </c>
      <c r="T455" s="100" t="s">
        <v>622</v>
      </c>
      <c r="U455" s="100" t="s">
        <v>622</v>
      </c>
      <c r="V455" s="100" t="s">
        <v>622</v>
      </c>
      <c r="W455" s="100" t="s">
        <v>622</v>
      </c>
      <c r="X455" s="100" t="s">
        <v>622</v>
      </c>
      <c r="Y455" s="100" t="s">
        <v>622</v>
      </c>
      <c r="Z455" s="100" t="s">
        <v>622</v>
      </c>
      <c r="AA455" s="100" t="s">
        <v>622</v>
      </c>
      <c r="AB455" s="100" t="s">
        <v>622</v>
      </c>
      <c r="AC455" s="100" t="s">
        <v>622</v>
      </c>
      <c r="AD455" s="100" t="s">
        <v>622</v>
      </c>
      <c r="AE455" s="100" t="s">
        <v>622</v>
      </c>
      <c r="AF455" s="100" t="s">
        <v>622</v>
      </c>
      <c r="AG455" s="97" t="s">
        <v>622</v>
      </c>
      <c r="AH455" s="96" t="s">
        <v>622</v>
      </c>
      <c r="AI455" s="96" t="s">
        <v>622</v>
      </c>
      <c r="AJ455" s="96" t="s">
        <v>622</v>
      </c>
      <c r="AK455" s="96" t="s">
        <v>622</v>
      </c>
      <c r="AL455" s="96" t="s">
        <v>622</v>
      </c>
      <c r="AM455" s="96" t="s">
        <v>622</v>
      </c>
      <c r="AN455" s="96" t="s">
        <v>622</v>
      </c>
      <c r="AO455" s="96" t="s">
        <v>622</v>
      </c>
      <c r="AP455" s="96" t="s">
        <v>622</v>
      </c>
      <c r="AQ455" s="96" t="s">
        <v>622</v>
      </c>
      <c r="AS455" s="96" t="s">
        <v>622</v>
      </c>
      <c r="AT455" s="96" t="s">
        <v>622</v>
      </c>
      <c r="AU455" s="96" t="s">
        <v>622</v>
      </c>
      <c r="AV455" s="96" t="s">
        <v>622</v>
      </c>
      <c r="AW455" s="96" t="s">
        <v>622</v>
      </c>
      <c r="AX455" s="96" t="s">
        <v>622</v>
      </c>
      <c r="AY455" s="96" t="s">
        <v>622</v>
      </c>
      <c r="AZ455" s="96" t="s">
        <v>622</v>
      </c>
      <c r="BA455" s="96" t="s">
        <v>622</v>
      </c>
      <c r="BB455" s="100" t="s">
        <v>622</v>
      </c>
      <c r="BC455" s="100" t="s">
        <v>622</v>
      </c>
      <c r="BD455" s="100" t="s">
        <v>622</v>
      </c>
      <c r="BE455" s="100" t="s">
        <v>622</v>
      </c>
      <c r="BF455" s="100" t="s">
        <v>622</v>
      </c>
      <c r="BG455" s="100" t="s">
        <v>622</v>
      </c>
      <c r="BH455" s="100" t="s">
        <v>622</v>
      </c>
      <c r="BI455" s="100" t="s">
        <v>622</v>
      </c>
      <c r="BJ455" s="100" t="s">
        <v>622</v>
      </c>
      <c r="BK455" s="100" t="s">
        <v>622</v>
      </c>
      <c r="BL455" s="97" t="s">
        <v>622</v>
      </c>
      <c r="BM455" s="96" t="s">
        <v>622</v>
      </c>
      <c r="BN455" s="96" t="s">
        <v>622</v>
      </c>
      <c r="BO455" s="96" t="s">
        <v>622</v>
      </c>
      <c r="BP455" s="96" t="s">
        <v>622</v>
      </c>
      <c r="BQ455" s="96" t="s">
        <v>622</v>
      </c>
    </row>
    <row r="456" spans="1:69" ht="12" customHeight="1" outlineLevel="1"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20"/>
      <c r="AH456" s="19"/>
      <c r="AI456" s="19"/>
      <c r="AJ456" s="19"/>
      <c r="AK456" s="19"/>
      <c r="AL456" s="19"/>
      <c r="AM456" s="19"/>
      <c r="AN456" s="19"/>
      <c r="AO456" s="19"/>
      <c r="AP456" s="19"/>
      <c r="AQ456" s="19"/>
      <c r="AR456" s="19"/>
      <c r="AS456" s="19"/>
      <c r="AT456" s="19"/>
      <c r="AU456" s="19"/>
      <c r="AV456" s="19"/>
      <c r="AW456" s="19"/>
      <c r="AX456" s="19"/>
      <c r="AY456" s="19"/>
      <c r="AZ456" s="19"/>
      <c r="BA456" s="19"/>
      <c r="BB456" s="19"/>
      <c r="BC456" s="19"/>
      <c r="BD456" s="19"/>
      <c r="BE456" s="19"/>
      <c r="BF456" s="19"/>
      <c r="BG456" s="19"/>
      <c r="BH456" s="19"/>
      <c r="BI456" s="19"/>
      <c r="BJ456" s="19"/>
      <c r="BK456" s="19"/>
      <c r="BL456" s="20"/>
      <c r="BM456" s="19"/>
      <c r="BN456" s="19"/>
      <c r="BO456" s="19"/>
      <c r="BP456" s="19"/>
      <c r="BQ456" s="19"/>
    </row>
    <row r="457" spans="1:69" ht="12" customHeight="1" outlineLevel="1">
      <c r="B457" s="9" t="s">
        <v>408</v>
      </c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20"/>
      <c r="AH457" s="19"/>
      <c r="AI457" s="19"/>
      <c r="AJ457" s="19"/>
      <c r="AK457" s="19"/>
      <c r="AL457" s="19"/>
      <c r="AM457" s="19"/>
      <c r="AN457" s="19"/>
      <c r="AO457" s="19"/>
      <c r="AP457" s="19"/>
      <c r="AQ457" s="19"/>
      <c r="AR457" s="19"/>
      <c r="AS457" s="19"/>
      <c r="AT457" s="19"/>
      <c r="AU457" s="19"/>
      <c r="AV457" s="19"/>
      <c r="AW457" s="19"/>
      <c r="AX457" s="19"/>
      <c r="AY457" s="19"/>
      <c r="AZ457" s="19"/>
      <c r="BA457" s="19"/>
      <c r="BB457" s="19"/>
      <c r="BC457" s="19"/>
      <c r="BD457" s="19"/>
      <c r="BE457" s="19"/>
      <c r="BF457" s="19"/>
      <c r="BG457" s="19"/>
      <c r="BH457" s="19"/>
      <c r="BI457" s="19"/>
      <c r="BJ457" s="19"/>
      <c r="BK457" s="19"/>
      <c r="BL457" s="20"/>
      <c r="BM457" s="19"/>
      <c r="BN457" s="19"/>
      <c r="BO457" s="19"/>
      <c r="BP457" s="19"/>
      <c r="BQ457" s="19"/>
    </row>
    <row r="458" spans="1:69" s="9" customFormat="1" ht="12" customHeight="1" outlineLevel="1">
      <c r="A458" s="91"/>
      <c r="B458" s="9" t="s">
        <v>191</v>
      </c>
      <c r="C458" s="17"/>
      <c r="D458" s="17">
        <v>11220</v>
      </c>
      <c r="E458" s="17">
        <v>11769</v>
      </c>
      <c r="F458" s="17">
        <v>11593</v>
      </c>
      <c r="G458" s="17">
        <v>11932</v>
      </c>
      <c r="H458" s="17">
        <v>11764</v>
      </c>
      <c r="I458" s="17">
        <v>11732</v>
      </c>
      <c r="J458" s="17">
        <v>11499</v>
      </c>
      <c r="K458" s="17">
        <v>11955</v>
      </c>
      <c r="L458" s="17">
        <v>12719</v>
      </c>
      <c r="M458" s="17">
        <v>11914</v>
      </c>
      <c r="N458" s="17">
        <v>12216</v>
      </c>
      <c r="O458" s="17">
        <v>14396</v>
      </c>
      <c r="P458" s="17">
        <v>15217</v>
      </c>
      <c r="Q458" s="17">
        <v>15664</v>
      </c>
      <c r="R458" s="17">
        <v>15463</v>
      </c>
      <c r="S458" s="17">
        <v>17270</v>
      </c>
      <c r="T458" s="17">
        <v>17099</v>
      </c>
      <c r="U458" s="17">
        <v>18180</v>
      </c>
      <c r="V458" s="17">
        <v>17159</v>
      </c>
      <c r="W458" s="17">
        <v>18364</v>
      </c>
      <c r="X458" s="17">
        <v>20312</v>
      </c>
      <c r="Y458" s="17">
        <v>21784</v>
      </c>
      <c r="Z458" s="17">
        <v>20789</v>
      </c>
      <c r="AA458" s="17">
        <v>22351</v>
      </c>
      <c r="AB458" s="17">
        <v>24414</v>
      </c>
      <c r="AC458" s="17">
        <v>28806</v>
      </c>
      <c r="AD458" s="17">
        <v>31687</v>
      </c>
      <c r="AE458" s="17">
        <v>34106</v>
      </c>
      <c r="AF458" s="17">
        <v>33138</v>
      </c>
      <c r="AG458" s="18">
        <v>33996</v>
      </c>
      <c r="AH458" s="17">
        <v>33809.661065327906</v>
      </c>
      <c r="AI458" s="17">
        <v>34174.549007915812</v>
      </c>
      <c r="AJ458" s="17">
        <v>34796.961029076287</v>
      </c>
      <c r="AK458" s="17">
        <v>35909.483927727582</v>
      </c>
      <c r="AL458" s="17">
        <v>36442.817006611076</v>
      </c>
      <c r="AM458" s="17">
        <v>37700.452295554191</v>
      </c>
      <c r="AN458" s="17">
        <v>38276.332403981287</v>
      </c>
      <c r="AO458" s="17">
        <v>39593.474577204899</v>
      </c>
      <c r="AP458" s="17">
        <v>40208.46621908497</v>
      </c>
      <c r="AQ458" s="17">
        <v>41597.426662937127</v>
      </c>
      <c r="AR458" s="17"/>
      <c r="AS458" s="17">
        <v>4425</v>
      </c>
      <c r="AT458" s="17">
        <v>5337</v>
      </c>
      <c r="AU458" s="17">
        <v>7519</v>
      </c>
      <c r="AV458" s="17">
        <v>10061</v>
      </c>
      <c r="AW458" s="17">
        <v>9560</v>
      </c>
      <c r="AX458" s="17">
        <v>11769</v>
      </c>
      <c r="AY458" s="17">
        <v>11932</v>
      </c>
      <c r="AZ458" s="17">
        <v>11732</v>
      </c>
      <c r="BA458" s="17">
        <v>11955</v>
      </c>
      <c r="BB458" s="17">
        <v>11914</v>
      </c>
      <c r="BC458" s="17">
        <v>14396</v>
      </c>
      <c r="BD458" s="17">
        <v>15664</v>
      </c>
      <c r="BE458" s="17">
        <v>17270</v>
      </c>
      <c r="BF458" s="17">
        <v>18180</v>
      </c>
      <c r="BG458" s="17">
        <v>18364</v>
      </c>
      <c r="BH458" s="17">
        <v>21784</v>
      </c>
      <c r="BI458" s="17">
        <v>22351</v>
      </c>
      <c r="BJ458" s="17">
        <v>28806</v>
      </c>
      <c r="BK458" s="17">
        <v>34106</v>
      </c>
      <c r="BL458" s="18">
        <v>33996</v>
      </c>
      <c r="BM458" s="17">
        <v>34174.549007915812</v>
      </c>
      <c r="BN458" s="17">
        <v>35909.483927727582</v>
      </c>
      <c r="BO458" s="17">
        <v>37700.452295554191</v>
      </c>
      <c r="BP458" s="17">
        <v>39593.474577204899</v>
      </c>
      <c r="BQ458" s="17">
        <v>41597.426662937127</v>
      </c>
    </row>
    <row r="459" spans="1:69" ht="12" customHeight="1" outlineLevel="1">
      <c r="B459" s="1" t="s">
        <v>455</v>
      </c>
      <c r="C459" s="19"/>
      <c r="D459" s="19">
        <v>-391</v>
      </c>
      <c r="E459" s="19">
        <v>-391</v>
      </c>
      <c r="F459" s="19">
        <v>-391</v>
      </c>
      <c r="G459" s="19">
        <v>-391</v>
      </c>
      <c r="H459" s="19">
        <v>-391</v>
      </c>
      <c r="I459" s="19">
        <v>-391</v>
      </c>
      <c r="J459" s="19">
        <v>-391</v>
      </c>
      <c r="K459" s="19">
        <v>-391</v>
      </c>
      <c r="L459" s="19">
        <v>-391</v>
      </c>
      <c r="M459" s="19">
        <v>-391</v>
      </c>
      <c r="N459" s="19">
        <v>-391</v>
      </c>
      <c r="O459" s="19">
        <v>-391</v>
      </c>
      <c r="P459" s="19">
        <v>-391</v>
      </c>
      <c r="Q459" s="19">
        <v>-391</v>
      </c>
      <c r="R459" s="19">
        <v>-391</v>
      </c>
      <c r="S459" s="19">
        <v>-391</v>
      </c>
      <c r="T459" s="19">
        <v>-391</v>
      </c>
      <c r="U459" s="19">
        <v>-391</v>
      </c>
      <c r="V459" s="19">
        <v>-391</v>
      </c>
      <c r="W459" s="19">
        <v>-391</v>
      </c>
      <c r="X459" s="19">
        <v>-391</v>
      </c>
      <c r="Y459" s="19">
        <v>-391</v>
      </c>
      <c r="Z459" s="19">
        <v>0</v>
      </c>
      <c r="AA459" s="19">
        <v>0</v>
      </c>
      <c r="AB459" s="19">
        <v>0</v>
      </c>
      <c r="AC459" s="19">
        <v>0</v>
      </c>
      <c r="AD459" s="19">
        <v>0</v>
      </c>
      <c r="AE459" s="19">
        <v>0</v>
      </c>
      <c r="AF459" s="19">
        <v>0</v>
      </c>
      <c r="AG459" s="20">
        <v>0</v>
      </c>
      <c r="AH459" s="19">
        <v>0</v>
      </c>
      <c r="AI459" s="19">
        <v>0</v>
      </c>
      <c r="AJ459" s="19">
        <v>0</v>
      </c>
      <c r="AK459" s="19">
        <v>0</v>
      </c>
      <c r="AL459" s="19">
        <v>0</v>
      </c>
      <c r="AM459" s="19">
        <v>0</v>
      </c>
      <c r="AN459" s="19">
        <v>0</v>
      </c>
      <c r="AO459" s="19">
        <v>0</v>
      </c>
      <c r="AP459" s="19">
        <v>0</v>
      </c>
      <c r="AQ459" s="19">
        <v>0</v>
      </c>
      <c r="AR459" s="19"/>
      <c r="AS459" s="19">
        <v>-391</v>
      </c>
      <c r="AT459" s="19">
        <v>-391</v>
      </c>
      <c r="AU459" s="19">
        <v>-391</v>
      </c>
      <c r="AV459" s="19">
        <v>-391</v>
      </c>
      <c r="AW459" s="19">
        <v>-391</v>
      </c>
      <c r="AX459" s="19">
        <v>-391</v>
      </c>
      <c r="AY459" s="19">
        <v>-391</v>
      </c>
      <c r="AZ459" s="19">
        <v>-391</v>
      </c>
      <c r="BA459" s="19">
        <v>-391</v>
      </c>
      <c r="BB459" s="19">
        <v>-391</v>
      </c>
      <c r="BC459" s="19">
        <v>-391</v>
      </c>
      <c r="BD459" s="19">
        <v>-391</v>
      </c>
      <c r="BE459" s="19">
        <v>-391</v>
      </c>
      <c r="BF459" s="19">
        <v>-391</v>
      </c>
      <c r="BG459" s="19">
        <v>-391</v>
      </c>
      <c r="BH459" s="19">
        <v>-391</v>
      </c>
      <c r="BI459" s="19">
        <v>0</v>
      </c>
      <c r="BJ459" s="19">
        <v>0</v>
      </c>
      <c r="BK459" s="19">
        <v>0</v>
      </c>
      <c r="BL459" s="20">
        <v>0</v>
      </c>
      <c r="BM459" s="19">
        <v>0</v>
      </c>
      <c r="BN459" s="19">
        <v>0</v>
      </c>
      <c r="BO459" s="19">
        <v>0</v>
      </c>
      <c r="BP459" s="19">
        <v>0</v>
      </c>
      <c r="BQ459" s="19">
        <v>0</v>
      </c>
    </row>
    <row r="460" spans="1:69" ht="12" customHeight="1" outlineLevel="1">
      <c r="B460" s="1" t="s">
        <v>458</v>
      </c>
      <c r="C460" s="19"/>
      <c r="D460" s="19">
        <v>-145</v>
      </c>
      <c r="E460" s="19">
        <v>-146</v>
      </c>
      <c r="F460" s="19">
        <v>-141</v>
      </c>
      <c r="G460" s="19">
        <v>-137</v>
      </c>
      <c r="H460" s="19">
        <v>-122</v>
      </c>
      <c r="I460" s="19">
        <v>-138</v>
      </c>
      <c r="J460" s="19">
        <v>-121</v>
      </c>
      <c r="K460" s="19">
        <v>-161</v>
      </c>
      <c r="L460" s="19">
        <v>-99</v>
      </c>
      <c r="M460" s="19">
        <v>-105</v>
      </c>
      <c r="N460" s="19">
        <v>-135</v>
      </c>
      <c r="O460" s="19">
        <v>-96</v>
      </c>
      <c r="P460" s="19">
        <v>-195</v>
      </c>
      <c r="Q460" s="19">
        <v>-157</v>
      </c>
      <c r="R460" s="19">
        <v>-151</v>
      </c>
      <c r="S460" s="19">
        <v>-1316</v>
      </c>
      <c r="T460" s="19">
        <v>-1351</v>
      </c>
      <c r="U460" s="19">
        <v>-1432</v>
      </c>
      <c r="V460" s="19">
        <v>-208</v>
      </c>
      <c r="W460" s="19">
        <v>-212</v>
      </c>
      <c r="X460" s="19">
        <v>-304</v>
      </c>
      <c r="Y460" s="19">
        <v>-330</v>
      </c>
      <c r="Z460" s="19">
        <v>-281</v>
      </c>
      <c r="AA460" s="19">
        <v>-303</v>
      </c>
      <c r="AB460" s="19">
        <v>-350</v>
      </c>
      <c r="AC460" s="19">
        <v>-245</v>
      </c>
      <c r="AD460" s="19">
        <v>-350</v>
      </c>
      <c r="AE460" s="19">
        <v>-951</v>
      </c>
      <c r="AF460" s="19">
        <v>-487</v>
      </c>
      <c r="AG460" s="20">
        <v>-515</v>
      </c>
      <c r="AH460" s="19">
        <v>-515</v>
      </c>
      <c r="AI460" s="19">
        <v>-515</v>
      </c>
      <c r="AJ460" s="19">
        <v>-515</v>
      </c>
      <c r="AK460" s="19">
        <v>-515</v>
      </c>
      <c r="AL460" s="19">
        <v>-515</v>
      </c>
      <c r="AM460" s="19">
        <v>-515</v>
      </c>
      <c r="AN460" s="19">
        <v>-515</v>
      </c>
      <c r="AO460" s="19">
        <v>-515</v>
      </c>
      <c r="AP460" s="19">
        <v>-515</v>
      </c>
      <c r="AQ460" s="19">
        <v>-515</v>
      </c>
      <c r="AR460" s="19"/>
      <c r="AS460" s="19">
        <v>-1254</v>
      </c>
      <c r="AT460" s="19">
        <v>-1239</v>
      </c>
      <c r="AU460" s="19">
        <v>-857</v>
      </c>
      <c r="AV460" s="19">
        <v>-841</v>
      </c>
      <c r="AW460" s="19">
        <v>-505</v>
      </c>
      <c r="AX460" s="19">
        <v>-146</v>
      </c>
      <c r="AY460" s="19">
        <v>-137</v>
      </c>
      <c r="AZ460" s="19">
        <v>-138</v>
      </c>
      <c r="BA460" s="19">
        <v>-161</v>
      </c>
      <c r="BB460" s="19">
        <v>-105</v>
      </c>
      <c r="BC460" s="19">
        <v>-96</v>
      </c>
      <c r="BD460" s="19">
        <v>-157</v>
      </c>
      <c r="BE460" s="19">
        <v>-1316</v>
      </c>
      <c r="BF460" s="19">
        <v>-1432</v>
      </c>
      <c r="BG460" s="19">
        <v>-212</v>
      </c>
      <c r="BH460" s="19">
        <v>-330</v>
      </c>
      <c r="BI460" s="19">
        <v>-303</v>
      </c>
      <c r="BJ460" s="19">
        <v>-245</v>
      </c>
      <c r="BK460" s="19">
        <v>-951</v>
      </c>
      <c r="BL460" s="20">
        <v>-515</v>
      </c>
      <c r="BM460" s="19">
        <v>-515</v>
      </c>
      <c r="BN460" s="19">
        <v>-515</v>
      </c>
      <c r="BO460" s="19">
        <v>-515</v>
      </c>
      <c r="BP460" s="19">
        <v>-515</v>
      </c>
      <c r="BQ460" s="19">
        <v>-515</v>
      </c>
    </row>
    <row r="461" spans="1:69" ht="12" customHeight="1" outlineLevel="1">
      <c r="B461" s="1" t="s">
        <v>436</v>
      </c>
      <c r="C461" s="19"/>
      <c r="D461" s="19">
        <v>-1346</v>
      </c>
      <c r="E461" s="19">
        <v>-1456</v>
      </c>
      <c r="F461" s="19">
        <v>-1411</v>
      </c>
      <c r="G461" s="19">
        <v>-1317</v>
      </c>
      <c r="H461" s="19">
        <v>-1393</v>
      </c>
      <c r="I461" s="19">
        <v>-1351</v>
      </c>
      <c r="J461" s="19">
        <v>-1304</v>
      </c>
      <c r="K461" s="19">
        <v>-1221</v>
      </c>
      <c r="L461" s="19">
        <v>-1276</v>
      </c>
      <c r="M461" s="19">
        <v>-785</v>
      </c>
      <c r="N461" s="19">
        <v>-1237</v>
      </c>
      <c r="O461" s="19">
        <v>-1164</v>
      </c>
      <c r="P461" s="19">
        <v>-1182</v>
      </c>
      <c r="Q461" s="19">
        <v>-1078</v>
      </c>
      <c r="R461" s="19">
        <v>-993</v>
      </c>
      <c r="S461" s="19">
        <v>-1009</v>
      </c>
      <c r="T461" s="19">
        <v>-991</v>
      </c>
      <c r="U461" s="19">
        <v>-993</v>
      </c>
      <c r="V461" s="19">
        <v>-1894</v>
      </c>
      <c r="W461" s="19">
        <v>-2031</v>
      </c>
      <c r="X461" s="19">
        <v>-2666</v>
      </c>
      <c r="Y461" s="19">
        <v>-3268</v>
      </c>
      <c r="Z461" s="19">
        <v>-2816</v>
      </c>
      <c r="AA461" s="19">
        <v>-2543</v>
      </c>
      <c r="AB461" s="19">
        <v>-3497</v>
      </c>
      <c r="AC461" s="19">
        <v>-3780</v>
      </c>
      <c r="AD461" s="19">
        <v>-4170</v>
      </c>
      <c r="AE461" s="19">
        <v>-3827</v>
      </c>
      <c r="AF461" s="19">
        <v>-4249</v>
      </c>
      <c r="AG461" s="20">
        <v>-4254</v>
      </c>
      <c r="AH461" s="19">
        <v>-4282.1400000000003</v>
      </c>
      <c r="AI461" s="19">
        <v>-4311.1242000000002</v>
      </c>
      <c r="AJ461" s="19">
        <v>-4340.9779259999996</v>
      </c>
      <c r="AK461" s="19">
        <v>-4371.7272637799997</v>
      </c>
      <c r="AL461" s="19">
        <v>-4403.3990816934001</v>
      </c>
      <c r="AM461" s="19">
        <v>-4436.021054144202</v>
      </c>
      <c r="AN461" s="19">
        <v>-4469.6216857685286</v>
      </c>
      <c r="AO461" s="19">
        <v>-4504.230336341584</v>
      </c>
      <c r="AP461" s="19">
        <v>-4539.8772464318317</v>
      </c>
      <c r="AQ461" s="19">
        <v>-4576.5935638247865</v>
      </c>
      <c r="AR461" s="19"/>
      <c r="AS461" s="19">
        <v>-371</v>
      </c>
      <c r="AT461" s="19">
        <v>-150</v>
      </c>
      <c r="AU461" s="19">
        <v>-100</v>
      </c>
      <c r="AV461" s="19">
        <v>-494</v>
      </c>
      <c r="AW461" s="19">
        <v>-759</v>
      </c>
      <c r="AX461" s="19">
        <v>-1456</v>
      </c>
      <c r="AY461" s="19">
        <v>-1317</v>
      </c>
      <c r="AZ461" s="19">
        <v>-1351</v>
      </c>
      <c r="BA461" s="19">
        <v>-1221</v>
      </c>
      <c r="BB461" s="19">
        <v>-785</v>
      </c>
      <c r="BC461" s="19">
        <v>-1164</v>
      </c>
      <c r="BD461" s="19">
        <v>-1078</v>
      </c>
      <c r="BE461" s="19">
        <v>-1009</v>
      </c>
      <c r="BF461" s="19">
        <v>-993</v>
      </c>
      <c r="BG461" s="19">
        <v>-2031</v>
      </c>
      <c r="BH461" s="19">
        <v>-3268</v>
      </c>
      <c r="BI461" s="19">
        <v>-2543</v>
      </c>
      <c r="BJ461" s="19">
        <v>-3780</v>
      </c>
      <c r="BK461" s="19">
        <v>-3827</v>
      </c>
      <c r="BL461" s="20">
        <v>-4254</v>
      </c>
      <c r="BM461" s="19">
        <v>-4311.1242000000002</v>
      </c>
      <c r="BN461" s="19">
        <v>-4371.7272637799997</v>
      </c>
      <c r="BO461" s="19">
        <v>-4436.021054144202</v>
      </c>
      <c r="BP461" s="19">
        <v>-4504.230336341584</v>
      </c>
      <c r="BQ461" s="19">
        <v>-4576.5935638247865</v>
      </c>
    </row>
    <row r="462" spans="1:69" s="9" customFormat="1" ht="12" customHeight="1" outlineLevel="1">
      <c r="A462" s="91" t="s">
        <v>1317</v>
      </c>
      <c r="B462" s="9" t="s">
        <v>459</v>
      </c>
      <c r="C462" s="17"/>
      <c r="D462" s="17">
        <v>9338</v>
      </c>
      <c r="E462" s="17">
        <v>9776</v>
      </c>
      <c r="F462" s="17">
        <v>9650</v>
      </c>
      <c r="G462" s="17">
        <v>10087</v>
      </c>
      <c r="H462" s="17">
        <v>9858</v>
      </c>
      <c r="I462" s="17">
        <v>9852</v>
      </c>
      <c r="J462" s="17">
        <v>9683</v>
      </c>
      <c r="K462" s="17">
        <v>10182</v>
      </c>
      <c r="L462" s="17">
        <v>10953</v>
      </c>
      <c r="M462" s="17">
        <v>10633</v>
      </c>
      <c r="N462" s="17">
        <v>10453</v>
      </c>
      <c r="O462" s="17">
        <v>12745</v>
      </c>
      <c r="P462" s="17">
        <v>13449</v>
      </c>
      <c r="Q462" s="17">
        <v>14038</v>
      </c>
      <c r="R462" s="17">
        <v>13928</v>
      </c>
      <c r="S462" s="17">
        <v>14554</v>
      </c>
      <c r="T462" s="17">
        <v>14366</v>
      </c>
      <c r="U462" s="17">
        <v>15364</v>
      </c>
      <c r="V462" s="17">
        <v>14666</v>
      </c>
      <c r="W462" s="17">
        <v>15730</v>
      </c>
      <c r="X462" s="17">
        <v>16951</v>
      </c>
      <c r="Y462" s="17">
        <v>17795</v>
      </c>
      <c r="Z462" s="17">
        <v>17692</v>
      </c>
      <c r="AA462" s="17">
        <v>19505</v>
      </c>
      <c r="AB462" s="17">
        <v>20567</v>
      </c>
      <c r="AC462" s="17">
        <v>24781</v>
      </c>
      <c r="AD462" s="17">
        <v>27167</v>
      </c>
      <c r="AE462" s="17">
        <v>29328</v>
      </c>
      <c r="AF462" s="17">
        <v>28402</v>
      </c>
      <c r="AG462" s="18">
        <v>29227</v>
      </c>
      <c r="AH462" s="17">
        <v>29012.521065327906</v>
      </c>
      <c r="AI462" s="17">
        <v>29348.424807915813</v>
      </c>
      <c r="AJ462" s="17">
        <v>29940.983103076287</v>
      </c>
      <c r="AK462" s="17">
        <v>31022.756663947584</v>
      </c>
      <c r="AL462" s="17">
        <v>31524.417924917674</v>
      </c>
      <c r="AM462" s="17">
        <v>32749.431241409988</v>
      </c>
      <c r="AN462" s="17">
        <v>33291.710718212758</v>
      </c>
      <c r="AO462" s="17">
        <v>34574.244240863314</v>
      </c>
      <c r="AP462" s="17">
        <v>35153.588972653139</v>
      </c>
      <c r="AQ462" s="17">
        <v>36505.833099112337</v>
      </c>
      <c r="AR462" s="17"/>
      <c r="AS462" s="17">
        <v>2409</v>
      </c>
      <c r="AT462" s="17">
        <v>3557</v>
      </c>
      <c r="AU462" s="17">
        <v>6171</v>
      </c>
      <c r="AV462" s="17">
        <v>8335</v>
      </c>
      <c r="AW462" s="17">
        <v>7905</v>
      </c>
      <c r="AX462" s="17">
        <v>9776</v>
      </c>
      <c r="AY462" s="17">
        <v>10087</v>
      </c>
      <c r="AZ462" s="17">
        <v>9852</v>
      </c>
      <c r="BA462" s="17">
        <v>10182</v>
      </c>
      <c r="BB462" s="17">
        <v>10633</v>
      </c>
      <c r="BC462" s="17">
        <v>12745</v>
      </c>
      <c r="BD462" s="17">
        <v>14038</v>
      </c>
      <c r="BE462" s="17">
        <v>14554</v>
      </c>
      <c r="BF462" s="17">
        <v>15364</v>
      </c>
      <c r="BG462" s="17">
        <v>15730</v>
      </c>
      <c r="BH462" s="17">
        <v>17795</v>
      </c>
      <c r="BI462" s="17">
        <v>19505</v>
      </c>
      <c r="BJ462" s="17">
        <v>24781</v>
      </c>
      <c r="BK462" s="17">
        <v>29328</v>
      </c>
      <c r="BL462" s="18">
        <v>29227</v>
      </c>
      <c r="BM462" s="17">
        <v>29348.424807915813</v>
      </c>
      <c r="BN462" s="17">
        <v>31022.756663947584</v>
      </c>
      <c r="BO462" s="17">
        <v>32749.431241409988</v>
      </c>
      <c r="BP462" s="17">
        <v>34574.244240863314</v>
      </c>
      <c r="BQ462" s="17">
        <v>36505.833099112337</v>
      </c>
    </row>
    <row r="463" spans="1:69" ht="12" customHeight="1" outlineLevel="1">
      <c r="B463" s="1" t="s">
        <v>150</v>
      </c>
      <c r="C463" s="19"/>
      <c r="D463" s="19">
        <v>338.29878381126701</v>
      </c>
      <c r="E463" s="19">
        <v>350.05518710595891</v>
      </c>
      <c r="F463" s="19">
        <v>351.43512405938577</v>
      </c>
      <c r="G463" s="19">
        <v>352.66927089688829</v>
      </c>
      <c r="H463" s="19">
        <v>354.16415700630466</v>
      </c>
      <c r="I463" s="19">
        <v>354.46856111450069</v>
      </c>
      <c r="J463" s="19">
        <v>344.73165649786455</v>
      </c>
      <c r="K463" s="19">
        <v>345.23752084604433</v>
      </c>
      <c r="L463" s="19">
        <v>345.62541793776694</v>
      </c>
      <c r="M463" s="19">
        <v>321.07474999999999</v>
      </c>
      <c r="N463" s="19">
        <v>321.20299399999999</v>
      </c>
      <c r="O463" s="19">
        <v>333.45777700000002</v>
      </c>
      <c r="P463" s="19">
        <v>333.53196000000003</v>
      </c>
      <c r="Q463" s="19">
        <v>340.30238900000001</v>
      </c>
      <c r="R463" s="19">
        <v>340.33847400000002</v>
      </c>
      <c r="S463" s="19">
        <v>340.35173099999997</v>
      </c>
      <c r="T463" s="19">
        <v>340.35790300000002</v>
      </c>
      <c r="U463" s="19">
        <v>340.36482000000001</v>
      </c>
      <c r="V463" s="19">
        <v>340.38273800000002</v>
      </c>
      <c r="W463" s="19">
        <v>340.38273800000002</v>
      </c>
      <c r="X463" s="19">
        <v>354.37646699999999</v>
      </c>
      <c r="Y463" s="19">
        <v>354.381396</v>
      </c>
      <c r="Z463" s="19">
        <v>361.50362699999999</v>
      </c>
      <c r="AA463" s="19">
        <v>361.82137699999998</v>
      </c>
      <c r="AB463" s="19">
        <v>368.82316900000001</v>
      </c>
      <c r="AC463" s="19">
        <v>383.64763699999997</v>
      </c>
      <c r="AD463" s="19">
        <v>386.47675400000003</v>
      </c>
      <c r="AE463" s="19">
        <v>386.47675400000003</v>
      </c>
      <c r="AF463" s="19">
        <v>386.47675400000003</v>
      </c>
      <c r="AG463" s="20">
        <v>382.96253300000001</v>
      </c>
      <c r="AH463" s="19">
        <v>379.80503208163429</v>
      </c>
      <c r="AI463" s="19">
        <v>376.47392558817143</v>
      </c>
      <c r="AJ463" s="19">
        <v>376.47392558817143</v>
      </c>
      <c r="AK463" s="19">
        <v>376.47392558817143</v>
      </c>
      <c r="AL463" s="19">
        <v>376.47392558817143</v>
      </c>
      <c r="AM463" s="19">
        <v>376.47392558817143</v>
      </c>
      <c r="AN463" s="19">
        <v>376.47392558817143</v>
      </c>
      <c r="AO463" s="19">
        <v>376.47392558817143</v>
      </c>
      <c r="AP463" s="19">
        <v>376.47392558817143</v>
      </c>
      <c r="AQ463" s="19">
        <v>376.47392558817143</v>
      </c>
      <c r="AR463" s="19"/>
      <c r="AS463" s="19">
        <v>227.45941834451901</v>
      </c>
      <c r="AT463" s="19">
        <v>236.36401159243439</v>
      </c>
      <c r="AU463" s="19">
        <v>258.22778625177955</v>
      </c>
      <c r="AV463" s="19">
        <v>279.20565385397595</v>
      </c>
      <c r="AW463" s="19">
        <v>288.2224933902786</v>
      </c>
      <c r="AX463" s="19">
        <v>350.05518710595891</v>
      </c>
      <c r="AY463" s="19">
        <v>352.66927089688829</v>
      </c>
      <c r="AZ463" s="19">
        <v>354.46856111450069</v>
      </c>
      <c r="BA463" s="19">
        <v>345.23752084604433</v>
      </c>
      <c r="BB463" s="19">
        <v>321.07474999999999</v>
      </c>
      <c r="BC463" s="19">
        <v>333.45777700000002</v>
      </c>
      <c r="BD463" s="19">
        <v>340.30238900000001</v>
      </c>
      <c r="BE463" s="19">
        <v>340.35173099999997</v>
      </c>
      <c r="BF463" s="19">
        <v>340.36482000000001</v>
      </c>
      <c r="BG463" s="19">
        <v>340.38273800000002</v>
      </c>
      <c r="BH463" s="19">
        <v>354.381396</v>
      </c>
      <c r="BI463" s="19">
        <v>361.82137699999998</v>
      </c>
      <c r="BJ463" s="19">
        <v>383.64763699999997</v>
      </c>
      <c r="BK463" s="19">
        <v>386.47675400000003</v>
      </c>
      <c r="BL463" s="20">
        <v>382.96253300000001</v>
      </c>
      <c r="BM463" s="19">
        <v>376.47392558817143</v>
      </c>
      <c r="BN463" s="19">
        <v>376.47392558817143</v>
      </c>
      <c r="BO463" s="19">
        <v>376.47392558817143</v>
      </c>
      <c r="BP463" s="19">
        <v>376.47392558817143</v>
      </c>
      <c r="BQ463" s="19">
        <v>376.47392558817143</v>
      </c>
    </row>
    <row r="464" spans="1:69" ht="12" customHeight="1" outlineLevel="1">
      <c r="A464" s="91" t="s">
        <v>1316</v>
      </c>
      <c r="B464" s="1" t="s">
        <v>195</v>
      </c>
      <c r="C464" s="19"/>
      <c r="D464" s="21">
        <v>3.4999289999999998</v>
      </c>
      <c r="E464" s="21">
        <v>2.935489</v>
      </c>
      <c r="F464" s="21">
        <v>2.6051639999999998</v>
      </c>
      <c r="G464" s="21">
        <v>2.150614</v>
      </c>
      <c r="H464" s="21">
        <v>1.98594</v>
      </c>
      <c r="I464" s="21">
        <v>1.759522</v>
      </c>
      <c r="J464" s="21">
        <v>1.0620719999999999</v>
      </c>
      <c r="K464" s="21">
        <v>0.60420600000000002</v>
      </c>
      <c r="L464" s="21">
        <v>0.58431999999999995</v>
      </c>
      <c r="M464" s="21">
        <v>0.44756200000000002</v>
      </c>
      <c r="N464" s="62">
        <v>0.40531400000000001</v>
      </c>
      <c r="O464" s="62">
        <v>0.24545500000000001</v>
      </c>
      <c r="P464" s="62">
        <v>0.18015300000000001</v>
      </c>
      <c r="Q464" s="62">
        <v>0.170846</v>
      </c>
      <c r="R464" s="62">
        <v>0.15287899999999999</v>
      </c>
      <c r="S464" s="62">
        <v>0.13883499999999999</v>
      </c>
      <c r="T464" s="62">
        <v>0.132296</v>
      </c>
      <c r="U464" s="62">
        <v>0.124968</v>
      </c>
      <c r="V464" s="62">
        <v>0.10598399999999999</v>
      </c>
      <c r="W464" s="62">
        <v>0</v>
      </c>
      <c r="X464" s="62">
        <v>0</v>
      </c>
      <c r="Y464" s="62">
        <v>0</v>
      </c>
      <c r="Z464" s="62">
        <v>0</v>
      </c>
      <c r="AA464" s="62">
        <v>0</v>
      </c>
      <c r="AB464" s="62">
        <v>0</v>
      </c>
      <c r="AC464" s="62">
        <v>0</v>
      </c>
      <c r="AD464" s="62">
        <v>0</v>
      </c>
      <c r="AE464" s="62">
        <v>0</v>
      </c>
      <c r="AF464" s="62">
        <v>0</v>
      </c>
      <c r="AG464" s="57">
        <v>0</v>
      </c>
      <c r="AH464" s="58">
        <v>0</v>
      </c>
      <c r="AI464" s="58">
        <v>0</v>
      </c>
      <c r="AJ464" s="58">
        <v>0</v>
      </c>
      <c r="AK464" s="58">
        <v>0</v>
      </c>
      <c r="AL464" s="58">
        <v>0</v>
      </c>
      <c r="AM464" s="58">
        <v>0</v>
      </c>
      <c r="AN464" s="58">
        <v>0</v>
      </c>
      <c r="AO464" s="58">
        <v>0</v>
      </c>
      <c r="AP464" s="58">
        <v>0</v>
      </c>
      <c r="AQ464" s="58">
        <v>0</v>
      </c>
      <c r="AR464" s="19"/>
      <c r="AS464" s="21">
        <v>0</v>
      </c>
      <c r="AT464" s="21">
        <v>0</v>
      </c>
      <c r="AU464" s="21">
        <v>0</v>
      </c>
      <c r="AV464" s="21">
        <v>1.6595040000000001</v>
      </c>
      <c r="AW464" s="21">
        <v>1.4505840000000001</v>
      </c>
      <c r="AX464" s="19">
        <v>2.935489</v>
      </c>
      <c r="AY464" s="19">
        <v>2.150614</v>
      </c>
      <c r="AZ464" s="19">
        <v>1.759522</v>
      </c>
      <c r="BA464" s="19">
        <v>0.60420600000000002</v>
      </c>
      <c r="BB464" s="19">
        <v>0.44756200000000002</v>
      </c>
      <c r="BC464" s="19">
        <v>0.24545500000000001</v>
      </c>
      <c r="BD464" s="19">
        <v>0.170846</v>
      </c>
      <c r="BE464" s="19">
        <v>0.13883499999999999</v>
      </c>
      <c r="BF464" s="19">
        <v>0.124968</v>
      </c>
      <c r="BG464" s="19">
        <v>0</v>
      </c>
      <c r="BH464" s="19">
        <v>0</v>
      </c>
      <c r="BI464" s="19">
        <v>0</v>
      </c>
      <c r="BJ464" s="19">
        <v>0</v>
      </c>
      <c r="BK464" s="19">
        <v>0</v>
      </c>
      <c r="BL464" s="20">
        <v>0</v>
      </c>
      <c r="BM464" s="19">
        <v>0</v>
      </c>
      <c r="BN464" s="19">
        <v>0</v>
      </c>
      <c r="BO464" s="19">
        <v>0</v>
      </c>
      <c r="BP464" s="19">
        <v>0</v>
      </c>
      <c r="BQ464" s="19">
        <v>0</v>
      </c>
    </row>
    <row r="465" spans="1:69" s="9" customFormat="1" ht="12" customHeight="1" outlineLevel="1">
      <c r="A465" s="91" t="s">
        <v>305</v>
      </c>
      <c r="B465" s="9" t="s">
        <v>460</v>
      </c>
      <c r="C465" s="17"/>
      <c r="D465" s="171">
        <v>32.826337781428137</v>
      </c>
      <c r="E465" s="171">
        <v>33.340823983881215</v>
      </c>
      <c r="F465" s="171">
        <v>32.744860940954325</v>
      </c>
      <c r="G465" s="171">
        <v>33.628329493053847</v>
      </c>
      <c r="H465" s="171">
        <v>33.031017256164752</v>
      </c>
      <c r="I465" s="171">
        <v>32.933955957169829</v>
      </c>
      <c r="J465" s="171">
        <v>33.253928722050297</v>
      </c>
      <c r="K465" s="171">
        <v>34.56783572365724</v>
      </c>
      <c r="L465" s="171">
        <v>36.737845895849148</v>
      </c>
      <c r="M465" s="171">
        <v>37.054971164800534</v>
      </c>
      <c r="N465" s="171">
        <v>37.984093371120252</v>
      </c>
      <c r="O465" s="171">
        <v>43.14012757299276</v>
      </c>
      <c r="P465" s="171">
        <v>45.599183869001479</v>
      </c>
      <c r="Q465" s="171">
        <v>46.006553202339092</v>
      </c>
      <c r="R465" s="171">
        <v>45.413781770839861</v>
      </c>
      <c r="S465" s="171">
        <v>50.720935392964755</v>
      </c>
      <c r="T465" s="171">
        <v>50.218772963858498</v>
      </c>
      <c r="U465" s="171">
        <v>53.393671824307397</v>
      </c>
      <c r="V465" s="171">
        <v>50.395208097377157</v>
      </c>
      <c r="W465" s="171">
        <v>53.951032029127163</v>
      </c>
      <c r="X465" s="171">
        <v>57.317575774578735</v>
      </c>
      <c r="Y465" s="171">
        <v>61.470495477138421</v>
      </c>
      <c r="Z465" s="171">
        <v>57.507030213005308</v>
      </c>
      <c r="AA465" s="171">
        <v>61.773575086471467</v>
      </c>
      <c r="AB465" s="171">
        <v>66.194323057833714</v>
      </c>
      <c r="AC465" s="171">
        <v>75.084523458175241</v>
      </c>
      <c r="AD465" s="171">
        <v>81.98940731115745</v>
      </c>
      <c r="AE465" s="171">
        <v>88.248515976720284</v>
      </c>
      <c r="AF465" s="171">
        <v>85.74383751939709</v>
      </c>
      <c r="AG465" s="170">
        <v>88.771086126067587</v>
      </c>
      <c r="AH465" s="171">
        <v>89.018465290004229</v>
      </c>
      <c r="AI465" s="171">
        <v>90.775341093076634</v>
      </c>
      <c r="AJ465" s="171">
        <v>92.428608368328355</v>
      </c>
      <c r="AK465" s="171">
        <v>95.383721121258546</v>
      </c>
      <c r="AL465" s="171">
        <v>96.800374553631727</v>
      </c>
      <c r="AM465" s="171">
        <v>100.14093867630847</v>
      </c>
      <c r="AN465" s="171">
        <v>101.67060665405059</v>
      </c>
      <c r="AO465" s="171">
        <v>105.16923453688688</v>
      </c>
      <c r="AP465" s="171">
        <v>106.80279160440294</v>
      </c>
      <c r="AQ465" s="171">
        <v>110.49218507748918</v>
      </c>
      <c r="AR465" s="17"/>
      <c r="AS465" s="171">
        <v>19.454019676150409</v>
      </c>
      <c r="AT465" s="171">
        <v>22.579579539387154</v>
      </c>
      <c r="AU465" s="171">
        <v>29.117703052562895</v>
      </c>
      <c r="AV465" s="171">
        <v>35.821459937835343</v>
      </c>
      <c r="AW465" s="171">
        <v>33.002721848118952</v>
      </c>
      <c r="AX465" s="171">
        <v>33.340823983881215</v>
      </c>
      <c r="AY465" s="171">
        <v>33.628329493053847</v>
      </c>
      <c r="AZ465" s="171">
        <v>32.933955957169829</v>
      </c>
      <c r="BA465" s="171">
        <v>34.56783572365724</v>
      </c>
      <c r="BB465" s="171">
        <v>37.054971164800534</v>
      </c>
      <c r="BC465" s="171">
        <v>43.14012757299276</v>
      </c>
      <c r="BD465" s="171">
        <v>46.006553202339092</v>
      </c>
      <c r="BE465" s="171">
        <v>50.720935392964755</v>
      </c>
      <c r="BF465" s="171">
        <v>53.393671824307397</v>
      </c>
      <c r="BG465" s="171">
        <v>53.951032029127163</v>
      </c>
      <c r="BH465" s="171">
        <v>61.470495477138421</v>
      </c>
      <c r="BI465" s="171">
        <v>61.773575086471467</v>
      </c>
      <c r="BJ465" s="171">
        <v>75.084523458175241</v>
      </c>
      <c r="BK465" s="171">
        <v>88.248515976720284</v>
      </c>
      <c r="BL465" s="170">
        <v>88.771086126067587</v>
      </c>
      <c r="BM465" s="171">
        <v>90.775341093076634</v>
      </c>
      <c r="BN465" s="171">
        <v>95.383721121258546</v>
      </c>
      <c r="BO465" s="171">
        <v>100.14093867630847</v>
      </c>
      <c r="BP465" s="171">
        <v>105.16923453688688</v>
      </c>
      <c r="BQ465" s="171">
        <v>110.49218507748918</v>
      </c>
    </row>
    <row r="466" spans="1:69" s="9" customFormat="1" ht="12" customHeight="1" outlineLevel="1">
      <c r="A466" s="91" t="s">
        <v>486</v>
      </c>
      <c r="B466" s="9" t="s">
        <v>461</v>
      </c>
      <c r="C466" s="17"/>
      <c r="D466" s="171">
        <v>27.320173101869514</v>
      </c>
      <c r="E466" s="171">
        <v>27.694782502032691</v>
      </c>
      <c r="F466" s="171">
        <v>27.256784963357997</v>
      </c>
      <c r="G466" s="171">
        <v>28.428508179386032</v>
      </c>
      <c r="H466" s="171">
        <v>27.679341049921124</v>
      </c>
      <c r="I466" s="171">
        <v>27.656438296116363</v>
      </c>
      <c r="J466" s="171">
        <v>28.002242961615185</v>
      </c>
      <c r="K466" s="171">
        <v>29.441213160876455</v>
      </c>
      <c r="L466" s="171">
        <v>31.636891744416676</v>
      </c>
      <c r="M466" s="171">
        <v>33.0707997645899</v>
      </c>
      <c r="N466" s="171">
        <v>32.502269810766208</v>
      </c>
      <c r="O466" s="171">
        <v>38.192617804792491</v>
      </c>
      <c r="P466" s="171">
        <v>40.301204169954715</v>
      </c>
      <c r="Q466" s="171">
        <v>41.230847411544701</v>
      </c>
      <c r="R466" s="171">
        <v>40.905590927003658</v>
      </c>
      <c r="S466" s="171">
        <v>42.744209247782806</v>
      </c>
      <c r="T466" s="171">
        <v>42.192110205204465</v>
      </c>
      <c r="U466" s="171">
        <v>45.123232888265065</v>
      </c>
      <c r="V466" s="171">
        <v>43.073379681574302</v>
      </c>
      <c r="W466" s="171">
        <v>46.212684263677318</v>
      </c>
      <c r="X466" s="171">
        <v>47.833311685451172</v>
      </c>
      <c r="Y466" s="171">
        <v>50.214261247506343</v>
      </c>
      <c r="Z466" s="171">
        <v>48.940034562917404</v>
      </c>
      <c r="AA466" s="171">
        <v>53.907815402515595</v>
      </c>
      <c r="AB466" s="171">
        <v>55.763850345312768</v>
      </c>
      <c r="AC466" s="171">
        <v>64.593125592482153</v>
      </c>
      <c r="AD466" s="171">
        <v>70.294007902995375</v>
      </c>
      <c r="AE466" s="171">
        <v>75.885547310304716</v>
      </c>
      <c r="AF466" s="171">
        <v>73.489542918278588</v>
      </c>
      <c r="AG466" s="170">
        <v>76.318170790874731</v>
      </c>
      <c r="AH466" s="171">
        <v>76.387932267027026</v>
      </c>
      <c r="AI466" s="171">
        <v>77.956062327727707</v>
      </c>
      <c r="AJ466" s="171">
        <v>79.530031346258568</v>
      </c>
      <c r="AK466" s="171">
        <v>82.403466894766268</v>
      </c>
      <c r="AL466" s="171">
        <v>83.735992806584292</v>
      </c>
      <c r="AM466" s="171">
        <v>86.989905583089211</v>
      </c>
      <c r="AN466" s="171">
        <v>88.430322674274379</v>
      </c>
      <c r="AO466" s="171">
        <v>91.837022143956986</v>
      </c>
      <c r="AP466" s="171">
        <v>93.375892945924761</v>
      </c>
      <c r="AQ466" s="171">
        <v>96.967759565496266</v>
      </c>
      <c r="AR466" s="17"/>
      <c r="AS466" s="171">
        <v>10.590900203355103</v>
      </c>
      <c r="AT466" s="171">
        <v>15.048822263743697</v>
      </c>
      <c r="AU466" s="171">
        <v>23.897505723815083</v>
      </c>
      <c r="AV466" s="171">
        <v>29.676162268348829</v>
      </c>
      <c r="AW466" s="171">
        <v>27.289384540730161</v>
      </c>
      <c r="AX466" s="171">
        <v>27.694782502032691</v>
      </c>
      <c r="AY466" s="171">
        <v>28.428508179386032</v>
      </c>
      <c r="AZ466" s="171">
        <v>27.656438296116363</v>
      </c>
      <c r="BA466" s="171">
        <v>29.441213160876455</v>
      </c>
      <c r="BB466" s="171">
        <v>33.0707997645899</v>
      </c>
      <c r="BC466" s="171">
        <v>38.192617804792491</v>
      </c>
      <c r="BD466" s="171">
        <v>41.230847411544701</v>
      </c>
      <c r="BE466" s="171">
        <v>42.744209247782806</v>
      </c>
      <c r="BF466" s="171">
        <v>45.123232888265065</v>
      </c>
      <c r="BG466" s="171">
        <v>46.212684263677318</v>
      </c>
      <c r="BH466" s="171">
        <v>50.214261247506343</v>
      </c>
      <c r="BI466" s="171">
        <v>53.907815402515595</v>
      </c>
      <c r="BJ466" s="171">
        <v>64.593125592482153</v>
      </c>
      <c r="BK466" s="171">
        <v>75.885547310304716</v>
      </c>
      <c r="BL466" s="170">
        <v>76.318170790874731</v>
      </c>
      <c r="BM466" s="171">
        <v>77.956062327727707</v>
      </c>
      <c r="BN466" s="171">
        <v>82.403466894766268</v>
      </c>
      <c r="BO466" s="171">
        <v>86.989905583089211</v>
      </c>
      <c r="BP466" s="171">
        <v>91.837022143956986</v>
      </c>
      <c r="BQ466" s="171">
        <v>96.967759565496266</v>
      </c>
    </row>
    <row r="467" spans="1:69" ht="12" customHeight="1" outlineLevel="1">
      <c r="C467" s="19"/>
      <c r="D467" s="19"/>
      <c r="E467" s="19"/>
      <c r="F467" s="19"/>
      <c r="G467" s="19"/>
      <c r="H467" s="19"/>
      <c r="I467" s="19"/>
      <c r="J467" s="19"/>
      <c r="K467" s="19"/>
      <c r="L467" s="323"/>
      <c r="M467" s="323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20"/>
      <c r="AH467" s="19"/>
      <c r="AI467" s="19"/>
      <c r="AJ467" s="19"/>
      <c r="AK467" s="19"/>
      <c r="AL467" s="19"/>
      <c r="AM467" s="19"/>
      <c r="AN467" s="19"/>
      <c r="AO467" s="19"/>
      <c r="AP467" s="19"/>
      <c r="AQ467" s="19"/>
      <c r="AR467" s="19"/>
      <c r="AS467" s="19"/>
      <c r="AT467" s="19"/>
      <c r="AU467" s="19"/>
      <c r="AV467" s="36"/>
      <c r="AW467" s="19"/>
      <c r="AX467" s="19"/>
      <c r="AY467" s="19"/>
      <c r="AZ467" s="19"/>
      <c r="BA467" s="19"/>
      <c r="BB467" s="19"/>
      <c r="BC467" s="19"/>
      <c r="BD467" s="19"/>
      <c r="BE467" s="19"/>
      <c r="BF467" s="19"/>
      <c r="BG467" s="19"/>
      <c r="BH467" s="19"/>
      <c r="BI467" s="19"/>
      <c r="BJ467" s="19"/>
      <c r="BK467" s="19"/>
      <c r="BL467" s="20"/>
      <c r="BM467" s="19"/>
      <c r="BN467" s="19"/>
      <c r="BO467" s="19"/>
      <c r="BP467" s="19"/>
      <c r="BQ467" s="19"/>
    </row>
    <row r="468" spans="1:69" ht="12" customHeight="1" outlineLevel="1">
      <c r="B468" s="9" t="s">
        <v>409</v>
      </c>
      <c r="C468" s="19"/>
      <c r="D468" s="19"/>
      <c r="E468" s="19"/>
      <c r="F468" s="19"/>
      <c r="G468" s="27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20"/>
      <c r="AH468" s="19"/>
      <c r="AI468" s="19"/>
      <c r="AJ468" s="19"/>
      <c r="AK468" s="19"/>
      <c r="AL468" s="19"/>
      <c r="AM468" s="19"/>
      <c r="AN468" s="19"/>
      <c r="AO468" s="19"/>
      <c r="AP468" s="19"/>
      <c r="AQ468" s="19"/>
      <c r="AR468" s="19"/>
      <c r="AS468" s="19"/>
      <c r="AT468" s="19"/>
      <c r="AU468" s="19"/>
      <c r="AV468" s="19"/>
      <c r="AW468" s="19"/>
      <c r="AX468" s="19"/>
      <c r="AY468" s="19"/>
      <c r="AZ468" s="19"/>
      <c r="BA468" s="19"/>
      <c r="BB468" s="19"/>
      <c r="BC468" s="19"/>
      <c r="BD468" s="19"/>
      <c r="BE468" s="19"/>
      <c r="BF468" s="19"/>
      <c r="BG468" s="19"/>
      <c r="BH468" s="19"/>
      <c r="BI468" s="19"/>
      <c r="BJ468" s="19"/>
      <c r="BK468" s="19"/>
      <c r="BL468" s="20"/>
      <c r="BM468" s="19"/>
      <c r="BN468" s="19"/>
      <c r="BO468" s="19"/>
      <c r="BP468" s="19"/>
      <c r="BQ468" s="19"/>
    </row>
    <row r="469" spans="1:69" ht="12" customHeight="1" outlineLevel="1">
      <c r="A469" s="91" t="s">
        <v>468</v>
      </c>
      <c r="B469" s="87" t="s">
        <v>469</v>
      </c>
      <c r="C469" s="19"/>
      <c r="D469" s="177">
        <v>1.4771970554616343</v>
      </c>
      <c r="E469" s="177">
        <v>1.6664829549285538</v>
      </c>
      <c r="F469" s="177">
        <v>1.1720471738557454</v>
      </c>
      <c r="G469" s="177">
        <v>1.6055265648962223</v>
      </c>
      <c r="H469" s="177">
        <v>0.85139045326444529</v>
      </c>
      <c r="I469" s="177">
        <v>1.2154461770136573</v>
      </c>
      <c r="J469" s="177">
        <v>1.0373109872912174</v>
      </c>
      <c r="K469" s="177">
        <v>1.4371571851658678</v>
      </c>
      <c r="L469" s="177">
        <v>1.4723967192892449</v>
      </c>
      <c r="M469" s="177">
        <v>2.350358570538003</v>
      </c>
      <c r="N469" s="177">
        <v>2.1329975864218165</v>
      </c>
      <c r="O469" s="177">
        <v>2.8814626392096669</v>
      </c>
      <c r="P469" s="177">
        <v>3.2452880357488825</v>
      </c>
      <c r="Q469" s="177">
        <v>2.9537865004182491</v>
      </c>
      <c r="R469" s="177">
        <v>3.1179944897468208</v>
      </c>
      <c r="S469" s="177">
        <v>3.4584073888291758</v>
      </c>
      <c r="T469" s="177">
        <v>3.7035398837780131</v>
      </c>
      <c r="U469" s="177">
        <v>3.875338171271224</v>
      </c>
      <c r="V469" s="177">
        <v>3.8830189778737485</v>
      </c>
      <c r="W469" s="177">
        <v>4.9449999196899812</v>
      </c>
      <c r="X469" s="177">
        <v>4.3009514828931721</v>
      </c>
      <c r="Y469" s="177">
        <v>3.6210000000000004</v>
      </c>
      <c r="Z469" s="177">
        <v>2.7669315962538708</v>
      </c>
      <c r="AA469" s="177">
        <v>5.6520000000000001</v>
      </c>
      <c r="AB469" s="177">
        <v>5.6246243437665751</v>
      </c>
      <c r="AC469" s="177">
        <v>7.0639889205781277</v>
      </c>
      <c r="AD469" s="177">
        <v>6.0329089754180467</v>
      </c>
      <c r="AE469" s="177">
        <v>7.4595021055671848</v>
      </c>
      <c r="AF469" s="177">
        <v>3.6917354352989253</v>
      </c>
      <c r="AG469" s="178">
        <v>5.4740000000000002</v>
      </c>
      <c r="AH469" s="177">
        <v>5.043276887172909</v>
      </c>
      <c r="AI469" s="177">
        <v>5.3990872449782588</v>
      </c>
      <c r="AJ469" s="177">
        <v>5.4964214341519648</v>
      </c>
      <c r="AK469" s="177">
        <v>5.7592436966298646</v>
      </c>
      <c r="AL469" s="177">
        <v>5.5103910322284779</v>
      </c>
      <c r="AM469" s="177">
        <v>6.1614951168492347</v>
      </c>
      <c r="AN469" s="177">
        <v>5.8892277102014923</v>
      </c>
      <c r="AO469" s="177">
        <v>6.5351652276805474</v>
      </c>
      <c r="AP469" s="177">
        <v>6.2585411959865214</v>
      </c>
      <c r="AQ469" s="177">
        <v>6.9429624908067655</v>
      </c>
      <c r="AR469" s="19"/>
      <c r="AS469" s="177">
        <v>3.634627535029773</v>
      </c>
      <c r="AT469" s="177">
        <v>3.9363417737756601</v>
      </c>
      <c r="AU469" s="177">
        <v>5.8173704019563122</v>
      </c>
      <c r="AV469" s="177">
        <v>6.594895128395442</v>
      </c>
      <c r="AW469" s="177">
        <v>3.0441458715469496</v>
      </c>
      <c r="AX469" s="177">
        <v>3.1489615151444994</v>
      </c>
      <c r="AY469" s="177">
        <v>2.7784966879623085</v>
      </c>
      <c r="AZ469" s="177">
        <v>2.0659490951320643</v>
      </c>
      <c r="BA469" s="177">
        <v>2.4700781866484931</v>
      </c>
      <c r="BB469" s="177">
        <v>3.8355777719799784</v>
      </c>
      <c r="BC469" s="177">
        <v>5.0225367632747977</v>
      </c>
      <c r="BD469" s="177">
        <v>6.1921289059685707</v>
      </c>
      <c r="BE469" s="177">
        <v>6.5764243407913057</v>
      </c>
      <c r="BF469" s="177">
        <v>7.5788665724414672</v>
      </c>
      <c r="BG469" s="177">
        <v>8.8332055790082009</v>
      </c>
      <c r="BH469" s="177">
        <v>7.9103483372005163</v>
      </c>
      <c r="BI469" s="177">
        <v>8.4291888831752253</v>
      </c>
      <c r="BJ469" s="177">
        <v>12.71701755025968</v>
      </c>
      <c r="BK469" s="177">
        <v>13.534028270684786</v>
      </c>
      <c r="BL469" s="178">
        <v>9.1656145479840045</v>
      </c>
      <c r="BM469" s="177">
        <v>10.44096647608005</v>
      </c>
      <c r="BN469" s="177">
        <v>11.25566513078183</v>
      </c>
      <c r="BO469" s="177">
        <v>11.671886149077713</v>
      </c>
      <c r="BP469" s="177">
        <v>12.424392937882024</v>
      </c>
      <c r="BQ469" s="177">
        <v>13.20150368679329</v>
      </c>
    </row>
    <row r="470" spans="1:69" ht="12" customHeight="1" outlineLevel="1">
      <c r="A470" s="91" t="s">
        <v>470</v>
      </c>
      <c r="B470" s="87" t="s">
        <v>471</v>
      </c>
      <c r="C470" s="19"/>
      <c r="D470" s="177">
        <v>1.4710817446722513</v>
      </c>
      <c r="E470" s="177">
        <v>1.6486934656124099</v>
      </c>
      <c r="F470" s="177">
        <v>1.1512160667605535</v>
      </c>
      <c r="G470" s="177">
        <v>1.561334961124488</v>
      </c>
      <c r="H470" s="177">
        <v>0.83882639019733884</v>
      </c>
      <c r="I470" s="177">
        <v>1.1710518781216295</v>
      </c>
      <c r="J470" s="177">
        <v>0.98066138947421899</v>
      </c>
      <c r="K470" s="177">
        <v>1.3976536533932631</v>
      </c>
      <c r="L470" s="177">
        <v>1.4223199005370353</v>
      </c>
      <c r="M470" s="177">
        <v>2.2425099560790538</v>
      </c>
      <c r="N470" s="177">
        <v>2.0489980097520215</v>
      </c>
      <c r="O470" s="177">
        <v>2.7567328907340936</v>
      </c>
      <c r="P470" s="177">
        <v>3.0999386275533385</v>
      </c>
      <c r="Q470" s="177">
        <v>2.9171378673950219</v>
      </c>
      <c r="R470" s="177">
        <v>3.0478981992364718</v>
      </c>
      <c r="S470" s="177">
        <v>3.3719257517184751</v>
      </c>
      <c r="T470" s="177">
        <v>3.601863674269941</v>
      </c>
      <c r="U470" s="177">
        <v>3.7932563187525927</v>
      </c>
      <c r="V470" s="177">
        <v>3.8307567289255475</v>
      </c>
      <c r="W470" s="177">
        <v>4.7968484481775713</v>
      </c>
      <c r="X470" s="177">
        <v>4.1952754352798305</v>
      </c>
      <c r="Y470" s="177">
        <v>3.5070000000000001</v>
      </c>
      <c r="Z470" s="177">
        <v>2.7289879557835617</v>
      </c>
      <c r="AA470" s="177">
        <v>5.46</v>
      </c>
      <c r="AB470" s="177">
        <v>5.4535044644432613</v>
      </c>
      <c r="AC470" s="177">
        <v>6.8072013767824862</v>
      </c>
      <c r="AD470" s="177">
        <v>5.8512666457347651</v>
      </c>
      <c r="AE470" s="177">
        <v>7.2547534193825882</v>
      </c>
      <c r="AF470" s="177">
        <v>3.661463701374863</v>
      </c>
      <c r="AG470" s="178">
        <v>5.452</v>
      </c>
      <c r="AH470" s="177">
        <v>5.0345175581779946</v>
      </c>
      <c r="AI470" s="177">
        <v>5.3790711378346119</v>
      </c>
      <c r="AJ470" s="177">
        <v>5.473247010126137</v>
      </c>
      <c r="AK470" s="177">
        <v>5.7277727328027774</v>
      </c>
      <c r="AL470" s="177">
        <v>5.4867756283352804</v>
      </c>
      <c r="AM470" s="177">
        <v>6.1173262373794683</v>
      </c>
      <c r="AN470" s="177">
        <v>5.8536535264570482</v>
      </c>
      <c r="AO470" s="177">
        <v>6.4792006619632607</v>
      </c>
      <c r="AP470" s="177">
        <v>6.2113088520654269</v>
      </c>
      <c r="AQ470" s="177">
        <v>6.8741249432025064</v>
      </c>
      <c r="AR470" s="19"/>
      <c r="AS470" s="177">
        <v>3.5510694094937079</v>
      </c>
      <c r="AT470" s="177">
        <v>3.7590839529517339</v>
      </c>
      <c r="AU470" s="177">
        <v>5.6034500335415007</v>
      </c>
      <c r="AV470" s="177">
        <v>6.4270085948285223</v>
      </c>
      <c r="AW470" s="177">
        <v>3.0338617543211925</v>
      </c>
      <c r="AX470" s="177">
        <v>3.1217830157561091</v>
      </c>
      <c r="AY470" s="177">
        <v>2.7127427689849157</v>
      </c>
      <c r="AZ470" s="177">
        <v>1.9897736367779773</v>
      </c>
      <c r="BA470" s="177">
        <v>2.4201821351908217</v>
      </c>
      <c r="BB470" s="177">
        <v>3.6918885360856213</v>
      </c>
      <c r="BC470" s="177">
        <v>4.8421198242046275</v>
      </c>
      <c r="BD470" s="177">
        <v>6.0008109933682645</v>
      </c>
      <c r="BE470" s="177">
        <v>6.4454246170512972</v>
      </c>
      <c r="BF470" s="177">
        <v>7.4318468664449453</v>
      </c>
      <c r="BG470" s="177">
        <v>8.638314473402513</v>
      </c>
      <c r="BH470" s="177">
        <v>7.645186758405921</v>
      </c>
      <c r="BI470" s="177">
        <v>8.2461377292243512</v>
      </c>
      <c r="BJ470" s="177">
        <v>12.316563287819463</v>
      </c>
      <c r="BK470" s="177">
        <v>13.17291983154305</v>
      </c>
      <c r="BL470" s="178">
        <v>9.1140532545455262</v>
      </c>
      <c r="BM470" s="177">
        <v>10.412281042920878</v>
      </c>
      <c r="BN470" s="177">
        <v>11.201019742928917</v>
      </c>
      <c r="BO470" s="177">
        <v>11.604101865714748</v>
      </c>
      <c r="BP470" s="177">
        <v>12.332854188420294</v>
      </c>
      <c r="BQ470" s="177">
        <v>13.085433795267935</v>
      </c>
    </row>
    <row r="471" spans="1:69" ht="12" customHeight="1" outlineLevel="1">
      <c r="A471" s="91" t="s">
        <v>472</v>
      </c>
      <c r="B471" s="87" t="s">
        <v>473</v>
      </c>
      <c r="C471" s="65" t="s">
        <v>55</v>
      </c>
      <c r="D471" s="65">
        <v>1.4771970554616343</v>
      </c>
      <c r="E471" s="65">
        <v>1.6664829549285538</v>
      </c>
      <c r="F471" s="65">
        <v>1.1720471738557454</v>
      </c>
      <c r="G471" s="65">
        <v>1.6055265648962223</v>
      </c>
      <c r="H471" s="65">
        <v>0.85139045326444529</v>
      </c>
      <c r="I471" s="65">
        <v>1.2154461770136573</v>
      </c>
      <c r="J471" s="65">
        <v>1.0373109872912174</v>
      </c>
      <c r="K471" s="65">
        <v>1.4371571851658678</v>
      </c>
      <c r="L471" s="65">
        <v>1.4723967192892449</v>
      </c>
      <c r="M471" s="65">
        <v>2.350358570538003</v>
      </c>
      <c r="N471" s="65">
        <v>2.1329975864218165</v>
      </c>
      <c r="O471" s="65">
        <v>2.8814626392096669</v>
      </c>
      <c r="P471" s="65">
        <v>3.2452880357488825</v>
      </c>
      <c r="Q471" s="65">
        <v>2.9537865004182491</v>
      </c>
      <c r="R471" s="65">
        <v>3.1179944897468208</v>
      </c>
      <c r="S471" s="65">
        <v>3.4584073888291758</v>
      </c>
      <c r="T471" s="65">
        <v>3.7035398837780131</v>
      </c>
      <c r="U471" s="65">
        <v>3.875338171271224</v>
      </c>
      <c r="V471" s="65">
        <v>3.8830189778737485</v>
      </c>
      <c r="W471" s="65">
        <v>4.9449999196899812</v>
      </c>
      <c r="X471" s="65">
        <v>4.3009514828931721</v>
      </c>
      <c r="Y471" s="65">
        <v>3.6210000000000004</v>
      </c>
      <c r="Z471" s="65">
        <v>2.7669315962538708</v>
      </c>
      <c r="AA471" s="65">
        <v>5.6520000000000001</v>
      </c>
      <c r="AB471" s="65">
        <v>5.6246243437665751</v>
      </c>
      <c r="AC471" s="65">
        <v>7.0639889205781277</v>
      </c>
      <c r="AD471" s="65">
        <v>6.0329089754180467</v>
      </c>
      <c r="AE471" s="65">
        <v>7.4595021055671848</v>
      </c>
      <c r="AF471" s="65">
        <v>3.6917354352989253</v>
      </c>
      <c r="AG471" s="73">
        <v>5.4740000000000002</v>
      </c>
      <c r="AH471" s="65">
        <v>5.043276887172909</v>
      </c>
      <c r="AI471" s="65">
        <v>5.3990872449782588</v>
      </c>
      <c r="AJ471" s="65">
        <v>5.4964214341519648</v>
      </c>
      <c r="AK471" s="65">
        <v>5.7592436966298646</v>
      </c>
      <c r="AL471" s="65">
        <v>5.5103910322284779</v>
      </c>
      <c r="AM471" s="65">
        <v>6.1614951168492347</v>
      </c>
      <c r="AN471" s="65">
        <v>5.8892277102014923</v>
      </c>
      <c r="AO471" s="65">
        <v>6.5351652276805474</v>
      </c>
      <c r="AP471" s="65">
        <v>6.2585411959865214</v>
      </c>
      <c r="AQ471" s="65">
        <v>6.9429624908067655</v>
      </c>
      <c r="AR471" s="177"/>
      <c r="AS471" s="65">
        <v>3.634627535029773</v>
      </c>
      <c r="AT471" s="65">
        <v>3.9363417737756601</v>
      </c>
      <c r="AU471" s="65">
        <v>5.8173704019563122</v>
      </c>
      <c r="AV471" s="65">
        <v>6.594895128395442</v>
      </c>
      <c r="AW471" s="65">
        <v>3.0441458715469496</v>
      </c>
      <c r="AX471" s="65">
        <v>3.1489615151444994</v>
      </c>
      <c r="AY471" s="65">
        <v>2.7784966879623085</v>
      </c>
      <c r="AZ471" s="65">
        <v>2.0659490951320643</v>
      </c>
      <c r="BA471" s="65">
        <v>2.4700781866484931</v>
      </c>
      <c r="BB471" s="65">
        <v>3.8355777719799784</v>
      </c>
      <c r="BC471" s="65">
        <v>5.0225367632747977</v>
      </c>
      <c r="BD471" s="65">
        <v>6.1921289059685707</v>
      </c>
      <c r="BE471" s="65">
        <v>6.5764243407913057</v>
      </c>
      <c r="BF471" s="65">
        <v>7.5788665724414672</v>
      </c>
      <c r="BG471" s="65">
        <v>8.8332055790082009</v>
      </c>
      <c r="BH471" s="65">
        <v>7.9103483372005163</v>
      </c>
      <c r="BI471" s="65">
        <v>8.4291888831752253</v>
      </c>
      <c r="BJ471" s="65">
        <v>12.71701755025968</v>
      </c>
      <c r="BK471" s="65">
        <v>13.534028270684786</v>
      </c>
      <c r="BL471" s="73">
        <v>9.1656145479840045</v>
      </c>
      <c r="BM471" s="65">
        <v>10.44096647608005</v>
      </c>
      <c r="BN471" s="65">
        <v>11.25566513078183</v>
      </c>
      <c r="BO471" s="65">
        <v>11.671886149077713</v>
      </c>
      <c r="BP471" s="65">
        <v>12.424392937882024</v>
      </c>
      <c r="BQ471" s="65">
        <v>13.20150368679329</v>
      </c>
    </row>
    <row r="472" spans="1:69" ht="12" customHeight="1" outlineLevel="1">
      <c r="A472" s="91" t="s">
        <v>474</v>
      </c>
      <c r="B472" s="117" t="s">
        <v>475</v>
      </c>
      <c r="C472" s="19"/>
      <c r="D472" s="47" t="s">
        <v>55</v>
      </c>
      <c r="E472" s="47">
        <v>0.12813855725414136</v>
      </c>
      <c r="F472" s="47">
        <v>-0.29669417236494089</v>
      </c>
      <c r="G472" s="47">
        <v>0.36984807498356642</v>
      </c>
      <c r="H472" s="47">
        <v>-0.46971263392363904</v>
      </c>
      <c r="I472" s="47">
        <v>0.42760136944609939</v>
      </c>
      <c r="J472" s="47">
        <v>-0.14655950472452584</v>
      </c>
      <c r="K472" s="44">
        <v>0.38546414987735633</v>
      </c>
      <c r="L472" s="44">
        <v>2.4520306120384472E-2</v>
      </c>
      <c r="M472" s="44">
        <v>0.59628077117189426</v>
      </c>
      <c r="N472" s="44">
        <v>-9.2479924910534805E-2</v>
      </c>
      <c r="O472" s="44">
        <v>0.35089821833480306</v>
      </c>
      <c r="P472" s="44">
        <v>0.12626413807642023</v>
      </c>
      <c r="Q472" s="44">
        <v>-8.9823008657339831E-2</v>
      </c>
      <c r="R472" s="44">
        <v>5.5592369084671578E-2</v>
      </c>
      <c r="S472" s="44">
        <v>0.10917687641904594</v>
      </c>
      <c r="T472" s="44">
        <v>7.0880167484208778E-2</v>
      </c>
      <c r="U472" s="44">
        <v>4.6387589410258556E-2</v>
      </c>
      <c r="V472" s="44">
        <v>1.9819706727697284E-3</v>
      </c>
      <c r="W472" s="44">
        <v>0.27349362644571706</v>
      </c>
      <c r="X472" s="44">
        <v>-0.13024235536027806</v>
      </c>
      <c r="Y472" s="44">
        <v>-0.15809326973290583</v>
      </c>
      <c r="Z472" s="44">
        <v>-0.23586534210056054</v>
      </c>
      <c r="AA472" s="44">
        <v>1.0426959624344176</v>
      </c>
      <c r="AB472" s="44">
        <v>-4.8435343654326113E-3</v>
      </c>
      <c r="AC472" s="44">
        <v>0.25590412600740375</v>
      </c>
      <c r="AD472" s="44">
        <v>-0.14596284857645214</v>
      </c>
      <c r="AE472" s="44">
        <v>0.23646853217278707</v>
      </c>
      <c r="AF472" s="44">
        <v>-0.50509626741123848</v>
      </c>
      <c r="AG472" s="49">
        <v>0.48277147589173386</v>
      </c>
      <c r="AH472" s="47">
        <v>-7.8685259924569095E-2</v>
      </c>
      <c r="AI472" s="47">
        <v>7.0551422371894601E-2</v>
      </c>
      <c r="AJ472" s="47">
        <v>1.8027897079128996E-2</v>
      </c>
      <c r="AK472" s="47">
        <v>4.781697794220352E-2</v>
      </c>
      <c r="AL472" s="47">
        <v>-4.3209261060963233E-2</v>
      </c>
      <c r="AM472" s="47">
        <v>0.11815932495764114</v>
      </c>
      <c r="AN472" s="47">
        <v>-4.4188529161241941E-2</v>
      </c>
      <c r="AO472" s="47">
        <v>0.10968119238455376</v>
      </c>
      <c r="AP472" s="47">
        <v>-4.2328544429504067E-2</v>
      </c>
      <c r="AQ472" s="47">
        <v>0.10935795952883565</v>
      </c>
      <c r="AR472" s="19"/>
      <c r="AS472" s="47" t="s">
        <v>55</v>
      </c>
      <c r="AT472" s="47">
        <v>8.3011047442421271E-2</v>
      </c>
      <c r="AU472" s="47">
        <v>0.47786212079252643</v>
      </c>
      <c r="AV472" s="47">
        <v>0.13365570227016277</v>
      </c>
      <c r="AW472" s="47">
        <v>-0.53840875218168938</v>
      </c>
      <c r="AX472" s="47">
        <v>3.4431872853808221E-2</v>
      </c>
      <c r="AY472" s="47">
        <v>-0.11764666713152605</v>
      </c>
      <c r="AZ472" s="47">
        <v>-0.25645076199562133</v>
      </c>
      <c r="BA472" s="47">
        <v>0.19561425422759271</v>
      </c>
      <c r="BB472" s="44">
        <v>0.5528163410828113</v>
      </c>
      <c r="BC472" s="44">
        <v>0.30946028521854085</v>
      </c>
      <c r="BD472" s="44">
        <v>0.23286880670459742</v>
      </c>
      <c r="BE472" s="44">
        <v>6.2061924203857366E-2</v>
      </c>
      <c r="BF472" s="44">
        <v>0.15242967602202251</v>
      </c>
      <c r="BG472" s="44">
        <v>0.16550482774400654</v>
      </c>
      <c r="BH472" s="44">
        <v>-0.10447591574239168</v>
      </c>
      <c r="BI472" s="44">
        <v>6.5590100948490937E-2</v>
      </c>
      <c r="BJ472" s="44">
        <v>0.50868816994278276</v>
      </c>
      <c r="BK472" s="44">
        <v>6.4245466139851493E-2</v>
      </c>
      <c r="BL472" s="49">
        <v>-0.32277261694235782</v>
      </c>
      <c r="BM472" s="47">
        <v>0.13914527186576509</v>
      </c>
      <c r="BN472" s="47">
        <v>7.8029046120225765E-2</v>
      </c>
      <c r="BO472" s="47">
        <v>3.6978802537186883E-2</v>
      </c>
      <c r="BP472" s="47">
        <v>6.4471738260038824E-2</v>
      </c>
      <c r="BQ472" s="47" t="s">
        <v>55</v>
      </c>
    </row>
    <row r="473" spans="1:69" ht="12" customHeight="1" outlineLevel="1">
      <c r="A473" s="91" t="s">
        <v>294</v>
      </c>
      <c r="B473" s="87" t="s">
        <v>476</v>
      </c>
      <c r="C473" s="65" t="s">
        <v>55</v>
      </c>
      <c r="D473" s="65">
        <v>1.4710817446722513</v>
      </c>
      <c r="E473" s="65">
        <v>1.6486934656124099</v>
      </c>
      <c r="F473" s="65">
        <v>1.1512160667605535</v>
      </c>
      <c r="G473" s="65">
        <v>1.561334961124488</v>
      </c>
      <c r="H473" s="65">
        <v>0.83882639019733884</v>
      </c>
      <c r="I473" s="65">
        <v>1.1710518781216295</v>
      </c>
      <c r="J473" s="65">
        <v>0.98066138947421899</v>
      </c>
      <c r="K473" s="65">
        <v>1.3976536533932631</v>
      </c>
      <c r="L473" s="65">
        <v>1.4223199005370353</v>
      </c>
      <c r="M473" s="65">
        <v>2.2425099560790538</v>
      </c>
      <c r="N473" s="65">
        <v>2.0489980097520215</v>
      </c>
      <c r="O473" s="65">
        <v>2.7567328907340936</v>
      </c>
      <c r="P473" s="65">
        <v>3.0999386275533385</v>
      </c>
      <c r="Q473" s="65">
        <v>2.9171378673950219</v>
      </c>
      <c r="R473" s="65">
        <v>3.0478981992364718</v>
      </c>
      <c r="S473" s="65">
        <v>3.3719257517184751</v>
      </c>
      <c r="T473" s="65">
        <v>3.601863674269941</v>
      </c>
      <c r="U473" s="65">
        <v>3.7932563187525927</v>
      </c>
      <c r="V473" s="65">
        <v>3.8307567289255475</v>
      </c>
      <c r="W473" s="65">
        <v>4.7968484481775713</v>
      </c>
      <c r="X473" s="65">
        <v>4.1952754352798305</v>
      </c>
      <c r="Y473" s="65">
        <v>3.5070000000000001</v>
      </c>
      <c r="Z473" s="65">
        <v>2.7289879557835617</v>
      </c>
      <c r="AA473" s="65">
        <v>5.46</v>
      </c>
      <c r="AB473" s="65">
        <v>5.4535044644432613</v>
      </c>
      <c r="AC473" s="65">
        <v>6.8072013767824862</v>
      </c>
      <c r="AD473" s="65">
        <v>5.8512666457347651</v>
      </c>
      <c r="AE473" s="65">
        <v>7.2547534193825882</v>
      </c>
      <c r="AF473" s="65">
        <v>3.661463701374863</v>
      </c>
      <c r="AG473" s="73">
        <v>5.452</v>
      </c>
      <c r="AH473" s="65">
        <v>5.0345175581779946</v>
      </c>
      <c r="AI473" s="65">
        <v>5.3790711378346119</v>
      </c>
      <c r="AJ473" s="65">
        <v>5.473247010126137</v>
      </c>
      <c r="AK473" s="65">
        <v>5.7277727328027774</v>
      </c>
      <c r="AL473" s="65">
        <v>5.4867756283352804</v>
      </c>
      <c r="AM473" s="65">
        <v>6.1173262373794683</v>
      </c>
      <c r="AN473" s="65">
        <v>5.8536535264570482</v>
      </c>
      <c r="AO473" s="65">
        <v>6.4792006619632607</v>
      </c>
      <c r="AP473" s="65">
        <v>6.2113088520654269</v>
      </c>
      <c r="AQ473" s="65">
        <v>6.8741249432025064</v>
      </c>
      <c r="AR473" s="19"/>
      <c r="AS473" s="65">
        <v>3.5510694094937079</v>
      </c>
      <c r="AT473" s="65">
        <v>3.7590839529517339</v>
      </c>
      <c r="AU473" s="65">
        <v>5.6034500335415007</v>
      </c>
      <c r="AV473" s="65">
        <v>6.4270085948285223</v>
      </c>
      <c r="AW473" s="65">
        <v>3.0338617543211925</v>
      </c>
      <c r="AX473" s="65">
        <v>3.1217830157561091</v>
      </c>
      <c r="AY473" s="65">
        <v>2.7127427689849157</v>
      </c>
      <c r="AZ473" s="65">
        <v>1.9897736367779773</v>
      </c>
      <c r="BA473" s="65">
        <v>2.4201821351908217</v>
      </c>
      <c r="BB473" s="65">
        <v>3.6918885360856213</v>
      </c>
      <c r="BC473" s="65">
        <v>4.8421198242046275</v>
      </c>
      <c r="BD473" s="65">
        <v>6.0008109933682645</v>
      </c>
      <c r="BE473" s="65">
        <v>6.4454246170512972</v>
      </c>
      <c r="BF473" s="65">
        <v>7.4318468664449453</v>
      </c>
      <c r="BG473" s="65">
        <v>8.638314473402513</v>
      </c>
      <c r="BH473" s="65">
        <v>7.645186758405921</v>
      </c>
      <c r="BI473" s="65">
        <v>8.2461377292243512</v>
      </c>
      <c r="BJ473" s="65">
        <v>12.316563287819463</v>
      </c>
      <c r="BK473" s="65">
        <v>13.17291983154305</v>
      </c>
      <c r="BL473" s="73">
        <v>9.1140532545455262</v>
      </c>
      <c r="BM473" s="65">
        <v>10.412281042920878</v>
      </c>
      <c r="BN473" s="65">
        <v>11.201019742928917</v>
      </c>
      <c r="BO473" s="65">
        <v>11.604101865714748</v>
      </c>
      <c r="BP473" s="65">
        <v>12.332854188420294</v>
      </c>
      <c r="BQ473" s="65">
        <v>13.085433795267935</v>
      </c>
    </row>
    <row r="474" spans="1:69" ht="12" customHeight="1" outlineLevel="1">
      <c r="A474" s="91" t="s">
        <v>297</v>
      </c>
      <c r="B474" s="117" t="s">
        <v>477</v>
      </c>
      <c r="C474" s="19"/>
      <c r="D474" s="47" t="s">
        <v>55</v>
      </c>
      <c r="E474" s="47">
        <v>0.12073545306602229</v>
      </c>
      <c r="F474" s="47">
        <v>-0.30174038366014122</v>
      </c>
      <c r="G474" s="47">
        <v>0.35624841088083681</v>
      </c>
      <c r="H474" s="47">
        <v>-0.4627505236972288</v>
      </c>
      <c r="I474" s="47">
        <v>0.39605989011162679</v>
      </c>
      <c r="J474" s="47">
        <v>-0.16258074659578481</v>
      </c>
      <c r="K474" s="44">
        <v>0.42521533772489417</v>
      </c>
      <c r="L474" s="44">
        <v>1.7648325880941007E-2</v>
      </c>
      <c r="M474" s="44">
        <v>0.57665652799509703</v>
      </c>
      <c r="N474" s="44">
        <v>-8.6292569539080599E-2</v>
      </c>
      <c r="O474" s="44">
        <v>0.34540535306216591</v>
      </c>
      <c r="P474" s="44">
        <v>0.12449727645823971</v>
      </c>
      <c r="Q474" s="44">
        <v>-5.8969154593423112E-2</v>
      </c>
      <c r="R474" s="44">
        <v>4.4824872112821268E-2</v>
      </c>
      <c r="S474" s="44">
        <v>0.10631180285587472</v>
      </c>
      <c r="T474" s="44">
        <v>6.8191870012048739E-2</v>
      </c>
      <c r="U474" s="44">
        <v>5.313711505792762E-2</v>
      </c>
      <c r="V474" s="44">
        <v>9.8860733422008185E-3</v>
      </c>
      <c r="W474" s="44">
        <v>0.2521934405171673</v>
      </c>
      <c r="X474" s="44">
        <v>-0.12541005191154031</v>
      </c>
      <c r="Y474" s="44">
        <v>-0.16405965374569531</v>
      </c>
      <c r="Z474" s="44">
        <v>-0.2218454645612884</v>
      </c>
      <c r="AA474" s="44">
        <v>1.0007416992913387</v>
      </c>
      <c r="AB474" s="44">
        <v>-1.189658526875248E-3</v>
      </c>
      <c r="AC474" s="44">
        <v>0.24822514057984213</v>
      </c>
      <c r="AD474" s="44">
        <v>-0.14042991798482041</v>
      </c>
      <c r="AE474" s="44">
        <v>0.23986033428691611</v>
      </c>
      <c r="AF474" s="44">
        <v>-0.49530142656640841</v>
      </c>
      <c r="AG474" s="49">
        <v>0.48902199903082444</v>
      </c>
      <c r="AH474" s="47">
        <v>-7.6574182285767622E-2</v>
      </c>
      <c r="AI474" s="47">
        <v>6.8438251664636685E-2</v>
      </c>
      <c r="AJ474" s="47">
        <v>1.7507831720075862E-2</v>
      </c>
      <c r="AK474" s="47">
        <v>4.6503606032349376E-2</v>
      </c>
      <c r="AL474" s="47">
        <v>-4.2075186239026952E-2</v>
      </c>
      <c r="AM474" s="47">
        <v>0.11492188705290673</v>
      </c>
      <c r="AN474" s="47">
        <v>-4.3102607363208367E-2</v>
      </c>
      <c r="AO474" s="47">
        <v>0.10686439378055024</v>
      </c>
      <c r="AP474" s="47">
        <v>-4.1346428961602788E-2</v>
      </c>
      <c r="AQ474" s="47">
        <v>0.1067111790644053</v>
      </c>
      <c r="AR474" s="19"/>
      <c r="AS474" s="47" t="s">
        <v>55</v>
      </c>
      <c r="AT474" s="47">
        <v>5.8577999884176668E-2</v>
      </c>
      <c r="AU474" s="47">
        <v>0.49064242876020914</v>
      </c>
      <c r="AV474" s="47">
        <v>0.14697348175807945</v>
      </c>
      <c r="AW474" s="47">
        <v>-0.52795119073554964</v>
      </c>
      <c r="AX474" s="47">
        <v>2.8979982792455283E-2</v>
      </c>
      <c r="AY474" s="47">
        <v>-0.13102776352703105</v>
      </c>
      <c r="AZ474" s="47">
        <v>-0.26650854643231325</v>
      </c>
      <c r="BA474" s="47">
        <v>0.21631028296756472</v>
      </c>
      <c r="BB474" s="44">
        <v>0.52545896542391035</v>
      </c>
      <c r="BC474" s="44">
        <v>0.31155634220164075</v>
      </c>
      <c r="BD474" s="44">
        <v>0.23929419577177957</v>
      </c>
      <c r="BE474" s="44">
        <v>7.4092255892477255E-2</v>
      </c>
      <c r="BF474" s="44">
        <v>0.15304224438279501</v>
      </c>
      <c r="BG474" s="44">
        <v>0.16233752237345089</v>
      </c>
      <c r="BH474" s="44">
        <v>-0.1149677657666256</v>
      </c>
      <c r="BI474" s="44">
        <v>7.8605139391484613E-2</v>
      </c>
      <c r="BJ474" s="44">
        <v>0.49361600451681809</v>
      </c>
      <c r="BK474" s="44">
        <v>6.95288550638542E-2</v>
      </c>
      <c r="BL474" s="49">
        <v>-0.30812201310740661</v>
      </c>
      <c r="BM474" s="47">
        <v>0.14244241855048134</v>
      </c>
      <c r="BN474" s="47">
        <v>7.5750807796749697E-2</v>
      </c>
      <c r="BO474" s="47">
        <v>3.5986198760188159E-2</v>
      </c>
      <c r="BP474" s="47">
        <v>6.2801268994260084E-2</v>
      </c>
      <c r="BQ474" s="47" t="s">
        <v>55</v>
      </c>
    </row>
    <row r="475" spans="1:69" ht="12" customHeight="1" outlineLevel="1">
      <c r="A475" s="91" t="s">
        <v>379</v>
      </c>
      <c r="B475" s="87" t="s">
        <v>478</v>
      </c>
      <c r="C475" s="65"/>
      <c r="D475" s="65">
        <v>2.0446380955554559</v>
      </c>
      <c r="E475" s="65">
        <v>2.471998358711883</v>
      </c>
      <c r="F475" s="65">
        <v>1.6873945492948297</v>
      </c>
      <c r="G475" s="65">
        <v>2.4422927119784155</v>
      </c>
      <c r="H475" s="65">
        <v>1.4419676338739373</v>
      </c>
      <c r="I475" s="65">
        <v>2.252948620916134</v>
      </c>
      <c r="J475" s="65">
        <v>1.8733526785408552</v>
      </c>
      <c r="K475" s="65">
        <v>3.1238427607231718</v>
      </c>
      <c r="L475" s="65">
        <v>2.8718082563723422</v>
      </c>
      <c r="M475" s="65">
        <v>4.7569933322015636</v>
      </c>
      <c r="N475" s="65">
        <v>4.1474953069313099</v>
      </c>
      <c r="O475" s="65">
        <v>5.8626298680113642</v>
      </c>
      <c r="P475" s="65">
        <v>6.294184632826453</v>
      </c>
      <c r="Q475" s="65">
        <v>5.1182260251149723</v>
      </c>
      <c r="R475" s="65">
        <v>5.0897132829633422</v>
      </c>
      <c r="S475" s="65">
        <v>5.4195204896053957</v>
      </c>
      <c r="T475" s="65">
        <v>5.5413400608078405</v>
      </c>
      <c r="U475" s="65">
        <v>5.4490166612838395</v>
      </c>
      <c r="V475" s="65">
        <v>5.4028641147980796</v>
      </c>
      <c r="W475" s="65">
        <v>7.5114702829932556</v>
      </c>
      <c r="X475" s="65">
        <v>6.0776978219800952</v>
      </c>
      <c r="Y475" s="65">
        <v>6.6865056818181818</v>
      </c>
      <c r="Z475" s="65">
        <v>4.8196290134117792</v>
      </c>
      <c r="AA475" s="65">
        <v>7.7193132959755486</v>
      </c>
      <c r="AB475" s="65">
        <v>8.2776953815492931</v>
      </c>
      <c r="AC475" s="65">
        <v>10.613773356839202</v>
      </c>
      <c r="AD475" s="65">
        <v>8.6535635684120038</v>
      </c>
      <c r="AE475" s="65">
        <v>11.2040058593866</v>
      </c>
      <c r="AF475" s="65">
        <v>5.3931204566876039</v>
      </c>
      <c r="AG475" s="73">
        <v>7.3104212091179388</v>
      </c>
      <c r="AH475" s="65">
        <v>7.1681922134374556</v>
      </c>
      <c r="AI475" s="65">
        <v>7.9867729063773973</v>
      </c>
      <c r="AJ475" s="65">
        <v>8.2803630428724464</v>
      </c>
      <c r="AK475" s="65">
        <v>8.8488704707622023</v>
      </c>
      <c r="AL475" s="65">
        <v>8.7516871519725434</v>
      </c>
      <c r="AM475" s="65">
        <v>9.6372901111385634</v>
      </c>
      <c r="AN475" s="65">
        <v>9.2991561393389475</v>
      </c>
      <c r="AO475" s="65">
        <v>10.183991339501402</v>
      </c>
      <c r="AP475" s="65">
        <v>9.8412961235895136</v>
      </c>
      <c r="AQ475" s="65">
        <v>10.773047754810172</v>
      </c>
      <c r="AR475" s="19"/>
      <c r="AS475" s="65">
        <v>5.3221331762935966</v>
      </c>
      <c r="AT475" s="65">
        <v>5.6853495269707404</v>
      </c>
      <c r="AU475" s="65">
        <v>7.8254169180109523</v>
      </c>
      <c r="AV475" s="65">
        <v>8.4603396738650343</v>
      </c>
      <c r="AW475" s="65">
        <v>5.2075514909356544</v>
      </c>
      <c r="AX475" s="65">
        <v>4.5285065598744705</v>
      </c>
      <c r="AY475" s="65">
        <v>4.0660218268402399</v>
      </c>
      <c r="AZ475" s="65">
        <v>3.6928464174995268</v>
      </c>
      <c r="BA475" s="65">
        <v>4.983929910781896</v>
      </c>
      <c r="BB475" s="65">
        <v>7.6515529318374016</v>
      </c>
      <c r="BC475" s="65">
        <v>10.028298186658898</v>
      </c>
      <c r="BD475" s="65">
        <v>11.390851175561867</v>
      </c>
      <c r="BE475" s="65">
        <v>10.509200828679289</v>
      </c>
      <c r="BF475" s="65">
        <v>10.9899767318873</v>
      </c>
      <c r="BG475" s="65">
        <v>12.922652606326812</v>
      </c>
      <c r="BH475" s="65">
        <v>12.780794221599772</v>
      </c>
      <c r="BI475" s="65">
        <v>12.548391269500568</v>
      </c>
      <c r="BJ475" s="65">
        <v>18.93744947328646</v>
      </c>
      <c r="BK475" s="65">
        <v>19.920448471809678</v>
      </c>
      <c r="BL475" s="73">
        <v>12.704597772272068</v>
      </c>
      <c r="BM475" s="65">
        <v>15.151645868055828</v>
      </c>
      <c r="BN475" s="65">
        <v>17.129233513634652</v>
      </c>
      <c r="BO475" s="65">
        <v>18.388977263111105</v>
      </c>
      <c r="BP475" s="65">
        <v>19.483147478840337</v>
      </c>
      <c r="BQ475" s="65">
        <v>20.614343878399687</v>
      </c>
    </row>
    <row r="476" spans="1:69" ht="12" customHeight="1" outlineLevel="1">
      <c r="A476" s="91" t="s">
        <v>301</v>
      </c>
      <c r="B476" s="87" t="s">
        <v>479</v>
      </c>
      <c r="C476" s="19"/>
      <c r="D476" s="177">
        <v>0.84572400000000003</v>
      </c>
      <c r="E476" s="177">
        <v>0.98340000000000005</v>
      </c>
      <c r="F476" s="177">
        <v>0.84572400000000003</v>
      </c>
      <c r="G476" s="177">
        <v>0.98340000000000005</v>
      </c>
      <c r="H476" s="177">
        <v>0.63921000000000006</v>
      </c>
      <c r="I476" s="177">
        <v>0.73755000000000004</v>
      </c>
      <c r="J476" s="177">
        <v>0.73755000000000004</v>
      </c>
      <c r="K476" s="177">
        <v>1.22925</v>
      </c>
      <c r="L476" s="177">
        <v>0.98340000000000005</v>
      </c>
      <c r="M476" s="177">
        <v>2.7563000000000004</v>
      </c>
      <c r="N476" s="177">
        <v>1.3</v>
      </c>
      <c r="O476" s="177">
        <v>2</v>
      </c>
      <c r="P476" s="177">
        <v>1.6</v>
      </c>
      <c r="Q476" s="177">
        <v>2.4</v>
      </c>
      <c r="R476" s="177">
        <v>1.9</v>
      </c>
      <c r="S476" s="177">
        <v>2.8</v>
      </c>
      <c r="T476" s="177">
        <v>2.0499999999999998</v>
      </c>
      <c r="U476" s="177">
        <v>3.2</v>
      </c>
      <c r="V476" s="177">
        <v>2.15</v>
      </c>
      <c r="W476" s="177">
        <v>3.6</v>
      </c>
      <c r="X476" s="177">
        <v>2.5</v>
      </c>
      <c r="Y476" s="177">
        <v>1.8</v>
      </c>
      <c r="Z476" s="177">
        <v>1.35</v>
      </c>
      <c r="AA476" s="177">
        <v>3.35</v>
      </c>
      <c r="AB476" s="177">
        <v>2.72</v>
      </c>
      <c r="AC476" s="177">
        <v>3.5</v>
      </c>
      <c r="AD476" s="177">
        <v>3</v>
      </c>
      <c r="AE476" s="177">
        <v>4.5</v>
      </c>
      <c r="AF476" s="177">
        <v>2.5499999999999998</v>
      </c>
      <c r="AG476" s="178">
        <v>3.85</v>
      </c>
      <c r="AH476" s="177">
        <v>2.5499999999999998</v>
      </c>
      <c r="AI476" s="177">
        <v>3.85</v>
      </c>
      <c r="AJ476" s="177">
        <v>2.8</v>
      </c>
      <c r="AK476" s="177">
        <v>4.0999999999999996</v>
      </c>
      <c r="AL476" s="177">
        <v>2.8</v>
      </c>
      <c r="AM476" s="177">
        <v>4.3499999999999996</v>
      </c>
      <c r="AN476" s="177">
        <v>3</v>
      </c>
      <c r="AO476" s="177">
        <v>4.5999999999999996</v>
      </c>
      <c r="AP476" s="177">
        <v>3.2</v>
      </c>
      <c r="AQ476" s="177">
        <v>4.9000000000000004</v>
      </c>
      <c r="AR476" s="177"/>
      <c r="AS476" s="177">
        <v>1.976634</v>
      </c>
      <c r="AT476" s="177">
        <v>2.1143100000000001</v>
      </c>
      <c r="AU476" s="177">
        <v>3.0977100000000002</v>
      </c>
      <c r="AV476" s="177">
        <v>3.3927300000000002</v>
      </c>
      <c r="AW476" s="177">
        <v>1.8192900000000001</v>
      </c>
      <c r="AX476" s="177">
        <v>1.8291240000000002</v>
      </c>
      <c r="AY476" s="177">
        <v>1.8291240000000002</v>
      </c>
      <c r="AZ476" s="177">
        <v>1.37676</v>
      </c>
      <c r="BA476" s="177">
        <v>1.9668000000000001</v>
      </c>
      <c r="BB476" s="177">
        <v>3.7397000000000005</v>
      </c>
      <c r="BC476" s="177">
        <v>3.3</v>
      </c>
      <c r="BD476" s="177">
        <v>4</v>
      </c>
      <c r="BE476" s="177">
        <v>4.6999999999999993</v>
      </c>
      <c r="BF476" s="177">
        <v>5.25</v>
      </c>
      <c r="BG476" s="177">
        <v>5.75</v>
      </c>
      <c r="BH476" s="177">
        <v>4.3</v>
      </c>
      <c r="BI476" s="177">
        <v>4.7</v>
      </c>
      <c r="BJ476" s="177">
        <v>6.2200000000000006</v>
      </c>
      <c r="BK476" s="177">
        <v>7.5</v>
      </c>
      <c r="BL476" s="178">
        <v>6.4</v>
      </c>
      <c r="BM476" s="177">
        <v>6.4</v>
      </c>
      <c r="BN476" s="177">
        <v>6.8999999999999995</v>
      </c>
      <c r="BO476" s="177">
        <v>7.1499999999999995</v>
      </c>
      <c r="BP476" s="177">
        <v>7.6</v>
      </c>
      <c r="BQ476" s="177">
        <v>8.1000000000000014</v>
      </c>
    </row>
    <row r="477" spans="1:69" ht="12" customHeight="1" outlineLevel="1">
      <c r="A477" s="91" t="s">
        <v>1367</v>
      </c>
      <c r="B477" s="87" t="s">
        <v>1368</v>
      </c>
      <c r="C477" s="19"/>
      <c r="D477" s="363">
        <v>0</v>
      </c>
      <c r="E477" s="363">
        <v>0</v>
      </c>
      <c r="F477" s="363">
        <v>0</v>
      </c>
      <c r="G477" s="363">
        <v>0</v>
      </c>
      <c r="H477" s="363">
        <v>0</v>
      </c>
      <c r="I477" s="363">
        <v>0</v>
      </c>
      <c r="J477" s="363">
        <v>0</v>
      </c>
      <c r="K477" s="363">
        <v>0</v>
      </c>
      <c r="L477" s="363">
        <v>0</v>
      </c>
      <c r="M477" s="363">
        <v>1.1563000000000001</v>
      </c>
      <c r="N477" s="161">
        <v>0</v>
      </c>
      <c r="O477" s="161">
        <v>0</v>
      </c>
      <c r="P477" s="161">
        <v>0</v>
      </c>
      <c r="Q477" s="161">
        <v>0</v>
      </c>
      <c r="R477" s="161">
        <v>0</v>
      </c>
      <c r="S477" s="161">
        <v>0</v>
      </c>
      <c r="T477" s="161">
        <v>0</v>
      </c>
      <c r="U477" s="161">
        <v>0</v>
      </c>
      <c r="V477" s="161">
        <v>0</v>
      </c>
      <c r="W477" s="161">
        <v>0</v>
      </c>
      <c r="X477" s="161">
        <v>0</v>
      </c>
      <c r="Y477" s="161">
        <v>0</v>
      </c>
      <c r="Z477" s="161">
        <v>0</v>
      </c>
      <c r="AA477" s="161">
        <v>0</v>
      </c>
      <c r="AB477" s="161">
        <v>0</v>
      </c>
      <c r="AC477" s="161">
        <v>0</v>
      </c>
      <c r="AD477" s="161">
        <v>0</v>
      </c>
      <c r="AE477" s="161">
        <v>0</v>
      </c>
      <c r="AF477" s="161">
        <v>0</v>
      </c>
      <c r="AG477" s="354">
        <v>0</v>
      </c>
      <c r="AH477" s="98">
        <v>0</v>
      </c>
      <c r="AI477" s="98">
        <v>0</v>
      </c>
      <c r="AJ477" s="98">
        <v>0</v>
      </c>
      <c r="AK477" s="98">
        <v>0</v>
      </c>
      <c r="AL477" s="98">
        <v>0</v>
      </c>
      <c r="AM477" s="98">
        <v>0</v>
      </c>
      <c r="AN477" s="98">
        <v>0</v>
      </c>
      <c r="AO477" s="98">
        <v>0</v>
      </c>
      <c r="AP477" s="98">
        <v>0</v>
      </c>
      <c r="AQ477" s="98">
        <v>0</v>
      </c>
      <c r="AR477" s="177"/>
      <c r="AS477" s="177">
        <v>0</v>
      </c>
      <c r="AT477" s="177">
        <v>0</v>
      </c>
      <c r="AU477" s="177">
        <v>0</v>
      </c>
      <c r="AV477" s="177">
        <v>0</v>
      </c>
      <c r="AW477" s="177">
        <v>0</v>
      </c>
      <c r="AX477" s="177">
        <v>0</v>
      </c>
      <c r="AY477" s="177">
        <v>0</v>
      </c>
      <c r="AZ477" s="177">
        <v>0</v>
      </c>
      <c r="BA477" s="177">
        <v>0</v>
      </c>
      <c r="BB477" s="177">
        <v>1.1563000000000001</v>
      </c>
      <c r="BC477" s="177">
        <v>0</v>
      </c>
      <c r="BD477" s="177">
        <v>0</v>
      </c>
      <c r="BE477" s="177">
        <v>0</v>
      </c>
      <c r="BF477" s="177">
        <v>0</v>
      </c>
      <c r="BG477" s="177">
        <v>0</v>
      </c>
      <c r="BH477" s="177">
        <v>0</v>
      </c>
      <c r="BI477" s="177">
        <v>0</v>
      </c>
      <c r="BJ477" s="177">
        <v>0</v>
      </c>
      <c r="BK477" s="177">
        <v>0</v>
      </c>
      <c r="BL477" s="178">
        <v>0</v>
      </c>
      <c r="BM477" s="177">
        <v>0</v>
      </c>
      <c r="BN477" s="177">
        <v>0</v>
      </c>
      <c r="BO477" s="177">
        <v>0</v>
      </c>
      <c r="BP477" s="177">
        <v>0</v>
      </c>
      <c r="BQ477" s="177">
        <v>0</v>
      </c>
    </row>
    <row r="478" spans="1:69" ht="12" customHeight="1" outlineLevel="1">
      <c r="A478" s="91" t="s">
        <v>480</v>
      </c>
      <c r="B478" s="87" t="s">
        <v>481</v>
      </c>
      <c r="C478" s="19"/>
      <c r="D478" s="177">
        <v>0.84572400000000003</v>
      </c>
      <c r="E478" s="177">
        <v>0.98340000000000005</v>
      </c>
      <c r="F478" s="177">
        <v>0.84572400000000003</v>
      </c>
      <c r="G478" s="177">
        <v>0.98340000000000005</v>
      </c>
      <c r="H478" s="177">
        <v>0.63921000000000006</v>
      </c>
      <c r="I478" s="177">
        <v>0.73755000000000004</v>
      </c>
      <c r="J478" s="177">
        <v>0.73755000000000004</v>
      </c>
      <c r="K478" s="177">
        <v>1.4399785714285716</v>
      </c>
      <c r="L478" s="177">
        <v>1.1519828571428572</v>
      </c>
      <c r="M478" s="177">
        <v>3.2288085714285719</v>
      </c>
      <c r="N478" s="177">
        <v>1.5228571428571429</v>
      </c>
      <c r="O478" s="177">
        <v>2.342857142857143</v>
      </c>
      <c r="P478" s="177">
        <v>1.8742857142857146</v>
      </c>
      <c r="Q478" s="177">
        <v>2.8114285714285714</v>
      </c>
      <c r="R478" s="177">
        <v>2.2664285714285715</v>
      </c>
      <c r="S478" s="177">
        <v>3.34</v>
      </c>
      <c r="T478" s="177">
        <v>2.4453571428571426</v>
      </c>
      <c r="U478" s="177">
        <v>3.8171428571428572</v>
      </c>
      <c r="V478" s="177">
        <v>2.5646428571428568</v>
      </c>
      <c r="W478" s="177">
        <v>4.2942857142857145</v>
      </c>
      <c r="X478" s="177">
        <v>2.9285714285714288</v>
      </c>
      <c r="Y478" s="177">
        <v>2.1085714285714285</v>
      </c>
      <c r="Z478" s="177">
        <v>1.5814285714285716</v>
      </c>
      <c r="AA478" s="177">
        <v>3.9242857142857144</v>
      </c>
      <c r="AB478" s="177">
        <v>3.1862857142857148</v>
      </c>
      <c r="AC478" s="177">
        <v>4.1000000000000005</v>
      </c>
      <c r="AD478" s="177">
        <v>3.5142857142857142</v>
      </c>
      <c r="AE478" s="177">
        <v>5.2714285714285714</v>
      </c>
      <c r="AF478" s="177">
        <v>2.9871428571428571</v>
      </c>
      <c r="AG478" s="178">
        <v>4.5100000000000007</v>
      </c>
      <c r="AH478" s="177">
        <v>2.9871428571428571</v>
      </c>
      <c r="AI478" s="177">
        <v>4.5100000000000007</v>
      </c>
      <c r="AJ478" s="177">
        <v>3.28</v>
      </c>
      <c r="AK478" s="177">
        <v>4.8028571428571425</v>
      </c>
      <c r="AL478" s="177">
        <v>3.28</v>
      </c>
      <c r="AM478" s="177">
        <v>5.0957142857142852</v>
      </c>
      <c r="AN478" s="177">
        <v>3.5142857142857142</v>
      </c>
      <c r="AO478" s="177">
        <v>5.3885714285714288</v>
      </c>
      <c r="AP478" s="177">
        <v>3.7485714285714291</v>
      </c>
      <c r="AQ478" s="177">
        <v>5.7400000000000011</v>
      </c>
      <c r="AR478" s="177"/>
      <c r="AS478" s="177">
        <v>2.7390499714285714</v>
      </c>
      <c r="AT478" s="177">
        <v>2.9825117142857147</v>
      </c>
      <c r="AU478" s="177">
        <v>4.4253</v>
      </c>
      <c r="AV478" s="177">
        <v>4.8467571428571432</v>
      </c>
      <c r="AW478" s="177">
        <v>2.4093300000000002</v>
      </c>
      <c r="AX478" s="177">
        <v>1.8291240000000002</v>
      </c>
      <c r="AY478" s="177">
        <v>1.8291240000000002</v>
      </c>
      <c r="AZ478" s="177">
        <v>1.37676</v>
      </c>
      <c r="BA478" s="177">
        <v>2.1775285714285717</v>
      </c>
      <c r="BB478" s="177">
        <v>4.3807914285714293</v>
      </c>
      <c r="BC478" s="177">
        <v>3.8657142857142857</v>
      </c>
      <c r="BD478" s="177">
        <v>4.6857142857142859</v>
      </c>
      <c r="BE478" s="177">
        <v>5.6064285714285704</v>
      </c>
      <c r="BF478" s="177">
        <v>6.2625000000000002</v>
      </c>
      <c r="BG478" s="177">
        <v>6.8589285714285717</v>
      </c>
      <c r="BH478" s="177">
        <v>5.0371428571428574</v>
      </c>
      <c r="BI478" s="177">
        <v>5.5057142857142862</v>
      </c>
      <c r="BJ478" s="177">
        <v>7.2862857142857154</v>
      </c>
      <c r="BK478" s="177">
        <v>8.7857142857142865</v>
      </c>
      <c r="BL478" s="178">
        <v>7.4971428571428582</v>
      </c>
      <c r="BM478" s="177">
        <v>7.4971428571428582</v>
      </c>
      <c r="BN478" s="177">
        <v>8.0828571428571419</v>
      </c>
      <c r="BO478" s="177">
        <v>8.3757142857142863</v>
      </c>
      <c r="BP478" s="177">
        <v>8.9028571428571421</v>
      </c>
      <c r="BQ478" s="177">
        <v>9.4885714285714311</v>
      </c>
    </row>
    <row r="479" spans="1:69" ht="12" customHeight="1" outlineLevel="1">
      <c r="A479" s="91" t="s">
        <v>482</v>
      </c>
      <c r="B479" s="87" t="s">
        <v>483</v>
      </c>
      <c r="C479" s="65" t="s">
        <v>55</v>
      </c>
      <c r="D479" s="65">
        <v>-3.2597020618433139</v>
      </c>
      <c r="E479" s="65">
        <v>0.18970471465911734</v>
      </c>
      <c r="F479" s="65">
        <v>1.498924651991393</v>
      </c>
      <c r="G479" s="65">
        <v>0.90477187635035727</v>
      </c>
      <c r="H479" s="65">
        <v>1.7297615899069891</v>
      </c>
      <c r="I479" s="65">
        <v>0.77209484197393619</v>
      </c>
      <c r="J479" s="65">
        <v>2.3068557777073342</v>
      </c>
      <c r="K479" s="65">
        <v>1.3139722835802219</v>
      </c>
      <c r="L479" s="65">
        <v>2.9987390080352081</v>
      </c>
      <c r="M479" s="65">
        <v>4.5848543946410336</v>
      </c>
      <c r="N479" s="65">
        <v>3.0674536719018506</v>
      </c>
      <c r="O479" s="65">
        <v>2.0173561960787403</v>
      </c>
      <c r="P479" s="65">
        <v>2.9523106436326638</v>
      </c>
      <c r="Q479" s="65">
        <v>0.91150781720223806</v>
      </c>
      <c r="R479" s="65">
        <v>3.3578402197273456</v>
      </c>
      <c r="S479" s="65">
        <v>2.9634597967285106</v>
      </c>
      <c r="T479" s="65">
        <v>3.3216996442937754</v>
      </c>
      <c r="U479" s="65">
        <v>3.373495818156965</v>
      </c>
      <c r="V479" s="65">
        <v>3.6575135002406669</v>
      </c>
      <c r="W479" s="65">
        <v>3.7711401256701165</v>
      </c>
      <c r="X479" s="65">
        <v>-0.54834068051130902</v>
      </c>
      <c r="Y479" s="65">
        <v>1.8722215909090911</v>
      </c>
      <c r="Z479" s="65">
        <v>-0.89714781032785529</v>
      </c>
      <c r="AA479" s="65">
        <v>3.351466123280693</v>
      </c>
      <c r="AB479" s="65">
        <v>-9.6682117132489157E-2</v>
      </c>
      <c r="AC479" s="65">
        <v>-4.1710651355912693</v>
      </c>
      <c r="AD479" s="65">
        <v>1.8128445689679844</v>
      </c>
      <c r="AE479" s="65">
        <v>4.6511242902026249</v>
      </c>
      <c r="AF479" s="65">
        <v>2.6520001444502888</v>
      </c>
      <c r="AG479" s="73">
        <v>5.7463593095746779</v>
      </c>
      <c r="AH479" s="65">
        <v>4.4123816600304036</v>
      </c>
      <c r="AI479" s="65">
        <v>5.9649374989299533</v>
      </c>
      <c r="AJ479" s="65">
        <v>2.9220391079550052</v>
      </c>
      <c r="AK479" s="65">
        <v>4.2787001223626859</v>
      </c>
      <c r="AL479" s="65">
        <v>2.9220391079550052</v>
      </c>
      <c r="AM479" s="65">
        <v>4.5395964712872399</v>
      </c>
      <c r="AN479" s="65">
        <v>3.1307561870946481</v>
      </c>
      <c r="AO479" s="65">
        <v>4.8004928202117938</v>
      </c>
      <c r="AP479" s="65">
        <v>3.3394732662342914</v>
      </c>
      <c r="AQ479" s="65">
        <v>5.1135684389212583</v>
      </c>
      <c r="AR479" s="65"/>
      <c r="AS479" s="65">
        <v>0</v>
      </c>
      <c r="AT479" s="65">
        <v>1.3149788021564979</v>
      </c>
      <c r="AU479" s="65">
        <v>-1.1491592933461205</v>
      </c>
      <c r="AV479" s="65">
        <v>-1.8252094670378955</v>
      </c>
      <c r="AW479" s="65">
        <v>0.15378004402763007</v>
      </c>
      <c r="AX479" s="65">
        <v>-2.9450287694018078</v>
      </c>
      <c r="AY479" s="65">
        <v>2.3686974902607547</v>
      </c>
      <c r="AZ479" s="65">
        <v>2.505000867896666</v>
      </c>
      <c r="BA479" s="65">
        <v>3.6300769299986082</v>
      </c>
      <c r="BB479" s="65">
        <v>7.6123477075922912</v>
      </c>
      <c r="BC479" s="65">
        <v>5.0762178509250298</v>
      </c>
      <c r="BD479" s="65">
        <v>3.8339783282470701</v>
      </c>
      <c r="BE479" s="65">
        <v>6.3210896836204311</v>
      </c>
      <c r="BF479" s="65">
        <v>6.6950789402214106</v>
      </c>
      <c r="BG479" s="65">
        <v>7.4319912768175209</v>
      </c>
      <c r="BH479" s="65">
        <v>1.3744080191342323</v>
      </c>
      <c r="BI479" s="65">
        <v>2.471521431795205</v>
      </c>
      <c r="BJ479" s="65">
        <v>-4.3459340520518932</v>
      </c>
      <c r="BK479" s="65">
        <v>6.4916908637807964</v>
      </c>
      <c r="BL479" s="73">
        <v>8.3950144950200194</v>
      </c>
      <c r="BM479" s="65">
        <v>10.370808783379905</v>
      </c>
      <c r="BN479" s="65">
        <v>7.2007392303176889</v>
      </c>
      <c r="BO479" s="65">
        <v>7.4616355792422437</v>
      </c>
      <c r="BP479" s="65">
        <v>7.9312490073064419</v>
      </c>
      <c r="BQ479" s="65">
        <v>8.4530417051555489</v>
      </c>
    </row>
    <row r="480" spans="1:69" ht="12" customHeight="1" outlineLevel="1">
      <c r="A480" s="91" t="s">
        <v>484</v>
      </c>
      <c r="B480" s="87" t="s">
        <v>485</v>
      </c>
      <c r="C480" s="65" t="s">
        <v>55</v>
      </c>
      <c r="D480" s="65">
        <v>-3.2597020618433139</v>
      </c>
      <c r="E480" s="65">
        <v>0.18970471465911734</v>
      </c>
      <c r="F480" s="65">
        <v>1.498924651991393</v>
      </c>
      <c r="G480" s="65">
        <v>0.90477187635035727</v>
      </c>
      <c r="H480" s="65">
        <v>1.7297615899069891</v>
      </c>
      <c r="I480" s="65">
        <v>0.77209484197393619</v>
      </c>
      <c r="J480" s="65">
        <v>2.3068557777073342</v>
      </c>
      <c r="K480" s="65">
        <v>1.4500983682335467</v>
      </c>
      <c r="L480" s="65">
        <v>3.2402700954851182</v>
      </c>
      <c r="M480" s="65">
        <v>4.7598686199498275</v>
      </c>
      <c r="N480" s="65">
        <v>3.2920713769209642</v>
      </c>
      <c r="O480" s="65">
        <v>2.2453663489629139</v>
      </c>
      <c r="P480" s="65">
        <v>3.1314637892796173</v>
      </c>
      <c r="Q480" s="65">
        <v>1.1744086874833666</v>
      </c>
      <c r="R480" s="65">
        <v>3.5906819204130769</v>
      </c>
      <c r="S480" s="65">
        <v>3.3063744303499525</v>
      </c>
      <c r="T480" s="65">
        <v>3.572077744184154</v>
      </c>
      <c r="U480" s="65">
        <v>3.7638574771151281</v>
      </c>
      <c r="V480" s="65">
        <v>3.9184555529303755</v>
      </c>
      <c r="W480" s="65">
        <v>4.2075149116405157</v>
      </c>
      <c r="X480" s="65">
        <v>-0.26980287019060833</v>
      </c>
      <c r="Y480" s="65">
        <v>2.0647929545454544</v>
      </c>
      <c r="Z480" s="65">
        <v>-0.7520114433422227</v>
      </c>
      <c r="AA480" s="65">
        <v>3.7092190903136601</v>
      </c>
      <c r="AB480" s="65">
        <v>0.20194375659202946</v>
      </c>
      <c r="AC480" s="65">
        <v>-3.7941209589957658</v>
      </c>
      <c r="AD480" s="65">
        <v>2.1340851037015232</v>
      </c>
      <c r="AE480" s="65">
        <v>5.1295256457663232</v>
      </c>
      <c r="AF480" s="65">
        <v>2.9247773021651757</v>
      </c>
      <c r="AG480" s="73">
        <v>6.1577316656867849</v>
      </c>
      <c r="AH480" s="65">
        <v>4.6849661383771215</v>
      </c>
      <c r="AI480" s="65">
        <v>6.3763770713304435</v>
      </c>
      <c r="AJ480" s="65">
        <v>3.222591701916091</v>
      </c>
      <c r="AK480" s="65">
        <v>4.7187949920914187</v>
      </c>
      <c r="AL480" s="65">
        <v>3.222591701916091</v>
      </c>
      <c r="AM480" s="65">
        <v>5.0065263940482128</v>
      </c>
      <c r="AN480" s="65">
        <v>3.4527768234815266</v>
      </c>
      <c r="AO480" s="65">
        <v>5.2942577960050059</v>
      </c>
      <c r="AP480" s="65">
        <v>3.6829619450469617</v>
      </c>
      <c r="AQ480" s="65">
        <v>5.6395354783531602</v>
      </c>
      <c r="AR480" s="65"/>
      <c r="AS480" s="65">
        <v>0</v>
      </c>
      <c r="AT480" s="65">
        <v>1.9523567627311766</v>
      </c>
      <c r="AU480" s="65">
        <v>-0.24937267908005298</v>
      </c>
      <c r="AV480" s="65">
        <v>-0.9203904824622241</v>
      </c>
      <c r="AW480" s="65">
        <v>0.43194433988301412</v>
      </c>
      <c r="AX480" s="65">
        <v>-2.9450287694018078</v>
      </c>
      <c r="AY480" s="65">
        <v>2.3686974902607547</v>
      </c>
      <c r="AZ480" s="65">
        <v>2.505000867896666</v>
      </c>
      <c r="BA480" s="65">
        <v>3.7648279584521558</v>
      </c>
      <c r="BB480" s="65">
        <v>8.0337478607640218</v>
      </c>
      <c r="BC480" s="65">
        <v>5.5289794816206976</v>
      </c>
      <c r="BD480" s="65">
        <v>4.2769714911882382</v>
      </c>
      <c r="BE480" s="65">
        <v>6.8968737838797285</v>
      </c>
      <c r="BF480" s="65">
        <v>7.3359512289569837</v>
      </c>
      <c r="BG480" s="65">
        <v>8.1298383267386285</v>
      </c>
      <c r="BH480" s="65">
        <v>1.8438845350151682</v>
      </c>
      <c r="BI480" s="65">
        <v>2.9751914835799962</v>
      </c>
      <c r="BJ480" s="65">
        <v>-3.6688195149854548</v>
      </c>
      <c r="BK480" s="65">
        <v>7.2940615409031651</v>
      </c>
      <c r="BL480" s="73">
        <v>9.0791426728488265</v>
      </c>
      <c r="BM480" s="65">
        <v>11.054247712683647</v>
      </c>
      <c r="BN480" s="65">
        <v>7.941386694007508</v>
      </c>
      <c r="BO480" s="65">
        <v>8.2291180959643029</v>
      </c>
      <c r="BP480" s="65">
        <v>8.7470346194865325</v>
      </c>
      <c r="BQ480" s="65">
        <v>9.3224974234001206</v>
      </c>
    </row>
    <row r="481" spans="1:98" ht="12" customHeight="1" outlineLevel="1">
      <c r="A481" s="91" t="s">
        <v>305</v>
      </c>
      <c r="B481" s="87" t="s">
        <v>460</v>
      </c>
      <c r="C481" s="19"/>
      <c r="D481" s="65">
        <v>32.826337781428137</v>
      </c>
      <c r="E481" s="65">
        <v>33.340823983881215</v>
      </c>
      <c r="F481" s="65">
        <v>32.744860940954325</v>
      </c>
      <c r="G481" s="65">
        <v>33.628329493053847</v>
      </c>
      <c r="H481" s="65">
        <v>33.031017256164752</v>
      </c>
      <c r="I481" s="65">
        <v>32.933955957169829</v>
      </c>
      <c r="J481" s="65">
        <v>33.253928722050297</v>
      </c>
      <c r="K481" s="65">
        <v>34.56783572365724</v>
      </c>
      <c r="L481" s="65">
        <v>36.737845895849148</v>
      </c>
      <c r="M481" s="65">
        <v>37.054971164800534</v>
      </c>
      <c r="N481" s="65">
        <v>37.984093371120252</v>
      </c>
      <c r="O481" s="65">
        <v>43.14012757299276</v>
      </c>
      <c r="P481" s="65">
        <v>45.599183869001479</v>
      </c>
      <c r="Q481" s="65">
        <v>46.006553202339092</v>
      </c>
      <c r="R481" s="65">
        <v>45.413781770839861</v>
      </c>
      <c r="S481" s="65">
        <v>50.720935392964755</v>
      </c>
      <c r="T481" s="65">
        <v>50.218772963858498</v>
      </c>
      <c r="U481" s="65">
        <v>53.393671824307397</v>
      </c>
      <c r="V481" s="65">
        <v>50.395208097377157</v>
      </c>
      <c r="W481" s="65">
        <v>53.951032029127163</v>
      </c>
      <c r="X481" s="65">
        <v>57.317575774578735</v>
      </c>
      <c r="Y481" s="65">
        <v>61.470495477138421</v>
      </c>
      <c r="Z481" s="65">
        <v>57.507030213005308</v>
      </c>
      <c r="AA481" s="65">
        <v>61.773575086471467</v>
      </c>
      <c r="AB481" s="65">
        <v>66.194323057833714</v>
      </c>
      <c r="AC481" s="65">
        <v>75.084523458175241</v>
      </c>
      <c r="AD481" s="65">
        <v>81.98940731115745</v>
      </c>
      <c r="AE481" s="65">
        <v>88.248515976720284</v>
      </c>
      <c r="AF481" s="65">
        <v>85.74383751939709</v>
      </c>
      <c r="AG481" s="73">
        <v>88.771086126067587</v>
      </c>
      <c r="AH481" s="65">
        <v>89.018465290004229</v>
      </c>
      <c r="AI481" s="65">
        <v>90.775341093076634</v>
      </c>
      <c r="AJ481" s="65">
        <v>92.428608368328355</v>
      </c>
      <c r="AK481" s="65">
        <v>95.383721121258546</v>
      </c>
      <c r="AL481" s="65">
        <v>96.800374553631727</v>
      </c>
      <c r="AM481" s="65">
        <v>100.14093867630847</v>
      </c>
      <c r="AN481" s="65">
        <v>101.67060665405059</v>
      </c>
      <c r="AO481" s="65">
        <v>105.16923453688688</v>
      </c>
      <c r="AP481" s="65">
        <v>106.80279160440294</v>
      </c>
      <c r="AQ481" s="65">
        <v>110.49218507748918</v>
      </c>
      <c r="AR481" s="65"/>
      <c r="AS481" s="65">
        <v>19.454019676150409</v>
      </c>
      <c r="AT481" s="65">
        <v>22.579579539387154</v>
      </c>
      <c r="AU481" s="65">
        <v>29.117703052562895</v>
      </c>
      <c r="AV481" s="65">
        <v>35.821459937835343</v>
      </c>
      <c r="AW481" s="65">
        <v>33.002721848118952</v>
      </c>
      <c r="AX481" s="65">
        <v>33.340823983881215</v>
      </c>
      <c r="AY481" s="65">
        <v>33.628329493053847</v>
      </c>
      <c r="AZ481" s="65">
        <v>32.933955957169829</v>
      </c>
      <c r="BA481" s="65">
        <v>34.56783572365724</v>
      </c>
      <c r="BB481" s="65">
        <v>37.054971164800534</v>
      </c>
      <c r="BC481" s="65">
        <v>43.14012757299276</v>
      </c>
      <c r="BD481" s="65">
        <v>46.006553202339092</v>
      </c>
      <c r="BE481" s="65">
        <v>50.720935392964755</v>
      </c>
      <c r="BF481" s="65">
        <v>53.393671824307397</v>
      </c>
      <c r="BG481" s="65">
        <v>53.951032029127163</v>
      </c>
      <c r="BH481" s="65">
        <v>61.470495477138421</v>
      </c>
      <c r="BI481" s="65">
        <v>61.773575086471467</v>
      </c>
      <c r="BJ481" s="65">
        <v>75.084523458175241</v>
      </c>
      <c r="BK481" s="65">
        <v>88.248515976720284</v>
      </c>
      <c r="BL481" s="73">
        <v>88.771086126067587</v>
      </c>
      <c r="BM481" s="65">
        <v>90.775341093076634</v>
      </c>
      <c r="BN481" s="65">
        <v>95.383721121258546</v>
      </c>
      <c r="BO481" s="65">
        <v>100.14093867630847</v>
      </c>
      <c r="BP481" s="65">
        <v>105.16923453688688</v>
      </c>
      <c r="BQ481" s="65">
        <v>110.49218507748918</v>
      </c>
    </row>
    <row r="482" spans="1:98" ht="12" customHeight="1" outlineLevel="1">
      <c r="A482" s="91" t="s">
        <v>486</v>
      </c>
      <c r="B482" s="87" t="s">
        <v>461</v>
      </c>
      <c r="C482" s="19"/>
      <c r="D482" s="65">
        <v>27.320173101869514</v>
      </c>
      <c r="E482" s="65">
        <v>27.694782502032691</v>
      </c>
      <c r="F482" s="65">
        <v>27.256784963357997</v>
      </c>
      <c r="G482" s="65">
        <v>28.428508179386032</v>
      </c>
      <c r="H482" s="65">
        <v>27.679341049921124</v>
      </c>
      <c r="I482" s="65">
        <v>27.656438296116363</v>
      </c>
      <c r="J482" s="65">
        <v>28.002242961615185</v>
      </c>
      <c r="K482" s="65">
        <v>29.441213160876455</v>
      </c>
      <c r="L482" s="65">
        <v>31.636891744416676</v>
      </c>
      <c r="M482" s="65">
        <v>33.0707997645899</v>
      </c>
      <c r="N482" s="65">
        <v>32.502269810766208</v>
      </c>
      <c r="O482" s="65">
        <v>38.192617804792491</v>
      </c>
      <c r="P482" s="65">
        <v>40.301204169954715</v>
      </c>
      <c r="Q482" s="65">
        <v>41.230847411544701</v>
      </c>
      <c r="R482" s="65">
        <v>40.905590927003658</v>
      </c>
      <c r="S482" s="65">
        <v>42.744209247782806</v>
      </c>
      <c r="T482" s="65">
        <v>42.192110205204465</v>
      </c>
      <c r="U482" s="65">
        <v>45.123232888265065</v>
      </c>
      <c r="V482" s="65">
        <v>43.073379681574302</v>
      </c>
      <c r="W482" s="65">
        <v>46.212684263677318</v>
      </c>
      <c r="X482" s="65">
        <v>47.833311685451172</v>
      </c>
      <c r="Y482" s="65">
        <v>50.214261247506343</v>
      </c>
      <c r="Z482" s="65">
        <v>48.940034562917404</v>
      </c>
      <c r="AA482" s="65">
        <v>53.907815402515595</v>
      </c>
      <c r="AB482" s="65">
        <v>55.763850345312768</v>
      </c>
      <c r="AC482" s="65">
        <v>64.593125592482153</v>
      </c>
      <c r="AD482" s="65">
        <v>70.294007902995375</v>
      </c>
      <c r="AE482" s="65">
        <v>75.885547310304716</v>
      </c>
      <c r="AF482" s="65">
        <v>73.489542918278588</v>
      </c>
      <c r="AG482" s="73">
        <v>76.318170790874731</v>
      </c>
      <c r="AH482" s="65">
        <v>76.387932267027026</v>
      </c>
      <c r="AI482" s="65">
        <v>77.956062327727707</v>
      </c>
      <c r="AJ482" s="65">
        <v>79.530031346258568</v>
      </c>
      <c r="AK482" s="65">
        <v>82.403466894766268</v>
      </c>
      <c r="AL482" s="65">
        <v>83.735992806584292</v>
      </c>
      <c r="AM482" s="65">
        <v>86.989905583089211</v>
      </c>
      <c r="AN482" s="65">
        <v>88.430322674274379</v>
      </c>
      <c r="AO482" s="65">
        <v>91.837022143956986</v>
      </c>
      <c r="AP482" s="65">
        <v>93.375892945924761</v>
      </c>
      <c r="AQ482" s="65">
        <v>96.967759565496266</v>
      </c>
      <c r="AR482" s="65"/>
      <c r="AS482" s="65">
        <v>10.590900203355103</v>
      </c>
      <c r="AT482" s="65">
        <v>15.048822263743697</v>
      </c>
      <c r="AU482" s="65">
        <v>23.897505723815083</v>
      </c>
      <c r="AV482" s="65">
        <v>29.676162268348829</v>
      </c>
      <c r="AW482" s="65">
        <v>27.289384540730161</v>
      </c>
      <c r="AX482" s="65">
        <v>27.694782502032691</v>
      </c>
      <c r="AY482" s="65">
        <v>28.428508179386032</v>
      </c>
      <c r="AZ482" s="65">
        <v>27.656438296116363</v>
      </c>
      <c r="BA482" s="65">
        <v>29.441213160876455</v>
      </c>
      <c r="BB482" s="65">
        <v>33.0707997645899</v>
      </c>
      <c r="BC482" s="65">
        <v>38.192617804792491</v>
      </c>
      <c r="BD482" s="65">
        <v>41.230847411544701</v>
      </c>
      <c r="BE482" s="65">
        <v>42.744209247782806</v>
      </c>
      <c r="BF482" s="65">
        <v>45.123232888265065</v>
      </c>
      <c r="BG482" s="65">
        <v>46.212684263677318</v>
      </c>
      <c r="BH482" s="65">
        <v>50.214261247506343</v>
      </c>
      <c r="BI482" s="65">
        <v>53.907815402515595</v>
      </c>
      <c r="BJ482" s="65">
        <v>64.593125592482153</v>
      </c>
      <c r="BK482" s="65">
        <v>75.885547310304716</v>
      </c>
      <c r="BL482" s="73">
        <v>76.318170790874731</v>
      </c>
      <c r="BM482" s="65">
        <v>77.956062327727707</v>
      </c>
      <c r="BN482" s="65">
        <v>82.403466894766268</v>
      </c>
      <c r="BO482" s="65">
        <v>86.989905583089211</v>
      </c>
      <c r="BP482" s="65">
        <v>91.837022143956986</v>
      </c>
      <c r="BQ482" s="65">
        <v>96.967759565496266</v>
      </c>
    </row>
    <row r="483" spans="1:98" ht="12" customHeight="1" outlineLevel="1">
      <c r="A483" s="91" t="s">
        <v>380</v>
      </c>
      <c r="B483" s="87" t="s">
        <v>487</v>
      </c>
      <c r="C483" s="19"/>
      <c r="D483" s="175">
        <v>22.632622784446657</v>
      </c>
      <c r="E483" s="175">
        <v>23.148626856180968</v>
      </c>
      <c r="F483" s="175">
        <v>25.409465890678071</v>
      </c>
      <c r="G483" s="175">
        <v>27.214276172584633</v>
      </c>
      <c r="H483" s="175">
        <v>27.222684369188936</v>
      </c>
      <c r="I483" s="175">
        <v>28.126559752560429</v>
      </c>
      <c r="J483" s="175">
        <v>27.943802806497061</v>
      </c>
      <c r="K483" s="65">
        <v>28.928905888594304</v>
      </c>
      <c r="L483" s="65">
        <v>30.386056875059452</v>
      </c>
      <c r="M483" s="65">
        <v>31.486365092457238</v>
      </c>
      <c r="N483" s="175">
        <v>31.426531336564494</v>
      </c>
      <c r="O483" s="175">
        <v>35.926947094200671</v>
      </c>
      <c r="P483" s="175">
        <v>37.371588728347049</v>
      </c>
      <c r="Q483" s="175">
        <v>37.197303594686232</v>
      </c>
      <c r="R483" s="175">
        <v>37.009736222220774</v>
      </c>
      <c r="S483" s="175">
        <v>36.893510376437867</v>
      </c>
      <c r="T483" s="175">
        <v>39.458225590099424</v>
      </c>
      <c r="U483" s="175">
        <v>42.317839210835153</v>
      </c>
      <c r="V483" s="175">
        <v>41.577212475409084</v>
      </c>
      <c r="W483" s="175">
        <v>38.675110479517294</v>
      </c>
      <c r="X483" s="175">
        <v>40.006455856045882</v>
      </c>
      <c r="Y483" s="175">
        <v>42.048410089933853</v>
      </c>
      <c r="Z483" s="175">
        <v>36.748429502232163</v>
      </c>
      <c r="AA483" s="175">
        <v>41.938059663202758</v>
      </c>
      <c r="AB483" s="175">
        <v>46.250446405420647</v>
      </c>
      <c r="AC483" s="175">
        <v>51.20867399971106</v>
      </c>
      <c r="AD483" s="175">
        <v>55.56762867649288</v>
      </c>
      <c r="AE483" s="175">
        <v>59.064845921358618</v>
      </c>
      <c r="AF483" s="175">
        <v>60.172708127693404</v>
      </c>
      <c r="AG483" s="174">
        <v>62.337368442353963</v>
      </c>
      <c r="AH483" s="175">
        <v>63.593153166251064</v>
      </c>
      <c r="AI483" s="175">
        <v>65.972692925291625</v>
      </c>
      <c r="AJ483" s="175">
        <v>67.391548300583381</v>
      </c>
      <c r="AK483" s="175">
        <v>69.253053493198664</v>
      </c>
      <c r="AL483" s="175">
        <v>70.6459621134169</v>
      </c>
      <c r="AM483" s="175">
        <v>72.657501412884329</v>
      </c>
      <c r="AN483" s="175">
        <v>74.140663191389237</v>
      </c>
      <c r="AO483" s="175">
        <v>76.230014402027521</v>
      </c>
      <c r="AP483" s="175">
        <v>77.802758403208074</v>
      </c>
      <c r="AQ483" s="175">
        <v>79.98119252026477</v>
      </c>
      <c r="AR483" s="175"/>
      <c r="AS483" s="175">
        <v>8.4850145561469628</v>
      </c>
      <c r="AT483" s="175">
        <v>14.37819414363765</v>
      </c>
      <c r="AU483" s="175">
        <v>19.924905483874038</v>
      </c>
      <c r="AV483" s="175">
        <v>28.729224937344</v>
      </c>
      <c r="AW483" s="175">
        <v>25.093306917833591</v>
      </c>
      <c r="AX483" s="175">
        <v>23.148626856180968</v>
      </c>
      <c r="AY483" s="175">
        <v>27.214276172584633</v>
      </c>
      <c r="AZ483" s="175">
        <v>28.126559752560429</v>
      </c>
      <c r="BA483" s="175">
        <v>28.928905888594304</v>
      </c>
      <c r="BB483" s="175">
        <v>31.486365092457238</v>
      </c>
      <c r="BC483" s="175">
        <v>35.926947094200671</v>
      </c>
      <c r="BD483" s="175">
        <v>37.197303594686232</v>
      </c>
      <c r="BE483" s="175">
        <v>36.893510376437867</v>
      </c>
      <c r="BF483" s="175">
        <v>42.317839210835153</v>
      </c>
      <c r="BG483" s="175">
        <v>38.675110479517294</v>
      </c>
      <c r="BH483" s="175">
        <v>42.048410089933853</v>
      </c>
      <c r="BI483" s="175">
        <v>41.938059663202758</v>
      </c>
      <c r="BJ483" s="175">
        <v>51.20867399971106</v>
      </c>
      <c r="BK483" s="175">
        <v>59.064845921358618</v>
      </c>
      <c r="BL483" s="174">
        <v>62.337368442353963</v>
      </c>
      <c r="BM483" s="175">
        <v>65.972692925291625</v>
      </c>
      <c r="BN483" s="175">
        <v>69.253053493198664</v>
      </c>
      <c r="BO483" s="175">
        <v>72.657501412884329</v>
      </c>
      <c r="BP483" s="175">
        <v>76.230014402027521</v>
      </c>
      <c r="BQ483" s="175">
        <v>79.98119252026477</v>
      </c>
    </row>
    <row r="484" spans="1:98" ht="12" hidden="1" customHeight="1" outlineLevel="2">
      <c r="A484" s="91" t="s">
        <v>488</v>
      </c>
      <c r="B484" s="87" t="s">
        <v>173</v>
      </c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20"/>
      <c r="AH484" s="19"/>
      <c r="AI484" s="19"/>
      <c r="AJ484" s="19"/>
      <c r="AK484" s="19"/>
      <c r="AL484" s="19"/>
      <c r="AM484" s="19"/>
      <c r="AN484" s="19"/>
      <c r="AO484" s="19"/>
      <c r="AP484" s="19"/>
      <c r="AQ484" s="19"/>
      <c r="AR484" s="19"/>
      <c r="AS484" s="19"/>
      <c r="AT484" s="19"/>
      <c r="AU484" s="19"/>
      <c r="AV484" s="19"/>
      <c r="AW484" s="19"/>
      <c r="AX484" s="19"/>
      <c r="AY484" s="19"/>
      <c r="AZ484" s="19"/>
      <c r="BA484" s="19"/>
      <c r="BB484" s="19"/>
      <c r="BC484" s="19"/>
      <c r="BD484" s="19"/>
      <c r="BE484" s="19"/>
      <c r="BF484" s="19"/>
      <c r="BG484" s="19"/>
      <c r="BH484" s="19"/>
      <c r="BI484" s="19"/>
      <c r="BJ484" s="19"/>
      <c r="BK484" s="19"/>
      <c r="BL484" s="20"/>
      <c r="BM484" s="19"/>
      <c r="BN484" s="19"/>
      <c r="BO484" s="19"/>
      <c r="BP484" s="19"/>
      <c r="BQ484" s="19"/>
    </row>
    <row r="485" spans="1:98" ht="12" hidden="1" customHeight="1" outlineLevel="2">
      <c r="A485" s="91" t="s">
        <v>489</v>
      </c>
      <c r="B485" s="87" t="s">
        <v>173</v>
      </c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20"/>
      <c r="AH485" s="19"/>
      <c r="AI485" s="19"/>
      <c r="AJ485" s="19"/>
      <c r="AK485" s="19"/>
      <c r="AL485" s="19"/>
      <c r="AM485" s="19"/>
      <c r="AN485" s="19"/>
      <c r="AO485" s="19"/>
      <c r="AP485" s="19"/>
      <c r="AQ485" s="19"/>
      <c r="AR485" s="19"/>
      <c r="AS485" s="19"/>
      <c r="AT485" s="19"/>
      <c r="AU485" s="19"/>
      <c r="AV485" s="19"/>
      <c r="AW485" s="19"/>
      <c r="AX485" s="19"/>
      <c r="AY485" s="19"/>
      <c r="AZ485" s="19"/>
      <c r="BA485" s="19"/>
      <c r="BB485" s="19"/>
      <c r="BC485" s="19"/>
      <c r="BD485" s="19"/>
      <c r="BE485" s="19"/>
      <c r="BF485" s="19"/>
      <c r="BG485" s="19"/>
      <c r="BH485" s="19"/>
      <c r="BI485" s="19"/>
      <c r="BJ485" s="19"/>
      <c r="BK485" s="19"/>
      <c r="BL485" s="20"/>
      <c r="BM485" s="19"/>
      <c r="BN485" s="19"/>
      <c r="BO485" s="19"/>
      <c r="BP485" s="19"/>
      <c r="BQ485" s="19"/>
    </row>
    <row r="486" spans="1:98" ht="12" hidden="1" customHeight="1" outlineLevel="2">
      <c r="A486" s="91" t="s">
        <v>490</v>
      </c>
      <c r="B486" s="87" t="s">
        <v>173</v>
      </c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20"/>
      <c r="AH486" s="19"/>
      <c r="AI486" s="19"/>
      <c r="AJ486" s="19"/>
      <c r="AK486" s="19"/>
      <c r="AL486" s="19"/>
      <c r="AM486" s="19"/>
      <c r="AN486" s="19"/>
      <c r="AO486" s="19"/>
      <c r="AP486" s="19"/>
      <c r="AQ486" s="19"/>
      <c r="AR486" s="19"/>
      <c r="AS486" s="19"/>
      <c r="AT486" s="19"/>
      <c r="AU486" s="19"/>
      <c r="AV486" s="19"/>
      <c r="AW486" s="19"/>
      <c r="AX486" s="19"/>
      <c r="AY486" s="19"/>
      <c r="AZ486" s="19"/>
      <c r="BA486" s="19"/>
      <c r="BB486" s="19"/>
      <c r="BC486" s="19"/>
      <c r="BD486" s="19"/>
      <c r="BE486" s="19"/>
      <c r="BF486" s="19"/>
      <c r="BG486" s="19"/>
      <c r="BH486" s="19"/>
      <c r="BI486" s="19"/>
      <c r="BJ486" s="19"/>
      <c r="BK486" s="19"/>
      <c r="BL486" s="20"/>
      <c r="BM486" s="19"/>
      <c r="BN486" s="19"/>
      <c r="BO486" s="19"/>
      <c r="BP486" s="19"/>
      <c r="BQ486" s="19"/>
    </row>
    <row r="487" spans="1:98" ht="12" hidden="1" customHeight="1" outlineLevel="2">
      <c r="A487" s="91" t="s">
        <v>491</v>
      </c>
      <c r="B487" s="87" t="s">
        <v>173</v>
      </c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20"/>
      <c r="AH487" s="19"/>
      <c r="AI487" s="19"/>
      <c r="AJ487" s="19"/>
      <c r="AK487" s="19"/>
      <c r="AL487" s="19"/>
      <c r="AM487" s="19"/>
      <c r="AN487" s="19"/>
      <c r="AO487" s="19"/>
      <c r="AP487" s="19"/>
      <c r="AQ487" s="19"/>
      <c r="AR487" s="19"/>
      <c r="AS487" s="19"/>
      <c r="AT487" s="19"/>
      <c r="AU487" s="19"/>
      <c r="AV487" s="19"/>
      <c r="AW487" s="19"/>
      <c r="AX487" s="19"/>
      <c r="AY487" s="19"/>
      <c r="AZ487" s="19"/>
      <c r="BA487" s="19"/>
      <c r="BB487" s="19"/>
      <c r="BC487" s="19"/>
      <c r="BD487" s="19"/>
      <c r="BE487" s="19"/>
      <c r="BF487" s="19"/>
      <c r="BG487" s="19"/>
      <c r="BH487" s="19"/>
      <c r="BI487" s="19"/>
      <c r="BJ487" s="19"/>
      <c r="BK487" s="19"/>
      <c r="BL487" s="20"/>
      <c r="BM487" s="19"/>
      <c r="BN487" s="19"/>
      <c r="BO487" s="19"/>
      <c r="BP487" s="19"/>
      <c r="BQ487" s="19"/>
    </row>
    <row r="488" spans="1:98" ht="12" hidden="1" customHeight="1" outlineLevel="2">
      <c r="A488" s="91" t="s">
        <v>492</v>
      </c>
      <c r="B488" s="87" t="s">
        <v>173</v>
      </c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20"/>
      <c r="AH488" s="19"/>
      <c r="AI488" s="19"/>
      <c r="AJ488" s="19"/>
      <c r="AK488" s="19"/>
      <c r="AL488" s="19"/>
      <c r="AM488" s="19"/>
      <c r="AN488" s="19"/>
      <c r="AO488" s="19"/>
      <c r="AP488" s="19"/>
      <c r="AQ488" s="19"/>
      <c r="AR488" s="19"/>
      <c r="AS488" s="19"/>
      <c r="AT488" s="19"/>
      <c r="AU488" s="19"/>
      <c r="AV488" s="19"/>
      <c r="AW488" s="19"/>
      <c r="AX488" s="19"/>
      <c r="AY488" s="19"/>
      <c r="AZ488" s="19"/>
      <c r="BA488" s="19"/>
      <c r="BB488" s="19"/>
      <c r="BC488" s="19"/>
      <c r="BD488" s="19"/>
      <c r="BE488" s="19"/>
      <c r="BF488" s="19"/>
      <c r="BG488" s="19"/>
      <c r="BH488" s="19"/>
      <c r="BI488" s="19"/>
      <c r="BJ488" s="19"/>
      <c r="BK488" s="19"/>
      <c r="BL488" s="20"/>
      <c r="BM488" s="19"/>
      <c r="BN488" s="19"/>
      <c r="BO488" s="19"/>
      <c r="BP488" s="19"/>
      <c r="BQ488" s="19"/>
    </row>
    <row r="489" spans="1:98" ht="12" hidden="1" customHeight="1" outlineLevel="2">
      <c r="A489" s="91" t="s">
        <v>493</v>
      </c>
      <c r="B489" s="87" t="s">
        <v>173</v>
      </c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20"/>
      <c r="AH489" s="19"/>
      <c r="AI489" s="19"/>
      <c r="AJ489" s="19"/>
      <c r="AK489" s="19"/>
      <c r="AL489" s="19"/>
      <c r="AM489" s="19"/>
      <c r="AN489" s="19"/>
      <c r="AO489" s="19"/>
      <c r="AP489" s="19"/>
      <c r="AQ489" s="19"/>
      <c r="AR489" s="19"/>
      <c r="AS489" s="19"/>
      <c r="AT489" s="19"/>
      <c r="AU489" s="19"/>
      <c r="AV489" s="19"/>
      <c r="AW489" s="19"/>
      <c r="AX489" s="19"/>
      <c r="AY489" s="19"/>
      <c r="AZ489" s="19"/>
      <c r="BA489" s="19"/>
      <c r="BB489" s="19"/>
      <c r="BC489" s="19"/>
      <c r="BD489" s="19"/>
      <c r="BE489" s="19"/>
      <c r="BF489" s="19"/>
      <c r="BG489" s="19"/>
      <c r="BH489" s="19"/>
      <c r="BI489" s="19"/>
      <c r="BJ489" s="19"/>
      <c r="BK489" s="19"/>
      <c r="BL489" s="20"/>
      <c r="BM489" s="19"/>
      <c r="BN489" s="19"/>
      <c r="BO489" s="19"/>
      <c r="BP489" s="19"/>
      <c r="BQ489" s="19"/>
    </row>
    <row r="490" spans="1:98" ht="12" hidden="1" customHeight="1" outlineLevel="2">
      <c r="A490" s="91" t="s">
        <v>494</v>
      </c>
      <c r="B490" s="87" t="s">
        <v>173</v>
      </c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20"/>
      <c r="AH490" s="19"/>
      <c r="AI490" s="19"/>
      <c r="AJ490" s="19"/>
      <c r="AK490" s="19"/>
      <c r="AL490" s="19"/>
      <c r="AM490" s="19"/>
      <c r="AN490" s="19"/>
      <c r="AO490" s="19"/>
      <c r="AP490" s="19"/>
      <c r="AQ490" s="19"/>
      <c r="AR490" s="19"/>
      <c r="AS490" s="19"/>
      <c r="AT490" s="19"/>
      <c r="AU490" s="19"/>
      <c r="AV490" s="19"/>
      <c r="AW490" s="19"/>
      <c r="AX490" s="19"/>
      <c r="AY490" s="19"/>
      <c r="AZ490" s="19"/>
      <c r="BA490" s="19"/>
      <c r="BB490" s="19"/>
      <c r="BC490" s="19"/>
      <c r="BD490" s="19"/>
      <c r="BE490" s="19"/>
      <c r="BF490" s="19"/>
      <c r="BG490" s="19"/>
      <c r="BH490" s="19"/>
      <c r="BI490" s="19"/>
      <c r="BJ490" s="19"/>
      <c r="BK490" s="19"/>
      <c r="BL490" s="20"/>
      <c r="BM490" s="19"/>
      <c r="BN490" s="19"/>
      <c r="BO490" s="19"/>
      <c r="BP490" s="19"/>
      <c r="BQ490" s="19"/>
    </row>
    <row r="491" spans="1:98" ht="12" hidden="1" customHeight="1" outlineLevel="2">
      <c r="A491" s="91" t="s">
        <v>495</v>
      </c>
      <c r="B491" s="87" t="s">
        <v>173</v>
      </c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20"/>
      <c r="AH491" s="19"/>
      <c r="AI491" s="19"/>
      <c r="AJ491" s="19"/>
      <c r="AK491" s="19"/>
      <c r="AL491" s="19"/>
      <c r="AM491" s="19"/>
      <c r="AN491" s="19"/>
      <c r="AO491" s="19"/>
      <c r="AP491" s="19"/>
      <c r="AQ491" s="19"/>
      <c r="AR491" s="19"/>
      <c r="AS491" s="19"/>
      <c r="AT491" s="19"/>
      <c r="AU491" s="19"/>
      <c r="AV491" s="19"/>
      <c r="AW491" s="19"/>
      <c r="AX491" s="19"/>
      <c r="AY491" s="19"/>
      <c r="AZ491" s="19"/>
      <c r="BA491" s="19"/>
      <c r="BB491" s="19"/>
      <c r="BC491" s="19"/>
      <c r="BD491" s="19"/>
      <c r="BE491" s="19"/>
      <c r="BF491" s="19"/>
      <c r="BG491" s="19"/>
      <c r="BH491" s="19"/>
      <c r="BI491" s="19"/>
      <c r="BJ491" s="19"/>
      <c r="BK491" s="19"/>
      <c r="BL491" s="20"/>
      <c r="BM491" s="19"/>
      <c r="BN491" s="19"/>
      <c r="BO491" s="19"/>
      <c r="BP491" s="19"/>
      <c r="BQ491" s="19"/>
    </row>
    <row r="492" spans="1:98" ht="12" hidden="1" customHeight="1" outlineLevel="2">
      <c r="A492" s="91" t="s">
        <v>496</v>
      </c>
      <c r="B492" s="87" t="s">
        <v>173</v>
      </c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20"/>
      <c r="AH492" s="19"/>
      <c r="AI492" s="19"/>
      <c r="AJ492" s="19"/>
      <c r="AK492" s="19"/>
      <c r="AL492" s="19"/>
      <c r="AM492" s="19"/>
      <c r="AN492" s="19"/>
      <c r="AO492" s="19"/>
      <c r="AP492" s="19"/>
      <c r="AQ492" s="19"/>
      <c r="AR492" s="19"/>
      <c r="AS492" s="19"/>
      <c r="AT492" s="19"/>
      <c r="AU492" s="19"/>
      <c r="AV492" s="19"/>
      <c r="AW492" s="19"/>
      <c r="AX492" s="19"/>
      <c r="AY492" s="19"/>
      <c r="AZ492" s="19"/>
      <c r="BA492" s="19"/>
      <c r="BB492" s="19"/>
      <c r="BC492" s="19"/>
      <c r="BD492" s="19"/>
      <c r="BE492" s="19"/>
      <c r="BF492" s="19"/>
      <c r="BG492" s="19"/>
      <c r="BH492" s="19"/>
      <c r="BI492" s="19"/>
      <c r="BJ492" s="19"/>
      <c r="BK492" s="19"/>
      <c r="BL492" s="20"/>
      <c r="BM492" s="19"/>
      <c r="BN492" s="19"/>
      <c r="BO492" s="19"/>
      <c r="BP492" s="19"/>
      <c r="BQ492" s="19"/>
    </row>
    <row r="493" spans="1:98" ht="12" hidden="1" customHeight="1" outlineLevel="2">
      <c r="A493" s="91" t="s">
        <v>497</v>
      </c>
      <c r="B493" s="87" t="s">
        <v>173</v>
      </c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20"/>
      <c r="AH493" s="19"/>
      <c r="AI493" s="19"/>
      <c r="AJ493" s="19"/>
      <c r="AK493" s="19"/>
      <c r="AL493" s="19"/>
      <c r="AM493" s="19"/>
      <c r="AN493" s="19"/>
      <c r="AO493" s="19"/>
      <c r="AP493" s="19"/>
      <c r="AQ493" s="19"/>
      <c r="AR493" s="19"/>
      <c r="AS493" s="19"/>
      <c r="AT493" s="19"/>
      <c r="AU493" s="19"/>
      <c r="AV493" s="19"/>
      <c r="AW493" s="19"/>
      <c r="AX493" s="19"/>
      <c r="AY493" s="19"/>
      <c r="AZ493" s="19"/>
      <c r="BA493" s="19"/>
      <c r="BB493" s="19"/>
      <c r="BC493" s="19"/>
      <c r="BD493" s="19"/>
      <c r="BE493" s="19"/>
      <c r="BF493" s="19"/>
      <c r="BG493" s="19"/>
      <c r="BH493" s="19"/>
      <c r="BI493" s="19"/>
      <c r="BJ493" s="19"/>
      <c r="BK493" s="19"/>
      <c r="BL493" s="20"/>
      <c r="BM493" s="19"/>
      <c r="BN493" s="19"/>
      <c r="BO493" s="19"/>
      <c r="BP493" s="19"/>
      <c r="BQ493" s="19"/>
    </row>
    <row r="494" spans="1:98" ht="12" customHeight="1" outlineLevel="1" collapsed="1">
      <c r="B494" s="87"/>
      <c r="C494" s="19"/>
      <c r="D494" s="19"/>
      <c r="E494" s="19"/>
      <c r="F494" s="19"/>
      <c r="G494" s="19"/>
      <c r="H494" s="19"/>
      <c r="I494" s="19"/>
      <c r="J494" s="19"/>
      <c r="K494" s="19"/>
      <c r="L494" s="65"/>
      <c r="M494" s="65"/>
      <c r="N494" s="69"/>
      <c r="O494" s="69"/>
      <c r="P494" s="69"/>
      <c r="Q494" s="69"/>
      <c r="R494" s="69"/>
      <c r="S494" s="69"/>
      <c r="T494" s="69"/>
      <c r="U494" s="69"/>
      <c r="V494" s="69"/>
      <c r="W494" s="69"/>
      <c r="X494" s="69"/>
      <c r="Y494" s="69"/>
      <c r="Z494" s="69"/>
      <c r="AA494" s="69"/>
      <c r="AB494" s="69"/>
      <c r="AC494" s="69"/>
      <c r="AD494" s="69"/>
      <c r="AE494" s="69"/>
      <c r="AF494" s="69"/>
      <c r="AG494" s="89"/>
      <c r="AH494" s="69"/>
      <c r="AI494" s="69"/>
      <c r="AJ494" s="69"/>
      <c r="AK494" s="69"/>
      <c r="AL494" s="69"/>
      <c r="AM494" s="69"/>
      <c r="AN494" s="69"/>
      <c r="AO494" s="69"/>
      <c r="AP494" s="69"/>
      <c r="AQ494" s="69"/>
      <c r="AR494" s="19"/>
      <c r="AS494" s="19"/>
      <c r="AT494" s="19"/>
      <c r="AU494" s="19"/>
      <c r="AV494" s="19"/>
      <c r="AW494" s="19"/>
      <c r="AX494" s="19"/>
      <c r="AY494" s="19"/>
      <c r="AZ494" s="19"/>
      <c r="BA494" s="19"/>
      <c r="BB494" s="19"/>
      <c r="BC494" s="19"/>
      <c r="BD494" s="19"/>
      <c r="BE494" s="19"/>
      <c r="BF494" s="19"/>
      <c r="BG494" s="19"/>
      <c r="BH494" s="19"/>
      <c r="BI494" s="19"/>
      <c r="BJ494" s="19"/>
      <c r="BK494" s="19"/>
      <c r="BL494" s="20"/>
      <c r="BM494" s="19"/>
      <c r="BN494" s="19"/>
      <c r="BO494" s="19"/>
      <c r="BP494" s="19"/>
      <c r="BQ494" s="19"/>
    </row>
    <row r="495" spans="1:98" ht="12" customHeight="1" outlineLevel="1">
      <c r="B495" s="9" t="s">
        <v>410</v>
      </c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20"/>
      <c r="AH495" s="19"/>
      <c r="AI495" s="19"/>
      <c r="AJ495" s="19"/>
      <c r="AK495" s="19"/>
      <c r="AL495" s="19"/>
      <c r="AM495" s="19"/>
      <c r="AN495" s="19"/>
      <c r="AO495" s="19"/>
      <c r="AP495" s="19"/>
      <c r="AQ495" s="19"/>
      <c r="AR495" s="19"/>
      <c r="AS495" s="19"/>
      <c r="AT495" s="19"/>
      <c r="AU495" s="19"/>
      <c r="AV495" s="19"/>
      <c r="AW495" s="19"/>
      <c r="AX495" s="19"/>
      <c r="AY495" s="19"/>
      <c r="AZ495" s="19"/>
      <c r="BA495" s="19"/>
      <c r="BB495" s="19"/>
      <c r="BC495" s="19"/>
      <c r="BD495" s="19"/>
      <c r="BE495" s="19"/>
      <c r="BF495" s="19"/>
      <c r="BG495" s="19"/>
      <c r="BH495" s="19"/>
      <c r="BI495" s="19"/>
      <c r="BJ495" s="19"/>
      <c r="BK495" s="19"/>
      <c r="BL495" s="20"/>
      <c r="BM495" s="19"/>
      <c r="BN495" s="19"/>
      <c r="BO495" s="19"/>
      <c r="BP495" s="19"/>
      <c r="BQ495" s="19"/>
    </row>
    <row r="496" spans="1:98" s="87" customFormat="1" ht="12" customHeight="1" outlineLevel="1">
      <c r="A496" s="91" t="s">
        <v>1076</v>
      </c>
      <c r="B496" s="87" t="s">
        <v>1077</v>
      </c>
      <c r="C496" s="328"/>
      <c r="D496" s="328">
        <v>39.138854079242776</v>
      </c>
      <c r="E496" s="328">
        <v>27.883273490782361</v>
      </c>
      <c r="F496" s="328">
        <v>30.433075387791607</v>
      </c>
      <c r="G496" s="328">
        <v>22.418501684727055</v>
      </c>
      <c r="H496" s="328">
        <v>26.416786697294814</v>
      </c>
      <c r="I496" s="328">
        <v>23.528890493748829</v>
      </c>
      <c r="J496" s="328">
        <v>26.981686632942665</v>
      </c>
      <c r="K496" s="328">
        <v>25.421297250643757</v>
      </c>
      <c r="L496" s="328">
        <v>31.999595885233891</v>
      </c>
      <c r="M496" s="328">
        <v>24.647303065225351</v>
      </c>
      <c r="N496" s="328">
        <v>26.999561727873022</v>
      </c>
      <c r="O496" s="328">
        <v>26.608014609215683</v>
      </c>
      <c r="P496" s="328">
        <v>23.621940227043648</v>
      </c>
      <c r="Q496" s="328">
        <v>22.374670610296924</v>
      </c>
      <c r="R496" s="328">
        <v>26.279712895404597</v>
      </c>
      <c r="S496" s="328">
        <v>26.081369213861386</v>
      </c>
      <c r="T496" s="328">
        <v>24.549485857636213</v>
      </c>
      <c r="U496" s="328">
        <v>26.552521470983216</v>
      </c>
      <c r="V496" s="328">
        <v>32.459279936101829</v>
      </c>
      <c r="W496" s="328">
        <v>26.1718912238352</v>
      </c>
      <c r="X496" s="328">
        <v>30.47697713433049</v>
      </c>
      <c r="Y496" s="328">
        <v>23.681303507318418</v>
      </c>
      <c r="Z496" s="328">
        <v>46.07992484260231</v>
      </c>
      <c r="AA496" s="328">
        <v>27.039985845718331</v>
      </c>
      <c r="AB496" s="328">
        <v>32.357716511627906</v>
      </c>
      <c r="AC496" s="328">
        <v>28.775526446234018</v>
      </c>
      <c r="AD496" s="328">
        <v>25.317802841442006</v>
      </c>
      <c r="AE496" s="328">
        <v>23.548488560503415</v>
      </c>
      <c r="AF496" s="328">
        <v>45.433916633416239</v>
      </c>
      <c r="AG496" s="329">
        <v>36.481549141395682</v>
      </c>
      <c r="AH496" s="328">
        <v>41.492196156344626</v>
      </c>
      <c r="AI496" s="328">
        <v>40.612531350358459</v>
      </c>
      <c r="AJ496" s="328">
        <v>41.802432136169429</v>
      </c>
      <c r="AK496" s="328">
        <v>41.803947094804307</v>
      </c>
      <c r="AL496" s="328">
        <v>45.782710037949052</v>
      </c>
      <c r="AM496" s="328">
        <v>42.904117820283346</v>
      </c>
      <c r="AN496" s="328">
        <v>47.03573213125572</v>
      </c>
      <c r="AO496" s="328">
        <v>44.415121354900172</v>
      </c>
      <c r="AP496" s="328">
        <v>48.597673633861866</v>
      </c>
      <c r="AQ496" s="328">
        <v>45.903409738509779</v>
      </c>
      <c r="AR496" s="328"/>
      <c r="AS496" s="328">
        <v>12.995581952969792</v>
      </c>
      <c r="AT496" s="328">
        <v>16.159216769175071</v>
      </c>
      <c r="AU496" s="328">
        <v>13.988932176750046</v>
      </c>
      <c r="AV496" s="328">
        <v>7.8765012920892801</v>
      </c>
      <c r="AW496" s="328">
        <v>8.7386745322035804</v>
      </c>
      <c r="AX496" s="328">
        <v>14.756293392765622</v>
      </c>
      <c r="AY496" s="328">
        <v>12.954307325950738</v>
      </c>
      <c r="AZ496" s="328">
        <v>13.842596638699796</v>
      </c>
      <c r="BA496" s="328">
        <v>14.790786865565346</v>
      </c>
      <c r="BB496" s="328">
        <v>15.103330826243612</v>
      </c>
      <c r="BC496" s="328">
        <v>15.265194385557782</v>
      </c>
      <c r="BD496" s="328">
        <v>10.673227415581755</v>
      </c>
      <c r="BE496" s="328">
        <v>13.715659958333333</v>
      </c>
      <c r="BF496" s="328">
        <v>13.577228074468087</v>
      </c>
      <c r="BG496" s="328">
        <v>14.651532656226411</v>
      </c>
      <c r="BH496" s="328">
        <v>10.840230587158574</v>
      </c>
      <c r="BI496" s="328">
        <v>18.131044649509604</v>
      </c>
      <c r="BJ496" s="328">
        <v>15.984093691515685</v>
      </c>
      <c r="BK496" s="328">
        <v>12.97913647635022</v>
      </c>
      <c r="BL496" s="329">
        <v>21.787955292525847</v>
      </c>
      <c r="BM496" s="328">
        <v>21.000986882042248</v>
      </c>
      <c r="BN496" s="328">
        <v>21.390039238247724</v>
      </c>
      <c r="BO496" s="328">
        <v>22.648739806572628</v>
      </c>
      <c r="BP496" s="328">
        <v>23.362119832571533</v>
      </c>
      <c r="BQ496" s="328">
        <v>24.141617468428141</v>
      </c>
      <c r="BR496" s="328"/>
      <c r="BS496" s="328"/>
      <c r="BT496" s="328"/>
      <c r="BU496" s="328"/>
      <c r="BV496" s="328"/>
      <c r="BW496" s="328"/>
      <c r="BX496" s="328"/>
      <c r="BY496" s="328"/>
      <c r="BZ496" s="328"/>
      <c r="CA496" s="328"/>
      <c r="CB496" s="328"/>
      <c r="CC496" s="328"/>
      <c r="CD496" s="328"/>
      <c r="CE496" s="328"/>
      <c r="CF496" s="329"/>
      <c r="CG496" s="328"/>
      <c r="CH496" s="328"/>
      <c r="CI496" s="328"/>
      <c r="CJ496" s="328"/>
      <c r="CK496" s="328"/>
      <c r="CL496" s="330"/>
      <c r="CM496" s="330"/>
      <c r="CN496" s="330"/>
      <c r="CO496" s="330"/>
      <c r="CP496" s="330"/>
      <c r="CQ496" s="330"/>
      <c r="CR496" s="330"/>
      <c r="CS496" s="330"/>
      <c r="CT496" s="330"/>
    </row>
    <row r="497" spans="1:98" s="87" customFormat="1" ht="12" customHeight="1" outlineLevel="1">
      <c r="A497" s="91" t="s">
        <v>1078</v>
      </c>
      <c r="B497" s="87" t="s">
        <v>1079</v>
      </c>
      <c r="C497" s="328"/>
      <c r="D497" s="328">
        <v>39.30155493356424</v>
      </c>
      <c r="E497" s="328">
        <v>28.184135480114708</v>
      </c>
      <c r="F497" s="328">
        <v>30.983757984172531</v>
      </c>
      <c r="G497" s="328">
        <v>23.053028911923644</v>
      </c>
      <c r="H497" s="328">
        <v>26.812461151477198</v>
      </c>
      <c r="I497" s="328">
        <v>24.420865150629734</v>
      </c>
      <c r="J497" s="328">
        <v>28.540330332578876</v>
      </c>
      <c r="K497" s="328">
        <v>26.139809323504966</v>
      </c>
      <c r="L497" s="328">
        <v>33.126232700681506</v>
      </c>
      <c r="M497" s="328">
        <v>25.832661229869622</v>
      </c>
      <c r="N497" s="328">
        <v>28.106420663126848</v>
      </c>
      <c r="O497" s="328">
        <v>27.811907442212675</v>
      </c>
      <c r="P497" s="328">
        <v>24.72952184234201</v>
      </c>
      <c r="Q497" s="328">
        <v>22.655768429285033</v>
      </c>
      <c r="R497" s="328">
        <v>26.884100007187499</v>
      </c>
      <c r="S497" s="328">
        <v>26.750292456478405</v>
      </c>
      <c r="T497" s="328">
        <v>25.242487840250785</v>
      </c>
      <c r="U497" s="328">
        <v>27.1270885363841</v>
      </c>
      <c r="V497" s="328">
        <v>32.9021154092841</v>
      </c>
      <c r="W497" s="328">
        <v>26.980214488362563</v>
      </c>
      <c r="X497" s="328">
        <v>31.244670826066226</v>
      </c>
      <c r="Y497" s="328">
        <v>24.451097804391217</v>
      </c>
      <c r="Z497" s="328">
        <v>46.720616604330715</v>
      </c>
      <c r="AA497" s="328">
        <v>27.990842490842493</v>
      </c>
      <c r="AB497" s="328">
        <v>33.373035850000001</v>
      </c>
      <c r="AC497" s="328">
        <v>29.861023458671099</v>
      </c>
      <c r="AD497" s="328">
        <v>26.103749708849559</v>
      </c>
      <c r="AE497" s="328">
        <v>24.213090348555149</v>
      </c>
      <c r="AF497" s="328">
        <v>45.809548770623657</v>
      </c>
      <c r="AG497" s="329">
        <v>36.628760088041084</v>
      </c>
      <c r="AH497" s="328">
        <v>41.564386548503364</v>
      </c>
      <c r="AI497" s="328">
        <v>40.763654984542391</v>
      </c>
      <c r="AJ497" s="328">
        <v>41.97942895101118</v>
      </c>
      <c r="AK497" s="328">
        <v>42.033636813342824</v>
      </c>
      <c r="AL497" s="328">
        <v>45.979761505351476</v>
      </c>
      <c r="AM497" s="328">
        <v>43.213898063354463</v>
      </c>
      <c r="AN497" s="328">
        <v>47.321580579550279</v>
      </c>
      <c r="AO497" s="328">
        <v>44.798760187464808</v>
      </c>
      <c r="AP497" s="328">
        <v>48.967222482503708</v>
      </c>
      <c r="AQ497" s="328">
        <v>46.363086887118655</v>
      </c>
      <c r="AR497" s="328"/>
      <c r="AS497" s="328">
        <v>13.301373347904899</v>
      </c>
      <c r="AT497" s="328">
        <v>16.921196971419892</v>
      </c>
      <c r="AU497" s="328">
        <v>14.522981290611572</v>
      </c>
      <c r="AV497" s="328">
        <v>8.0822515223952216</v>
      </c>
      <c r="AW497" s="328">
        <v>8.7682966971420182</v>
      </c>
      <c r="AX497" s="328">
        <v>14.884762895266599</v>
      </c>
      <c r="AY497" s="328">
        <v>13.268305573059713</v>
      </c>
      <c r="AZ497" s="328">
        <v>14.372539404185014</v>
      </c>
      <c r="BA497" s="328">
        <v>15.095723362621799</v>
      </c>
      <c r="BB497" s="328">
        <v>15.691156283234143</v>
      </c>
      <c r="BC497" s="328">
        <v>15.8339741236358</v>
      </c>
      <c r="BD497" s="328">
        <v>11.013511352555296</v>
      </c>
      <c r="BE497" s="328">
        <v>13.994423231849913</v>
      </c>
      <c r="BF497" s="328">
        <v>13.845818118857803</v>
      </c>
      <c r="BG497" s="328">
        <v>14.982089434054053</v>
      </c>
      <c r="BH497" s="328">
        <v>11.216207361542535</v>
      </c>
      <c r="BI497" s="328">
        <v>18.533525029344315</v>
      </c>
      <c r="BJ497" s="328">
        <v>16.503792109039463</v>
      </c>
      <c r="BK497" s="328">
        <v>13.334932744324121</v>
      </c>
      <c r="BL497" s="329">
        <v>21.91121715252234</v>
      </c>
      <c r="BM497" s="328">
        <v>21.058843791877681</v>
      </c>
      <c r="BN497" s="328">
        <v>21.494392861148974</v>
      </c>
      <c r="BO497" s="328">
        <v>22.781040316739531</v>
      </c>
      <c r="BP497" s="328">
        <v>23.535521642207506</v>
      </c>
      <c r="BQ497" s="328">
        <v>24.355757478201479</v>
      </c>
      <c r="BR497" s="328"/>
      <c r="BS497" s="328"/>
      <c r="BT497" s="328"/>
      <c r="BU497" s="328"/>
      <c r="BV497" s="328"/>
      <c r="BW497" s="328"/>
      <c r="BX497" s="328"/>
      <c r="BY497" s="328"/>
      <c r="BZ497" s="328"/>
      <c r="CA497" s="328"/>
      <c r="CB497" s="328"/>
      <c r="CC497" s="328"/>
      <c r="CD497" s="328"/>
      <c r="CE497" s="328"/>
      <c r="CF497" s="329"/>
      <c r="CG497" s="328"/>
      <c r="CH497" s="328"/>
      <c r="CI497" s="328"/>
      <c r="CJ497" s="328"/>
      <c r="CK497" s="328"/>
      <c r="CL497" s="330"/>
      <c r="CM497" s="330"/>
      <c r="CN497" s="330"/>
      <c r="CO497" s="330"/>
      <c r="CP497" s="330"/>
      <c r="CQ497" s="330"/>
      <c r="CR497" s="330"/>
      <c r="CS497" s="330"/>
      <c r="CT497" s="330"/>
    </row>
    <row r="498" spans="1:98" s="87" customFormat="1" ht="12" customHeight="1" outlineLevel="1">
      <c r="A498" s="91" t="s">
        <v>1080</v>
      </c>
      <c r="B498" s="87" t="s">
        <v>1081</v>
      </c>
      <c r="C498" s="328"/>
      <c r="D498" s="328">
        <v>39.138854079242776</v>
      </c>
      <c r="E498" s="328">
        <v>27.883273490782361</v>
      </c>
      <c r="F498" s="328">
        <v>30.433075387791607</v>
      </c>
      <c r="G498" s="328">
        <v>22.418501684727055</v>
      </c>
      <c r="H498" s="328">
        <v>26.416786697294814</v>
      </c>
      <c r="I498" s="328">
        <v>23.528890493748829</v>
      </c>
      <c r="J498" s="328">
        <v>26.981686632942665</v>
      </c>
      <c r="K498" s="328">
        <v>25.421297250643757</v>
      </c>
      <c r="L498" s="328">
        <v>31.999595885233891</v>
      </c>
      <c r="M498" s="328">
        <v>24.647303065225351</v>
      </c>
      <c r="N498" s="328">
        <v>26.999561727873022</v>
      </c>
      <c r="O498" s="328">
        <v>26.608014609215683</v>
      </c>
      <c r="P498" s="328">
        <v>23.621940227043648</v>
      </c>
      <c r="Q498" s="328">
        <v>22.374670610296924</v>
      </c>
      <c r="R498" s="328">
        <v>26.279712895404597</v>
      </c>
      <c r="S498" s="328">
        <v>26.081369213861386</v>
      </c>
      <c r="T498" s="328">
        <v>24.549485857636213</v>
      </c>
      <c r="U498" s="328">
        <v>26.552521470983216</v>
      </c>
      <c r="V498" s="328">
        <v>32.459279936101829</v>
      </c>
      <c r="W498" s="328">
        <v>26.1718912238352</v>
      </c>
      <c r="X498" s="328">
        <v>30.47697713433049</v>
      </c>
      <c r="Y498" s="328">
        <v>23.681303507318418</v>
      </c>
      <c r="Z498" s="328">
        <v>46.07992484260231</v>
      </c>
      <c r="AA498" s="328">
        <v>27.039985845718331</v>
      </c>
      <c r="AB498" s="328">
        <v>32.357716511627906</v>
      </c>
      <c r="AC498" s="328">
        <v>28.775526446234018</v>
      </c>
      <c r="AD498" s="328">
        <v>25.317802841442006</v>
      </c>
      <c r="AE498" s="328">
        <v>23.548488560503415</v>
      </c>
      <c r="AF498" s="328">
        <v>45.433916633416239</v>
      </c>
      <c r="AG498" s="329">
        <v>36.481549141395682</v>
      </c>
      <c r="AH498" s="328">
        <v>41.492196156344626</v>
      </c>
      <c r="AI498" s="328">
        <v>40.612531350358459</v>
      </c>
      <c r="AJ498" s="328">
        <v>41.802432136169429</v>
      </c>
      <c r="AK498" s="328">
        <v>41.803947094804307</v>
      </c>
      <c r="AL498" s="328">
        <v>45.782710037949052</v>
      </c>
      <c r="AM498" s="328">
        <v>42.904117820283346</v>
      </c>
      <c r="AN498" s="328">
        <v>47.03573213125572</v>
      </c>
      <c r="AO498" s="328">
        <v>44.415121354900172</v>
      </c>
      <c r="AP498" s="328">
        <v>48.597673633861866</v>
      </c>
      <c r="AQ498" s="328">
        <v>45.903409738509779</v>
      </c>
      <c r="AR498" s="328"/>
      <c r="AS498" s="328">
        <v>12.995581952969792</v>
      </c>
      <c r="AT498" s="328">
        <v>16.159216769175071</v>
      </c>
      <c r="AU498" s="328">
        <v>13.988932176750046</v>
      </c>
      <c r="AV498" s="328">
        <v>7.8765012920892801</v>
      </c>
      <c r="AW498" s="328">
        <v>8.7386745322035804</v>
      </c>
      <c r="AX498" s="328">
        <v>14.756293392765622</v>
      </c>
      <c r="AY498" s="328">
        <v>12.954307325950738</v>
      </c>
      <c r="AZ498" s="328">
        <v>13.842596638699796</v>
      </c>
      <c r="BA498" s="328">
        <v>14.790786865565346</v>
      </c>
      <c r="BB498" s="328">
        <v>15.103330826243612</v>
      </c>
      <c r="BC498" s="328">
        <v>15.265194385557782</v>
      </c>
      <c r="BD498" s="328">
        <v>10.673227415581755</v>
      </c>
      <c r="BE498" s="328">
        <v>13.715659958333333</v>
      </c>
      <c r="BF498" s="328">
        <v>13.577228074468087</v>
      </c>
      <c r="BG498" s="328">
        <v>14.651532656226411</v>
      </c>
      <c r="BH498" s="328">
        <v>10.840230587158574</v>
      </c>
      <c r="BI498" s="328">
        <v>18.131044649509604</v>
      </c>
      <c r="BJ498" s="328">
        <v>15.984093691515685</v>
      </c>
      <c r="BK498" s="328">
        <v>12.97913647635022</v>
      </c>
      <c r="BL498" s="329">
        <v>21.787955292525847</v>
      </c>
      <c r="BM498" s="328">
        <v>21.000986882042248</v>
      </c>
      <c r="BN498" s="328">
        <v>21.390039238247724</v>
      </c>
      <c r="BO498" s="328">
        <v>22.648739806572628</v>
      </c>
      <c r="BP498" s="328">
        <v>23.362119832571533</v>
      </c>
      <c r="BQ498" s="328">
        <v>24.141617468428141</v>
      </c>
      <c r="BR498" s="328"/>
      <c r="BS498" s="328"/>
      <c r="BT498" s="328"/>
      <c r="BU498" s="328"/>
      <c r="BV498" s="328"/>
      <c r="BW498" s="328"/>
      <c r="BX498" s="328"/>
      <c r="BY498" s="328"/>
      <c r="BZ498" s="328"/>
      <c r="CA498" s="328"/>
      <c r="CB498" s="328"/>
      <c r="CC498" s="328"/>
      <c r="CD498" s="328"/>
      <c r="CE498" s="328"/>
      <c r="CF498" s="329"/>
      <c r="CG498" s="328"/>
      <c r="CH498" s="328"/>
      <c r="CI498" s="328"/>
      <c r="CJ498" s="328"/>
      <c r="CK498" s="328"/>
      <c r="CL498" s="330"/>
      <c r="CM498" s="330"/>
      <c r="CN498" s="330"/>
      <c r="CO498" s="330"/>
      <c r="CP498" s="330"/>
      <c r="CQ498" s="330"/>
      <c r="CR498" s="330"/>
      <c r="CS498" s="330"/>
      <c r="CT498" s="330"/>
    </row>
    <row r="499" spans="1:98" s="87" customFormat="1" ht="12" customHeight="1" outlineLevel="1">
      <c r="A499" s="91" t="s">
        <v>1082</v>
      </c>
      <c r="B499" s="87" t="s">
        <v>1083</v>
      </c>
      <c r="C499" s="328"/>
      <c r="D499" s="328">
        <v>39.30155493356424</v>
      </c>
      <c r="E499" s="328">
        <v>28.184135480114708</v>
      </c>
      <c r="F499" s="328">
        <v>30.983757984172531</v>
      </c>
      <c r="G499" s="328">
        <v>23.053028911923644</v>
      </c>
      <c r="H499" s="328">
        <v>26.812461151477198</v>
      </c>
      <c r="I499" s="328">
        <v>24.420865150629734</v>
      </c>
      <c r="J499" s="328">
        <v>28.540330332578876</v>
      </c>
      <c r="K499" s="328">
        <v>26.139809323504966</v>
      </c>
      <c r="L499" s="328">
        <v>33.126232700681506</v>
      </c>
      <c r="M499" s="328">
        <v>25.832661229869622</v>
      </c>
      <c r="N499" s="328">
        <v>28.106420663126848</v>
      </c>
      <c r="O499" s="328">
        <v>27.811907442212675</v>
      </c>
      <c r="P499" s="328">
        <v>24.72952184234201</v>
      </c>
      <c r="Q499" s="328">
        <v>22.655768429285033</v>
      </c>
      <c r="R499" s="328">
        <v>26.884100007187499</v>
      </c>
      <c r="S499" s="328">
        <v>26.750292456478405</v>
      </c>
      <c r="T499" s="328">
        <v>25.242487840250785</v>
      </c>
      <c r="U499" s="328">
        <v>27.1270885363841</v>
      </c>
      <c r="V499" s="328">
        <v>32.9021154092841</v>
      </c>
      <c r="W499" s="328">
        <v>26.980214488362563</v>
      </c>
      <c r="X499" s="328">
        <v>31.244670826066226</v>
      </c>
      <c r="Y499" s="328">
        <v>24.451097804391217</v>
      </c>
      <c r="Z499" s="328">
        <v>46.720616604330715</v>
      </c>
      <c r="AA499" s="328">
        <v>27.990842490842493</v>
      </c>
      <c r="AB499" s="328">
        <v>33.373035850000001</v>
      </c>
      <c r="AC499" s="328">
        <v>29.861023458671099</v>
      </c>
      <c r="AD499" s="328">
        <v>26.103749708849559</v>
      </c>
      <c r="AE499" s="328">
        <v>24.213090348555149</v>
      </c>
      <c r="AF499" s="328">
        <v>45.809548770623657</v>
      </c>
      <c r="AG499" s="329">
        <v>36.628760088041084</v>
      </c>
      <c r="AH499" s="328">
        <v>41.564386548503364</v>
      </c>
      <c r="AI499" s="328">
        <v>40.763654984542391</v>
      </c>
      <c r="AJ499" s="328">
        <v>41.97942895101118</v>
      </c>
      <c r="AK499" s="328">
        <v>42.033636813342824</v>
      </c>
      <c r="AL499" s="328">
        <v>45.979761505351476</v>
      </c>
      <c r="AM499" s="328">
        <v>43.213898063354463</v>
      </c>
      <c r="AN499" s="328">
        <v>47.321580579550279</v>
      </c>
      <c r="AO499" s="328">
        <v>44.798760187464808</v>
      </c>
      <c r="AP499" s="328">
        <v>48.967222482503708</v>
      </c>
      <c r="AQ499" s="328">
        <v>46.363086887118655</v>
      </c>
      <c r="AR499" s="328"/>
      <c r="AS499" s="328">
        <v>13.301373347904899</v>
      </c>
      <c r="AT499" s="328">
        <v>16.921196971419892</v>
      </c>
      <c r="AU499" s="328">
        <v>14.522981290611572</v>
      </c>
      <c r="AV499" s="328">
        <v>8.0822515223952216</v>
      </c>
      <c r="AW499" s="328">
        <v>8.7682966971420182</v>
      </c>
      <c r="AX499" s="328">
        <v>14.884762895266599</v>
      </c>
      <c r="AY499" s="328">
        <v>13.268305573059713</v>
      </c>
      <c r="AZ499" s="328">
        <v>14.372539404185014</v>
      </c>
      <c r="BA499" s="328">
        <v>15.095723362621799</v>
      </c>
      <c r="BB499" s="328">
        <v>15.691156283234143</v>
      </c>
      <c r="BC499" s="328">
        <v>15.8339741236358</v>
      </c>
      <c r="BD499" s="328">
        <v>11.013511352555296</v>
      </c>
      <c r="BE499" s="328">
        <v>13.994423231849913</v>
      </c>
      <c r="BF499" s="328">
        <v>13.845818118857803</v>
      </c>
      <c r="BG499" s="328">
        <v>14.982089434054053</v>
      </c>
      <c r="BH499" s="328">
        <v>11.216207361542535</v>
      </c>
      <c r="BI499" s="328">
        <v>18.533525029344315</v>
      </c>
      <c r="BJ499" s="328">
        <v>16.503792109039463</v>
      </c>
      <c r="BK499" s="328">
        <v>13.334932744324121</v>
      </c>
      <c r="BL499" s="329">
        <v>21.91121715252234</v>
      </c>
      <c r="BM499" s="328">
        <v>21.058843791877681</v>
      </c>
      <c r="BN499" s="328">
        <v>21.494392861148974</v>
      </c>
      <c r="BO499" s="328">
        <v>22.781040316739531</v>
      </c>
      <c r="BP499" s="328">
        <v>23.535521642207506</v>
      </c>
      <c r="BQ499" s="328">
        <v>24.355757478201479</v>
      </c>
      <c r="BR499" s="328"/>
      <c r="BS499" s="328"/>
      <c r="BT499" s="328"/>
      <c r="BU499" s="328"/>
      <c r="BV499" s="328"/>
      <c r="BW499" s="328"/>
      <c r="BX499" s="328"/>
      <c r="BY499" s="328"/>
      <c r="BZ499" s="328"/>
      <c r="CA499" s="328"/>
      <c r="CB499" s="328"/>
      <c r="CC499" s="328"/>
      <c r="CD499" s="328"/>
      <c r="CE499" s="328"/>
      <c r="CF499" s="329"/>
      <c r="CG499" s="328"/>
      <c r="CH499" s="328"/>
      <c r="CI499" s="328"/>
      <c r="CJ499" s="328"/>
      <c r="CK499" s="328"/>
      <c r="CL499" s="330"/>
      <c r="CM499" s="330"/>
      <c r="CN499" s="330"/>
      <c r="CO499" s="330"/>
      <c r="CP499" s="330"/>
      <c r="CQ499" s="330"/>
      <c r="CR499" s="330"/>
      <c r="CS499" s="330"/>
      <c r="CT499" s="330"/>
    </row>
    <row r="500" spans="1:98" s="87" customFormat="1" ht="12" customHeight="1" outlineLevel="1">
      <c r="A500" s="91" t="s">
        <v>1084</v>
      </c>
      <c r="B500" s="87" t="s">
        <v>1085</v>
      </c>
      <c r="C500" s="328"/>
      <c r="D500" s="328">
        <v>28.276788995410698</v>
      </c>
      <c r="E500" s="328">
        <v>18.797342577611246</v>
      </c>
      <c r="F500" s="328">
        <v>21.138506115778462</v>
      </c>
      <c r="G500" s="328">
        <v>14.737586458603861</v>
      </c>
      <c r="H500" s="328">
        <v>15.597437467841427</v>
      </c>
      <c r="I500" s="328">
        <v>12.693631685382568</v>
      </c>
      <c r="J500" s="328">
        <v>14.940272763695527</v>
      </c>
      <c r="K500" s="328">
        <v>11.695338977798697</v>
      </c>
      <c r="L500" s="328">
        <v>16.406422641711078</v>
      </c>
      <c r="M500" s="328">
        <v>12.177860247954072</v>
      </c>
      <c r="N500" s="328">
        <v>13.885488888620412</v>
      </c>
      <c r="O500" s="328">
        <v>13.077748676978457</v>
      </c>
      <c r="P500" s="328">
        <v>12.179496546731459</v>
      </c>
      <c r="Q500" s="328">
        <v>12.9126771025153</v>
      </c>
      <c r="R500" s="328">
        <v>16.099138683170132</v>
      </c>
      <c r="S500" s="328">
        <v>16.643538883744974</v>
      </c>
      <c r="T500" s="328">
        <v>16.407583545187677</v>
      </c>
      <c r="U500" s="328">
        <v>18.88414119397385</v>
      </c>
      <c r="V500" s="328">
        <v>23.328367569857061</v>
      </c>
      <c r="W500" s="328">
        <v>17.229649472623255</v>
      </c>
      <c r="X500" s="328">
        <v>21.567376964012098</v>
      </c>
      <c r="Y500" s="328">
        <v>12.82433666857859</v>
      </c>
      <c r="Z500" s="328">
        <v>26.454318298192771</v>
      </c>
      <c r="AA500" s="328">
        <v>19.798393217137292</v>
      </c>
      <c r="AB500" s="328">
        <v>21.986796035726552</v>
      </c>
      <c r="AC500" s="328">
        <v>19.151530107717896</v>
      </c>
      <c r="AD500" s="328">
        <v>17.650531921617233</v>
      </c>
      <c r="AE500" s="328">
        <v>15.678320968819726</v>
      </c>
      <c r="AF500" s="328">
        <v>31.100733118617924</v>
      </c>
      <c r="AG500" s="329">
        <v>27.31716740903024</v>
      </c>
      <c r="AH500" s="328">
        <v>29.192385979977779</v>
      </c>
      <c r="AI500" s="328">
        <v>27.454217438048545</v>
      </c>
      <c r="AJ500" s="328">
        <v>27.748032640996357</v>
      </c>
      <c r="AK500" s="328">
        <v>27.207892758233822</v>
      </c>
      <c r="AL500" s="328">
        <v>28.826514298716635</v>
      </c>
      <c r="AM500" s="328">
        <v>27.430274422979778</v>
      </c>
      <c r="AN500" s="328">
        <v>29.788093982546826</v>
      </c>
      <c r="AO500" s="328">
        <v>28.501610712874601</v>
      </c>
      <c r="AP500" s="328">
        <v>30.905537100706269</v>
      </c>
      <c r="AQ500" s="328">
        <v>29.583610809884799</v>
      </c>
      <c r="AR500" s="328"/>
      <c r="AS500" s="328">
        <v>8.8750315776379054</v>
      </c>
      <c r="AT500" s="328">
        <v>11.188089614939052</v>
      </c>
      <c r="AU500" s="328">
        <v>10.399292568386846</v>
      </c>
      <c r="AV500" s="328">
        <v>6.1397889449360017</v>
      </c>
      <c r="AW500" s="328">
        <v>5.1083124278854486</v>
      </c>
      <c r="AX500" s="328">
        <v>10.260998716823778</v>
      </c>
      <c r="AY500" s="328">
        <v>8.8522643342451079</v>
      </c>
      <c r="AZ500" s="328">
        <v>7.74418883614557</v>
      </c>
      <c r="BA500" s="328">
        <v>7.3304401654934903</v>
      </c>
      <c r="BB500" s="328">
        <v>7.5710121221221183</v>
      </c>
      <c r="BC500" s="328">
        <v>7.6453650034058223</v>
      </c>
      <c r="BD500" s="328">
        <v>5.8020247110058518</v>
      </c>
      <c r="BE500" s="328">
        <v>8.5829552094814812</v>
      </c>
      <c r="BF500" s="328">
        <v>9.3630771484198654</v>
      </c>
      <c r="BG500" s="328">
        <v>10.014971689066154</v>
      </c>
      <c r="BH500" s="328">
        <v>6.709285707384363</v>
      </c>
      <c r="BI500" s="328">
        <v>12.179250448737619</v>
      </c>
      <c r="BJ500" s="328">
        <v>10.733758011433203</v>
      </c>
      <c r="BK500" s="328">
        <v>8.8180745653685637</v>
      </c>
      <c r="BL500" s="329">
        <v>15.718718811849955</v>
      </c>
      <c r="BM500" s="328">
        <v>14.471734748123145</v>
      </c>
      <c r="BN500" s="328">
        <v>14.055451962188434</v>
      </c>
      <c r="BO500" s="328">
        <v>14.375650622653275</v>
      </c>
      <c r="BP500" s="328">
        <v>14.898011575234044</v>
      </c>
      <c r="BQ500" s="328">
        <v>15.460383017504451</v>
      </c>
      <c r="BR500" s="328"/>
      <c r="BS500" s="328"/>
      <c r="BT500" s="328"/>
      <c r="BU500" s="328"/>
      <c r="BV500" s="328"/>
      <c r="BW500" s="328"/>
      <c r="BX500" s="328"/>
      <c r="BY500" s="328"/>
      <c r="BZ500" s="328"/>
      <c r="CA500" s="328"/>
      <c r="CB500" s="328"/>
      <c r="CC500" s="328"/>
      <c r="CD500" s="328"/>
      <c r="CE500" s="328"/>
      <c r="CF500" s="329"/>
      <c r="CG500" s="328"/>
      <c r="CH500" s="328"/>
      <c r="CI500" s="328"/>
      <c r="CJ500" s="328"/>
      <c r="CK500" s="328"/>
      <c r="CL500" s="330"/>
      <c r="CM500" s="330"/>
      <c r="CN500" s="330"/>
      <c r="CO500" s="330"/>
      <c r="CP500" s="330"/>
      <c r="CQ500" s="330"/>
      <c r="CR500" s="330"/>
      <c r="CS500" s="330"/>
      <c r="CT500" s="330"/>
    </row>
    <row r="501" spans="1:98" s="87" customFormat="1" ht="12" customHeight="1" outlineLevel="1">
      <c r="A501" s="91" t="s">
        <v>1086</v>
      </c>
      <c r="B501" s="87" t="s">
        <v>1087</v>
      </c>
      <c r="C501" s="145"/>
      <c r="D501" s="145">
        <v>2.9255808965715255E-2</v>
      </c>
      <c r="E501" s="145">
        <v>4.2326812576667316E-2</v>
      </c>
      <c r="F501" s="145">
        <v>4.7420673413888816E-2</v>
      </c>
      <c r="G501" s="145">
        <v>5.4643199466570362E-2</v>
      </c>
      <c r="H501" s="145">
        <v>5.6841403227957853E-2</v>
      </c>
      <c r="I501" s="145">
        <v>5.1580349743514435E-2</v>
      </c>
      <c r="J501" s="145">
        <v>5.270397736205E-2</v>
      </c>
      <c r="K501" s="145">
        <v>6.729274327756854E-2</v>
      </c>
      <c r="L501" s="331">
        <v>4.1743692708012758E-2</v>
      </c>
      <c r="M501" s="331">
        <v>9.5159675470395319E-2</v>
      </c>
      <c r="N501" s="331">
        <v>4.5146726862302484E-2</v>
      </c>
      <c r="O501" s="331">
        <v>5.2171644711099516E-2</v>
      </c>
      <c r="P501" s="331">
        <v>4.1742760240020875E-2</v>
      </c>
      <c r="Q501" s="331">
        <v>7.2628234226055369E-2</v>
      </c>
      <c r="R501" s="331">
        <v>4.637539663168172E-2</v>
      </c>
      <c r="S501" s="331">
        <v>6.2084257206208422E-2</v>
      </c>
      <c r="T501" s="331">
        <v>4.5094588649362069E-2</v>
      </c>
      <c r="U501" s="331">
        <v>6.2196307094266275E-2</v>
      </c>
      <c r="V501" s="331">
        <v>3.4116153602031095E-2</v>
      </c>
      <c r="W501" s="331">
        <v>5.5632823365785823E-2</v>
      </c>
      <c r="X501" s="331">
        <v>3.8144644491913335E-2</v>
      </c>
      <c r="Y501" s="331">
        <v>4.198250728862974E-2</v>
      </c>
      <c r="Z501" s="331">
        <v>2.1176470588235297E-2</v>
      </c>
      <c r="AA501" s="331">
        <v>4.3839560295753449E-2</v>
      </c>
      <c r="AB501" s="331">
        <v>2.9890109890109894E-2</v>
      </c>
      <c r="AC501" s="331">
        <v>3.4436955773109658E-2</v>
      </c>
      <c r="AD501" s="331">
        <v>3.9282440748985202E-2</v>
      </c>
      <c r="AE501" s="331">
        <v>5.123534099965843E-2</v>
      </c>
      <c r="AF501" s="331">
        <v>3.040600965837954E-2</v>
      </c>
      <c r="AG501" s="332">
        <v>3.8557836755132704E-2</v>
      </c>
      <c r="AH501" s="145">
        <v>2.4371987189123083E-2</v>
      </c>
      <c r="AI501" s="145">
        <v>3.5116426917242899E-2</v>
      </c>
      <c r="AJ501" s="145">
        <v>2.4372857648324805E-2</v>
      </c>
      <c r="AK501" s="145">
        <v>3.4058938414755477E-2</v>
      </c>
      <c r="AL501" s="145">
        <v>2.2197502411953372E-2</v>
      </c>
      <c r="AM501" s="145">
        <v>3.2910476277086126E-2</v>
      </c>
      <c r="AN501" s="145">
        <v>2.1660326319236312E-2</v>
      </c>
      <c r="AO501" s="145">
        <v>3.1695703970562185E-2</v>
      </c>
      <c r="AP501" s="145">
        <v>2.1042211360521004E-2</v>
      </c>
      <c r="AQ501" s="145">
        <v>3.0749376228667677E-2</v>
      </c>
      <c r="AR501" s="145"/>
      <c r="AS501" s="145">
        <v>8.3695211722039795E-2</v>
      </c>
      <c r="AT501" s="145">
        <v>6.6479164636006061E-2</v>
      </c>
      <c r="AU501" s="145">
        <v>7.61306384463767E-2</v>
      </c>
      <c r="AV501" s="145">
        <v>0.13062853380614387</v>
      </c>
      <c r="AW501" s="145">
        <v>0.13677946605116947</v>
      </c>
      <c r="AX501" s="145">
        <v>7.8727871392601206E-2</v>
      </c>
      <c r="AY501" s="145">
        <v>0.10163635100782087</v>
      </c>
      <c r="AZ501" s="145">
        <v>9.6283319521226943E-2</v>
      </c>
      <c r="BA501" s="145">
        <v>0.10766838924410967</v>
      </c>
      <c r="BB501" s="331">
        <v>0.12911099602969103</v>
      </c>
      <c r="BC501" s="331">
        <v>8.6083213773314196E-2</v>
      </c>
      <c r="BD501" s="331">
        <v>0.12104705704342562</v>
      </c>
      <c r="BE501" s="331">
        <v>0.10421286031042126</v>
      </c>
      <c r="BF501" s="331">
        <v>0.1020408163265306</v>
      </c>
      <c r="BG501" s="331">
        <v>8.8857981764796798E-2</v>
      </c>
      <c r="BH501" s="331">
        <v>0.10029154518950437</v>
      </c>
      <c r="BI501" s="331">
        <v>6.150624877314663E-2</v>
      </c>
      <c r="BJ501" s="331">
        <v>6.1199389973926308E-2</v>
      </c>
      <c r="BK501" s="331">
        <v>8.5392234999430716E-2</v>
      </c>
      <c r="BL501" s="332">
        <v>6.4096144216324494E-2</v>
      </c>
      <c r="BM501" s="145">
        <v>5.8375359031260919E-2</v>
      </c>
      <c r="BN501" s="145">
        <v>5.7318701234588487E-2</v>
      </c>
      <c r="BO501" s="145">
        <v>5.4094231122107081E-2</v>
      </c>
      <c r="BP501" s="145">
        <v>5.2366815255711435E-2</v>
      </c>
      <c r="BQ501" s="145">
        <v>5.0830601520858817E-2</v>
      </c>
      <c r="BR501" s="145"/>
      <c r="BS501" s="145"/>
      <c r="BT501" s="145"/>
      <c r="BU501" s="145"/>
      <c r="BV501" s="145"/>
      <c r="BW501" s="145"/>
      <c r="BX501" s="145"/>
      <c r="BY501" s="145"/>
      <c r="BZ501" s="145"/>
      <c r="CA501" s="145"/>
      <c r="CB501" s="145"/>
      <c r="CC501" s="145"/>
      <c r="CD501" s="145"/>
      <c r="CE501" s="331"/>
      <c r="CF501" s="332"/>
      <c r="CG501" s="145"/>
      <c r="CH501" s="145"/>
      <c r="CI501" s="145"/>
      <c r="CJ501" s="145"/>
      <c r="CK501" s="145"/>
      <c r="CL501" s="330"/>
      <c r="CM501" s="330"/>
      <c r="CN501" s="330"/>
      <c r="CO501" s="330"/>
      <c r="CP501" s="330"/>
      <c r="CQ501" s="330"/>
      <c r="CR501" s="330"/>
      <c r="CS501" s="330"/>
      <c r="CT501" s="330"/>
    </row>
    <row r="502" spans="1:98" s="87" customFormat="1" ht="12" customHeight="1" outlineLevel="1">
      <c r="A502" s="91" t="s">
        <v>1088</v>
      </c>
      <c r="B502" s="87" t="s">
        <v>1089</v>
      </c>
      <c r="C502" s="145"/>
      <c r="D502" s="145">
        <v>2.9255808965715255E-2</v>
      </c>
      <c r="E502" s="145">
        <v>4.2326812576667316E-2</v>
      </c>
      <c r="F502" s="145">
        <v>4.7420673413888816E-2</v>
      </c>
      <c r="G502" s="145">
        <v>5.4643199466570362E-2</v>
      </c>
      <c r="H502" s="145">
        <v>5.6841403227957853E-2</v>
      </c>
      <c r="I502" s="145">
        <v>5.1580349743514435E-2</v>
      </c>
      <c r="J502" s="145">
        <v>5.270397736205E-2</v>
      </c>
      <c r="K502" s="145">
        <v>7.8828642125151727E-2</v>
      </c>
      <c r="L502" s="331">
        <v>4.8899754315100658E-2</v>
      </c>
      <c r="M502" s="331">
        <v>0.11147276269389166</v>
      </c>
      <c r="N502" s="331">
        <v>5.2886165752982904E-2</v>
      </c>
      <c r="O502" s="331">
        <v>6.1115355233002294E-2</v>
      </c>
      <c r="P502" s="331">
        <v>4.8898661995453029E-2</v>
      </c>
      <c r="Q502" s="331">
        <v>8.5078788664807725E-2</v>
      </c>
      <c r="R502" s="331">
        <v>5.5319223124934626E-2</v>
      </c>
      <c r="S502" s="331">
        <v>7.4057649667405759E-2</v>
      </c>
      <c r="T502" s="331">
        <v>5.3791402174596187E-2</v>
      </c>
      <c r="U502" s="331">
        <v>7.4191309176731918E-2</v>
      </c>
      <c r="V502" s="331">
        <v>4.0695697510994236E-2</v>
      </c>
      <c r="W502" s="331">
        <v>6.6362010729187376E-2</v>
      </c>
      <c r="X502" s="331">
        <v>4.4683726404812767E-2</v>
      </c>
      <c r="Y502" s="331">
        <v>4.9179508538109123E-2</v>
      </c>
      <c r="Z502" s="331">
        <v>2.4806722689075633E-2</v>
      </c>
      <c r="AA502" s="331">
        <v>5.1354913489311184E-2</v>
      </c>
      <c r="AB502" s="331">
        <v>3.5014128728414445E-2</v>
      </c>
      <c r="AC502" s="331">
        <v>4.0340433905642743E-2</v>
      </c>
      <c r="AD502" s="331">
        <v>4.6016573448811236E-2</v>
      </c>
      <c r="AE502" s="331">
        <v>6.0018542313885592E-2</v>
      </c>
      <c r="AF502" s="331">
        <v>3.5618468456958888E-2</v>
      </c>
      <c r="AG502" s="332">
        <v>4.5167751627441174E-2</v>
      </c>
      <c r="AH502" s="145">
        <v>2.8550042135829897E-2</v>
      </c>
      <c r="AI502" s="145">
        <v>4.1136385817341685E-2</v>
      </c>
      <c r="AJ502" s="145">
        <v>2.8551061816609057E-2</v>
      </c>
      <c r="AK502" s="145">
        <v>3.9897613571570706E-2</v>
      </c>
      <c r="AL502" s="145">
        <v>2.6002788539716808E-2</v>
      </c>
      <c r="AM502" s="145">
        <v>3.8552272210300886E-2</v>
      </c>
      <c r="AN502" s="145">
        <v>2.5373525116819676E-2</v>
      </c>
      <c r="AO502" s="145">
        <v>3.7129253222658559E-2</v>
      </c>
      <c r="AP502" s="145">
        <v>2.464944759375318E-2</v>
      </c>
      <c r="AQ502" s="145">
        <v>3.6020697867867851E-2</v>
      </c>
      <c r="AR502" s="145"/>
      <c r="AS502" s="145">
        <v>0.1159776505291123</v>
      </c>
      <c r="AT502" s="145">
        <v>9.3777585729063695E-2</v>
      </c>
      <c r="AU502" s="145">
        <v>0.10875805492339528</v>
      </c>
      <c r="AV502" s="145">
        <v>0.18661219115163408</v>
      </c>
      <c r="AW502" s="145">
        <v>0.18114037395965688</v>
      </c>
      <c r="AX502" s="145">
        <v>7.8727871392601206E-2</v>
      </c>
      <c r="AY502" s="145">
        <v>0.10163635100782087</v>
      </c>
      <c r="AZ502" s="145">
        <v>9.6283319521226943E-2</v>
      </c>
      <c r="BA502" s="145">
        <v>0.11920428809169287</v>
      </c>
      <c r="BB502" s="331">
        <v>0.15124430963478092</v>
      </c>
      <c r="BC502" s="331">
        <v>0.10084033613445378</v>
      </c>
      <c r="BD502" s="331">
        <v>0.14179798110801289</v>
      </c>
      <c r="BE502" s="331">
        <v>0.12431105479885965</v>
      </c>
      <c r="BF502" s="331">
        <v>0.1217201166180758</v>
      </c>
      <c r="BG502" s="331">
        <v>0.10599487824800762</v>
      </c>
      <c r="BH502" s="331">
        <v>0.11748438150770513</v>
      </c>
      <c r="BI502" s="331">
        <v>7.2050177134257487E-2</v>
      </c>
      <c r="BJ502" s="331">
        <v>7.1690713969456532E-2</v>
      </c>
      <c r="BK502" s="331">
        <v>0.10003090385647599</v>
      </c>
      <c r="BL502" s="332">
        <v>7.5084054653408699E-2</v>
      </c>
      <c r="BM502" s="145">
        <v>6.8382563436619942E-2</v>
      </c>
      <c r="BN502" s="145">
        <v>6.7144764303375085E-2</v>
      </c>
      <c r="BO502" s="145">
        <v>6.3367527885896877E-2</v>
      </c>
      <c r="BP502" s="145">
        <v>6.1343983585261962E-2</v>
      </c>
      <c r="BQ502" s="145">
        <v>5.9544418924434621E-2</v>
      </c>
      <c r="BR502" s="145"/>
      <c r="BS502" s="145"/>
      <c r="BT502" s="145"/>
      <c r="BU502" s="145"/>
      <c r="BV502" s="145"/>
      <c r="BW502" s="145"/>
      <c r="BX502" s="145"/>
      <c r="BY502" s="145"/>
      <c r="BZ502" s="145"/>
      <c r="CA502" s="145"/>
      <c r="CB502" s="145"/>
      <c r="CC502" s="145"/>
      <c r="CD502" s="145"/>
      <c r="CE502" s="331"/>
      <c r="CF502" s="332"/>
      <c r="CG502" s="145"/>
      <c r="CH502" s="145"/>
      <c r="CI502" s="145"/>
      <c r="CJ502" s="145"/>
      <c r="CK502" s="145"/>
      <c r="CL502" s="330"/>
      <c r="CM502" s="330"/>
      <c r="CN502" s="330"/>
      <c r="CO502" s="330"/>
      <c r="CP502" s="330"/>
      <c r="CQ502" s="330"/>
      <c r="CR502" s="330"/>
      <c r="CS502" s="330"/>
      <c r="CT502" s="330"/>
    </row>
    <row r="503" spans="1:98" s="87" customFormat="1" ht="12" customHeight="1" outlineLevel="1">
      <c r="A503" s="91" t="s">
        <v>1090</v>
      </c>
      <c r="B503" s="87" t="s">
        <v>1091</v>
      </c>
      <c r="C503" s="145"/>
      <c r="D503" s="145">
        <v>-0.11276163477261626</v>
      </c>
      <c r="E503" s="145">
        <v>8.1651371794657437E-3</v>
      </c>
      <c r="F503" s="145">
        <v>8.4046351284947335E-2</v>
      </c>
      <c r="G503" s="145">
        <v>5.0274181524461767E-2</v>
      </c>
      <c r="H503" s="145">
        <v>0.15381811301471604</v>
      </c>
      <c r="I503" s="145">
        <v>5.3996233454246E-2</v>
      </c>
      <c r="J503" s="145">
        <v>0.16484370508548787</v>
      </c>
      <c r="K503" s="145">
        <v>7.1930689080987889E-2</v>
      </c>
      <c r="L503" s="331">
        <v>0.12729147820109082</v>
      </c>
      <c r="M503" s="331">
        <v>0.15828946641260258</v>
      </c>
      <c r="N503" s="331">
        <v>0.10652730237547665</v>
      </c>
      <c r="O503" s="331">
        <v>5.2624395358777623E-2</v>
      </c>
      <c r="P503" s="331">
        <v>7.7023497094512491E-2</v>
      </c>
      <c r="Q503" s="331">
        <v>2.7583834686101923E-2</v>
      </c>
      <c r="R503" s="331">
        <v>8.195851158719418E-2</v>
      </c>
      <c r="S503" s="331">
        <v>6.5708642942982495E-2</v>
      </c>
      <c r="T503" s="331">
        <v>7.3068623939590308E-2</v>
      </c>
      <c r="U503" s="331">
        <v>6.5568431839785515E-2</v>
      </c>
      <c r="V503" s="331">
        <v>5.8037345291029302E-2</v>
      </c>
      <c r="W503" s="331">
        <v>5.8277547916398033E-2</v>
      </c>
      <c r="X503" s="331">
        <v>-8.3665041274230845E-3</v>
      </c>
      <c r="Y503" s="331">
        <v>4.3666975881261602E-2</v>
      </c>
      <c r="Z503" s="331">
        <v>-1.407290682867224E-2</v>
      </c>
      <c r="AA503" s="331">
        <v>4.3858746624101191E-2</v>
      </c>
      <c r="AB503" s="331">
        <v>-1.062440847609771E-3</v>
      </c>
      <c r="AC503" s="331">
        <v>-4.1039653028890337E-2</v>
      </c>
      <c r="AD503" s="331">
        <v>2.373765312253482E-2</v>
      </c>
      <c r="AE503" s="331">
        <v>5.2955986453405726E-2</v>
      </c>
      <c r="AF503" s="331">
        <v>3.1622251767129184E-2</v>
      </c>
      <c r="AG503" s="332">
        <v>5.7549917972705839E-2</v>
      </c>
      <c r="AH503" s="145">
        <v>4.2171964428150056E-2</v>
      </c>
      <c r="AI503" s="145">
        <v>5.4407088765479304E-2</v>
      </c>
      <c r="AJ503" s="145">
        <v>2.5435158293223337E-2</v>
      </c>
      <c r="AK503" s="145">
        <v>3.5543410722623771E-2</v>
      </c>
      <c r="AL503" s="145">
        <v>2.3164989338090469E-2</v>
      </c>
      <c r="AM503" s="145">
        <v>3.434489240823968E-2</v>
      </c>
      <c r="AN503" s="145">
        <v>2.2604400212812709E-2</v>
      </c>
      <c r="AO503" s="145">
        <v>3.3077173770052655E-2</v>
      </c>
      <c r="AP503" s="145">
        <v>2.195934446903481E-2</v>
      </c>
      <c r="AQ503" s="145">
        <v>3.2089599959067468E-2</v>
      </c>
      <c r="AR503" s="145"/>
      <c r="AS503" s="145">
        <v>0</v>
      </c>
      <c r="AT503" s="145">
        <v>4.1346203859140736E-2</v>
      </c>
      <c r="AU503" s="145">
        <v>-2.8242227541967209E-2</v>
      </c>
      <c r="AV503" s="145">
        <v>-7.0275098981720782E-2</v>
      </c>
      <c r="AW503" s="145">
        <v>1.1561626959651607E-2</v>
      </c>
      <c r="AX503" s="145">
        <v>-0.12675786125214916</v>
      </c>
      <c r="AY503" s="145">
        <v>0.1316180693881259</v>
      </c>
      <c r="AZ503" s="145">
        <v>0.17518652413248895</v>
      </c>
      <c r="BA503" s="145">
        <v>0.19872103715942283</v>
      </c>
      <c r="BB503" s="331">
        <v>0.26281193535619857</v>
      </c>
      <c r="BC503" s="331">
        <v>0.1324173170973009</v>
      </c>
      <c r="BD503" s="331">
        <v>0.11602294835064518</v>
      </c>
      <c r="BE503" s="331">
        <v>0.14015719919335767</v>
      </c>
      <c r="BF503" s="331">
        <v>0.13012787055823927</v>
      </c>
      <c r="BG503" s="331">
        <v>0.11485073832201394</v>
      </c>
      <c r="BH503" s="331">
        <v>3.2056163711585595E-2</v>
      </c>
      <c r="BI503" s="331">
        <v>3.2343406815353068E-2</v>
      </c>
      <c r="BJ503" s="331">
        <v>-4.2760211069532081E-2</v>
      </c>
      <c r="BK503" s="331">
        <v>7.391199890448362E-2</v>
      </c>
      <c r="BL503" s="332">
        <v>8.4076259339209009E-2</v>
      </c>
      <c r="BM503" s="145">
        <v>9.4593700964743149E-2</v>
      </c>
      <c r="BN503" s="145">
        <v>5.9816959508805841E-2</v>
      </c>
      <c r="BO503" s="145">
        <v>5.6451949590554863E-2</v>
      </c>
      <c r="BP503" s="145">
        <v>5.4649243620086996E-2</v>
      </c>
      <c r="BQ503" s="145">
        <v>5.3046073401723771E-2</v>
      </c>
      <c r="BR503" s="145"/>
      <c r="BS503" s="145"/>
      <c r="BT503" s="145"/>
      <c r="BU503" s="145"/>
      <c r="BV503" s="145"/>
      <c r="BW503" s="145"/>
      <c r="BX503" s="145"/>
      <c r="BY503" s="145"/>
      <c r="BZ503" s="145"/>
      <c r="CA503" s="145"/>
      <c r="CB503" s="145"/>
      <c r="CC503" s="145"/>
      <c r="CD503" s="145"/>
      <c r="CE503" s="331"/>
      <c r="CF503" s="332"/>
      <c r="CG503" s="145"/>
      <c r="CH503" s="145"/>
      <c r="CI503" s="145"/>
      <c r="CJ503" s="145"/>
      <c r="CK503" s="145"/>
      <c r="CL503" s="330"/>
      <c r="CM503" s="330"/>
      <c r="CN503" s="330"/>
      <c r="CO503" s="330"/>
      <c r="CP503" s="330"/>
      <c r="CQ503" s="330"/>
      <c r="CR503" s="330"/>
      <c r="CS503" s="330"/>
      <c r="CT503" s="330"/>
    </row>
    <row r="504" spans="1:98" s="87" customFormat="1" ht="12" customHeight="1" outlineLevel="1">
      <c r="A504" s="91" t="s">
        <v>1092</v>
      </c>
      <c r="B504" s="87" t="s">
        <v>1093</v>
      </c>
      <c r="C504" s="145"/>
      <c r="D504" s="145">
        <v>-0.11276163477261626</v>
      </c>
      <c r="E504" s="145">
        <v>8.1651371794657437E-3</v>
      </c>
      <c r="F504" s="145">
        <v>8.4046351284947335E-2</v>
      </c>
      <c r="G504" s="145">
        <v>5.0274181524461767E-2</v>
      </c>
      <c r="H504" s="145">
        <v>0.15381811301471604</v>
      </c>
      <c r="I504" s="145">
        <v>5.3996233454246E-2</v>
      </c>
      <c r="J504" s="145">
        <v>0.16484370508548787</v>
      </c>
      <c r="K504" s="145">
        <v>7.9382629425064966E-2</v>
      </c>
      <c r="L504" s="331">
        <v>0.13754407073102901</v>
      </c>
      <c r="M504" s="331">
        <v>0.16433173208872182</v>
      </c>
      <c r="N504" s="331">
        <v>0.11432788251158062</v>
      </c>
      <c r="O504" s="331">
        <v>5.8572227702175919E-2</v>
      </c>
      <c r="P504" s="331">
        <v>8.1697463847628951E-2</v>
      </c>
      <c r="Q504" s="331">
        <v>3.5539678846523426E-2</v>
      </c>
      <c r="R504" s="331">
        <v>8.7641735914402663E-2</v>
      </c>
      <c r="S504" s="331">
        <v>7.3312071626384756E-2</v>
      </c>
      <c r="T504" s="331">
        <v>7.8576281218305191E-2</v>
      </c>
      <c r="U504" s="331">
        <v>7.315563609553212E-2</v>
      </c>
      <c r="V504" s="331">
        <v>6.2177968151862509E-2</v>
      </c>
      <c r="W504" s="331">
        <v>6.5021092746724088E-2</v>
      </c>
      <c r="X504" s="331">
        <v>-4.1166138265274384E-3</v>
      </c>
      <c r="Y504" s="331">
        <v>4.8158436257619931E-2</v>
      </c>
      <c r="Z504" s="331">
        <v>-1.1796257934779964E-2</v>
      </c>
      <c r="AA504" s="331">
        <v>4.8540457898497154E-2</v>
      </c>
      <c r="AB504" s="331">
        <v>2.2191621603519719E-3</v>
      </c>
      <c r="AC504" s="331">
        <v>-3.7330850189361595E-2</v>
      </c>
      <c r="AD504" s="331">
        <v>2.7944023879815674E-2</v>
      </c>
      <c r="AE504" s="331">
        <v>5.84028879171846E-2</v>
      </c>
      <c r="AF504" s="331">
        <v>3.4874826234605326E-2</v>
      </c>
      <c r="AG504" s="332">
        <v>6.1669821388951281E-2</v>
      </c>
      <c r="AH504" s="145">
        <v>4.4777229296471627E-2</v>
      </c>
      <c r="AI504" s="145">
        <v>5.815989075900229E-2</v>
      </c>
      <c r="AJ504" s="145">
        <v>2.8051346003383448E-2</v>
      </c>
      <c r="AK504" s="145">
        <v>3.9199304396950782E-2</v>
      </c>
      <c r="AL504" s="145">
        <v>2.5547673955722626E-2</v>
      </c>
      <c r="AM504" s="145">
        <v>3.7877509913087186E-2</v>
      </c>
      <c r="AN504" s="145">
        <v>2.4929424234702017E-2</v>
      </c>
      <c r="AO504" s="145">
        <v>3.6479397357829492E-2</v>
      </c>
      <c r="AP504" s="145">
        <v>2.4218019900135536E-2</v>
      </c>
      <c r="AQ504" s="145">
        <v>3.5390244526285843E-2</v>
      </c>
      <c r="AR504" s="145"/>
      <c r="AS504" s="145">
        <v>0</v>
      </c>
      <c r="AT504" s="145">
        <v>6.1386952082630127E-2</v>
      </c>
      <c r="AU504" s="145">
        <v>-6.1286890217121161E-3</v>
      </c>
      <c r="AV504" s="145">
        <v>-3.5437320167879462E-2</v>
      </c>
      <c r="AW504" s="145">
        <v>3.2474820492073023E-2</v>
      </c>
      <c r="AX504" s="145">
        <v>-0.12675786125214916</v>
      </c>
      <c r="AY504" s="145">
        <v>0.1316180693881259</v>
      </c>
      <c r="AZ504" s="145">
        <v>0.17518652413248895</v>
      </c>
      <c r="BA504" s="145">
        <v>0.2060977029020406</v>
      </c>
      <c r="BB504" s="331">
        <v>0.27736053377400388</v>
      </c>
      <c r="BC504" s="331">
        <v>0.14422797656503711</v>
      </c>
      <c r="BD504" s="331">
        <v>0.12942870301674195</v>
      </c>
      <c r="BE504" s="331">
        <v>0.15292403068469465</v>
      </c>
      <c r="BF504" s="331">
        <v>0.1425840860827402</v>
      </c>
      <c r="BG504" s="331">
        <v>0.12563496100662386</v>
      </c>
      <c r="BH504" s="331">
        <v>4.3006053294814418E-2</v>
      </c>
      <c r="BI504" s="331">
        <v>3.8934652667408177E-2</v>
      </c>
      <c r="BJ504" s="331">
        <v>-3.6097992964878776E-2</v>
      </c>
      <c r="BK504" s="331">
        <v>8.3047495626815043E-2</v>
      </c>
      <c r="BL504" s="332">
        <v>9.0927818456172524E-2</v>
      </c>
      <c r="BM504" s="145">
        <v>0.10082744985131292</v>
      </c>
      <c r="BN504" s="145">
        <v>6.5969561058283013E-2</v>
      </c>
      <c r="BO504" s="145">
        <v>6.2258435834154795E-2</v>
      </c>
      <c r="BP504" s="145">
        <v>6.0270308678153077E-2</v>
      </c>
      <c r="BQ504" s="145">
        <v>5.8502240951615367E-2</v>
      </c>
      <c r="BR504" s="145"/>
      <c r="BS504" s="145"/>
      <c r="BT504" s="145"/>
      <c r="BU504" s="145"/>
      <c r="BV504" s="145"/>
      <c r="BW504" s="145"/>
      <c r="BX504" s="145"/>
      <c r="BY504" s="145"/>
      <c r="BZ504" s="145"/>
      <c r="CA504" s="145"/>
      <c r="CB504" s="145"/>
      <c r="CC504" s="145"/>
      <c r="CD504" s="145"/>
      <c r="CE504" s="331"/>
      <c r="CF504" s="332"/>
      <c r="CG504" s="145"/>
      <c r="CH504" s="145"/>
      <c r="CI504" s="145"/>
      <c r="CJ504" s="145"/>
      <c r="CK504" s="145"/>
      <c r="CL504" s="330"/>
      <c r="CM504" s="330"/>
      <c r="CN504" s="330"/>
      <c r="CO504" s="330"/>
      <c r="CP504" s="330"/>
      <c r="CQ504" s="330"/>
      <c r="CR504" s="330"/>
      <c r="CS504" s="330"/>
      <c r="CT504" s="330"/>
    </row>
    <row r="505" spans="1:98" s="333" customFormat="1" ht="12" customHeight="1" outlineLevel="1">
      <c r="A505" s="91" t="s">
        <v>1094</v>
      </c>
      <c r="B505" s="333" t="s">
        <v>650</v>
      </c>
      <c r="C505" s="328"/>
      <c r="D505" s="328">
        <v>1.7612625686411456</v>
      </c>
      <c r="E505" s="328">
        <v>1.3936968091269939</v>
      </c>
      <c r="F505" s="328">
        <v>1.0893007016984586</v>
      </c>
      <c r="G505" s="328">
        <v>1.0703326791012528</v>
      </c>
      <c r="H505" s="328">
        <v>0.68090546002794949</v>
      </c>
      <c r="I505" s="328">
        <v>0.8683469437194683</v>
      </c>
      <c r="J505" s="328">
        <v>0.84165694327242646</v>
      </c>
      <c r="K505" s="328">
        <v>1.0568900029514112</v>
      </c>
      <c r="L505" s="328">
        <v>1.2824949000432126</v>
      </c>
      <c r="M505" s="328">
        <v>1.5633529909484638</v>
      </c>
      <c r="N505" s="328">
        <v>1.5161609739456452</v>
      </c>
      <c r="O505" s="328">
        <v>1.777231647502084</v>
      </c>
      <c r="P505" s="328">
        <v>1.6811704398094238</v>
      </c>
      <c r="Q505" s="328">
        <v>1.4365344804104954</v>
      </c>
      <c r="R505" s="328">
        <v>1.8042980964120803</v>
      </c>
      <c r="S505" s="328">
        <v>1.7783583701910828</v>
      </c>
      <c r="T505" s="328">
        <v>1.8104783258132056</v>
      </c>
      <c r="U505" s="328">
        <v>1.9271946746534656</v>
      </c>
      <c r="V505" s="328">
        <v>2.5010314424430331</v>
      </c>
      <c r="W505" s="328">
        <v>2.3988419708102811</v>
      </c>
      <c r="X505" s="328">
        <v>2.2869076060634108</v>
      </c>
      <c r="Y505" s="328">
        <v>1.39497818155527</v>
      </c>
      <c r="Z505" s="328">
        <v>2.2171202290874978</v>
      </c>
      <c r="AA505" s="328">
        <v>2.4740352130513177</v>
      </c>
      <c r="AB505" s="328">
        <v>2.7494804930777423</v>
      </c>
      <c r="AC505" s="328">
        <v>2.7072156902377977</v>
      </c>
      <c r="AD505" s="328">
        <v>1.8629235776804369</v>
      </c>
      <c r="AE505" s="328">
        <v>1.9905150591579197</v>
      </c>
      <c r="AF505" s="328">
        <v>1.9561755672768422</v>
      </c>
      <c r="AG505" s="329">
        <v>2.2496063607512649</v>
      </c>
      <c r="AH505" s="328">
        <v>2.3507104193677288</v>
      </c>
      <c r="AI505" s="328">
        <v>2.415530444277489</v>
      </c>
      <c r="AJ505" s="328">
        <v>2.485851383559893</v>
      </c>
      <c r="AK505" s="328">
        <v>2.5241112002113022</v>
      </c>
      <c r="AL505" s="328">
        <v>2.6061948209142152</v>
      </c>
      <c r="AM505" s="328">
        <v>2.639814604663191</v>
      </c>
      <c r="AN505" s="328">
        <v>2.7245252699194942</v>
      </c>
      <c r="AO505" s="328">
        <v>2.7599340999287199</v>
      </c>
      <c r="AP505" s="328">
        <v>2.8477770842657812</v>
      </c>
      <c r="AQ505" s="328">
        <v>2.8844180408876534</v>
      </c>
      <c r="AR505" s="328"/>
      <c r="AS505" s="328">
        <v>2.4279866467857274</v>
      </c>
      <c r="AT505" s="328">
        <v>2.8170675139917343</v>
      </c>
      <c r="AU505" s="328">
        <v>2.794822100256193</v>
      </c>
      <c r="AV505" s="328">
        <v>1.450100026356965</v>
      </c>
      <c r="AW505" s="328">
        <v>0.80604866842266876</v>
      </c>
      <c r="AX505" s="328">
        <v>1.3936968091269939</v>
      </c>
      <c r="AY505" s="328">
        <v>1.0703326791012528</v>
      </c>
      <c r="AZ505" s="328">
        <v>0.8683469437194683</v>
      </c>
      <c r="BA505" s="328">
        <v>1.0568900029514112</v>
      </c>
      <c r="BB505" s="328">
        <v>1.5633529909484638</v>
      </c>
      <c r="BC505" s="328">
        <v>1.777231647502084</v>
      </c>
      <c r="BD505" s="328">
        <v>1.4365344804104954</v>
      </c>
      <c r="BE505" s="328">
        <v>1.7783583701910828</v>
      </c>
      <c r="BF505" s="328">
        <v>1.9271946746534656</v>
      </c>
      <c r="BG505" s="328">
        <v>2.3988419708102811</v>
      </c>
      <c r="BH505" s="328">
        <v>1.39497818155527</v>
      </c>
      <c r="BI505" s="328">
        <v>2.4740352130513177</v>
      </c>
      <c r="BJ505" s="328">
        <v>2.7072156902377977</v>
      </c>
      <c r="BK505" s="328">
        <v>1.9905150591579197</v>
      </c>
      <c r="BL505" s="329">
        <v>2.2496063607512649</v>
      </c>
      <c r="BM505" s="328">
        <v>2.415530444277489</v>
      </c>
      <c r="BN505" s="328">
        <v>2.5241112002113022</v>
      </c>
      <c r="BO505" s="328">
        <v>2.639814604663191</v>
      </c>
      <c r="BP505" s="328">
        <v>2.7599340999287199</v>
      </c>
      <c r="BQ505" s="328">
        <v>2.8844180408876534</v>
      </c>
      <c r="BR505" s="328"/>
      <c r="BS505" s="328"/>
      <c r="BT505" s="328"/>
      <c r="BU505" s="328"/>
      <c r="BV505" s="328"/>
      <c r="BW505" s="328"/>
      <c r="BX505" s="328"/>
      <c r="BY505" s="328"/>
      <c r="BZ505" s="328"/>
      <c r="CA505" s="328"/>
      <c r="CB505" s="328"/>
      <c r="CC505" s="328"/>
      <c r="CD505" s="328"/>
      <c r="CE505" s="328"/>
      <c r="CF505" s="329"/>
      <c r="CG505" s="328"/>
      <c r="CH505" s="328"/>
      <c r="CI505" s="328"/>
      <c r="CJ505" s="328"/>
      <c r="CK505" s="328"/>
      <c r="CL505" s="328"/>
      <c r="CM505" s="328"/>
      <c r="CN505" s="328"/>
      <c r="CO505" s="328"/>
      <c r="CP505" s="328"/>
      <c r="CQ505" s="328"/>
      <c r="CR505" s="328"/>
      <c r="CS505" s="328"/>
      <c r="CT505" s="328"/>
    </row>
    <row r="506" spans="1:98" s="333" customFormat="1" ht="12" customHeight="1" outlineLevel="1">
      <c r="A506" s="91" t="s">
        <v>1095</v>
      </c>
      <c r="B506" s="333" t="s">
        <v>648</v>
      </c>
      <c r="C506" s="328"/>
      <c r="D506" s="328">
        <v>2.1162311008945869</v>
      </c>
      <c r="E506" s="328">
        <v>1.6778250559140335</v>
      </c>
      <c r="F506" s="328">
        <v>1.3086282937606455</v>
      </c>
      <c r="G506" s="328">
        <v>1.266105831965515</v>
      </c>
      <c r="H506" s="328">
        <v>0.8125554708631364</v>
      </c>
      <c r="I506" s="328">
        <v>1.0340485529554204</v>
      </c>
      <c r="J506" s="328">
        <v>0.99950564811418274</v>
      </c>
      <c r="K506" s="328">
        <v>1.2409271248560323</v>
      </c>
      <c r="L506" s="328">
        <v>1.4892771508855676</v>
      </c>
      <c r="M506" s="328">
        <v>1.7516963730047963</v>
      </c>
      <c r="N506" s="328">
        <v>1.7718762515756243</v>
      </c>
      <c r="O506" s="328">
        <v>2.0074560060761084</v>
      </c>
      <c r="P506" s="328">
        <v>1.9021764133080528</v>
      </c>
      <c r="Q506" s="328">
        <v>1.60292606504844</v>
      </c>
      <c r="R506" s="328">
        <v>2.0031491574396898</v>
      </c>
      <c r="S506" s="328">
        <v>2.1102273638312488</v>
      </c>
      <c r="T506" s="328">
        <v>2.154905254982598</v>
      </c>
      <c r="U506" s="328">
        <v>2.2804217121322572</v>
      </c>
      <c r="V506" s="328">
        <v>2.9261692704813855</v>
      </c>
      <c r="W506" s="328">
        <v>2.8005298125848697</v>
      </c>
      <c r="X506" s="328">
        <v>2.7403496722529646</v>
      </c>
      <c r="Y506" s="328">
        <v>1.7076821976397865</v>
      </c>
      <c r="Z506" s="328">
        <v>2.6052290550813924</v>
      </c>
      <c r="AA506" s="328">
        <v>2.835024919093053</v>
      </c>
      <c r="AB506" s="328">
        <v>3.263763152525891</v>
      </c>
      <c r="AC506" s="328">
        <v>3.1469293076546547</v>
      </c>
      <c r="AD506" s="328">
        <v>2.1728736852048445</v>
      </c>
      <c r="AE506" s="328">
        <v>2.3148017801295691</v>
      </c>
      <c r="AF506" s="328">
        <v>2.2823655358221253</v>
      </c>
      <c r="AG506" s="329">
        <v>2.6166769712970881</v>
      </c>
      <c r="AH506" s="328">
        <v>2.7393938762715195</v>
      </c>
      <c r="AI506" s="328">
        <v>2.8127459680837292</v>
      </c>
      <c r="AJ506" s="328">
        <v>2.8890191554505606</v>
      </c>
      <c r="AK506" s="328">
        <v>2.9217110380496805</v>
      </c>
      <c r="AL506" s="328">
        <v>3.0128099801354953</v>
      </c>
      <c r="AM506" s="328">
        <v>3.0388987167011048</v>
      </c>
      <c r="AN506" s="328">
        <v>3.1324564771444656</v>
      </c>
      <c r="AO506" s="328">
        <v>3.1606007020432867</v>
      </c>
      <c r="AP506" s="328">
        <v>3.2572705103100881</v>
      </c>
      <c r="AQ506" s="328">
        <v>3.2867177033139519</v>
      </c>
      <c r="AR506" s="328"/>
      <c r="AS506" s="328">
        <v>4.4598758455902221</v>
      </c>
      <c r="AT506" s="328">
        <v>4.2267892387331703</v>
      </c>
      <c r="AU506" s="328">
        <v>3.4053261014140848</v>
      </c>
      <c r="AV506" s="328">
        <v>1.7503846868839144</v>
      </c>
      <c r="AW506" s="328">
        <v>0.97480395573949563</v>
      </c>
      <c r="AX506" s="328">
        <v>1.6778250559140335</v>
      </c>
      <c r="AY506" s="328">
        <v>1.266105831965515</v>
      </c>
      <c r="AZ506" s="328">
        <v>1.0340485529554204</v>
      </c>
      <c r="BA506" s="328">
        <v>1.2409271248560323</v>
      </c>
      <c r="BB506" s="328">
        <v>1.7516963730047963</v>
      </c>
      <c r="BC506" s="328">
        <v>2.0074560060761084</v>
      </c>
      <c r="BD506" s="328">
        <v>1.60292606504844</v>
      </c>
      <c r="BE506" s="328">
        <v>2.1102273638312488</v>
      </c>
      <c r="BF506" s="328">
        <v>2.2804217121322572</v>
      </c>
      <c r="BG506" s="328">
        <v>2.8005298125848697</v>
      </c>
      <c r="BH506" s="328">
        <v>1.7076821976397865</v>
      </c>
      <c r="BI506" s="328">
        <v>2.835024919093053</v>
      </c>
      <c r="BJ506" s="328">
        <v>3.1469293076546547</v>
      </c>
      <c r="BK506" s="328">
        <v>2.3148017801295691</v>
      </c>
      <c r="BL506" s="329">
        <v>2.6166769712970881</v>
      </c>
      <c r="BM506" s="328">
        <v>2.8127459680837292</v>
      </c>
      <c r="BN506" s="328">
        <v>2.9217110380496805</v>
      </c>
      <c r="BO506" s="328">
        <v>3.0388987167011048</v>
      </c>
      <c r="BP506" s="328">
        <v>3.1606007020432867</v>
      </c>
      <c r="BQ506" s="328">
        <v>3.2867177033139519</v>
      </c>
      <c r="BR506" s="328"/>
      <c r="BS506" s="328"/>
      <c r="BT506" s="328"/>
      <c r="BU506" s="328"/>
      <c r="BV506" s="328"/>
      <c r="BW506" s="328"/>
      <c r="BX506" s="328"/>
      <c r="BY506" s="328"/>
      <c r="BZ506" s="328"/>
      <c r="CA506" s="328"/>
      <c r="CB506" s="328"/>
      <c r="CC506" s="328"/>
      <c r="CD506" s="328"/>
      <c r="CE506" s="328"/>
      <c r="CF506" s="329"/>
      <c r="CG506" s="328"/>
      <c r="CH506" s="328"/>
      <c r="CI506" s="328"/>
      <c r="CJ506" s="328"/>
      <c r="CK506" s="328"/>
      <c r="CL506" s="328"/>
      <c r="CM506" s="328"/>
      <c r="CN506" s="328"/>
      <c r="CO506" s="328"/>
      <c r="CP506" s="328"/>
      <c r="CQ506" s="328"/>
      <c r="CR506" s="328"/>
      <c r="CS506" s="328"/>
      <c r="CT506" s="328"/>
    </row>
    <row r="507" spans="1:98" s="87" customFormat="1" ht="12" hidden="1" customHeight="1" outlineLevel="2">
      <c r="A507" s="91" t="s">
        <v>1096</v>
      </c>
      <c r="B507" s="87" t="s">
        <v>173</v>
      </c>
      <c r="C507" s="330"/>
      <c r="D507" s="330"/>
      <c r="E507" s="330"/>
      <c r="F507" s="330"/>
      <c r="G507" s="330"/>
      <c r="H507" s="330"/>
      <c r="I507" s="330"/>
      <c r="J507" s="330"/>
      <c r="K507" s="330"/>
      <c r="L507" s="330"/>
      <c r="M507" s="330"/>
      <c r="N507" s="330"/>
      <c r="O507" s="330"/>
      <c r="P507" s="330"/>
      <c r="Q507" s="330"/>
      <c r="R507" s="330"/>
      <c r="S507" s="330"/>
      <c r="T507" s="330"/>
      <c r="U507" s="330"/>
      <c r="V507" s="330"/>
      <c r="W507" s="330"/>
      <c r="X507" s="330"/>
      <c r="Y507" s="330"/>
      <c r="Z507" s="330"/>
      <c r="AA507" s="330"/>
      <c r="AB507" s="330"/>
      <c r="AC507" s="330"/>
      <c r="AD507" s="330"/>
      <c r="AE507" s="330"/>
      <c r="AF507" s="330"/>
      <c r="AG507" s="334"/>
      <c r="AH507" s="330"/>
      <c r="AI507" s="330"/>
      <c r="AJ507" s="330"/>
      <c r="AK507" s="330"/>
      <c r="AL507" s="330"/>
      <c r="AM507" s="330"/>
      <c r="AN507" s="330"/>
      <c r="AO507" s="330"/>
      <c r="AP507" s="330"/>
      <c r="AQ507" s="330"/>
      <c r="AR507" s="330"/>
      <c r="AS507" s="330"/>
      <c r="AT507" s="330"/>
      <c r="AU507" s="330"/>
      <c r="AV507" s="330"/>
      <c r="AW507" s="330"/>
      <c r="AX507" s="330"/>
      <c r="AY507" s="330"/>
      <c r="AZ507" s="330"/>
      <c r="BA507" s="330"/>
      <c r="BB507" s="330"/>
      <c r="BC507" s="330"/>
      <c r="BD507" s="330"/>
      <c r="BE507" s="330"/>
      <c r="BF507" s="330"/>
      <c r="BG507" s="330"/>
      <c r="BH507" s="330"/>
      <c r="BI507" s="330"/>
      <c r="BJ507" s="330"/>
      <c r="BK507" s="330"/>
      <c r="BL507" s="334"/>
      <c r="BM507" s="330"/>
      <c r="BN507" s="330"/>
      <c r="BO507" s="330"/>
      <c r="BP507" s="330"/>
      <c r="BQ507" s="330"/>
      <c r="BR507" s="330"/>
      <c r="BS507" s="330"/>
      <c r="BT507" s="330"/>
      <c r="BU507" s="330"/>
      <c r="BV507" s="330"/>
      <c r="BW507" s="330"/>
      <c r="BX507" s="330"/>
      <c r="BY507" s="330"/>
      <c r="BZ507" s="330"/>
      <c r="CA507" s="330"/>
      <c r="CB507" s="330"/>
      <c r="CC507" s="330"/>
      <c r="CD507" s="330"/>
      <c r="CE507" s="330"/>
      <c r="CF507" s="334"/>
      <c r="CG507" s="330"/>
      <c r="CH507" s="330"/>
      <c r="CI507" s="330"/>
      <c r="CJ507" s="330"/>
      <c r="CK507" s="330"/>
      <c r="CL507" s="330"/>
      <c r="CM507" s="330"/>
      <c r="CN507" s="330"/>
      <c r="CO507" s="330"/>
      <c r="CP507" s="330"/>
      <c r="CQ507" s="330"/>
      <c r="CR507" s="330"/>
      <c r="CS507" s="330"/>
      <c r="CT507" s="330"/>
    </row>
    <row r="508" spans="1:98" s="87" customFormat="1" ht="12" hidden="1" customHeight="1" outlineLevel="2">
      <c r="A508" s="91" t="s">
        <v>1097</v>
      </c>
      <c r="B508" s="87" t="s">
        <v>173</v>
      </c>
      <c r="C508" s="330"/>
      <c r="D508" s="330"/>
      <c r="E508" s="330"/>
      <c r="F508" s="330"/>
      <c r="G508" s="330"/>
      <c r="H508" s="330"/>
      <c r="I508" s="330"/>
      <c r="J508" s="330"/>
      <c r="K508" s="330"/>
      <c r="L508" s="330"/>
      <c r="M508" s="330"/>
      <c r="N508" s="330"/>
      <c r="O508" s="330"/>
      <c r="P508" s="330"/>
      <c r="Q508" s="330"/>
      <c r="R508" s="330"/>
      <c r="S508" s="330"/>
      <c r="T508" s="330"/>
      <c r="U508" s="330"/>
      <c r="V508" s="330"/>
      <c r="W508" s="330"/>
      <c r="X508" s="330"/>
      <c r="Y508" s="330"/>
      <c r="Z508" s="330"/>
      <c r="AA508" s="330"/>
      <c r="AB508" s="330"/>
      <c r="AC508" s="330"/>
      <c r="AD508" s="330"/>
      <c r="AE508" s="330"/>
      <c r="AF508" s="330"/>
      <c r="AG508" s="334"/>
      <c r="AH508" s="330"/>
      <c r="AI508" s="330"/>
      <c r="AJ508" s="330"/>
      <c r="AK508" s="330"/>
      <c r="AL508" s="330"/>
      <c r="AM508" s="330"/>
      <c r="AN508" s="330"/>
      <c r="AO508" s="330"/>
      <c r="AP508" s="330"/>
      <c r="AQ508" s="330"/>
      <c r="AR508" s="330"/>
      <c r="AS508" s="330"/>
      <c r="AT508" s="330"/>
      <c r="AU508" s="330"/>
      <c r="AV508" s="330"/>
      <c r="AW508" s="330"/>
      <c r="AX508" s="330"/>
      <c r="AY508" s="330"/>
      <c r="AZ508" s="330"/>
      <c r="BA508" s="330"/>
      <c r="BB508" s="330"/>
      <c r="BC508" s="330"/>
      <c r="BD508" s="330"/>
      <c r="BE508" s="330"/>
      <c r="BF508" s="330"/>
      <c r="BG508" s="330"/>
      <c r="BH508" s="330"/>
      <c r="BI508" s="330"/>
      <c r="BJ508" s="330"/>
      <c r="BK508" s="330"/>
      <c r="BL508" s="334"/>
      <c r="BM508" s="330"/>
      <c r="BN508" s="330"/>
      <c r="BO508" s="330"/>
      <c r="BP508" s="330"/>
      <c r="BQ508" s="330"/>
      <c r="BR508" s="330"/>
      <c r="BS508" s="330"/>
      <c r="BT508" s="330"/>
      <c r="BU508" s="330"/>
      <c r="BV508" s="330"/>
      <c r="BW508" s="330"/>
      <c r="BX508" s="330"/>
      <c r="BY508" s="330"/>
      <c r="BZ508" s="330"/>
      <c r="CA508" s="330"/>
      <c r="CB508" s="330"/>
      <c r="CC508" s="330"/>
      <c r="CD508" s="330"/>
      <c r="CE508" s="330"/>
      <c r="CF508" s="334"/>
      <c r="CG508" s="330"/>
      <c r="CH508" s="330"/>
      <c r="CI508" s="330"/>
      <c r="CJ508" s="330"/>
      <c r="CK508" s="330"/>
      <c r="CL508" s="330"/>
      <c r="CM508" s="330"/>
      <c r="CN508" s="330"/>
      <c r="CO508" s="330"/>
      <c r="CP508" s="330"/>
      <c r="CQ508" s="330"/>
      <c r="CR508" s="330"/>
      <c r="CS508" s="330"/>
      <c r="CT508" s="330"/>
    </row>
    <row r="509" spans="1:98" s="87" customFormat="1" ht="12" hidden="1" customHeight="1" outlineLevel="2">
      <c r="A509" s="91" t="s">
        <v>1098</v>
      </c>
      <c r="B509" s="87" t="s">
        <v>173</v>
      </c>
      <c r="C509" s="330"/>
      <c r="D509" s="330"/>
      <c r="E509" s="330"/>
      <c r="F509" s="330"/>
      <c r="G509" s="330"/>
      <c r="H509" s="330"/>
      <c r="I509" s="330"/>
      <c r="J509" s="330"/>
      <c r="K509" s="330"/>
      <c r="L509" s="330"/>
      <c r="M509" s="330"/>
      <c r="N509" s="330"/>
      <c r="O509" s="330"/>
      <c r="P509" s="330"/>
      <c r="Q509" s="330"/>
      <c r="R509" s="330"/>
      <c r="S509" s="330"/>
      <c r="T509" s="330"/>
      <c r="U509" s="330"/>
      <c r="V509" s="330"/>
      <c r="W509" s="330"/>
      <c r="X509" s="330"/>
      <c r="Y509" s="330"/>
      <c r="Z509" s="330"/>
      <c r="AA509" s="330"/>
      <c r="AB509" s="330"/>
      <c r="AC509" s="330"/>
      <c r="AD509" s="330"/>
      <c r="AE509" s="330"/>
      <c r="AF509" s="330"/>
      <c r="AG509" s="334"/>
      <c r="AH509" s="330"/>
      <c r="AI509" s="330"/>
      <c r="AJ509" s="330"/>
      <c r="AK509" s="330"/>
      <c r="AL509" s="330"/>
      <c r="AM509" s="330"/>
      <c r="AN509" s="330"/>
      <c r="AO509" s="330"/>
      <c r="AP509" s="330"/>
      <c r="AQ509" s="330"/>
      <c r="AR509" s="330"/>
      <c r="AS509" s="330"/>
      <c r="AT509" s="330"/>
      <c r="AU509" s="330"/>
      <c r="AV509" s="330"/>
      <c r="AW509" s="330"/>
      <c r="AX509" s="330"/>
      <c r="AY509" s="330"/>
      <c r="AZ509" s="330"/>
      <c r="BA509" s="330"/>
      <c r="BB509" s="330"/>
      <c r="BC509" s="330"/>
      <c r="BD509" s="330"/>
      <c r="BE509" s="330"/>
      <c r="BF509" s="330"/>
      <c r="BG509" s="330"/>
      <c r="BH509" s="330"/>
      <c r="BI509" s="330"/>
      <c r="BJ509" s="330"/>
      <c r="BK509" s="330"/>
      <c r="BL509" s="334"/>
      <c r="BM509" s="330"/>
      <c r="BN509" s="330"/>
      <c r="BO509" s="330"/>
      <c r="BP509" s="330"/>
      <c r="BQ509" s="330"/>
      <c r="BR509" s="330"/>
      <c r="BS509" s="330"/>
      <c r="BT509" s="330"/>
      <c r="BU509" s="330"/>
      <c r="BV509" s="330"/>
      <c r="BW509" s="330"/>
      <c r="BX509" s="330"/>
      <c r="BY509" s="330"/>
      <c r="BZ509" s="330"/>
      <c r="CA509" s="330"/>
      <c r="CB509" s="330"/>
      <c r="CC509" s="330"/>
      <c r="CD509" s="330"/>
      <c r="CE509" s="330"/>
      <c r="CF509" s="334"/>
      <c r="CG509" s="330"/>
      <c r="CH509" s="330"/>
      <c r="CI509" s="330"/>
      <c r="CJ509" s="330"/>
      <c r="CK509" s="330"/>
      <c r="CL509" s="330"/>
      <c r="CM509" s="330"/>
      <c r="CN509" s="330"/>
      <c r="CO509" s="330"/>
      <c r="CP509" s="330"/>
      <c r="CQ509" s="330"/>
      <c r="CR509" s="330"/>
      <c r="CS509" s="330"/>
      <c r="CT509" s="330"/>
    </row>
    <row r="510" spans="1:98" s="87" customFormat="1" ht="12" hidden="1" customHeight="1" outlineLevel="2">
      <c r="A510" s="91" t="s">
        <v>1099</v>
      </c>
      <c r="B510" s="87" t="s">
        <v>173</v>
      </c>
      <c r="C510" s="330"/>
      <c r="D510" s="330"/>
      <c r="E510" s="330"/>
      <c r="F510" s="330"/>
      <c r="G510" s="330"/>
      <c r="H510" s="330"/>
      <c r="I510" s="330"/>
      <c r="J510" s="330"/>
      <c r="K510" s="330"/>
      <c r="L510" s="330"/>
      <c r="M510" s="330"/>
      <c r="N510" s="330"/>
      <c r="O510" s="330"/>
      <c r="P510" s="330"/>
      <c r="Q510" s="330"/>
      <c r="R510" s="330"/>
      <c r="S510" s="330"/>
      <c r="T510" s="330"/>
      <c r="U510" s="330"/>
      <c r="V510" s="330"/>
      <c r="W510" s="330"/>
      <c r="X510" s="330"/>
      <c r="Y510" s="330"/>
      <c r="Z510" s="330"/>
      <c r="AA510" s="330"/>
      <c r="AB510" s="330"/>
      <c r="AC510" s="330"/>
      <c r="AD510" s="330"/>
      <c r="AE510" s="330"/>
      <c r="AF510" s="330"/>
      <c r="AG510" s="334"/>
      <c r="AH510" s="330"/>
      <c r="AI510" s="330"/>
      <c r="AJ510" s="330"/>
      <c r="AK510" s="330"/>
      <c r="AL510" s="330"/>
      <c r="AM510" s="330"/>
      <c r="AN510" s="330"/>
      <c r="AO510" s="330"/>
      <c r="AP510" s="330"/>
      <c r="AQ510" s="330"/>
      <c r="AR510" s="330"/>
      <c r="AS510" s="330"/>
      <c r="AT510" s="330"/>
      <c r="AU510" s="330"/>
      <c r="AV510" s="330"/>
      <c r="AW510" s="330"/>
      <c r="AX510" s="330"/>
      <c r="AY510" s="330"/>
      <c r="AZ510" s="330"/>
      <c r="BA510" s="330"/>
      <c r="BB510" s="330"/>
      <c r="BC510" s="330"/>
      <c r="BD510" s="330"/>
      <c r="BE510" s="330"/>
      <c r="BF510" s="330"/>
      <c r="BG510" s="330"/>
      <c r="BH510" s="330"/>
      <c r="BI510" s="330"/>
      <c r="BJ510" s="330"/>
      <c r="BK510" s="330"/>
      <c r="BL510" s="334"/>
      <c r="BM510" s="330"/>
      <c r="BN510" s="330"/>
      <c r="BO510" s="330"/>
      <c r="BP510" s="330"/>
      <c r="BQ510" s="330"/>
      <c r="BR510" s="330"/>
      <c r="BS510" s="330"/>
      <c r="BT510" s="330"/>
      <c r="BU510" s="330"/>
      <c r="BV510" s="330"/>
      <c r="BW510" s="330"/>
      <c r="BX510" s="330"/>
      <c r="BY510" s="330"/>
      <c r="BZ510" s="330"/>
      <c r="CA510" s="330"/>
      <c r="CB510" s="330"/>
      <c r="CC510" s="330"/>
      <c r="CD510" s="330"/>
      <c r="CE510" s="330"/>
      <c r="CF510" s="334"/>
      <c r="CG510" s="330"/>
      <c r="CH510" s="330"/>
      <c r="CI510" s="330"/>
      <c r="CJ510" s="330"/>
      <c r="CK510" s="330"/>
      <c r="CL510" s="330"/>
      <c r="CM510" s="330"/>
      <c r="CN510" s="330"/>
      <c r="CO510" s="330"/>
      <c r="CP510" s="330"/>
      <c r="CQ510" s="330"/>
      <c r="CR510" s="330"/>
      <c r="CS510" s="330"/>
      <c r="CT510" s="330"/>
    </row>
    <row r="511" spans="1:98" s="87" customFormat="1" ht="12" hidden="1" customHeight="1" outlineLevel="2">
      <c r="A511" s="91" t="s">
        <v>1100</v>
      </c>
      <c r="B511" s="87" t="s">
        <v>173</v>
      </c>
      <c r="C511" s="330"/>
      <c r="D511" s="330"/>
      <c r="E511" s="330"/>
      <c r="F511" s="330"/>
      <c r="G511" s="330"/>
      <c r="H511" s="330"/>
      <c r="I511" s="330"/>
      <c r="J511" s="330"/>
      <c r="K511" s="330"/>
      <c r="L511" s="330"/>
      <c r="M511" s="330"/>
      <c r="N511" s="330"/>
      <c r="O511" s="330"/>
      <c r="P511" s="330"/>
      <c r="Q511" s="330"/>
      <c r="R511" s="330"/>
      <c r="S511" s="330"/>
      <c r="T511" s="330"/>
      <c r="U511" s="330"/>
      <c r="V511" s="330"/>
      <c r="W511" s="330"/>
      <c r="X511" s="330"/>
      <c r="Y511" s="330"/>
      <c r="Z511" s="330"/>
      <c r="AA511" s="330"/>
      <c r="AB511" s="330"/>
      <c r="AC511" s="330"/>
      <c r="AD511" s="330"/>
      <c r="AE511" s="330"/>
      <c r="AF511" s="330"/>
      <c r="AG511" s="334"/>
      <c r="AH511" s="330"/>
      <c r="AI511" s="330"/>
      <c r="AJ511" s="330"/>
      <c r="AK511" s="330"/>
      <c r="AL511" s="330"/>
      <c r="AM511" s="330"/>
      <c r="AN511" s="330"/>
      <c r="AO511" s="330"/>
      <c r="AP511" s="330"/>
      <c r="AQ511" s="330"/>
      <c r="AR511" s="330"/>
      <c r="AS511" s="330"/>
      <c r="AT511" s="330"/>
      <c r="AU511" s="330"/>
      <c r="AV511" s="330"/>
      <c r="AW511" s="330"/>
      <c r="AX511" s="330"/>
      <c r="AY511" s="330"/>
      <c r="AZ511" s="330"/>
      <c r="BA511" s="330"/>
      <c r="BB511" s="330"/>
      <c r="BC511" s="330"/>
      <c r="BD511" s="330"/>
      <c r="BE511" s="330"/>
      <c r="BF511" s="330"/>
      <c r="BG511" s="330"/>
      <c r="BH511" s="330"/>
      <c r="BI511" s="330"/>
      <c r="BJ511" s="330"/>
      <c r="BK511" s="330"/>
      <c r="BL511" s="334"/>
      <c r="BM511" s="330"/>
      <c r="BN511" s="330"/>
      <c r="BO511" s="330"/>
      <c r="BP511" s="330"/>
      <c r="BQ511" s="330"/>
      <c r="BR511" s="330"/>
      <c r="BS511" s="330"/>
      <c r="BT511" s="330"/>
      <c r="BU511" s="330"/>
      <c r="BV511" s="330"/>
      <c r="BW511" s="330"/>
      <c r="BX511" s="330"/>
      <c r="BY511" s="330"/>
      <c r="BZ511" s="330"/>
      <c r="CA511" s="330"/>
      <c r="CB511" s="330"/>
      <c r="CC511" s="330"/>
      <c r="CD511" s="330"/>
      <c r="CE511" s="330"/>
      <c r="CF511" s="334"/>
      <c r="CG511" s="330"/>
      <c r="CH511" s="330"/>
      <c r="CI511" s="330"/>
      <c r="CJ511" s="330"/>
      <c r="CK511" s="330"/>
      <c r="CL511" s="330"/>
      <c r="CM511" s="330"/>
      <c r="CN511" s="330"/>
      <c r="CO511" s="330"/>
      <c r="CP511" s="330"/>
      <c r="CQ511" s="330"/>
      <c r="CR511" s="330"/>
      <c r="CS511" s="330"/>
      <c r="CT511" s="330"/>
    </row>
    <row r="512" spans="1:98" s="87" customFormat="1" ht="12" hidden="1" customHeight="1" outlineLevel="2">
      <c r="A512" s="91" t="s">
        <v>1101</v>
      </c>
      <c r="B512" s="87" t="s">
        <v>173</v>
      </c>
      <c r="C512" s="330"/>
      <c r="D512" s="330"/>
      <c r="E512" s="330"/>
      <c r="F512" s="330"/>
      <c r="G512" s="330"/>
      <c r="H512" s="330"/>
      <c r="I512" s="330"/>
      <c r="J512" s="330"/>
      <c r="K512" s="330"/>
      <c r="L512" s="330"/>
      <c r="M512" s="330"/>
      <c r="N512" s="330"/>
      <c r="O512" s="330"/>
      <c r="P512" s="330"/>
      <c r="Q512" s="330"/>
      <c r="R512" s="330"/>
      <c r="S512" s="330"/>
      <c r="T512" s="330"/>
      <c r="U512" s="330"/>
      <c r="V512" s="330"/>
      <c r="W512" s="330"/>
      <c r="X512" s="330"/>
      <c r="Y512" s="330"/>
      <c r="Z512" s="330"/>
      <c r="AA512" s="330"/>
      <c r="AB512" s="330"/>
      <c r="AC512" s="330"/>
      <c r="AD512" s="330"/>
      <c r="AE512" s="330"/>
      <c r="AF512" s="330"/>
      <c r="AG512" s="334"/>
      <c r="AH512" s="330"/>
      <c r="AI512" s="330"/>
      <c r="AJ512" s="330"/>
      <c r="AK512" s="330"/>
      <c r="AL512" s="330"/>
      <c r="AM512" s="330"/>
      <c r="AN512" s="330"/>
      <c r="AO512" s="330"/>
      <c r="AP512" s="330"/>
      <c r="AQ512" s="330"/>
      <c r="AR512" s="330"/>
      <c r="AS512" s="330"/>
      <c r="AT512" s="330"/>
      <c r="AU512" s="330"/>
      <c r="AV512" s="330"/>
      <c r="AW512" s="330"/>
      <c r="AX512" s="330"/>
      <c r="AY512" s="330"/>
      <c r="AZ512" s="330"/>
      <c r="BA512" s="330"/>
      <c r="BB512" s="330"/>
      <c r="BC512" s="330"/>
      <c r="BD512" s="330"/>
      <c r="BE512" s="330"/>
      <c r="BF512" s="330"/>
      <c r="BG512" s="330"/>
      <c r="BH512" s="330"/>
      <c r="BI512" s="330"/>
      <c r="BJ512" s="330"/>
      <c r="BK512" s="330"/>
      <c r="BL512" s="334"/>
      <c r="BM512" s="330"/>
      <c r="BN512" s="330"/>
      <c r="BO512" s="330"/>
      <c r="BP512" s="330"/>
      <c r="BQ512" s="330"/>
      <c r="BR512" s="330"/>
      <c r="BS512" s="330"/>
      <c r="BT512" s="330"/>
      <c r="BU512" s="330"/>
      <c r="BV512" s="330"/>
      <c r="BW512" s="330"/>
      <c r="BX512" s="330"/>
      <c r="BY512" s="330"/>
      <c r="BZ512" s="330"/>
      <c r="CA512" s="330"/>
      <c r="CB512" s="330"/>
      <c r="CC512" s="330"/>
      <c r="CD512" s="330"/>
      <c r="CE512" s="330"/>
      <c r="CF512" s="334"/>
      <c r="CG512" s="330"/>
      <c r="CH512" s="330"/>
      <c r="CI512" s="330"/>
      <c r="CJ512" s="330"/>
      <c r="CK512" s="330"/>
      <c r="CL512" s="330"/>
      <c r="CM512" s="330"/>
      <c r="CN512" s="330"/>
      <c r="CO512" s="330"/>
      <c r="CP512" s="330"/>
      <c r="CQ512" s="330"/>
      <c r="CR512" s="330"/>
      <c r="CS512" s="330"/>
      <c r="CT512" s="330"/>
    </row>
    <row r="513" spans="1:98" s="87" customFormat="1" ht="12" hidden="1" customHeight="1" outlineLevel="2">
      <c r="A513" s="91" t="s">
        <v>1102</v>
      </c>
      <c r="B513" s="87" t="s">
        <v>173</v>
      </c>
      <c r="C513" s="330"/>
      <c r="D513" s="330"/>
      <c r="E513" s="330"/>
      <c r="F513" s="330"/>
      <c r="G513" s="330"/>
      <c r="H513" s="330"/>
      <c r="I513" s="330"/>
      <c r="J513" s="330"/>
      <c r="K513" s="330"/>
      <c r="L513" s="330"/>
      <c r="M513" s="330"/>
      <c r="N513" s="330"/>
      <c r="O513" s="330"/>
      <c r="P513" s="330"/>
      <c r="Q513" s="330"/>
      <c r="R513" s="330"/>
      <c r="S513" s="330"/>
      <c r="T513" s="330"/>
      <c r="U513" s="330"/>
      <c r="V513" s="330"/>
      <c r="W513" s="330"/>
      <c r="X513" s="330"/>
      <c r="Y513" s="330"/>
      <c r="Z513" s="330"/>
      <c r="AA513" s="330"/>
      <c r="AB513" s="330"/>
      <c r="AC513" s="330"/>
      <c r="AD513" s="330"/>
      <c r="AE513" s="330"/>
      <c r="AF513" s="330"/>
      <c r="AG513" s="334"/>
      <c r="AH513" s="330"/>
      <c r="AI513" s="330"/>
      <c r="AJ513" s="330"/>
      <c r="AK513" s="330"/>
      <c r="AL513" s="330"/>
      <c r="AM513" s="330"/>
      <c r="AN513" s="330"/>
      <c r="AO513" s="330"/>
      <c r="AP513" s="330"/>
      <c r="AQ513" s="330"/>
      <c r="AR513" s="330"/>
      <c r="AS513" s="330"/>
      <c r="AT513" s="330"/>
      <c r="AU513" s="330"/>
      <c r="AV513" s="330"/>
      <c r="AW513" s="330"/>
      <c r="AX513" s="330"/>
      <c r="AY513" s="330"/>
      <c r="AZ513" s="330"/>
      <c r="BA513" s="330"/>
      <c r="BB513" s="330"/>
      <c r="BC513" s="330"/>
      <c r="BD513" s="330"/>
      <c r="BE513" s="330"/>
      <c r="BF513" s="330"/>
      <c r="BG513" s="330"/>
      <c r="BH513" s="330"/>
      <c r="BI513" s="330"/>
      <c r="BJ513" s="330"/>
      <c r="BK513" s="330"/>
      <c r="BL513" s="334"/>
      <c r="BM513" s="330"/>
      <c r="BN513" s="330"/>
      <c r="BO513" s="330"/>
      <c r="BP513" s="330"/>
      <c r="BQ513" s="330"/>
      <c r="BR513" s="330"/>
      <c r="BS513" s="330"/>
      <c r="BT513" s="330"/>
      <c r="BU513" s="330"/>
      <c r="BV513" s="330"/>
      <c r="BW513" s="330"/>
      <c r="BX513" s="330"/>
      <c r="BY513" s="330"/>
      <c r="BZ513" s="330"/>
      <c r="CA513" s="330"/>
      <c r="CB513" s="330"/>
      <c r="CC513" s="330"/>
      <c r="CD513" s="330"/>
      <c r="CE513" s="330"/>
      <c r="CF513" s="334"/>
      <c r="CG513" s="330"/>
      <c r="CH513" s="330"/>
      <c r="CI513" s="330"/>
      <c r="CJ513" s="330"/>
      <c r="CK513" s="330"/>
      <c r="CL513" s="330"/>
      <c r="CM513" s="330"/>
      <c r="CN513" s="330"/>
      <c r="CO513" s="330"/>
      <c r="CP513" s="330"/>
      <c r="CQ513" s="330"/>
      <c r="CR513" s="330"/>
      <c r="CS513" s="330"/>
      <c r="CT513" s="330"/>
    </row>
    <row r="514" spans="1:98" s="87" customFormat="1" ht="12" hidden="1" customHeight="1" outlineLevel="2">
      <c r="A514" s="91" t="s">
        <v>1103</v>
      </c>
      <c r="B514" s="87" t="s">
        <v>173</v>
      </c>
      <c r="C514" s="330"/>
      <c r="D514" s="330"/>
      <c r="E514" s="330"/>
      <c r="F514" s="330"/>
      <c r="G514" s="330"/>
      <c r="H514" s="330"/>
      <c r="I514" s="330"/>
      <c r="J514" s="330"/>
      <c r="K514" s="330"/>
      <c r="L514" s="330"/>
      <c r="M514" s="330"/>
      <c r="N514" s="330"/>
      <c r="O514" s="330"/>
      <c r="P514" s="330"/>
      <c r="Q514" s="330"/>
      <c r="R514" s="330"/>
      <c r="S514" s="330"/>
      <c r="T514" s="330"/>
      <c r="U514" s="330"/>
      <c r="V514" s="330"/>
      <c r="W514" s="330"/>
      <c r="X514" s="330"/>
      <c r="Y514" s="330"/>
      <c r="Z514" s="330"/>
      <c r="AA514" s="330"/>
      <c r="AB514" s="330"/>
      <c r="AC514" s="330"/>
      <c r="AD514" s="330"/>
      <c r="AE514" s="330"/>
      <c r="AF514" s="330"/>
      <c r="AG514" s="334"/>
      <c r="AH514" s="330"/>
      <c r="AI514" s="330"/>
      <c r="AJ514" s="330"/>
      <c r="AK514" s="330"/>
      <c r="AL514" s="330"/>
      <c r="AM514" s="330"/>
      <c r="AN514" s="330"/>
      <c r="AO514" s="330"/>
      <c r="AP514" s="330"/>
      <c r="AQ514" s="330"/>
      <c r="AR514" s="330"/>
      <c r="AS514" s="330"/>
      <c r="AT514" s="330"/>
      <c r="AU514" s="330"/>
      <c r="AV514" s="330"/>
      <c r="AW514" s="330"/>
      <c r="AX514" s="330"/>
      <c r="AY514" s="330"/>
      <c r="AZ514" s="330"/>
      <c r="BA514" s="330"/>
      <c r="BB514" s="330"/>
      <c r="BC514" s="330"/>
      <c r="BD514" s="330"/>
      <c r="BE514" s="330"/>
      <c r="BF514" s="330"/>
      <c r="BG514" s="330"/>
      <c r="BH514" s="330"/>
      <c r="BI514" s="330"/>
      <c r="BJ514" s="330"/>
      <c r="BK514" s="330"/>
      <c r="BL514" s="334"/>
      <c r="BM514" s="330"/>
      <c r="BN514" s="330"/>
      <c r="BO514" s="330"/>
      <c r="BP514" s="330"/>
      <c r="BQ514" s="330"/>
      <c r="BR514" s="330"/>
      <c r="BS514" s="330"/>
      <c r="BT514" s="330"/>
      <c r="BU514" s="330"/>
      <c r="BV514" s="330"/>
      <c r="BW514" s="330"/>
      <c r="BX514" s="330"/>
      <c r="BY514" s="330"/>
      <c r="BZ514" s="330"/>
      <c r="CA514" s="330"/>
      <c r="CB514" s="330"/>
      <c r="CC514" s="330"/>
      <c r="CD514" s="330"/>
      <c r="CE514" s="330"/>
      <c r="CF514" s="334"/>
      <c r="CG514" s="330"/>
      <c r="CH514" s="330"/>
      <c r="CI514" s="330"/>
      <c r="CJ514" s="330"/>
      <c r="CK514" s="330"/>
      <c r="CL514" s="330"/>
      <c r="CM514" s="330"/>
      <c r="CN514" s="330"/>
      <c r="CO514" s="330"/>
      <c r="CP514" s="330"/>
      <c r="CQ514" s="330"/>
      <c r="CR514" s="330"/>
      <c r="CS514" s="330"/>
      <c r="CT514" s="330"/>
    </row>
    <row r="515" spans="1:98" s="87" customFormat="1" ht="12" hidden="1" customHeight="1" outlineLevel="2">
      <c r="A515" s="91" t="s">
        <v>1104</v>
      </c>
      <c r="B515" s="87" t="s">
        <v>173</v>
      </c>
      <c r="C515" s="330"/>
      <c r="D515" s="330"/>
      <c r="E515" s="330"/>
      <c r="F515" s="330"/>
      <c r="G515" s="330"/>
      <c r="H515" s="330"/>
      <c r="I515" s="330"/>
      <c r="J515" s="330"/>
      <c r="K515" s="330"/>
      <c r="L515" s="330"/>
      <c r="M515" s="330"/>
      <c r="N515" s="330"/>
      <c r="O515" s="330"/>
      <c r="P515" s="330"/>
      <c r="Q515" s="330"/>
      <c r="R515" s="330"/>
      <c r="S515" s="330"/>
      <c r="T515" s="330"/>
      <c r="U515" s="330"/>
      <c r="V515" s="330"/>
      <c r="W515" s="330"/>
      <c r="X515" s="330"/>
      <c r="Y515" s="330"/>
      <c r="Z515" s="330"/>
      <c r="AA515" s="330"/>
      <c r="AB515" s="330"/>
      <c r="AC515" s="330"/>
      <c r="AD515" s="330"/>
      <c r="AE515" s="330"/>
      <c r="AF515" s="330"/>
      <c r="AG515" s="334"/>
      <c r="AH515" s="330"/>
      <c r="AI515" s="330"/>
      <c r="AJ515" s="330"/>
      <c r="AK515" s="330"/>
      <c r="AL515" s="330"/>
      <c r="AM515" s="330"/>
      <c r="AN515" s="330"/>
      <c r="AO515" s="330"/>
      <c r="AP515" s="330"/>
      <c r="AQ515" s="330"/>
      <c r="AR515" s="330"/>
      <c r="AS515" s="330"/>
      <c r="AT515" s="330"/>
      <c r="AU515" s="330"/>
      <c r="AV515" s="330"/>
      <c r="AW515" s="330"/>
      <c r="AX515" s="330"/>
      <c r="AY515" s="330"/>
      <c r="AZ515" s="330"/>
      <c r="BA515" s="330"/>
      <c r="BB515" s="330"/>
      <c r="BC515" s="330"/>
      <c r="BD515" s="330"/>
      <c r="BE515" s="330"/>
      <c r="BF515" s="330"/>
      <c r="BG515" s="330"/>
      <c r="BH515" s="330"/>
      <c r="BI515" s="330"/>
      <c r="BJ515" s="330"/>
      <c r="BK515" s="330"/>
      <c r="BL515" s="334"/>
      <c r="BM515" s="330"/>
      <c r="BN515" s="330"/>
      <c r="BO515" s="330"/>
      <c r="BP515" s="330"/>
      <c r="BQ515" s="330"/>
      <c r="BR515" s="330"/>
      <c r="BS515" s="330"/>
      <c r="BT515" s="330"/>
      <c r="BU515" s="330"/>
      <c r="BV515" s="330"/>
      <c r="BW515" s="330"/>
      <c r="BX515" s="330"/>
      <c r="BY515" s="330"/>
      <c r="BZ515" s="330"/>
      <c r="CA515" s="330"/>
      <c r="CB515" s="330"/>
      <c r="CC515" s="330"/>
      <c r="CD515" s="330"/>
      <c r="CE515" s="330"/>
      <c r="CF515" s="334"/>
      <c r="CG515" s="330"/>
      <c r="CH515" s="330"/>
      <c r="CI515" s="330"/>
      <c r="CJ515" s="330"/>
      <c r="CK515" s="330"/>
      <c r="CL515" s="330"/>
      <c r="CM515" s="330"/>
      <c r="CN515" s="330"/>
      <c r="CO515" s="330"/>
      <c r="CP515" s="330"/>
      <c r="CQ515" s="330"/>
      <c r="CR515" s="330"/>
      <c r="CS515" s="330"/>
      <c r="CT515" s="330"/>
    </row>
    <row r="516" spans="1:98" s="87" customFormat="1" ht="12" hidden="1" customHeight="1" outlineLevel="2">
      <c r="A516" s="91" t="s">
        <v>1105</v>
      </c>
      <c r="B516" s="87" t="s">
        <v>173</v>
      </c>
      <c r="C516" s="330"/>
      <c r="D516" s="330"/>
      <c r="E516" s="330"/>
      <c r="F516" s="330"/>
      <c r="G516" s="330"/>
      <c r="H516" s="330"/>
      <c r="I516" s="330"/>
      <c r="J516" s="330"/>
      <c r="K516" s="330"/>
      <c r="L516" s="330"/>
      <c r="M516" s="330"/>
      <c r="N516" s="330"/>
      <c r="O516" s="330"/>
      <c r="P516" s="330"/>
      <c r="Q516" s="330"/>
      <c r="R516" s="330"/>
      <c r="S516" s="330"/>
      <c r="T516" s="330"/>
      <c r="U516" s="330"/>
      <c r="V516" s="330"/>
      <c r="W516" s="330"/>
      <c r="X516" s="330"/>
      <c r="Y516" s="330"/>
      <c r="Z516" s="330"/>
      <c r="AA516" s="330"/>
      <c r="AB516" s="330"/>
      <c r="AC516" s="330"/>
      <c r="AD516" s="330"/>
      <c r="AE516" s="330"/>
      <c r="AF516" s="330"/>
      <c r="AG516" s="334"/>
      <c r="AH516" s="330"/>
      <c r="AI516" s="330"/>
      <c r="AJ516" s="330"/>
      <c r="AK516" s="330"/>
      <c r="AL516" s="330"/>
      <c r="AM516" s="330"/>
      <c r="AN516" s="330"/>
      <c r="AO516" s="330"/>
      <c r="AP516" s="330"/>
      <c r="AQ516" s="330"/>
      <c r="AR516" s="330"/>
      <c r="AS516" s="330"/>
      <c r="AT516" s="330"/>
      <c r="AU516" s="330"/>
      <c r="AV516" s="330"/>
      <c r="AW516" s="330"/>
      <c r="AX516" s="330"/>
      <c r="AY516" s="330"/>
      <c r="AZ516" s="330"/>
      <c r="BA516" s="330"/>
      <c r="BB516" s="330"/>
      <c r="BC516" s="330"/>
      <c r="BD516" s="330"/>
      <c r="BE516" s="330"/>
      <c r="BF516" s="330"/>
      <c r="BG516" s="330"/>
      <c r="BH516" s="330"/>
      <c r="BI516" s="330"/>
      <c r="BJ516" s="330"/>
      <c r="BK516" s="330"/>
      <c r="BL516" s="334"/>
      <c r="BM516" s="330"/>
      <c r="BN516" s="330"/>
      <c r="BO516" s="330"/>
      <c r="BP516" s="330"/>
      <c r="BQ516" s="330"/>
      <c r="BR516" s="330"/>
      <c r="BS516" s="330"/>
      <c r="BT516" s="330"/>
      <c r="BU516" s="330"/>
      <c r="BV516" s="330"/>
      <c r="BW516" s="330"/>
      <c r="BX516" s="330"/>
      <c r="BY516" s="330"/>
      <c r="BZ516" s="330"/>
      <c r="CA516" s="330"/>
      <c r="CB516" s="330"/>
      <c r="CC516" s="330"/>
      <c r="CD516" s="330"/>
      <c r="CE516" s="330"/>
      <c r="CF516" s="334"/>
      <c r="CG516" s="330"/>
      <c r="CH516" s="330"/>
      <c r="CI516" s="330"/>
      <c r="CJ516" s="330"/>
      <c r="CK516" s="330"/>
      <c r="CL516" s="330"/>
      <c r="CM516" s="330"/>
      <c r="CN516" s="330"/>
      <c r="CO516" s="330"/>
      <c r="CP516" s="330"/>
      <c r="CQ516" s="330"/>
      <c r="CR516" s="330"/>
      <c r="CS516" s="330"/>
      <c r="CT516" s="330"/>
    </row>
    <row r="517" spans="1:98" ht="12" customHeight="1" outlineLevel="1" collapsed="1"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20"/>
      <c r="AH517" s="19"/>
      <c r="AI517" s="19"/>
      <c r="AJ517" s="19"/>
      <c r="AK517" s="19"/>
      <c r="AL517" s="19"/>
      <c r="AM517" s="19"/>
      <c r="AN517" s="19"/>
      <c r="AO517" s="19"/>
      <c r="AP517" s="19"/>
      <c r="AQ517" s="19"/>
      <c r="AR517" s="19"/>
      <c r="AS517" s="19"/>
      <c r="AT517" s="19"/>
      <c r="AU517" s="19"/>
      <c r="AV517" s="19"/>
      <c r="AW517" s="19"/>
      <c r="AX517" s="19"/>
      <c r="AY517" s="19"/>
      <c r="AZ517" s="19"/>
      <c r="BA517" s="19"/>
      <c r="BB517" s="19"/>
      <c r="BC517" s="19"/>
      <c r="BD517" s="19"/>
      <c r="BE517" s="19"/>
      <c r="BF517" s="19"/>
      <c r="BG517" s="19"/>
      <c r="BH517" s="19"/>
      <c r="BI517" s="19"/>
      <c r="BJ517" s="19"/>
      <c r="BK517" s="19"/>
      <c r="BL517" s="20"/>
      <c r="BM517" s="19"/>
      <c r="BN517" s="19"/>
      <c r="BO517" s="19"/>
      <c r="BP517" s="19"/>
      <c r="BQ517" s="19"/>
    </row>
    <row r="518" spans="1:98" ht="12" customHeight="1" outlineLevel="1">
      <c r="B518" s="9" t="s">
        <v>411</v>
      </c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20"/>
      <c r="AH518" s="19"/>
      <c r="AI518" s="19"/>
      <c r="AJ518" s="19"/>
      <c r="AK518" s="19"/>
      <c r="AL518" s="19"/>
      <c r="AM518" s="19"/>
      <c r="AN518" s="19"/>
      <c r="AO518" s="19"/>
      <c r="AP518" s="19"/>
      <c r="AQ518" s="19"/>
      <c r="AR518" s="19"/>
      <c r="AS518" s="19"/>
      <c r="AT518" s="19"/>
      <c r="AU518" s="19"/>
      <c r="AV518" s="19"/>
      <c r="AW518" s="19"/>
      <c r="AX518" s="19"/>
      <c r="AY518" s="19"/>
      <c r="AZ518" s="19"/>
      <c r="BA518" s="19"/>
      <c r="BB518" s="19"/>
      <c r="BC518" s="34"/>
      <c r="BD518" s="19"/>
      <c r="BE518" s="19"/>
      <c r="BF518" s="19"/>
      <c r="BG518" s="19"/>
      <c r="BH518" s="19"/>
      <c r="BI518" s="19"/>
      <c r="BJ518" s="19"/>
      <c r="BK518" s="19"/>
      <c r="BL518" s="20"/>
      <c r="BM518" s="19"/>
      <c r="BN518" s="19"/>
      <c r="BO518" s="19"/>
      <c r="BP518" s="19"/>
      <c r="BQ518" s="19"/>
    </row>
    <row r="519" spans="1:98" ht="12" customHeight="1" outlineLevel="1">
      <c r="A519" s="91" t="s">
        <v>329</v>
      </c>
      <c r="B519" s="1" t="s">
        <v>330</v>
      </c>
      <c r="C519" s="19"/>
      <c r="D519" s="182">
        <v>9.8757754151457738E-2</v>
      </c>
      <c r="E519" s="182">
        <v>0.10450240578913694</v>
      </c>
      <c r="F519" s="182">
        <v>7.211212615687887E-2</v>
      </c>
      <c r="G519" s="182">
        <v>9.8734784023010141E-2</v>
      </c>
      <c r="H519" s="182">
        <v>5.3851246965349812E-2</v>
      </c>
      <c r="I519" s="182">
        <v>7.5710341141890083E-2</v>
      </c>
      <c r="J519" s="182">
        <v>6.4896559026982575E-2</v>
      </c>
      <c r="K519" s="50">
        <v>8.7779571924279376E-2</v>
      </c>
      <c r="L519" s="50">
        <v>8.4568576090213884E-2</v>
      </c>
      <c r="M519" s="50">
        <v>0.12958919120377235</v>
      </c>
      <c r="N519" s="50">
        <v>0.11704129149794125</v>
      </c>
      <c r="O519" s="50">
        <v>0.14509066073580312</v>
      </c>
      <c r="P519" s="50">
        <v>0.14996496145760335</v>
      </c>
      <c r="Q519" s="50">
        <v>0.13352606985578377</v>
      </c>
      <c r="R519" s="50">
        <v>0.13944550355108482</v>
      </c>
      <c r="S519" s="50">
        <v>0.15355019603149772</v>
      </c>
      <c r="T519" s="50">
        <v>0.16100778317392317</v>
      </c>
      <c r="U519" s="50">
        <v>0.16555415953158276</v>
      </c>
      <c r="V519" s="50">
        <v>0.1587533207798186</v>
      </c>
      <c r="W519" s="50">
        <v>0.19540146342978429</v>
      </c>
      <c r="X519" s="50">
        <v>0.15592059500240785</v>
      </c>
      <c r="Y519" s="50">
        <v>0.12527040314650933</v>
      </c>
      <c r="Z519" s="50">
        <v>9.4518654174246361E-2</v>
      </c>
      <c r="AA519" s="50">
        <v>0.19133160288344045</v>
      </c>
      <c r="AB519" s="50">
        <v>0.17673647057485126</v>
      </c>
      <c r="AC519" s="50">
        <v>0.20296938216178123</v>
      </c>
      <c r="AD519" s="50">
        <v>0.15350777560468462</v>
      </c>
      <c r="AE519" s="50">
        <v>0.17893095864006986</v>
      </c>
      <c r="AF519" s="50">
        <v>8.6010394188979725E-2</v>
      </c>
      <c r="AG519" s="51">
        <v>0.12744208552591785</v>
      </c>
      <c r="AH519" s="182">
        <v>0.11542008842617379</v>
      </c>
      <c r="AI519" s="182">
        <v>0.12252906817783936</v>
      </c>
      <c r="AJ519" s="182">
        <v>0.12164438957671184</v>
      </c>
      <c r="AK519" s="182">
        <v>0.1247252052832801</v>
      </c>
      <c r="AL519" s="182">
        <v>0.11616011382677034</v>
      </c>
      <c r="AM519" s="182">
        <v>0.12682312242315177</v>
      </c>
      <c r="AN519" s="182">
        <v>0.11813938082119517</v>
      </c>
      <c r="AO519" s="182">
        <v>0.12735919290308256</v>
      </c>
      <c r="AP519" s="182">
        <v>0.11884230508442689</v>
      </c>
      <c r="AQ519" s="182">
        <v>0.12879102411470275</v>
      </c>
      <c r="AR519" s="182"/>
      <c r="AS519" s="182">
        <v>0.25607064017660042</v>
      </c>
      <c r="AT519" s="182">
        <v>0.25202916494703537</v>
      </c>
      <c r="AU519" s="182">
        <v>0.28218728903462242</v>
      </c>
      <c r="AV519" s="182">
        <v>0.23880794701986754</v>
      </c>
      <c r="AW519" s="182">
        <v>9.9582690218944725E-2</v>
      </c>
      <c r="AX519" s="182">
        <v>0.10554885404101327</v>
      </c>
      <c r="AY519" s="182">
        <v>8.4467220356953532E-2</v>
      </c>
      <c r="AZ519" s="182">
        <v>6.458176670942628E-2</v>
      </c>
      <c r="BA519" s="182">
        <v>7.5289746085110146E-2</v>
      </c>
      <c r="BB519" s="50">
        <v>0.11086280180535471</v>
      </c>
      <c r="BC519" s="50">
        <v>0.12666324475855806</v>
      </c>
      <c r="BD519" s="50">
        <v>0.14215331610680448</v>
      </c>
      <c r="BE519" s="50">
        <v>0.14452883079631018</v>
      </c>
      <c r="BF519" s="50">
        <v>0.16021303258145364</v>
      </c>
      <c r="BG519" s="50">
        <v>0.17480508822322527</v>
      </c>
      <c r="BH519" s="50">
        <v>0.12965864311826425</v>
      </c>
      <c r="BI519" s="50">
        <v>0.13674709724238027</v>
      </c>
      <c r="BJ519" s="50">
        <v>0.16477014110150204</v>
      </c>
      <c r="BK519" s="50">
        <v>0.15629618458754335</v>
      </c>
      <c r="BL519" s="51">
        <v>0.10519399062154655</v>
      </c>
      <c r="BM519" s="182">
        <v>0.11816653549899292</v>
      </c>
      <c r="BN519" s="182">
        <v>0.11974991734948656</v>
      </c>
      <c r="BO519" s="182">
        <v>0.11802030588477454</v>
      </c>
      <c r="BP519" s="182">
        <v>0.11924993708536605</v>
      </c>
      <c r="BQ519" s="182">
        <v>0.12025698349939562</v>
      </c>
    </row>
    <row r="520" spans="1:98" ht="12" customHeight="1" outlineLevel="1">
      <c r="A520" s="91" t="s">
        <v>500</v>
      </c>
      <c r="B520" s="1" t="s">
        <v>498</v>
      </c>
      <c r="C520" s="19"/>
      <c r="D520" s="182">
        <v>0.13695766989800201</v>
      </c>
      <c r="E520" s="182">
        <v>0.13037415490221591</v>
      </c>
      <c r="F520" s="182">
        <v>7.8031665872281233E-2</v>
      </c>
      <c r="G520" s="182">
        <v>0.1104803298142861</v>
      </c>
      <c r="H520" s="182">
        <v>5.8407888667402492E-2</v>
      </c>
      <c r="I520" s="182">
        <v>8.322536421145306E-2</v>
      </c>
      <c r="J520" s="182">
        <v>7.1693968538660585E-2</v>
      </c>
      <c r="K520" s="50">
        <v>0.10044445934117424</v>
      </c>
      <c r="L520" s="50">
        <v>9.5002189507848653E-2</v>
      </c>
      <c r="M520" s="50">
        <v>0.14332500297165635</v>
      </c>
      <c r="N520" s="50">
        <v>0.1241133207196889</v>
      </c>
      <c r="O520" s="50">
        <v>0.16369033892330664</v>
      </c>
      <c r="P520" s="50">
        <v>0.17085696288102645</v>
      </c>
      <c r="Q520" s="50">
        <v>0.16154539232043588</v>
      </c>
      <c r="R520" s="50">
        <v>0.16642206943184548</v>
      </c>
      <c r="S520" s="50">
        <v>0.19523351606667494</v>
      </c>
      <c r="T520" s="50">
        <v>0.17872311821717754</v>
      </c>
      <c r="U520" s="50">
        <v>0.18377021142120034</v>
      </c>
      <c r="V520" s="50">
        <v>0.16606670696728298</v>
      </c>
      <c r="W520" s="50">
        <v>0.2446362762042712</v>
      </c>
      <c r="X520" s="50">
        <v>0.19567820391743784</v>
      </c>
      <c r="Y520" s="50">
        <v>0.16123389703339869</v>
      </c>
      <c r="Z520" s="50">
        <v>0.13931297893929817</v>
      </c>
      <c r="AA520" s="50">
        <v>0.26954056672251758</v>
      </c>
      <c r="AB520" s="50">
        <v>0.22371552010179818</v>
      </c>
      <c r="AC520" s="50">
        <v>0.27622179278135012</v>
      </c>
      <c r="AD520" s="50">
        <v>0.20715739672368413</v>
      </c>
      <c r="AE520" s="50">
        <v>0.25020997053553978</v>
      </c>
      <c r="AF520" s="50">
        <v>0.1041683213479264</v>
      </c>
      <c r="AG520" s="51">
        <v>0.15822537364748548</v>
      </c>
      <c r="AH520" s="182">
        <v>0.13732094952519319</v>
      </c>
      <c r="AI520" s="182">
        <v>0.14493091227629501</v>
      </c>
      <c r="AJ520" s="182">
        <v>0.14433014191095048</v>
      </c>
      <c r="AK520" s="182">
        <v>0.14954405854307914</v>
      </c>
      <c r="AL520" s="182">
        <v>0.13774522916319101</v>
      </c>
      <c r="AM520" s="182">
        <v>0.15280149094282242</v>
      </c>
      <c r="AN520" s="182">
        <v>0.1407711084137169</v>
      </c>
      <c r="AO520" s="182">
        <v>0.15408460613460687</v>
      </c>
      <c r="AP520" s="182">
        <v>0.14221573603725604</v>
      </c>
      <c r="AQ520" s="182">
        <v>0.15654080258469705</v>
      </c>
      <c r="AR520" s="182"/>
      <c r="AS520" s="182">
        <v>0.30381747338995863</v>
      </c>
      <c r="AT520" s="182">
        <v>0.26508089414377151</v>
      </c>
      <c r="AU520" s="182">
        <v>0.36937179372588669</v>
      </c>
      <c r="AV520" s="182">
        <v>0.25063773040626808</v>
      </c>
      <c r="AW520" s="182">
        <v>0.10995243176194255</v>
      </c>
      <c r="AX520" s="182">
        <v>0.13604807997779642</v>
      </c>
      <c r="AY520" s="182">
        <v>9.3244030515236109E-2</v>
      </c>
      <c r="AZ520" s="182">
        <v>6.9792813439746929E-2</v>
      </c>
      <c r="BA520" s="182">
        <v>8.500882327308508E-2</v>
      </c>
      <c r="BB520" s="50">
        <v>0.12272452025645759</v>
      </c>
      <c r="BC520" s="50">
        <v>0.14282968546563829</v>
      </c>
      <c r="BD520" s="50">
        <v>0.17338346726900361</v>
      </c>
      <c r="BE520" s="50">
        <v>0.18310501784829503</v>
      </c>
      <c r="BF520" s="50">
        <v>0.17770556929750969</v>
      </c>
      <c r="BG520" s="50">
        <v>0.21867522606751263</v>
      </c>
      <c r="BH520" s="50">
        <v>0.16478566651229265</v>
      </c>
      <c r="BI520" s="50">
        <v>0.1897872419574255</v>
      </c>
      <c r="BJ520" s="50">
        <v>0.21805201249167358</v>
      </c>
      <c r="BK520" s="50">
        <v>0.21712366829061824</v>
      </c>
      <c r="BL520" s="51">
        <v>0.12893973306001752</v>
      </c>
      <c r="BM520" s="182">
        <v>0.13891928407128093</v>
      </c>
      <c r="BN520" s="182">
        <v>0.14285182854524622</v>
      </c>
      <c r="BO520" s="182">
        <v>0.14122056325190779</v>
      </c>
      <c r="BP520" s="182">
        <v>0.14330856961988481</v>
      </c>
      <c r="BQ520" s="182">
        <v>0.14515148710178638</v>
      </c>
    </row>
    <row r="521" spans="1:98" ht="12" customHeight="1" outlineLevel="1">
      <c r="A521" s="91" t="s">
        <v>331</v>
      </c>
      <c r="B521" s="1" t="s">
        <v>332</v>
      </c>
      <c r="C521" s="19"/>
      <c r="D521" s="182">
        <v>0.10231125654971109</v>
      </c>
      <c r="E521" s="182">
        <v>0.11982184395075471</v>
      </c>
      <c r="F521" s="182">
        <v>8.275484548621953E-2</v>
      </c>
      <c r="G521" s="182">
        <v>0.11238166504924371</v>
      </c>
      <c r="H521" s="182">
        <v>6.1168212584607674E-2</v>
      </c>
      <c r="I521" s="182">
        <v>8.6250634195839671E-2</v>
      </c>
      <c r="J521" s="182">
        <v>7.3716644218517702E-2</v>
      </c>
      <c r="K521" s="50">
        <v>9.8937055896532372E-2</v>
      </c>
      <c r="L521" s="50">
        <v>9.4559952219727197E-2</v>
      </c>
      <c r="M521" s="50">
        <v>0.14196217939384806</v>
      </c>
      <c r="N521" s="50">
        <v>0.12826473318478737</v>
      </c>
      <c r="O521" s="50">
        <v>0.16010758790308749</v>
      </c>
      <c r="P521" s="50">
        <v>0.1633961976025044</v>
      </c>
      <c r="Q521" s="50">
        <v>0.14450467493724306</v>
      </c>
      <c r="R521" s="50">
        <v>0.14977202997081937</v>
      </c>
      <c r="S521" s="50">
        <v>0.16434324049660051</v>
      </c>
      <c r="T521" s="50">
        <v>0.17214248463823323</v>
      </c>
      <c r="U521" s="50">
        <v>0.17660224067893088</v>
      </c>
      <c r="V521" s="50">
        <v>0.17401541991705927</v>
      </c>
      <c r="W521" s="50">
        <v>0.22063342631838487</v>
      </c>
      <c r="X521" s="50">
        <v>0.17832991646522445</v>
      </c>
      <c r="Y521" s="50">
        <v>0.14666436424336615</v>
      </c>
      <c r="Z521" s="50">
        <v>0.11072322181862641</v>
      </c>
      <c r="AA521" s="50">
        <v>0.21889689201569193</v>
      </c>
      <c r="AB521" s="50">
        <v>0.20337572697014225</v>
      </c>
      <c r="AC521" s="50">
        <v>0.2355399077415484</v>
      </c>
      <c r="AD521" s="50">
        <v>0.17700024530625622</v>
      </c>
      <c r="AE521" s="50">
        <v>0.20425905628135912</v>
      </c>
      <c r="AF521" s="50">
        <v>9.8042612160055428E-2</v>
      </c>
      <c r="AG521" s="51">
        <v>0.14624581373961026</v>
      </c>
      <c r="AH521" s="182">
        <v>0.13233715806541488</v>
      </c>
      <c r="AI521" s="182">
        <v>0.14057066499018148</v>
      </c>
      <c r="AJ521" s="182">
        <v>0.13939595294622076</v>
      </c>
      <c r="AK521" s="182">
        <v>0.14255045595721952</v>
      </c>
      <c r="AL521" s="182">
        <v>0.13245692790086191</v>
      </c>
      <c r="AM521" s="182">
        <v>0.1442647861258495</v>
      </c>
      <c r="AN521" s="182">
        <v>0.13407046692735783</v>
      </c>
      <c r="AO521" s="182">
        <v>0.14419978037373438</v>
      </c>
      <c r="AP521" s="182">
        <v>0.13425684678224617</v>
      </c>
      <c r="AQ521" s="182">
        <v>0.14517574475602876</v>
      </c>
      <c r="AR521" s="182"/>
      <c r="AS521" s="182">
        <v>0.33706932337069323</v>
      </c>
      <c r="AT521" s="182">
        <v>0.30707341602413679</v>
      </c>
      <c r="AU521" s="182">
        <v>0.30078125</v>
      </c>
      <c r="AV521" s="182">
        <v>0.24858679167241141</v>
      </c>
      <c r="AW521" s="182">
        <v>0.10726600985221675</v>
      </c>
      <c r="AX521" s="182">
        <v>0.11877156269441774</v>
      </c>
      <c r="AY521" s="182">
        <v>9.625937673060464E-2</v>
      </c>
      <c r="AZ521" s="182">
        <v>7.322333116003811E-2</v>
      </c>
      <c r="BA521" s="182">
        <v>8.4955575521613258E-2</v>
      </c>
      <c r="BB521" s="50">
        <v>0.12154696132596685</v>
      </c>
      <c r="BC521" s="50">
        <v>0.13722303019933271</v>
      </c>
      <c r="BD521" s="50">
        <v>0.15405294403166186</v>
      </c>
      <c r="BE521" s="50">
        <v>0.15507834359261333</v>
      </c>
      <c r="BF521" s="50">
        <v>0.17093388595494352</v>
      </c>
      <c r="BG521" s="50">
        <v>0.19180549302116165</v>
      </c>
      <c r="BH521" s="50">
        <v>0.15347007586400674</v>
      </c>
      <c r="BI521" s="50">
        <v>0.15457574980774161</v>
      </c>
      <c r="BJ521" s="50">
        <v>0.18990355514305315</v>
      </c>
      <c r="BK521" s="50">
        <v>0.17669121658483361</v>
      </c>
      <c r="BL521" s="51">
        <v>0.12050501248845245</v>
      </c>
      <c r="BM521" s="182">
        <v>0.13552455774904787</v>
      </c>
      <c r="BN521" s="182">
        <v>0.13662507722593112</v>
      </c>
      <c r="BO521" s="182">
        <v>0.13400655486302882</v>
      </c>
      <c r="BP521" s="182">
        <v>0.13478546637950745</v>
      </c>
      <c r="BQ521" s="182">
        <v>0.13533313133566294</v>
      </c>
    </row>
    <row r="522" spans="1:98" ht="12" customHeight="1" outlineLevel="1">
      <c r="A522" s="91" t="s">
        <v>501</v>
      </c>
      <c r="B522" s="1" t="s">
        <v>499</v>
      </c>
      <c r="C522" s="19"/>
      <c r="D522" s="50">
        <v>0.14477923328100498</v>
      </c>
      <c r="E522" s="50">
        <v>0.15775459921044899</v>
      </c>
      <c r="F522" s="50">
        <v>9.2018034159794287E-2</v>
      </c>
      <c r="G522" s="50">
        <v>0.12913764934711836</v>
      </c>
      <c r="H522" s="50">
        <v>6.8797364481327755E-2</v>
      </c>
      <c r="I522" s="50">
        <v>9.7153501163779729E-2</v>
      </c>
      <c r="J522" s="50">
        <v>8.3398548448462728E-2</v>
      </c>
      <c r="K522" s="50">
        <v>0.11587672472098641</v>
      </c>
      <c r="L522" s="50">
        <v>0.10820438422236738</v>
      </c>
      <c r="M522" s="50">
        <v>0.15883756436169666</v>
      </c>
      <c r="N522" s="50">
        <v>0.13693799155203012</v>
      </c>
      <c r="O522" s="50">
        <v>0.18339572140863539</v>
      </c>
      <c r="P522" s="50">
        <v>0.18876793828117264</v>
      </c>
      <c r="Q522" s="50">
        <v>0.17833042490935491</v>
      </c>
      <c r="R522" s="50">
        <v>0.18163236410499378</v>
      </c>
      <c r="S522" s="50">
        <v>0.21340556438779695</v>
      </c>
      <c r="T522" s="50">
        <v>0.1926745535355954</v>
      </c>
      <c r="U522" s="50">
        <v>0.19761296370053311</v>
      </c>
      <c r="V522" s="50">
        <v>0.18293039261675698</v>
      </c>
      <c r="W522" s="50">
        <v>0.28631833026006787</v>
      </c>
      <c r="X522" s="50">
        <v>0.23292723708045507</v>
      </c>
      <c r="Y522" s="50">
        <v>0.19906340383832258</v>
      </c>
      <c r="Z522" s="50">
        <v>0.17777513570514727</v>
      </c>
      <c r="AA522" s="50">
        <v>0.32769847214853409</v>
      </c>
      <c r="AB522" s="50">
        <v>0.26819971725679581</v>
      </c>
      <c r="AC522" s="50">
        <v>0.34031910225181167</v>
      </c>
      <c r="AD522" s="50">
        <v>0.25368113638172374</v>
      </c>
      <c r="AE522" s="50">
        <v>0.30550093494725494</v>
      </c>
      <c r="AF522" s="50">
        <v>0.1242544129253407</v>
      </c>
      <c r="AG522" s="51">
        <v>0.19070610035100533</v>
      </c>
      <c r="AH522" s="50">
        <v>0.16388108391715617</v>
      </c>
      <c r="AI522" s="50">
        <v>0.17240931534326148</v>
      </c>
      <c r="AJ522" s="50">
        <v>0.17134216694801258</v>
      </c>
      <c r="AK522" s="50">
        <v>0.17730646800206659</v>
      </c>
      <c r="AL522" s="50">
        <v>0.16254888077423613</v>
      </c>
      <c r="AM522" s="50">
        <v>0.18022136100100136</v>
      </c>
      <c r="AN522" s="50">
        <v>0.16524561303576921</v>
      </c>
      <c r="AO522" s="50">
        <v>0.18078057544070059</v>
      </c>
      <c r="AP522" s="50">
        <v>0.16610353859637428</v>
      </c>
      <c r="AQ522" s="50">
        <v>0.18275036572956382</v>
      </c>
      <c r="AR522" s="50"/>
      <c r="AS522" s="50">
        <v>0.43066420144468881</v>
      </c>
      <c r="AT522" s="50">
        <v>0.32745101088794942</v>
      </c>
      <c r="AU522" s="50">
        <v>0.40369241398542771</v>
      </c>
      <c r="AV522" s="50">
        <v>0.2616079248002332</v>
      </c>
      <c r="AW522" s="50">
        <v>0.1207866531600158</v>
      </c>
      <c r="AX522" s="50">
        <v>0.16135229434362136</v>
      </c>
      <c r="AY522" s="50">
        <v>0.10912644431245662</v>
      </c>
      <c r="AZ522" s="50">
        <v>8.0993022413415411E-2</v>
      </c>
      <c r="BA522" s="50">
        <v>9.8177257692263334E-2</v>
      </c>
      <c r="BB522" s="50">
        <v>0.1361985007204593</v>
      </c>
      <c r="BC522" s="50">
        <v>0.15666210327848587</v>
      </c>
      <c r="BD522" s="50">
        <v>0.19185280998148943</v>
      </c>
      <c r="BE522" s="50">
        <v>0.2007813729816883</v>
      </c>
      <c r="BF522" s="50">
        <v>0.1911172092577616</v>
      </c>
      <c r="BG522" s="50">
        <v>0.24653683706682283</v>
      </c>
      <c r="BH522" s="50">
        <v>0.20599560751665932</v>
      </c>
      <c r="BI522" s="50">
        <v>0.22600705106044486</v>
      </c>
      <c r="BJ522" s="50">
        <v>0.26439180420342195</v>
      </c>
      <c r="BK522" s="50">
        <v>0.26045772540592005</v>
      </c>
      <c r="BL522" s="51">
        <v>0.15490702736216946</v>
      </c>
      <c r="BM522" s="50">
        <v>0.1651523228730328</v>
      </c>
      <c r="BN522" s="50">
        <v>0.16886581823603328</v>
      </c>
      <c r="BO522" s="50">
        <v>0.16603859213541144</v>
      </c>
      <c r="BP522" s="50">
        <v>0.16763102985451964</v>
      </c>
      <c r="BQ522" s="50">
        <v>0.16896072250869093</v>
      </c>
    </row>
    <row r="523" spans="1:98" ht="12" customHeight="1" outlineLevel="1">
      <c r="A523" s="91" t="s">
        <v>333</v>
      </c>
      <c r="B523" s="1" t="s">
        <v>334</v>
      </c>
      <c r="C523" s="19"/>
      <c r="D523" s="37">
        <v>2.2187239053906228E-2</v>
      </c>
      <c r="E523" s="37">
        <v>2.5336859328429471E-2</v>
      </c>
      <c r="F523" s="37">
        <v>1.5912692063580668E-2</v>
      </c>
      <c r="G523" s="37">
        <v>2.0331982098548241E-2</v>
      </c>
      <c r="H523" s="37">
        <v>1.0796364633941293E-2</v>
      </c>
      <c r="I523" s="37">
        <v>1.4951627088830254E-2</v>
      </c>
      <c r="J523" s="37">
        <v>1.2845129693501354E-2</v>
      </c>
      <c r="K523" s="37">
        <v>1.718248879103202E-2</v>
      </c>
      <c r="L523" s="37">
        <v>1.6487164260490975E-2</v>
      </c>
      <c r="M523" s="37">
        <v>2.3839644663966677E-2</v>
      </c>
      <c r="N523" s="37">
        <v>1.9939326338897723E-2</v>
      </c>
      <c r="O523" s="37">
        <v>2.3741551656050321E-2</v>
      </c>
      <c r="P523" s="37">
        <v>2.3989552213708795E-2</v>
      </c>
      <c r="Q523" s="37">
        <v>2.1385191885256494E-2</v>
      </c>
      <c r="R523" s="37">
        <v>2.2348094621570221E-2</v>
      </c>
      <c r="S523" s="37">
        <v>2.5492741162570259E-2</v>
      </c>
      <c r="T523" s="37">
        <v>2.771283090017148E-2</v>
      </c>
      <c r="U523" s="37">
        <v>2.8950867720132424E-2</v>
      </c>
      <c r="V523" s="37">
        <v>2.7836163959459273E-2</v>
      </c>
      <c r="W523" s="37">
        <v>3.8649663297392341E-2</v>
      </c>
      <c r="X523" s="37">
        <v>3.519132414301155E-2</v>
      </c>
      <c r="Y523" s="37">
        <v>2.7739371836045943E-2</v>
      </c>
      <c r="Z523" s="37">
        <v>2.1309949142704641E-2</v>
      </c>
      <c r="AA523" s="37">
        <v>4.4550207052190455E-2</v>
      </c>
      <c r="AB523" s="37">
        <v>3.8829596161421086E-2</v>
      </c>
      <c r="AC523" s="37">
        <v>4.3327655984487193E-2</v>
      </c>
      <c r="AD523" s="37">
        <v>3.4436970019810186E-2</v>
      </c>
      <c r="AE523" s="37">
        <v>4.4155565105285774E-2</v>
      </c>
      <c r="AF523" s="37">
        <v>2.2522522522522521E-2</v>
      </c>
      <c r="AG523" s="38">
        <v>3.2874745969645076E-2</v>
      </c>
      <c r="AH523" s="37">
        <v>2.9087827404516365E-2</v>
      </c>
      <c r="AI523" s="37">
        <v>2.983775403146979E-2</v>
      </c>
      <c r="AJ523" s="37">
        <v>2.9190145657644259E-2</v>
      </c>
      <c r="AK523" s="37">
        <v>3.0030769444527785E-2</v>
      </c>
      <c r="AL523" s="37">
        <v>2.8009939379805636E-2</v>
      </c>
      <c r="AM523" s="37">
        <v>3.0670041839689962E-2</v>
      </c>
      <c r="AN523" s="37">
        <v>2.8651266999430276E-2</v>
      </c>
      <c r="AO523" s="37">
        <v>3.0979592300676258E-2</v>
      </c>
      <c r="AP523" s="37">
        <v>2.8990214907267085E-2</v>
      </c>
      <c r="AQ523" s="37">
        <v>3.1514662825160349E-2</v>
      </c>
      <c r="AR523" s="37"/>
      <c r="AS523" s="37">
        <v>4.1070254413029181E-2</v>
      </c>
      <c r="AT523" s="37">
        <v>3.7756069411813198E-2</v>
      </c>
      <c r="AU523" s="37">
        <v>4.2942894462626766E-2</v>
      </c>
      <c r="AV523" s="37">
        <v>4.6673569764431787E-2</v>
      </c>
      <c r="AW523" s="37">
        <v>2.3339005077774352E-2</v>
      </c>
      <c r="AX523" s="37">
        <v>2.4970867321458298E-2</v>
      </c>
      <c r="AY523" s="37">
        <v>1.8611351756494993E-2</v>
      </c>
      <c r="AZ523" s="37">
        <v>1.3094287841146557E-2</v>
      </c>
      <c r="BA523" s="37">
        <v>1.4868264728492557E-2</v>
      </c>
      <c r="BB523" s="37">
        <v>2.0391549999597004E-2</v>
      </c>
      <c r="BC523" s="37">
        <v>2.1077945031768037E-2</v>
      </c>
      <c r="BD523" s="37">
        <v>2.2881163245953094E-2</v>
      </c>
      <c r="BE523" s="37">
        <v>2.4118798955613578E-2</v>
      </c>
      <c r="BF523" s="37">
        <v>2.813817085382897E-2</v>
      </c>
      <c r="BG523" s="37">
        <v>3.5238438495217052E-2</v>
      </c>
      <c r="BH523" s="37">
        <v>2.8561567905624464E-2</v>
      </c>
      <c r="BI523" s="37">
        <v>3.2074468085106382E-2</v>
      </c>
      <c r="BJ523" s="37">
        <v>3.6022657685241884E-2</v>
      </c>
      <c r="BK523" s="37">
        <v>4.146396108052746E-2</v>
      </c>
      <c r="BL523" s="38">
        <v>2.7084182437576418E-2</v>
      </c>
      <c r="BM523" s="37">
        <v>2.8405700618640041E-2</v>
      </c>
      <c r="BN523" s="37">
        <v>2.8976651447851706E-2</v>
      </c>
      <c r="BO523" s="37">
        <v>2.8717537690602857E-2</v>
      </c>
      <c r="BP523" s="37">
        <v>2.9183629391602409E-2</v>
      </c>
      <c r="BQ523" s="37">
        <v>2.9606225135343174E-2</v>
      </c>
    </row>
    <row r="524" spans="1:98" ht="12" customHeight="1" outlineLevel="1">
      <c r="A524" s="91" t="s">
        <v>335</v>
      </c>
      <c r="B524" s="1" t="s">
        <v>336</v>
      </c>
      <c r="C524" s="19"/>
      <c r="D524" s="48">
        <v>6.5022528510743291E-3</v>
      </c>
      <c r="E524" s="48">
        <v>7.8200802581161171E-3</v>
      </c>
      <c r="F524" s="48">
        <v>5.2881435145240149E-3</v>
      </c>
      <c r="G524" s="48">
        <v>7.0275036532782996E-3</v>
      </c>
      <c r="H524" s="48">
        <v>3.6718674756814024E-3</v>
      </c>
      <c r="I524" s="48">
        <v>5.1779698703070844E-3</v>
      </c>
      <c r="J524" s="48">
        <v>4.709046404611888E-3</v>
      </c>
      <c r="K524" s="37">
        <v>6.6190612383628875E-3</v>
      </c>
      <c r="L524" s="37">
        <v>6.6762583687344978E-3</v>
      </c>
      <c r="M524" s="37">
        <v>9.9330822433278156E-3</v>
      </c>
      <c r="N524" s="37">
        <v>8.5524423656206956E-3</v>
      </c>
      <c r="O524" s="37">
        <v>1.0602600637655503E-2</v>
      </c>
      <c r="P524" s="37">
        <v>1.0779064437650164E-2</v>
      </c>
      <c r="Q524" s="37">
        <v>9.7869876430657018E-3</v>
      </c>
      <c r="R524" s="37">
        <v>1.0743994044252978E-2</v>
      </c>
      <c r="S524" s="37">
        <v>1.244999381818809E-2</v>
      </c>
      <c r="T524" s="37">
        <v>1.3359813050603415E-2</v>
      </c>
      <c r="U524" s="37">
        <v>1.3777463335960784E-2</v>
      </c>
      <c r="V524" s="37">
        <v>1.3165483129244942E-2</v>
      </c>
      <c r="W524" s="37">
        <v>1.66264794693846E-2</v>
      </c>
      <c r="X524" s="37">
        <v>1.3967578345939624E-2</v>
      </c>
      <c r="Y524" s="37">
        <v>1.0721717157903375E-2</v>
      </c>
      <c r="Z524" s="37">
        <v>8.0759222272460181E-3</v>
      </c>
      <c r="AA524" s="37">
        <v>1.7091756493252751E-2</v>
      </c>
      <c r="AB524" s="37">
        <v>1.3714907157530109E-2</v>
      </c>
      <c r="AC524" s="37">
        <v>1.4284672322260102E-2</v>
      </c>
      <c r="AD524" s="37">
        <v>1.0380817096437367E-2</v>
      </c>
      <c r="AE524" s="37">
        <v>1.3196487129697414E-2</v>
      </c>
      <c r="AF524" s="37">
        <v>7.2335411378896975E-3</v>
      </c>
      <c r="AG524" s="38">
        <v>1.0561429978521249E-2</v>
      </c>
      <c r="AH524" s="48">
        <v>9.3869970162210811E-3</v>
      </c>
      <c r="AI524" s="48">
        <v>9.6497642806329803E-3</v>
      </c>
      <c r="AJ524" s="48">
        <v>9.454352653382278E-3</v>
      </c>
      <c r="AK524" s="48">
        <v>9.7350000797657293E-3</v>
      </c>
      <c r="AL524" s="48">
        <v>9.0875348650546368E-3</v>
      </c>
      <c r="AM524" s="48">
        <v>9.958715305476748E-3</v>
      </c>
      <c r="AN524" s="48">
        <v>9.3106191273924169E-3</v>
      </c>
      <c r="AO524" s="48">
        <v>1.007504759875988E-2</v>
      </c>
      <c r="AP524" s="48">
        <v>9.4351881571823459E-3</v>
      </c>
      <c r="AQ524" s="48">
        <v>1.0264332277589812E-2</v>
      </c>
      <c r="AR524" s="48"/>
      <c r="AS524" s="48">
        <v>1.1944689614592528E-2</v>
      </c>
      <c r="AT524" s="48">
        <v>1.0517190899644643E-2</v>
      </c>
      <c r="AU524" s="48">
        <v>1.2061005770816159E-2</v>
      </c>
      <c r="AV524" s="48">
        <v>1.1875944789700927E-2</v>
      </c>
      <c r="AW524" s="48">
        <v>5.5057934094831125E-3</v>
      </c>
      <c r="AX524" s="48">
        <v>7.1166176410784729E-3</v>
      </c>
      <c r="AY524" s="48">
        <v>6.2996692014708018E-3</v>
      </c>
      <c r="AZ524" s="48">
        <v>4.6916071646625574E-3</v>
      </c>
      <c r="BA524" s="48">
        <v>5.7042503703405795E-3</v>
      </c>
      <c r="BB524" s="37">
        <v>8.471398149016247E-3</v>
      </c>
      <c r="BC524" s="37">
        <v>9.3834093834093829E-3</v>
      </c>
      <c r="BD524" s="37">
        <v>1.0724376252498499E-2</v>
      </c>
      <c r="BE524" s="37">
        <v>1.1679731950941965E-2</v>
      </c>
      <c r="BF524" s="37">
        <v>1.3666415465443798E-2</v>
      </c>
      <c r="BG524" s="37">
        <v>1.532838836029423E-2</v>
      </c>
      <c r="BH524" s="37">
        <v>1.0676226143657985E-2</v>
      </c>
      <c r="BI524" s="37">
        <v>1.2273410054019288E-2</v>
      </c>
      <c r="BJ524" s="37">
        <v>1.1789285929013769E-2</v>
      </c>
      <c r="BK524" s="37">
        <v>1.3360077551357149E-2</v>
      </c>
      <c r="BL524" s="38">
        <v>8.7307017282922325E-3</v>
      </c>
      <c r="BM524" s="48">
        <v>9.1962253723637134E-3</v>
      </c>
      <c r="BN524" s="48">
        <v>9.3972400355013461E-3</v>
      </c>
      <c r="BO524" s="48">
        <v>9.3284496329066047E-3</v>
      </c>
      <c r="BP524" s="48">
        <v>9.4945638991843599E-3</v>
      </c>
      <c r="BQ524" s="48">
        <v>9.6462088373901467E-3</v>
      </c>
    </row>
    <row r="525" spans="1:98" ht="12" customHeight="1" outlineLevel="1">
      <c r="A525" s="91" t="s">
        <v>337</v>
      </c>
      <c r="B525" s="1" t="s">
        <v>338</v>
      </c>
      <c r="C525" s="19"/>
      <c r="D525" s="48">
        <v>6.5623691565834539E-3</v>
      </c>
      <c r="E525" s="48">
        <v>7.8956204395324043E-3</v>
      </c>
      <c r="F525" s="48">
        <v>5.3384903959888177E-3</v>
      </c>
      <c r="G525" s="48">
        <v>7.0887725250141356E-3</v>
      </c>
      <c r="H525" s="48">
        <v>3.7020628379649577E-3</v>
      </c>
      <c r="I525" s="48">
        <v>5.221611327825045E-3</v>
      </c>
      <c r="J525" s="48">
        <v>4.7502882880437244E-3</v>
      </c>
      <c r="K525" s="37">
        <v>6.6758308012643056E-3</v>
      </c>
      <c r="L525" s="37">
        <v>6.732416566438834E-3</v>
      </c>
      <c r="M525" s="37">
        <v>9.9998877585573964E-3</v>
      </c>
      <c r="N525" s="37">
        <v>8.6074782280052015E-3</v>
      </c>
      <c r="O525" s="37">
        <v>1.0675772043033984E-2</v>
      </c>
      <c r="P525" s="37">
        <v>1.0843129306850425E-2</v>
      </c>
      <c r="Q525" s="37">
        <v>9.8417929308571919E-3</v>
      </c>
      <c r="R525" s="37">
        <v>1.0801374475958952E-2</v>
      </c>
      <c r="S525" s="37">
        <v>1.2516643605399863E-2</v>
      </c>
      <c r="T525" s="37">
        <v>1.3431904142699473E-2</v>
      </c>
      <c r="U525" s="37">
        <v>1.3849566778733413E-2</v>
      </c>
      <c r="V525" s="37">
        <v>1.3261943223739175E-2</v>
      </c>
      <c r="W525" s="37">
        <v>1.6789859615886703E-2</v>
      </c>
      <c r="X525" s="37">
        <v>1.4126601301644628E-2</v>
      </c>
      <c r="Y525" s="37">
        <v>1.0857268255060582E-2</v>
      </c>
      <c r="Z525" s="37">
        <v>8.1781880281267798E-3</v>
      </c>
      <c r="AA525" s="37">
        <v>1.7286213146765258E-2</v>
      </c>
      <c r="AB525" s="37">
        <v>1.385574506298674E-2</v>
      </c>
      <c r="AC525" s="37">
        <v>1.4425056297336725E-2</v>
      </c>
      <c r="AD525" s="37">
        <v>1.0474833382512415E-2</v>
      </c>
      <c r="AE525" s="37">
        <v>1.3318285767096949E-2</v>
      </c>
      <c r="AF525" s="37">
        <v>7.3089786799932855E-3</v>
      </c>
      <c r="AG525" s="38">
        <v>1.0675178436848872E-2</v>
      </c>
      <c r="AH525" s="48">
        <v>9.4856145375541937E-3</v>
      </c>
      <c r="AI525" s="48">
        <v>9.7482984052632872E-3</v>
      </c>
      <c r="AJ525" s="48">
        <v>9.5488626621312838E-3</v>
      </c>
      <c r="AK525" s="48">
        <v>9.8309499188968027E-3</v>
      </c>
      <c r="AL525" s="48">
        <v>9.1758558032885764E-3</v>
      </c>
      <c r="AM525" s="48">
        <v>1.0054165868329889E-2</v>
      </c>
      <c r="AN525" s="48">
        <v>9.3986349833851384E-3</v>
      </c>
      <c r="AO525" s="48">
        <v>1.0168995591594976E-2</v>
      </c>
      <c r="AP525" s="48">
        <v>9.5219844427474349E-3</v>
      </c>
      <c r="AQ525" s="48">
        <v>1.0357495572692735E-2</v>
      </c>
      <c r="AR525" s="48"/>
      <c r="AS525" s="48">
        <v>1.2010235323699507E-2</v>
      </c>
      <c r="AT525" s="48">
        <v>1.0548741866758795E-2</v>
      </c>
      <c r="AU525" s="48">
        <v>1.2073447493294821E-2</v>
      </c>
      <c r="AV525" s="48">
        <v>1.1899222887689947E-2</v>
      </c>
      <c r="AW525" s="48">
        <v>5.5276844333171501E-3</v>
      </c>
      <c r="AX525" s="48">
        <v>7.1704413918851091E-3</v>
      </c>
      <c r="AY525" s="48">
        <v>6.3577568291020336E-3</v>
      </c>
      <c r="AZ525" s="48">
        <v>4.7321781632666295E-3</v>
      </c>
      <c r="BA525" s="48">
        <v>5.7538488583579557E-3</v>
      </c>
      <c r="BB525" s="37">
        <v>8.5286840206845876E-3</v>
      </c>
      <c r="BC525" s="37">
        <v>9.4372093160082493E-3</v>
      </c>
      <c r="BD525" s="37">
        <v>1.0787238325808062E-2</v>
      </c>
      <c r="BE525" s="37">
        <v>1.1744295382007443E-2</v>
      </c>
      <c r="BF525" s="37">
        <v>1.3739924771628156E-2</v>
      </c>
      <c r="BG525" s="37">
        <v>1.5448455931492159E-2</v>
      </c>
      <c r="BH525" s="37">
        <v>1.0814385389690101E-2</v>
      </c>
      <c r="BI525" s="37">
        <v>1.2401793426843815E-2</v>
      </c>
      <c r="BJ525" s="37">
        <v>1.1901991927080699E-2</v>
      </c>
      <c r="BK525" s="37">
        <v>1.3493210431069276E-2</v>
      </c>
      <c r="BL525" s="38">
        <v>8.8237504697482143E-3</v>
      </c>
      <c r="BM525" s="48">
        <v>9.2888139924456777E-3</v>
      </c>
      <c r="BN525" s="48">
        <v>9.4892156910390234E-3</v>
      </c>
      <c r="BO525" s="48">
        <v>9.4172464092875472E-3</v>
      </c>
      <c r="BP525" s="48">
        <v>9.5825023449968814E-3</v>
      </c>
      <c r="BQ525" s="48">
        <v>9.7331824430632076E-3</v>
      </c>
    </row>
    <row r="526" spans="1:98" ht="12" customHeight="1" outlineLevel="1">
      <c r="A526" s="91" t="s">
        <v>339</v>
      </c>
      <c r="B526" s="1" t="s">
        <v>340</v>
      </c>
      <c r="C526" s="19"/>
      <c r="D526" s="182">
        <v>0.86312399355877611</v>
      </c>
      <c r="E526" s="182">
        <v>0.81460515142938017</v>
      </c>
      <c r="F526" s="182">
        <v>0.83474460529909855</v>
      </c>
      <c r="G526" s="182">
        <v>0.83266733266733262</v>
      </c>
      <c r="H526" s="182">
        <v>0.78476719087264879</v>
      </c>
      <c r="I526" s="182">
        <v>0.82930107526881724</v>
      </c>
      <c r="J526" s="182">
        <v>0.78912901113294043</v>
      </c>
      <c r="K526" s="50">
        <v>0.79933388842631137</v>
      </c>
      <c r="L526" s="50">
        <v>0.7662408263114977</v>
      </c>
      <c r="M526" s="50">
        <v>0.81024028744666521</v>
      </c>
      <c r="N526" s="50">
        <v>0.77684407096171804</v>
      </c>
      <c r="O526" s="50">
        <v>0.7717959019686621</v>
      </c>
      <c r="P526" s="50">
        <v>0.78093268145919514</v>
      </c>
      <c r="Q526" s="50">
        <v>0.76873572763130582</v>
      </c>
      <c r="R526" s="50">
        <v>0.78957454963587581</v>
      </c>
      <c r="S526" s="50">
        <v>0.78876797512631169</v>
      </c>
      <c r="T526" s="50">
        <v>0.81267370761534186</v>
      </c>
      <c r="U526" s="50">
        <v>0.82346550787615425</v>
      </c>
      <c r="V526" s="50">
        <v>0.82881646655231556</v>
      </c>
      <c r="W526" s="50">
        <v>0.88994800693240905</v>
      </c>
      <c r="X526" s="50">
        <v>0.875</v>
      </c>
      <c r="Y526" s="50">
        <v>0.82198168193172361</v>
      </c>
      <c r="Z526" s="50">
        <v>0.81282841094401159</v>
      </c>
      <c r="AA526" s="50">
        <v>0.83983459682977257</v>
      </c>
      <c r="AB526" s="50">
        <v>0.82406458226550483</v>
      </c>
      <c r="AC526" s="50">
        <v>0.84380252100840336</v>
      </c>
      <c r="AD526" s="50">
        <v>0.83406771799628943</v>
      </c>
      <c r="AE526" s="50">
        <v>0.84787578586397405</v>
      </c>
      <c r="AF526" s="50">
        <v>0.79355246523388112</v>
      </c>
      <c r="AG526" s="51">
        <v>0.79659128884928154</v>
      </c>
      <c r="AH526" s="182">
        <v>0.79157020299414316</v>
      </c>
      <c r="AI526" s="182">
        <v>0.79586239331802655</v>
      </c>
      <c r="AJ526" s="182">
        <v>0.79616316058838055</v>
      </c>
      <c r="AK526" s="182">
        <v>0.80127609837645519</v>
      </c>
      <c r="AL526" s="182">
        <v>0.79676239617768441</v>
      </c>
      <c r="AM526" s="182">
        <v>0.80412777031497684</v>
      </c>
      <c r="AN526" s="182">
        <v>0.80107210345837698</v>
      </c>
      <c r="AO526" s="182">
        <v>0.8072758725646979</v>
      </c>
      <c r="AP526" s="182">
        <v>0.80447868142635204</v>
      </c>
      <c r="AQ526" s="182">
        <v>0.81100724896272447</v>
      </c>
      <c r="AR526" s="182"/>
      <c r="AS526" s="182">
        <v>0.8571428571428571</v>
      </c>
      <c r="AT526" s="182">
        <v>0.87748344370860931</v>
      </c>
      <c r="AU526" s="182">
        <v>0.89862136192730813</v>
      </c>
      <c r="AV526" s="182">
        <v>0.9009456838021338</v>
      </c>
      <c r="AW526" s="182">
        <v>0.83025696706478469</v>
      </c>
      <c r="AX526" s="182">
        <v>0.8373003916842422</v>
      </c>
      <c r="AY526" s="182">
        <v>0.83365949119373772</v>
      </c>
      <c r="AZ526" s="182">
        <v>0.80855952893867589</v>
      </c>
      <c r="BA526" s="182">
        <v>0.79465224575634674</v>
      </c>
      <c r="BB526" s="50">
        <v>0.79033448106246929</v>
      </c>
      <c r="BC526" s="50">
        <v>0.77413085726624919</v>
      </c>
      <c r="BD526" s="50">
        <v>0.77513566847557969</v>
      </c>
      <c r="BE526" s="50">
        <v>0.78917406406792745</v>
      </c>
      <c r="BF526" s="50">
        <v>0.81813186813186811</v>
      </c>
      <c r="BG526" s="50">
        <v>0.8620040771522659</v>
      </c>
      <c r="BH526" s="50">
        <v>0.84916835699797155</v>
      </c>
      <c r="BI526" s="50">
        <v>0.82816658838265222</v>
      </c>
      <c r="BJ526" s="50">
        <v>0.83491110598014318</v>
      </c>
      <c r="BK526" s="50">
        <v>0.84164836314193081</v>
      </c>
      <c r="BL526" s="51">
        <v>0.79516788061822707</v>
      </c>
      <c r="BM526" s="182">
        <v>0.79375619341933279</v>
      </c>
      <c r="BN526" s="182">
        <v>0.79876796926465465</v>
      </c>
      <c r="BO526" s="182">
        <v>0.80053738827381427</v>
      </c>
      <c r="BP526" s="182">
        <v>0.80424995970615731</v>
      </c>
      <c r="BQ526" s="182">
        <v>0.80782008566106878</v>
      </c>
    </row>
    <row r="527" spans="1:98" ht="12" customHeight="1" outlineLevel="1">
      <c r="A527" s="91" t="s">
        <v>596</v>
      </c>
      <c r="B527" s="106" t="s">
        <v>595</v>
      </c>
      <c r="C527" s="185" t="s">
        <v>55</v>
      </c>
      <c r="D527" s="185">
        <v>485423.48227663001</v>
      </c>
      <c r="E527" s="185">
        <v>516900.3894154359</v>
      </c>
      <c r="F527" s="185">
        <v>483735.9745292564</v>
      </c>
      <c r="G527" s="185">
        <v>516581.42751455493</v>
      </c>
      <c r="H527" s="185">
        <v>423312.8834355828</v>
      </c>
      <c r="I527" s="185">
        <v>508023.21611471492</v>
      </c>
      <c r="J527" s="185">
        <v>440362.29715596145</v>
      </c>
      <c r="K527" s="322">
        <v>532757.99626164592</v>
      </c>
      <c r="L527" s="322">
        <v>532426.07566850877</v>
      </c>
      <c r="M527" s="322">
        <v>642156.25461760501</v>
      </c>
      <c r="N527" s="322">
        <v>609218.22137780662</v>
      </c>
      <c r="O527" s="322">
        <v>707462.11588786799</v>
      </c>
      <c r="P527" s="322">
        <v>768858.2065276322</v>
      </c>
      <c r="Q527" s="322">
        <v>689275.23789082072</v>
      </c>
      <c r="R527" s="322">
        <v>738433.82565615256</v>
      </c>
      <c r="S527" s="322">
        <v>752947.48661399516</v>
      </c>
      <c r="T527" s="322">
        <v>781083.93111934932</v>
      </c>
      <c r="U527" s="322">
        <v>769832.23198819533</v>
      </c>
      <c r="V527" s="322">
        <v>774409.24887634336</v>
      </c>
      <c r="W527" s="322">
        <v>901018.32761534932</v>
      </c>
      <c r="X527" s="322">
        <v>807512.93681722356</v>
      </c>
      <c r="Y527" s="322">
        <v>761258.83434221789</v>
      </c>
      <c r="Z527" s="322">
        <v>683610.71448872192</v>
      </c>
      <c r="AA527" s="322">
        <v>886781.20599498018</v>
      </c>
      <c r="AB527" s="322">
        <v>924637.94649262389</v>
      </c>
      <c r="AC527" s="322">
        <v>1080431.6502918731</v>
      </c>
      <c r="AD527" s="322">
        <v>919857.4462921411</v>
      </c>
      <c r="AE527" s="322">
        <v>1058638.9098017006</v>
      </c>
      <c r="AF527" s="322">
        <v>757318.26994423033</v>
      </c>
      <c r="AG527" s="186">
        <v>856257.15375810757</v>
      </c>
      <c r="AH527" s="185">
        <v>858093.06610463199</v>
      </c>
      <c r="AI527" s="185">
        <v>895385.80009928276</v>
      </c>
      <c r="AJ527" s="185">
        <v>912500.15345877106</v>
      </c>
      <c r="AK527" s="185">
        <v>952535.09615432436</v>
      </c>
      <c r="AL527" s="185">
        <v>940074.50710606133</v>
      </c>
      <c r="AM527" s="185">
        <v>993481.70282758994</v>
      </c>
      <c r="AN527" s="185">
        <v>988124.23036306235</v>
      </c>
      <c r="AO527" s="185">
        <v>1037365.9907882226</v>
      </c>
      <c r="AP527" s="185">
        <v>1032898.8670890062</v>
      </c>
      <c r="AQ527" s="185">
        <v>1088441.1320913695</v>
      </c>
      <c r="AR527" s="185"/>
      <c r="AS527" s="185">
        <v>266212.5727259827</v>
      </c>
      <c r="AT527" s="185">
        <v>319862.31092576042</v>
      </c>
      <c r="AU527" s="185">
        <v>482626.52059950266</v>
      </c>
      <c r="AV527" s="185">
        <v>591997.1290148932</v>
      </c>
      <c r="AW527" s="185">
        <v>400783.28981723241</v>
      </c>
      <c r="AX527" s="185">
        <v>452889.40438015969</v>
      </c>
      <c r="AY527" s="185">
        <v>507397.47790686128</v>
      </c>
      <c r="AZ527" s="185">
        <v>467974.99831977958</v>
      </c>
      <c r="BA527" s="185">
        <v>477803.69639332499</v>
      </c>
      <c r="BB527" s="322">
        <v>589788.22164200747</v>
      </c>
      <c r="BC527" s="322">
        <v>661618.68704907491</v>
      </c>
      <c r="BD527" s="322">
        <v>712302.77260428015</v>
      </c>
      <c r="BE527" s="322">
        <v>741106.22474882903</v>
      </c>
      <c r="BF527" s="322">
        <v>768824.58548949205</v>
      </c>
      <c r="BG527" s="322">
        <v>838747.8626857819</v>
      </c>
      <c r="BH527" s="322">
        <v>783758.86299322767</v>
      </c>
      <c r="BI527" s="322">
        <v>790763.89748669066</v>
      </c>
      <c r="BJ527" s="322">
        <v>1001618.8714153562</v>
      </c>
      <c r="BK527" s="322">
        <v>989700.32607007923</v>
      </c>
      <c r="BL527" s="186">
        <v>820255.00910746807</v>
      </c>
      <c r="BM527" s="322">
        <v>876212.14238576533</v>
      </c>
      <c r="BN527" s="322">
        <v>931958.6490708791</v>
      </c>
      <c r="BO527" s="322">
        <v>965833.70574700832</v>
      </c>
      <c r="BP527" s="322" t="s">
        <v>55</v>
      </c>
      <c r="BQ527" s="322" t="s">
        <v>55</v>
      </c>
    </row>
    <row r="528" spans="1:98" ht="12" customHeight="1" outlineLevel="1">
      <c r="A528" s="91" t="s">
        <v>1106</v>
      </c>
      <c r="B528" s="106" t="s">
        <v>1828</v>
      </c>
      <c r="C528" s="185"/>
      <c r="D528" s="21">
        <v>-107</v>
      </c>
      <c r="E528" s="21">
        <v>-146</v>
      </c>
      <c r="F528" s="21">
        <v>-142</v>
      </c>
      <c r="G528" s="21">
        <v>-136</v>
      </c>
      <c r="H528" s="21">
        <v>-121</v>
      </c>
      <c r="I528" s="21">
        <v>-104</v>
      </c>
      <c r="J528" s="21">
        <v>-96</v>
      </c>
      <c r="K528" s="21">
        <v>-105</v>
      </c>
      <c r="L528" s="21">
        <v>-108</v>
      </c>
      <c r="M528" s="21">
        <v>-123</v>
      </c>
      <c r="N528" s="62">
        <v>-123</v>
      </c>
      <c r="O528" s="62">
        <v>-129</v>
      </c>
      <c r="P528" s="21">
        <v>-145</v>
      </c>
      <c r="Q528" s="21">
        <v>-142</v>
      </c>
      <c r="R528" s="21">
        <v>-149</v>
      </c>
      <c r="S528" s="21">
        <v>-109</v>
      </c>
      <c r="T528" s="21">
        <v>-131</v>
      </c>
      <c r="U528" s="21">
        <v>-141</v>
      </c>
      <c r="V528" s="21">
        <v>-157</v>
      </c>
      <c r="W528" s="21">
        <v>-169</v>
      </c>
      <c r="X528" s="21">
        <v>-174</v>
      </c>
      <c r="Y528" s="21">
        <v>-148</v>
      </c>
      <c r="Z528" s="21">
        <v>-184</v>
      </c>
      <c r="AA528" s="21">
        <v>-143</v>
      </c>
      <c r="AB528" s="21">
        <v>-163</v>
      </c>
      <c r="AC528" s="21">
        <v>-198</v>
      </c>
      <c r="AD528" s="21">
        <v>-179</v>
      </c>
      <c r="AE528" s="21">
        <v>-246</v>
      </c>
      <c r="AF528" s="21">
        <v>-228</v>
      </c>
      <c r="AG528" s="24">
        <v>-222</v>
      </c>
      <c r="AH528" s="58">
        <v>-226.06833543315838</v>
      </c>
      <c r="AI528" s="58">
        <v>-235.06063455687422</v>
      </c>
      <c r="AJ528" s="58">
        <v>-240.54841472903877</v>
      </c>
      <c r="AK528" s="58">
        <v>-253.54155922800089</v>
      </c>
      <c r="AL528" s="58">
        <v>-252.05861913357165</v>
      </c>
      <c r="AM528" s="58">
        <v>-262.22037565992804</v>
      </c>
      <c r="AN528" s="58">
        <v>-264.33192477675732</v>
      </c>
      <c r="AO528" s="58">
        <v>-274.68486426609468</v>
      </c>
      <c r="AP528" s="58">
        <v>-277.33634219772125</v>
      </c>
      <c r="AQ528" s="58">
        <v>-287.92487924911848</v>
      </c>
      <c r="AR528" s="185"/>
      <c r="AS528" s="21"/>
      <c r="AT528" s="21"/>
      <c r="AU528" s="21">
        <v>-261</v>
      </c>
      <c r="AV528" s="21">
        <v>-299</v>
      </c>
      <c r="AW528" s="21">
        <v>-112</v>
      </c>
      <c r="AX528" s="19">
        <v>-253</v>
      </c>
      <c r="AY528" s="19">
        <v>-278</v>
      </c>
      <c r="AZ528" s="19">
        <v>-225</v>
      </c>
      <c r="BA528" s="19">
        <v>-201</v>
      </c>
      <c r="BB528" s="19">
        <v>-231</v>
      </c>
      <c r="BC528" s="19">
        <v>-252</v>
      </c>
      <c r="BD528" s="19">
        <v>-287</v>
      </c>
      <c r="BE528" s="19">
        <v>-258</v>
      </c>
      <c r="BF528" s="19">
        <v>-272</v>
      </c>
      <c r="BG528" s="19">
        <v>-326</v>
      </c>
      <c r="BH528" s="19">
        <v>-322</v>
      </c>
      <c r="BI528" s="19">
        <v>-327</v>
      </c>
      <c r="BJ528" s="19">
        <v>-361</v>
      </c>
      <c r="BK528" s="19">
        <v>-425</v>
      </c>
      <c r="BL528" s="20">
        <v>-450</v>
      </c>
      <c r="BM528" s="19">
        <v>-461.1289699900326</v>
      </c>
      <c r="BN528" s="19">
        <v>-494.08997395703966</v>
      </c>
      <c r="BO528" s="19">
        <v>-514.27899479349969</v>
      </c>
      <c r="BP528" s="19">
        <v>-539.016789042852</v>
      </c>
      <c r="BQ528" s="19">
        <v>-565.26122144683973</v>
      </c>
    </row>
    <row r="529" spans="1:69" ht="12" customHeight="1" outlineLevel="1">
      <c r="A529" s="91" t="s">
        <v>591</v>
      </c>
      <c r="B529" s="106" t="s">
        <v>1107</v>
      </c>
      <c r="C529" s="182" t="s">
        <v>55</v>
      </c>
      <c r="D529" s="182">
        <v>0.45152979066022542</v>
      </c>
      <c r="E529" s="182">
        <v>0.40928389470704785</v>
      </c>
      <c r="F529" s="182">
        <v>0.47910406992624965</v>
      </c>
      <c r="G529" s="182">
        <v>0.46403596403596403</v>
      </c>
      <c r="H529" s="182">
        <v>0.47209374036386065</v>
      </c>
      <c r="I529" s="182">
        <v>0.48494623655913977</v>
      </c>
      <c r="J529" s="182">
        <v>0.47216764898493779</v>
      </c>
      <c r="K529" s="182">
        <v>0.4524007771301693</v>
      </c>
      <c r="L529" s="50">
        <v>0.44088067409622178</v>
      </c>
      <c r="M529" s="50">
        <v>0.42286099258926568</v>
      </c>
      <c r="N529" s="50">
        <v>0.42507002801120447</v>
      </c>
      <c r="O529" s="50">
        <v>0.41582965046203296</v>
      </c>
      <c r="P529" s="50">
        <v>0.39827002632568637</v>
      </c>
      <c r="Q529" s="50">
        <v>0.38177288768943324</v>
      </c>
      <c r="R529" s="50">
        <v>0.41031046377922575</v>
      </c>
      <c r="S529" s="50">
        <v>0.38476486591527398</v>
      </c>
      <c r="T529" s="50">
        <v>0.39466370205669815</v>
      </c>
      <c r="U529" s="50">
        <v>0.37859858772406302</v>
      </c>
      <c r="V529" s="50">
        <v>0.39399656946826755</v>
      </c>
      <c r="W529" s="50">
        <v>0.37463893703061812</v>
      </c>
      <c r="X529" s="50">
        <v>0.41170886075949364</v>
      </c>
      <c r="Y529" s="50">
        <v>0.39950041631973354</v>
      </c>
      <c r="Z529" s="50">
        <v>0.44047834752672588</v>
      </c>
      <c r="AA529" s="50">
        <v>0.380289455547898</v>
      </c>
      <c r="AB529" s="50">
        <v>0.38454638646847772</v>
      </c>
      <c r="AC529" s="50">
        <v>0.35325630252100843</v>
      </c>
      <c r="AD529" s="50">
        <v>0.39819109461966606</v>
      </c>
      <c r="AE529" s="50">
        <v>0.3661649838064393</v>
      </c>
      <c r="AF529" s="50">
        <v>0.44323640960809102</v>
      </c>
      <c r="AG529" s="51">
        <v>0.41962793806394116</v>
      </c>
      <c r="AH529" s="182">
        <v>0.43166172258150998</v>
      </c>
      <c r="AI529" s="182">
        <v>0.43244914152753139</v>
      </c>
      <c r="AJ529" s="182">
        <v>0.43176763906872179</v>
      </c>
      <c r="AK529" s="182">
        <v>0.43819841852718444</v>
      </c>
      <c r="AL529" s="182">
        <v>0.4388384427797265</v>
      </c>
      <c r="AM529" s="182">
        <v>0.43420434404138869</v>
      </c>
      <c r="AN529" s="182">
        <v>0.43870921764598936</v>
      </c>
      <c r="AO529" s="182">
        <v>0.43409425644301802</v>
      </c>
      <c r="AP529" s="182">
        <v>0.43881833007430693</v>
      </c>
      <c r="AQ529" s="182">
        <v>0.43454270939943562</v>
      </c>
      <c r="AR529" s="19"/>
      <c r="AS529" s="182">
        <v>0.54504264392324098</v>
      </c>
      <c r="AT529" s="182">
        <v>0.49813741721854304</v>
      </c>
      <c r="AU529" s="182">
        <v>0.48349812003899179</v>
      </c>
      <c r="AV529" s="182">
        <v>0.47017458777885546</v>
      </c>
      <c r="AW529" s="182">
        <v>0.40662323561346364</v>
      </c>
      <c r="AX529" s="182">
        <v>0.42904489304007232</v>
      </c>
      <c r="AY529" s="182">
        <v>0.47123287671232877</v>
      </c>
      <c r="AZ529" s="182">
        <v>0.4789602182967112</v>
      </c>
      <c r="BA529" s="182">
        <v>0.46146913023884634</v>
      </c>
      <c r="BB529" s="50">
        <v>0.43101328086571566</v>
      </c>
      <c r="BC529" s="50">
        <v>0.42010364931980132</v>
      </c>
      <c r="BD529" s="50">
        <v>0.39042920572274298</v>
      </c>
      <c r="BE529" s="50">
        <v>0.39762639907371672</v>
      </c>
      <c r="BF529" s="50">
        <v>0.38653846153846155</v>
      </c>
      <c r="BG529" s="50">
        <v>0.3834875333228791</v>
      </c>
      <c r="BH529" s="50">
        <v>0.40576064908722109</v>
      </c>
      <c r="BI529" s="50">
        <v>0.40629403475810238</v>
      </c>
      <c r="BJ529" s="50">
        <v>0.36735165088894017</v>
      </c>
      <c r="BK529" s="50">
        <v>0.38060872293693127</v>
      </c>
      <c r="BL529" s="51">
        <v>0.43068632676022978</v>
      </c>
      <c r="BM529" s="182">
        <v>0.43206275099514718</v>
      </c>
      <c r="BN529" s="182">
        <v>0.43504382798846158</v>
      </c>
      <c r="BO529" s="182">
        <v>0.43646331752691198</v>
      </c>
      <c r="BP529" s="182">
        <v>0.43634522197806819</v>
      </c>
      <c r="BQ529" s="182">
        <v>0.43663001281336683</v>
      </c>
    </row>
    <row r="530" spans="1:69" ht="12" customHeight="1" outlineLevel="1">
      <c r="A530" s="91" t="s">
        <v>1109</v>
      </c>
      <c r="B530" s="106" t="s">
        <v>1108</v>
      </c>
      <c r="C530" s="182"/>
      <c r="D530" s="182">
        <v>0.48599033816425119</v>
      </c>
      <c r="E530" s="182">
        <v>0.45060854797622418</v>
      </c>
      <c r="F530" s="182">
        <v>0.51789128653373395</v>
      </c>
      <c r="G530" s="182">
        <v>0.49800199800199801</v>
      </c>
      <c r="H530" s="182">
        <v>0.50940487203206908</v>
      </c>
      <c r="I530" s="182">
        <v>0.51290322580645165</v>
      </c>
      <c r="J530" s="182">
        <v>0.50360183366077271</v>
      </c>
      <c r="K530" s="182">
        <v>0.48154315847904522</v>
      </c>
      <c r="L530" s="50">
        <v>0.47023647730361512</v>
      </c>
      <c r="M530" s="50">
        <v>0.45048282057040195</v>
      </c>
      <c r="N530" s="50">
        <v>0.45378151260504201</v>
      </c>
      <c r="O530" s="50">
        <v>0.44174367215749299</v>
      </c>
      <c r="P530" s="50">
        <v>0.4255359157578037</v>
      </c>
      <c r="Q530" s="50">
        <v>0.41125181648328835</v>
      </c>
      <c r="R530" s="50">
        <v>0.43886546569566887</v>
      </c>
      <c r="S530" s="50">
        <v>0.40594636610959967</v>
      </c>
      <c r="T530" s="50">
        <v>0.41893644617380027</v>
      </c>
      <c r="U530" s="50">
        <v>0.40412819120043453</v>
      </c>
      <c r="V530" s="50">
        <v>0.42092624356775299</v>
      </c>
      <c r="W530" s="50">
        <v>0.39904679376083191</v>
      </c>
      <c r="X530" s="50">
        <v>0.43924050632911393</v>
      </c>
      <c r="Y530" s="50">
        <v>0.42414654454621148</v>
      </c>
      <c r="Z530" s="50">
        <v>0.47381772060155825</v>
      </c>
      <c r="AA530" s="50">
        <v>0.4</v>
      </c>
      <c r="AB530" s="50">
        <v>0.4054331112250128</v>
      </c>
      <c r="AC530" s="50">
        <v>0.3740546218487395</v>
      </c>
      <c r="AD530" s="50">
        <v>0.41894712430426717</v>
      </c>
      <c r="AE530" s="50">
        <v>0.38959801867022292</v>
      </c>
      <c r="AF530" s="50">
        <v>0.47206068268015172</v>
      </c>
      <c r="AG530" s="51">
        <v>0.44435780327503621</v>
      </c>
      <c r="AH530" s="182">
        <v>0.45710077286372269</v>
      </c>
      <c r="AI530" s="182">
        <v>0.45793459664277214</v>
      </c>
      <c r="AJ530" s="182">
        <v>0.45721293131009594</v>
      </c>
      <c r="AK530" s="182">
        <v>0.4640226948513243</v>
      </c>
      <c r="AL530" s="182">
        <v>0.46470043754933077</v>
      </c>
      <c r="AM530" s="182">
        <v>0.45979323822168827</v>
      </c>
      <c r="AN530" s="182">
        <v>0.46456359681174719</v>
      </c>
      <c r="AO530" s="182">
        <v>0.45967666284873876</v>
      </c>
      <c r="AP530" s="182">
        <v>0.46467913954510492</v>
      </c>
      <c r="AQ530" s="182">
        <v>0.46015154441049877</v>
      </c>
      <c r="AR530" s="182"/>
      <c r="AS530" s="182">
        <v>0.54504264392324098</v>
      </c>
      <c r="AT530" s="182">
        <v>0.49813741721854304</v>
      </c>
      <c r="AU530" s="182">
        <v>0.51984403286450354</v>
      </c>
      <c r="AV530" s="182">
        <v>0.50642580019398642</v>
      </c>
      <c r="AW530" s="182">
        <v>0.42689106044154906</v>
      </c>
      <c r="AX530" s="182">
        <v>0.46715878276589334</v>
      </c>
      <c r="AY530" s="182">
        <v>0.50750163078930199</v>
      </c>
      <c r="AZ530" s="182">
        <v>0.51127387620278619</v>
      </c>
      <c r="BA530" s="182">
        <v>0.49166291122127082</v>
      </c>
      <c r="BB530" s="50">
        <v>0.45941957697983277</v>
      </c>
      <c r="BC530" s="50">
        <v>0.44731159576765278</v>
      </c>
      <c r="BD530" s="50">
        <v>0.41874691662555502</v>
      </c>
      <c r="BE530" s="50">
        <v>0.42252026244693169</v>
      </c>
      <c r="BF530" s="50">
        <v>0.41144688644688643</v>
      </c>
      <c r="BG530" s="50">
        <v>0.40904814175944804</v>
      </c>
      <c r="BH530" s="50">
        <v>0.43188640973630832</v>
      </c>
      <c r="BI530" s="50">
        <v>0.43189290746829495</v>
      </c>
      <c r="BJ530" s="50">
        <v>0.38818979450473334</v>
      </c>
      <c r="BK530" s="50">
        <v>0.40283443154481746</v>
      </c>
      <c r="BL530" s="51">
        <v>0.45733404393912475</v>
      </c>
      <c r="BM530" s="182">
        <v>0.45752543501981474</v>
      </c>
      <c r="BN530" s="182">
        <v>0.46068219534005128</v>
      </c>
      <c r="BO530" s="182">
        <v>0.46218533942523277</v>
      </c>
      <c r="BP530" s="182">
        <v>0.46206028417056388</v>
      </c>
      <c r="BQ530" s="182">
        <v>0.46236185853796657</v>
      </c>
    </row>
    <row r="531" spans="1:69" ht="12" customHeight="1" outlineLevel="1">
      <c r="A531" s="91" t="s">
        <v>598</v>
      </c>
      <c r="B531" s="106" t="s">
        <v>597</v>
      </c>
      <c r="C531" s="185" t="s">
        <v>55</v>
      </c>
      <c r="D531" s="185">
        <v>235911.12230448786</v>
      </c>
      <c r="E531" s="185">
        <v>232919.73392283442</v>
      </c>
      <c r="F531" s="185">
        <v>250522.64619160618</v>
      </c>
      <c r="G531" s="185">
        <v>257258.58303297273</v>
      </c>
      <c r="H531" s="185">
        <v>215637.64521602922</v>
      </c>
      <c r="I531" s="185">
        <v>260566.74632980544</v>
      </c>
      <c r="J531" s="185">
        <v>221767.26032281225</v>
      </c>
      <c r="K531" s="322">
        <v>256545.96822480037</v>
      </c>
      <c r="L531" s="322">
        <v>250366.16224694758</v>
      </c>
      <c r="M531" s="322">
        <v>289280.36082706391</v>
      </c>
      <c r="N531" s="322">
        <v>276451.96600337443</v>
      </c>
      <c r="O531" s="322">
        <v>312516.91298461659</v>
      </c>
      <c r="P531" s="322">
        <v>327176.78100263851</v>
      </c>
      <c r="Q531" s="322">
        <v>283465.69363955071</v>
      </c>
      <c r="R531" s="322">
        <v>324073.10478202172</v>
      </c>
      <c r="S531" s="322">
        <v>305656.29606230784</v>
      </c>
      <c r="T531" s="322">
        <v>327224.52626660152</v>
      </c>
      <c r="U531" s="322">
        <v>311110.90744118264</v>
      </c>
      <c r="V531" s="322">
        <v>325969.17611364432</v>
      </c>
      <c r="W531" s="322">
        <v>359548.47475465195</v>
      </c>
      <c r="X531" s="322">
        <v>354692.39123490703</v>
      </c>
      <c r="Y531" s="322">
        <v>322885.30409152852</v>
      </c>
      <c r="Z531" s="322">
        <v>323906.87051784882</v>
      </c>
      <c r="AA531" s="322">
        <v>354712.48239799211</v>
      </c>
      <c r="AB531" s="322">
        <v>374878.83940321143</v>
      </c>
      <c r="AC531" s="322">
        <v>404140.4523833362</v>
      </c>
      <c r="AD531" s="322">
        <v>385371.63189395936</v>
      </c>
      <c r="AE531" s="322">
        <v>412443.62174594734</v>
      </c>
      <c r="AF531" s="322">
        <v>357500.17951602483</v>
      </c>
      <c r="AG531" s="186">
        <v>380484.54788248759</v>
      </c>
      <c r="AH531" s="185">
        <v>392235.00370542874</v>
      </c>
      <c r="AI531" s="185">
        <v>410028.13520813081</v>
      </c>
      <c r="AJ531" s="185">
        <v>417206.86998379708</v>
      </c>
      <c r="AK531" s="185">
        <v>441997.90225799492</v>
      </c>
      <c r="AL531" s="185">
        <v>436853.03478115815</v>
      </c>
      <c r="AM531" s="185">
        <v>456796.1692570945</v>
      </c>
      <c r="AN531" s="185">
        <v>459046.54655430373</v>
      </c>
      <c r="AO531" s="185">
        <v>476852.93679830566</v>
      </c>
      <c r="AP531" s="185">
        <v>479966.55679603305</v>
      </c>
      <c r="AQ531" s="185">
        <v>500847.86793175526</v>
      </c>
      <c r="AR531" s="41"/>
      <c r="AS531" s="185">
        <v>145097.20448417767</v>
      </c>
      <c r="AT531" s="185">
        <v>159335.38543011286</v>
      </c>
      <c r="AU531" s="185">
        <v>250890.51683580887</v>
      </c>
      <c r="AV531" s="185">
        <v>299802.61977390992</v>
      </c>
      <c r="AW531" s="185">
        <v>171090.80359733102</v>
      </c>
      <c r="AX531" s="41">
        <v>211571.26287780583</v>
      </c>
      <c r="AY531" s="41">
        <v>257505.04749611099</v>
      </c>
      <c r="AZ531" s="41">
        <v>239263.39135694603</v>
      </c>
      <c r="BA531" s="41">
        <v>234918.35636102638</v>
      </c>
      <c r="BB531" s="41">
        <v>270960.25529445894</v>
      </c>
      <c r="BC531" s="41">
        <v>295949.71069362096</v>
      </c>
      <c r="BD531" s="41">
        <v>298274.58973187616</v>
      </c>
      <c r="BE531" s="41">
        <v>313132.39658192999</v>
      </c>
      <c r="BF531" s="41">
        <v>316330.48192346958</v>
      </c>
      <c r="BG531" s="41">
        <v>343088.25463632774</v>
      </c>
      <c r="BH531" s="41">
        <v>338494.80143715622</v>
      </c>
      <c r="BI531" s="41">
        <v>341525.31880648754</v>
      </c>
      <c r="BJ531" s="41">
        <v>388818.22386679001</v>
      </c>
      <c r="BK531" s="41">
        <v>398685.3682521609</v>
      </c>
      <c r="BL531" s="42">
        <v>375130.54037644202</v>
      </c>
      <c r="BM531" s="41">
        <v>400840.8571023774</v>
      </c>
      <c r="BN531" s="41">
        <v>429181.09434561891</v>
      </c>
      <c r="BO531" s="41" t="s">
        <v>55</v>
      </c>
      <c r="BP531" s="41" t="s">
        <v>55</v>
      </c>
      <c r="BQ531" s="41" t="s">
        <v>55</v>
      </c>
    </row>
    <row r="532" spans="1:69" ht="12" customHeight="1" outlineLevel="1">
      <c r="A532" s="91" t="s">
        <v>592</v>
      </c>
      <c r="B532" s="106" t="s">
        <v>590</v>
      </c>
      <c r="C532" s="48" t="s">
        <v>55</v>
      </c>
      <c r="D532" s="48">
        <v>1.4443417606561766E-2</v>
      </c>
      <c r="E532" s="48">
        <v>1.614689076062855E-2</v>
      </c>
      <c r="F532" s="48">
        <v>1.6651747195858501E-2</v>
      </c>
      <c r="G532" s="48">
        <v>1.5694334560214646E-2</v>
      </c>
      <c r="H532" s="48">
        <v>1.4157757873446981E-2</v>
      </c>
      <c r="I532" s="48">
        <v>1.4352114134639399E-2</v>
      </c>
      <c r="J532" s="48">
        <v>1.3031405424396889E-2</v>
      </c>
      <c r="K532" s="37">
        <v>1.3238122476725775E-2</v>
      </c>
      <c r="L532" s="37">
        <v>1.5178160243490205E-2</v>
      </c>
      <c r="M532" s="37">
        <v>1.4964630447736015E-2</v>
      </c>
      <c r="N532" s="37">
        <v>1.5376736347627771E-2</v>
      </c>
      <c r="O532" s="37">
        <v>1.5777952136813482E-2</v>
      </c>
      <c r="P532" s="37">
        <v>1.4466108908846389E-2</v>
      </c>
      <c r="Q532" s="37">
        <v>1.4192610479370203E-2</v>
      </c>
      <c r="R532" s="37">
        <v>1.4765317529387662E-2</v>
      </c>
      <c r="S532" s="37">
        <v>1.5341123488050105E-2</v>
      </c>
      <c r="T532" s="37">
        <v>1.5329529077294946E-2</v>
      </c>
      <c r="U532" s="37">
        <v>1.6114053756574452E-2</v>
      </c>
      <c r="V532" s="37">
        <v>1.679352848012847E-2</v>
      </c>
      <c r="W532" s="37">
        <v>1.987818926991616E-2</v>
      </c>
      <c r="X532" s="37">
        <v>1.6335451957090678E-2</v>
      </c>
      <c r="Y532" s="37">
        <v>1.5518717770152136E-2</v>
      </c>
      <c r="Z532" s="37">
        <v>1.353639349967835E-2</v>
      </c>
      <c r="AA532" s="37">
        <v>1.4304874030559817E-2</v>
      </c>
      <c r="AB532" s="37">
        <v>1.2788496395053771E-2</v>
      </c>
      <c r="AC532" s="37">
        <v>1.155969540160365E-2</v>
      </c>
      <c r="AD532" s="37">
        <v>8.930655228735488E-3</v>
      </c>
      <c r="AE532" s="37">
        <v>1.1210363067424567E-2</v>
      </c>
      <c r="AF532" s="37">
        <v>1.116981440727137E-2</v>
      </c>
      <c r="AG532" s="38">
        <v>1.0792006997511271E-2</v>
      </c>
      <c r="AH532" s="48">
        <v>1.0799938405231786E-2</v>
      </c>
      <c r="AI532" s="48">
        <v>1.0600742851177044E-2</v>
      </c>
      <c r="AJ532" s="48">
        <v>1.0692559366295479E-2</v>
      </c>
      <c r="AK532" s="48">
        <v>1.0548119911697221E-2</v>
      </c>
      <c r="AL532" s="48">
        <v>1.0599297144103842E-2</v>
      </c>
      <c r="AM532" s="48">
        <v>1.0457519896552902E-2</v>
      </c>
      <c r="AN532" s="48">
        <v>1.0503302265090077E-2</v>
      </c>
      <c r="AO532" s="48">
        <v>1.0350980484992568E-2</v>
      </c>
      <c r="AP532" s="48">
        <v>1.0397003127410469E-2</v>
      </c>
      <c r="AQ532" s="48">
        <v>1.0231293996344402E-2</v>
      </c>
      <c r="AR532" s="19"/>
      <c r="AS532" s="48">
        <v>8.0759046778464249E-3</v>
      </c>
      <c r="AT532" s="48">
        <v>1.306611707837948E-2</v>
      </c>
      <c r="AU532" s="48">
        <v>1.2530915086562242E-2</v>
      </c>
      <c r="AV532" s="48">
        <v>1.2290911246578997E-2</v>
      </c>
      <c r="AW532" s="48">
        <v>1.3767644139901515E-2</v>
      </c>
      <c r="AX532" s="48">
        <v>1.5202450827560965E-2</v>
      </c>
      <c r="AY532" s="48">
        <v>1.6500388787115992E-2</v>
      </c>
      <c r="AZ532" s="48">
        <v>1.5128826391254331E-2</v>
      </c>
      <c r="BA532" s="48">
        <v>1.3265230884728562E-2</v>
      </c>
      <c r="BB532" s="37">
        <v>1.5335574514819924E-2</v>
      </c>
      <c r="BC532" s="37">
        <v>1.5192465192465192E-2</v>
      </c>
      <c r="BD532" s="37">
        <v>1.495070581783116E-2</v>
      </c>
      <c r="BE532" s="37">
        <v>1.5177856450457284E-2</v>
      </c>
      <c r="BF532" s="37">
        <v>1.5836366454481804E-2</v>
      </c>
      <c r="BG532" s="37">
        <v>1.8864917935036831E-2</v>
      </c>
      <c r="BH532" s="37">
        <v>1.5645153111282104E-2</v>
      </c>
      <c r="BI532" s="37">
        <v>1.3361119143293018E-2</v>
      </c>
      <c r="BJ532" s="37">
        <v>1.259248575979058E-2</v>
      </c>
      <c r="BK532" s="37">
        <v>1.1249631534544271E-2</v>
      </c>
      <c r="BL532" s="38">
        <v>1.0753487818663176E-2</v>
      </c>
      <c r="BM532" s="48">
        <v>1.0334675612333402E-2</v>
      </c>
      <c r="BN532" s="48">
        <v>1.0400071214042747E-2</v>
      </c>
      <c r="BO532" s="48">
        <v>1.0308962940685781E-2</v>
      </c>
      <c r="BP532" s="48">
        <v>1.0208797399799551E-2</v>
      </c>
      <c r="BQ532" s="48">
        <v>1.0097000257620302E-2</v>
      </c>
    </row>
    <row r="533" spans="1:69" ht="12" customHeight="1" outlineLevel="1">
      <c r="A533" s="91" t="s">
        <v>341</v>
      </c>
      <c r="B533" s="1" t="s">
        <v>342</v>
      </c>
      <c r="C533" s="182" t="s">
        <v>55</v>
      </c>
      <c r="D533" s="182">
        <v>0.8286634460547504</v>
      </c>
      <c r="E533" s="182">
        <v>0.7843192754033399</v>
      </c>
      <c r="F533" s="182">
        <v>0.86451789128653378</v>
      </c>
      <c r="G533" s="182">
        <v>0.80644355644355648</v>
      </c>
      <c r="H533" s="182">
        <v>0.87203206907184705</v>
      </c>
      <c r="I533" s="182">
        <v>0.8295698924731183</v>
      </c>
      <c r="J533" s="182">
        <v>0.83071381794368038</v>
      </c>
      <c r="K533" s="50">
        <v>0.75353871773522063</v>
      </c>
      <c r="L533" s="50">
        <v>0.77983147594455016</v>
      </c>
      <c r="M533" s="50">
        <v>0.70896025151583197</v>
      </c>
      <c r="N533" s="50">
        <v>0.73832866479925308</v>
      </c>
      <c r="O533" s="50">
        <v>0.71856167135395743</v>
      </c>
      <c r="P533" s="50">
        <v>0.69556224144415191</v>
      </c>
      <c r="Q533" s="50">
        <v>0.71019306622379075</v>
      </c>
      <c r="R533" s="50">
        <v>0.71540820237638947</v>
      </c>
      <c r="S533" s="50">
        <v>0.68538670812281388</v>
      </c>
      <c r="T533" s="50">
        <v>0.68426903835464148</v>
      </c>
      <c r="U533" s="50">
        <v>0.68133260908926307</v>
      </c>
      <c r="V533" s="50">
        <v>0.70754716981132071</v>
      </c>
      <c r="W533" s="50">
        <v>0.68775274407856735</v>
      </c>
      <c r="X533" s="50">
        <v>0.70886075949367089</v>
      </c>
      <c r="Y533" s="50">
        <v>0.73122398001665279</v>
      </c>
      <c r="Z533" s="50">
        <v>0.77296611705019025</v>
      </c>
      <c r="AA533" s="50">
        <v>0.6341833218470021</v>
      </c>
      <c r="AB533" s="50">
        <v>0.64953869810353659</v>
      </c>
      <c r="AC533" s="50">
        <v>0.60042016806722687</v>
      </c>
      <c r="AD533" s="50">
        <v>0.64888682745825599</v>
      </c>
      <c r="AE533" s="50">
        <v>0.62240426747951993</v>
      </c>
      <c r="AF533" s="50">
        <v>0.74829329962073321</v>
      </c>
      <c r="AG533" s="51">
        <v>0.6841929375069622</v>
      </c>
      <c r="AH533" s="182">
        <v>0.70724102565236946</v>
      </c>
      <c r="AI533" s="182">
        <v>0.70154601115638393</v>
      </c>
      <c r="AJ533" s="182">
        <v>0.70507514524776449</v>
      </c>
      <c r="AK533" s="182">
        <v>0.70313770611038284</v>
      </c>
      <c r="AL533" s="182">
        <v>0.71324373067101632</v>
      </c>
      <c r="AM533" s="182">
        <v>0.69668700787608295</v>
      </c>
      <c r="AN533" s="182">
        <v>0.70880512173585308</v>
      </c>
      <c r="AO533" s="182">
        <v>0.69377461777887484</v>
      </c>
      <c r="AP533" s="182">
        <v>0.70581610032630693</v>
      </c>
      <c r="AQ533" s="182">
        <v>0.69009782133074082</v>
      </c>
      <c r="AR533" s="19"/>
      <c r="AS533" s="182">
        <v>0.69136460554371004</v>
      </c>
      <c r="AT533" s="182">
        <v>0.73365066225165565</v>
      </c>
      <c r="AU533" s="182">
        <v>0.7315137167525414</v>
      </c>
      <c r="AV533" s="182">
        <v>0.73266246362754606</v>
      </c>
      <c r="AW533" s="182">
        <v>0.82102786825913865</v>
      </c>
      <c r="AX533" s="182">
        <v>0.80506176559204579</v>
      </c>
      <c r="AY533" s="182">
        <v>0.83418134377038489</v>
      </c>
      <c r="AZ533" s="182">
        <v>0.8493465460290105</v>
      </c>
      <c r="BA533" s="182">
        <v>0.7889439687546943</v>
      </c>
      <c r="BB533" s="50">
        <v>0.74102311854402358</v>
      </c>
      <c r="BC533" s="50">
        <v>0.72770459943856614</v>
      </c>
      <c r="BD533" s="50">
        <v>0.702516033547114</v>
      </c>
      <c r="BE533" s="50">
        <v>0.70050173678116556</v>
      </c>
      <c r="BF533" s="50">
        <v>0.6827838827838828</v>
      </c>
      <c r="BG533" s="50">
        <v>0.6968010036067116</v>
      </c>
      <c r="BH533" s="50">
        <v>0.71975659229208921</v>
      </c>
      <c r="BI533" s="50">
        <v>0.6941443557225615</v>
      </c>
      <c r="BJ533" s="50">
        <v>0.62254675594550912</v>
      </c>
      <c r="BK533" s="50">
        <v>0.63434787156155215</v>
      </c>
      <c r="BL533" s="51">
        <v>0.71421803754367263</v>
      </c>
      <c r="BM533" s="182">
        <v>0.70434058410152134</v>
      </c>
      <c r="BN533" s="182">
        <v>0.70408810834569702</v>
      </c>
      <c r="BO533" s="182">
        <v>0.70475787557069935</v>
      </c>
      <c r="BP533" s="182">
        <v>0.70110580538665135</v>
      </c>
      <c r="BQ533" s="182">
        <v>0.6977712844144498</v>
      </c>
    </row>
    <row r="534" spans="1:69" ht="12" customHeight="1" outlineLevel="1">
      <c r="A534" s="91" t="s">
        <v>343</v>
      </c>
      <c r="B534" s="1" t="s">
        <v>344</v>
      </c>
      <c r="C534" s="50" t="s">
        <v>55</v>
      </c>
      <c r="D534" s="50" t="s">
        <v>55</v>
      </c>
      <c r="E534" s="50">
        <v>6.0889216833048376E-2</v>
      </c>
      <c r="F534" s="50">
        <v>-0.10595710312102957</v>
      </c>
      <c r="G534" s="50">
        <v>7.3469079529630665E-2</v>
      </c>
      <c r="H534" s="50">
        <v>-6.5872885244207646E-2</v>
      </c>
      <c r="I534" s="50">
        <v>5.5855479825767773E-2</v>
      </c>
      <c r="J534" s="50">
        <v>-1.1320636380741655E-3</v>
      </c>
      <c r="K534" s="50">
        <v>0.10960263541627135</v>
      </c>
      <c r="L534" s="50">
        <v>-3.5628382118645829E-2</v>
      </c>
      <c r="M534" s="50">
        <v>0.10999984746639324</v>
      </c>
      <c r="N534" s="50">
        <v>-3.9852480996571238E-2</v>
      </c>
      <c r="O534" s="50">
        <v>3.1109735494998958E-2</v>
      </c>
      <c r="P534" s="50">
        <v>3.4193728895819175E-2</v>
      </c>
      <c r="Q534" s="50">
        <v>-1.9052901585163595E-2</v>
      </c>
      <c r="R534" s="50">
        <v>-7.95456896938318E-3</v>
      </c>
      <c r="S534" s="50">
        <v>4.1385108338842791E-2</v>
      </c>
      <c r="T534" s="50">
        <v>1.7102533991568691E-3</v>
      </c>
      <c r="U534" s="50">
        <v>4.3915241897332091E-3</v>
      </c>
      <c r="V534" s="50">
        <v>-4.0614108160934359E-2</v>
      </c>
      <c r="W534" s="50">
        <v>3.3225843339050876E-2</v>
      </c>
      <c r="X534" s="50">
        <v>-2.8013997778969957E-2</v>
      </c>
      <c r="Y534" s="50">
        <v>-2.9975700723327336E-2</v>
      </c>
      <c r="Z534" s="50">
        <v>-5.2465236685969696E-2</v>
      </c>
      <c r="AA534" s="50">
        <v>0.23602184228765344</v>
      </c>
      <c r="AB534" s="50">
        <v>-2.6045067660507737E-2</v>
      </c>
      <c r="AC534" s="50">
        <v>9.2248649821595752E-2</v>
      </c>
      <c r="AD534" s="50">
        <v>-7.3123945169390359E-2</v>
      </c>
      <c r="AE534" s="50">
        <v>4.9680828208858552E-2</v>
      </c>
      <c r="AF534" s="50">
        <v>-0.1524000985976427</v>
      </c>
      <c r="AG534" s="51">
        <v>9.7217258100240178E-2</v>
      </c>
      <c r="AH534" s="50">
        <v>-3.3347550347792576E-2</v>
      </c>
      <c r="AI534" s="50">
        <v>8.3574936712587089E-3</v>
      </c>
      <c r="AJ534" s="50">
        <v>-5.1560787950026832E-3</v>
      </c>
      <c r="AK534" s="50">
        <v>2.853767604957369E-3</v>
      </c>
      <c r="AL534" s="50">
        <v>-1.4267848787733572E-2</v>
      </c>
      <c r="AM534" s="50">
        <v>2.4406853724808775E-2</v>
      </c>
      <c r="AN534" s="50">
        <v>-1.7353932539285966E-2</v>
      </c>
      <c r="AO534" s="50">
        <v>2.22702209631922E-2</v>
      </c>
      <c r="AP534" s="50">
        <v>-1.7335360871090999E-2</v>
      </c>
      <c r="AQ534" s="50">
        <v>2.3347379084389663E-2</v>
      </c>
      <c r="AR534" s="19"/>
      <c r="AS534" s="50" t="s">
        <v>55</v>
      </c>
      <c r="AT534" s="50">
        <v>-7.8768784122125401E-2</v>
      </c>
      <c r="AU534" s="50">
        <v>4.3287462987697811E-3</v>
      </c>
      <c r="AV534" s="50">
        <v>-1.80370535409069E-3</v>
      </c>
      <c r="AW534" s="50">
        <v>-8.0805432069200767E-2</v>
      </c>
      <c r="AX534" s="50">
        <v>2.3359706745462283E-2</v>
      </c>
      <c r="AY534" s="50">
        <v>-4.1766760242696099E-2</v>
      </c>
      <c r="AZ534" s="50">
        <v>-1.6514748721740746E-2</v>
      </c>
      <c r="BA534" s="50">
        <v>6.7991200019466125E-2</v>
      </c>
      <c r="BB534" s="50">
        <v>7.4198848802965456E-2</v>
      </c>
      <c r="BC534" s="50">
        <v>2.0470647851766666E-2</v>
      </c>
      <c r="BD534" s="50">
        <v>3.7876278235885463E-2</v>
      </c>
      <c r="BE534" s="50">
        <v>2.9320465845912302E-3</v>
      </c>
      <c r="BF534" s="50">
        <v>2.6649995268640092E-2</v>
      </c>
      <c r="BG534" s="50">
        <v>-2.3977247716518102E-2</v>
      </c>
      <c r="BH534" s="50">
        <v>-3.1836123612836609E-2</v>
      </c>
      <c r="BI534" s="50">
        <v>3.6880927735221225E-2</v>
      </c>
      <c r="BJ534" s="50">
        <v>0.13988460793251978</v>
      </c>
      <c r="BK534" s="50">
        <v>-2.0923591359292892E-2</v>
      </c>
      <c r="BL534" s="51">
        <v>-0.11119270345754895</v>
      </c>
      <c r="BM534" s="50">
        <v>1.4831323242711747E-2</v>
      </c>
      <c r="BN534" s="50">
        <v>3.8144718723920334E-4</v>
      </c>
      <c r="BO534" s="50" t="s">
        <v>55</v>
      </c>
      <c r="BP534" s="50" t="s">
        <v>55</v>
      </c>
      <c r="BQ534" s="50" t="s">
        <v>55</v>
      </c>
    </row>
    <row r="535" spans="1:69" ht="12" customHeight="1" outlineLevel="1">
      <c r="A535" s="91" t="s">
        <v>600</v>
      </c>
      <c r="B535" s="106" t="s">
        <v>599</v>
      </c>
      <c r="C535" s="185" t="s">
        <v>55</v>
      </c>
      <c r="D535" s="185">
        <v>74884.975204671762</v>
      </c>
      <c r="E535" s="185">
        <v>83540.93471729802</v>
      </c>
      <c r="F535" s="185">
        <v>53249.275535452151</v>
      </c>
      <c r="G535" s="185">
        <v>71346.036317569655</v>
      </c>
      <c r="H535" s="185">
        <v>39812.034982378282</v>
      </c>
      <c r="I535" s="185">
        <v>58040.286787299417</v>
      </c>
      <c r="J535" s="185">
        <v>52053.303625835651</v>
      </c>
      <c r="K535" s="322">
        <v>72453.904570692888</v>
      </c>
      <c r="L535" s="322">
        <v>72504.882824116037</v>
      </c>
      <c r="M535" s="322">
        <v>110174.57411359763</v>
      </c>
      <c r="N535" s="322">
        <v>96416.889377720086</v>
      </c>
      <c r="O535" s="322">
        <v>131601.02838733743</v>
      </c>
      <c r="P535" s="322">
        <v>154696.93136227273</v>
      </c>
      <c r="Q535" s="322">
        <v>142090.57737711957</v>
      </c>
      <c r="R535" s="322">
        <v>148592.47162494448</v>
      </c>
      <c r="S535" s="322">
        <v>170751.98540196897</v>
      </c>
      <c r="T535" s="322">
        <v>180617.51825772613</v>
      </c>
      <c r="U535" s="322">
        <v>182457.06892495882</v>
      </c>
      <c r="V535" s="322">
        <v>174009.62539073921</v>
      </c>
      <c r="W535" s="322">
        <v>217576.92717690123</v>
      </c>
      <c r="X535" s="322">
        <v>186162.39698460361</v>
      </c>
      <c r="Y535" s="322">
        <v>161506.03746078027</v>
      </c>
      <c r="Z535" s="322">
        <v>122006.98564439049</v>
      </c>
      <c r="AA535" s="322">
        <v>248127.61518536316</v>
      </c>
      <c r="AB535" s="322">
        <v>242059.88271199778</v>
      </c>
      <c r="AC535" s="322">
        <v>302225.78621084645</v>
      </c>
      <c r="AD535" s="322">
        <v>245857.07487284148</v>
      </c>
      <c r="AE535" s="322">
        <v>290122.32268046221</v>
      </c>
      <c r="AF535" s="322">
        <v>135474.76004691352</v>
      </c>
      <c r="AG535" s="186">
        <v>200972.91110263258</v>
      </c>
      <c r="AH535" s="185">
        <v>186562.08135351367</v>
      </c>
      <c r="AI535" s="185">
        <v>198558.3893036246</v>
      </c>
      <c r="AJ535" s="185">
        <v>199983.14698308476</v>
      </c>
      <c r="AK535" s="185">
        <v>210207.75242239199</v>
      </c>
      <c r="AL535" s="185">
        <v>200324.16749087087</v>
      </c>
      <c r="AM535" s="185">
        <v>224123.8785522907</v>
      </c>
      <c r="AN535" s="185">
        <v>213935.93976230567</v>
      </c>
      <c r="AO535" s="185">
        <v>236371.57142052366</v>
      </c>
      <c r="AP535" s="185">
        <v>226028.90166369104</v>
      </c>
      <c r="AQ535" s="185">
        <v>251091.18478603871</v>
      </c>
      <c r="AR535" s="41"/>
      <c r="AS535" s="185">
        <v>57613.168724279836</v>
      </c>
      <c r="AT535" s="185">
        <v>60636.150001654918</v>
      </c>
      <c r="AU535" s="185">
        <v>98326.500436857314</v>
      </c>
      <c r="AV535" s="185">
        <v>129409.65368742149</v>
      </c>
      <c r="AW535" s="185">
        <v>63170.873223092545</v>
      </c>
      <c r="AX535" s="41">
        <v>71638.125127925217</v>
      </c>
      <c r="AY535" s="41">
        <v>63284.016813954266</v>
      </c>
      <c r="AZ535" s="41">
        <v>49062.436991733317</v>
      </c>
      <c r="BA535" s="41">
        <v>61080.208146420242</v>
      </c>
      <c r="BB535" s="41">
        <v>91746.446185088484</v>
      </c>
      <c r="BC535" s="41">
        <v>114579.61282948783</v>
      </c>
      <c r="BD535" s="41">
        <v>144990.68770425554</v>
      </c>
      <c r="BE535" s="41">
        <v>158532.66116057063</v>
      </c>
      <c r="BF535" s="41">
        <v>180026.04991727392</v>
      </c>
      <c r="BG535" s="41">
        <v>196106.7999473892</v>
      </c>
      <c r="BH535" s="41">
        <v>173666.97402308355</v>
      </c>
      <c r="BI535" s="41">
        <v>186641.07960876563</v>
      </c>
      <c r="BJ535" s="41">
        <v>272086.03145235893</v>
      </c>
      <c r="BK535" s="41">
        <v>268205.57942135498</v>
      </c>
      <c r="BL535" s="42">
        <v>171074.68123861565</v>
      </c>
      <c r="BM535" s="41">
        <v>192416.05595878165</v>
      </c>
      <c r="BN535" s="41">
        <v>204896.3804009044</v>
      </c>
      <c r="BO535" s="41" t="s">
        <v>55</v>
      </c>
      <c r="BP535" s="41" t="s">
        <v>55</v>
      </c>
      <c r="BQ535" s="41" t="s">
        <v>55</v>
      </c>
    </row>
    <row r="536" spans="1:69" ht="12" customHeight="1" outlineLevel="1">
      <c r="A536" s="91" t="s">
        <v>1319</v>
      </c>
      <c r="B536" s="1" t="s">
        <v>1318</v>
      </c>
      <c r="C536" s="50"/>
      <c r="D536" s="185">
        <v>12758</v>
      </c>
      <c r="E536" s="185">
        <v>14657</v>
      </c>
      <c r="F536" s="185">
        <v>15533</v>
      </c>
      <c r="G536" s="185">
        <v>15556</v>
      </c>
      <c r="H536" s="185">
        <v>15088</v>
      </c>
      <c r="I536" s="185">
        <v>14202</v>
      </c>
      <c r="J536" s="185">
        <v>13463</v>
      </c>
      <c r="K536" s="185">
        <v>13663</v>
      </c>
      <c r="L536" s="322">
        <v>13901</v>
      </c>
      <c r="M536" s="322">
        <v>13913</v>
      </c>
      <c r="N536" s="322">
        <v>14138</v>
      </c>
      <c r="O536" s="322">
        <v>14085</v>
      </c>
      <c r="P536" s="322">
        <v>13582</v>
      </c>
      <c r="Q536" s="322">
        <v>14372</v>
      </c>
      <c r="R536" s="322">
        <v>13816</v>
      </c>
      <c r="S536" s="322">
        <v>13597</v>
      </c>
      <c r="T536" s="322">
        <v>13966</v>
      </c>
      <c r="U536" s="322">
        <v>14810</v>
      </c>
      <c r="V536" s="322">
        <v>15221</v>
      </c>
      <c r="W536" s="322">
        <v>15602</v>
      </c>
      <c r="X536" s="322">
        <v>15704</v>
      </c>
      <c r="Y536" s="322">
        <v>15849</v>
      </c>
      <c r="Z536" s="322">
        <v>16356</v>
      </c>
      <c r="AA536" s="322">
        <v>16459</v>
      </c>
      <c r="AB536" s="322">
        <v>17209</v>
      </c>
      <c r="AC536" s="322">
        <v>18133</v>
      </c>
      <c r="AD536" s="322">
        <v>19266</v>
      </c>
      <c r="AE536" s="322">
        <v>20509</v>
      </c>
      <c r="AF536" s="322">
        <v>21270</v>
      </c>
      <c r="AG536" s="186">
        <v>20666</v>
      </c>
      <c r="AH536" s="185">
        <v>20646</v>
      </c>
      <c r="AI536" s="185">
        <v>20671</v>
      </c>
      <c r="AJ536" s="185">
        <v>20656</v>
      </c>
      <c r="AK536" s="185">
        <v>20686</v>
      </c>
      <c r="AL536" s="185">
        <v>20671</v>
      </c>
      <c r="AM536" s="185">
        <v>20701</v>
      </c>
      <c r="AN536" s="185">
        <v>20686</v>
      </c>
      <c r="AO536" s="185">
        <v>20716</v>
      </c>
      <c r="AP536" s="185">
        <v>20701</v>
      </c>
      <c r="AQ536" s="185">
        <v>20731</v>
      </c>
      <c r="AR536" s="19"/>
      <c r="AS536" s="342">
        <v>6556</v>
      </c>
      <c r="AT536" s="342">
        <v>8183</v>
      </c>
      <c r="AU536" s="342">
        <v>10023</v>
      </c>
      <c r="AV536" s="342">
        <v>13107</v>
      </c>
      <c r="AW536" s="342">
        <v>12716</v>
      </c>
      <c r="AX536" s="185">
        <v>14657</v>
      </c>
      <c r="AY536" s="185">
        <v>15556</v>
      </c>
      <c r="AZ536" s="185">
        <v>14202</v>
      </c>
      <c r="BA536" s="185">
        <v>13663</v>
      </c>
      <c r="BB536" s="41">
        <v>13913</v>
      </c>
      <c r="BC536" s="322">
        <v>14085</v>
      </c>
      <c r="BD536" s="322">
        <v>14372</v>
      </c>
      <c r="BE536" s="322">
        <v>13597</v>
      </c>
      <c r="BF536" s="322">
        <v>14810</v>
      </c>
      <c r="BG536" s="322">
        <v>15602</v>
      </c>
      <c r="BH536" s="322">
        <v>15849</v>
      </c>
      <c r="BI536" s="322">
        <v>16459</v>
      </c>
      <c r="BJ536" s="322">
        <v>18133</v>
      </c>
      <c r="BK536" s="322">
        <v>20509</v>
      </c>
      <c r="BL536" s="186">
        <v>20666</v>
      </c>
      <c r="BM536" s="185">
        <v>20671</v>
      </c>
      <c r="BN536" s="185">
        <v>20686</v>
      </c>
      <c r="BO536" s="185">
        <v>20701</v>
      </c>
      <c r="BP536" s="185">
        <v>20716</v>
      </c>
      <c r="BQ536" s="185">
        <v>0</v>
      </c>
    </row>
    <row r="537" spans="1:69" ht="12" customHeight="1" outlineLevel="1">
      <c r="A537" s="91" t="s">
        <v>1325</v>
      </c>
      <c r="B537" s="1" t="s">
        <v>1321</v>
      </c>
      <c r="C537" s="19"/>
      <c r="D537" s="345">
        <v>0.52033570045190447</v>
      </c>
      <c r="E537" s="345">
        <v>0.44344971650253656</v>
      </c>
      <c r="F537" s="345">
        <v>0.43876337693222356</v>
      </c>
      <c r="G537" s="345">
        <v>0.35815147625160459</v>
      </c>
      <c r="H537" s="345">
        <v>0.3934375</v>
      </c>
      <c r="I537" s="345">
        <v>0.40728002292920606</v>
      </c>
      <c r="J537" s="345">
        <v>0.34223706176961605</v>
      </c>
      <c r="K537" s="345">
        <v>0.36854391596148234</v>
      </c>
      <c r="L537" s="345">
        <v>0.3351893095768374</v>
      </c>
      <c r="M537" s="345">
        <v>0.29880668257756565</v>
      </c>
      <c r="N537" s="345">
        <v>0.34474503231984677</v>
      </c>
      <c r="O537" s="345">
        <v>0.25430516619943933</v>
      </c>
      <c r="P537" s="345">
        <v>0.28711194731890877</v>
      </c>
      <c r="Q537" s="345">
        <v>0.35642482517482516</v>
      </c>
      <c r="R537" s="345">
        <v>0.40861900097943193</v>
      </c>
      <c r="S537" s="345">
        <v>0.32127236580516899</v>
      </c>
      <c r="T537" s="345">
        <v>0.37681429103088948</v>
      </c>
      <c r="U537" s="345">
        <v>0.31214421252371916</v>
      </c>
      <c r="V537" s="345">
        <v>0.32822032421126024</v>
      </c>
      <c r="W537" s="345">
        <v>0.33739643084767368</v>
      </c>
      <c r="X537" s="345">
        <v>0.31110749715400876</v>
      </c>
      <c r="Y537" s="345">
        <v>0.34097174362508614</v>
      </c>
      <c r="Z537" s="345">
        <v>0.3220892274211099</v>
      </c>
      <c r="AA537" s="345">
        <v>0.32293157744059547</v>
      </c>
      <c r="AB537" s="345">
        <v>0.27514754098360655</v>
      </c>
      <c r="AC537" s="345">
        <v>0.23729164509783621</v>
      </c>
      <c r="AD537" s="345">
        <v>0.27707156308851222</v>
      </c>
      <c r="AE537" s="345">
        <v>0.29473684210526313</v>
      </c>
      <c r="AF537" s="345">
        <v>0.35197633772519493</v>
      </c>
      <c r="AG537" s="356">
        <v>0.34216168495396643</v>
      </c>
      <c r="AH537" s="344">
        <v>0.34216168495396643</v>
      </c>
      <c r="AI537" s="344">
        <v>0.34216168495396643</v>
      </c>
      <c r="AJ537" s="344">
        <v>0.34216168495396643</v>
      </c>
      <c r="AK537" s="344">
        <v>0.34216168495396643</v>
      </c>
      <c r="AL537" s="344">
        <v>0.34216168495396643</v>
      </c>
      <c r="AM537" s="344">
        <v>0.34216168495396643</v>
      </c>
      <c r="AN537" s="344">
        <v>0.34216168495396643</v>
      </c>
      <c r="AO537" s="344">
        <v>0.34216168495396643</v>
      </c>
      <c r="AP537" s="344">
        <v>0.34216168495396643</v>
      </c>
      <c r="AQ537" s="344">
        <v>0.34216168495396643</v>
      </c>
      <c r="AR537" s="19"/>
      <c r="AS537" s="345"/>
      <c r="AT537" s="345"/>
      <c r="AU537" s="345">
        <v>0.44829097283085012</v>
      </c>
      <c r="AV537" s="345">
        <v>0.43244315177154946</v>
      </c>
      <c r="AW537" s="345">
        <v>0.48462889767237594</v>
      </c>
      <c r="AX537" s="343">
        <v>0.44344971650253656</v>
      </c>
      <c r="AY537" s="343">
        <v>0.35815147625160459</v>
      </c>
      <c r="AZ537" s="343">
        <v>0.40728002292920606</v>
      </c>
      <c r="BA537" s="343">
        <v>0.36854391596148234</v>
      </c>
      <c r="BB537" s="50">
        <v>0.29880668257756565</v>
      </c>
      <c r="BC537" s="343">
        <v>0.25430516619943933</v>
      </c>
      <c r="BD537" s="343">
        <v>0.35642482517482516</v>
      </c>
      <c r="BE537" s="343">
        <v>0.32127236580516899</v>
      </c>
      <c r="BF537" s="343">
        <v>0.31214421252371916</v>
      </c>
      <c r="BG537" s="343">
        <v>0.33739643084767368</v>
      </c>
      <c r="BH537" s="343">
        <v>0.34097174362508614</v>
      </c>
      <c r="BI537" s="343">
        <v>0.32293157744059547</v>
      </c>
      <c r="BJ537" s="343">
        <v>0.23729164509783621</v>
      </c>
      <c r="BK537" s="343">
        <v>0.29473684210526313</v>
      </c>
      <c r="BL537" s="397">
        <v>0.34216168495396643</v>
      </c>
      <c r="BM537" s="343">
        <v>0.34216168495396643</v>
      </c>
      <c r="BN537" s="343">
        <v>0.34216168495396643</v>
      </c>
      <c r="BO537" s="343">
        <v>0.34216168495396643</v>
      </c>
      <c r="BP537" s="343">
        <v>0.34216168495396643</v>
      </c>
      <c r="BQ537" s="343">
        <v>0.34216168495396643</v>
      </c>
    </row>
    <row r="538" spans="1:69" ht="12" customHeight="1" outlineLevel="1">
      <c r="A538" s="91" t="s">
        <v>1324</v>
      </c>
      <c r="B538" s="1" t="s">
        <v>1328</v>
      </c>
      <c r="C538" s="19"/>
      <c r="D538" s="345">
        <v>0.11426726920593931</v>
      </c>
      <c r="E538" s="345">
        <v>0.2969262906595046</v>
      </c>
      <c r="F538" s="345">
        <v>0.27615933412604043</v>
      </c>
      <c r="G538" s="345">
        <v>0.3337612323491656</v>
      </c>
      <c r="H538" s="345">
        <v>0.28718749999999998</v>
      </c>
      <c r="I538" s="345">
        <v>0.32129550014330754</v>
      </c>
      <c r="J538" s="345">
        <v>0.33489148580968281</v>
      </c>
      <c r="K538" s="345">
        <v>0.35016049022468632</v>
      </c>
      <c r="L538" s="345">
        <v>0.32349665924276172</v>
      </c>
      <c r="M538" s="345">
        <v>0.3692124105011933</v>
      </c>
      <c r="N538" s="345">
        <v>0.30500359109408665</v>
      </c>
      <c r="O538" s="345">
        <v>0.41670004004805766</v>
      </c>
      <c r="P538" s="345">
        <v>0.31552210724365004</v>
      </c>
      <c r="Q538" s="345">
        <v>0.27294580419580422</v>
      </c>
      <c r="R538" s="345">
        <v>0.22644466209598432</v>
      </c>
      <c r="S538" s="345">
        <v>0.30914512922465209</v>
      </c>
      <c r="T538" s="345">
        <v>0.24283587644212876</v>
      </c>
      <c r="U538" s="345">
        <v>0.27874762808349146</v>
      </c>
      <c r="V538" s="345">
        <v>0.30974376852013247</v>
      </c>
      <c r="W538" s="345">
        <v>0.29533142128744422</v>
      </c>
      <c r="X538" s="345">
        <v>0.30200032525613923</v>
      </c>
      <c r="Y538" s="345">
        <v>0.20003445899379738</v>
      </c>
      <c r="Z538" s="345">
        <v>0.31284004352557127</v>
      </c>
      <c r="AA538" s="345">
        <v>0.24692241626109362</v>
      </c>
      <c r="AB538" s="345">
        <v>0.39291803278688525</v>
      </c>
      <c r="AC538" s="345">
        <v>0.54353452738378716</v>
      </c>
      <c r="AD538" s="345">
        <v>0.38677024482109229</v>
      </c>
      <c r="AE538" s="345">
        <v>0.37358674463937624</v>
      </c>
      <c r="AF538" s="345">
        <v>0.31460069911266469</v>
      </c>
      <c r="AG538" s="356">
        <v>0.33982847773994196</v>
      </c>
      <c r="AH538" s="344">
        <v>0.33982847773994196</v>
      </c>
      <c r="AI538" s="344">
        <v>0.33982847773994196</v>
      </c>
      <c r="AJ538" s="344">
        <v>0.33982847773994196</v>
      </c>
      <c r="AK538" s="344">
        <v>0.33982847773994196</v>
      </c>
      <c r="AL538" s="344">
        <v>0.33982847773994196</v>
      </c>
      <c r="AM538" s="344">
        <v>0.33982847773994196</v>
      </c>
      <c r="AN538" s="344">
        <v>0.33982847773994196</v>
      </c>
      <c r="AO538" s="344">
        <v>0.33982847773994196</v>
      </c>
      <c r="AP538" s="344">
        <v>0.33982847773994196</v>
      </c>
      <c r="AQ538" s="344">
        <v>0.33982847773994196</v>
      </c>
      <c r="AR538" s="19"/>
      <c r="AS538" s="345"/>
      <c r="AT538" s="345"/>
      <c r="AU538" s="345">
        <v>0.16476774758983348</v>
      </c>
      <c r="AV538" s="345">
        <v>0.11263881544156532</v>
      </c>
      <c r="AW538" s="345">
        <v>7.8831796223100575E-2</v>
      </c>
      <c r="AX538" s="343">
        <v>0.2969262906595046</v>
      </c>
      <c r="AY538" s="343">
        <v>0.3337612323491656</v>
      </c>
      <c r="AZ538" s="343">
        <v>0.32129550014330754</v>
      </c>
      <c r="BA538" s="343">
        <v>0.35016049022468632</v>
      </c>
      <c r="BB538" s="50">
        <v>0.3692124105011933</v>
      </c>
      <c r="BC538" s="343">
        <v>0.41670004004805766</v>
      </c>
      <c r="BD538" s="343">
        <v>0.27294580419580422</v>
      </c>
      <c r="BE538" s="343">
        <v>0.30914512922465209</v>
      </c>
      <c r="BF538" s="343">
        <v>0.27874762808349146</v>
      </c>
      <c r="BG538" s="343">
        <v>0.29533142128744422</v>
      </c>
      <c r="BH538" s="343">
        <v>0.20003445899379738</v>
      </c>
      <c r="BI538" s="343">
        <v>0.24692241626109362</v>
      </c>
      <c r="BJ538" s="343">
        <v>0.54353452738378716</v>
      </c>
      <c r="BK538" s="343">
        <v>0.37358674463937624</v>
      </c>
      <c r="BL538" s="397">
        <v>0.33982847773994196</v>
      </c>
      <c r="BM538" s="343">
        <v>0.33982847773994196</v>
      </c>
      <c r="BN538" s="343">
        <v>0.33982847773994196</v>
      </c>
      <c r="BO538" s="343">
        <v>0.33982847773994196</v>
      </c>
      <c r="BP538" s="343">
        <v>0.33982847773994196</v>
      </c>
      <c r="BQ538" s="343">
        <v>0.33982847773994196</v>
      </c>
    </row>
    <row r="539" spans="1:69" ht="12" customHeight="1" outlineLevel="1">
      <c r="A539" s="91" t="s">
        <v>1326</v>
      </c>
      <c r="B539" s="1" t="s">
        <v>1322</v>
      </c>
      <c r="C539" s="19"/>
      <c r="D539" s="345">
        <v>0.16300839251129762</v>
      </c>
      <c r="E539" s="345">
        <v>0.10683378096090719</v>
      </c>
      <c r="F539" s="345">
        <v>0.12782401902497029</v>
      </c>
      <c r="G539" s="345">
        <v>0.14865211810012838</v>
      </c>
      <c r="H539" s="345">
        <v>0.1940625</v>
      </c>
      <c r="I539" s="345">
        <v>0.17426196617942102</v>
      </c>
      <c r="J539" s="345">
        <v>0.20701168614357263</v>
      </c>
      <c r="K539" s="345">
        <v>0.17011963816749343</v>
      </c>
      <c r="L539" s="345">
        <v>0.20629175946547884</v>
      </c>
      <c r="M539" s="345">
        <v>0.19880668257756562</v>
      </c>
      <c r="N539" s="345">
        <v>0.24898252334211157</v>
      </c>
      <c r="O539" s="345">
        <v>0.19082899479375251</v>
      </c>
      <c r="P539" s="345">
        <v>0.23744120413922859</v>
      </c>
      <c r="Q539" s="345">
        <v>0.24344405594405594</v>
      </c>
      <c r="R539" s="345">
        <v>0.25367286973555336</v>
      </c>
      <c r="S539" s="345">
        <v>0.23638170974155071</v>
      </c>
      <c r="T539" s="345">
        <v>0.27837737253442502</v>
      </c>
      <c r="U539" s="345">
        <v>0.27988614800759015</v>
      </c>
      <c r="V539" s="345">
        <v>0.26930451455464527</v>
      </c>
      <c r="W539" s="345">
        <v>0.27660930528999361</v>
      </c>
      <c r="X539" s="345">
        <v>0.30752967962270289</v>
      </c>
      <c r="Y539" s="345">
        <v>0.27205375603032389</v>
      </c>
      <c r="Z539" s="345">
        <v>0.24446862531737396</v>
      </c>
      <c r="AA539" s="345">
        <v>0.19295734325794445</v>
      </c>
      <c r="AB539" s="345">
        <v>0.25731147540983607</v>
      </c>
      <c r="AC539" s="345">
        <v>0.16036856817475928</v>
      </c>
      <c r="AD539" s="345">
        <v>0.23799435028248589</v>
      </c>
      <c r="AE539" s="345">
        <v>0.26598440545808966</v>
      </c>
      <c r="AF539" s="345">
        <v>0.2328582952406561</v>
      </c>
      <c r="AG539" s="356">
        <v>0.2279263370332997</v>
      </c>
      <c r="AH539" s="344">
        <v>0.2279263370332997</v>
      </c>
      <c r="AI539" s="344">
        <v>0.2279263370332997</v>
      </c>
      <c r="AJ539" s="344">
        <v>0.2279263370332997</v>
      </c>
      <c r="AK539" s="344">
        <v>0.2279263370332997</v>
      </c>
      <c r="AL539" s="344">
        <v>0.2279263370332997</v>
      </c>
      <c r="AM539" s="344">
        <v>0.2279263370332997</v>
      </c>
      <c r="AN539" s="344">
        <v>0.2279263370332997</v>
      </c>
      <c r="AO539" s="344">
        <v>0.2279263370332997</v>
      </c>
      <c r="AP539" s="344">
        <v>0.2279263370332997</v>
      </c>
      <c r="AQ539" s="344">
        <v>0.2279263370332997</v>
      </c>
      <c r="AR539" s="19"/>
      <c r="AS539" s="345"/>
      <c r="AT539" s="345"/>
      <c r="AU539" s="345">
        <v>0.21764534034472685</v>
      </c>
      <c r="AV539" s="345">
        <v>0.19288736118455843</v>
      </c>
      <c r="AW539" s="345">
        <v>0.20114185331576637</v>
      </c>
      <c r="AX539" s="343">
        <v>0.10683378096090719</v>
      </c>
      <c r="AY539" s="343">
        <v>0.14865211810012838</v>
      </c>
      <c r="AZ539" s="343">
        <v>0.17426196617942102</v>
      </c>
      <c r="BA539" s="343">
        <v>0.17011963816749343</v>
      </c>
      <c r="BB539" s="50">
        <v>0.19880668257756562</v>
      </c>
      <c r="BC539" s="343">
        <v>0.19082899479375251</v>
      </c>
      <c r="BD539" s="343">
        <v>0.24344405594405594</v>
      </c>
      <c r="BE539" s="343">
        <v>0.23638170974155071</v>
      </c>
      <c r="BF539" s="343">
        <v>0.27988614800759015</v>
      </c>
      <c r="BG539" s="343">
        <v>0.27660930528999361</v>
      </c>
      <c r="BH539" s="343">
        <v>0.27205375603032389</v>
      </c>
      <c r="BI539" s="343">
        <v>0.19295734325794445</v>
      </c>
      <c r="BJ539" s="343">
        <v>0.16036856817475928</v>
      </c>
      <c r="BK539" s="343">
        <v>0.26598440545808966</v>
      </c>
      <c r="BL539" s="397">
        <v>0.2279263370332997</v>
      </c>
      <c r="BM539" s="343">
        <v>0.2279263370332997</v>
      </c>
      <c r="BN539" s="343">
        <v>0.2279263370332997</v>
      </c>
      <c r="BO539" s="343">
        <v>0.2279263370332997</v>
      </c>
      <c r="BP539" s="343">
        <v>0.2279263370332997</v>
      </c>
      <c r="BQ539" s="343">
        <v>0.2279263370332997</v>
      </c>
    </row>
    <row r="540" spans="1:69" ht="12" customHeight="1" outlineLevel="1">
      <c r="A540" s="91" t="s">
        <v>1327</v>
      </c>
      <c r="B540" s="1" t="s">
        <v>1323</v>
      </c>
      <c r="C540" s="19"/>
      <c r="D540" s="345">
        <v>0.20238863783085861</v>
      </c>
      <c r="E540" s="345">
        <v>0.15279021187705163</v>
      </c>
      <c r="F540" s="345">
        <v>0.15725326991676575</v>
      </c>
      <c r="G540" s="345">
        <v>0.15943517329910142</v>
      </c>
      <c r="H540" s="345">
        <v>0.12531249999999999</v>
      </c>
      <c r="I540" s="345">
        <v>9.7162510748065353E-2</v>
      </c>
      <c r="J540" s="345">
        <v>0.11585976627712855</v>
      </c>
      <c r="K540" s="345">
        <v>0.11117595564633791</v>
      </c>
      <c r="L540" s="345">
        <v>0.13502227171492204</v>
      </c>
      <c r="M540" s="345">
        <v>0.13317422434367543</v>
      </c>
      <c r="N540" s="403">
        <v>0.10126885324395507</v>
      </c>
      <c r="O540" s="403">
        <v>0.13816579895875059</v>
      </c>
      <c r="P540" s="403">
        <v>0.15992474129821255</v>
      </c>
      <c r="Q540" s="403">
        <v>0.12718531468531469</v>
      </c>
      <c r="R540" s="403">
        <v>0.11126346718903035</v>
      </c>
      <c r="S540" s="403">
        <v>0.13320079522862815</v>
      </c>
      <c r="T540" s="403">
        <v>0.10197245999255666</v>
      </c>
      <c r="U540" s="403">
        <v>0.12922201138519929</v>
      </c>
      <c r="V540" s="403">
        <v>9.2731392713961913E-2</v>
      </c>
      <c r="W540" s="403">
        <v>9.0662842574888547E-2</v>
      </c>
      <c r="X540" s="403">
        <v>7.9362497967149004E-2</v>
      </c>
      <c r="Y540" s="403">
        <v>0.18694004135079256</v>
      </c>
      <c r="Z540" s="403">
        <v>0.12060210373594482</v>
      </c>
      <c r="AA540" s="403">
        <v>0.23718866304036645</v>
      </c>
      <c r="AB540" s="403">
        <v>7.4622950819672074E-2</v>
      </c>
      <c r="AC540" s="403">
        <v>5.8805259343617355E-2</v>
      </c>
      <c r="AD540" s="403">
        <v>9.8163841807909602E-2</v>
      </c>
      <c r="AE540" s="403">
        <v>6.5692007797271024E-2</v>
      </c>
      <c r="AF540" s="403">
        <v>0.10056466792148422</v>
      </c>
      <c r="AG540" s="404">
        <v>9.0083500272791883E-2</v>
      </c>
      <c r="AH540" s="344">
        <v>9.0083500272791883E-2</v>
      </c>
      <c r="AI540" s="344">
        <v>9.0083500272791883E-2</v>
      </c>
      <c r="AJ540" s="344">
        <v>9.0083500272791883E-2</v>
      </c>
      <c r="AK540" s="344">
        <v>9.0083500272791883E-2</v>
      </c>
      <c r="AL540" s="344">
        <v>9.0083500272791883E-2</v>
      </c>
      <c r="AM540" s="344">
        <v>9.0083500272791883E-2</v>
      </c>
      <c r="AN540" s="344">
        <v>9.0083500272791883E-2</v>
      </c>
      <c r="AO540" s="344">
        <v>9.0083500272791883E-2</v>
      </c>
      <c r="AP540" s="344">
        <v>9.0083500272791883E-2</v>
      </c>
      <c r="AQ540" s="344">
        <v>9.0083500272791883E-2</v>
      </c>
      <c r="AR540" s="19"/>
      <c r="AS540" s="345"/>
      <c r="AT540" s="345"/>
      <c r="AU540" s="345">
        <v>0.16929593923458955</v>
      </c>
      <c r="AV540" s="345">
        <v>0.26203067160232679</v>
      </c>
      <c r="AW540" s="345">
        <v>0.23539745278875715</v>
      </c>
      <c r="AX540" s="343">
        <v>0.15279021187705163</v>
      </c>
      <c r="AY540" s="343">
        <v>0.15943517329910142</v>
      </c>
      <c r="AZ540" s="343">
        <v>9.7162510748065353E-2</v>
      </c>
      <c r="BA540" s="343">
        <v>0.11117595564633791</v>
      </c>
      <c r="BB540" s="50">
        <v>0.13317422434367543</v>
      </c>
      <c r="BC540" s="343">
        <v>0.13816579895875059</v>
      </c>
      <c r="BD540" s="343">
        <v>0.12718531468531469</v>
      </c>
      <c r="BE540" s="343">
        <v>0.13320079522862815</v>
      </c>
      <c r="BF540" s="343">
        <v>0.12922201138519929</v>
      </c>
      <c r="BG540" s="343">
        <v>9.0662842574888547E-2</v>
      </c>
      <c r="BH540" s="343">
        <v>0.18694004135079256</v>
      </c>
      <c r="BI540" s="343">
        <v>0.23718866304036645</v>
      </c>
      <c r="BJ540" s="343">
        <v>5.8805259343617355E-2</v>
      </c>
      <c r="BK540" s="343">
        <v>6.5692007797271024E-2</v>
      </c>
      <c r="BL540" s="397">
        <v>9.0083500272791883E-2</v>
      </c>
      <c r="BM540" s="343">
        <v>9.0083500272791883E-2</v>
      </c>
      <c r="BN540" s="343">
        <v>9.0083500272791883E-2</v>
      </c>
      <c r="BO540" s="343">
        <v>9.0083500272791883E-2</v>
      </c>
      <c r="BP540" s="343">
        <v>9.0083500272791883E-2</v>
      </c>
      <c r="BQ540" s="343">
        <v>9.0083500272791883E-2</v>
      </c>
    </row>
    <row r="541" spans="1:69" ht="12" customHeight="1" outlineLevel="1">
      <c r="A541" s="91" t="s">
        <v>1329</v>
      </c>
      <c r="B541" s="1" t="s">
        <v>881</v>
      </c>
      <c r="C541" s="19"/>
      <c r="D541" s="345">
        <v>0.02</v>
      </c>
      <c r="E541" s="345">
        <v>2.5000000000000001E-2</v>
      </c>
      <c r="F541" s="345">
        <v>3.0000000000000002E-2</v>
      </c>
      <c r="G541" s="345">
        <v>3.5000000000000003E-2</v>
      </c>
      <c r="H541" s="345">
        <v>0.04</v>
      </c>
      <c r="I541" s="345">
        <v>4.4999999999999998E-2</v>
      </c>
      <c r="J541" s="345">
        <v>4.9999999999999996E-2</v>
      </c>
      <c r="K541" s="345">
        <v>5.4999999999999993E-2</v>
      </c>
      <c r="L541" s="345">
        <v>5.9999999999999991E-2</v>
      </c>
      <c r="M541" s="345">
        <v>6.4999999999999988E-2</v>
      </c>
      <c r="N541" s="345">
        <v>6.9999999999999993E-2</v>
      </c>
      <c r="O541" s="345">
        <v>7.4999999999999997E-2</v>
      </c>
      <c r="P541" s="345">
        <v>0.08</v>
      </c>
      <c r="Q541" s="345">
        <v>8.5000000000000006E-2</v>
      </c>
      <c r="R541" s="345">
        <v>9.0000000000000011E-2</v>
      </c>
      <c r="S541" s="345">
        <v>9.5000000000000015E-2</v>
      </c>
      <c r="T541" s="345">
        <v>0.10000000000000002</v>
      </c>
      <c r="U541" s="345">
        <v>0.10500000000000002</v>
      </c>
      <c r="V541" s="345">
        <v>0.11000000000000003</v>
      </c>
      <c r="W541" s="345">
        <v>0.11500000000000003</v>
      </c>
      <c r="X541" s="345">
        <v>0.12000000000000004</v>
      </c>
      <c r="Y541" s="345">
        <v>0.12500000000000003</v>
      </c>
      <c r="Z541" s="345">
        <v>0.13000000000000003</v>
      </c>
      <c r="AA541" s="345">
        <v>0.13500000000000004</v>
      </c>
      <c r="AB541" s="345">
        <v>0.14000000000000004</v>
      </c>
      <c r="AC541" s="345">
        <v>0.14500000000000005</v>
      </c>
      <c r="AD541" s="345">
        <v>0.15000000000000005</v>
      </c>
      <c r="AE541" s="345">
        <v>0.15500000000000005</v>
      </c>
      <c r="AF541" s="345">
        <v>0.16000000000000006</v>
      </c>
      <c r="AG541" s="356">
        <v>0.16500000000000006</v>
      </c>
      <c r="AH541" s="344">
        <v>0.16500000000000006</v>
      </c>
      <c r="AI541" s="344">
        <v>0.16500000000000006</v>
      </c>
      <c r="AJ541" s="344">
        <v>0.16500000000000006</v>
      </c>
      <c r="AK541" s="344">
        <v>0.16500000000000006</v>
      </c>
      <c r="AL541" s="344">
        <v>0.16500000000000006</v>
      </c>
      <c r="AM541" s="344">
        <v>0.16500000000000006</v>
      </c>
      <c r="AN541" s="344">
        <v>0.16500000000000006</v>
      </c>
      <c r="AO541" s="344">
        <v>0.16500000000000006</v>
      </c>
      <c r="AP541" s="344">
        <v>0.16500000000000006</v>
      </c>
      <c r="AQ541" s="344">
        <v>0.16500000000000006</v>
      </c>
      <c r="AR541" s="19"/>
      <c r="AS541" s="345">
        <v>0.02</v>
      </c>
      <c r="AT541" s="345">
        <v>0.02</v>
      </c>
      <c r="AU541" s="345">
        <v>0.02</v>
      </c>
      <c r="AV541" s="345">
        <v>0.02</v>
      </c>
      <c r="AW541" s="345">
        <v>0.02</v>
      </c>
      <c r="AX541" s="343">
        <v>2.5000000000000001E-2</v>
      </c>
      <c r="AY541" s="343">
        <v>3.5000000000000003E-2</v>
      </c>
      <c r="AZ541" s="343">
        <v>4.4999999999999998E-2</v>
      </c>
      <c r="BA541" s="343">
        <v>5.4999999999999993E-2</v>
      </c>
      <c r="BB541" s="50">
        <v>6.4999999999999988E-2</v>
      </c>
      <c r="BC541" s="343">
        <v>7.4999999999999997E-2</v>
      </c>
      <c r="BD541" s="343">
        <v>8.5000000000000006E-2</v>
      </c>
      <c r="BE541" s="343">
        <v>9.5000000000000015E-2</v>
      </c>
      <c r="BF541" s="343">
        <v>0.10500000000000002</v>
      </c>
      <c r="BG541" s="343">
        <v>0.11500000000000003</v>
      </c>
      <c r="BH541" s="343">
        <v>0.12500000000000003</v>
      </c>
      <c r="BI541" s="343">
        <v>0.13500000000000004</v>
      </c>
      <c r="BJ541" s="343">
        <v>0.14500000000000005</v>
      </c>
      <c r="BK541" s="343">
        <v>0.15500000000000005</v>
      </c>
      <c r="BL541" s="397">
        <v>0.16500000000000006</v>
      </c>
      <c r="BM541" s="343">
        <v>0.16500000000000006</v>
      </c>
      <c r="BN541" s="343">
        <v>0.16500000000000006</v>
      </c>
      <c r="BO541" s="343">
        <v>0.16500000000000006</v>
      </c>
      <c r="BP541" s="343">
        <v>0.16500000000000006</v>
      </c>
      <c r="BQ541" s="343">
        <v>0.16500000000000006</v>
      </c>
    </row>
    <row r="542" spans="1:69" ht="12" customHeight="1" outlineLevel="1">
      <c r="A542" s="91" t="s">
        <v>1330</v>
      </c>
      <c r="B542" s="1" t="s">
        <v>883</v>
      </c>
      <c r="C542" s="19"/>
      <c r="D542" s="345">
        <v>0.92999999999999994</v>
      </c>
      <c r="E542" s="345">
        <v>0.92499999999999993</v>
      </c>
      <c r="F542" s="345">
        <v>0.91999999999999993</v>
      </c>
      <c r="G542" s="345">
        <v>0.91499999999999992</v>
      </c>
      <c r="H542" s="345">
        <v>0.90999999999999992</v>
      </c>
      <c r="I542" s="345">
        <v>0.90499999999999992</v>
      </c>
      <c r="J542" s="345">
        <v>0.89999999999999991</v>
      </c>
      <c r="K542" s="345">
        <v>0.89500000000000002</v>
      </c>
      <c r="L542" s="345">
        <v>0.89</v>
      </c>
      <c r="M542" s="345">
        <v>0.88500000000000001</v>
      </c>
      <c r="N542" s="345">
        <v>0.88</v>
      </c>
      <c r="O542" s="345">
        <v>0.875</v>
      </c>
      <c r="P542" s="345">
        <v>0.87</v>
      </c>
      <c r="Q542" s="345">
        <v>0.86499999999999999</v>
      </c>
      <c r="R542" s="345">
        <v>0.86</v>
      </c>
      <c r="S542" s="345">
        <v>0.85499999999999998</v>
      </c>
      <c r="T542" s="345">
        <v>0.85</v>
      </c>
      <c r="U542" s="345">
        <v>0.84499999999999997</v>
      </c>
      <c r="V542" s="345">
        <v>0.84</v>
      </c>
      <c r="W542" s="345">
        <v>0.83499999999999996</v>
      </c>
      <c r="X542" s="345">
        <v>0.83</v>
      </c>
      <c r="Y542" s="345">
        <v>0.82499999999999996</v>
      </c>
      <c r="Z542" s="345">
        <v>0.82</v>
      </c>
      <c r="AA542" s="345">
        <v>0.81499999999999995</v>
      </c>
      <c r="AB542" s="345">
        <v>0.80999999999999994</v>
      </c>
      <c r="AC542" s="345">
        <v>0.80499999999999994</v>
      </c>
      <c r="AD542" s="345">
        <v>0.79999999999999993</v>
      </c>
      <c r="AE542" s="345">
        <v>0.79499999999999993</v>
      </c>
      <c r="AF542" s="345">
        <v>0.78999999999999992</v>
      </c>
      <c r="AG542" s="356">
        <v>0.78499999999999992</v>
      </c>
      <c r="AH542" s="344">
        <v>0.78499999999999992</v>
      </c>
      <c r="AI542" s="344">
        <v>0.78499999999999992</v>
      </c>
      <c r="AJ542" s="344">
        <v>0.78499999999999992</v>
      </c>
      <c r="AK542" s="344">
        <v>0.78499999999999992</v>
      </c>
      <c r="AL542" s="344">
        <v>0.78499999999999992</v>
      </c>
      <c r="AM542" s="344">
        <v>0.78499999999999992</v>
      </c>
      <c r="AN542" s="344">
        <v>0.78499999999999992</v>
      </c>
      <c r="AO542" s="344">
        <v>0.78499999999999992</v>
      </c>
      <c r="AP542" s="344">
        <v>0.78499999999999992</v>
      </c>
      <c r="AQ542" s="344">
        <v>0.78499999999999992</v>
      </c>
      <c r="AR542" s="19"/>
      <c r="AS542" s="345">
        <v>0.92999999999999994</v>
      </c>
      <c r="AT542" s="345">
        <v>0.92999999999999994</v>
      </c>
      <c r="AU542" s="345">
        <v>0.92999999999999994</v>
      </c>
      <c r="AV542" s="345">
        <v>0.92999999999999994</v>
      </c>
      <c r="AW542" s="345">
        <v>0.92999999999999994</v>
      </c>
      <c r="AX542" s="343">
        <v>0.92499999999999993</v>
      </c>
      <c r="AY542" s="343">
        <v>0.91499999999999992</v>
      </c>
      <c r="AZ542" s="343">
        <v>0.90499999999999992</v>
      </c>
      <c r="BA542" s="343">
        <v>0.89500000000000002</v>
      </c>
      <c r="BB542" s="50">
        <v>0.88500000000000001</v>
      </c>
      <c r="BC542" s="343">
        <v>0.875</v>
      </c>
      <c r="BD542" s="343">
        <v>0.86499999999999999</v>
      </c>
      <c r="BE542" s="343">
        <v>0.85499999999999998</v>
      </c>
      <c r="BF542" s="343">
        <v>0.84499999999999997</v>
      </c>
      <c r="BG542" s="343">
        <v>0.83499999999999996</v>
      </c>
      <c r="BH542" s="343">
        <v>0.82499999999999996</v>
      </c>
      <c r="BI542" s="343">
        <v>0.81499999999999995</v>
      </c>
      <c r="BJ542" s="343">
        <v>0.80499999999999994</v>
      </c>
      <c r="BK542" s="343">
        <v>0.79499999999999993</v>
      </c>
      <c r="BL542" s="397">
        <v>0.78499999999999992</v>
      </c>
      <c r="BM542" s="343">
        <v>0.78499999999999992</v>
      </c>
      <c r="BN542" s="343">
        <v>0.78499999999999992</v>
      </c>
      <c r="BO542" s="343">
        <v>0.78499999999999992</v>
      </c>
      <c r="BP542" s="343">
        <v>0.78499999999999992</v>
      </c>
      <c r="BQ542" s="343">
        <v>0.78499999999999992</v>
      </c>
    </row>
    <row r="543" spans="1:69" ht="12" customHeight="1" outlineLevel="1">
      <c r="A543" s="91" t="s">
        <v>1331</v>
      </c>
      <c r="B543" s="1" t="s">
        <v>885</v>
      </c>
      <c r="C543" s="19"/>
      <c r="D543" s="345">
        <v>0.05</v>
      </c>
      <c r="E543" s="345">
        <v>0.05</v>
      </c>
      <c r="F543" s="345">
        <v>0.05</v>
      </c>
      <c r="G543" s="345">
        <v>0.05</v>
      </c>
      <c r="H543" s="345">
        <v>0.05</v>
      </c>
      <c r="I543" s="345">
        <v>0.05</v>
      </c>
      <c r="J543" s="345">
        <v>0.05</v>
      </c>
      <c r="K543" s="345">
        <v>0.05</v>
      </c>
      <c r="L543" s="345">
        <v>0.05</v>
      </c>
      <c r="M543" s="345">
        <v>0.05</v>
      </c>
      <c r="N543" s="345">
        <v>0.05</v>
      </c>
      <c r="O543" s="345">
        <v>0.05</v>
      </c>
      <c r="P543" s="345">
        <v>0.05</v>
      </c>
      <c r="Q543" s="345">
        <v>0.05</v>
      </c>
      <c r="R543" s="345">
        <v>0.05</v>
      </c>
      <c r="S543" s="345">
        <v>0.05</v>
      </c>
      <c r="T543" s="345">
        <v>0.05</v>
      </c>
      <c r="U543" s="345">
        <v>0.05</v>
      </c>
      <c r="V543" s="345">
        <v>0.05</v>
      </c>
      <c r="W543" s="345">
        <v>0.05</v>
      </c>
      <c r="X543" s="345">
        <v>0.05</v>
      </c>
      <c r="Y543" s="345">
        <v>0.05</v>
      </c>
      <c r="Z543" s="345">
        <v>0.05</v>
      </c>
      <c r="AA543" s="345">
        <v>0.05</v>
      </c>
      <c r="AB543" s="345">
        <v>0.05</v>
      </c>
      <c r="AC543" s="345">
        <v>0.05</v>
      </c>
      <c r="AD543" s="345">
        <v>0.05</v>
      </c>
      <c r="AE543" s="345">
        <v>0.05</v>
      </c>
      <c r="AF543" s="345">
        <v>0.05</v>
      </c>
      <c r="AG543" s="356">
        <v>0.05</v>
      </c>
      <c r="AH543" s="344">
        <v>0.05</v>
      </c>
      <c r="AI543" s="344">
        <v>0.05</v>
      </c>
      <c r="AJ543" s="344">
        <v>0.05</v>
      </c>
      <c r="AK543" s="344">
        <v>0.05</v>
      </c>
      <c r="AL543" s="344">
        <v>0.05</v>
      </c>
      <c r="AM543" s="344">
        <v>0.05</v>
      </c>
      <c r="AN543" s="344">
        <v>0.05</v>
      </c>
      <c r="AO543" s="344">
        <v>0.05</v>
      </c>
      <c r="AP543" s="344">
        <v>0.05</v>
      </c>
      <c r="AQ543" s="344">
        <v>0.05</v>
      </c>
      <c r="AR543" s="19"/>
      <c r="AS543" s="345">
        <v>0.05</v>
      </c>
      <c r="AT543" s="345">
        <v>0.05</v>
      </c>
      <c r="AU543" s="345">
        <v>0.05</v>
      </c>
      <c r="AV543" s="345">
        <v>0.05</v>
      </c>
      <c r="AW543" s="345">
        <v>0.05</v>
      </c>
      <c r="AX543" s="343">
        <v>0.05</v>
      </c>
      <c r="AY543" s="343">
        <v>0.05</v>
      </c>
      <c r="AZ543" s="343">
        <v>0.05</v>
      </c>
      <c r="BA543" s="343">
        <v>0.05</v>
      </c>
      <c r="BB543" s="50">
        <v>0.05</v>
      </c>
      <c r="BC543" s="343">
        <v>0.05</v>
      </c>
      <c r="BD543" s="343">
        <v>0.05</v>
      </c>
      <c r="BE543" s="343">
        <v>0.05</v>
      </c>
      <c r="BF543" s="343">
        <v>0.05</v>
      </c>
      <c r="BG543" s="343">
        <v>0.05</v>
      </c>
      <c r="BH543" s="343">
        <v>0.05</v>
      </c>
      <c r="BI543" s="343">
        <v>0.05</v>
      </c>
      <c r="BJ543" s="343">
        <v>0.05</v>
      </c>
      <c r="BK543" s="343">
        <v>0.05</v>
      </c>
      <c r="BL543" s="397">
        <v>0.05</v>
      </c>
      <c r="BM543" s="343">
        <v>0.05</v>
      </c>
      <c r="BN543" s="343">
        <v>0.05</v>
      </c>
      <c r="BO543" s="343">
        <v>0.05</v>
      </c>
      <c r="BP543" s="343">
        <v>0.05</v>
      </c>
      <c r="BQ543" s="343">
        <v>0.05</v>
      </c>
    </row>
    <row r="544" spans="1:69" ht="12" customHeight="1" outlineLevel="1">
      <c r="A544" s="91" t="s">
        <v>1334</v>
      </c>
      <c r="B544" s="1" t="s">
        <v>887</v>
      </c>
      <c r="C544" s="19"/>
      <c r="D544" s="345">
        <v>9.2999999999999999E-2</v>
      </c>
      <c r="E544" s="345">
        <v>9.2499999999999999E-2</v>
      </c>
      <c r="F544" s="345">
        <v>9.1999999999999998E-2</v>
      </c>
      <c r="G544" s="345">
        <v>9.1499999999999998E-2</v>
      </c>
      <c r="H544" s="345">
        <v>9.0999999999999998E-2</v>
      </c>
      <c r="I544" s="345">
        <v>9.0499999999999997E-2</v>
      </c>
      <c r="J544" s="345">
        <v>0.09</v>
      </c>
      <c r="K544" s="345">
        <v>8.950000000000001E-2</v>
      </c>
      <c r="L544" s="345">
        <v>8.900000000000001E-2</v>
      </c>
      <c r="M544" s="345">
        <v>8.8500000000000009E-2</v>
      </c>
      <c r="N544" s="345">
        <v>8.8000000000000009E-2</v>
      </c>
      <c r="O544" s="345">
        <v>8.7500000000000008E-2</v>
      </c>
      <c r="P544" s="345">
        <v>8.7000000000000008E-2</v>
      </c>
      <c r="Q544" s="345">
        <v>8.6500000000000007E-2</v>
      </c>
      <c r="R544" s="345">
        <v>8.6000000000000007E-2</v>
      </c>
      <c r="S544" s="345">
        <v>8.5500000000000007E-2</v>
      </c>
      <c r="T544" s="345">
        <v>8.5000000000000006E-2</v>
      </c>
      <c r="U544" s="345">
        <v>8.4500000000000006E-2</v>
      </c>
      <c r="V544" s="345">
        <v>8.4000000000000005E-2</v>
      </c>
      <c r="W544" s="345">
        <v>8.3500000000000005E-2</v>
      </c>
      <c r="X544" s="345">
        <v>8.3000000000000004E-2</v>
      </c>
      <c r="Y544" s="345">
        <v>8.2500000000000004E-2</v>
      </c>
      <c r="Z544" s="345">
        <v>8.2000000000000003E-2</v>
      </c>
      <c r="AA544" s="345">
        <v>8.1500000000000003E-2</v>
      </c>
      <c r="AB544" s="345">
        <v>8.1000000000000003E-2</v>
      </c>
      <c r="AC544" s="345">
        <v>8.0500000000000002E-2</v>
      </c>
      <c r="AD544" s="345">
        <v>0.08</v>
      </c>
      <c r="AE544" s="345">
        <v>7.9500000000000001E-2</v>
      </c>
      <c r="AF544" s="345">
        <v>7.9000000000000001E-2</v>
      </c>
      <c r="AG544" s="356">
        <v>7.85E-2</v>
      </c>
      <c r="AH544" s="344">
        <v>7.85E-2</v>
      </c>
      <c r="AI544" s="344">
        <v>7.85E-2</v>
      </c>
      <c r="AJ544" s="344">
        <v>7.85E-2</v>
      </c>
      <c r="AK544" s="344">
        <v>7.85E-2</v>
      </c>
      <c r="AL544" s="344">
        <v>7.85E-2</v>
      </c>
      <c r="AM544" s="344">
        <v>7.85E-2</v>
      </c>
      <c r="AN544" s="344">
        <v>7.85E-2</v>
      </c>
      <c r="AO544" s="344">
        <v>7.85E-2</v>
      </c>
      <c r="AP544" s="344">
        <v>7.85E-2</v>
      </c>
      <c r="AQ544" s="344">
        <v>7.85E-2</v>
      </c>
      <c r="AR544" s="19"/>
      <c r="AS544" s="345">
        <v>9.2999999999999999E-2</v>
      </c>
      <c r="AT544" s="345">
        <v>9.2999999999999999E-2</v>
      </c>
      <c r="AU544" s="345">
        <v>9.2999999999999999E-2</v>
      </c>
      <c r="AV544" s="345">
        <v>9.2999999999999999E-2</v>
      </c>
      <c r="AW544" s="345">
        <v>9.2999999999999999E-2</v>
      </c>
      <c r="AX544" s="343">
        <v>9.2499999999999999E-2</v>
      </c>
      <c r="AY544" s="343">
        <v>9.1499999999999998E-2</v>
      </c>
      <c r="AZ544" s="343">
        <v>9.0499999999999997E-2</v>
      </c>
      <c r="BA544" s="343">
        <v>8.950000000000001E-2</v>
      </c>
      <c r="BB544" s="50">
        <v>8.8500000000000009E-2</v>
      </c>
      <c r="BC544" s="343">
        <v>8.7500000000000008E-2</v>
      </c>
      <c r="BD544" s="343">
        <v>8.6500000000000007E-2</v>
      </c>
      <c r="BE544" s="343">
        <v>8.5500000000000007E-2</v>
      </c>
      <c r="BF544" s="343">
        <v>8.4500000000000006E-2</v>
      </c>
      <c r="BG544" s="343">
        <v>8.3500000000000005E-2</v>
      </c>
      <c r="BH544" s="343">
        <v>8.2500000000000004E-2</v>
      </c>
      <c r="BI544" s="343">
        <v>8.1500000000000003E-2</v>
      </c>
      <c r="BJ544" s="343">
        <v>8.0500000000000002E-2</v>
      </c>
      <c r="BK544" s="343">
        <v>7.9500000000000001E-2</v>
      </c>
      <c r="BL544" s="397">
        <v>7.85E-2</v>
      </c>
      <c r="BM544" s="343">
        <v>7.85E-2</v>
      </c>
      <c r="BN544" s="343">
        <v>7.85E-2</v>
      </c>
      <c r="BO544" s="343">
        <v>7.85E-2</v>
      </c>
      <c r="BP544" s="343">
        <v>7.85E-2</v>
      </c>
      <c r="BQ544" s="343">
        <v>7.85E-2</v>
      </c>
    </row>
    <row r="545" spans="1:69" ht="12" customHeight="1" outlineLevel="1">
      <c r="A545" s="91" t="s">
        <v>1347</v>
      </c>
      <c r="B545" s="1" t="s">
        <v>774</v>
      </c>
      <c r="C545" s="19"/>
      <c r="D545" s="347">
        <v>-87</v>
      </c>
      <c r="E545" s="21">
        <v>-94</v>
      </c>
      <c r="F545" s="21">
        <v>-89</v>
      </c>
      <c r="G545" s="21">
        <v>-85</v>
      </c>
      <c r="H545" s="21">
        <v>-84</v>
      </c>
      <c r="I545" s="21">
        <v>-84</v>
      </c>
      <c r="J545" s="21">
        <v>-67</v>
      </c>
      <c r="K545" s="21">
        <v>-58</v>
      </c>
      <c r="L545" s="21">
        <v>-58</v>
      </c>
      <c r="M545" s="21">
        <v>-46</v>
      </c>
      <c r="N545" s="62">
        <v>-41</v>
      </c>
      <c r="O545" s="62">
        <v>-47</v>
      </c>
      <c r="P545" s="21">
        <v>-46</v>
      </c>
      <c r="Q545" s="21">
        <v>-67</v>
      </c>
      <c r="R545" s="21">
        <v>-50</v>
      </c>
      <c r="S545" s="21">
        <v>-66</v>
      </c>
      <c r="T545" s="21">
        <v>-49</v>
      </c>
      <c r="U545" s="21">
        <v>-66</v>
      </c>
      <c r="V545" s="21">
        <v>-66</v>
      </c>
      <c r="W545" s="21">
        <v>-65</v>
      </c>
      <c r="X545" s="21">
        <v>-69</v>
      </c>
      <c r="Y545" s="21">
        <v>-56</v>
      </c>
      <c r="Z545" s="21">
        <v>-48</v>
      </c>
      <c r="AA545" s="21">
        <v>-55</v>
      </c>
      <c r="AB545" s="21">
        <v>-50</v>
      </c>
      <c r="AC545" s="21">
        <v>-44</v>
      </c>
      <c r="AD545" s="21">
        <v>-41</v>
      </c>
      <c r="AE545" s="21">
        <v>-41</v>
      </c>
      <c r="AF545" s="21">
        <v>-44</v>
      </c>
      <c r="AG545" s="24">
        <v>-45</v>
      </c>
      <c r="AH545" s="58">
        <v>-46.047811007048601</v>
      </c>
      <c r="AI545" s="58">
        <v>-47.407425582743038</v>
      </c>
      <c r="AJ545" s="58">
        <v>-48.83522165005526</v>
      </c>
      <c r="AK545" s="58">
        <v>-50.578283479347228</v>
      </c>
      <c r="AL545" s="58">
        <v>-50.930764799199572</v>
      </c>
      <c r="AM545" s="58">
        <v>-52.30646017484176</v>
      </c>
      <c r="AN545" s="58">
        <v>-53.093952070985722</v>
      </c>
      <c r="AO545" s="58">
        <v>-54.577601261994673</v>
      </c>
      <c r="AP545" s="58">
        <v>-55.457326753181619</v>
      </c>
      <c r="AQ545" s="58">
        <v>-56.846368922637296</v>
      </c>
      <c r="AR545" s="19"/>
      <c r="AS545" s="21">
        <v>-42</v>
      </c>
      <c r="AT545" s="21">
        <v>-60</v>
      </c>
      <c r="AU545" s="21">
        <v>-81</v>
      </c>
      <c r="AV545" s="21">
        <v>-120</v>
      </c>
      <c r="AW545" s="21">
        <v>-159</v>
      </c>
      <c r="AX545" s="19">
        <v>-181</v>
      </c>
      <c r="AY545" s="19">
        <v>-174</v>
      </c>
      <c r="AZ545" s="19">
        <v>-168</v>
      </c>
      <c r="BA545" s="19">
        <v>-125</v>
      </c>
      <c r="BB545" s="19">
        <v>-104</v>
      </c>
      <c r="BC545" s="19">
        <v>-88</v>
      </c>
      <c r="BD545" s="19">
        <v>-113</v>
      </c>
      <c r="BE545" s="19">
        <v>-116</v>
      </c>
      <c r="BF545" s="19">
        <v>-115</v>
      </c>
      <c r="BG545" s="19">
        <v>-131</v>
      </c>
      <c r="BH545" s="19">
        <v>-125</v>
      </c>
      <c r="BI545" s="19">
        <v>-103</v>
      </c>
      <c r="BJ545" s="19">
        <v>-94</v>
      </c>
      <c r="BK545" s="19">
        <v>-82</v>
      </c>
      <c r="BL545" s="20">
        <v>-89</v>
      </c>
      <c r="BM545" s="19">
        <v>-93.455236589791639</v>
      </c>
      <c r="BN545" s="19">
        <v>-99.413505129402495</v>
      </c>
      <c r="BO545" s="19">
        <v>-103.23722497404134</v>
      </c>
      <c r="BP545" s="19">
        <v>-107.67155333298039</v>
      </c>
      <c r="BQ545" s="19">
        <v>-112.30369567581891</v>
      </c>
    </row>
    <row r="546" spans="1:69" ht="12" customHeight="1" outlineLevel="1">
      <c r="A546" s="91" t="s">
        <v>1346</v>
      </c>
      <c r="B546" s="1" t="s">
        <v>1339</v>
      </c>
      <c r="C546" s="19"/>
      <c r="D546" s="21">
        <v>-9</v>
      </c>
      <c r="E546" s="21">
        <v>-23</v>
      </c>
      <c r="F546" s="21">
        <v>-28</v>
      </c>
      <c r="G546" s="21">
        <v>-46</v>
      </c>
      <c r="H546" s="21">
        <v>-39</v>
      </c>
      <c r="I546" s="21">
        <v>-47</v>
      </c>
      <c r="J546" s="21">
        <v>-27</v>
      </c>
      <c r="K546" s="21">
        <v>-35</v>
      </c>
      <c r="L546" s="21">
        <v>-38</v>
      </c>
      <c r="M546" s="21">
        <v>-28</v>
      </c>
      <c r="N546" s="62">
        <v>-28</v>
      </c>
      <c r="O546" s="62">
        <v>-67</v>
      </c>
      <c r="P546" s="21">
        <v>-41</v>
      </c>
      <c r="Q546" s="21">
        <v>-20</v>
      </c>
      <c r="R546" s="21">
        <v>-17</v>
      </c>
      <c r="S546" s="21">
        <v>-18</v>
      </c>
      <c r="T546" s="21">
        <v>-21</v>
      </c>
      <c r="U546" s="21">
        <v>-20</v>
      </c>
      <c r="V546" s="21">
        <v>-22</v>
      </c>
      <c r="W546" s="21">
        <v>-25</v>
      </c>
      <c r="X546" s="21">
        <v>-31</v>
      </c>
      <c r="Y546" s="21">
        <v>-39</v>
      </c>
      <c r="Z546" s="21">
        <v>-33</v>
      </c>
      <c r="AA546" s="21">
        <v>-30</v>
      </c>
      <c r="AB546" s="21">
        <v>-70</v>
      </c>
      <c r="AC546" s="21">
        <v>-64</v>
      </c>
      <c r="AD546" s="21">
        <v>-72</v>
      </c>
      <c r="AE546" s="21">
        <v>-109</v>
      </c>
      <c r="AF546" s="21">
        <v>-80</v>
      </c>
      <c r="AG546" s="24">
        <v>-84</v>
      </c>
      <c r="AH546" s="58">
        <v>-85.955913879824053</v>
      </c>
      <c r="AI546" s="58">
        <v>-88.493861087786996</v>
      </c>
      <c r="AJ546" s="58">
        <v>-91.159080413436484</v>
      </c>
      <c r="AK546" s="58">
        <v>-94.412795828114824</v>
      </c>
      <c r="AL546" s="58">
        <v>-95.070760958505858</v>
      </c>
      <c r="AM546" s="58">
        <v>-97.638725659704605</v>
      </c>
      <c r="AN546" s="58">
        <v>-99.108710532506677</v>
      </c>
      <c r="AO546" s="58">
        <v>-101.87818902239005</v>
      </c>
      <c r="AP546" s="58">
        <v>-103.52034327260567</v>
      </c>
      <c r="AQ546" s="58">
        <v>-106.11322198892293</v>
      </c>
      <c r="AR546" s="19"/>
      <c r="AS546" s="21"/>
      <c r="AT546" s="21"/>
      <c r="AU546" s="21"/>
      <c r="AV546" s="21">
        <v>-25</v>
      </c>
      <c r="AW546" s="21">
        <v>-35</v>
      </c>
      <c r="AX546" s="19">
        <v>-32</v>
      </c>
      <c r="AY546" s="19">
        <v>-74</v>
      </c>
      <c r="AZ546" s="19">
        <v>-86</v>
      </c>
      <c r="BA546" s="19">
        <v>-62</v>
      </c>
      <c r="BB546" s="19">
        <v>-66</v>
      </c>
      <c r="BC546" s="19">
        <v>-95</v>
      </c>
      <c r="BD546" s="19">
        <v>-61</v>
      </c>
      <c r="BE546" s="19">
        <v>-35</v>
      </c>
      <c r="BF546" s="19">
        <v>-41</v>
      </c>
      <c r="BG546" s="19">
        <v>-47</v>
      </c>
      <c r="BH546" s="19">
        <v>-70</v>
      </c>
      <c r="BI546" s="19">
        <v>-63</v>
      </c>
      <c r="BJ546" s="19">
        <v>-134</v>
      </c>
      <c r="BK546" s="19">
        <v>-181</v>
      </c>
      <c r="BL546" s="20">
        <v>-164</v>
      </c>
      <c r="BM546" s="19">
        <v>-174.44977496761106</v>
      </c>
      <c r="BN546" s="19">
        <v>-185.57187624155131</v>
      </c>
      <c r="BO546" s="19">
        <v>-192.70948661821046</v>
      </c>
      <c r="BP546" s="19">
        <v>-200.98689955489672</v>
      </c>
      <c r="BQ546" s="19">
        <v>-209.63356526152859</v>
      </c>
    </row>
    <row r="547" spans="1:69" ht="12" customHeight="1" outlineLevel="1">
      <c r="A547" s="91" t="s">
        <v>1345</v>
      </c>
      <c r="B547" s="1" t="s">
        <v>1340</v>
      </c>
      <c r="C547" s="19"/>
      <c r="D547" s="21">
        <v>-251</v>
      </c>
      <c r="E547" s="21">
        <v>-231</v>
      </c>
      <c r="F547" s="21">
        <v>-237</v>
      </c>
      <c r="G547" s="21">
        <v>-246</v>
      </c>
      <c r="H547" s="21">
        <v>-213</v>
      </c>
      <c r="I547" s="21">
        <v>-243</v>
      </c>
      <c r="J547" s="21">
        <v>-188</v>
      </c>
      <c r="K547" s="21">
        <v>-202</v>
      </c>
      <c r="L547" s="21">
        <v>-153</v>
      </c>
      <c r="M547" s="21">
        <v>-145</v>
      </c>
      <c r="N547" s="62">
        <v>-144</v>
      </c>
      <c r="O547" s="62">
        <v>-163</v>
      </c>
      <c r="P547" s="21">
        <v>-168</v>
      </c>
      <c r="Q547" s="21">
        <v>-159</v>
      </c>
      <c r="R547" s="21">
        <v>-165</v>
      </c>
      <c r="S547" s="21">
        <v>-154</v>
      </c>
      <c r="T547" s="21">
        <v>-199</v>
      </c>
      <c r="U547" s="21">
        <v>-203</v>
      </c>
      <c r="V547" s="21">
        <v>-207</v>
      </c>
      <c r="W547" s="21">
        <v>-234</v>
      </c>
      <c r="X547" s="21">
        <v>-201</v>
      </c>
      <c r="Y547" s="21">
        <v>-199</v>
      </c>
      <c r="Z547" s="21">
        <v>-196</v>
      </c>
      <c r="AA547" s="21">
        <v>-186</v>
      </c>
      <c r="AB547" s="21">
        <v>-182</v>
      </c>
      <c r="AC547" s="21">
        <v>-175</v>
      </c>
      <c r="AD547" s="21">
        <v>-182</v>
      </c>
      <c r="AE547" s="21">
        <v>-190</v>
      </c>
      <c r="AF547" s="21">
        <v>-195</v>
      </c>
      <c r="AG547" s="24">
        <v>-199</v>
      </c>
      <c r="AH547" s="58">
        <v>-203.63365312005936</v>
      </c>
      <c r="AI547" s="58">
        <v>-209.64617091035254</v>
      </c>
      <c r="AJ547" s="58">
        <v>-215.96020240802216</v>
      </c>
      <c r="AK547" s="58">
        <v>-223.66840916422441</v>
      </c>
      <c r="AL547" s="58">
        <v>-225.22715988979365</v>
      </c>
      <c r="AM547" s="58">
        <v>-231.31079055096689</v>
      </c>
      <c r="AN547" s="58">
        <v>-234.79325471391465</v>
      </c>
      <c r="AO547" s="58">
        <v>-241.35428113637647</v>
      </c>
      <c r="AP547" s="58">
        <v>-245.24462275295875</v>
      </c>
      <c r="AQ547" s="58">
        <v>-251.38727590232941</v>
      </c>
      <c r="AR547" s="19"/>
      <c r="AS547" s="21">
        <v>-101</v>
      </c>
      <c r="AT547" s="21">
        <v>-139</v>
      </c>
      <c r="AU547" s="21">
        <v>-226</v>
      </c>
      <c r="AV547" s="21">
        <v>-264</v>
      </c>
      <c r="AW547" s="21">
        <v>-393</v>
      </c>
      <c r="AX547" s="19">
        <v>-482</v>
      </c>
      <c r="AY547" s="19">
        <v>-483</v>
      </c>
      <c r="AZ547" s="19">
        <v>-456</v>
      </c>
      <c r="BA547" s="19">
        <v>-390</v>
      </c>
      <c r="BB547" s="19">
        <v>-298</v>
      </c>
      <c r="BC547" s="19">
        <v>-307</v>
      </c>
      <c r="BD547" s="19">
        <v>-327</v>
      </c>
      <c r="BE547" s="19">
        <v>-319</v>
      </c>
      <c r="BF547" s="19">
        <v>-402</v>
      </c>
      <c r="BG547" s="19">
        <v>-441</v>
      </c>
      <c r="BH547" s="19">
        <v>-400</v>
      </c>
      <c r="BI547" s="19">
        <v>-382</v>
      </c>
      <c r="BJ547" s="19">
        <v>-357</v>
      </c>
      <c r="BK547" s="19">
        <v>-372</v>
      </c>
      <c r="BL547" s="20">
        <v>-394</v>
      </c>
      <c r="BM547" s="19">
        <v>-413.27982403041187</v>
      </c>
      <c r="BN547" s="19">
        <v>-439.62861157224654</v>
      </c>
      <c r="BO547" s="19">
        <v>-456.53795044076054</v>
      </c>
      <c r="BP547" s="19">
        <v>-476.14753585029109</v>
      </c>
      <c r="BQ547" s="19">
        <v>-496.63189865528818</v>
      </c>
    </row>
    <row r="548" spans="1:69" ht="12" customHeight="1" outlineLevel="1">
      <c r="A548" s="91" t="s">
        <v>1344</v>
      </c>
      <c r="B548" s="1" t="s">
        <v>1341</v>
      </c>
      <c r="C548" s="19"/>
      <c r="D548" s="21">
        <v>-125</v>
      </c>
      <c r="E548" s="21">
        <v>-158</v>
      </c>
      <c r="F548" s="21">
        <v>-159</v>
      </c>
      <c r="G548" s="21">
        <v>-157</v>
      </c>
      <c r="H548" s="21">
        <v>-149</v>
      </c>
      <c r="I548" s="21">
        <v>-141</v>
      </c>
      <c r="J548" s="21">
        <v>-132</v>
      </c>
      <c r="K548" s="21">
        <v>-128</v>
      </c>
      <c r="L548" s="21">
        <v>-143</v>
      </c>
      <c r="M548" s="21">
        <v>-160</v>
      </c>
      <c r="N548" s="62">
        <v>-199</v>
      </c>
      <c r="O548" s="62">
        <v>-222</v>
      </c>
      <c r="P548" s="21">
        <v>-275</v>
      </c>
      <c r="Q548" s="21">
        <v>-287</v>
      </c>
      <c r="R548" s="21">
        <v>-330</v>
      </c>
      <c r="S548" s="21">
        <v>-287</v>
      </c>
      <c r="T548" s="21">
        <v>-283</v>
      </c>
      <c r="U548" s="21">
        <v>-297</v>
      </c>
      <c r="V548" s="21">
        <v>-320</v>
      </c>
      <c r="W548" s="21">
        <v>-364</v>
      </c>
      <c r="X548" s="21">
        <v>-367</v>
      </c>
      <c r="Y548" s="21">
        <v>-382</v>
      </c>
      <c r="Z548" s="21">
        <v>-395</v>
      </c>
      <c r="AA548" s="21">
        <v>-386</v>
      </c>
      <c r="AB548" s="21">
        <v>-417</v>
      </c>
      <c r="AC548" s="21">
        <v>-509</v>
      </c>
      <c r="AD548" s="21">
        <v>-545</v>
      </c>
      <c r="AE548" s="21">
        <v>-547</v>
      </c>
      <c r="AF548" s="21">
        <v>-594</v>
      </c>
      <c r="AG548" s="24">
        <v>-569</v>
      </c>
      <c r="AH548" s="58">
        <v>-582.24898806690339</v>
      </c>
      <c r="AI548" s="58">
        <v>-599.44055903512856</v>
      </c>
      <c r="AJ548" s="58">
        <v>-617.49424708625418</v>
      </c>
      <c r="AK548" s="58">
        <v>-639.53429554996819</v>
      </c>
      <c r="AL548" s="58">
        <v>-643.99122601654562</v>
      </c>
      <c r="AM548" s="58">
        <v>-661.38612976633237</v>
      </c>
      <c r="AN548" s="58">
        <v>-671.34352729757495</v>
      </c>
      <c r="AO548" s="58">
        <v>-690.10344706833257</v>
      </c>
      <c r="AP548" s="58">
        <v>-701.22708716800753</v>
      </c>
      <c r="AQ548" s="58">
        <v>-718.79075371068041</v>
      </c>
      <c r="AR548" s="19"/>
      <c r="AS548" s="21">
        <v>-104</v>
      </c>
      <c r="AT548" s="21">
        <v>-128</v>
      </c>
      <c r="AU548" s="21">
        <v>-163</v>
      </c>
      <c r="AV548" s="21">
        <v>-214</v>
      </c>
      <c r="AW548" s="21">
        <v>-263</v>
      </c>
      <c r="AX548" s="19">
        <v>-283</v>
      </c>
      <c r="AY548" s="19">
        <v>-316</v>
      </c>
      <c r="AZ548" s="19">
        <v>-290</v>
      </c>
      <c r="BA548" s="19">
        <v>-260</v>
      </c>
      <c r="BB548" s="19">
        <v>-303</v>
      </c>
      <c r="BC548" s="19">
        <v>-421</v>
      </c>
      <c r="BD548" s="19">
        <v>-562</v>
      </c>
      <c r="BE548" s="19">
        <v>-617</v>
      </c>
      <c r="BF548" s="19">
        <v>-580</v>
      </c>
      <c r="BG548" s="19">
        <v>-684</v>
      </c>
      <c r="BH548" s="19">
        <v>-749</v>
      </c>
      <c r="BI548" s="19">
        <v>-781</v>
      </c>
      <c r="BJ548" s="19">
        <v>-926</v>
      </c>
      <c r="BK548" s="19">
        <v>-1092</v>
      </c>
      <c r="BL548" s="20">
        <v>-1163</v>
      </c>
      <c r="BM548" s="19">
        <v>-1181.6895471020321</v>
      </c>
      <c r="BN548" s="19">
        <v>-1257.0285426362225</v>
      </c>
      <c r="BO548" s="19">
        <v>-1305.3773557828781</v>
      </c>
      <c r="BP548" s="19">
        <v>-1361.4469743659074</v>
      </c>
      <c r="BQ548" s="19">
        <v>-1420.0178408786878</v>
      </c>
    </row>
    <row r="549" spans="1:69" ht="12" customHeight="1" outlineLevel="1">
      <c r="A549" s="91" t="s">
        <v>1343</v>
      </c>
      <c r="B549" s="1" t="s">
        <v>1342</v>
      </c>
      <c r="C549" s="19"/>
      <c r="D549" s="21">
        <v>-58</v>
      </c>
      <c r="E549" s="21">
        <v>-166</v>
      </c>
      <c r="F549" s="21">
        <v>-125</v>
      </c>
      <c r="G549" s="21">
        <v>-181</v>
      </c>
      <c r="H549" s="21">
        <v>-113</v>
      </c>
      <c r="I549" s="21">
        <v>-161</v>
      </c>
      <c r="J549" s="21">
        <v>-134</v>
      </c>
      <c r="K549" s="21">
        <v>-139</v>
      </c>
      <c r="L549" s="21">
        <v>-153</v>
      </c>
      <c r="M549" s="21">
        <v>-131</v>
      </c>
      <c r="N549" s="62">
        <v>-180</v>
      </c>
      <c r="O549" s="62">
        <v>-160</v>
      </c>
      <c r="P549" s="62">
        <v>-184</v>
      </c>
      <c r="Q549" s="62">
        <v>-155</v>
      </c>
      <c r="R549" s="62">
        <v>-231</v>
      </c>
      <c r="S549" s="62">
        <v>-185</v>
      </c>
      <c r="T549" s="62">
        <v>-208</v>
      </c>
      <c r="U549" s="62">
        <v>-202</v>
      </c>
      <c r="V549" s="62">
        <v>-247</v>
      </c>
      <c r="W549" s="62">
        <v>-275</v>
      </c>
      <c r="X549" s="62">
        <v>-349</v>
      </c>
      <c r="Y549" s="62">
        <v>-237</v>
      </c>
      <c r="Z549" s="62">
        <v>-279</v>
      </c>
      <c r="AA549" s="62">
        <v>-303</v>
      </c>
      <c r="AB549" s="62">
        <v>-319</v>
      </c>
      <c r="AC549" s="62">
        <v>-340</v>
      </c>
      <c r="AD549" s="62">
        <v>-366</v>
      </c>
      <c r="AE549" s="62">
        <v>-396</v>
      </c>
      <c r="AF549" s="62">
        <v>-406</v>
      </c>
      <c r="AG549" s="57">
        <v>-427</v>
      </c>
      <c r="AH549" s="58">
        <v>-436.94256222243894</v>
      </c>
      <c r="AI549" s="58">
        <v>-449.84379386291727</v>
      </c>
      <c r="AJ549" s="58">
        <v>-463.39199210163548</v>
      </c>
      <c r="AK549" s="58">
        <v>-479.93171212625037</v>
      </c>
      <c r="AL549" s="58">
        <v>-483.27636820573815</v>
      </c>
      <c r="AM549" s="58">
        <v>-496.33018877016514</v>
      </c>
      <c r="AN549" s="58">
        <v>-503.80261187357564</v>
      </c>
      <c r="AO549" s="58">
        <v>-517.8807941971495</v>
      </c>
      <c r="AP549" s="58">
        <v>-526.2284116357456</v>
      </c>
      <c r="AQ549" s="58">
        <v>-539.40887844369172</v>
      </c>
      <c r="AR549" s="19"/>
      <c r="AS549" s="21">
        <v>-42</v>
      </c>
      <c r="AT549" s="21">
        <v>-53</v>
      </c>
      <c r="AU549" s="21">
        <v>-87</v>
      </c>
      <c r="AV549" s="21">
        <v>-126</v>
      </c>
      <c r="AW549" s="21">
        <v>-128</v>
      </c>
      <c r="AX549" s="19">
        <v>-224</v>
      </c>
      <c r="AY549" s="19">
        <v>-306</v>
      </c>
      <c r="AZ549" s="19">
        <v>-274</v>
      </c>
      <c r="BA549" s="19">
        <v>-273</v>
      </c>
      <c r="BB549" s="19">
        <v>-284</v>
      </c>
      <c r="BC549" s="19">
        <v>-340</v>
      </c>
      <c r="BD549" s="19">
        <v>-339</v>
      </c>
      <c r="BE549" s="19">
        <v>-416</v>
      </c>
      <c r="BF549" s="19">
        <v>-410</v>
      </c>
      <c r="BG549" s="19">
        <v>-522</v>
      </c>
      <c r="BH549" s="19">
        <v>-586</v>
      </c>
      <c r="BI549" s="19">
        <v>-582</v>
      </c>
      <c r="BJ549" s="19">
        <v>-659</v>
      </c>
      <c r="BK549" s="19">
        <v>-762</v>
      </c>
      <c r="BL549" s="20">
        <v>-833</v>
      </c>
      <c r="BM549" s="19">
        <v>-886.78635608535615</v>
      </c>
      <c r="BN549" s="19">
        <v>-943.32370422788586</v>
      </c>
      <c r="BO549" s="19">
        <v>-979.60655697590323</v>
      </c>
      <c r="BP549" s="19">
        <v>-1021.6834060707251</v>
      </c>
      <c r="BQ549" s="19">
        <v>-1065.6372900794372</v>
      </c>
    </row>
    <row r="550" spans="1:69" ht="12" hidden="1" customHeight="1" outlineLevel="2">
      <c r="A550" s="91" t="s">
        <v>1348</v>
      </c>
      <c r="B550" s="1" t="s">
        <v>173</v>
      </c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20"/>
      <c r="AH550" s="19"/>
      <c r="AI550" s="19"/>
      <c r="AJ550" s="19"/>
      <c r="AK550" s="19"/>
      <c r="AL550" s="19"/>
      <c r="AM550" s="19"/>
      <c r="AN550" s="19"/>
      <c r="AO550" s="19"/>
      <c r="AP550" s="19"/>
      <c r="AQ550" s="19"/>
      <c r="AR550" s="19"/>
      <c r="AS550" s="19"/>
      <c r="AT550" s="19"/>
      <c r="AU550" s="19"/>
      <c r="AV550" s="19"/>
      <c r="AW550" s="19"/>
      <c r="AX550" s="19"/>
      <c r="AY550" s="19"/>
      <c r="AZ550" s="19"/>
      <c r="BA550" s="19"/>
      <c r="BB550" s="19"/>
      <c r="BC550" s="19"/>
      <c r="BD550" s="19"/>
      <c r="BE550" s="19"/>
      <c r="BF550" s="19"/>
      <c r="BG550" s="19"/>
      <c r="BH550" s="19"/>
      <c r="BI550" s="19"/>
      <c r="BJ550" s="19"/>
      <c r="BK550" s="19"/>
      <c r="BL550" s="20"/>
      <c r="BM550" s="19"/>
      <c r="BN550" s="19"/>
      <c r="BO550" s="19"/>
      <c r="BP550" s="19"/>
      <c r="BQ550" s="19"/>
    </row>
    <row r="551" spans="1:69" ht="12" hidden="1" customHeight="1" outlineLevel="2">
      <c r="A551" s="91" t="s">
        <v>1349</v>
      </c>
      <c r="B551" s="1" t="s">
        <v>173</v>
      </c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20"/>
      <c r="AH551" s="19"/>
      <c r="AI551" s="19"/>
      <c r="AJ551" s="19"/>
      <c r="AK551" s="19"/>
      <c r="AL551" s="19"/>
      <c r="AM551" s="19"/>
      <c r="AN551" s="19"/>
      <c r="AO551" s="19"/>
      <c r="AP551" s="19"/>
      <c r="AQ551" s="19"/>
      <c r="AR551" s="19"/>
      <c r="AS551" s="19"/>
      <c r="AT551" s="19"/>
      <c r="AU551" s="19"/>
      <c r="AV551" s="19"/>
      <c r="AW551" s="19"/>
      <c r="AX551" s="19"/>
      <c r="AY551" s="19"/>
      <c r="AZ551" s="19"/>
      <c r="BA551" s="19"/>
      <c r="BB551" s="19"/>
      <c r="BC551" s="19"/>
      <c r="BD551" s="19"/>
      <c r="BE551" s="19"/>
      <c r="BF551" s="19"/>
      <c r="BG551" s="19"/>
      <c r="BH551" s="19"/>
      <c r="BI551" s="19"/>
      <c r="BJ551" s="19"/>
      <c r="BK551" s="19"/>
      <c r="BL551" s="20"/>
      <c r="BM551" s="19"/>
      <c r="BN551" s="19"/>
      <c r="BO551" s="19"/>
      <c r="BP551" s="19"/>
      <c r="BQ551" s="19"/>
    </row>
    <row r="552" spans="1:69" ht="12" hidden="1" customHeight="1" outlineLevel="2">
      <c r="A552" s="91" t="s">
        <v>1350</v>
      </c>
      <c r="B552" s="1" t="s">
        <v>173</v>
      </c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20"/>
      <c r="AH552" s="19"/>
      <c r="AI552" s="19"/>
      <c r="AJ552" s="19"/>
      <c r="AK552" s="19"/>
      <c r="AL552" s="19"/>
      <c r="AM552" s="19"/>
      <c r="AN552" s="19"/>
      <c r="AO552" s="19"/>
      <c r="AP552" s="19"/>
      <c r="AQ552" s="19"/>
      <c r="AR552" s="19"/>
      <c r="AS552" s="19"/>
      <c r="AT552" s="19"/>
      <c r="AU552" s="19"/>
      <c r="AV552" s="19"/>
      <c r="AW552" s="19"/>
      <c r="AX552" s="19"/>
      <c r="AY552" s="19"/>
      <c r="AZ552" s="19"/>
      <c r="BA552" s="19"/>
      <c r="BB552" s="19"/>
      <c r="BC552" s="19"/>
      <c r="BD552" s="19"/>
      <c r="BE552" s="19"/>
      <c r="BF552" s="19"/>
      <c r="BG552" s="19"/>
      <c r="BH552" s="19"/>
      <c r="BI552" s="19"/>
      <c r="BJ552" s="19"/>
      <c r="BK552" s="19"/>
      <c r="BL552" s="20"/>
      <c r="BM552" s="19"/>
      <c r="BN552" s="19"/>
      <c r="BO552" s="19"/>
      <c r="BP552" s="19"/>
      <c r="BQ552" s="19"/>
    </row>
    <row r="553" spans="1:69" ht="12" hidden="1" customHeight="1" outlineLevel="2">
      <c r="A553" s="91" t="s">
        <v>1351</v>
      </c>
      <c r="B553" s="1" t="s">
        <v>173</v>
      </c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20"/>
      <c r="AH553" s="19"/>
      <c r="AI553" s="19"/>
      <c r="AJ553" s="19"/>
      <c r="AK553" s="19"/>
      <c r="AL553" s="19"/>
      <c r="AM553" s="19"/>
      <c r="AN553" s="19"/>
      <c r="AO553" s="19"/>
      <c r="AP553" s="19"/>
      <c r="AQ553" s="19"/>
      <c r="AR553" s="19"/>
      <c r="AS553" s="19"/>
      <c r="AT553" s="19"/>
      <c r="AU553" s="19"/>
      <c r="AV553" s="19"/>
      <c r="AW553" s="19"/>
      <c r="AX553" s="19"/>
      <c r="AY553" s="19"/>
      <c r="AZ553" s="19"/>
      <c r="BA553" s="19"/>
      <c r="BB553" s="19"/>
      <c r="BC553" s="19"/>
      <c r="BD553" s="19"/>
      <c r="BE553" s="19"/>
      <c r="BF553" s="19"/>
      <c r="BG553" s="19"/>
      <c r="BH553" s="19"/>
      <c r="BI553" s="19"/>
      <c r="BJ553" s="19"/>
      <c r="BK553" s="19"/>
      <c r="BL553" s="20"/>
      <c r="BM553" s="19"/>
      <c r="BN553" s="19"/>
      <c r="BO553" s="19"/>
      <c r="BP553" s="19"/>
      <c r="BQ553" s="19"/>
    </row>
    <row r="554" spans="1:69" ht="12" hidden="1" customHeight="1" outlineLevel="2">
      <c r="A554" s="91" t="s">
        <v>1352</v>
      </c>
      <c r="B554" s="1" t="s">
        <v>173</v>
      </c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20"/>
      <c r="AH554" s="19"/>
      <c r="AI554" s="19"/>
      <c r="AJ554" s="19"/>
      <c r="AK554" s="19"/>
      <c r="AL554" s="19"/>
      <c r="AM554" s="19"/>
      <c r="AN554" s="19"/>
      <c r="AO554" s="19"/>
      <c r="AP554" s="19"/>
      <c r="AQ554" s="19"/>
      <c r="AR554" s="19"/>
      <c r="AS554" s="19"/>
      <c r="AT554" s="19"/>
      <c r="AU554" s="19"/>
      <c r="AV554" s="19"/>
      <c r="AW554" s="19"/>
      <c r="AX554" s="19"/>
      <c r="AY554" s="19"/>
      <c r="AZ554" s="19"/>
      <c r="BA554" s="19"/>
      <c r="BB554" s="19"/>
      <c r="BC554" s="19"/>
      <c r="BD554" s="19"/>
      <c r="BE554" s="19"/>
      <c r="BF554" s="19"/>
      <c r="BG554" s="19"/>
      <c r="BH554" s="19"/>
      <c r="BI554" s="19"/>
      <c r="BJ554" s="19"/>
      <c r="BK554" s="19"/>
      <c r="BL554" s="20"/>
      <c r="BM554" s="19"/>
      <c r="BN554" s="19"/>
      <c r="BO554" s="19"/>
      <c r="BP554" s="19"/>
      <c r="BQ554" s="19"/>
    </row>
    <row r="555" spans="1:69" ht="12" customHeight="1" outlineLevel="1" collapsed="1"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20"/>
      <c r="AH555" s="19"/>
      <c r="AI555" s="19"/>
      <c r="AJ555" s="19"/>
      <c r="AK555" s="19"/>
      <c r="AL555" s="19"/>
      <c r="AM555" s="19"/>
      <c r="AN555" s="19"/>
      <c r="AO555" s="19"/>
      <c r="AP555" s="19"/>
      <c r="AQ555" s="19"/>
      <c r="AR555" s="19"/>
      <c r="AS555" s="19"/>
      <c r="AT555" s="19"/>
      <c r="AU555" s="19"/>
      <c r="AV555" s="19"/>
      <c r="AW555" s="19"/>
      <c r="AX555" s="19"/>
      <c r="AY555" s="19"/>
      <c r="AZ555" s="19"/>
      <c r="BA555" s="19"/>
      <c r="BB555" s="19"/>
      <c r="BC555" s="19"/>
      <c r="BD555" s="19"/>
      <c r="BE555" s="19"/>
      <c r="BF555" s="19"/>
      <c r="BG555" s="19"/>
      <c r="BH555" s="19"/>
      <c r="BI555" s="19"/>
      <c r="BJ555" s="19"/>
      <c r="BK555" s="19"/>
      <c r="BL555" s="20"/>
      <c r="BM555" s="19"/>
      <c r="BN555" s="19"/>
      <c r="BO555" s="19"/>
      <c r="BP555" s="19"/>
      <c r="BQ555" s="19"/>
    </row>
    <row r="556" spans="1:69" ht="12" customHeight="1" outlineLevel="1">
      <c r="B556" s="9" t="s">
        <v>412</v>
      </c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20"/>
      <c r="AH556" s="19"/>
      <c r="AI556" s="19"/>
      <c r="AJ556" s="19"/>
      <c r="AK556" s="19"/>
      <c r="AL556" s="19"/>
      <c r="AM556" s="19"/>
      <c r="AN556" s="19"/>
      <c r="AO556" s="19"/>
      <c r="AP556" s="19"/>
      <c r="AQ556" s="19"/>
      <c r="AR556" s="19"/>
      <c r="AS556" s="19"/>
      <c r="AT556" s="19"/>
      <c r="AU556" s="19"/>
      <c r="AV556" s="19"/>
      <c r="AW556" s="19"/>
      <c r="AX556" s="19"/>
      <c r="AY556" s="19"/>
      <c r="AZ556" s="19"/>
      <c r="BA556" s="19"/>
      <c r="BB556" s="19"/>
      <c r="BC556" s="19"/>
      <c r="BD556" s="19"/>
      <c r="BE556" s="19"/>
      <c r="BF556" s="19"/>
      <c r="BG556" s="19"/>
      <c r="BH556" s="19"/>
      <c r="BI556" s="19"/>
      <c r="BJ556" s="19"/>
      <c r="BK556" s="19"/>
      <c r="BL556" s="20"/>
      <c r="BM556" s="19"/>
      <c r="BN556" s="19"/>
      <c r="BO556" s="19"/>
      <c r="BP556" s="19"/>
      <c r="BQ556" s="19"/>
    </row>
    <row r="557" spans="1:69" ht="12" customHeight="1" outlineLevel="1">
      <c r="A557" s="91" t="s">
        <v>425</v>
      </c>
      <c r="B557" s="1" t="s">
        <v>415</v>
      </c>
      <c r="C557" s="19"/>
      <c r="D557" s="21">
        <v>399</v>
      </c>
      <c r="E557" s="21">
        <v>352</v>
      </c>
      <c r="F557" s="21">
        <v>379</v>
      </c>
      <c r="G557" s="21">
        <v>334</v>
      </c>
      <c r="H557" s="21">
        <v>369</v>
      </c>
      <c r="I557" s="21">
        <v>389</v>
      </c>
      <c r="J557" s="21">
        <v>389</v>
      </c>
      <c r="K557" s="21">
        <v>383</v>
      </c>
      <c r="L557" s="21">
        <v>375</v>
      </c>
      <c r="M557" s="21">
        <v>359</v>
      </c>
      <c r="N557" s="21">
        <v>389</v>
      </c>
      <c r="O557" s="21">
        <v>621</v>
      </c>
      <c r="P557" s="21">
        <v>816</v>
      </c>
      <c r="Q557" s="21">
        <v>413</v>
      </c>
      <c r="R557" s="21">
        <v>520</v>
      </c>
      <c r="S557" s="21">
        <v>417</v>
      </c>
      <c r="T557" s="21">
        <v>402</v>
      </c>
      <c r="U557" s="21">
        <v>177</v>
      </c>
      <c r="V557" s="21">
        <v>0</v>
      </c>
      <c r="W557" s="21">
        <v>0</v>
      </c>
      <c r="X557" s="21">
        <v>0</v>
      </c>
      <c r="Y557" s="21">
        <v>0</v>
      </c>
      <c r="Z557" s="21">
        <v>0</v>
      </c>
      <c r="AA557" s="21">
        <v>0</v>
      </c>
      <c r="AB557" s="21">
        <v>0</v>
      </c>
      <c r="AC557" s="21">
        <v>0</v>
      </c>
      <c r="AD557" s="21">
        <v>0</v>
      </c>
      <c r="AE557" s="21">
        <v>0</v>
      </c>
      <c r="AF557" s="21">
        <v>0</v>
      </c>
      <c r="AG557" s="24">
        <v>0</v>
      </c>
      <c r="AH557" s="19">
        <v>0</v>
      </c>
      <c r="AI557" s="19">
        <v>0</v>
      </c>
      <c r="AJ557" s="19">
        <v>0</v>
      </c>
      <c r="AK557" s="19">
        <v>0</v>
      </c>
      <c r="AL557" s="19">
        <v>0</v>
      </c>
      <c r="AM557" s="19">
        <v>0</v>
      </c>
      <c r="AN557" s="19">
        <v>0</v>
      </c>
      <c r="AO557" s="19">
        <v>0</v>
      </c>
      <c r="AP557" s="19">
        <v>0</v>
      </c>
      <c r="AQ557" s="19">
        <v>0</v>
      </c>
      <c r="AR557" s="21"/>
      <c r="AS557" s="21">
        <v>45</v>
      </c>
      <c r="AT557" s="21">
        <v>52</v>
      </c>
      <c r="AU557" s="21">
        <v>71</v>
      </c>
      <c r="AV557" s="21">
        <v>111</v>
      </c>
      <c r="AW557" s="21">
        <v>431</v>
      </c>
      <c r="AX557" s="19">
        <v>352</v>
      </c>
      <c r="AY557" s="19">
        <v>334</v>
      </c>
      <c r="AZ557" s="19">
        <v>389</v>
      </c>
      <c r="BA557" s="19">
        <v>383</v>
      </c>
      <c r="BB557" s="19">
        <v>359</v>
      </c>
      <c r="BC557" s="19">
        <v>621</v>
      </c>
      <c r="BD557" s="19">
        <v>413</v>
      </c>
      <c r="BE557" s="19">
        <v>417</v>
      </c>
      <c r="BF557" s="19">
        <v>177</v>
      </c>
      <c r="BG557" s="19">
        <v>0</v>
      </c>
      <c r="BH557" s="19">
        <v>0</v>
      </c>
      <c r="BI557" s="19">
        <v>0</v>
      </c>
      <c r="BJ557" s="19">
        <v>0</v>
      </c>
      <c r="BK557" s="19">
        <v>0</v>
      </c>
      <c r="BL557" s="20">
        <v>0</v>
      </c>
      <c r="BM557" s="19">
        <v>0</v>
      </c>
      <c r="BN557" s="19">
        <v>0</v>
      </c>
      <c r="BO557" s="19">
        <v>0</v>
      </c>
      <c r="BP557" s="19">
        <v>0</v>
      </c>
      <c r="BQ557" s="19">
        <v>0</v>
      </c>
    </row>
    <row r="558" spans="1:69" ht="12" customHeight="1" outlineLevel="1">
      <c r="A558" s="91" t="s">
        <v>424</v>
      </c>
      <c r="B558" s="1" t="s">
        <v>416</v>
      </c>
      <c r="C558" s="19"/>
      <c r="D558" s="21">
        <v>216</v>
      </c>
      <c r="E558" s="21">
        <v>229</v>
      </c>
      <c r="F558" s="21">
        <v>222</v>
      </c>
      <c r="G558" s="21">
        <v>227</v>
      </c>
      <c r="H558" s="21">
        <v>245</v>
      </c>
      <c r="I558" s="21">
        <v>238</v>
      </c>
      <c r="J558" s="21">
        <v>237</v>
      </c>
      <c r="K558" s="21">
        <v>240</v>
      </c>
      <c r="L558" s="21">
        <v>238</v>
      </c>
      <c r="M558" s="21">
        <v>308</v>
      </c>
      <c r="N558" s="21">
        <v>351</v>
      </c>
      <c r="O558" s="21">
        <v>428</v>
      </c>
      <c r="P558" s="21">
        <v>475</v>
      </c>
      <c r="Q558" s="21">
        <v>520</v>
      </c>
      <c r="R558" s="21">
        <v>490</v>
      </c>
      <c r="S558" s="21">
        <v>457</v>
      </c>
      <c r="T558" s="21">
        <v>415</v>
      </c>
      <c r="U558" s="21">
        <v>293</v>
      </c>
      <c r="V558" s="21">
        <v>574</v>
      </c>
      <c r="W558" s="21">
        <v>618</v>
      </c>
      <c r="X558" s="21">
        <v>676</v>
      </c>
      <c r="Y558" s="21">
        <v>1106</v>
      </c>
      <c r="Z558" s="21">
        <v>1286</v>
      </c>
      <c r="AA558" s="21">
        <v>1181</v>
      </c>
      <c r="AB558" s="21">
        <v>1057</v>
      </c>
      <c r="AC558" s="21">
        <v>1090</v>
      </c>
      <c r="AD558" s="21">
        <v>1226</v>
      </c>
      <c r="AE558" s="21">
        <v>1444</v>
      </c>
      <c r="AF558" s="21">
        <v>1408</v>
      </c>
      <c r="AG558" s="24">
        <v>1315</v>
      </c>
      <c r="AH558" s="19">
        <v>1312.9529958677683</v>
      </c>
      <c r="AI558" s="19">
        <v>1362.0506377582647</v>
      </c>
      <c r="AJ558" s="19">
        <v>1391.7797199795971</v>
      </c>
      <c r="AK558" s="19">
        <v>1422.2088074192368</v>
      </c>
      <c r="AL558" s="19">
        <v>1453.3549679892687</v>
      </c>
      <c r="AM558" s="19">
        <v>1485.2356919773972</v>
      </c>
      <c r="AN558" s="19">
        <v>1517.8689025631124</v>
      </c>
      <c r="AO558" s="19">
        <v>1551.2729665963338</v>
      </c>
      <c r="AP558" s="19">
        <v>1585.4667056450769</v>
      </c>
      <c r="AQ558" s="19">
        <v>1620.4694073188773</v>
      </c>
      <c r="AR558" s="21"/>
      <c r="AS558" s="21">
        <v>109</v>
      </c>
      <c r="AT558" s="21">
        <v>80</v>
      </c>
      <c r="AU558" s="21">
        <v>91</v>
      </c>
      <c r="AV558" s="21">
        <v>128</v>
      </c>
      <c r="AW558" s="21">
        <v>225</v>
      </c>
      <c r="AX558" s="19">
        <v>229</v>
      </c>
      <c r="AY558" s="19">
        <v>227</v>
      </c>
      <c r="AZ558" s="19">
        <v>238</v>
      </c>
      <c r="BA558" s="19">
        <v>240</v>
      </c>
      <c r="BB558" s="19">
        <v>308</v>
      </c>
      <c r="BC558" s="19">
        <v>428</v>
      </c>
      <c r="BD558" s="19">
        <v>520</v>
      </c>
      <c r="BE558" s="19">
        <v>457</v>
      </c>
      <c r="BF558" s="19">
        <v>293</v>
      </c>
      <c r="BG558" s="19">
        <v>618</v>
      </c>
      <c r="BH558" s="19">
        <v>1106</v>
      </c>
      <c r="BI558" s="19">
        <v>1181</v>
      </c>
      <c r="BJ558" s="19">
        <v>1090</v>
      </c>
      <c r="BK558" s="19">
        <v>1444</v>
      </c>
      <c r="BL558" s="20">
        <v>1315</v>
      </c>
      <c r="BM558" s="19">
        <v>1362.0506377582647</v>
      </c>
      <c r="BN558" s="19">
        <v>1422.2088074192368</v>
      </c>
      <c r="BO558" s="19">
        <v>1485.2356919773972</v>
      </c>
      <c r="BP558" s="19">
        <v>1551.2729665963338</v>
      </c>
      <c r="BQ558" s="19">
        <v>1620.4694073188773</v>
      </c>
    </row>
    <row r="559" spans="1:69" ht="12" customHeight="1" outlineLevel="1">
      <c r="A559" s="91" t="s">
        <v>426</v>
      </c>
      <c r="B559" s="1" t="s">
        <v>414</v>
      </c>
      <c r="C559" s="19"/>
      <c r="D559" s="21">
        <v>1452</v>
      </c>
      <c r="E559" s="21">
        <v>1233</v>
      </c>
      <c r="F559" s="21">
        <v>1053</v>
      </c>
      <c r="G559" s="21">
        <v>909</v>
      </c>
      <c r="H559" s="21">
        <v>927</v>
      </c>
      <c r="I559" s="21">
        <v>885</v>
      </c>
      <c r="J559" s="21">
        <v>867</v>
      </c>
      <c r="K559" s="21">
        <v>837</v>
      </c>
      <c r="L559" s="21">
        <v>857</v>
      </c>
      <c r="M559" s="21">
        <v>855</v>
      </c>
      <c r="N559" s="21">
        <v>963</v>
      </c>
      <c r="O559" s="21">
        <v>1346</v>
      </c>
      <c r="P559" s="21">
        <v>1670</v>
      </c>
      <c r="Q559" s="21">
        <v>1046</v>
      </c>
      <c r="R559" s="21">
        <v>1330</v>
      </c>
      <c r="S559" s="21">
        <v>1120</v>
      </c>
      <c r="T559" s="21">
        <v>969</v>
      </c>
      <c r="U559" s="21">
        <v>671</v>
      </c>
      <c r="V559" s="21">
        <v>900</v>
      </c>
      <c r="W559" s="21">
        <v>2292</v>
      </c>
      <c r="X559" s="21">
        <v>2317</v>
      </c>
      <c r="Y559" s="21">
        <v>2634</v>
      </c>
      <c r="Z559" s="21">
        <v>2952</v>
      </c>
      <c r="AA559" s="21">
        <v>2725</v>
      </c>
      <c r="AB559" s="21">
        <v>2304</v>
      </c>
      <c r="AC559" s="21">
        <v>2415</v>
      </c>
      <c r="AD559" s="21">
        <v>2648</v>
      </c>
      <c r="AE559" s="21">
        <v>3133</v>
      </c>
      <c r="AF559" s="21">
        <v>2844</v>
      </c>
      <c r="AG559" s="24">
        <v>3565</v>
      </c>
      <c r="AH559" s="19">
        <v>3642.1189049586769</v>
      </c>
      <c r="AI559" s="19">
        <v>3721.6405591134812</v>
      </c>
      <c r="AJ559" s="19">
        <v>3745.8286468676479</v>
      </c>
      <c r="AK559" s="19">
        <v>3770.3094533849794</v>
      </c>
      <c r="AL559" s="19">
        <v>3795.0854875552145</v>
      </c>
      <c r="AM559" s="19">
        <v>3820.1592840050794</v>
      </c>
      <c r="AN559" s="19">
        <v>3845.5334033378176</v>
      </c>
      <c r="AO559" s="19">
        <v>3871.2104323750796</v>
      </c>
      <c r="AP559" s="19">
        <v>3897.1929844011693</v>
      </c>
      <c r="AQ559" s="19">
        <v>3923.4836994096972</v>
      </c>
      <c r="AR559" s="21"/>
      <c r="AS559" s="21">
        <v>42</v>
      </c>
      <c r="AT559" s="21">
        <v>152</v>
      </c>
      <c r="AU559" s="21">
        <v>166</v>
      </c>
      <c r="AV559" s="21">
        <v>549</v>
      </c>
      <c r="AW559" s="21">
        <v>1616</v>
      </c>
      <c r="AX559" s="19">
        <v>1233</v>
      </c>
      <c r="AY559" s="19">
        <v>909</v>
      </c>
      <c r="AZ559" s="19">
        <v>885</v>
      </c>
      <c r="BA559" s="19">
        <v>837</v>
      </c>
      <c r="BB559" s="19">
        <v>855</v>
      </c>
      <c r="BC559" s="19">
        <v>1346</v>
      </c>
      <c r="BD559" s="19">
        <v>1046</v>
      </c>
      <c r="BE559" s="19">
        <v>1120</v>
      </c>
      <c r="BF559" s="19">
        <v>671</v>
      </c>
      <c r="BG559" s="19">
        <v>2292</v>
      </c>
      <c r="BH559" s="19">
        <v>2634</v>
      </c>
      <c r="BI559" s="19">
        <v>2725</v>
      </c>
      <c r="BJ559" s="19">
        <v>2415</v>
      </c>
      <c r="BK559" s="19">
        <v>3133</v>
      </c>
      <c r="BL559" s="20">
        <v>3565</v>
      </c>
      <c r="BM559" s="19">
        <v>3721.6405591134812</v>
      </c>
      <c r="BN559" s="19">
        <v>3770.3094533849794</v>
      </c>
      <c r="BO559" s="19">
        <v>3820.1592840050794</v>
      </c>
      <c r="BP559" s="19">
        <v>3871.2104323750796</v>
      </c>
      <c r="BQ559" s="19">
        <v>3923.4836994096972</v>
      </c>
    </row>
    <row r="560" spans="1:69" ht="12" customHeight="1" outlineLevel="1">
      <c r="A560" s="91" t="s">
        <v>423</v>
      </c>
      <c r="B560" s="1" t="s">
        <v>417</v>
      </c>
      <c r="C560" s="19"/>
      <c r="D560" s="19">
        <v>484</v>
      </c>
      <c r="E560" s="19">
        <v>-119</v>
      </c>
      <c r="F560" s="19">
        <v>-57</v>
      </c>
      <c r="G560" s="19">
        <v>-91</v>
      </c>
      <c r="H560" s="19">
        <v>-13</v>
      </c>
      <c r="I560" s="19">
        <v>-100</v>
      </c>
      <c r="J560" s="19">
        <v>-89</v>
      </c>
      <c r="K560" s="19">
        <v>-104</v>
      </c>
      <c r="L560" s="19">
        <v>-105</v>
      </c>
      <c r="M560" s="19">
        <v>-87</v>
      </c>
      <c r="N560" s="19">
        <v>-31</v>
      </c>
      <c r="O560" s="19">
        <v>-54</v>
      </c>
      <c r="P560" s="19">
        <v>-94</v>
      </c>
      <c r="Q560" s="19">
        <v>-596</v>
      </c>
      <c r="R560" s="19">
        <v>-72</v>
      </c>
      <c r="S560" s="19">
        <v>-258</v>
      </c>
      <c r="T560" s="19">
        <v>-138</v>
      </c>
      <c r="U560" s="19">
        <v>-346</v>
      </c>
      <c r="V560" s="19">
        <v>60</v>
      </c>
      <c r="W560" s="19">
        <v>-232</v>
      </c>
      <c r="X560" s="19">
        <v>-86</v>
      </c>
      <c r="Y560" s="19">
        <v>-231</v>
      </c>
      <c r="Z560" s="19">
        <v>-227</v>
      </c>
      <c r="AA560" s="19">
        <v>-132</v>
      </c>
      <c r="AB560" s="19">
        <v>-300</v>
      </c>
      <c r="AC560" s="19">
        <v>-41</v>
      </c>
      <c r="AD560" s="19">
        <v>-39</v>
      </c>
      <c r="AE560" s="19">
        <v>5</v>
      </c>
      <c r="AF560" s="19">
        <v>-42</v>
      </c>
      <c r="AG560" s="20">
        <v>47</v>
      </c>
      <c r="AH560" s="19">
        <v>-20.04949085065989</v>
      </c>
      <c r="AI560" s="19">
        <v>-92.143157854965892</v>
      </c>
      <c r="AJ560" s="19">
        <v>-169.32810768592938</v>
      </c>
      <c r="AK560" s="19">
        <v>-247.22475345666393</v>
      </c>
      <c r="AL560" s="19">
        <v>-331.21805300571054</v>
      </c>
      <c r="AM560" s="19">
        <v>-336.5979024549805</v>
      </c>
      <c r="AN560" s="19">
        <v>-344.90191378643607</v>
      </c>
      <c r="AO560" s="19">
        <v>-352.45510016383349</v>
      </c>
      <c r="AP560" s="19">
        <v>-361.17323470266712</v>
      </c>
      <c r="AQ560" s="19">
        <v>-367.09173374386592</v>
      </c>
      <c r="AR560" s="19"/>
      <c r="AS560" s="21">
        <v>-8</v>
      </c>
      <c r="AT560" s="19">
        <v>-58</v>
      </c>
      <c r="AU560" s="19">
        <v>-10</v>
      </c>
      <c r="AV560" s="19">
        <v>-31</v>
      </c>
      <c r="AW560" s="19">
        <v>-84</v>
      </c>
      <c r="AX560" s="19">
        <v>365</v>
      </c>
      <c r="AY560" s="19">
        <v>-148</v>
      </c>
      <c r="AZ560" s="19">
        <v>-113</v>
      </c>
      <c r="BA560" s="19">
        <v>-193</v>
      </c>
      <c r="BB560" s="19">
        <v>-192</v>
      </c>
      <c r="BC560" s="19">
        <v>-85</v>
      </c>
      <c r="BD560" s="19">
        <v>-690</v>
      </c>
      <c r="BE560" s="19">
        <v>-330</v>
      </c>
      <c r="BF560" s="19">
        <v>-484</v>
      </c>
      <c r="BG560" s="19">
        <v>-172</v>
      </c>
      <c r="BH560" s="19">
        <v>-317</v>
      </c>
      <c r="BI560" s="19">
        <v>-359</v>
      </c>
      <c r="BJ560" s="19">
        <v>-341</v>
      </c>
      <c r="BK560" s="19">
        <v>-34</v>
      </c>
      <c r="BL560" s="20">
        <v>5</v>
      </c>
      <c r="BM560" s="19">
        <v>-112.19264870562579</v>
      </c>
      <c r="BN560" s="19">
        <v>-416.55286114259331</v>
      </c>
      <c r="BO560" s="19">
        <v>-667.81595546069104</v>
      </c>
      <c r="BP560" s="19">
        <v>-697.35701395026956</v>
      </c>
      <c r="BQ560" s="19">
        <v>-728.26496844653298</v>
      </c>
    </row>
    <row r="561" spans="1:69" ht="12" customHeight="1" outlineLevel="1">
      <c r="A561" s="91" t="s">
        <v>422</v>
      </c>
      <c r="B561" s="1" t="s">
        <v>45</v>
      </c>
      <c r="C561" s="19"/>
      <c r="D561" s="19">
        <v>-131</v>
      </c>
      <c r="E561" s="19">
        <v>-85</v>
      </c>
      <c r="F561" s="19">
        <v>-77</v>
      </c>
      <c r="G561" s="19">
        <v>-51</v>
      </c>
      <c r="H561" s="19">
        <v>-66</v>
      </c>
      <c r="I561" s="19">
        <v>-113</v>
      </c>
      <c r="J561" s="19">
        <v>-88</v>
      </c>
      <c r="K561" s="19">
        <v>-101</v>
      </c>
      <c r="L561" s="19">
        <v>-95</v>
      </c>
      <c r="M561" s="19">
        <v>-141</v>
      </c>
      <c r="N561" s="19">
        <v>-104</v>
      </c>
      <c r="O561" s="19">
        <v>-363</v>
      </c>
      <c r="P561" s="19">
        <v>-336</v>
      </c>
      <c r="Q561" s="19">
        <v>-238</v>
      </c>
      <c r="R561" s="19">
        <v>-149</v>
      </c>
      <c r="S561" s="19">
        <v>-122</v>
      </c>
      <c r="T561" s="19">
        <v>-81</v>
      </c>
      <c r="U561" s="19">
        <v>1</v>
      </c>
      <c r="V561" s="19">
        <v>-44</v>
      </c>
      <c r="W561" s="19">
        <v>-276</v>
      </c>
      <c r="X561" s="19">
        <v>-144</v>
      </c>
      <c r="Y561" s="19">
        <v>-661</v>
      </c>
      <c r="Z561" s="19">
        <v>-407</v>
      </c>
      <c r="AA561" s="19">
        <v>-27</v>
      </c>
      <c r="AB561" s="19">
        <v>-176</v>
      </c>
      <c r="AC561" s="19">
        <v>-74</v>
      </c>
      <c r="AD561" s="19">
        <v>-175</v>
      </c>
      <c r="AE561" s="19">
        <v>-213</v>
      </c>
      <c r="AF561" s="19">
        <v>-6</v>
      </c>
      <c r="AG561" s="20">
        <v>140</v>
      </c>
      <c r="AH561" s="19">
        <v>-18.002486718428145</v>
      </c>
      <c r="AI561" s="19">
        <v>-141.24079974546225</v>
      </c>
      <c r="AJ561" s="19">
        <v>-199.05718990726177</v>
      </c>
      <c r="AK561" s="19">
        <v>-277.65384089630356</v>
      </c>
      <c r="AL561" s="19">
        <v>-362.3642135757425</v>
      </c>
      <c r="AM561" s="19">
        <v>-368.47862644310885</v>
      </c>
      <c r="AN561" s="19">
        <v>-377.53512437215136</v>
      </c>
      <c r="AO561" s="19">
        <v>-385.85916419705495</v>
      </c>
      <c r="AP561" s="19">
        <v>-395.36697375141011</v>
      </c>
      <c r="AQ561" s="19">
        <v>-402.09443541766632</v>
      </c>
      <c r="AR561" s="19"/>
      <c r="AS561" s="19">
        <v>-31</v>
      </c>
      <c r="AT561" s="19">
        <v>-36</v>
      </c>
      <c r="AU561" s="19">
        <v>-40</v>
      </c>
      <c r="AV561" s="19">
        <v>-108</v>
      </c>
      <c r="AW561" s="19">
        <v>-501</v>
      </c>
      <c r="AX561" s="19">
        <v>-216</v>
      </c>
      <c r="AY561" s="19">
        <v>-128</v>
      </c>
      <c r="AZ561" s="19">
        <v>-179</v>
      </c>
      <c r="BA561" s="19">
        <v>-189</v>
      </c>
      <c r="BB561" s="19">
        <v>-236</v>
      </c>
      <c r="BC561" s="19">
        <v>-467</v>
      </c>
      <c r="BD561" s="19">
        <v>-574</v>
      </c>
      <c r="BE561" s="19">
        <v>-271</v>
      </c>
      <c r="BF561" s="19">
        <v>-80</v>
      </c>
      <c r="BG561" s="19">
        <v>-320</v>
      </c>
      <c r="BH561" s="19">
        <v>-805</v>
      </c>
      <c r="BI561" s="19">
        <v>-434</v>
      </c>
      <c r="BJ561" s="19">
        <v>-250</v>
      </c>
      <c r="BK561" s="19">
        <v>-388</v>
      </c>
      <c r="BL561" s="20">
        <v>134</v>
      </c>
      <c r="BM561" s="19">
        <v>-159.2432864638904</v>
      </c>
      <c r="BN561" s="19">
        <v>-476.71103080356534</v>
      </c>
      <c r="BO561" s="19">
        <v>-730.84284001885135</v>
      </c>
      <c r="BP561" s="19">
        <v>-763.39428856920631</v>
      </c>
      <c r="BQ561" s="19">
        <v>-797.46140916907643</v>
      </c>
    </row>
    <row r="562" spans="1:69" ht="12" customHeight="1" outlineLevel="1">
      <c r="A562" s="91" t="s">
        <v>345</v>
      </c>
      <c r="B562" s="87" t="s">
        <v>346</v>
      </c>
      <c r="C562" s="19"/>
      <c r="D562" s="37">
        <v>-2.2712102184660986E-2</v>
      </c>
      <c r="E562" s="37">
        <v>5.5007743636432942E-3</v>
      </c>
      <c r="F562" s="37">
        <v>2.543452791260645E-3</v>
      </c>
      <c r="G562" s="37">
        <v>4.0045641059399204E-3</v>
      </c>
      <c r="H562" s="37">
        <v>5.6608497806420711E-4</v>
      </c>
      <c r="I562" s="37">
        <v>4.3926598653649751E-3</v>
      </c>
      <c r="J562" s="37">
        <v>3.8266738782712483E-3</v>
      </c>
      <c r="K562" s="37">
        <v>4.3163723551132745E-3</v>
      </c>
      <c r="L562" s="37">
        <v>4.1937248089270037E-3</v>
      </c>
      <c r="M562" s="37">
        <v>3.1866676768736038E-3</v>
      </c>
      <c r="N562" s="37">
        <v>1.0041755153255244E-3</v>
      </c>
      <c r="O562" s="37">
        <v>1.5787036640262295E-3</v>
      </c>
      <c r="P562" s="37">
        <v>2.5158579343200491E-3</v>
      </c>
      <c r="Q562" s="37">
        <v>1.5179299103504483E-2</v>
      </c>
      <c r="R562" s="37">
        <v>1.8138782808989299E-3</v>
      </c>
      <c r="S562" s="37">
        <v>6.6919416501346023E-3</v>
      </c>
      <c r="T562" s="37">
        <v>3.7435688764276675E-3</v>
      </c>
      <c r="U562" s="37">
        <v>9.6444807208136279E-3</v>
      </c>
      <c r="V562" s="37">
        <v>-1.5907289700727225E-3</v>
      </c>
      <c r="W562" s="37">
        <v>6.0126996623856357E-3</v>
      </c>
      <c r="X562" s="37">
        <v>2.1120231831381962E-3</v>
      </c>
      <c r="Y562" s="37">
        <v>5.1567391995892466E-3</v>
      </c>
      <c r="Z562" s="37">
        <v>4.8286370023252695E-3</v>
      </c>
      <c r="AA562" s="37">
        <v>2.6680636436733998E-3</v>
      </c>
      <c r="AB562" s="37">
        <v>5.3572142779300747E-3</v>
      </c>
      <c r="AC562" s="37">
        <v>6.4973765404025029E-4</v>
      </c>
      <c r="AD562" s="37">
        <v>5.4853278174094478E-4</v>
      </c>
      <c r="AE562" s="37">
        <v>-6.5230788674905694E-5</v>
      </c>
      <c r="AF562" s="37">
        <v>5.1523153216976876E-4</v>
      </c>
      <c r="AG562" s="38">
        <v>-5.4672459620898838E-4</v>
      </c>
      <c r="AH562" s="37">
        <v>2.2262032303280936E-4</v>
      </c>
      <c r="AI562" s="37">
        <v>9.9196524227460709E-4</v>
      </c>
      <c r="AJ562" s="37">
        <v>1.7613101615164047E-3</v>
      </c>
      <c r="AK562" s="37">
        <v>2.5306550807582024E-3</v>
      </c>
      <c r="AL562" s="37">
        <v>3.3E-3</v>
      </c>
      <c r="AM562" s="37">
        <v>3.3000000000000004E-3</v>
      </c>
      <c r="AN562" s="37">
        <v>3.3E-3</v>
      </c>
      <c r="AO562" s="37">
        <v>3.3E-3</v>
      </c>
      <c r="AP562" s="37">
        <v>3.3E-3</v>
      </c>
      <c r="AQ562" s="37">
        <v>3.3E-3</v>
      </c>
      <c r="AR562" s="19"/>
      <c r="AS562" s="37">
        <v>2.8144239226033421E-4</v>
      </c>
      <c r="AT562" s="37">
        <v>1.8289606458123109E-3</v>
      </c>
      <c r="AU562" s="37">
        <v>2.4754007054892009E-4</v>
      </c>
      <c r="AV562" s="37">
        <v>6.3134527458427953E-4</v>
      </c>
      <c r="AW562" s="37">
        <v>1.7291422219477552E-3</v>
      </c>
      <c r="AX562" s="37">
        <v>-8.2005886449931474E-3</v>
      </c>
      <c r="AY562" s="37">
        <v>3.2785795775505909E-3</v>
      </c>
      <c r="AZ562" s="37">
        <v>2.4771466777736371E-3</v>
      </c>
      <c r="BA562" s="37">
        <v>4.0932757871072417E-3</v>
      </c>
      <c r="BB562" s="37">
        <v>3.562317361658704E-3</v>
      </c>
      <c r="BC562" s="37">
        <v>1.2930313217822534E-3</v>
      </c>
      <c r="BD562" s="37">
        <v>9.0120683349877231E-3</v>
      </c>
      <c r="BE562" s="37">
        <v>4.203045297365455E-3</v>
      </c>
      <c r="BF562" s="37">
        <v>6.4459419865221211E-3</v>
      </c>
      <c r="BG562" s="37">
        <v>2.273328046523923E-3</v>
      </c>
      <c r="BH562" s="37">
        <v>3.6875901540179609E-3</v>
      </c>
      <c r="BI562" s="37">
        <v>3.60544935046675E-3</v>
      </c>
      <c r="BJ562" s="37">
        <v>2.8443925428535679E-3</v>
      </c>
      <c r="BK562" s="37">
        <v>2.3183188097478487E-4</v>
      </c>
      <c r="BL562" s="38">
        <v>-2.8349331806249325E-5</v>
      </c>
      <c r="BM562" s="37">
        <v>5.9145705782689018E-4</v>
      </c>
      <c r="BN562" s="37">
        <v>2.1034788214049395E-3</v>
      </c>
      <c r="BO562" s="37">
        <v>3.22976384029769E-3</v>
      </c>
      <c r="BP562" s="37">
        <v>3.2296311622202227E-3</v>
      </c>
      <c r="BQ562" s="37">
        <v>3.22931077505746E-3</v>
      </c>
    </row>
    <row r="563" spans="1:69" ht="12" customHeight="1" outlineLevel="1">
      <c r="A563" s="91" t="s">
        <v>347</v>
      </c>
      <c r="B563" s="87" t="s">
        <v>88</v>
      </c>
      <c r="C563" s="19"/>
      <c r="D563" s="37">
        <v>6.1472838557656805E-3</v>
      </c>
      <c r="E563" s="37">
        <v>3.9291245454594961E-3</v>
      </c>
      <c r="F563" s="37">
        <v>3.4358923671415731E-3</v>
      </c>
      <c r="G563" s="37">
        <v>2.2443161472850102E-3</v>
      </c>
      <c r="H563" s="37">
        <v>2.8739698886336667E-3</v>
      </c>
      <c r="I563" s="37">
        <v>4.9637056478624222E-3</v>
      </c>
      <c r="J563" s="37">
        <v>3.7836775425603352E-3</v>
      </c>
      <c r="K563" s="37">
        <v>4.1918616141003919E-3</v>
      </c>
      <c r="L563" s="37">
        <v>3.7943224461720513E-3</v>
      </c>
      <c r="M563" s="37">
        <v>5.1645993383813574E-3</v>
      </c>
      <c r="N563" s="37">
        <v>3.3688468901243401E-3</v>
      </c>
      <c r="O563" s="37">
        <v>1.0612396852620764E-2</v>
      </c>
      <c r="P563" s="37">
        <v>8.9928538928886869E-3</v>
      </c>
      <c r="Q563" s="37">
        <v>6.0615321923390385E-3</v>
      </c>
      <c r="R563" s="37">
        <v>3.7537203313047301E-3</v>
      </c>
      <c r="S563" s="37">
        <v>3.1644065167303159E-3</v>
      </c>
      <c r="T563" s="37">
        <v>2.1973121665988483E-3</v>
      </c>
      <c r="U563" s="37">
        <v>-2.7874221736455573E-5</v>
      </c>
      <c r="V563" s="37">
        <v>1.1665345780533299E-3</v>
      </c>
      <c r="W563" s="37">
        <v>7.1530392535277387E-3</v>
      </c>
      <c r="X563" s="37">
        <v>3.5364109113011659E-3</v>
      </c>
      <c r="Y563" s="37">
        <v>1.4755864116573559E-2</v>
      </c>
      <c r="Z563" s="37">
        <v>8.6575121583541172E-3</v>
      </c>
      <c r="AA563" s="37">
        <v>5.4574029075137725E-4</v>
      </c>
      <c r="AB563" s="37">
        <v>3.1428990430523106E-3</v>
      </c>
      <c r="AC563" s="37">
        <v>1.1726972292433783E-3</v>
      </c>
      <c r="AD563" s="37">
        <v>2.4613650462734704E-3</v>
      </c>
      <c r="AE563" s="37">
        <v>2.7788315975509825E-3</v>
      </c>
      <c r="AF563" s="37">
        <v>7.3604504595681261E-5</v>
      </c>
      <c r="AG563" s="38">
        <v>-1.6285413504097527E-3</v>
      </c>
      <c r="AH563" s="37">
        <v>1.9989133083239506E-4</v>
      </c>
      <c r="AI563" s="37">
        <v>1.5205248810670751E-3</v>
      </c>
      <c r="AJ563" s="37">
        <v>2.0705449089223758E-3</v>
      </c>
      <c r="AK563" s="37">
        <v>2.8421349129969992E-3</v>
      </c>
      <c r="AL563" s="37">
        <v>3.6103162069470087E-3</v>
      </c>
      <c r="AM563" s="37">
        <v>3.612558065256794E-3</v>
      </c>
      <c r="AN563" s="37">
        <v>3.6122325235908724E-3</v>
      </c>
      <c r="AO563" s="37">
        <v>3.6127587351080762E-3</v>
      </c>
      <c r="AP563" s="37">
        <v>3.6124244213548823E-3</v>
      </c>
      <c r="AQ563" s="37">
        <v>3.6146595384905517E-3</v>
      </c>
      <c r="AR563" s="19"/>
      <c r="AS563" s="37">
        <v>1.0905892700087952E-3</v>
      </c>
      <c r="AT563" s="37">
        <v>1.1352169525731585E-3</v>
      </c>
      <c r="AU563" s="37">
        <v>9.9016028219568036E-4</v>
      </c>
      <c r="AV563" s="37">
        <v>2.1995254727452318E-3</v>
      </c>
      <c r="AW563" s="37">
        <v>1.0313098252331255E-2</v>
      </c>
      <c r="AX563" s="37">
        <v>4.8529510885438904E-3</v>
      </c>
      <c r="AY563" s="37">
        <v>2.8355282832869975E-3</v>
      </c>
      <c r="AZ563" s="37">
        <v>3.9239757108095663E-3</v>
      </c>
      <c r="BA563" s="37">
        <v>4.0084410557682318E-3</v>
      </c>
      <c r="BB563" s="37">
        <v>4.3786817570388237E-3</v>
      </c>
      <c r="BC563" s="37">
        <v>7.1040662032036753E-3</v>
      </c>
      <c r="BD563" s="37">
        <v>7.496995977221671E-3</v>
      </c>
      <c r="BE563" s="37">
        <v>3.451591744200116E-3</v>
      </c>
      <c r="BF563" s="37">
        <v>1.0654449564499375E-3</v>
      </c>
      <c r="BG563" s="37">
        <v>4.2294475284166003E-3</v>
      </c>
      <c r="BH563" s="37">
        <v>9.3643850914336239E-3</v>
      </c>
      <c r="BI563" s="37">
        <v>4.3586769306478259E-3</v>
      </c>
      <c r="BJ563" s="37">
        <v>2.0853317762856071E-3</v>
      </c>
      <c r="BK563" s="37">
        <v>2.6456108770063686E-3</v>
      </c>
      <c r="BL563" s="38">
        <v>-7.5976209240748193E-4</v>
      </c>
      <c r="BM563" s="37">
        <v>8.3949854805321505E-4</v>
      </c>
      <c r="BN563" s="37">
        <v>2.4072612404459227E-3</v>
      </c>
      <c r="BO563" s="37">
        <v>3.5345812844573407E-3</v>
      </c>
      <c r="BP563" s="37">
        <v>3.5354659580435024E-3</v>
      </c>
      <c r="BQ563" s="37">
        <v>3.5361452670385745E-3</v>
      </c>
    </row>
    <row r="564" spans="1:69" ht="12" customHeight="1" outlineLevel="1">
      <c r="A564" s="91" t="s">
        <v>421</v>
      </c>
      <c r="B564" s="1" t="s">
        <v>420</v>
      </c>
      <c r="C564" s="19"/>
      <c r="D564" s="37">
        <v>3.4161490683229816E-2</v>
      </c>
      <c r="E564" s="37">
        <v>2.7853705920889149E-2</v>
      </c>
      <c r="F564" s="37">
        <v>2.333259472634611E-2</v>
      </c>
      <c r="G564" s="37">
        <v>1.9753998609179417E-2</v>
      </c>
      <c r="H564" s="37">
        <v>2.0221189712715137E-2</v>
      </c>
      <c r="I564" s="37">
        <v>1.9571851917378036E-2</v>
      </c>
      <c r="J564" s="37">
        <v>1.8229988014886771E-2</v>
      </c>
      <c r="K564" s="37">
        <v>1.7052747387079029E-2</v>
      </c>
      <c r="L564" s="37">
        <v>1.6872403677672121E-2</v>
      </c>
      <c r="M564" s="37">
        <v>1.4562610709905981E-2</v>
      </c>
      <c r="N564" s="37">
        <v>1.4945293706836347E-2</v>
      </c>
      <c r="O564" s="37">
        <v>1.8498666886561668E-2</v>
      </c>
      <c r="P564" s="37">
        <v>2.1775981223106013E-2</v>
      </c>
      <c r="Q564" s="37">
        <v>1.3015454296593086E-2</v>
      </c>
      <c r="R564" s="37">
        <v>1.705653021442495E-2</v>
      </c>
      <c r="S564" s="37">
        <v>1.4609394362339068E-2</v>
      </c>
      <c r="T564" s="37">
        <v>1.3766746700385014E-2</v>
      </c>
      <c r="U564" s="37">
        <v>9.1281339699900692E-3</v>
      </c>
      <c r="V564" s="37">
        <v>1.1695450469767261E-2</v>
      </c>
      <c r="W564" s="37">
        <v>2.9455989513050854E-2</v>
      </c>
      <c r="X564" s="37">
        <v>2.7237674276444173E-2</v>
      </c>
      <c r="Y564" s="37">
        <v>2.7986442406791545E-2</v>
      </c>
      <c r="Z564" s="37">
        <v>3.1601258911940391E-2</v>
      </c>
      <c r="AA564" s="37">
        <v>2.5945956239407385E-2</v>
      </c>
      <c r="AB564" s="37">
        <v>1.9466200288951411E-2</v>
      </c>
      <c r="AC564" s="37">
        <v>1.7922875972213977E-2</v>
      </c>
      <c r="AD564" s="37">
        <v>1.7786853312196892E-2</v>
      </c>
      <c r="AE564" s="37">
        <v>1.9757586459147894E-2</v>
      </c>
      <c r="AF564" s="37">
        <v>1.6979611331681542E-2</v>
      </c>
      <c r="AG564" s="38">
        <v>2.0213073577855768E-2</v>
      </c>
      <c r="AH564" s="37">
        <v>1.9914238185150805E-2</v>
      </c>
      <c r="AI564" s="37">
        <v>1.9619739802721189E-2</v>
      </c>
      <c r="AJ564" s="37">
        <v>1.9327215960296615E-2</v>
      </c>
      <c r="AK564" s="37">
        <v>1.9039038799503763E-2</v>
      </c>
      <c r="AL564" s="37">
        <v>1.8755143953145571E-2</v>
      </c>
      <c r="AM564" s="37">
        <v>1.8475468006968532E-2</v>
      </c>
      <c r="AN564" s="37">
        <v>1.8199948485412471E-2</v>
      </c>
      <c r="AO564" s="37">
        <v>1.7928523837579372E-2</v>
      </c>
      <c r="AP564" s="37">
        <v>1.7661133423417748E-2</v>
      </c>
      <c r="AQ564" s="37">
        <v>1.7397717500119248E-2</v>
      </c>
      <c r="AR564" s="19"/>
      <c r="AS564" s="37">
        <v>1.4775725593667547E-3</v>
      </c>
      <c r="AT564" s="37">
        <v>4.3429812280350866E-3</v>
      </c>
      <c r="AU564" s="37">
        <v>3.6247707223338284E-3</v>
      </c>
      <c r="AV564" s="37">
        <v>1.0475699811093938E-2</v>
      </c>
      <c r="AW564" s="37">
        <v>3.611092489553306E-2</v>
      </c>
      <c r="AX564" s="37">
        <v>2.7853705920889149E-2</v>
      </c>
      <c r="AY564" s="37">
        <v>1.9753998609179417E-2</v>
      </c>
      <c r="AZ564" s="37">
        <v>1.9571851917378036E-2</v>
      </c>
      <c r="BA564" s="37">
        <v>1.7052747387079029E-2</v>
      </c>
      <c r="BB564" s="37">
        <v>1.4562610709905981E-2</v>
      </c>
      <c r="BC564" s="37">
        <v>1.8498666886561668E-2</v>
      </c>
      <c r="BD564" s="37">
        <v>1.3015454296593086E-2</v>
      </c>
      <c r="BE564" s="37">
        <v>1.4609394362339068E-2</v>
      </c>
      <c r="BF564" s="37">
        <v>9.1281339699900692E-3</v>
      </c>
      <c r="BG564" s="37">
        <v>2.9455989513050854E-2</v>
      </c>
      <c r="BH564" s="37">
        <v>2.7986442406791545E-2</v>
      </c>
      <c r="BI564" s="37">
        <v>2.5945956239407385E-2</v>
      </c>
      <c r="BJ564" s="37">
        <v>1.7922875972213977E-2</v>
      </c>
      <c r="BK564" s="37">
        <v>1.9757586459147894E-2</v>
      </c>
      <c r="BL564" s="38">
        <v>2.0213073577855768E-2</v>
      </c>
      <c r="BM564" s="37">
        <v>1.9619739802721189E-2</v>
      </c>
      <c r="BN564" s="37">
        <v>1.9039038799503763E-2</v>
      </c>
      <c r="BO564" s="37">
        <v>1.8475468006968532E-2</v>
      </c>
      <c r="BP564" s="37">
        <v>1.7928523837579372E-2</v>
      </c>
      <c r="BQ564" s="37">
        <v>1.7397717500119248E-2</v>
      </c>
    </row>
    <row r="565" spans="1:69" ht="12" customHeight="1" outlineLevel="1">
      <c r="A565" s="91" t="s">
        <v>419</v>
      </c>
      <c r="B565" s="1" t="s">
        <v>418</v>
      </c>
      <c r="C565" s="19"/>
      <c r="D565" s="37">
        <v>4.5309867066092489E-2</v>
      </c>
      <c r="E565" s="37">
        <v>3.5111199703847143E-2</v>
      </c>
      <c r="F565" s="37">
        <v>2.6229916552497196E-2</v>
      </c>
      <c r="G565" s="37">
        <v>2.2179928262938291E-2</v>
      </c>
      <c r="H565" s="37">
        <v>2.1371757925072045E-2</v>
      </c>
      <c r="I565" s="37">
        <v>2.2724938373048481E-2</v>
      </c>
      <c r="J565" s="37">
        <v>2.1675E-2</v>
      </c>
      <c r="K565" s="37">
        <v>1.8964970317668917E-2</v>
      </c>
      <c r="L565" s="37">
        <v>1.7876512307050479E-2</v>
      </c>
      <c r="M565" s="37">
        <v>1.6856258502060208E-2</v>
      </c>
      <c r="N565" s="37">
        <v>1.7545777534845586E-2</v>
      </c>
      <c r="O565" s="37">
        <v>1.9105748757984386E-2</v>
      </c>
      <c r="P565" s="37">
        <v>2.220036158672764E-2</v>
      </c>
      <c r="Q565" s="37">
        <v>1.3124545157971342E-2</v>
      </c>
      <c r="R565" s="37">
        <v>1.6809059198220514E-2</v>
      </c>
      <c r="S565" s="37">
        <v>1.4737423845678119E-2</v>
      </c>
      <c r="T565" s="37">
        <v>1.2702199617229898E-2</v>
      </c>
      <c r="U565" s="37">
        <v>8.634222919937205E-3</v>
      </c>
      <c r="V565" s="37">
        <v>1.1425814724066575E-2</v>
      </c>
      <c r="W565" s="37">
        <v>3.6953437379079065E-2</v>
      </c>
      <c r="X565" s="37">
        <v>3.183916891111966E-2</v>
      </c>
      <c r="Y565" s="37">
        <v>3.2521730541288027E-2</v>
      </c>
      <c r="Z565" s="37">
        <v>3.9910229024146232E-2</v>
      </c>
      <c r="AA565" s="37">
        <v>3.5120957867738986E-2</v>
      </c>
      <c r="AB565" s="37">
        <v>2.3886538940034834E-2</v>
      </c>
      <c r="AC565" s="37">
        <v>2.2260731700572418E-2</v>
      </c>
      <c r="AD565" s="37">
        <v>2.3326902578468423E-2</v>
      </c>
      <c r="AE565" s="37">
        <v>3.2138277683746219E-2</v>
      </c>
      <c r="AF565" s="37">
        <v>2.9084810243089291E-2</v>
      </c>
      <c r="AG565" s="38">
        <v>3.6284987277353686E-2</v>
      </c>
      <c r="AH565" s="37">
        <v>3.5740712468193381E-2</v>
      </c>
      <c r="AI565" s="37">
        <v>3.5204601781170478E-2</v>
      </c>
      <c r="AJ565" s="37">
        <v>3.467653275445292E-2</v>
      </c>
      <c r="AK565" s="37">
        <v>3.4156384763136129E-2</v>
      </c>
      <c r="AL565" s="37">
        <v>3.3644038991689086E-2</v>
      </c>
      <c r="AM565" s="37">
        <v>3.3139378406813746E-2</v>
      </c>
      <c r="AN565" s="37">
        <v>3.2642287730711539E-2</v>
      </c>
      <c r="AO565" s="37">
        <v>3.2152653414750862E-2</v>
      </c>
      <c r="AP565" s="37">
        <v>3.1670363613529595E-2</v>
      </c>
      <c r="AQ565" s="37">
        <v>3.1195308159326651E-2</v>
      </c>
      <c r="AR565" s="19"/>
      <c r="AS565" s="37">
        <v>2.8311425682507585E-3</v>
      </c>
      <c r="AT565" s="37">
        <v>6.8136991213914293E-3</v>
      </c>
      <c r="AU565" s="37">
        <v>5.4083993092887625E-3</v>
      </c>
      <c r="AV565" s="37">
        <v>2.0107680474673113E-2</v>
      </c>
      <c r="AW565" s="37">
        <v>5.8518920876335326E-2</v>
      </c>
      <c r="AX565" s="37">
        <v>3.5111199703847143E-2</v>
      </c>
      <c r="AY565" s="37">
        <v>2.2179928262938291E-2</v>
      </c>
      <c r="AZ565" s="37">
        <v>2.2724938373048481E-2</v>
      </c>
      <c r="BA565" s="37">
        <v>1.8964970317668917E-2</v>
      </c>
      <c r="BB565" s="37">
        <v>1.6856258502060208E-2</v>
      </c>
      <c r="BC565" s="37">
        <v>1.9105748757984386E-2</v>
      </c>
      <c r="BD565" s="37">
        <v>1.3124545157971342E-2</v>
      </c>
      <c r="BE565" s="37">
        <v>1.4737423845678119E-2</v>
      </c>
      <c r="BF565" s="37">
        <v>8.634222919937205E-3</v>
      </c>
      <c r="BG565" s="37">
        <v>3.6953437379079065E-2</v>
      </c>
      <c r="BH565" s="37">
        <v>3.2521730541288027E-2</v>
      </c>
      <c r="BI565" s="37">
        <v>3.5120957867738986E-2</v>
      </c>
      <c r="BJ565" s="37">
        <v>2.2260731700572418E-2</v>
      </c>
      <c r="BK565" s="37">
        <v>3.2138277683746219E-2</v>
      </c>
      <c r="BL565" s="38">
        <v>3.6284987277353686E-2</v>
      </c>
      <c r="BM565" s="37">
        <v>3.5204601781170478E-2</v>
      </c>
      <c r="BN565" s="37">
        <v>3.4156384763136129E-2</v>
      </c>
      <c r="BO565" s="37">
        <v>3.3139378406813746E-2</v>
      </c>
      <c r="BP565" s="37">
        <v>3.2152653414750862E-2</v>
      </c>
      <c r="BQ565" s="37">
        <v>3.1195308159326651E-2</v>
      </c>
    </row>
    <row r="566" spans="1:69" ht="12" customHeight="1" outlineLevel="1">
      <c r="A566" s="91" t="s">
        <v>348</v>
      </c>
      <c r="B566" s="87" t="s">
        <v>86</v>
      </c>
      <c r="C566" s="19"/>
      <c r="D566" s="50">
        <v>0.27479338842975204</v>
      </c>
      <c r="E566" s="50">
        <v>0.28548256285482565</v>
      </c>
      <c r="F566" s="50">
        <v>0.35992402659069328</v>
      </c>
      <c r="G566" s="50">
        <v>0.36743674367436746</v>
      </c>
      <c r="H566" s="50">
        <v>0.39805825242718446</v>
      </c>
      <c r="I566" s="50">
        <v>0.43954802259887005</v>
      </c>
      <c r="J566" s="50">
        <v>0.44867358708189159</v>
      </c>
      <c r="K566" s="50">
        <v>0.45758661887694146</v>
      </c>
      <c r="L566" s="50">
        <v>0.43757292882147025</v>
      </c>
      <c r="M566" s="50">
        <v>0.41988304093567252</v>
      </c>
      <c r="N566" s="50">
        <v>0.40394600207684322</v>
      </c>
      <c r="O566" s="50">
        <v>0.46136701337295694</v>
      </c>
      <c r="P566" s="50">
        <v>0.48862275449101794</v>
      </c>
      <c r="Q566" s="50">
        <v>0.39483747609942638</v>
      </c>
      <c r="R566" s="50">
        <v>0.39097744360902253</v>
      </c>
      <c r="S566" s="50">
        <v>0.37232142857142858</v>
      </c>
      <c r="T566" s="50">
        <v>0.4148606811145511</v>
      </c>
      <c r="U566" s="50">
        <v>0.2637853949329359</v>
      </c>
      <c r="V566" s="50">
        <v>0</v>
      </c>
      <c r="W566" s="50">
        <v>0</v>
      </c>
      <c r="X566" s="50">
        <v>0</v>
      </c>
      <c r="Y566" s="50">
        <v>0</v>
      </c>
      <c r="Z566" s="50">
        <v>0</v>
      </c>
      <c r="AA566" s="50">
        <v>0</v>
      </c>
      <c r="AB566" s="50">
        <v>0</v>
      </c>
      <c r="AC566" s="50">
        <v>0</v>
      </c>
      <c r="AD566" s="50">
        <v>0</v>
      </c>
      <c r="AE566" s="50">
        <v>0</v>
      </c>
      <c r="AF566" s="50">
        <v>0</v>
      </c>
      <c r="AG566" s="51">
        <v>0</v>
      </c>
      <c r="AH566" s="50">
        <v>0</v>
      </c>
      <c r="AI566" s="50">
        <v>0</v>
      </c>
      <c r="AJ566" s="50">
        <v>0</v>
      </c>
      <c r="AK566" s="50">
        <v>0</v>
      </c>
      <c r="AL566" s="50">
        <v>0</v>
      </c>
      <c r="AM566" s="50">
        <v>0</v>
      </c>
      <c r="AN566" s="50">
        <v>0</v>
      </c>
      <c r="AO566" s="50">
        <v>0</v>
      </c>
      <c r="AP566" s="50">
        <v>0</v>
      </c>
      <c r="AQ566" s="50">
        <v>0</v>
      </c>
      <c r="AR566" s="19"/>
      <c r="AS566" s="50">
        <v>1.0714285714285714</v>
      </c>
      <c r="AT566" s="50">
        <v>0.34210526315789475</v>
      </c>
      <c r="AU566" s="50">
        <v>0.42771084337349397</v>
      </c>
      <c r="AV566" s="50">
        <v>0.20218579234972678</v>
      </c>
      <c r="AW566" s="50">
        <v>0.26670792079207922</v>
      </c>
      <c r="AX566" s="50">
        <v>0.28548256285482565</v>
      </c>
      <c r="AY566" s="50">
        <v>0.36743674367436746</v>
      </c>
      <c r="AZ566" s="50">
        <v>0.43954802259887005</v>
      </c>
      <c r="BA566" s="50">
        <v>0.45758661887694146</v>
      </c>
      <c r="BB566" s="50">
        <v>0.41988304093567252</v>
      </c>
      <c r="BC566" s="50">
        <v>0.46136701337295694</v>
      </c>
      <c r="BD566" s="50">
        <v>0.39483747609942638</v>
      </c>
      <c r="BE566" s="50">
        <v>0.37232142857142858</v>
      </c>
      <c r="BF566" s="50">
        <v>0.2637853949329359</v>
      </c>
      <c r="BG566" s="50">
        <v>0</v>
      </c>
      <c r="BH566" s="50">
        <v>0</v>
      </c>
      <c r="BI566" s="50">
        <v>0</v>
      </c>
      <c r="BJ566" s="50">
        <v>0</v>
      </c>
      <c r="BK566" s="50">
        <v>0</v>
      </c>
      <c r="BL566" s="51">
        <v>0</v>
      </c>
      <c r="BM566" s="50">
        <v>0</v>
      </c>
      <c r="BN566" s="50">
        <v>0</v>
      </c>
      <c r="BO566" s="50">
        <v>0</v>
      </c>
      <c r="BP566" s="50">
        <v>0</v>
      </c>
      <c r="BQ566" s="50">
        <v>0</v>
      </c>
    </row>
    <row r="567" spans="1:69" ht="12" customHeight="1" outlineLevel="1">
      <c r="A567" s="91" t="s">
        <v>349</v>
      </c>
      <c r="B567" s="87" t="s">
        <v>87</v>
      </c>
      <c r="C567" s="19"/>
      <c r="D567" s="37">
        <v>6.7403108032203706E-3</v>
      </c>
      <c r="E567" s="37">
        <v>6.5210581769513344E-3</v>
      </c>
      <c r="F567" s="37">
        <v>5.5299539170506912E-3</v>
      </c>
      <c r="G567" s="37">
        <v>5.5388819754532371E-3</v>
      </c>
      <c r="H567" s="37">
        <v>5.6484149855907783E-3</v>
      </c>
      <c r="I567" s="37">
        <v>6.1113393590797038E-3</v>
      </c>
      <c r="J567" s="37">
        <v>5.9249999999999997E-3</v>
      </c>
      <c r="K567" s="37">
        <v>5.4379843204785429E-3</v>
      </c>
      <c r="L567" s="37">
        <v>4.9645390070921988E-3</v>
      </c>
      <c r="M567" s="37">
        <v>6.072196045186602E-3</v>
      </c>
      <c r="N567" s="37">
        <v>6.3951899426072699E-3</v>
      </c>
      <c r="O567" s="37">
        <v>6.0752306600425831E-3</v>
      </c>
      <c r="P567" s="37">
        <v>6.3144741040093589E-3</v>
      </c>
      <c r="Q567" s="37">
        <v>6.5246304800622348E-3</v>
      </c>
      <c r="R567" s="37">
        <v>6.1928112835549264E-3</v>
      </c>
      <c r="S567" s="37">
        <v>6.0133952656025898E-3</v>
      </c>
      <c r="T567" s="37">
        <v>5.4400545316309673E-3</v>
      </c>
      <c r="U567" s="37">
        <v>3.7702344493913582E-3</v>
      </c>
      <c r="V567" s="37">
        <v>7.2871307240157928E-3</v>
      </c>
      <c r="W567" s="37">
        <v>9.9638849477621562E-3</v>
      </c>
      <c r="X567" s="37">
        <v>9.2892870884406092E-3</v>
      </c>
      <c r="Y567" s="37">
        <v>1.3655669695772423E-2</v>
      </c>
      <c r="Z567" s="37">
        <v>1.7386366709028472E-2</v>
      </c>
      <c r="AA567" s="37">
        <v>1.5221229813504492E-2</v>
      </c>
      <c r="AB567" s="37">
        <v>1.0958364435597579E-2</v>
      </c>
      <c r="AC567" s="37">
        <v>1.004728677168693E-2</v>
      </c>
      <c r="AD567" s="37">
        <v>1.0800144471753129E-2</v>
      </c>
      <c r="AE567" s="37">
        <v>1.4812535261835154E-2</v>
      </c>
      <c r="AF567" s="37">
        <v>1.4399230950165161E-2</v>
      </c>
      <c r="AG567" s="38">
        <v>1.3384223918575064E-2</v>
      </c>
      <c r="AH567" s="37">
        <v>1.2884223918575062E-2</v>
      </c>
      <c r="AI567" s="37">
        <v>1.2884223918575063E-2</v>
      </c>
      <c r="AJ567" s="37">
        <v>1.2884223918575063E-2</v>
      </c>
      <c r="AK567" s="37">
        <v>1.2884223918575063E-2</v>
      </c>
      <c r="AL567" s="37">
        <v>1.2884223918575063E-2</v>
      </c>
      <c r="AM567" s="37">
        <v>1.2884223918575063E-2</v>
      </c>
      <c r="AN567" s="37">
        <v>1.2884223918575063E-2</v>
      </c>
      <c r="AO567" s="37">
        <v>1.2884223918575063E-2</v>
      </c>
      <c r="AP567" s="37">
        <v>1.2884223918575063E-2</v>
      </c>
      <c r="AQ567" s="37">
        <v>1.2884223918575063E-2</v>
      </c>
      <c r="AR567" s="19"/>
      <c r="AS567" s="37">
        <v>7.3474890461745872E-3</v>
      </c>
      <c r="AT567" s="37">
        <v>3.5861574323112783E-3</v>
      </c>
      <c r="AU567" s="37">
        <v>2.964845404489623E-3</v>
      </c>
      <c r="AV567" s="37">
        <v>4.6881295095777022E-3</v>
      </c>
      <c r="AW567" s="37">
        <v>8.1477457903313417E-3</v>
      </c>
      <c r="AX567" s="37">
        <v>6.5210581769513344E-3</v>
      </c>
      <c r="AY567" s="37">
        <v>5.5388819754532371E-3</v>
      </c>
      <c r="AZ567" s="37">
        <v>6.1113393590797038E-3</v>
      </c>
      <c r="BA567" s="37">
        <v>5.4379843204785429E-3</v>
      </c>
      <c r="BB567" s="37">
        <v>6.072196045186602E-3</v>
      </c>
      <c r="BC567" s="37">
        <v>6.0752306600425831E-3</v>
      </c>
      <c r="BD567" s="37">
        <v>6.5246304800622348E-3</v>
      </c>
      <c r="BE567" s="37">
        <v>6.0133952656025898E-3</v>
      </c>
      <c r="BF567" s="37">
        <v>3.7702344493913582E-3</v>
      </c>
      <c r="BG567" s="37">
        <v>9.9638849477621562E-3</v>
      </c>
      <c r="BH567" s="37">
        <v>1.3655669695772423E-2</v>
      </c>
      <c r="BI567" s="37">
        <v>1.5221229813504492E-2</v>
      </c>
      <c r="BJ567" s="37">
        <v>1.004728677168693E-2</v>
      </c>
      <c r="BK567" s="37">
        <v>1.4812535261835154E-2</v>
      </c>
      <c r="BL567" s="38">
        <v>1.3384223918575064E-2</v>
      </c>
      <c r="BM567" s="37">
        <v>1.2884223918575063E-2</v>
      </c>
      <c r="BN567" s="37">
        <v>1.2884223918575063E-2</v>
      </c>
      <c r="BO567" s="37">
        <v>1.2884223918575063E-2</v>
      </c>
      <c r="BP567" s="37">
        <v>1.2884223918575063E-2</v>
      </c>
      <c r="BQ567" s="37">
        <v>1.2884223918575063E-2</v>
      </c>
    </row>
    <row r="568" spans="1:69" ht="12" customHeight="1" outlineLevel="1">
      <c r="A568" s="91" t="s">
        <v>350</v>
      </c>
      <c r="B568" s="87" t="s">
        <v>351</v>
      </c>
      <c r="C568" s="19"/>
      <c r="D568" s="37">
        <v>5.0162563864375289E-3</v>
      </c>
      <c r="E568" s="37">
        <v>4.8380622398749287E-3</v>
      </c>
      <c r="F568" s="37">
        <v>4.1346171754232395E-3</v>
      </c>
      <c r="G568" s="37">
        <v>4.0974729241877259E-3</v>
      </c>
      <c r="H568" s="37">
        <v>4.2533983785003737E-3</v>
      </c>
      <c r="I568" s="37">
        <v>4.2424998663077775E-3</v>
      </c>
      <c r="J568" s="37">
        <v>4.2313872522763791E-3</v>
      </c>
      <c r="K568" s="37">
        <v>4.1114899011529303E-3</v>
      </c>
      <c r="L568" s="37">
        <v>3.787155496149195E-3</v>
      </c>
      <c r="M568" s="37">
        <v>4.6881183597674205E-3</v>
      </c>
      <c r="N568" s="37">
        <v>5.0183721029981553E-3</v>
      </c>
      <c r="O568" s="37">
        <v>4.9480340813188592E-3</v>
      </c>
      <c r="P568" s="37">
        <v>5.1679867699538692E-3</v>
      </c>
      <c r="Q568" s="37">
        <v>5.5422919508867664E-3</v>
      </c>
      <c r="R568" s="37">
        <v>5.2351545973204558E-3</v>
      </c>
      <c r="S568" s="37">
        <v>5.0768752221827234E-3</v>
      </c>
      <c r="T568" s="37">
        <v>4.6304044630404466E-3</v>
      </c>
      <c r="U568" s="37">
        <v>3.1941567644173116E-3</v>
      </c>
      <c r="V568" s="37">
        <v>5.9791666666666665E-3</v>
      </c>
      <c r="W568" s="37">
        <v>7.9724447540539499E-3</v>
      </c>
      <c r="X568" s="37">
        <v>7.6737955773509515E-3</v>
      </c>
      <c r="Y568" s="37">
        <v>1.1566859796272668E-2</v>
      </c>
      <c r="Z568" s="37">
        <v>1.4487365800353735E-2</v>
      </c>
      <c r="AA568" s="37">
        <v>1.2563829787234042E-2</v>
      </c>
      <c r="AB568" s="37">
        <v>9.1212688660114085E-3</v>
      </c>
      <c r="AC568" s="37">
        <v>8.343539497856706E-3</v>
      </c>
      <c r="AD568" s="37">
        <v>8.9906426916194892E-3</v>
      </c>
      <c r="AE568" s="37">
        <v>1.1554218409934707E-2</v>
      </c>
      <c r="AF568" s="37">
        <v>1.1145589259704896E-2</v>
      </c>
      <c r="AG568" s="38">
        <v>1.0112350910111582E-2</v>
      </c>
      <c r="AH568" s="37">
        <v>9.7309203650662209E-3</v>
      </c>
      <c r="AI568" s="37">
        <v>9.7273818373641886E-3</v>
      </c>
      <c r="AJ568" s="37">
        <v>9.7251753121315003E-3</v>
      </c>
      <c r="AK568" s="37">
        <v>9.7230104792921448E-3</v>
      </c>
      <c r="AL568" s="37">
        <v>9.7208865784442645E-3</v>
      </c>
      <c r="AM568" s="37">
        <v>9.7188028604116607E-3</v>
      </c>
      <c r="AN568" s="37">
        <v>9.7167585871357973E-3</v>
      </c>
      <c r="AO568" s="37">
        <v>9.7147530315678399E-3</v>
      </c>
      <c r="AP568" s="37">
        <v>9.7127854775607165E-3</v>
      </c>
      <c r="AQ568" s="37">
        <v>9.7108552197611997E-3</v>
      </c>
      <c r="AR568" s="19"/>
      <c r="AS568" s="37">
        <v>5.5131252845076126E-3</v>
      </c>
      <c r="AT568" s="37">
        <v>2.782511912629126E-3</v>
      </c>
      <c r="AU568" s="37">
        <v>2.3104656476920734E-3</v>
      </c>
      <c r="AV568" s="37">
        <v>3.3796271848761683E-3</v>
      </c>
      <c r="AW568" s="37">
        <v>6.1199510403916772E-3</v>
      </c>
      <c r="AX568" s="37">
        <v>4.8380622398749287E-3</v>
      </c>
      <c r="AY568" s="37">
        <v>4.0974729241877259E-3</v>
      </c>
      <c r="AZ568" s="37">
        <v>4.2424998663077775E-3</v>
      </c>
      <c r="BA568" s="37">
        <v>4.1114899011529303E-3</v>
      </c>
      <c r="BB568" s="37">
        <v>4.6881183597674205E-3</v>
      </c>
      <c r="BC568" s="37">
        <v>4.9480340813188592E-3</v>
      </c>
      <c r="BD568" s="37">
        <v>5.5422919508867664E-3</v>
      </c>
      <c r="BE568" s="37">
        <v>5.0768752221827234E-3</v>
      </c>
      <c r="BF568" s="37">
        <v>3.1941567644173116E-3</v>
      </c>
      <c r="BG568" s="37">
        <v>7.9724447540539499E-3</v>
      </c>
      <c r="BH568" s="37">
        <v>1.1566859796272668E-2</v>
      </c>
      <c r="BI568" s="37">
        <v>1.2563829787234042E-2</v>
      </c>
      <c r="BJ568" s="37">
        <v>8.343539497856706E-3</v>
      </c>
      <c r="BK568" s="37">
        <v>1.1554218409934707E-2</v>
      </c>
      <c r="BL568" s="38">
        <v>1.0112350910111582E-2</v>
      </c>
      <c r="BM568" s="37">
        <v>9.7273818373641886E-3</v>
      </c>
      <c r="BN568" s="37">
        <v>9.7230104792921448E-3</v>
      </c>
      <c r="BO568" s="37">
        <v>9.7188028604116607E-3</v>
      </c>
      <c r="BP568" s="37">
        <v>9.7147530315678399E-3</v>
      </c>
      <c r="BQ568" s="37">
        <v>9.7108552197611997E-3</v>
      </c>
    </row>
    <row r="569" spans="1:69" ht="12" customHeight="1" outlineLevel="1">
      <c r="A569" s="91" t="s">
        <v>352</v>
      </c>
      <c r="B569" s="87" t="s">
        <v>353</v>
      </c>
      <c r="C569" s="19"/>
      <c r="D569" s="37">
        <v>1.9191162703613554E-2</v>
      </c>
      <c r="E569" s="37">
        <v>1.6544693453313209E-2</v>
      </c>
      <c r="F569" s="37">
        <v>1.4970731099763358E-2</v>
      </c>
      <c r="G569" s="37">
        <v>1.3688602591318351E-2</v>
      </c>
      <c r="H569" s="37">
        <v>1.4155619596541786E-2</v>
      </c>
      <c r="I569" s="37">
        <v>1.6100041084634347E-2</v>
      </c>
      <c r="J569" s="37">
        <v>1.5650000000000001E-2</v>
      </c>
      <c r="K569" s="37">
        <v>1.4116100965242217E-2</v>
      </c>
      <c r="L569" s="37">
        <v>1.2786816854401336E-2</v>
      </c>
      <c r="M569" s="37">
        <v>1.3149853123829427E-2</v>
      </c>
      <c r="N569" s="37">
        <v>1.3482736631137833E-2</v>
      </c>
      <c r="O569" s="37">
        <v>1.4889992902767921E-2</v>
      </c>
      <c r="P569" s="37">
        <v>1.7162075933212805E-2</v>
      </c>
      <c r="Q569" s="37">
        <v>1.1706692765188587E-2</v>
      </c>
      <c r="R569" s="37">
        <v>1.276477427834791E-2</v>
      </c>
      <c r="S569" s="37">
        <v>1.1500453965288104E-2</v>
      </c>
      <c r="T569" s="37">
        <v>1.0709697716487953E-2</v>
      </c>
      <c r="U569" s="37">
        <v>6.0478163522660012E-3</v>
      </c>
      <c r="V569" s="37">
        <v>7.2871307240157928E-3</v>
      </c>
      <c r="W569" s="37">
        <v>9.9638849477621562E-3</v>
      </c>
      <c r="X569" s="37">
        <v>9.2892870884406092E-3</v>
      </c>
      <c r="Y569" s="37">
        <v>1.3655669695772423E-2</v>
      </c>
      <c r="Z569" s="37">
        <v>1.7386366709028472E-2</v>
      </c>
      <c r="AA569" s="37">
        <v>1.5221229813504492E-2</v>
      </c>
      <c r="AB569" s="37">
        <v>1.0958364435597579E-2</v>
      </c>
      <c r="AC569" s="37">
        <v>1.004728677168693E-2</v>
      </c>
      <c r="AD569" s="37">
        <v>1.0800144471753129E-2</v>
      </c>
      <c r="AE569" s="37">
        <v>1.4812535261835154E-2</v>
      </c>
      <c r="AF569" s="37">
        <v>1.4399230950165161E-2</v>
      </c>
      <c r="AG569" s="38">
        <v>1.3384223918575064E-2</v>
      </c>
      <c r="AH569" s="37">
        <v>1.2884223918575062E-2</v>
      </c>
      <c r="AI569" s="37">
        <v>1.2884223918575063E-2</v>
      </c>
      <c r="AJ569" s="37">
        <v>1.2884223918575063E-2</v>
      </c>
      <c r="AK569" s="37">
        <v>1.2884223918575063E-2</v>
      </c>
      <c r="AL569" s="37">
        <v>1.2884223918575063E-2</v>
      </c>
      <c r="AM569" s="37">
        <v>1.2884223918575063E-2</v>
      </c>
      <c r="AN569" s="37">
        <v>1.2884223918575063E-2</v>
      </c>
      <c r="AO569" s="37">
        <v>1.2884223918575063E-2</v>
      </c>
      <c r="AP569" s="37">
        <v>1.2884223918575063E-2</v>
      </c>
      <c r="AQ569" s="37">
        <v>1.2884223918575063E-2</v>
      </c>
      <c r="AR569" s="19"/>
      <c r="AS569" s="37">
        <v>1.0380856083586115E-2</v>
      </c>
      <c r="AT569" s="37">
        <v>5.9171597633136093E-3</v>
      </c>
      <c r="AU569" s="37">
        <v>5.2780764343661425E-3</v>
      </c>
      <c r="AV569" s="37">
        <v>8.7536168186646158E-3</v>
      </c>
      <c r="AW569" s="37">
        <v>2.3755205504254934E-2</v>
      </c>
      <c r="AX569" s="37">
        <v>1.6544693453313209E-2</v>
      </c>
      <c r="AY569" s="37">
        <v>1.3688602591318351E-2</v>
      </c>
      <c r="AZ569" s="37">
        <v>1.6100041084634347E-2</v>
      </c>
      <c r="BA569" s="37">
        <v>1.4116100965242217E-2</v>
      </c>
      <c r="BB569" s="37">
        <v>1.3149853123829427E-2</v>
      </c>
      <c r="BC569" s="37">
        <v>1.4889992902767921E-2</v>
      </c>
      <c r="BD569" s="37">
        <v>1.1706692765188587E-2</v>
      </c>
      <c r="BE569" s="37">
        <v>1.1500453965288104E-2</v>
      </c>
      <c r="BF569" s="37">
        <v>6.0478163522660012E-3</v>
      </c>
      <c r="BG569" s="37">
        <v>9.9638849477621562E-3</v>
      </c>
      <c r="BH569" s="37">
        <v>1.3655669695772423E-2</v>
      </c>
      <c r="BI569" s="37">
        <v>1.5221229813504492E-2</v>
      </c>
      <c r="BJ569" s="37">
        <v>1.004728677168693E-2</v>
      </c>
      <c r="BK569" s="37">
        <v>1.4812535261835154E-2</v>
      </c>
      <c r="BL569" s="38">
        <v>1.3384223918575064E-2</v>
      </c>
      <c r="BM569" s="37">
        <v>1.2884223918575063E-2</v>
      </c>
      <c r="BN569" s="37">
        <v>1.2884223918575063E-2</v>
      </c>
      <c r="BO569" s="37">
        <v>1.2884223918575063E-2</v>
      </c>
      <c r="BP569" s="37">
        <v>1.2884223918575063E-2</v>
      </c>
      <c r="BQ569" s="37">
        <v>1.2884223918575063E-2</v>
      </c>
    </row>
    <row r="570" spans="1:69" ht="12" customHeight="1" outlineLevel="1">
      <c r="A570" s="91" t="s">
        <v>354</v>
      </c>
      <c r="B570" s="87" t="s">
        <v>355</v>
      </c>
      <c r="C570" s="19"/>
      <c r="D570" s="37">
        <v>1.4282396655829076E-2</v>
      </c>
      <c r="E570" s="37">
        <v>1.2274734329114995E-2</v>
      </c>
      <c r="F570" s="37">
        <v>1.11932654163485E-2</v>
      </c>
      <c r="G570" s="37">
        <v>1.0126353790613718E-2</v>
      </c>
      <c r="H570" s="37">
        <v>1.0659537160813181E-2</v>
      </c>
      <c r="I570" s="37">
        <v>1.1176669815861245E-2</v>
      </c>
      <c r="J570" s="37">
        <v>1.1176575611497947E-2</v>
      </c>
      <c r="K570" s="37">
        <v>1.0672742535076149E-2</v>
      </c>
      <c r="L570" s="37">
        <v>9.754312265291833E-3</v>
      </c>
      <c r="M570" s="37">
        <v>1.0152516058327499E-2</v>
      </c>
      <c r="N570" s="37">
        <v>1.0580043749910641E-2</v>
      </c>
      <c r="O570" s="37">
        <v>1.2127307830148325E-2</v>
      </c>
      <c r="P570" s="37">
        <v>1.4046044042127252E-2</v>
      </c>
      <c r="Q570" s="37">
        <v>9.9441507503410641E-3</v>
      </c>
      <c r="R570" s="37">
        <v>1.0790828863864612E-2</v>
      </c>
      <c r="S570" s="37">
        <v>9.7093849982225391E-3</v>
      </c>
      <c r="T570" s="37">
        <v>9.1157601115760111E-3</v>
      </c>
      <c r="U570" s="37">
        <v>5.1237326937752098E-3</v>
      </c>
      <c r="V570" s="37">
        <v>5.9791666666666665E-3</v>
      </c>
      <c r="W570" s="37">
        <v>7.9724447540539499E-3</v>
      </c>
      <c r="X570" s="37">
        <v>7.6737955773509515E-3</v>
      </c>
      <c r="Y570" s="37">
        <v>1.1566859796272668E-2</v>
      </c>
      <c r="Z570" s="37">
        <v>1.4487365800353735E-2</v>
      </c>
      <c r="AA570" s="37">
        <v>1.2563829787234042E-2</v>
      </c>
      <c r="AB570" s="37">
        <v>9.1212688660114085E-3</v>
      </c>
      <c r="AC570" s="37">
        <v>8.343539497856706E-3</v>
      </c>
      <c r="AD570" s="37">
        <v>8.9906426916194892E-3</v>
      </c>
      <c r="AE570" s="37">
        <v>1.1554218409934707E-2</v>
      </c>
      <c r="AF570" s="37">
        <v>1.1145589259704896E-2</v>
      </c>
      <c r="AG570" s="38">
        <v>1.0112350910111582E-2</v>
      </c>
      <c r="AH570" s="37">
        <v>9.7309203650662209E-3</v>
      </c>
      <c r="AI570" s="37">
        <v>9.7273818373641886E-3</v>
      </c>
      <c r="AJ570" s="37">
        <v>9.7251753121315003E-3</v>
      </c>
      <c r="AK570" s="37">
        <v>9.7230104792921448E-3</v>
      </c>
      <c r="AL570" s="37">
        <v>9.7208865784442645E-3</v>
      </c>
      <c r="AM570" s="37">
        <v>9.7188028604116607E-3</v>
      </c>
      <c r="AN570" s="37">
        <v>9.7167585871357973E-3</v>
      </c>
      <c r="AO570" s="37">
        <v>9.7147530315678399E-3</v>
      </c>
      <c r="AP570" s="37">
        <v>9.7127854775607165E-3</v>
      </c>
      <c r="AQ570" s="37">
        <v>9.7108552197611997E-3</v>
      </c>
      <c r="AR570" s="19"/>
      <c r="AS570" s="37">
        <v>7.7891861817813973E-3</v>
      </c>
      <c r="AT570" s="37">
        <v>4.5911446558380576E-3</v>
      </c>
      <c r="AU570" s="37">
        <v>4.1131366475397352E-3</v>
      </c>
      <c r="AV570" s="37">
        <v>6.3103976342609707E-3</v>
      </c>
      <c r="AW570" s="37">
        <v>1.7843057255541955E-2</v>
      </c>
      <c r="AX570" s="37">
        <v>1.2274734329114995E-2</v>
      </c>
      <c r="AY570" s="37">
        <v>1.0126353790613718E-2</v>
      </c>
      <c r="AZ570" s="37">
        <v>1.1176669815861245E-2</v>
      </c>
      <c r="BA570" s="37">
        <v>1.0672742535076149E-2</v>
      </c>
      <c r="BB570" s="37">
        <v>1.0152516058327499E-2</v>
      </c>
      <c r="BC570" s="37">
        <v>1.2127307830148325E-2</v>
      </c>
      <c r="BD570" s="37">
        <v>9.9441507503410641E-3</v>
      </c>
      <c r="BE570" s="37">
        <v>9.7093849982225391E-3</v>
      </c>
      <c r="BF570" s="37">
        <v>5.1237326937752098E-3</v>
      </c>
      <c r="BG570" s="37">
        <v>7.9724447540539499E-3</v>
      </c>
      <c r="BH570" s="37">
        <v>1.1566859796272668E-2</v>
      </c>
      <c r="BI570" s="37">
        <v>1.2563829787234042E-2</v>
      </c>
      <c r="BJ570" s="37">
        <v>8.343539497856706E-3</v>
      </c>
      <c r="BK570" s="37">
        <v>1.1554218409934707E-2</v>
      </c>
      <c r="BL570" s="38">
        <v>1.0112350910111582E-2</v>
      </c>
      <c r="BM570" s="37">
        <v>9.7273818373641886E-3</v>
      </c>
      <c r="BN570" s="37">
        <v>9.7230104792921448E-3</v>
      </c>
      <c r="BO570" s="37">
        <v>9.7188028604116607E-3</v>
      </c>
      <c r="BP570" s="37">
        <v>9.7147530315678399E-3</v>
      </c>
      <c r="BQ570" s="37">
        <v>9.7108552197611997E-3</v>
      </c>
    </row>
    <row r="571" spans="1:69" ht="12" customHeight="1" outlineLevel="1"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20"/>
      <c r="AH571" s="19"/>
      <c r="AI571" s="19"/>
      <c r="AJ571" s="19"/>
      <c r="AK571" s="19"/>
      <c r="AL571" s="19"/>
      <c r="AM571" s="19"/>
      <c r="AN571" s="19"/>
      <c r="AO571" s="19"/>
      <c r="AP571" s="19"/>
      <c r="AQ571" s="19"/>
      <c r="AR571" s="19"/>
      <c r="AS571" s="19"/>
      <c r="AT571" s="19"/>
      <c r="AU571" s="19"/>
      <c r="AV571" s="19"/>
      <c r="AW571" s="19"/>
      <c r="AX571" s="19"/>
      <c r="AY571" s="19"/>
      <c r="AZ571" s="19"/>
      <c r="BA571" s="19"/>
      <c r="BB571" s="19"/>
      <c r="BC571" s="19"/>
      <c r="BD571" s="19"/>
      <c r="BE571" s="19"/>
      <c r="BF571" s="19"/>
      <c r="BG571" s="19"/>
      <c r="BH571" s="19"/>
      <c r="BI571" s="19"/>
      <c r="BJ571" s="19"/>
      <c r="BK571" s="19"/>
      <c r="BL571" s="20"/>
      <c r="BM571" s="19"/>
      <c r="BN571" s="19"/>
      <c r="BO571" s="19"/>
      <c r="BP571" s="19"/>
      <c r="BQ571" s="19"/>
    </row>
    <row r="572" spans="1:69" ht="12" customHeight="1" outlineLevel="1">
      <c r="B572" s="9" t="s">
        <v>413</v>
      </c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20"/>
      <c r="AH572" s="19"/>
      <c r="AI572" s="19"/>
      <c r="AJ572" s="19"/>
      <c r="AK572" s="19"/>
      <c r="AL572" s="19"/>
      <c r="AM572" s="19"/>
      <c r="AN572" s="19"/>
      <c r="AO572" s="19"/>
      <c r="AP572" s="19"/>
      <c r="AQ572" s="19"/>
      <c r="AR572" s="19"/>
      <c r="AS572" s="19"/>
      <c r="AT572" s="19"/>
      <c r="AU572" s="19"/>
      <c r="AV572" s="19"/>
      <c r="AW572" s="19"/>
      <c r="AX572" s="19"/>
      <c r="AY572" s="19"/>
      <c r="AZ572" s="19"/>
      <c r="BA572" s="19"/>
      <c r="BB572" s="19"/>
      <c r="BC572" s="19"/>
      <c r="BD572" s="19"/>
      <c r="BE572" s="19"/>
      <c r="BF572" s="19"/>
      <c r="BG572" s="19"/>
      <c r="BH572" s="19"/>
      <c r="BI572" s="19"/>
      <c r="BJ572" s="19"/>
      <c r="BK572" s="19"/>
      <c r="BL572" s="20"/>
      <c r="BM572" s="19"/>
      <c r="BN572" s="19"/>
      <c r="BO572" s="19"/>
      <c r="BP572" s="19"/>
      <c r="BQ572" s="19"/>
    </row>
    <row r="573" spans="1:69" ht="12" customHeight="1" outlineLevel="1">
      <c r="A573" s="91" t="s">
        <v>356</v>
      </c>
      <c r="B573" s="106" t="s">
        <v>601</v>
      </c>
      <c r="C573" s="182">
        <v>0</v>
      </c>
      <c r="D573" s="182">
        <v>0.10638643752902927</v>
      </c>
      <c r="E573" s="182">
        <v>0.10574018126888217</v>
      </c>
      <c r="F573" s="182">
        <v>9.9174939005084464E-2</v>
      </c>
      <c r="G573" s="182">
        <v>9.886281588447654E-2</v>
      </c>
      <c r="H573" s="182">
        <v>0.11301887120015278</v>
      </c>
      <c r="I573" s="182">
        <v>0.1013387047897467</v>
      </c>
      <c r="J573" s="182">
        <v>9.8357436172112123E-2</v>
      </c>
      <c r="K573" s="50">
        <v>9.7168211330580914E-2</v>
      </c>
      <c r="L573" s="50">
        <v>9.7622684743173579E-2</v>
      </c>
      <c r="M573" s="50">
        <v>9.6167311029255076E-2</v>
      </c>
      <c r="N573" s="50">
        <v>8.7299658293181592E-2</v>
      </c>
      <c r="O573" s="50">
        <v>9.7284361668921029E-2</v>
      </c>
      <c r="P573" s="50">
        <v>9.8659587431456169E-2</v>
      </c>
      <c r="Q573" s="50">
        <v>0.10739256480218282</v>
      </c>
      <c r="R573" s="50">
        <v>0.1042436804205218</v>
      </c>
      <c r="S573" s="50">
        <v>0.11135798080341272</v>
      </c>
      <c r="T573" s="50">
        <v>0.11044909344490934</v>
      </c>
      <c r="U573" s="50">
        <v>0.11041098877139431</v>
      </c>
      <c r="V573" s="50">
        <v>0.10394791666666667</v>
      </c>
      <c r="W573" s="50">
        <v>0.11402660061663893</v>
      </c>
      <c r="X573" s="50">
        <v>0.11391499795668165</v>
      </c>
      <c r="Y573" s="50">
        <v>0.12187035913740091</v>
      </c>
      <c r="Z573" s="50">
        <v>0.13530929286784504</v>
      </c>
      <c r="AA573" s="50">
        <v>0.12595744680851065</v>
      </c>
      <c r="AB573" s="50">
        <v>0.11725619806183823</v>
      </c>
      <c r="AC573" s="50">
        <v>0.11462798530312308</v>
      </c>
      <c r="AD573" s="50">
        <v>0.12765832624446335</v>
      </c>
      <c r="AE573" s="50">
        <v>0.13650620919216488</v>
      </c>
      <c r="AF573" s="50">
        <v>0.13229054524729275</v>
      </c>
      <c r="AG573" s="51">
        <v>0.13617453225570791</v>
      </c>
      <c r="AH573" s="182">
        <v>0.1297816946455185</v>
      </c>
      <c r="AI573" s="182">
        <v>0.1264323633662327</v>
      </c>
      <c r="AJ573" s="182">
        <v>0.12646131426376239</v>
      </c>
      <c r="AK573" s="182">
        <v>0.12880116783328527</v>
      </c>
      <c r="AL573" s="182">
        <v>0.12821609636342524</v>
      </c>
      <c r="AM573" s="182">
        <v>0.13095436478727146</v>
      </c>
      <c r="AN573" s="182">
        <v>0.13040040515425558</v>
      </c>
      <c r="AO573" s="182">
        <v>0.1330978754904022</v>
      </c>
      <c r="AP573" s="182">
        <v>0.13254785960886176</v>
      </c>
      <c r="AQ573" s="182">
        <v>0.13524495717087606</v>
      </c>
      <c r="AR573" s="182"/>
      <c r="AS573" s="182">
        <v>0.11203277527692074</v>
      </c>
      <c r="AT573" s="182">
        <v>8.994469757573649E-2</v>
      </c>
      <c r="AU573" s="182">
        <v>0.11841771187731681</v>
      </c>
      <c r="AV573" s="182">
        <v>9.4840787875587473E-2</v>
      </c>
      <c r="AW573" s="182">
        <v>9.1636066911464711E-2</v>
      </c>
      <c r="AX573" s="182">
        <v>0.10574018126888217</v>
      </c>
      <c r="AY573" s="182">
        <v>9.886281588447654E-2</v>
      </c>
      <c r="AZ573" s="182">
        <v>0.1013387047897467</v>
      </c>
      <c r="BA573" s="182">
        <v>9.7168211330580914E-2</v>
      </c>
      <c r="BB573" s="50">
        <v>9.6167311029255076E-2</v>
      </c>
      <c r="BC573" s="50">
        <v>9.7284361668921029E-2</v>
      </c>
      <c r="BD573" s="50">
        <v>0.10739256480218282</v>
      </c>
      <c r="BE573" s="50">
        <v>0.11135798080341272</v>
      </c>
      <c r="BF573" s="50">
        <v>0.11041098877139431</v>
      </c>
      <c r="BG573" s="50">
        <v>0.11402660061663893</v>
      </c>
      <c r="BH573" s="50">
        <v>0.12187035913740091</v>
      </c>
      <c r="BI573" s="50">
        <v>0.12595744680851065</v>
      </c>
      <c r="BJ573" s="50">
        <v>0.11462798530312308</v>
      </c>
      <c r="BK573" s="50">
        <v>0.13650620919216488</v>
      </c>
      <c r="BL573" s="51">
        <v>0.13617453225570791</v>
      </c>
      <c r="BM573" s="182">
        <v>0.1264323633662327</v>
      </c>
      <c r="BN573" s="182">
        <v>0.12880116783328527</v>
      </c>
      <c r="BO573" s="182">
        <v>0.13095436478727146</v>
      </c>
      <c r="BP573" s="182">
        <v>0.1330978754904022</v>
      </c>
      <c r="BQ573" s="182">
        <v>0.13524495717087606</v>
      </c>
    </row>
    <row r="574" spans="1:69" ht="12" customHeight="1" outlineLevel="1">
      <c r="A574" s="91" t="s">
        <v>583</v>
      </c>
      <c r="B574" s="106" t="s">
        <v>602</v>
      </c>
      <c r="C574" s="185">
        <v>0</v>
      </c>
      <c r="D574" s="185">
        <v>9093</v>
      </c>
      <c r="E574" s="185">
        <v>8885</v>
      </c>
      <c r="F574" s="185">
        <v>8473</v>
      </c>
      <c r="G574" s="185">
        <v>9047</v>
      </c>
      <c r="H574" s="185">
        <v>9655</v>
      </c>
      <c r="I574" s="185">
        <v>8989</v>
      </c>
      <c r="J574" s="185">
        <v>9103</v>
      </c>
      <c r="K574" s="322">
        <v>9665</v>
      </c>
      <c r="L574" s="322">
        <v>10196</v>
      </c>
      <c r="M574" s="322">
        <v>9515</v>
      </c>
      <c r="N574" s="322">
        <v>9692</v>
      </c>
      <c r="O574" s="322">
        <v>12195</v>
      </c>
      <c r="P574" s="322">
        <v>13312</v>
      </c>
      <c r="Q574" s="322">
        <v>13859</v>
      </c>
      <c r="R574" s="322">
        <v>13622</v>
      </c>
      <c r="S574" s="322">
        <v>14439</v>
      </c>
      <c r="T574" s="322">
        <v>14202</v>
      </c>
      <c r="U574" s="322">
        <v>14954</v>
      </c>
      <c r="V574" s="322">
        <v>15503</v>
      </c>
      <c r="W574" s="322">
        <v>18197</v>
      </c>
      <c r="X574" s="322">
        <v>20162</v>
      </c>
      <c r="Y574" s="322">
        <v>21242</v>
      </c>
      <c r="Z574" s="322">
        <v>21086</v>
      </c>
      <c r="AA574" s="322">
        <v>22428</v>
      </c>
      <c r="AB574" s="322">
        <v>24292</v>
      </c>
      <c r="AC574" s="322">
        <v>28290</v>
      </c>
      <c r="AD574" s="322">
        <v>31507</v>
      </c>
      <c r="AE574" s="322">
        <v>33363</v>
      </c>
      <c r="AF574" s="322">
        <v>32712</v>
      </c>
      <c r="AG574" s="186">
        <v>33250</v>
      </c>
      <c r="AH574" s="185">
        <v>32999.029660369226</v>
      </c>
      <c r="AI574" s="185">
        <v>33296.980970725723</v>
      </c>
      <c r="AJ574" s="185">
        <v>33871.604309014307</v>
      </c>
      <c r="AK574" s="185">
        <v>34935.347701452483</v>
      </c>
      <c r="AL574" s="185">
        <v>35418.888426309655</v>
      </c>
      <c r="AM574" s="185">
        <v>36625.695974488597</v>
      </c>
      <c r="AN574" s="185">
        <v>37149.68988960977</v>
      </c>
      <c r="AO574" s="185">
        <v>38413.86381156907</v>
      </c>
      <c r="AP574" s="185">
        <v>38974.780986149024</v>
      </c>
      <c r="AQ574" s="185">
        <v>40308.536022556305</v>
      </c>
      <c r="AR574" s="185"/>
      <c r="AS574" s="185">
        <v>2215</v>
      </c>
      <c r="AT574" s="185">
        <v>2586</v>
      </c>
      <c r="AU574" s="185">
        <v>4664</v>
      </c>
      <c r="AV574" s="185">
        <v>3592</v>
      </c>
      <c r="AW574" s="185">
        <v>7196</v>
      </c>
      <c r="AX574" s="185">
        <v>8885</v>
      </c>
      <c r="AY574" s="185">
        <v>9047</v>
      </c>
      <c r="AZ574" s="185">
        <v>8989</v>
      </c>
      <c r="BA574" s="185">
        <v>9665</v>
      </c>
      <c r="BB574" s="322">
        <v>9515</v>
      </c>
      <c r="BC574" s="322">
        <v>12195</v>
      </c>
      <c r="BD574" s="322">
        <v>13859</v>
      </c>
      <c r="BE574" s="322">
        <v>14439</v>
      </c>
      <c r="BF574" s="322">
        <v>14954</v>
      </c>
      <c r="BG574" s="322">
        <v>18197</v>
      </c>
      <c r="BH574" s="322">
        <v>21242</v>
      </c>
      <c r="BI574" s="322">
        <v>22428</v>
      </c>
      <c r="BJ574" s="322">
        <v>28290</v>
      </c>
      <c r="BK574" s="322">
        <v>33363</v>
      </c>
      <c r="BL574" s="186">
        <v>33250</v>
      </c>
      <c r="BM574" s="185">
        <v>33296.980970725723</v>
      </c>
      <c r="BN574" s="185">
        <v>34935.347701452483</v>
      </c>
      <c r="BO574" s="185">
        <v>36625.695974488597</v>
      </c>
      <c r="BP574" s="185">
        <v>38413.86381156907</v>
      </c>
      <c r="BQ574" s="185">
        <v>40308.536022556305</v>
      </c>
    </row>
    <row r="575" spans="1:69" ht="12" customHeight="1" outlineLevel="1">
      <c r="A575" s="91" t="s">
        <v>586</v>
      </c>
      <c r="B575" s="106" t="s">
        <v>603</v>
      </c>
      <c r="C575" s="185">
        <v>0</v>
      </c>
      <c r="D575" s="185">
        <v>5638.4500000000007</v>
      </c>
      <c r="E575" s="185">
        <v>5998.9724999999999</v>
      </c>
      <c r="F575" s="185">
        <v>6757.6725000000006</v>
      </c>
      <c r="G575" s="185">
        <v>7255.5</v>
      </c>
      <c r="H575" s="185">
        <v>7300.0825000000004</v>
      </c>
      <c r="I575" s="185">
        <v>7332.1675000000005</v>
      </c>
      <c r="J575" s="185">
        <v>7466.8249999999998</v>
      </c>
      <c r="K575" s="322">
        <v>7949.7725</v>
      </c>
      <c r="L575" s="322">
        <v>8612.630000000001</v>
      </c>
      <c r="M575" s="322">
        <v>8243.0849999999991</v>
      </c>
      <c r="N575" s="322">
        <v>8933.1550000000007</v>
      </c>
      <c r="O575" s="322">
        <v>10568.415000000001</v>
      </c>
      <c r="P575" s="322">
        <v>11404.52</v>
      </c>
      <c r="Q575" s="322">
        <v>10991.04</v>
      </c>
      <c r="R575" s="322">
        <v>10968.830000000002</v>
      </c>
      <c r="S575" s="322">
        <v>10952.36</v>
      </c>
      <c r="T575" s="322">
        <v>12552.375</v>
      </c>
      <c r="U575" s="322">
        <v>13258.35</v>
      </c>
      <c r="V575" s="322">
        <v>14703</v>
      </c>
      <c r="W575" s="322">
        <v>14517.115</v>
      </c>
      <c r="X575" s="322">
        <v>16158.74</v>
      </c>
      <c r="Y575" s="322">
        <v>16514.71</v>
      </c>
      <c r="Z575" s="322">
        <v>14360.865</v>
      </c>
      <c r="AA575" s="322">
        <v>16248</v>
      </c>
      <c r="AB575" s="322">
        <v>19443.885000000002</v>
      </c>
      <c r="AC575" s="322">
        <v>21295.8</v>
      </c>
      <c r="AD575" s="322">
        <v>23232.58</v>
      </c>
      <c r="AE575" s="322">
        <v>23210.04</v>
      </c>
      <c r="AF575" s="322">
        <v>24788.44</v>
      </c>
      <c r="AG575" s="186">
        <v>25146.095000000001</v>
      </c>
      <c r="AH575" s="185">
        <v>25946.003293679314</v>
      </c>
      <c r="AI575" s="185">
        <v>26778.480363828436</v>
      </c>
      <c r="AJ575" s="185">
        <v>27341.774672645464</v>
      </c>
      <c r="AK575" s="185">
        <v>27919.259793633864</v>
      </c>
      <c r="AL575" s="185">
        <v>28511.305951404036</v>
      </c>
      <c r="AM575" s="185">
        <v>29118.293211817581</v>
      </c>
      <c r="AN575" s="185">
        <v>29740.611746807655</v>
      </c>
      <c r="AO575" s="185">
        <v>30378.662106395863</v>
      </c>
      <c r="AP575" s="185">
        <v>31032.855498102679</v>
      </c>
      <c r="AQ575" s="185">
        <v>31703.614073954483</v>
      </c>
      <c r="AR575" s="185"/>
      <c r="AS575" s="185">
        <v>1631.1075000000001</v>
      </c>
      <c r="AT575" s="185">
        <v>2371.9575</v>
      </c>
      <c r="AU575" s="185">
        <v>3249.3450000000003</v>
      </c>
      <c r="AV575" s="185">
        <v>3124.605</v>
      </c>
      <c r="AW575" s="185">
        <v>5434.1125000000002</v>
      </c>
      <c r="AX575" s="185">
        <v>5998.9724999999999</v>
      </c>
      <c r="AY575" s="185">
        <v>7255.5</v>
      </c>
      <c r="AZ575" s="185">
        <v>7332.1675000000005</v>
      </c>
      <c r="BA575" s="185">
        <v>7949.7725</v>
      </c>
      <c r="BB575" s="322">
        <v>8243.0849999999991</v>
      </c>
      <c r="BC575" s="322">
        <v>10568.415000000001</v>
      </c>
      <c r="BD575" s="322">
        <v>10991.04</v>
      </c>
      <c r="BE575" s="322">
        <v>10952.36</v>
      </c>
      <c r="BF575" s="322">
        <v>13258.35</v>
      </c>
      <c r="BG575" s="322">
        <v>14517.115</v>
      </c>
      <c r="BH575" s="322">
        <v>16514.71</v>
      </c>
      <c r="BI575" s="322">
        <v>16248</v>
      </c>
      <c r="BJ575" s="322">
        <v>21295.8</v>
      </c>
      <c r="BK575" s="322">
        <v>23210.04</v>
      </c>
      <c r="BL575" s="186">
        <v>25146.095000000001</v>
      </c>
      <c r="BM575" s="185">
        <v>26778.480363828436</v>
      </c>
      <c r="BN575" s="185">
        <v>27919.259793633864</v>
      </c>
      <c r="BO575" s="185">
        <v>29118.293211817581</v>
      </c>
      <c r="BP575" s="185">
        <v>30378.662106395863</v>
      </c>
      <c r="BQ575" s="185">
        <v>31703.614073954483</v>
      </c>
    </row>
    <row r="576" spans="1:69" ht="12" customHeight="1" outlineLevel="1">
      <c r="A576" s="91" t="s">
        <v>604</v>
      </c>
      <c r="B576" s="106" t="s">
        <v>571</v>
      </c>
      <c r="C576" s="19">
        <v>0</v>
      </c>
      <c r="D576" s="19">
        <v>3454.5499999999993</v>
      </c>
      <c r="E576" s="19">
        <v>2886.0275000000001</v>
      </c>
      <c r="F576" s="19">
        <v>1715.3274999999994</v>
      </c>
      <c r="G576" s="19">
        <v>1791.5</v>
      </c>
      <c r="H576" s="19">
        <v>2354.9174999999996</v>
      </c>
      <c r="I576" s="19">
        <v>1656.8324999999995</v>
      </c>
      <c r="J576" s="19">
        <v>1636.1750000000002</v>
      </c>
      <c r="K576" s="19">
        <v>1715.2275</v>
      </c>
      <c r="L576" s="19">
        <v>1583.369999999999</v>
      </c>
      <c r="M576" s="19">
        <v>1271.9150000000009</v>
      </c>
      <c r="N576" s="19">
        <v>758.84499999999935</v>
      </c>
      <c r="O576" s="19">
        <v>1626.5849999999991</v>
      </c>
      <c r="P576" s="19">
        <v>1907.4799999999996</v>
      </c>
      <c r="Q576" s="19">
        <v>2867.9599999999991</v>
      </c>
      <c r="R576" s="19">
        <v>2653.1699999999983</v>
      </c>
      <c r="S576" s="19">
        <v>3486.6399999999994</v>
      </c>
      <c r="T576" s="19">
        <v>1649.625</v>
      </c>
      <c r="U576" s="19">
        <v>1695.6499999999996</v>
      </c>
      <c r="V576" s="19">
        <v>800</v>
      </c>
      <c r="W576" s="19">
        <v>3679.8850000000002</v>
      </c>
      <c r="X576" s="19">
        <v>4003.26</v>
      </c>
      <c r="Y576" s="19">
        <v>4727.2900000000009</v>
      </c>
      <c r="Z576" s="19">
        <v>6725.1350000000002</v>
      </c>
      <c r="AA576" s="19">
        <v>6180</v>
      </c>
      <c r="AB576" s="19">
        <v>4848.114999999998</v>
      </c>
      <c r="AC576" s="19">
        <v>6994.2000000000007</v>
      </c>
      <c r="AD576" s="19">
        <v>8274.4199999999983</v>
      </c>
      <c r="AE576" s="19">
        <v>10152.959999999999</v>
      </c>
      <c r="AF576" s="19">
        <v>7923.5600000000013</v>
      </c>
      <c r="AG576" s="20">
        <v>8103.9049999999988</v>
      </c>
      <c r="AH576" s="19">
        <v>7053.0263666899118</v>
      </c>
      <c r="AI576" s="19">
        <v>6518.5006068972871</v>
      </c>
      <c r="AJ576" s="19">
        <v>6529.8296363688423</v>
      </c>
      <c r="AK576" s="19">
        <v>7016.087907818619</v>
      </c>
      <c r="AL576" s="19">
        <v>6907.5824749056192</v>
      </c>
      <c r="AM576" s="19">
        <v>7507.4027626710158</v>
      </c>
      <c r="AN576" s="19">
        <v>7409.0781428021146</v>
      </c>
      <c r="AO576" s="19">
        <v>8035.2017051732073</v>
      </c>
      <c r="AP576" s="19">
        <v>7941.925488046345</v>
      </c>
      <c r="AQ576" s="19">
        <v>8604.9219486018228</v>
      </c>
      <c r="AR576" s="19"/>
      <c r="AS576" s="19">
        <v>583.89249999999993</v>
      </c>
      <c r="AT576" s="19">
        <v>214.04250000000002</v>
      </c>
      <c r="AU576" s="19">
        <v>1414.6549999999997</v>
      </c>
      <c r="AV576" s="19">
        <v>467.39499999999998</v>
      </c>
      <c r="AW576" s="19">
        <v>1761.8874999999998</v>
      </c>
      <c r="AX576" s="19">
        <v>2886.0275000000001</v>
      </c>
      <c r="AY576" s="19">
        <v>1791.5</v>
      </c>
      <c r="AZ576" s="19">
        <v>1656.8324999999995</v>
      </c>
      <c r="BA576" s="19">
        <v>1715.2275</v>
      </c>
      <c r="BB576" s="19">
        <v>1271.9150000000009</v>
      </c>
      <c r="BC576" s="19">
        <v>1626.5849999999991</v>
      </c>
      <c r="BD576" s="19">
        <v>2867.9599999999991</v>
      </c>
      <c r="BE576" s="19">
        <v>3486.6399999999994</v>
      </c>
      <c r="BF576" s="19">
        <v>1695.6499999999996</v>
      </c>
      <c r="BG576" s="19">
        <v>3679.8850000000002</v>
      </c>
      <c r="BH576" s="19">
        <v>4727.2900000000009</v>
      </c>
      <c r="BI576" s="19">
        <v>6180</v>
      </c>
      <c r="BJ576" s="19">
        <v>6994.2000000000007</v>
      </c>
      <c r="BK576" s="19">
        <v>10152.959999999999</v>
      </c>
      <c r="BL576" s="20">
        <v>8103.9049999999988</v>
      </c>
      <c r="BM576" s="19">
        <v>6518.5006068972871</v>
      </c>
      <c r="BN576" s="19">
        <v>7016.087907818619</v>
      </c>
      <c r="BO576" s="19">
        <v>7507.4027626710158</v>
      </c>
      <c r="BP576" s="19">
        <v>8035.2017051732073</v>
      </c>
      <c r="BQ576" s="19">
        <v>8604.9219486018228</v>
      </c>
    </row>
    <row r="577" spans="1:69" ht="12" customHeight="1" outlineLevel="1">
      <c r="A577" s="91" t="s">
        <v>357</v>
      </c>
      <c r="B577" s="106" t="s">
        <v>358</v>
      </c>
      <c r="C577" s="182">
        <v>0</v>
      </c>
      <c r="D577" s="182">
        <v>0.59730146271398743</v>
      </c>
      <c r="E577" s="182">
        <v>0.60287963397548161</v>
      </c>
      <c r="F577" s="182">
        <v>0.73751146119106692</v>
      </c>
      <c r="G577" s="182">
        <v>0.62715182820976489</v>
      </c>
      <c r="H577" s="182">
        <v>0.74224678950819678</v>
      </c>
      <c r="I577" s="182">
        <v>0.61514891117647053</v>
      </c>
      <c r="J577" s="182">
        <v>0.70431255747922439</v>
      </c>
      <c r="K577" s="50">
        <v>0.86608820918367346</v>
      </c>
      <c r="L577" s="50">
        <v>0.6784192335329341</v>
      </c>
      <c r="M577" s="50">
        <v>1.1583486039594242</v>
      </c>
      <c r="N577" s="50">
        <v>0.61587594719764016</v>
      </c>
      <c r="O577" s="50">
        <v>0.72021118142548601</v>
      </c>
      <c r="P577" s="50">
        <v>0.49873937943925239</v>
      </c>
      <c r="Q577" s="50">
        <v>0.82248311540785501</v>
      </c>
      <c r="R577" s="50">
        <v>0.61585057200000004</v>
      </c>
      <c r="S577" s="50">
        <v>0.81661083701799475</v>
      </c>
      <c r="T577" s="50">
        <v>0.55908149130608975</v>
      </c>
      <c r="U577" s="50">
        <v>0.83206067532467531</v>
      </c>
      <c r="V577" s="50">
        <v>0.55864342496183206</v>
      </c>
      <c r="W577" s="50">
        <v>0.73288149330143537</v>
      </c>
      <c r="X577" s="50">
        <v>0.6080584540150995</v>
      </c>
      <c r="Y577" s="50">
        <v>0.50069584992150706</v>
      </c>
      <c r="Z577" s="50">
        <v>0.49546182380710663</v>
      </c>
      <c r="AA577" s="50">
        <v>0.59709439061576353</v>
      </c>
      <c r="AB577" s="50">
        <v>0.49104210459128739</v>
      </c>
      <c r="AC577" s="50">
        <v>0.50423084096883208</v>
      </c>
      <c r="AD577" s="50">
        <v>0.50300662125813456</v>
      </c>
      <c r="AE577" s="50">
        <v>0.60449961522419193</v>
      </c>
      <c r="AF577" s="50">
        <v>0.6964775425441696</v>
      </c>
      <c r="AG577" s="51">
        <v>0.69976542574750833</v>
      </c>
      <c r="AH577" s="182">
        <v>0.50127156131600759</v>
      </c>
      <c r="AI577" s="182">
        <v>0.7086472119954349</v>
      </c>
      <c r="AJ577" s="182">
        <v>0.50878866316227256</v>
      </c>
      <c r="AK577" s="182">
        <v>0.71241002149132615</v>
      </c>
      <c r="AL577" s="182">
        <v>0.50755408769542198</v>
      </c>
      <c r="AM577" s="182">
        <v>0.70840396958574381</v>
      </c>
      <c r="AN577" s="182">
        <v>0.51023289263215355</v>
      </c>
      <c r="AO577" s="182">
        <v>0.70784172950557478</v>
      </c>
      <c r="AP577" s="182">
        <v>0.51335055817097597</v>
      </c>
      <c r="AQ577" s="182">
        <v>0.71123822715919804</v>
      </c>
      <c r="AR577" s="182"/>
      <c r="AS577" s="182">
        <v>0.55369953192118226</v>
      </c>
      <c r="AT577" s="182">
        <v>0.54557510191048042</v>
      </c>
      <c r="AU577" s="182">
        <v>0.54676336004784698</v>
      </c>
      <c r="AV577" s="182">
        <v>0.5253851347753743</v>
      </c>
      <c r="AW577" s="182">
        <v>0.60202101033295052</v>
      </c>
      <c r="AX577" s="182">
        <v>0.60033492537142852</v>
      </c>
      <c r="AY577" s="182">
        <v>0.67367372370292877</v>
      </c>
      <c r="AZ577" s="182">
        <v>0.66825144938356162</v>
      </c>
      <c r="BA577" s="182">
        <v>0.79746187514688605</v>
      </c>
      <c r="BB577" s="50">
        <v>0.96827380982213451</v>
      </c>
      <c r="BC577" s="50">
        <v>0.67610938042394009</v>
      </c>
      <c r="BD577" s="50">
        <v>0.6545694956858944</v>
      </c>
      <c r="BE577" s="50">
        <v>0.72152816752368054</v>
      </c>
      <c r="BF577" s="50">
        <v>0.69882719012514671</v>
      </c>
      <c r="BG577" s="50">
        <v>0.6563382774983233</v>
      </c>
      <c r="BH577" s="50">
        <v>0.55797425129989009</v>
      </c>
      <c r="BI577" s="50">
        <v>0.56389104789386402</v>
      </c>
      <c r="BJ577" s="50">
        <v>0.49850525906927323</v>
      </c>
      <c r="BK577" s="50">
        <v>0.55935462273253578</v>
      </c>
      <c r="BL577" s="51">
        <v>0.69844448459681996</v>
      </c>
      <c r="BM577" s="182">
        <v>0.60791165439718653</v>
      </c>
      <c r="BN577" s="182">
        <v>0.61287680667449218</v>
      </c>
      <c r="BO577" s="182">
        <v>0.61335391282138341</v>
      </c>
      <c r="BP577" s="182">
        <v>0.61397789207834219</v>
      </c>
      <c r="BQ577" s="182">
        <v>0.61723923861014918</v>
      </c>
    </row>
    <row r="578" spans="1:69" ht="12" customHeight="1" outlineLevel="1">
      <c r="A578" s="91" t="s">
        <v>359</v>
      </c>
      <c r="B578" s="106" t="s">
        <v>360</v>
      </c>
      <c r="C578" s="41" t="s">
        <v>55</v>
      </c>
      <c r="D578" s="41" t="s">
        <v>55</v>
      </c>
      <c r="E578" s="41" t="s">
        <v>55</v>
      </c>
      <c r="F578" s="41" t="s">
        <v>55</v>
      </c>
      <c r="G578" s="41" t="s">
        <v>55</v>
      </c>
      <c r="H578" s="41" t="s">
        <v>55</v>
      </c>
      <c r="I578" s="41" t="s">
        <v>55</v>
      </c>
      <c r="J578" s="41" t="s">
        <v>55</v>
      </c>
      <c r="K578" s="41" t="s">
        <v>55</v>
      </c>
      <c r="L578" s="41" t="s">
        <v>55</v>
      </c>
      <c r="M578" s="41" t="s">
        <v>55</v>
      </c>
      <c r="N578" s="41" t="s">
        <v>55</v>
      </c>
      <c r="O578" s="41" t="s">
        <v>55</v>
      </c>
      <c r="P578" s="41" t="s">
        <v>55</v>
      </c>
      <c r="Q578" s="41" t="s">
        <v>55</v>
      </c>
      <c r="R578" s="41" t="s">
        <v>55</v>
      </c>
      <c r="S578" s="41" t="s">
        <v>55</v>
      </c>
      <c r="T578" s="41" t="s">
        <v>55</v>
      </c>
      <c r="U578" s="41" t="s">
        <v>55</v>
      </c>
      <c r="V578" s="41" t="s">
        <v>55</v>
      </c>
      <c r="W578" s="41" t="s">
        <v>55</v>
      </c>
      <c r="X578" s="41" t="s">
        <v>55</v>
      </c>
      <c r="Y578" s="41" t="s">
        <v>55</v>
      </c>
      <c r="Z578" s="41" t="s">
        <v>55</v>
      </c>
      <c r="AA578" s="41" t="s">
        <v>55</v>
      </c>
      <c r="AB578" s="41" t="s">
        <v>55</v>
      </c>
      <c r="AC578" s="41" t="s">
        <v>55</v>
      </c>
      <c r="AD578" s="41" t="s">
        <v>55</v>
      </c>
      <c r="AE578" s="41" t="s">
        <v>55</v>
      </c>
      <c r="AF578" s="41" t="s">
        <v>55</v>
      </c>
      <c r="AG578" s="42" t="s">
        <v>55</v>
      </c>
      <c r="AH578" s="41" t="s">
        <v>55</v>
      </c>
      <c r="AI578" s="41" t="s">
        <v>55</v>
      </c>
      <c r="AJ578" s="41" t="s">
        <v>55</v>
      </c>
      <c r="AK578" s="41" t="s">
        <v>55</v>
      </c>
      <c r="AL578" s="41" t="s">
        <v>55</v>
      </c>
      <c r="AM578" s="41" t="s">
        <v>55</v>
      </c>
      <c r="AN578" s="41" t="s">
        <v>55</v>
      </c>
      <c r="AO578" s="41" t="s">
        <v>55</v>
      </c>
      <c r="AP578" s="41" t="s">
        <v>55</v>
      </c>
      <c r="AQ578" s="41" t="s">
        <v>55</v>
      </c>
      <c r="AR578" s="41"/>
      <c r="AS578" s="41">
        <v>39</v>
      </c>
      <c r="AT578" s="41">
        <v>149</v>
      </c>
      <c r="AU578" s="41">
        <v>176</v>
      </c>
      <c r="AV578" s="41">
        <v>133</v>
      </c>
      <c r="AW578" s="41">
        <v>11</v>
      </c>
      <c r="AX578" s="41">
        <v>15</v>
      </c>
      <c r="AY578" s="41">
        <v>49</v>
      </c>
      <c r="AZ578" s="41">
        <v>75</v>
      </c>
      <c r="BA578" s="41">
        <v>297</v>
      </c>
      <c r="BB578" s="41">
        <v>250</v>
      </c>
      <c r="BC578" s="41">
        <v>144</v>
      </c>
      <c r="BD578" s="41">
        <v>306</v>
      </c>
      <c r="BE578" s="41">
        <v>199</v>
      </c>
      <c r="BF578" s="41">
        <v>117</v>
      </c>
      <c r="BG578" s="41">
        <v>198</v>
      </c>
      <c r="BH578" s="41">
        <v>264</v>
      </c>
      <c r="BI578" s="41">
        <v>426</v>
      </c>
      <c r="BJ578" s="41">
        <v>457</v>
      </c>
      <c r="BK578" s="41">
        <v>462</v>
      </c>
      <c r="BL578" s="42">
        <v>224</v>
      </c>
      <c r="BM578" s="41">
        <v>208.18524298660191</v>
      </c>
      <c r="BN578" s="41">
        <v>187.72483425828301</v>
      </c>
      <c r="BO578" s="41">
        <v>166.18065334732495</v>
      </c>
      <c r="BP578" s="41">
        <v>142.80533651916085</v>
      </c>
      <c r="BQ578" s="41">
        <v>115.26165972359865</v>
      </c>
    </row>
    <row r="579" spans="1:69" ht="12" customHeight="1" outlineLevel="1">
      <c r="A579" s="91" t="s">
        <v>361</v>
      </c>
      <c r="B579" s="106" t="s">
        <v>362</v>
      </c>
      <c r="C579" s="182" t="s">
        <v>55</v>
      </c>
      <c r="D579" s="182">
        <v>-2.2066805845511483</v>
      </c>
      <c r="E579" s="182">
        <v>0.11383537653239931</v>
      </c>
      <c r="F579" s="182">
        <v>1.278894472361809</v>
      </c>
      <c r="G579" s="182">
        <v>0.56353591160220995</v>
      </c>
      <c r="H579" s="182">
        <v>2.0316901408450705</v>
      </c>
      <c r="I579" s="182">
        <v>0.63523573200992556</v>
      </c>
      <c r="J579" s="182">
        <v>2.2238805970149254</v>
      </c>
      <c r="K579" s="50">
        <v>0.91428571428571426</v>
      </c>
      <c r="L579" s="50">
        <v>2.0366379310344831</v>
      </c>
      <c r="M579" s="50">
        <v>1.9507042253521125</v>
      </c>
      <c r="N579" s="50">
        <v>1.4380952380952383</v>
      </c>
      <c r="O579" s="50">
        <v>0.70011534025374855</v>
      </c>
      <c r="P579" s="50">
        <v>0.90972222222222221</v>
      </c>
      <c r="Q579" s="50">
        <v>0.30858960763520676</v>
      </c>
      <c r="R579" s="50">
        <v>1.0769230769230769</v>
      </c>
      <c r="S579" s="50">
        <v>0.85688568856885683</v>
      </c>
      <c r="T579" s="50">
        <v>0.8968985750209556</v>
      </c>
      <c r="U579" s="50">
        <v>0.87050359712230219</v>
      </c>
      <c r="V579" s="50">
        <v>0.9419252187748608</v>
      </c>
      <c r="W579" s="50">
        <v>0.76261682242990658</v>
      </c>
      <c r="X579" s="50">
        <v>-0.12749287749287749</v>
      </c>
      <c r="Y579" s="50">
        <v>0.51704545454545459</v>
      </c>
      <c r="Z579" s="50">
        <v>-0.32423924449108082</v>
      </c>
      <c r="AA579" s="50">
        <v>0.59296994396332148</v>
      </c>
      <c r="AB579" s="50">
        <v>-1.7189079878665317E-2</v>
      </c>
      <c r="AC579" s="50">
        <v>-0.59046881053855094</v>
      </c>
      <c r="AD579" s="50">
        <v>0.30049261083743839</v>
      </c>
      <c r="AE579" s="50">
        <v>0.62351672060409935</v>
      </c>
      <c r="AF579" s="50">
        <v>0.71836137527432331</v>
      </c>
      <c r="AG579" s="51">
        <v>1.0497550803022795</v>
      </c>
      <c r="AH579" s="182">
        <v>0.87490371017559498</v>
      </c>
      <c r="AI579" s="182">
        <v>1.1048047990848817</v>
      </c>
      <c r="AJ579" s="182">
        <v>0.53162573921259781</v>
      </c>
      <c r="AK579" s="182">
        <v>0.74292743070873213</v>
      </c>
      <c r="AL579" s="182">
        <v>0.53027799494898864</v>
      </c>
      <c r="AM579" s="182">
        <v>0.73676865520403512</v>
      </c>
      <c r="AN579" s="182">
        <v>0.53160725669877917</v>
      </c>
      <c r="AO579" s="182">
        <v>0.7345633435370047</v>
      </c>
      <c r="AP579" s="182">
        <v>0.53358652785985172</v>
      </c>
      <c r="AQ579" s="182">
        <v>0.73651102763297038</v>
      </c>
      <c r="AR579" s="182"/>
      <c r="AS579" s="182">
        <v>0</v>
      </c>
      <c r="AT579" s="182">
        <v>0.33406113537117904</v>
      </c>
      <c r="AU579" s="182">
        <v>-0.19753930280246071</v>
      </c>
      <c r="AV579" s="182">
        <v>-0.2767609539656129</v>
      </c>
      <c r="AW579" s="182">
        <v>5.0516647531572909E-2</v>
      </c>
      <c r="AX579" s="182">
        <v>-0.9352380952380952</v>
      </c>
      <c r="AY579" s="182">
        <v>0.85251046025104604</v>
      </c>
      <c r="AZ579" s="182">
        <v>1.212518195050946</v>
      </c>
      <c r="BA579" s="182">
        <v>1.469620253164557</v>
      </c>
      <c r="BB579" s="50">
        <v>1.9846678023850086</v>
      </c>
      <c r="BC579" s="50">
        <v>1.0106880427521712</v>
      </c>
      <c r="BD579" s="50">
        <v>0.61916965658636602</v>
      </c>
      <c r="BE579" s="50">
        <v>0.96117424242424243</v>
      </c>
      <c r="BF579" s="50">
        <v>0.88338788870703766</v>
      </c>
      <c r="BG579" s="50">
        <v>0.84136967155835074</v>
      </c>
      <c r="BH579" s="50">
        <v>0.17374810318664644</v>
      </c>
      <c r="BI579" s="50">
        <v>0.2932098765432099</v>
      </c>
      <c r="BJ579" s="50">
        <v>-0.34174161000219344</v>
      </c>
      <c r="BK579" s="50">
        <v>0.47965696051057044</v>
      </c>
      <c r="BL579" s="51">
        <v>0.91592488982274733</v>
      </c>
      <c r="BM579" s="182">
        <v>0.99328053654219906</v>
      </c>
      <c r="BN579" s="182">
        <v>0.63974355550301609</v>
      </c>
      <c r="BO579" s="182">
        <v>0.63928275892511566</v>
      </c>
      <c r="BP579" s="182">
        <v>0.63836108910593381</v>
      </c>
      <c r="BQ579" s="182">
        <v>0.64030900613328801</v>
      </c>
    </row>
    <row r="580" spans="1:69" ht="12" customHeight="1" outlineLevel="1">
      <c r="A580" s="91" t="s">
        <v>363</v>
      </c>
      <c r="B580" s="106" t="s">
        <v>364</v>
      </c>
      <c r="C580" s="50">
        <v>0</v>
      </c>
      <c r="D580" s="50">
        <v>0.53619079952473903</v>
      </c>
      <c r="E580" s="50">
        <v>0.53064148455218341</v>
      </c>
      <c r="F580" s="50">
        <v>0.67647881417588418</v>
      </c>
      <c r="G580" s="50">
        <v>0.5566714615168743</v>
      </c>
      <c r="H580" s="50">
        <v>0.69684488009731682</v>
      </c>
      <c r="I580" s="50">
        <v>0.56209192746261971</v>
      </c>
      <c r="J580" s="50">
        <v>0.65239299926089411</v>
      </c>
      <c r="K580" s="50">
        <v>0.78039999162034079</v>
      </c>
      <c r="L580" s="50">
        <v>0.61426794322511591</v>
      </c>
      <c r="M580" s="50">
        <v>0.99390691164352296</v>
      </c>
      <c r="N580" s="50">
        <v>0.53688078315540666</v>
      </c>
      <c r="O580" s="50">
        <v>0.6048999063866185</v>
      </c>
      <c r="P580" s="50">
        <v>0.41724726124424588</v>
      </c>
      <c r="Q580" s="50">
        <v>0.70363046017447195</v>
      </c>
      <c r="R580" s="50">
        <v>0.52361338167286975</v>
      </c>
      <c r="S580" s="50">
        <v>0.68240636583781622</v>
      </c>
      <c r="T580" s="50">
        <v>0.46283981427741067</v>
      </c>
      <c r="U580" s="50">
        <v>0.68511689568151324</v>
      </c>
      <c r="V580" s="50">
        <v>0.46143085478319468</v>
      </c>
      <c r="W580" s="50">
        <v>0.57118333834900525</v>
      </c>
      <c r="X580" s="50">
        <v>0.49962344070461329</v>
      </c>
      <c r="Y580" s="50">
        <v>0.42726161141347735</v>
      </c>
      <c r="Z580" s="50">
        <v>0.44060269438705119</v>
      </c>
      <c r="AA580" s="50">
        <v>0.46639228426996937</v>
      </c>
      <c r="AB580" s="50">
        <v>0.39117605959708568</v>
      </c>
      <c r="AC580" s="50">
        <v>0.38546435520659</v>
      </c>
      <c r="AD580" s="50">
        <v>0.41397432590477362</v>
      </c>
      <c r="AE580" s="50">
        <v>0.48102509429605378</v>
      </c>
      <c r="AF580" s="50">
        <v>0.62819306496232308</v>
      </c>
      <c r="AG580" s="51">
        <v>0.59742766163221916</v>
      </c>
      <c r="AH580" s="50">
        <v>0.43493470747243379</v>
      </c>
      <c r="AI580" s="50">
        <v>0.60903220216179854</v>
      </c>
      <c r="AJ580" s="50">
        <v>0.43786558261253383</v>
      </c>
      <c r="AK580" s="50">
        <v>0.61085564809924509</v>
      </c>
      <c r="AL580" s="50">
        <v>0.44032503249576171</v>
      </c>
      <c r="AM580" s="50">
        <v>0.60620622242275368</v>
      </c>
      <c r="AN580" s="50">
        <v>0.4418257304752643</v>
      </c>
      <c r="AO580" s="50">
        <v>0.60577110757150665</v>
      </c>
      <c r="AP580" s="50">
        <v>0.44442973093703469</v>
      </c>
      <c r="AQ580" s="50">
        <v>0.60798368783240386</v>
      </c>
      <c r="AR580" s="50"/>
      <c r="AS580" s="50">
        <v>0.36706440534583984</v>
      </c>
      <c r="AT580" s="50">
        <v>0.37804349166911261</v>
      </c>
      <c r="AU580" s="50">
        <v>0.38230719315845552</v>
      </c>
      <c r="AV580" s="50">
        <v>0.39478132972918656</v>
      </c>
      <c r="AW580" s="50">
        <v>0.53744461870733473</v>
      </c>
      <c r="AX580" s="50">
        <v>0.52903220814502738</v>
      </c>
      <c r="AY580" s="50">
        <v>0.60882631093949935</v>
      </c>
      <c r="AZ580" s="50">
        <v>0.61931985220717367</v>
      </c>
      <c r="BA580" s="50">
        <v>0.72971304258723746</v>
      </c>
      <c r="BB580" s="50">
        <v>0.85058307050673687</v>
      </c>
      <c r="BC580" s="50">
        <v>0.5833316024959736</v>
      </c>
      <c r="BD580" s="50">
        <v>0.55373113780216221</v>
      </c>
      <c r="BE580" s="50">
        <v>0.60963477444869452</v>
      </c>
      <c r="BF580" s="50">
        <v>0.57937394290608124</v>
      </c>
      <c r="BG580" s="50">
        <v>0.53044899059409734</v>
      </c>
      <c r="BH580" s="50">
        <v>0.47234190062273362</v>
      </c>
      <c r="BI580" s="50">
        <v>0.47672716635579687</v>
      </c>
      <c r="BJ580" s="50">
        <v>0.4038373381145095</v>
      </c>
      <c r="BK580" s="50">
        <v>0.46052157393957344</v>
      </c>
      <c r="BL580" s="51">
        <v>0.61427842325798943</v>
      </c>
      <c r="BM580" s="50">
        <v>0.52552469628451581</v>
      </c>
      <c r="BN580" s="50">
        <v>0.52914246563260769</v>
      </c>
      <c r="BO580" s="50">
        <v>0.53116046805243133</v>
      </c>
      <c r="BP580" s="50">
        <v>0.531222595547856</v>
      </c>
      <c r="BQ580" s="50">
        <v>0.53370631966579729</v>
      </c>
    </row>
    <row r="581" spans="1:69" ht="12" customHeight="1"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20"/>
      <c r="AH581" s="19"/>
      <c r="AI581" s="19"/>
      <c r="AJ581" s="19"/>
      <c r="AK581" s="19"/>
      <c r="AL581" s="19"/>
      <c r="AM581" s="19"/>
      <c r="AN581" s="19"/>
      <c r="AO581" s="19"/>
      <c r="AP581" s="19"/>
      <c r="AQ581" s="19"/>
      <c r="AR581" s="19"/>
      <c r="AS581" s="19"/>
      <c r="AT581" s="19"/>
      <c r="AU581" s="19"/>
      <c r="AV581" s="19"/>
      <c r="AW581" s="19"/>
      <c r="AX581" s="19"/>
      <c r="AY581" s="19"/>
      <c r="AZ581" s="19"/>
      <c r="BA581" s="19"/>
      <c r="BB581" s="19"/>
      <c r="BC581" s="19"/>
      <c r="BD581" s="19"/>
      <c r="BE581" s="19"/>
      <c r="BF581" s="19"/>
      <c r="BG581" s="19"/>
      <c r="BH581" s="19"/>
      <c r="BI581" s="19"/>
      <c r="BJ581" s="19"/>
      <c r="BK581" s="19"/>
      <c r="BL581" s="20"/>
      <c r="BM581" s="19"/>
      <c r="BN581" s="19"/>
      <c r="BO581" s="19"/>
      <c r="BP581" s="19"/>
      <c r="BQ581" s="19"/>
    </row>
    <row r="582" spans="1:69" ht="12" customHeight="1"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20"/>
      <c r="AH582" s="19"/>
      <c r="AI582" s="19"/>
      <c r="AJ582" s="19"/>
      <c r="AK582" s="19"/>
      <c r="AL582" s="19"/>
      <c r="AM582" s="19"/>
      <c r="AN582" s="19"/>
      <c r="AO582" s="19"/>
      <c r="AP582" s="19"/>
      <c r="AQ582" s="19"/>
      <c r="AR582" s="19"/>
      <c r="AS582" s="19"/>
      <c r="AT582" s="19"/>
      <c r="AU582" s="19"/>
      <c r="AV582" s="19"/>
      <c r="AW582" s="19"/>
      <c r="AX582" s="19"/>
      <c r="AY582" s="19"/>
      <c r="AZ582" s="19"/>
      <c r="BA582" s="19"/>
      <c r="BB582" s="19"/>
      <c r="BC582" s="19"/>
      <c r="BD582" s="19"/>
      <c r="BE582" s="19"/>
      <c r="BF582" s="19"/>
      <c r="BG582" s="19"/>
      <c r="BH582" s="19"/>
      <c r="BI582" s="19"/>
      <c r="BJ582" s="19"/>
      <c r="BK582" s="19"/>
      <c r="BL582" s="20"/>
      <c r="BM582" s="19"/>
      <c r="BN582" s="19"/>
      <c r="BO582" s="19"/>
      <c r="BP582" s="19"/>
      <c r="BQ582" s="19"/>
    </row>
    <row r="583" spans="1:69" ht="12" customHeight="1"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20"/>
      <c r="AH583" s="19"/>
      <c r="AI583" s="19"/>
      <c r="AJ583" s="19"/>
      <c r="AK583" s="19"/>
      <c r="AL583" s="19"/>
      <c r="AM583" s="19"/>
      <c r="AN583" s="19"/>
      <c r="AO583" s="19"/>
      <c r="AP583" s="19"/>
      <c r="AQ583" s="19"/>
      <c r="AR583" s="19"/>
      <c r="AS583" s="19"/>
      <c r="AT583" s="19"/>
      <c r="AU583" s="19"/>
      <c r="AV583" s="19"/>
      <c r="AW583" s="19"/>
      <c r="AX583" s="19"/>
      <c r="AY583" s="19"/>
      <c r="AZ583" s="19"/>
      <c r="BA583" s="19"/>
      <c r="BB583" s="19"/>
      <c r="BC583" s="19"/>
      <c r="BD583" s="19"/>
      <c r="BE583" s="19"/>
      <c r="BF583" s="19"/>
      <c r="BG583" s="19"/>
      <c r="BH583" s="19"/>
      <c r="BI583" s="19"/>
      <c r="BJ583" s="19"/>
      <c r="BK583" s="19"/>
      <c r="BL583" s="20"/>
      <c r="BM583" s="19"/>
      <c r="BN583" s="19"/>
      <c r="BO583" s="19"/>
      <c r="BP583" s="19"/>
      <c r="BQ583" s="19"/>
    </row>
    <row r="584" spans="1:69" ht="12" customHeight="1"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20"/>
      <c r="AH584" s="19"/>
      <c r="AI584" s="19"/>
      <c r="AJ584" s="19"/>
      <c r="AK584" s="19"/>
      <c r="AL584" s="19"/>
      <c r="AM584" s="19"/>
      <c r="AN584" s="19"/>
      <c r="AO584" s="19"/>
      <c r="AP584" s="19"/>
      <c r="AQ584" s="19"/>
      <c r="AR584" s="19"/>
      <c r="AS584" s="19"/>
      <c r="AT584" s="19"/>
      <c r="AU584" s="19"/>
      <c r="AV584" s="19"/>
      <c r="AW584" s="19"/>
      <c r="AX584" s="19"/>
      <c r="AY584" s="19"/>
      <c r="AZ584" s="19"/>
      <c r="BA584" s="19"/>
      <c r="BB584" s="19"/>
      <c r="BC584" s="19"/>
      <c r="BD584" s="19"/>
      <c r="BE584" s="19"/>
      <c r="BF584" s="19"/>
      <c r="BG584" s="19"/>
      <c r="BH584" s="19"/>
      <c r="BI584" s="19"/>
      <c r="BJ584" s="19"/>
      <c r="BK584" s="19"/>
      <c r="BL584" s="20"/>
      <c r="BM584" s="19"/>
      <c r="BN584" s="19"/>
      <c r="BO584" s="19"/>
      <c r="BP584" s="19"/>
      <c r="BQ584" s="19"/>
    </row>
    <row r="585" spans="1:69" ht="12" customHeight="1"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20"/>
      <c r="AH585" s="19"/>
      <c r="AI585" s="19"/>
      <c r="AJ585" s="19"/>
      <c r="AK585" s="19"/>
      <c r="AL585" s="19"/>
      <c r="AM585" s="19"/>
      <c r="AN585" s="19"/>
      <c r="AO585" s="19"/>
      <c r="AP585" s="19"/>
      <c r="AQ585" s="19"/>
      <c r="AR585" s="19"/>
      <c r="AS585" s="19"/>
      <c r="AT585" s="19"/>
      <c r="AU585" s="19"/>
      <c r="AV585" s="19"/>
      <c r="AW585" s="19"/>
      <c r="AX585" s="19"/>
      <c r="AY585" s="19"/>
      <c r="AZ585" s="19"/>
      <c r="BA585" s="19"/>
      <c r="BB585" s="19"/>
      <c r="BC585" s="19"/>
      <c r="BD585" s="19"/>
      <c r="BE585" s="19"/>
      <c r="BF585" s="19"/>
      <c r="BG585" s="19"/>
      <c r="BH585" s="19"/>
      <c r="BI585" s="19"/>
      <c r="BJ585" s="19"/>
      <c r="BK585" s="19"/>
      <c r="BL585" s="20"/>
      <c r="BM585" s="19"/>
      <c r="BN585" s="19"/>
      <c r="BO585" s="19"/>
      <c r="BP585" s="19"/>
      <c r="BQ585" s="19"/>
    </row>
    <row r="586" spans="1:69" ht="12" customHeight="1"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20"/>
      <c r="AH586" s="19"/>
      <c r="AI586" s="19"/>
      <c r="AJ586" s="19"/>
      <c r="AK586" s="19"/>
      <c r="AL586" s="19"/>
      <c r="AM586" s="19"/>
      <c r="AN586" s="19"/>
      <c r="AO586" s="19"/>
      <c r="AP586" s="19"/>
      <c r="AQ586" s="19"/>
      <c r="AR586" s="19"/>
      <c r="AS586" s="19"/>
      <c r="AT586" s="19"/>
      <c r="AU586" s="19"/>
      <c r="AV586" s="19"/>
      <c r="AW586" s="19"/>
      <c r="AX586" s="19"/>
      <c r="AY586" s="19"/>
      <c r="AZ586" s="19"/>
      <c r="BA586" s="19"/>
      <c r="BB586" s="19"/>
      <c r="BC586" s="19"/>
      <c r="BD586" s="19"/>
      <c r="BE586" s="19"/>
      <c r="BF586" s="19"/>
      <c r="BG586" s="19"/>
      <c r="BH586" s="19"/>
      <c r="BI586" s="19"/>
      <c r="BJ586" s="19"/>
      <c r="BK586" s="19"/>
      <c r="BL586" s="20"/>
      <c r="BM586" s="19"/>
      <c r="BN586" s="19"/>
      <c r="BO586" s="19"/>
      <c r="BP586" s="19"/>
      <c r="BQ586" s="19"/>
    </row>
    <row r="587" spans="1:69" ht="12" customHeight="1">
      <c r="A587" s="1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20"/>
      <c r="AH587" s="19"/>
      <c r="AI587" s="19"/>
      <c r="AJ587" s="19"/>
      <c r="AK587" s="19"/>
      <c r="AL587" s="19"/>
      <c r="AM587" s="19"/>
      <c r="AN587" s="19"/>
      <c r="AO587" s="19"/>
      <c r="AP587" s="19"/>
      <c r="AQ587" s="19"/>
      <c r="AR587" s="19"/>
      <c r="AS587" s="19"/>
      <c r="AT587" s="19"/>
      <c r="AU587" s="19"/>
      <c r="AV587" s="19"/>
      <c r="AW587" s="19"/>
      <c r="AX587" s="19"/>
      <c r="AY587" s="19"/>
      <c r="AZ587" s="19"/>
      <c r="BA587" s="19"/>
      <c r="BB587" s="19"/>
      <c r="BC587" s="19"/>
      <c r="BD587" s="19"/>
      <c r="BE587" s="19"/>
      <c r="BF587" s="19"/>
      <c r="BG587" s="19"/>
      <c r="BH587" s="19"/>
      <c r="BI587" s="19"/>
      <c r="BJ587" s="19"/>
      <c r="BK587" s="19"/>
      <c r="BL587" s="20"/>
      <c r="BM587" s="19"/>
      <c r="BN587" s="19"/>
      <c r="BO587" s="19"/>
      <c r="BP587" s="19"/>
      <c r="BQ587" s="19"/>
    </row>
    <row r="588" spans="1:69" ht="12" customHeight="1">
      <c r="A588" s="1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20"/>
      <c r="AH588" s="19"/>
      <c r="AI588" s="19"/>
      <c r="AJ588" s="19"/>
      <c r="AK588" s="19"/>
      <c r="AL588" s="19"/>
      <c r="AM588" s="19"/>
      <c r="AN588" s="19"/>
      <c r="AO588" s="19"/>
      <c r="AP588" s="19"/>
      <c r="AQ588" s="19"/>
      <c r="AR588" s="19"/>
      <c r="AS588" s="19"/>
      <c r="AT588" s="19"/>
      <c r="AU588" s="19"/>
      <c r="AV588" s="19"/>
      <c r="AW588" s="19"/>
      <c r="AX588" s="19"/>
      <c r="AY588" s="19"/>
      <c r="AZ588" s="19"/>
      <c r="BA588" s="19"/>
      <c r="BB588" s="19"/>
      <c r="BC588" s="19"/>
      <c r="BD588" s="19"/>
      <c r="BE588" s="19"/>
      <c r="BF588" s="19"/>
      <c r="BG588" s="19"/>
      <c r="BH588" s="19"/>
      <c r="BI588" s="19"/>
      <c r="BJ588" s="19"/>
      <c r="BK588" s="19"/>
      <c r="BL588" s="20"/>
      <c r="BM588" s="19"/>
      <c r="BN588" s="19"/>
      <c r="BO588" s="19"/>
      <c r="BP588" s="19"/>
      <c r="BQ588" s="19"/>
    </row>
    <row r="589" spans="1:69" ht="12" customHeight="1">
      <c r="A589" s="1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20"/>
      <c r="AH589" s="19"/>
      <c r="AI589" s="19"/>
      <c r="AJ589" s="19"/>
      <c r="AK589" s="19"/>
      <c r="AL589" s="19"/>
      <c r="AM589" s="19"/>
      <c r="AN589" s="19"/>
      <c r="AO589" s="19"/>
      <c r="AP589" s="19"/>
      <c r="AQ589" s="19"/>
      <c r="AR589" s="19"/>
      <c r="AS589" s="19"/>
      <c r="AT589" s="19"/>
      <c r="AU589" s="19"/>
      <c r="AV589" s="19"/>
      <c r="AW589" s="19"/>
      <c r="AX589" s="19"/>
      <c r="AY589" s="19"/>
      <c r="AZ589" s="19"/>
      <c r="BA589" s="19"/>
      <c r="BB589" s="19"/>
      <c r="BC589" s="19"/>
      <c r="BD589" s="19"/>
      <c r="BE589" s="19"/>
      <c r="BF589" s="19"/>
      <c r="BG589" s="19"/>
      <c r="BH589" s="19"/>
      <c r="BI589" s="19"/>
      <c r="BJ589" s="19"/>
      <c r="BK589" s="19"/>
      <c r="BL589" s="20"/>
      <c r="BM589" s="19"/>
      <c r="BN589" s="19"/>
      <c r="BO589" s="19"/>
      <c r="BP589" s="19"/>
      <c r="BQ589" s="19"/>
    </row>
    <row r="590" spans="1:69" ht="12" customHeight="1">
      <c r="A590" s="1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20"/>
      <c r="AH590" s="19"/>
      <c r="AI590" s="19"/>
      <c r="AJ590" s="19"/>
      <c r="AK590" s="19"/>
      <c r="AL590" s="19"/>
      <c r="AM590" s="19"/>
      <c r="AN590" s="19"/>
      <c r="AO590" s="19"/>
      <c r="AP590" s="19"/>
      <c r="AQ590" s="19"/>
      <c r="AR590" s="19"/>
      <c r="AS590" s="19"/>
      <c r="AT590" s="19"/>
      <c r="AU590" s="19"/>
      <c r="AV590" s="19"/>
      <c r="AW590" s="19"/>
      <c r="AX590" s="19"/>
      <c r="AY590" s="19"/>
      <c r="AZ590" s="19"/>
      <c r="BA590" s="19"/>
      <c r="BB590" s="19"/>
      <c r="BC590" s="19"/>
      <c r="BD590" s="19"/>
      <c r="BE590" s="19"/>
      <c r="BF590" s="19"/>
      <c r="BG590" s="19"/>
      <c r="BH590" s="19"/>
      <c r="BI590" s="19"/>
      <c r="BJ590" s="19"/>
      <c r="BK590" s="19"/>
      <c r="BL590" s="20"/>
      <c r="BM590" s="19"/>
      <c r="BN590" s="19"/>
      <c r="BO590" s="19"/>
      <c r="BP590" s="19"/>
      <c r="BQ590" s="19"/>
    </row>
    <row r="591" spans="1:69" ht="12" customHeight="1">
      <c r="A591" s="1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20"/>
      <c r="AH591" s="19"/>
      <c r="AI591" s="19"/>
      <c r="AJ591" s="19"/>
      <c r="AK591" s="19"/>
      <c r="AL591" s="19"/>
      <c r="AM591" s="19"/>
      <c r="AN591" s="19"/>
      <c r="AO591" s="19"/>
      <c r="AP591" s="19"/>
      <c r="AQ591" s="19"/>
      <c r="AR591" s="19"/>
      <c r="AS591" s="19"/>
      <c r="AT591" s="19"/>
      <c r="AU591" s="19"/>
      <c r="AV591" s="19"/>
      <c r="AW591" s="19"/>
      <c r="AX591" s="19"/>
      <c r="AY591" s="19"/>
      <c r="AZ591" s="19"/>
      <c r="BA591" s="19"/>
      <c r="BB591" s="19"/>
      <c r="BC591" s="19"/>
      <c r="BD591" s="19"/>
      <c r="BE591" s="19"/>
      <c r="BF591" s="19"/>
      <c r="BG591" s="19"/>
      <c r="BH591" s="19"/>
      <c r="BI591" s="19"/>
      <c r="BJ591" s="19"/>
      <c r="BK591" s="19"/>
      <c r="BL591" s="20"/>
      <c r="BM591" s="19"/>
      <c r="BN591" s="19"/>
      <c r="BO591" s="19"/>
      <c r="BP591" s="19"/>
      <c r="BQ591" s="19"/>
    </row>
    <row r="592" spans="1:69" ht="12" customHeight="1">
      <c r="A592" s="1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20"/>
      <c r="AH592" s="19"/>
      <c r="AI592" s="19"/>
      <c r="AJ592" s="19"/>
      <c r="AK592" s="19"/>
      <c r="AL592" s="19"/>
      <c r="AM592" s="19"/>
      <c r="AN592" s="19"/>
      <c r="AO592" s="19"/>
      <c r="AP592" s="19"/>
      <c r="AQ592" s="19"/>
      <c r="AR592" s="19"/>
      <c r="AS592" s="19"/>
      <c r="AT592" s="19"/>
      <c r="AU592" s="19"/>
      <c r="AV592" s="19"/>
      <c r="AW592" s="19"/>
      <c r="AX592" s="19"/>
      <c r="AY592" s="19"/>
      <c r="AZ592" s="19"/>
      <c r="BA592" s="19"/>
      <c r="BB592" s="19"/>
      <c r="BC592" s="19"/>
      <c r="BD592" s="19"/>
      <c r="BE592" s="19"/>
      <c r="BF592" s="19"/>
      <c r="BG592" s="19"/>
      <c r="BH592" s="19"/>
      <c r="BI592" s="19"/>
      <c r="BJ592" s="19"/>
      <c r="BK592" s="19"/>
      <c r="BL592" s="20"/>
      <c r="BM592" s="19"/>
      <c r="BN592" s="19"/>
      <c r="BO592" s="19"/>
      <c r="BP592" s="19"/>
      <c r="BQ592" s="19"/>
    </row>
    <row r="593" spans="1:69" ht="12" customHeight="1">
      <c r="A593" s="1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20"/>
      <c r="AH593" s="19"/>
      <c r="AI593" s="19"/>
      <c r="AJ593" s="19"/>
      <c r="AK593" s="19"/>
      <c r="AL593" s="19"/>
      <c r="AM593" s="19"/>
      <c r="AN593" s="19"/>
      <c r="AO593" s="19"/>
      <c r="AP593" s="19"/>
      <c r="AQ593" s="19"/>
      <c r="AR593" s="19"/>
      <c r="AS593" s="19"/>
      <c r="AT593" s="19"/>
      <c r="AU593" s="19"/>
      <c r="AV593" s="19"/>
      <c r="AW593" s="19"/>
      <c r="AX593" s="19"/>
      <c r="AY593" s="19"/>
      <c r="AZ593" s="19"/>
      <c r="BA593" s="19"/>
      <c r="BB593" s="19"/>
      <c r="BC593" s="19"/>
      <c r="BD593" s="19"/>
      <c r="BE593" s="19"/>
      <c r="BF593" s="19"/>
      <c r="BG593" s="19"/>
      <c r="BH593" s="19"/>
      <c r="BI593" s="19"/>
      <c r="BJ593" s="19"/>
      <c r="BK593" s="19"/>
      <c r="BL593" s="20"/>
      <c r="BM593" s="19"/>
      <c r="BN593" s="19"/>
      <c r="BO593" s="19"/>
      <c r="BP593" s="19"/>
      <c r="BQ593" s="19"/>
    </row>
    <row r="594" spans="1:69" ht="12" customHeight="1">
      <c r="A594" s="1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20"/>
      <c r="AH594" s="19"/>
      <c r="AI594" s="19"/>
      <c r="AJ594" s="19"/>
      <c r="AK594" s="19"/>
      <c r="AL594" s="19"/>
      <c r="AM594" s="19"/>
      <c r="AN594" s="19"/>
      <c r="AO594" s="19"/>
      <c r="AP594" s="19"/>
      <c r="AQ594" s="19"/>
      <c r="AR594" s="19"/>
      <c r="AS594" s="19"/>
      <c r="AT594" s="19"/>
      <c r="AU594" s="19"/>
      <c r="AV594" s="19"/>
      <c r="AW594" s="19"/>
      <c r="AX594" s="19"/>
      <c r="AY594" s="19"/>
      <c r="AZ594" s="19"/>
      <c r="BA594" s="19"/>
      <c r="BB594" s="19"/>
      <c r="BC594" s="19"/>
      <c r="BD594" s="19"/>
      <c r="BE594" s="19"/>
      <c r="BF594" s="19"/>
      <c r="BG594" s="19"/>
      <c r="BH594" s="19"/>
      <c r="BI594" s="19"/>
      <c r="BJ594" s="19"/>
      <c r="BK594" s="19"/>
      <c r="BL594" s="20"/>
      <c r="BM594" s="19"/>
      <c r="BN594" s="19"/>
      <c r="BO594" s="19"/>
      <c r="BP594" s="19"/>
      <c r="BQ594" s="19"/>
    </row>
    <row r="595" spans="1:69" ht="12" customHeight="1">
      <c r="A595" s="1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20"/>
      <c r="AH595" s="19"/>
      <c r="AI595" s="19"/>
      <c r="AJ595" s="19"/>
      <c r="AK595" s="19"/>
      <c r="AL595" s="19"/>
      <c r="AM595" s="19"/>
      <c r="AN595" s="19"/>
      <c r="AO595" s="19"/>
      <c r="AP595" s="19"/>
      <c r="AQ595" s="19"/>
      <c r="AR595" s="19"/>
      <c r="AS595" s="19"/>
      <c r="AT595" s="19"/>
      <c r="AU595" s="19"/>
      <c r="AV595" s="19"/>
      <c r="AW595" s="19"/>
      <c r="AX595" s="19"/>
      <c r="AY595" s="19"/>
      <c r="AZ595" s="19"/>
      <c r="BA595" s="19"/>
      <c r="BB595" s="19"/>
      <c r="BC595" s="19"/>
      <c r="BD595" s="19"/>
      <c r="BE595" s="19"/>
      <c r="BF595" s="19"/>
      <c r="BG595" s="19"/>
      <c r="BH595" s="19"/>
      <c r="BI595" s="19"/>
      <c r="BJ595" s="19"/>
      <c r="BK595" s="19"/>
      <c r="BL595" s="20"/>
      <c r="BM595" s="19"/>
      <c r="BN595" s="19"/>
      <c r="BO595" s="19"/>
      <c r="BP595" s="19"/>
      <c r="BQ595" s="19"/>
    </row>
    <row r="596" spans="1:69" ht="12" customHeight="1">
      <c r="A596" s="1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20"/>
      <c r="AH596" s="19"/>
      <c r="AI596" s="19"/>
      <c r="AJ596" s="19"/>
      <c r="AK596" s="19"/>
      <c r="AL596" s="19"/>
      <c r="AM596" s="19"/>
      <c r="AN596" s="19"/>
      <c r="AO596" s="19"/>
      <c r="AP596" s="19"/>
      <c r="AQ596" s="19"/>
      <c r="AR596" s="19"/>
      <c r="AS596" s="19"/>
      <c r="AT596" s="19"/>
      <c r="AU596" s="19"/>
      <c r="AV596" s="19"/>
      <c r="AW596" s="19"/>
      <c r="AX596" s="19"/>
      <c r="AY596" s="19"/>
      <c r="AZ596" s="19"/>
      <c r="BA596" s="19"/>
      <c r="BB596" s="19"/>
      <c r="BC596" s="19"/>
      <c r="BD596" s="19"/>
      <c r="BE596" s="19"/>
      <c r="BF596" s="19"/>
      <c r="BG596" s="19"/>
      <c r="BH596" s="19"/>
      <c r="BI596" s="19"/>
      <c r="BJ596" s="19"/>
      <c r="BK596" s="19"/>
      <c r="BL596" s="20"/>
      <c r="BM596" s="19"/>
      <c r="BN596" s="19"/>
      <c r="BO596" s="19"/>
      <c r="BP596" s="19"/>
      <c r="BQ596" s="19"/>
    </row>
    <row r="597" spans="1:69" ht="12" customHeight="1">
      <c r="A597" s="1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20"/>
      <c r="AH597" s="19"/>
      <c r="AI597" s="19"/>
      <c r="AJ597" s="19"/>
      <c r="AK597" s="19"/>
      <c r="AL597" s="19"/>
      <c r="AM597" s="19"/>
      <c r="AN597" s="19"/>
      <c r="AO597" s="19"/>
      <c r="AP597" s="19"/>
      <c r="AQ597" s="19"/>
      <c r="AR597" s="19"/>
      <c r="AS597" s="19"/>
      <c r="AT597" s="19"/>
      <c r="AU597" s="19"/>
      <c r="AV597" s="19"/>
      <c r="AW597" s="19"/>
      <c r="AX597" s="19"/>
      <c r="AY597" s="19"/>
      <c r="AZ597" s="19"/>
      <c r="BA597" s="19"/>
      <c r="BB597" s="19"/>
      <c r="BC597" s="19"/>
      <c r="BD597" s="19"/>
      <c r="BE597" s="19"/>
      <c r="BF597" s="19"/>
      <c r="BG597" s="19"/>
      <c r="BH597" s="19"/>
      <c r="BI597" s="19"/>
      <c r="BJ597" s="19"/>
      <c r="BK597" s="19"/>
      <c r="BL597" s="20"/>
      <c r="BM597" s="19"/>
      <c r="BN597" s="19"/>
      <c r="BO597" s="19"/>
      <c r="BP597" s="19"/>
      <c r="BQ597" s="19"/>
    </row>
    <row r="598" spans="1:69" ht="12" customHeight="1">
      <c r="A598" s="1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20"/>
      <c r="AH598" s="19"/>
      <c r="AI598" s="19"/>
      <c r="AJ598" s="19"/>
      <c r="AK598" s="19"/>
      <c r="AL598" s="19"/>
      <c r="AM598" s="19"/>
      <c r="AN598" s="19"/>
      <c r="AO598" s="19"/>
      <c r="AP598" s="19"/>
      <c r="AQ598" s="19"/>
      <c r="AR598" s="19"/>
      <c r="AS598" s="19"/>
      <c r="AT598" s="19"/>
      <c r="AU598" s="19"/>
      <c r="AV598" s="19"/>
      <c r="AW598" s="19"/>
      <c r="AX598" s="19"/>
      <c r="AY598" s="19"/>
      <c r="AZ598" s="19"/>
      <c r="BA598" s="19"/>
      <c r="BB598" s="19"/>
      <c r="BC598" s="19"/>
      <c r="BD598" s="19"/>
      <c r="BE598" s="19"/>
      <c r="BF598" s="19"/>
      <c r="BG598" s="19"/>
      <c r="BH598" s="19"/>
      <c r="BI598" s="19"/>
      <c r="BJ598" s="19"/>
      <c r="BK598" s="19"/>
      <c r="BL598" s="20"/>
      <c r="BM598" s="19"/>
      <c r="BN598" s="19"/>
      <c r="BO598" s="19"/>
      <c r="BP598" s="19"/>
      <c r="BQ598" s="19"/>
    </row>
    <row r="599" spans="1:69" ht="12" customHeight="1">
      <c r="A599" s="1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20"/>
      <c r="AH599" s="19"/>
      <c r="AI599" s="19"/>
      <c r="AJ599" s="19"/>
      <c r="AK599" s="19"/>
      <c r="AL599" s="19"/>
      <c r="AM599" s="19"/>
      <c r="AN599" s="19"/>
      <c r="AO599" s="19"/>
      <c r="AP599" s="19"/>
      <c r="AQ599" s="19"/>
      <c r="AR599" s="19"/>
      <c r="AS599" s="19"/>
      <c r="AT599" s="19"/>
      <c r="AU599" s="19"/>
      <c r="AV599" s="19"/>
      <c r="AW599" s="19"/>
      <c r="AX599" s="19"/>
      <c r="AY599" s="19"/>
      <c r="AZ599" s="19"/>
      <c r="BA599" s="19"/>
      <c r="BB599" s="19"/>
      <c r="BC599" s="19"/>
      <c r="BD599" s="19"/>
      <c r="BE599" s="19"/>
      <c r="BF599" s="19"/>
      <c r="BG599" s="19"/>
      <c r="BH599" s="19"/>
      <c r="BI599" s="19"/>
      <c r="BJ599" s="19"/>
      <c r="BK599" s="19"/>
      <c r="BL599" s="20"/>
      <c r="BM599" s="19"/>
      <c r="BN599" s="19"/>
      <c r="BO599" s="19"/>
      <c r="BP599" s="19"/>
      <c r="BQ599" s="19"/>
    </row>
    <row r="600" spans="1:69" ht="12" customHeight="1">
      <c r="A600" s="1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20"/>
      <c r="AH600" s="19"/>
      <c r="AI600" s="19"/>
      <c r="AJ600" s="19"/>
      <c r="AK600" s="19"/>
      <c r="AL600" s="19"/>
      <c r="AM600" s="19"/>
      <c r="AN600" s="19"/>
      <c r="AO600" s="19"/>
      <c r="AP600" s="19"/>
      <c r="AQ600" s="19"/>
      <c r="AR600" s="19"/>
      <c r="AS600" s="19"/>
      <c r="AT600" s="19"/>
      <c r="AU600" s="19"/>
      <c r="AV600" s="19"/>
      <c r="AW600" s="19"/>
      <c r="AX600" s="19"/>
      <c r="AY600" s="19"/>
      <c r="AZ600" s="19"/>
      <c r="BA600" s="19"/>
      <c r="BB600" s="19"/>
      <c r="BC600" s="19"/>
      <c r="BD600" s="19"/>
      <c r="BE600" s="19"/>
      <c r="BF600" s="19"/>
      <c r="BG600" s="19"/>
      <c r="BH600" s="19"/>
      <c r="BI600" s="19"/>
      <c r="BJ600" s="19"/>
      <c r="BK600" s="19"/>
      <c r="BL600" s="20"/>
      <c r="BM600" s="19"/>
      <c r="BN600" s="19"/>
      <c r="BO600" s="19"/>
      <c r="BP600" s="19"/>
      <c r="BQ600" s="19"/>
    </row>
    <row r="601" spans="1:69" ht="12" customHeight="1">
      <c r="A601" s="1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20"/>
      <c r="AH601" s="19"/>
      <c r="AI601" s="19"/>
      <c r="AJ601" s="19"/>
      <c r="AK601" s="19"/>
      <c r="AL601" s="19"/>
      <c r="AM601" s="19"/>
      <c r="AN601" s="19"/>
      <c r="AO601" s="19"/>
      <c r="AP601" s="19"/>
      <c r="AQ601" s="19"/>
      <c r="AR601" s="19"/>
      <c r="AS601" s="19"/>
      <c r="AT601" s="19"/>
      <c r="AU601" s="19"/>
      <c r="AV601" s="19"/>
      <c r="AW601" s="19"/>
      <c r="AX601" s="19"/>
      <c r="AY601" s="19"/>
      <c r="AZ601" s="19"/>
      <c r="BA601" s="19"/>
      <c r="BB601" s="19"/>
      <c r="BC601" s="19"/>
      <c r="BD601" s="19"/>
      <c r="BE601" s="19"/>
      <c r="BF601" s="19"/>
      <c r="BG601" s="19"/>
      <c r="BH601" s="19"/>
      <c r="BI601" s="19"/>
      <c r="BJ601" s="19"/>
      <c r="BK601" s="19"/>
      <c r="BL601" s="20"/>
      <c r="BM601" s="19"/>
      <c r="BN601" s="19"/>
      <c r="BO601" s="19"/>
      <c r="BP601" s="19"/>
      <c r="BQ601" s="19"/>
    </row>
    <row r="602" spans="1:69" ht="12" customHeight="1">
      <c r="A602" s="1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20"/>
      <c r="AH602" s="19"/>
      <c r="AI602" s="19"/>
      <c r="AJ602" s="19"/>
      <c r="AK602" s="19"/>
      <c r="AL602" s="19"/>
      <c r="AM602" s="19"/>
      <c r="AN602" s="19"/>
      <c r="AO602" s="19"/>
      <c r="AP602" s="19"/>
      <c r="AQ602" s="19"/>
      <c r="AR602" s="19"/>
      <c r="AS602" s="19"/>
      <c r="AT602" s="19"/>
      <c r="AU602" s="19"/>
      <c r="AV602" s="19"/>
      <c r="AW602" s="19"/>
      <c r="AX602" s="19"/>
      <c r="AY602" s="19"/>
      <c r="AZ602" s="19"/>
      <c r="BA602" s="19"/>
      <c r="BB602" s="19"/>
      <c r="BC602" s="19"/>
      <c r="BD602" s="19"/>
      <c r="BE602" s="19"/>
      <c r="BF602" s="19"/>
      <c r="BG602" s="19"/>
      <c r="BH602" s="19"/>
      <c r="BI602" s="19"/>
      <c r="BJ602" s="19"/>
      <c r="BK602" s="19"/>
      <c r="BL602" s="20"/>
      <c r="BM602" s="19"/>
      <c r="BN602" s="19"/>
      <c r="BO602" s="19"/>
      <c r="BP602" s="19"/>
      <c r="BQ602" s="19"/>
    </row>
    <row r="603" spans="1:69" ht="12" customHeight="1">
      <c r="A603" s="1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20"/>
      <c r="AH603" s="19"/>
      <c r="AI603" s="19"/>
      <c r="AJ603" s="19"/>
      <c r="AK603" s="19"/>
      <c r="AL603" s="19"/>
      <c r="AM603" s="19"/>
      <c r="AN603" s="19"/>
      <c r="AO603" s="19"/>
      <c r="AP603" s="19"/>
      <c r="AQ603" s="19"/>
      <c r="AR603" s="19"/>
      <c r="AS603" s="19"/>
      <c r="AT603" s="19"/>
      <c r="AU603" s="19"/>
      <c r="AV603" s="19"/>
      <c r="AW603" s="19"/>
      <c r="AX603" s="19"/>
      <c r="AY603" s="19"/>
      <c r="AZ603" s="19"/>
      <c r="BA603" s="19"/>
      <c r="BB603" s="19"/>
      <c r="BC603" s="19"/>
      <c r="BD603" s="19"/>
      <c r="BE603" s="19"/>
      <c r="BF603" s="19"/>
      <c r="BG603" s="19"/>
      <c r="BH603" s="19"/>
      <c r="BI603" s="19"/>
      <c r="BJ603" s="19"/>
      <c r="BK603" s="19"/>
      <c r="BL603" s="20"/>
      <c r="BM603" s="19"/>
      <c r="BN603" s="19"/>
      <c r="BO603" s="19"/>
      <c r="BP603" s="19"/>
      <c r="BQ603" s="19"/>
    </row>
    <row r="604" spans="1:69" ht="12" customHeight="1">
      <c r="A604" s="1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20"/>
      <c r="AH604" s="19"/>
      <c r="AI604" s="19"/>
      <c r="AJ604" s="19"/>
      <c r="AK604" s="19"/>
      <c r="AL604" s="19"/>
      <c r="AM604" s="19"/>
      <c r="AN604" s="19"/>
      <c r="AO604" s="19"/>
      <c r="AP604" s="19"/>
      <c r="AQ604" s="19"/>
      <c r="AR604" s="19"/>
      <c r="AS604" s="19"/>
      <c r="AT604" s="19"/>
      <c r="AU604" s="19"/>
      <c r="AV604" s="19"/>
      <c r="AW604" s="19"/>
      <c r="AX604" s="19"/>
      <c r="AY604" s="19"/>
      <c r="AZ604" s="19"/>
      <c r="BA604" s="19"/>
      <c r="BB604" s="19"/>
      <c r="BC604" s="19"/>
      <c r="BD604" s="19"/>
      <c r="BE604" s="19"/>
      <c r="BF604" s="19"/>
      <c r="BG604" s="19"/>
      <c r="BH604" s="19"/>
      <c r="BI604" s="19"/>
      <c r="BJ604" s="19"/>
      <c r="BK604" s="19"/>
      <c r="BL604" s="20"/>
      <c r="BM604" s="19"/>
      <c r="BN604" s="19"/>
      <c r="BO604" s="19"/>
      <c r="BP604" s="19"/>
      <c r="BQ604" s="19"/>
    </row>
    <row r="605" spans="1:69" ht="12" customHeight="1">
      <c r="A605" s="1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20"/>
      <c r="AH605" s="19"/>
      <c r="AI605" s="19"/>
      <c r="AJ605" s="19"/>
      <c r="AK605" s="19"/>
      <c r="AL605" s="19"/>
      <c r="AM605" s="19"/>
      <c r="AN605" s="19"/>
      <c r="AO605" s="19"/>
      <c r="AP605" s="19"/>
      <c r="AQ605" s="19"/>
      <c r="AR605" s="19"/>
      <c r="AS605" s="19"/>
      <c r="AT605" s="19"/>
      <c r="AU605" s="19"/>
      <c r="AV605" s="19"/>
      <c r="AW605" s="19"/>
      <c r="AX605" s="19"/>
      <c r="AY605" s="19"/>
      <c r="AZ605" s="19"/>
      <c r="BA605" s="19"/>
      <c r="BB605" s="19"/>
      <c r="BC605" s="19"/>
      <c r="BD605" s="19"/>
      <c r="BE605" s="19"/>
      <c r="BF605" s="19"/>
      <c r="BG605" s="19"/>
      <c r="BH605" s="19"/>
      <c r="BI605" s="19"/>
      <c r="BJ605" s="19"/>
      <c r="BK605" s="19"/>
      <c r="BL605" s="20"/>
      <c r="BM605" s="19"/>
      <c r="BN605" s="19"/>
      <c r="BO605" s="19"/>
      <c r="BP605" s="19"/>
      <c r="BQ605" s="19"/>
    </row>
    <row r="606" spans="1:69" ht="12" customHeight="1">
      <c r="A606" s="1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20"/>
      <c r="AH606" s="19"/>
      <c r="AI606" s="19"/>
      <c r="AJ606" s="19"/>
      <c r="AK606" s="19"/>
      <c r="AL606" s="19"/>
      <c r="AM606" s="19"/>
      <c r="AN606" s="19"/>
      <c r="AO606" s="19"/>
      <c r="AP606" s="19"/>
      <c r="AQ606" s="19"/>
      <c r="AR606" s="19"/>
      <c r="AS606" s="19"/>
      <c r="AT606" s="19"/>
      <c r="AU606" s="19"/>
      <c r="AV606" s="19"/>
      <c r="AW606" s="19"/>
      <c r="AX606" s="19"/>
      <c r="AY606" s="19"/>
      <c r="AZ606" s="19"/>
      <c r="BA606" s="19"/>
      <c r="BB606" s="19"/>
      <c r="BC606" s="19"/>
      <c r="BD606" s="19"/>
      <c r="BE606" s="19"/>
      <c r="BF606" s="19"/>
      <c r="BG606" s="19"/>
      <c r="BH606" s="19"/>
      <c r="BI606" s="19"/>
      <c r="BJ606" s="19"/>
      <c r="BK606" s="19"/>
      <c r="BL606" s="20"/>
      <c r="BM606" s="19"/>
      <c r="BN606" s="19"/>
      <c r="BO606" s="19"/>
      <c r="BP606" s="19"/>
      <c r="BQ606" s="19"/>
    </row>
    <row r="607" spans="1:69" ht="12" customHeight="1">
      <c r="A607" s="1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20"/>
      <c r="AH607" s="19"/>
      <c r="AI607" s="19"/>
      <c r="AJ607" s="19"/>
      <c r="AK607" s="19"/>
      <c r="AL607" s="19"/>
      <c r="AM607" s="19"/>
      <c r="AN607" s="19"/>
      <c r="AO607" s="19"/>
      <c r="AP607" s="19"/>
      <c r="AQ607" s="19"/>
      <c r="AR607" s="19"/>
      <c r="AS607" s="19"/>
      <c r="AT607" s="19"/>
      <c r="AU607" s="19"/>
      <c r="AV607" s="19"/>
      <c r="AW607" s="19"/>
      <c r="AX607" s="19"/>
      <c r="AY607" s="19"/>
      <c r="AZ607" s="19"/>
      <c r="BA607" s="19"/>
      <c r="BB607" s="19"/>
      <c r="BC607" s="19"/>
      <c r="BD607" s="19"/>
      <c r="BE607" s="19"/>
      <c r="BF607" s="19"/>
      <c r="BG607" s="19"/>
      <c r="BH607" s="19"/>
      <c r="BI607" s="19"/>
      <c r="BJ607" s="19"/>
      <c r="BK607" s="19"/>
      <c r="BL607" s="20"/>
      <c r="BM607" s="19"/>
      <c r="BN607" s="19"/>
      <c r="BO607" s="19"/>
      <c r="BP607" s="19"/>
      <c r="BQ607" s="19"/>
    </row>
    <row r="608" spans="1:69" ht="12" customHeight="1">
      <c r="A608" s="1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20"/>
      <c r="AH608" s="19"/>
      <c r="AI608" s="19"/>
      <c r="AJ608" s="19"/>
      <c r="AK608" s="19"/>
      <c r="AL608" s="19"/>
      <c r="AM608" s="19"/>
      <c r="AN608" s="19"/>
      <c r="AO608" s="19"/>
      <c r="AP608" s="19"/>
      <c r="AQ608" s="19"/>
      <c r="AR608" s="19"/>
      <c r="AS608" s="19"/>
      <c r="AT608" s="19"/>
      <c r="AU608" s="19"/>
      <c r="AV608" s="19"/>
      <c r="AW608" s="19"/>
      <c r="AX608" s="19"/>
      <c r="AY608" s="19"/>
      <c r="AZ608" s="19"/>
      <c r="BA608" s="19"/>
      <c r="BB608" s="19"/>
      <c r="BC608" s="19"/>
      <c r="BD608" s="19"/>
      <c r="BE608" s="19"/>
      <c r="BF608" s="19"/>
      <c r="BG608" s="19"/>
      <c r="BH608" s="19"/>
      <c r="BI608" s="19"/>
      <c r="BJ608" s="19"/>
      <c r="BK608" s="19"/>
      <c r="BL608" s="20"/>
      <c r="BM608" s="19"/>
      <c r="BN608" s="19"/>
      <c r="BO608" s="19"/>
      <c r="BP608" s="19"/>
      <c r="BQ608" s="19"/>
    </row>
    <row r="609" spans="1:69" ht="12" customHeight="1">
      <c r="A609" s="1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20"/>
      <c r="AH609" s="19"/>
      <c r="AI609" s="19"/>
      <c r="AJ609" s="19"/>
      <c r="AK609" s="19"/>
      <c r="AL609" s="19"/>
      <c r="AM609" s="19"/>
      <c r="AN609" s="19"/>
      <c r="AO609" s="19"/>
      <c r="AP609" s="19"/>
      <c r="AQ609" s="19"/>
      <c r="AR609" s="19"/>
      <c r="AS609" s="19"/>
      <c r="AT609" s="19"/>
      <c r="AU609" s="19"/>
      <c r="AV609" s="19"/>
      <c r="AW609" s="19"/>
      <c r="AX609" s="19"/>
      <c r="AY609" s="19"/>
      <c r="AZ609" s="19"/>
      <c r="BA609" s="19"/>
      <c r="BB609" s="19"/>
      <c r="BC609" s="19"/>
      <c r="BD609" s="19"/>
      <c r="BE609" s="19"/>
      <c r="BF609" s="19"/>
      <c r="BG609" s="19"/>
      <c r="BH609" s="19"/>
      <c r="BI609" s="19"/>
      <c r="BJ609" s="19"/>
      <c r="BK609" s="19"/>
      <c r="BL609" s="20"/>
      <c r="BM609" s="19"/>
      <c r="BN609" s="19"/>
      <c r="BO609" s="19"/>
      <c r="BP609" s="19"/>
      <c r="BQ609" s="19"/>
    </row>
    <row r="610" spans="1:69" ht="12" customHeight="1">
      <c r="A610" s="1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20"/>
      <c r="AH610" s="19"/>
      <c r="AI610" s="19"/>
      <c r="AJ610" s="19"/>
      <c r="AK610" s="19"/>
      <c r="AL610" s="19"/>
      <c r="AM610" s="19"/>
      <c r="AN610" s="19"/>
      <c r="AO610" s="19"/>
      <c r="AP610" s="19"/>
      <c r="AQ610" s="19"/>
      <c r="AR610" s="19"/>
      <c r="AS610" s="19"/>
      <c r="AT610" s="19"/>
      <c r="AU610" s="19"/>
      <c r="AV610" s="19"/>
      <c r="AW610" s="19"/>
      <c r="AX610" s="19"/>
      <c r="AY610" s="19"/>
      <c r="AZ610" s="19"/>
      <c r="BA610" s="19"/>
      <c r="BB610" s="19"/>
      <c r="BC610" s="19"/>
      <c r="BD610" s="19"/>
      <c r="BE610" s="19"/>
      <c r="BF610" s="19"/>
      <c r="BG610" s="19"/>
      <c r="BH610" s="19"/>
      <c r="BI610" s="19"/>
      <c r="BJ610" s="19"/>
      <c r="BK610" s="19"/>
      <c r="BL610" s="20"/>
      <c r="BM610" s="19"/>
      <c r="BN610" s="19"/>
      <c r="BO610" s="19"/>
      <c r="BP610" s="19"/>
      <c r="BQ610" s="19"/>
    </row>
    <row r="611" spans="1:69" ht="12" customHeight="1">
      <c r="A611" s="1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20"/>
      <c r="AH611" s="19"/>
      <c r="AI611" s="19"/>
      <c r="AJ611" s="19"/>
      <c r="AK611" s="19"/>
      <c r="AL611" s="19"/>
      <c r="AM611" s="19"/>
      <c r="AN611" s="19"/>
      <c r="AO611" s="19"/>
      <c r="AP611" s="19"/>
      <c r="AQ611" s="19"/>
      <c r="AR611" s="19"/>
      <c r="AS611" s="19"/>
      <c r="AT611" s="19"/>
      <c r="AU611" s="19"/>
      <c r="AV611" s="19"/>
      <c r="AW611" s="19"/>
      <c r="AX611" s="19"/>
      <c r="AY611" s="19"/>
      <c r="AZ611" s="19"/>
      <c r="BA611" s="19"/>
      <c r="BB611" s="19"/>
      <c r="BC611" s="19"/>
      <c r="BD611" s="19"/>
      <c r="BE611" s="19"/>
      <c r="BF611" s="19"/>
      <c r="BG611" s="19"/>
      <c r="BH611" s="19"/>
      <c r="BI611" s="19"/>
      <c r="BJ611" s="19"/>
      <c r="BK611" s="19"/>
      <c r="BL611" s="20"/>
      <c r="BM611" s="19"/>
      <c r="BN611" s="19"/>
      <c r="BO611" s="19"/>
      <c r="BP611" s="19"/>
      <c r="BQ611" s="19"/>
    </row>
    <row r="612" spans="1:69" ht="12" customHeight="1">
      <c r="A612" s="1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20"/>
      <c r="AH612" s="19"/>
      <c r="AI612" s="19"/>
      <c r="AJ612" s="19"/>
      <c r="AK612" s="19"/>
      <c r="AL612" s="19"/>
      <c r="AM612" s="19"/>
      <c r="AN612" s="19"/>
      <c r="AO612" s="19"/>
      <c r="AP612" s="19"/>
      <c r="AQ612" s="19"/>
      <c r="AR612" s="19"/>
      <c r="AS612" s="19"/>
      <c r="AT612" s="19"/>
      <c r="AU612" s="19"/>
      <c r="AV612" s="19"/>
      <c r="AW612" s="19"/>
      <c r="AX612" s="19"/>
      <c r="AY612" s="19"/>
      <c r="AZ612" s="19"/>
      <c r="BA612" s="19"/>
      <c r="BB612" s="19"/>
      <c r="BC612" s="19"/>
      <c r="BD612" s="19"/>
      <c r="BE612" s="19"/>
      <c r="BF612" s="19"/>
      <c r="BG612" s="19"/>
      <c r="BH612" s="19"/>
      <c r="BI612" s="19"/>
      <c r="BJ612" s="19"/>
      <c r="BK612" s="19"/>
      <c r="BL612" s="20"/>
      <c r="BM612" s="19"/>
      <c r="BN612" s="19"/>
      <c r="BO612" s="19"/>
      <c r="BP612" s="19"/>
      <c r="BQ612" s="19"/>
    </row>
    <row r="613" spans="1:69" ht="12" customHeight="1">
      <c r="A613" s="1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20"/>
      <c r="AH613" s="19"/>
      <c r="AI613" s="19"/>
      <c r="AJ613" s="19"/>
      <c r="AK613" s="19"/>
      <c r="AL613" s="19"/>
      <c r="AM613" s="19"/>
      <c r="AN613" s="19"/>
      <c r="AO613" s="19"/>
      <c r="AP613" s="19"/>
      <c r="AQ613" s="19"/>
      <c r="AR613" s="19"/>
      <c r="AS613" s="19"/>
      <c r="AT613" s="19"/>
      <c r="AU613" s="19"/>
      <c r="AV613" s="19"/>
      <c r="AW613" s="19"/>
      <c r="AX613" s="19"/>
      <c r="AY613" s="19"/>
      <c r="AZ613" s="19"/>
      <c r="BA613" s="19"/>
      <c r="BB613" s="19"/>
      <c r="BC613" s="19"/>
      <c r="BD613" s="19"/>
      <c r="BE613" s="19"/>
      <c r="BF613" s="19"/>
      <c r="BG613" s="19"/>
      <c r="BH613" s="19"/>
      <c r="BI613" s="19"/>
      <c r="BJ613" s="19"/>
      <c r="BK613" s="19"/>
      <c r="BL613" s="20"/>
      <c r="BM613" s="19"/>
      <c r="BN613" s="19"/>
      <c r="BO613" s="19"/>
      <c r="BP613" s="19"/>
      <c r="BQ613" s="19"/>
    </row>
    <row r="614" spans="1:69" ht="12" customHeight="1">
      <c r="A614" s="1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20"/>
      <c r="AH614" s="19"/>
      <c r="AI614" s="19"/>
      <c r="AJ614" s="19"/>
      <c r="AK614" s="19"/>
      <c r="AL614" s="19"/>
      <c r="AM614" s="19"/>
      <c r="AN614" s="19"/>
      <c r="AO614" s="19"/>
      <c r="AP614" s="19"/>
      <c r="AQ614" s="19"/>
      <c r="AR614" s="19"/>
      <c r="AS614" s="19"/>
      <c r="AT614" s="19"/>
      <c r="AU614" s="19"/>
      <c r="AV614" s="19"/>
      <c r="AW614" s="19"/>
      <c r="AX614" s="19"/>
      <c r="AY614" s="19"/>
      <c r="AZ614" s="19"/>
      <c r="BA614" s="19"/>
      <c r="BB614" s="19"/>
      <c r="BC614" s="19"/>
      <c r="BD614" s="19"/>
      <c r="BE614" s="19"/>
      <c r="BF614" s="19"/>
      <c r="BG614" s="19"/>
      <c r="BH614" s="19"/>
      <c r="BI614" s="19"/>
      <c r="BJ614" s="19"/>
      <c r="BK614" s="19"/>
      <c r="BL614" s="20"/>
      <c r="BM614" s="19"/>
      <c r="BN614" s="19"/>
      <c r="BO614" s="19"/>
      <c r="BP614" s="19"/>
      <c r="BQ614" s="19"/>
    </row>
    <row r="615" spans="1:69" ht="12" customHeight="1">
      <c r="A615" s="1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20"/>
      <c r="AH615" s="19"/>
      <c r="AI615" s="19"/>
      <c r="AJ615" s="19"/>
      <c r="AK615" s="19"/>
      <c r="AL615" s="19"/>
      <c r="AM615" s="19"/>
      <c r="AN615" s="19"/>
      <c r="AO615" s="19"/>
      <c r="AP615" s="19"/>
      <c r="AQ615" s="19"/>
      <c r="AR615" s="19"/>
      <c r="AS615" s="19"/>
      <c r="AT615" s="19"/>
      <c r="AU615" s="19"/>
      <c r="AV615" s="19"/>
      <c r="AW615" s="19"/>
      <c r="AX615" s="19"/>
      <c r="AY615" s="19"/>
      <c r="AZ615" s="19"/>
      <c r="BA615" s="19"/>
      <c r="BB615" s="19"/>
      <c r="BC615" s="19"/>
      <c r="BD615" s="19"/>
      <c r="BE615" s="19"/>
      <c r="BF615" s="19"/>
      <c r="BG615" s="19"/>
      <c r="BH615" s="19"/>
      <c r="BI615" s="19"/>
      <c r="BJ615" s="19"/>
      <c r="BK615" s="19"/>
      <c r="BL615" s="20"/>
      <c r="BM615" s="19"/>
      <c r="BN615" s="19"/>
      <c r="BO615" s="19"/>
      <c r="BP615" s="19"/>
      <c r="BQ615" s="19"/>
    </row>
    <row r="616" spans="1:69" ht="12" customHeight="1">
      <c r="A616" s="1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20"/>
      <c r="AH616" s="19"/>
      <c r="AI616" s="19"/>
      <c r="AJ616" s="19"/>
      <c r="AK616" s="19"/>
      <c r="AL616" s="19"/>
      <c r="AM616" s="19"/>
      <c r="AN616" s="19"/>
      <c r="AO616" s="19"/>
      <c r="AP616" s="19"/>
      <c r="AQ616" s="19"/>
      <c r="AR616" s="19"/>
      <c r="AS616" s="19"/>
      <c r="AT616" s="19"/>
      <c r="AU616" s="19"/>
      <c r="AV616" s="19"/>
      <c r="AW616" s="19"/>
      <c r="AX616" s="19"/>
      <c r="AY616" s="19"/>
      <c r="AZ616" s="19"/>
      <c r="BA616" s="19"/>
      <c r="BB616" s="19"/>
      <c r="BC616" s="19"/>
      <c r="BD616" s="19"/>
      <c r="BE616" s="19"/>
      <c r="BF616" s="19"/>
      <c r="BG616" s="19"/>
      <c r="BH616" s="19"/>
      <c r="BI616" s="19"/>
      <c r="BJ616" s="19"/>
      <c r="BK616" s="19"/>
      <c r="BL616" s="20"/>
      <c r="BM616" s="19"/>
      <c r="BN616" s="19"/>
      <c r="BO616" s="19"/>
      <c r="BP616" s="19"/>
      <c r="BQ616" s="19"/>
    </row>
    <row r="617" spans="1:69" ht="12" customHeight="1">
      <c r="A617" s="1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20"/>
      <c r="AH617" s="19"/>
      <c r="AI617" s="19"/>
      <c r="AJ617" s="19"/>
      <c r="AK617" s="19"/>
      <c r="AL617" s="19"/>
      <c r="AM617" s="19"/>
      <c r="AN617" s="19"/>
      <c r="AO617" s="19"/>
      <c r="AP617" s="19"/>
      <c r="AQ617" s="19"/>
      <c r="AR617" s="19"/>
      <c r="AS617" s="19"/>
      <c r="AT617" s="19"/>
      <c r="AU617" s="19"/>
      <c r="AV617" s="19"/>
      <c r="AW617" s="19"/>
      <c r="AX617" s="19"/>
      <c r="AY617" s="19"/>
      <c r="AZ617" s="19"/>
      <c r="BA617" s="19"/>
      <c r="BB617" s="19"/>
      <c r="BC617" s="19"/>
      <c r="BD617" s="19"/>
      <c r="BE617" s="19"/>
      <c r="BF617" s="19"/>
      <c r="BG617" s="19"/>
      <c r="BH617" s="19"/>
      <c r="BI617" s="19"/>
      <c r="BJ617" s="19"/>
      <c r="BK617" s="19"/>
      <c r="BL617" s="20"/>
      <c r="BM617" s="19"/>
      <c r="BN617" s="19"/>
      <c r="BO617" s="19"/>
      <c r="BP617" s="19"/>
      <c r="BQ617" s="19"/>
    </row>
    <row r="618" spans="1:69" ht="12" customHeight="1">
      <c r="A618" s="1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20"/>
      <c r="AH618" s="19"/>
      <c r="AI618" s="19"/>
      <c r="AJ618" s="19"/>
      <c r="AK618" s="19"/>
      <c r="AL618" s="19"/>
      <c r="AM618" s="19"/>
      <c r="AN618" s="19"/>
      <c r="AO618" s="19"/>
      <c r="AP618" s="19"/>
      <c r="AQ618" s="19"/>
      <c r="AR618" s="19"/>
      <c r="AS618" s="19"/>
      <c r="AT618" s="19"/>
      <c r="AU618" s="19"/>
      <c r="AV618" s="19"/>
      <c r="AW618" s="19"/>
      <c r="AX618" s="19"/>
      <c r="AY618" s="19"/>
      <c r="AZ618" s="19"/>
      <c r="BA618" s="19"/>
      <c r="BB618" s="19"/>
      <c r="BC618" s="19"/>
      <c r="BD618" s="19"/>
      <c r="BE618" s="19"/>
      <c r="BF618" s="19"/>
      <c r="BG618" s="19"/>
      <c r="BH618" s="19"/>
      <c r="BI618" s="19"/>
      <c r="BJ618" s="19"/>
      <c r="BK618" s="19"/>
      <c r="BL618" s="20"/>
      <c r="BM618" s="19"/>
      <c r="BN618" s="19"/>
      <c r="BO618" s="19"/>
      <c r="BP618" s="19"/>
      <c r="BQ618" s="19"/>
    </row>
    <row r="619" spans="1:69" ht="12" customHeight="1">
      <c r="A619" s="1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20"/>
      <c r="AH619" s="19"/>
      <c r="AI619" s="19"/>
      <c r="AJ619" s="19"/>
      <c r="AK619" s="19"/>
      <c r="AL619" s="19"/>
      <c r="AM619" s="19"/>
      <c r="AN619" s="19"/>
      <c r="AO619" s="19"/>
      <c r="AP619" s="19"/>
      <c r="AQ619" s="19"/>
      <c r="AR619" s="19"/>
      <c r="AS619" s="19"/>
      <c r="AT619" s="19"/>
      <c r="AU619" s="19"/>
      <c r="AV619" s="19"/>
      <c r="AW619" s="19"/>
      <c r="AX619" s="19"/>
      <c r="AY619" s="19"/>
      <c r="AZ619" s="19"/>
      <c r="BA619" s="19"/>
      <c r="BB619" s="19"/>
      <c r="BC619" s="19"/>
      <c r="BD619" s="19"/>
      <c r="BE619" s="19"/>
      <c r="BF619" s="19"/>
      <c r="BG619" s="19"/>
      <c r="BH619" s="19"/>
      <c r="BI619" s="19"/>
      <c r="BJ619" s="19"/>
      <c r="BK619" s="19"/>
      <c r="BL619" s="20"/>
      <c r="BM619" s="19"/>
      <c r="BN619" s="19"/>
      <c r="BO619" s="19"/>
      <c r="BP619" s="19"/>
      <c r="BQ619" s="19"/>
    </row>
    <row r="620" spans="1:69" ht="12" customHeight="1">
      <c r="A620" s="1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20"/>
      <c r="AH620" s="19"/>
      <c r="AI620" s="19"/>
      <c r="AJ620" s="19"/>
      <c r="AK620" s="19"/>
      <c r="AL620" s="19"/>
      <c r="AM620" s="19"/>
      <c r="AN620" s="19"/>
      <c r="AO620" s="19"/>
      <c r="AP620" s="19"/>
      <c r="AQ620" s="19"/>
      <c r="AR620" s="19"/>
      <c r="AS620" s="19"/>
      <c r="AT620" s="19"/>
      <c r="AU620" s="19"/>
      <c r="AV620" s="19"/>
      <c r="AW620" s="19"/>
      <c r="AX620" s="19"/>
      <c r="AY620" s="19"/>
      <c r="AZ620" s="19"/>
      <c r="BA620" s="19"/>
      <c r="BB620" s="19"/>
      <c r="BC620" s="19"/>
      <c r="BD620" s="19"/>
      <c r="BE620" s="19"/>
      <c r="BF620" s="19"/>
      <c r="BG620" s="19"/>
      <c r="BH620" s="19"/>
      <c r="BI620" s="19"/>
      <c r="BJ620" s="19"/>
      <c r="BK620" s="19"/>
      <c r="BL620" s="20"/>
      <c r="BM620" s="19"/>
      <c r="BN620" s="19"/>
      <c r="BO620" s="19"/>
      <c r="BP620" s="19"/>
      <c r="BQ620" s="19"/>
    </row>
    <row r="621" spans="1:69" ht="12" customHeight="1">
      <c r="A621" s="1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20"/>
      <c r="AH621" s="19"/>
      <c r="AI621" s="19"/>
      <c r="AJ621" s="19"/>
      <c r="AK621" s="19"/>
      <c r="AL621" s="19"/>
      <c r="AM621" s="19"/>
      <c r="AN621" s="19"/>
      <c r="AO621" s="19"/>
      <c r="AP621" s="19"/>
      <c r="AQ621" s="19"/>
      <c r="AR621" s="19"/>
      <c r="AS621" s="19"/>
      <c r="AT621" s="19"/>
      <c r="AU621" s="19"/>
      <c r="AV621" s="19"/>
      <c r="AW621" s="19"/>
      <c r="AX621" s="19"/>
      <c r="AY621" s="19"/>
      <c r="AZ621" s="19"/>
      <c r="BA621" s="19"/>
      <c r="BB621" s="19"/>
      <c r="BC621" s="19"/>
      <c r="BD621" s="19"/>
      <c r="BE621" s="19"/>
      <c r="BF621" s="19"/>
      <c r="BG621" s="19"/>
      <c r="BH621" s="19"/>
      <c r="BI621" s="19"/>
      <c r="BJ621" s="19"/>
      <c r="BK621" s="19"/>
      <c r="BL621" s="20"/>
      <c r="BM621" s="19"/>
      <c r="BN621" s="19"/>
      <c r="BO621" s="19"/>
      <c r="BP621" s="19"/>
      <c r="BQ621" s="19"/>
    </row>
    <row r="622" spans="1:69" ht="12" customHeight="1">
      <c r="A622" s="1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19"/>
      <c r="AG622" s="20"/>
      <c r="AH622" s="19"/>
      <c r="AI622" s="19"/>
      <c r="AJ622" s="19"/>
      <c r="AK622" s="19"/>
      <c r="AL622" s="19"/>
      <c r="AM622" s="19"/>
      <c r="AN622" s="19"/>
      <c r="AO622" s="19"/>
      <c r="AP622" s="19"/>
      <c r="AQ622" s="19"/>
      <c r="AR622" s="19"/>
      <c r="AS622" s="19"/>
      <c r="AT622" s="19"/>
      <c r="AU622" s="19"/>
      <c r="AV622" s="19"/>
      <c r="AW622" s="19"/>
      <c r="AX622" s="19"/>
      <c r="AY622" s="19"/>
      <c r="AZ622" s="19"/>
      <c r="BA622" s="19"/>
      <c r="BB622" s="19"/>
      <c r="BC622" s="19"/>
      <c r="BD622" s="19"/>
      <c r="BE622" s="19"/>
      <c r="BF622" s="19"/>
      <c r="BG622" s="19"/>
      <c r="BH622" s="19"/>
      <c r="BI622" s="19"/>
      <c r="BJ622" s="19"/>
      <c r="BK622" s="19"/>
      <c r="BL622" s="20"/>
      <c r="BM622" s="19"/>
      <c r="BN622" s="19"/>
      <c r="BO622" s="19"/>
      <c r="BP622" s="19"/>
      <c r="BQ622" s="19"/>
    </row>
    <row r="623" spans="1:69" ht="12" customHeight="1">
      <c r="A623" s="1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20"/>
      <c r="AH623" s="19"/>
      <c r="AI623" s="19"/>
      <c r="AJ623" s="19"/>
      <c r="AK623" s="19"/>
      <c r="AL623" s="19"/>
      <c r="AM623" s="19"/>
      <c r="AN623" s="19"/>
      <c r="AO623" s="19"/>
      <c r="AP623" s="19"/>
      <c r="AQ623" s="19"/>
      <c r="AR623" s="19"/>
      <c r="AS623" s="19"/>
      <c r="AT623" s="19"/>
      <c r="AU623" s="19"/>
      <c r="AV623" s="19"/>
      <c r="AW623" s="19"/>
      <c r="AX623" s="19"/>
      <c r="AY623" s="19"/>
      <c r="AZ623" s="19"/>
      <c r="BA623" s="19"/>
      <c r="BB623" s="19"/>
      <c r="BC623" s="19"/>
      <c r="BD623" s="19"/>
      <c r="BE623" s="19"/>
      <c r="BF623" s="19"/>
      <c r="BG623" s="19"/>
      <c r="BH623" s="19"/>
      <c r="BI623" s="19"/>
      <c r="BJ623" s="19"/>
      <c r="BK623" s="19"/>
      <c r="BL623" s="20"/>
      <c r="BM623" s="19"/>
      <c r="BN623" s="19"/>
      <c r="BO623" s="19"/>
      <c r="BP623" s="19"/>
      <c r="BQ623" s="19"/>
    </row>
    <row r="624" spans="1:69" ht="12" customHeight="1">
      <c r="A624" s="1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20"/>
      <c r="AH624" s="19"/>
      <c r="AI624" s="19"/>
      <c r="AJ624" s="19"/>
      <c r="AK624" s="19"/>
      <c r="AL624" s="19"/>
      <c r="AM624" s="19"/>
      <c r="AN624" s="19"/>
      <c r="AO624" s="19"/>
      <c r="AP624" s="19"/>
      <c r="AQ624" s="19"/>
      <c r="AR624" s="19"/>
      <c r="AS624" s="19"/>
      <c r="AT624" s="19"/>
      <c r="AU624" s="19"/>
      <c r="AV624" s="19"/>
      <c r="AW624" s="19"/>
      <c r="AX624" s="19"/>
      <c r="AY624" s="19"/>
      <c r="AZ624" s="19"/>
      <c r="BA624" s="19"/>
      <c r="BB624" s="19"/>
      <c r="BC624" s="19"/>
      <c r="BD624" s="19"/>
      <c r="BE624" s="19"/>
      <c r="BF624" s="19"/>
      <c r="BG624" s="19"/>
      <c r="BH624" s="19"/>
      <c r="BI624" s="19"/>
      <c r="BJ624" s="19"/>
      <c r="BK624" s="19"/>
      <c r="BL624" s="20"/>
      <c r="BM624" s="19"/>
      <c r="BN624" s="19"/>
      <c r="BO624" s="19"/>
      <c r="BP624" s="19"/>
      <c r="BQ624" s="19"/>
    </row>
    <row r="625" spans="1:69" ht="12" customHeight="1">
      <c r="A625" s="1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20"/>
      <c r="AH625" s="19"/>
      <c r="AI625" s="19"/>
      <c r="AJ625" s="19"/>
      <c r="AK625" s="19"/>
      <c r="AL625" s="19"/>
      <c r="AM625" s="19"/>
      <c r="AN625" s="19"/>
      <c r="AO625" s="19"/>
      <c r="AP625" s="19"/>
      <c r="AQ625" s="19"/>
      <c r="AR625" s="19"/>
      <c r="AS625" s="19"/>
      <c r="AT625" s="19"/>
      <c r="AU625" s="19"/>
      <c r="AV625" s="19"/>
      <c r="AW625" s="19"/>
      <c r="AX625" s="19"/>
      <c r="AY625" s="19"/>
      <c r="AZ625" s="19"/>
      <c r="BA625" s="19"/>
      <c r="BB625" s="19"/>
      <c r="BC625" s="19"/>
      <c r="BD625" s="19"/>
      <c r="BE625" s="19"/>
      <c r="BF625" s="19"/>
      <c r="BG625" s="19"/>
      <c r="BH625" s="19"/>
      <c r="BI625" s="19"/>
      <c r="BJ625" s="19"/>
      <c r="BK625" s="19"/>
      <c r="BL625" s="20"/>
      <c r="BM625" s="19"/>
      <c r="BN625" s="19"/>
      <c r="BO625" s="19"/>
      <c r="BP625" s="19"/>
      <c r="BQ625" s="19"/>
    </row>
    <row r="626" spans="1:69" ht="12" customHeight="1">
      <c r="A626" s="1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20"/>
      <c r="AH626" s="19"/>
      <c r="AI626" s="19"/>
      <c r="AJ626" s="19"/>
      <c r="AK626" s="19"/>
      <c r="AL626" s="19"/>
      <c r="AM626" s="19"/>
      <c r="AN626" s="19"/>
      <c r="AO626" s="19"/>
      <c r="AP626" s="19"/>
      <c r="AQ626" s="19"/>
      <c r="AR626" s="19"/>
      <c r="AS626" s="19"/>
      <c r="AT626" s="19"/>
      <c r="AU626" s="19"/>
      <c r="AV626" s="19"/>
      <c r="AW626" s="19"/>
      <c r="AX626" s="19"/>
      <c r="AY626" s="19"/>
      <c r="AZ626" s="19"/>
      <c r="BA626" s="19"/>
      <c r="BB626" s="19"/>
      <c r="BC626" s="19"/>
      <c r="BD626" s="19"/>
      <c r="BE626" s="19"/>
      <c r="BF626" s="19"/>
      <c r="BG626" s="19"/>
      <c r="BH626" s="19"/>
      <c r="BI626" s="19"/>
      <c r="BJ626" s="19"/>
      <c r="BK626" s="19"/>
      <c r="BL626" s="20"/>
      <c r="BM626" s="19"/>
      <c r="BN626" s="19"/>
      <c r="BO626" s="19"/>
      <c r="BP626" s="19"/>
      <c r="BQ626" s="19"/>
    </row>
    <row r="627" spans="1:69" ht="12" customHeight="1">
      <c r="A627" s="1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19"/>
      <c r="AG627" s="20"/>
      <c r="AH627" s="19"/>
      <c r="AI627" s="19"/>
      <c r="AJ627" s="19"/>
      <c r="AK627" s="19"/>
      <c r="AL627" s="19"/>
      <c r="AM627" s="19"/>
      <c r="AN627" s="19"/>
      <c r="AO627" s="19"/>
      <c r="AP627" s="19"/>
      <c r="AQ627" s="19"/>
      <c r="AR627" s="19"/>
      <c r="AS627" s="19"/>
      <c r="AT627" s="19"/>
      <c r="AU627" s="19"/>
      <c r="AV627" s="19"/>
      <c r="AW627" s="19"/>
      <c r="AX627" s="19"/>
      <c r="AY627" s="19"/>
      <c r="AZ627" s="19"/>
      <c r="BA627" s="19"/>
      <c r="BB627" s="19"/>
      <c r="BC627" s="19"/>
      <c r="BD627" s="19"/>
      <c r="BE627" s="19"/>
      <c r="BF627" s="19"/>
      <c r="BG627" s="19"/>
      <c r="BH627" s="19"/>
      <c r="BI627" s="19"/>
      <c r="BJ627" s="19"/>
      <c r="BK627" s="19"/>
      <c r="BL627" s="20"/>
      <c r="BM627" s="19"/>
      <c r="BN627" s="19"/>
      <c r="BO627" s="19"/>
      <c r="BP627" s="19"/>
      <c r="BQ627" s="19"/>
    </row>
    <row r="628" spans="1:69" ht="12" customHeight="1">
      <c r="A628" s="1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19"/>
      <c r="AG628" s="20"/>
      <c r="AH628" s="19"/>
      <c r="AI628" s="19"/>
      <c r="AJ628" s="19"/>
      <c r="AK628" s="19"/>
      <c r="AL628" s="19"/>
      <c r="AM628" s="19"/>
      <c r="AN628" s="19"/>
      <c r="AO628" s="19"/>
      <c r="AP628" s="19"/>
      <c r="AQ628" s="19"/>
      <c r="AR628" s="19"/>
      <c r="AS628" s="19"/>
      <c r="AT628" s="19"/>
      <c r="AU628" s="19"/>
      <c r="AV628" s="19"/>
      <c r="AW628" s="19"/>
      <c r="AX628" s="19"/>
      <c r="AY628" s="19"/>
      <c r="AZ628" s="19"/>
      <c r="BA628" s="19"/>
      <c r="BB628" s="19"/>
      <c r="BC628" s="19"/>
      <c r="BD628" s="19"/>
      <c r="BE628" s="19"/>
      <c r="BF628" s="19"/>
      <c r="BG628" s="19"/>
      <c r="BH628" s="19"/>
      <c r="BI628" s="19"/>
      <c r="BJ628" s="19"/>
      <c r="BK628" s="19"/>
      <c r="BL628" s="20"/>
      <c r="BM628" s="19"/>
      <c r="BN628" s="19"/>
      <c r="BO628" s="19"/>
      <c r="BP628" s="19"/>
      <c r="BQ628" s="19"/>
    </row>
    <row r="629" spans="1:69" ht="12" customHeight="1">
      <c r="A629" s="1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19"/>
      <c r="AG629" s="20"/>
      <c r="AH629" s="19"/>
      <c r="AI629" s="19"/>
      <c r="AJ629" s="19"/>
      <c r="AK629" s="19"/>
      <c r="AL629" s="19"/>
      <c r="AM629" s="19"/>
      <c r="AN629" s="19"/>
      <c r="AO629" s="19"/>
      <c r="AP629" s="19"/>
      <c r="AQ629" s="19"/>
      <c r="AR629" s="19"/>
      <c r="AS629" s="19"/>
      <c r="AT629" s="19"/>
      <c r="AU629" s="19"/>
      <c r="AV629" s="19"/>
      <c r="AW629" s="19"/>
      <c r="AX629" s="19"/>
      <c r="AY629" s="19"/>
      <c r="AZ629" s="19"/>
      <c r="BA629" s="19"/>
      <c r="BB629" s="19"/>
      <c r="BC629" s="19"/>
      <c r="BD629" s="19"/>
      <c r="BE629" s="19"/>
      <c r="BF629" s="19"/>
      <c r="BG629" s="19"/>
      <c r="BH629" s="19"/>
      <c r="BI629" s="19"/>
      <c r="BJ629" s="19"/>
      <c r="BK629" s="19"/>
      <c r="BL629" s="20"/>
      <c r="BM629" s="19"/>
      <c r="BN629" s="19"/>
      <c r="BO629" s="19"/>
      <c r="BP629" s="19"/>
      <c r="BQ629" s="19"/>
    </row>
    <row r="630" spans="1:69" ht="12" customHeight="1">
      <c r="A630" s="1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19"/>
      <c r="AG630" s="20"/>
      <c r="AH630" s="19"/>
      <c r="AI630" s="19"/>
      <c r="AJ630" s="19"/>
      <c r="AK630" s="19"/>
      <c r="AL630" s="19"/>
      <c r="AM630" s="19"/>
      <c r="AN630" s="19"/>
      <c r="AO630" s="19"/>
      <c r="AP630" s="19"/>
      <c r="AQ630" s="19"/>
      <c r="AR630" s="19"/>
      <c r="AS630" s="19"/>
      <c r="AT630" s="19"/>
      <c r="AU630" s="19"/>
      <c r="AV630" s="19"/>
      <c r="AW630" s="19"/>
      <c r="AX630" s="19"/>
      <c r="AY630" s="19"/>
      <c r="AZ630" s="19"/>
      <c r="BA630" s="19"/>
      <c r="BB630" s="19"/>
      <c r="BC630" s="19"/>
      <c r="BD630" s="19"/>
      <c r="BE630" s="19"/>
      <c r="BF630" s="19"/>
      <c r="BG630" s="19"/>
      <c r="BH630" s="19"/>
      <c r="BI630" s="19"/>
      <c r="BJ630" s="19"/>
      <c r="BK630" s="19"/>
      <c r="BL630" s="20"/>
      <c r="BM630" s="19"/>
      <c r="BN630" s="19"/>
      <c r="BO630" s="19"/>
      <c r="BP630" s="19"/>
      <c r="BQ630" s="19"/>
    </row>
    <row r="631" spans="1:69" ht="12" customHeight="1">
      <c r="A631" s="1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19"/>
      <c r="AG631" s="20"/>
      <c r="AH631" s="19"/>
      <c r="AI631" s="19"/>
      <c r="AJ631" s="19"/>
      <c r="AK631" s="19"/>
      <c r="AL631" s="19"/>
      <c r="AM631" s="19"/>
      <c r="AN631" s="19"/>
      <c r="AO631" s="19"/>
      <c r="AP631" s="19"/>
      <c r="AQ631" s="19"/>
      <c r="AR631" s="19"/>
      <c r="AS631" s="19"/>
      <c r="AT631" s="19"/>
      <c r="AU631" s="19"/>
      <c r="AV631" s="19"/>
      <c r="AW631" s="19"/>
      <c r="AX631" s="19"/>
      <c r="AY631" s="19"/>
      <c r="AZ631" s="19"/>
      <c r="BA631" s="19"/>
      <c r="BB631" s="19"/>
      <c r="BC631" s="19"/>
      <c r="BD631" s="19"/>
      <c r="BE631" s="19"/>
      <c r="BF631" s="19"/>
      <c r="BG631" s="19"/>
      <c r="BH631" s="19"/>
      <c r="BI631" s="19"/>
      <c r="BJ631" s="19"/>
      <c r="BK631" s="19"/>
      <c r="BL631" s="20"/>
      <c r="BM631" s="19"/>
      <c r="BN631" s="19"/>
      <c r="BO631" s="19"/>
      <c r="BP631" s="19"/>
      <c r="BQ631" s="19"/>
    </row>
    <row r="632" spans="1:69" ht="12" customHeight="1">
      <c r="A632" s="1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19"/>
      <c r="AG632" s="20"/>
      <c r="AH632" s="19"/>
      <c r="AI632" s="19"/>
      <c r="AJ632" s="19"/>
      <c r="AK632" s="19"/>
      <c r="AL632" s="19"/>
      <c r="AM632" s="19"/>
      <c r="AN632" s="19"/>
      <c r="AO632" s="19"/>
      <c r="AP632" s="19"/>
      <c r="AQ632" s="19"/>
      <c r="AR632" s="19"/>
      <c r="AS632" s="19"/>
      <c r="AT632" s="19"/>
      <c r="AU632" s="19"/>
      <c r="AV632" s="19"/>
      <c r="AW632" s="19"/>
      <c r="AX632" s="19"/>
      <c r="AY632" s="19"/>
      <c r="AZ632" s="19"/>
      <c r="BA632" s="19"/>
      <c r="BB632" s="19"/>
      <c r="BC632" s="19"/>
      <c r="BD632" s="19"/>
      <c r="BE632" s="19"/>
      <c r="BF632" s="19"/>
      <c r="BG632" s="19"/>
      <c r="BH632" s="19"/>
      <c r="BI632" s="19"/>
      <c r="BJ632" s="19"/>
      <c r="BK632" s="19"/>
      <c r="BL632" s="20"/>
      <c r="BM632" s="19"/>
      <c r="BN632" s="19"/>
      <c r="BO632" s="19"/>
      <c r="BP632" s="19"/>
      <c r="BQ632" s="19"/>
    </row>
    <row r="633" spans="1:69" ht="12" customHeight="1">
      <c r="A633" s="1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20"/>
      <c r="AH633" s="19"/>
      <c r="AI633" s="19"/>
      <c r="AJ633" s="19"/>
      <c r="AK633" s="19"/>
      <c r="AL633" s="19"/>
      <c r="AM633" s="19"/>
      <c r="AN633" s="19"/>
      <c r="AO633" s="19"/>
      <c r="AP633" s="19"/>
      <c r="AQ633" s="19"/>
      <c r="AR633" s="19"/>
      <c r="AS633" s="19"/>
      <c r="AT633" s="19"/>
      <c r="AU633" s="19"/>
      <c r="AV633" s="19"/>
      <c r="AW633" s="19"/>
      <c r="AX633" s="19"/>
      <c r="AY633" s="19"/>
      <c r="AZ633" s="19"/>
      <c r="BA633" s="19"/>
      <c r="BB633" s="19"/>
      <c r="BC633" s="19"/>
      <c r="BD633" s="19"/>
      <c r="BE633" s="19"/>
      <c r="BF633" s="19"/>
      <c r="BG633" s="19"/>
      <c r="BH633" s="19"/>
      <c r="BI633" s="19"/>
      <c r="BJ633" s="19"/>
      <c r="BK633" s="19"/>
      <c r="BL633" s="20"/>
      <c r="BM633" s="19"/>
      <c r="BN633" s="19"/>
      <c r="BO633" s="19"/>
      <c r="BP633" s="19"/>
      <c r="BQ633" s="19"/>
    </row>
    <row r="634" spans="1:69" ht="12" customHeight="1">
      <c r="A634" s="1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20"/>
      <c r="AH634" s="19"/>
      <c r="AI634" s="19"/>
      <c r="AJ634" s="19"/>
      <c r="AK634" s="19"/>
      <c r="AL634" s="19"/>
      <c r="AM634" s="19"/>
      <c r="AN634" s="19"/>
      <c r="AO634" s="19"/>
      <c r="AP634" s="19"/>
      <c r="AQ634" s="19"/>
      <c r="AR634" s="19"/>
      <c r="AS634" s="19"/>
      <c r="AT634" s="19"/>
      <c r="AU634" s="19"/>
      <c r="AV634" s="19"/>
      <c r="AW634" s="19"/>
      <c r="AX634" s="19"/>
      <c r="AY634" s="19"/>
      <c r="AZ634" s="19"/>
      <c r="BA634" s="19"/>
      <c r="BB634" s="19"/>
      <c r="BC634" s="19"/>
      <c r="BD634" s="19"/>
      <c r="BE634" s="19"/>
      <c r="BF634" s="19"/>
      <c r="BG634" s="19"/>
      <c r="BH634" s="19"/>
      <c r="BI634" s="19"/>
      <c r="BJ634" s="19"/>
      <c r="BK634" s="19"/>
      <c r="BL634" s="20"/>
      <c r="BM634" s="19"/>
      <c r="BN634" s="19"/>
      <c r="BO634" s="19"/>
      <c r="BP634" s="19"/>
      <c r="BQ634" s="19"/>
    </row>
    <row r="635" spans="1:69" ht="12" customHeight="1">
      <c r="A635" s="1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20"/>
      <c r="AH635" s="19"/>
      <c r="AI635" s="19"/>
      <c r="AJ635" s="19"/>
      <c r="AK635" s="19"/>
      <c r="AL635" s="19"/>
      <c r="AM635" s="19"/>
      <c r="AN635" s="19"/>
      <c r="AO635" s="19"/>
      <c r="AP635" s="19"/>
      <c r="AQ635" s="19"/>
      <c r="AR635" s="19"/>
      <c r="AS635" s="19"/>
      <c r="AT635" s="19"/>
      <c r="AU635" s="19"/>
      <c r="AV635" s="19"/>
      <c r="AW635" s="19"/>
      <c r="AX635" s="19"/>
      <c r="AY635" s="19"/>
      <c r="AZ635" s="19"/>
      <c r="BA635" s="19"/>
      <c r="BB635" s="19"/>
      <c r="BC635" s="19"/>
      <c r="BD635" s="19"/>
      <c r="BE635" s="19"/>
      <c r="BF635" s="19"/>
      <c r="BG635" s="19"/>
      <c r="BH635" s="19"/>
      <c r="BI635" s="19"/>
      <c r="BJ635" s="19"/>
      <c r="BK635" s="19"/>
      <c r="BL635" s="20"/>
      <c r="BM635" s="19"/>
      <c r="BN635" s="19"/>
      <c r="BO635" s="19"/>
      <c r="BP635" s="19"/>
      <c r="BQ635" s="19"/>
    </row>
    <row r="636" spans="1:69" ht="12" customHeight="1">
      <c r="A636" s="1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20"/>
      <c r="AH636" s="19"/>
      <c r="AI636" s="19"/>
      <c r="AJ636" s="19"/>
      <c r="AK636" s="19"/>
      <c r="AL636" s="19"/>
      <c r="AM636" s="19"/>
      <c r="AN636" s="19"/>
      <c r="AO636" s="19"/>
      <c r="AP636" s="19"/>
      <c r="AQ636" s="19"/>
      <c r="AR636" s="19"/>
      <c r="AS636" s="19"/>
      <c r="AT636" s="19"/>
      <c r="AU636" s="19"/>
      <c r="AV636" s="19"/>
      <c r="AW636" s="19"/>
      <c r="AX636" s="19"/>
      <c r="AY636" s="19"/>
      <c r="AZ636" s="19"/>
      <c r="BA636" s="19"/>
      <c r="BB636" s="19"/>
      <c r="BC636" s="19"/>
      <c r="BD636" s="19"/>
      <c r="BE636" s="19"/>
      <c r="BF636" s="19"/>
      <c r="BG636" s="19"/>
      <c r="BH636" s="19"/>
      <c r="BI636" s="19"/>
      <c r="BJ636" s="19"/>
      <c r="BK636" s="19"/>
      <c r="BL636" s="20"/>
      <c r="BM636" s="19"/>
      <c r="BN636" s="19"/>
      <c r="BO636" s="19"/>
      <c r="BP636" s="19"/>
      <c r="BQ636" s="19"/>
    </row>
    <row r="637" spans="1:69" ht="12" customHeight="1">
      <c r="A637" s="1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20"/>
      <c r="AH637" s="19"/>
      <c r="AI637" s="19"/>
      <c r="AJ637" s="19"/>
      <c r="AK637" s="19"/>
      <c r="AL637" s="19"/>
      <c r="AM637" s="19"/>
      <c r="AN637" s="19"/>
      <c r="AO637" s="19"/>
      <c r="AP637" s="19"/>
      <c r="AQ637" s="19"/>
      <c r="AR637" s="19"/>
      <c r="AS637" s="19"/>
      <c r="AT637" s="19"/>
      <c r="AU637" s="19"/>
      <c r="AV637" s="19"/>
      <c r="AW637" s="19"/>
      <c r="AX637" s="19"/>
      <c r="AY637" s="19"/>
      <c r="AZ637" s="19"/>
      <c r="BA637" s="19"/>
      <c r="BB637" s="19"/>
      <c r="BC637" s="19"/>
      <c r="BD637" s="19"/>
      <c r="BE637" s="19"/>
      <c r="BF637" s="19"/>
      <c r="BG637" s="19"/>
      <c r="BH637" s="19"/>
      <c r="BI637" s="19"/>
      <c r="BJ637" s="19"/>
      <c r="BK637" s="19"/>
      <c r="BL637" s="20"/>
      <c r="BM637" s="19"/>
      <c r="BN637" s="19"/>
      <c r="BO637" s="19"/>
      <c r="BP637" s="19"/>
      <c r="BQ637" s="19"/>
    </row>
    <row r="638" spans="1:69" ht="12" customHeight="1">
      <c r="A638" s="1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19"/>
      <c r="AG638" s="20"/>
      <c r="AH638" s="19"/>
      <c r="AI638" s="19"/>
      <c r="AJ638" s="19"/>
      <c r="AK638" s="19"/>
      <c r="AL638" s="19"/>
      <c r="AM638" s="19"/>
      <c r="AN638" s="19"/>
      <c r="AO638" s="19"/>
      <c r="AP638" s="19"/>
      <c r="AQ638" s="19"/>
      <c r="AR638" s="19"/>
      <c r="AS638" s="19"/>
      <c r="AT638" s="19"/>
      <c r="AU638" s="19"/>
      <c r="AV638" s="19"/>
      <c r="AW638" s="19"/>
      <c r="AX638" s="19"/>
      <c r="AY638" s="19"/>
      <c r="AZ638" s="19"/>
      <c r="BA638" s="19"/>
      <c r="BB638" s="19"/>
      <c r="BC638" s="19"/>
      <c r="BD638" s="19"/>
      <c r="BE638" s="19"/>
      <c r="BF638" s="19"/>
      <c r="BG638" s="19"/>
      <c r="BH638" s="19"/>
      <c r="BI638" s="19"/>
      <c r="BJ638" s="19"/>
      <c r="BK638" s="19"/>
      <c r="BL638" s="20"/>
      <c r="BM638" s="19"/>
      <c r="BN638" s="19"/>
      <c r="BO638" s="19"/>
      <c r="BP638" s="19"/>
      <c r="BQ638" s="19"/>
    </row>
    <row r="639" spans="1:69" ht="12" customHeight="1">
      <c r="A639" s="1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19"/>
      <c r="AG639" s="20"/>
      <c r="AH639" s="19"/>
      <c r="AI639" s="19"/>
      <c r="AJ639" s="19"/>
      <c r="AK639" s="19"/>
      <c r="AL639" s="19"/>
      <c r="AM639" s="19"/>
      <c r="AN639" s="19"/>
      <c r="AO639" s="19"/>
      <c r="AP639" s="19"/>
      <c r="AQ639" s="19"/>
      <c r="AR639" s="19"/>
      <c r="AS639" s="19"/>
      <c r="AT639" s="19"/>
      <c r="AU639" s="19"/>
      <c r="AV639" s="19"/>
      <c r="AW639" s="19"/>
      <c r="AX639" s="19"/>
      <c r="AY639" s="19"/>
      <c r="AZ639" s="19"/>
      <c r="BA639" s="19"/>
      <c r="BB639" s="19"/>
      <c r="BC639" s="19"/>
      <c r="BD639" s="19"/>
      <c r="BE639" s="19"/>
      <c r="BF639" s="19"/>
      <c r="BG639" s="19"/>
      <c r="BH639" s="19"/>
      <c r="BI639" s="19"/>
      <c r="BJ639" s="19"/>
      <c r="BK639" s="19"/>
      <c r="BL639" s="20"/>
      <c r="BM639" s="19"/>
      <c r="BN639" s="19"/>
      <c r="BO639" s="19"/>
      <c r="BP639" s="19"/>
      <c r="BQ639" s="19"/>
    </row>
    <row r="640" spans="1:69" ht="12" customHeight="1">
      <c r="A640" s="1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19"/>
      <c r="AG640" s="20"/>
      <c r="AH640" s="19"/>
      <c r="AI640" s="19"/>
      <c r="AJ640" s="19"/>
      <c r="AK640" s="19"/>
      <c r="AL640" s="19"/>
      <c r="AM640" s="19"/>
      <c r="AN640" s="19"/>
      <c r="AO640" s="19"/>
      <c r="AP640" s="19"/>
      <c r="AQ640" s="19"/>
      <c r="AR640" s="19"/>
      <c r="AS640" s="19"/>
      <c r="AT640" s="19"/>
      <c r="AU640" s="19"/>
      <c r="AV640" s="19"/>
      <c r="AW640" s="19"/>
      <c r="AX640" s="19"/>
      <c r="AY640" s="19"/>
      <c r="AZ640" s="19"/>
      <c r="BA640" s="19"/>
      <c r="BB640" s="19"/>
      <c r="BC640" s="19"/>
      <c r="BD640" s="19"/>
      <c r="BE640" s="19"/>
      <c r="BF640" s="19"/>
      <c r="BG640" s="19"/>
      <c r="BH640" s="19"/>
      <c r="BI640" s="19"/>
      <c r="BJ640" s="19"/>
      <c r="BK640" s="19"/>
      <c r="BL640" s="20"/>
      <c r="BM640" s="19"/>
      <c r="BN640" s="19"/>
      <c r="BO640" s="19"/>
      <c r="BP640" s="19"/>
      <c r="BQ640" s="19"/>
    </row>
    <row r="641" spans="1:69" ht="12" customHeight="1">
      <c r="A641" s="1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19"/>
      <c r="AG641" s="20"/>
      <c r="AH641" s="19"/>
      <c r="AI641" s="19"/>
      <c r="AJ641" s="19"/>
      <c r="AK641" s="19"/>
      <c r="AL641" s="19"/>
      <c r="AM641" s="19"/>
      <c r="AN641" s="19"/>
      <c r="AO641" s="19"/>
      <c r="AP641" s="19"/>
      <c r="AQ641" s="19"/>
      <c r="AR641" s="19"/>
      <c r="AS641" s="19"/>
      <c r="AT641" s="19"/>
      <c r="AU641" s="19"/>
      <c r="AV641" s="19"/>
      <c r="AW641" s="19"/>
      <c r="AX641" s="19"/>
      <c r="AY641" s="19"/>
      <c r="AZ641" s="19"/>
      <c r="BA641" s="19"/>
      <c r="BB641" s="19"/>
      <c r="BC641" s="19"/>
      <c r="BD641" s="19"/>
      <c r="BE641" s="19"/>
      <c r="BF641" s="19"/>
      <c r="BG641" s="19"/>
      <c r="BH641" s="19"/>
      <c r="BI641" s="19"/>
      <c r="BJ641" s="19"/>
      <c r="BK641" s="19"/>
      <c r="BL641" s="20"/>
      <c r="BM641" s="19"/>
      <c r="BN641" s="19"/>
      <c r="BO641" s="19"/>
      <c r="BP641" s="19"/>
      <c r="BQ641" s="19"/>
    </row>
    <row r="642" spans="1:69" ht="12" customHeight="1">
      <c r="A642" s="1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19"/>
      <c r="AG642" s="20"/>
      <c r="AH642" s="19"/>
      <c r="AI642" s="19"/>
      <c r="AJ642" s="19"/>
      <c r="AK642" s="19"/>
      <c r="AL642" s="19"/>
      <c r="AM642" s="19"/>
      <c r="AN642" s="19"/>
      <c r="AO642" s="19"/>
      <c r="AP642" s="19"/>
      <c r="AQ642" s="19"/>
      <c r="AR642" s="19"/>
      <c r="AS642" s="19"/>
      <c r="AT642" s="19"/>
      <c r="AU642" s="19"/>
      <c r="AV642" s="19"/>
      <c r="AW642" s="19"/>
      <c r="AX642" s="19"/>
      <c r="AY642" s="19"/>
      <c r="AZ642" s="19"/>
      <c r="BA642" s="19"/>
      <c r="BB642" s="19"/>
      <c r="BC642" s="19"/>
      <c r="BD642" s="19"/>
      <c r="BE642" s="19"/>
      <c r="BF642" s="19"/>
      <c r="BG642" s="19"/>
      <c r="BH642" s="19"/>
      <c r="BI642" s="19"/>
      <c r="BJ642" s="19"/>
      <c r="BK642" s="19"/>
      <c r="BL642" s="20"/>
      <c r="BM642" s="19"/>
      <c r="BN642" s="19"/>
      <c r="BO642" s="19"/>
      <c r="BP642" s="19"/>
      <c r="BQ642" s="19"/>
    </row>
    <row r="643" spans="1:69" ht="12" customHeight="1">
      <c r="A643" s="1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20"/>
      <c r="AH643" s="19"/>
      <c r="AI643" s="19"/>
      <c r="AJ643" s="19"/>
      <c r="AK643" s="19"/>
      <c r="AL643" s="19"/>
      <c r="AM643" s="19"/>
      <c r="AN643" s="19"/>
      <c r="AO643" s="19"/>
      <c r="AP643" s="19"/>
      <c r="AQ643" s="19"/>
      <c r="AR643" s="19"/>
      <c r="AS643" s="19"/>
      <c r="AT643" s="19"/>
      <c r="AU643" s="19"/>
      <c r="AV643" s="19"/>
      <c r="AW643" s="19"/>
      <c r="AX643" s="19"/>
      <c r="AY643" s="19"/>
      <c r="AZ643" s="19"/>
      <c r="BA643" s="19"/>
      <c r="BB643" s="19"/>
      <c r="BC643" s="19"/>
      <c r="BD643" s="19"/>
      <c r="BE643" s="19"/>
      <c r="BF643" s="19"/>
      <c r="BG643" s="19"/>
      <c r="BH643" s="19"/>
      <c r="BI643" s="19"/>
      <c r="BJ643" s="19"/>
      <c r="BK643" s="19"/>
      <c r="BL643" s="20"/>
      <c r="BM643" s="19"/>
      <c r="BN643" s="19"/>
      <c r="BO643" s="19"/>
      <c r="BP643" s="19"/>
      <c r="BQ643" s="19"/>
    </row>
    <row r="644" spans="1:69" ht="12" customHeight="1">
      <c r="A644" s="1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20"/>
      <c r="AH644" s="19"/>
      <c r="AI644" s="19"/>
      <c r="AJ644" s="19"/>
      <c r="AK644" s="19"/>
      <c r="AL644" s="19"/>
      <c r="AM644" s="19"/>
      <c r="AN644" s="19"/>
      <c r="AO644" s="19"/>
      <c r="AP644" s="19"/>
      <c r="AQ644" s="19"/>
      <c r="AR644" s="19"/>
      <c r="AS644" s="19"/>
      <c r="AT644" s="19"/>
      <c r="AU644" s="19"/>
      <c r="AV644" s="19"/>
      <c r="AW644" s="19"/>
      <c r="AX644" s="19"/>
      <c r="AY644" s="19"/>
      <c r="AZ644" s="19"/>
      <c r="BA644" s="19"/>
      <c r="BB644" s="19"/>
      <c r="BC644" s="19"/>
      <c r="BD644" s="19"/>
      <c r="BE644" s="19"/>
      <c r="BF644" s="19"/>
      <c r="BG644" s="19"/>
      <c r="BH644" s="19"/>
      <c r="BI644" s="19"/>
      <c r="BJ644" s="19"/>
      <c r="BK644" s="19"/>
      <c r="BL644" s="20"/>
      <c r="BM644" s="19"/>
      <c r="BN644" s="19"/>
      <c r="BO644" s="19"/>
      <c r="BP644" s="19"/>
      <c r="BQ644" s="19"/>
    </row>
    <row r="645" spans="1:69" ht="12" customHeight="1">
      <c r="A645" s="1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20"/>
      <c r="AH645" s="19"/>
      <c r="AI645" s="19"/>
      <c r="AJ645" s="19"/>
      <c r="AK645" s="19"/>
      <c r="AL645" s="19"/>
      <c r="AM645" s="19"/>
      <c r="AN645" s="19"/>
      <c r="AO645" s="19"/>
      <c r="AP645" s="19"/>
      <c r="AQ645" s="19"/>
      <c r="AR645" s="19"/>
      <c r="AS645" s="19"/>
      <c r="AT645" s="19"/>
      <c r="AU645" s="19"/>
      <c r="AV645" s="19"/>
      <c r="AW645" s="19"/>
      <c r="AX645" s="19"/>
      <c r="AY645" s="19"/>
      <c r="AZ645" s="19"/>
      <c r="BA645" s="19"/>
      <c r="BB645" s="19"/>
      <c r="BC645" s="19"/>
      <c r="BD645" s="19"/>
      <c r="BE645" s="19"/>
      <c r="BF645" s="19"/>
      <c r="BG645" s="19"/>
      <c r="BH645" s="19"/>
      <c r="BI645" s="19"/>
      <c r="BJ645" s="19"/>
      <c r="BK645" s="19"/>
      <c r="BL645" s="20"/>
      <c r="BM645" s="19"/>
      <c r="BN645" s="19"/>
      <c r="BO645" s="19"/>
      <c r="BP645" s="19"/>
      <c r="BQ645" s="19"/>
    </row>
    <row r="646" spans="1:69" ht="12" customHeight="1">
      <c r="A646" s="1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20"/>
      <c r="AH646" s="19"/>
      <c r="AI646" s="19"/>
      <c r="AJ646" s="19"/>
      <c r="AK646" s="19"/>
      <c r="AL646" s="19"/>
      <c r="AM646" s="19"/>
      <c r="AN646" s="19"/>
      <c r="AO646" s="19"/>
      <c r="AP646" s="19"/>
      <c r="AQ646" s="19"/>
      <c r="AR646" s="19"/>
      <c r="AS646" s="19"/>
      <c r="AT646" s="19"/>
      <c r="AU646" s="19"/>
      <c r="AV646" s="19"/>
      <c r="AW646" s="19"/>
      <c r="AX646" s="19"/>
      <c r="AY646" s="19"/>
      <c r="AZ646" s="19"/>
      <c r="BA646" s="19"/>
      <c r="BB646" s="19"/>
      <c r="BC646" s="19"/>
      <c r="BD646" s="19"/>
      <c r="BE646" s="19"/>
      <c r="BF646" s="19"/>
      <c r="BG646" s="19"/>
      <c r="BH646" s="19"/>
      <c r="BI646" s="19"/>
      <c r="BJ646" s="19"/>
      <c r="BK646" s="19"/>
      <c r="BL646" s="20"/>
      <c r="BM646" s="19"/>
      <c r="BN646" s="19"/>
      <c r="BO646" s="19"/>
      <c r="BP646" s="19"/>
      <c r="BQ646" s="19"/>
    </row>
    <row r="647" spans="1:69" ht="12" customHeight="1">
      <c r="A647" s="1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19"/>
      <c r="AG647" s="20"/>
      <c r="AH647" s="19"/>
      <c r="AI647" s="19"/>
      <c r="AJ647" s="19"/>
      <c r="AK647" s="19"/>
      <c r="AL647" s="19"/>
      <c r="AM647" s="19"/>
      <c r="AN647" s="19"/>
      <c r="AO647" s="19"/>
      <c r="AP647" s="19"/>
      <c r="AQ647" s="19"/>
      <c r="AR647" s="19"/>
      <c r="AS647" s="19"/>
      <c r="AT647" s="19"/>
      <c r="AU647" s="19"/>
      <c r="AV647" s="19"/>
      <c r="AW647" s="19"/>
      <c r="AX647" s="19"/>
      <c r="AY647" s="19"/>
      <c r="AZ647" s="19"/>
      <c r="BA647" s="19"/>
      <c r="BB647" s="19"/>
      <c r="BC647" s="19"/>
      <c r="BD647" s="19"/>
      <c r="BE647" s="19"/>
      <c r="BF647" s="19"/>
      <c r="BG647" s="19"/>
      <c r="BH647" s="19"/>
      <c r="BI647" s="19"/>
      <c r="BJ647" s="19"/>
      <c r="BK647" s="19"/>
      <c r="BL647" s="20"/>
      <c r="BM647" s="19"/>
      <c r="BN647" s="19"/>
      <c r="BO647" s="19"/>
      <c r="BP647" s="19"/>
      <c r="BQ647" s="19"/>
    </row>
    <row r="648" spans="1:69" ht="12" customHeight="1">
      <c r="A648" s="1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19"/>
      <c r="AG648" s="20"/>
      <c r="AH648" s="19"/>
      <c r="AI648" s="19"/>
      <c r="AJ648" s="19"/>
      <c r="AK648" s="19"/>
      <c r="AL648" s="19"/>
      <c r="AM648" s="19"/>
      <c r="AN648" s="19"/>
      <c r="AO648" s="19"/>
      <c r="AP648" s="19"/>
      <c r="AQ648" s="19"/>
      <c r="AR648" s="19"/>
      <c r="AS648" s="19"/>
      <c r="AT648" s="19"/>
      <c r="AU648" s="19"/>
      <c r="AV648" s="19"/>
      <c r="AW648" s="19"/>
      <c r="AX648" s="19"/>
      <c r="AY648" s="19"/>
      <c r="AZ648" s="19"/>
      <c r="BA648" s="19"/>
      <c r="BB648" s="19"/>
      <c r="BC648" s="19"/>
      <c r="BD648" s="19"/>
      <c r="BE648" s="19"/>
      <c r="BF648" s="19"/>
      <c r="BG648" s="19"/>
      <c r="BH648" s="19"/>
      <c r="BI648" s="19"/>
      <c r="BJ648" s="19"/>
      <c r="BK648" s="19"/>
      <c r="BL648" s="20"/>
      <c r="BM648" s="19"/>
      <c r="BN648" s="19"/>
      <c r="BO648" s="19"/>
      <c r="BP648" s="19"/>
      <c r="BQ648" s="19"/>
    </row>
    <row r="649" spans="1:69" ht="12" customHeight="1">
      <c r="A649" s="1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19"/>
      <c r="AG649" s="20"/>
      <c r="AH649" s="19"/>
      <c r="AI649" s="19"/>
      <c r="AJ649" s="19"/>
      <c r="AK649" s="19"/>
      <c r="AL649" s="19"/>
      <c r="AM649" s="19"/>
      <c r="AN649" s="19"/>
      <c r="AO649" s="19"/>
      <c r="AP649" s="19"/>
      <c r="AQ649" s="19"/>
      <c r="AR649" s="19"/>
      <c r="AS649" s="19"/>
      <c r="AT649" s="19"/>
      <c r="AU649" s="19"/>
      <c r="AV649" s="19"/>
      <c r="AW649" s="19"/>
      <c r="AX649" s="19"/>
      <c r="AY649" s="19"/>
      <c r="AZ649" s="19"/>
      <c r="BA649" s="19"/>
      <c r="BB649" s="19"/>
      <c r="BC649" s="19"/>
      <c r="BD649" s="19"/>
      <c r="BE649" s="19"/>
      <c r="BF649" s="19"/>
      <c r="BG649" s="19"/>
      <c r="BH649" s="19"/>
      <c r="BI649" s="19"/>
      <c r="BJ649" s="19"/>
      <c r="BK649" s="19"/>
      <c r="BL649" s="20"/>
      <c r="BM649" s="19"/>
      <c r="BN649" s="19"/>
      <c r="BO649" s="19"/>
      <c r="BP649" s="19"/>
      <c r="BQ649" s="19"/>
    </row>
    <row r="650" spans="1:69" ht="12" customHeight="1">
      <c r="A650" s="1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19"/>
      <c r="AG650" s="20"/>
      <c r="AH650" s="19"/>
      <c r="AI650" s="19"/>
      <c r="AJ650" s="19"/>
      <c r="AK650" s="19"/>
      <c r="AL650" s="19"/>
      <c r="AM650" s="19"/>
      <c r="AN650" s="19"/>
      <c r="AO650" s="19"/>
      <c r="AP650" s="19"/>
      <c r="AQ650" s="19"/>
      <c r="AR650" s="19"/>
      <c r="AS650" s="19"/>
      <c r="AT650" s="19"/>
      <c r="AU650" s="19"/>
      <c r="AV650" s="19"/>
      <c r="AW650" s="19"/>
      <c r="AX650" s="19"/>
      <c r="AY650" s="19"/>
      <c r="AZ650" s="19"/>
      <c r="BA650" s="19"/>
      <c r="BB650" s="19"/>
      <c r="BC650" s="19"/>
      <c r="BD650" s="19"/>
      <c r="BE650" s="19"/>
      <c r="BF650" s="19"/>
      <c r="BG650" s="19"/>
      <c r="BH650" s="19"/>
      <c r="BI650" s="19"/>
      <c r="BJ650" s="19"/>
      <c r="BK650" s="19"/>
      <c r="BL650" s="20"/>
      <c r="BM650" s="19"/>
      <c r="BN650" s="19"/>
      <c r="BO650" s="19"/>
      <c r="BP650" s="19"/>
      <c r="BQ650" s="19"/>
    </row>
    <row r="651" spans="1:69" ht="12" customHeight="1">
      <c r="A651" s="1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19"/>
      <c r="AG651" s="20"/>
      <c r="AH651" s="19"/>
      <c r="AI651" s="19"/>
      <c r="AJ651" s="19"/>
      <c r="AK651" s="19"/>
      <c r="AL651" s="19"/>
      <c r="AM651" s="19"/>
      <c r="AN651" s="19"/>
      <c r="AO651" s="19"/>
      <c r="AP651" s="19"/>
      <c r="AQ651" s="19"/>
      <c r="AR651" s="19"/>
      <c r="AS651" s="19"/>
      <c r="AT651" s="19"/>
      <c r="AU651" s="19"/>
      <c r="AV651" s="19"/>
      <c r="AW651" s="19"/>
      <c r="AX651" s="19"/>
      <c r="AY651" s="19"/>
      <c r="AZ651" s="19"/>
      <c r="BA651" s="19"/>
      <c r="BB651" s="19"/>
      <c r="BC651" s="19"/>
      <c r="BD651" s="19"/>
      <c r="BE651" s="19"/>
      <c r="BF651" s="19"/>
      <c r="BG651" s="19"/>
      <c r="BH651" s="19"/>
      <c r="BI651" s="19"/>
      <c r="BJ651" s="19"/>
      <c r="BK651" s="19"/>
      <c r="BL651" s="20"/>
      <c r="BM651" s="19"/>
      <c r="BN651" s="19"/>
      <c r="BO651" s="19"/>
      <c r="BP651" s="19"/>
      <c r="BQ651" s="19"/>
    </row>
    <row r="652" spans="1:69" ht="12" customHeight="1">
      <c r="A652" s="1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19"/>
      <c r="AG652" s="20"/>
      <c r="AH652" s="19"/>
      <c r="AI652" s="19"/>
      <c r="AJ652" s="19"/>
      <c r="AK652" s="19"/>
      <c r="AL652" s="19"/>
      <c r="AM652" s="19"/>
      <c r="AN652" s="19"/>
      <c r="AO652" s="19"/>
      <c r="AP652" s="19"/>
      <c r="AQ652" s="19"/>
      <c r="AR652" s="19"/>
      <c r="AS652" s="19"/>
      <c r="AT652" s="19"/>
      <c r="AU652" s="19"/>
      <c r="AV652" s="19"/>
      <c r="AW652" s="19"/>
      <c r="AX652" s="19"/>
      <c r="AY652" s="19"/>
      <c r="AZ652" s="19"/>
      <c r="BA652" s="19"/>
      <c r="BB652" s="19"/>
      <c r="BC652" s="19"/>
      <c r="BD652" s="19"/>
      <c r="BE652" s="19"/>
      <c r="BF652" s="19"/>
      <c r="BG652" s="19"/>
      <c r="BH652" s="19"/>
      <c r="BI652" s="19"/>
      <c r="BJ652" s="19"/>
      <c r="BK652" s="19"/>
      <c r="BL652" s="20"/>
      <c r="BM652" s="19"/>
      <c r="BN652" s="19"/>
      <c r="BO652" s="19"/>
      <c r="BP652" s="19"/>
      <c r="BQ652" s="19"/>
    </row>
    <row r="653" spans="1:69" ht="12" customHeight="1">
      <c r="A653" s="1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20"/>
      <c r="AH653" s="19"/>
      <c r="AI653" s="19"/>
      <c r="AJ653" s="19"/>
      <c r="AK653" s="19"/>
      <c r="AL653" s="19"/>
      <c r="AM653" s="19"/>
      <c r="AN653" s="19"/>
      <c r="AO653" s="19"/>
      <c r="AP653" s="19"/>
      <c r="AQ653" s="19"/>
      <c r="AR653" s="19"/>
      <c r="AS653" s="19"/>
      <c r="AT653" s="19"/>
      <c r="AU653" s="19"/>
      <c r="AV653" s="19"/>
      <c r="AW653" s="19"/>
      <c r="AX653" s="19"/>
      <c r="AY653" s="19"/>
      <c r="AZ653" s="19"/>
      <c r="BA653" s="19"/>
      <c r="BB653" s="19"/>
      <c r="BC653" s="19"/>
      <c r="BD653" s="19"/>
      <c r="BE653" s="19"/>
      <c r="BF653" s="19"/>
      <c r="BG653" s="19"/>
      <c r="BH653" s="19"/>
      <c r="BI653" s="19"/>
      <c r="BJ653" s="19"/>
      <c r="BK653" s="19"/>
      <c r="BL653" s="20"/>
      <c r="BM653" s="19"/>
      <c r="BN653" s="19"/>
      <c r="BO653" s="19"/>
      <c r="BP653" s="19"/>
      <c r="BQ653" s="19"/>
    </row>
    <row r="654" spans="1:69" ht="12" customHeight="1">
      <c r="A654" s="1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20"/>
      <c r="AH654" s="19"/>
      <c r="AI654" s="19"/>
      <c r="AJ654" s="19"/>
      <c r="AK654" s="19"/>
      <c r="AL654" s="19"/>
      <c r="AM654" s="19"/>
      <c r="AN654" s="19"/>
      <c r="AO654" s="19"/>
      <c r="AP654" s="19"/>
      <c r="AQ654" s="19"/>
      <c r="AR654" s="19"/>
      <c r="AS654" s="19"/>
      <c r="AT654" s="19"/>
      <c r="AU654" s="19"/>
      <c r="AV654" s="19"/>
      <c r="AW654" s="19"/>
      <c r="AX654" s="19"/>
      <c r="AY654" s="19"/>
      <c r="AZ654" s="19"/>
      <c r="BA654" s="19"/>
      <c r="BB654" s="19"/>
      <c r="BC654" s="19"/>
      <c r="BD654" s="19"/>
      <c r="BE654" s="19"/>
      <c r="BF654" s="19"/>
      <c r="BG654" s="19"/>
      <c r="BH654" s="19"/>
      <c r="BI654" s="19"/>
      <c r="BJ654" s="19"/>
      <c r="BK654" s="19"/>
      <c r="BL654" s="20"/>
      <c r="BM654" s="19"/>
      <c r="BN654" s="19"/>
      <c r="BO654" s="19"/>
      <c r="BP654" s="19"/>
      <c r="BQ654" s="19"/>
    </row>
    <row r="655" spans="1:69" ht="12" customHeight="1">
      <c r="A655" s="1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20"/>
      <c r="AH655" s="19"/>
      <c r="AI655" s="19"/>
      <c r="AJ655" s="19"/>
      <c r="AK655" s="19"/>
      <c r="AL655" s="19"/>
      <c r="AM655" s="19"/>
      <c r="AN655" s="19"/>
      <c r="AO655" s="19"/>
      <c r="AP655" s="19"/>
      <c r="AQ655" s="19"/>
      <c r="AR655" s="19"/>
      <c r="AS655" s="19"/>
      <c r="AT655" s="19"/>
      <c r="AU655" s="19"/>
      <c r="AV655" s="19"/>
      <c r="AW655" s="19"/>
      <c r="AX655" s="19"/>
      <c r="AY655" s="19"/>
      <c r="AZ655" s="19"/>
      <c r="BA655" s="19"/>
      <c r="BB655" s="19"/>
      <c r="BC655" s="19"/>
      <c r="BD655" s="19"/>
      <c r="BE655" s="19"/>
      <c r="BF655" s="19"/>
      <c r="BG655" s="19"/>
      <c r="BH655" s="19"/>
      <c r="BI655" s="19"/>
      <c r="BJ655" s="19"/>
      <c r="BK655" s="19"/>
      <c r="BL655" s="20"/>
      <c r="BM655" s="19"/>
      <c r="BN655" s="19"/>
      <c r="BO655" s="19"/>
      <c r="BP655" s="19"/>
      <c r="BQ655" s="19"/>
    </row>
    <row r="656" spans="1:69" ht="12" customHeight="1">
      <c r="A656" s="1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20"/>
      <c r="AH656" s="19"/>
      <c r="AI656" s="19"/>
      <c r="AJ656" s="19"/>
      <c r="AK656" s="19"/>
      <c r="AL656" s="19"/>
      <c r="AM656" s="19"/>
      <c r="AN656" s="19"/>
      <c r="AO656" s="19"/>
      <c r="AP656" s="19"/>
      <c r="AQ656" s="19"/>
      <c r="AR656" s="19"/>
      <c r="AS656" s="19"/>
      <c r="AT656" s="19"/>
      <c r="AU656" s="19"/>
      <c r="AV656" s="19"/>
      <c r="AW656" s="19"/>
      <c r="AX656" s="19"/>
      <c r="AY656" s="19"/>
      <c r="AZ656" s="19"/>
      <c r="BA656" s="19"/>
      <c r="BB656" s="19"/>
      <c r="BC656" s="19"/>
      <c r="BD656" s="19"/>
      <c r="BE656" s="19"/>
      <c r="BF656" s="19"/>
      <c r="BG656" s="19"/>
      <c r="BH656" s="19"/>
      <c r="BI656" s="19"/>
      <c r="BJ656" s="19"/>
      <c r="BK656" s="19"/>
      <c r="BL656" s="20"/>
      <c r="BM656" s="19"/>
      <c r="BN656" s="19"/>
      <c r="BO656" s="19"/>
      <c r="BP656" s="19"/>
      <c r="BQ656" s="19"/>
    </row>
    <row r="657" spans="1:69" ht="12" customHeight="1">
      <c r="A657" s="1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20"/>
      <c r="AH657" s="19"/>
      <c r="AI657" s="19"/>
      <c r="AJ657" s="19"/>
      <c r="AK657" s="19"/>
      <c r="AL657" s="19"/>
      <c r="AM657" s="19"/>
      <c r="AN657" s="19"/>
      <c r="AO657" s="19"/>
      <c r="AP657" s="19"/>
      <c r="AQ657" s="19"/>
      <c r="AR657" s="19"/>
      <c r="AS657" s="19"/>
      <c r="AT657" s="19"/>
      <c r="AU657" s="19"/>
      <c r="AV657" s="19"/>
      <c r="AW657" s="19"/>
      <c r="AX657" s="19"/>
      <c r="AY657" s="19"/>
      <c r="AZ657" s="19"/>
      <c r="BA657" s="19"/>
      <c r="BB657" s="19"/>
      <c r="BC657" s="19"/>
      <c r="BD657" s="19"/>
      <c r="BE657" s="19"/>
      <c r="BF657" s="19"/>
      <c r="BG657" s="19"/>
      <c r="BH657" s="19"/>
      <c r="BI657" s="19"/>
      <c r="BJ657" s="19"/>
      <c r="BK657" s="19"/>
      <c r="BL657" s="20"/>
      <c r="BM657" s="19"/>
      <c r="BN657" s="19"/>
      <c r="BO657" s="19"/>
      <c r="BP657" s="19"/>
      <c r="BQ657" s="19"/>
    </row>
    <row r="658" spans="1:69" ht="12" customHeight="1">
      <c r="A658" s="1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20"/>
      <c r="AH658" s="19"/>
      <c r="AI658" s="19"/>
      <c r="AJ658" s="19"/>
      <c r="AK658" s="19"/>
      <c r="AL658" s="19"/>
      <c r="AM658" s="19"/>
      <c r="AN658" s="19"/>
      <c r="AO658" s="19"/>
      <c r="AP658" s="19"/>
      <c r="AQ658" s="19"/>
      <c r="AR658" s="19"/>
      <c r="AS658" s="19"/>
      <c r="AT658" s="19"/>
      <c r="AU658" s="19"/>
      <c r="AV658" s="19"/>
      <c r="AW658" s="19"/>
      <c r="AX658" s="19"/>
      <c r="AY658" s="19"/>
      <c r="AZ658" s="19"/>
      <c r="BA658" s="19"/>
      <c r="BB658" s="19"/>
      <c r="BC658" s="19"/>
      <c r="BD658" s="19"/>
      <c r="BE658" s="19"/>
      <c r="BF658" s="19"/>
      <c r="BG658" s="19"/>
      <c r="BH658" s="19"/>
      <c r="BI658" s="19"/>
      <c r="BJ658" s="19"/>
      <c r="BK658" s="19"/>
      <c r="BL658" s="20"/>
      <c r="BM658" s="19"/>
      <c r="BN658" s="19"/>
      <c r="BO658" s="19"/>
      <c r="BP658" s="19"/>
      <c r="BQ658" s="19"/>
    </row>
    <row r="659" spans="1:69" ht="12" customHeight="1">
      <c r="A659" s="1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20"/>
      <c r="AH659" s="19"/>
      <c r="AI659" s="19"/>
      <c r="AJ659" s="19"/>
      <c r="AK659" s="19"/>
      <c r="AL659" s="19"/>
      <c r="AM659" s="19"/>
      <c r="AN659" s="19"/>
      <c r="AO659" s="19"/>
      <c r="AP659" s="19"/>
      <c r="AQ659" s="19"/>
      <c r="AR659" s="19"/>
      <c r="AS659" s="19"/>
      <c r="AT659" s="19"/>
      <c r="AU659" s="19"/>
      <c r="AV659" s="19"/>
      <c r="AW659" s="19"/>
      <c r="AX659" s="19"/>
      <c r="AY659" s="19"/>
      <c r="AZ659" s="19"/>
      <c r="BA659" s="19"/>
      <c r="BB659" s="19"/>
      <c r="BC659" s="19"/>
      <c r="BD659" s="19"/>
      <c r="BE659" s="19"/>
      <c r="BF659" s="19"/>
      <c r="BG659" s="19"/>
      <c r="BH659" s="19"/>
      <c r="BI659" s="19"/>
      <c r="BJ659" s="19"/>
      <c r="BK659" s="19"/>
      <c r="BL659" s="20"/>
      <c r="BM659" s="19"/>
      <c r="BN659" s="19"/>
      <c r="BO659" s="19"/>
      <c r="BP659" s="19"/>
      <c r="BQ659" s="19"/>
    </row>
    <row r="660" spans="1:69" ht="12" customHeight="1">
      <c r="A660" s="1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20"/>
      <c r="AH660" s="19"/>
      <c r="AI660" s="19"/>
      <c r="AJ660" s="19"/>
      <c r="AK660" s="19"/>
      <c r="AL660" s="19"/>
      <c r="AM660" s="19"/>
      <c r="AN660" s="19"/>
      <c r="AO660" s="19"/>
      <c r="AP660" s="19"/>
      <c r="AQ660" s="19"/>
      <c r="AR660" s="19"/>
      <c r="AS660" s="19"/>
      <c r="AT660" s="19"/>
      <c r="AU660" s="19"/>
      <c r="AV660" s="19"/>
      <c r="AW660" s="19"/>
      <c r="AX660" s="19"/>
      <c r="AY660" s="19"/>
      <c r="AZ660" s="19"/>
      <c r="BA660" s="19"/>
      <c r="BB660" s="19"/>
      <c r="BC660" s="19"/>
      <c r="BD660" s="19"/>
      <c r="BE660" s="19"/>
      <c r="BF660" s="19"/>
      <c r="BG660" s="19"/>
      <c r="BH660" s="19"/>
      <c r="BI660" s="19"/>
      <c r="BJ660" s="19"/>
      <c r="BK660" s="19"/>
      <c r="BL660" s="20"/>
      <c r="BM660" s="19"/>
      <c r="BN660" s="19"/>
      <c r="BO660" s="19"/>
      <c r="BP660" s="19"/>
      <c r="BQ660" s="19"/>
    </row>
    <row r="661" spans="1:69" ht="12" customHeight="1">
      <c r="A661" s="1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19"/>
      <c r="AG661" s="20"/>
      <c r="AH661" s="19"/>
      <c r="AI661" s="19"/>
      <c r="AJ661" s="19"/>
      <c r="AK661" s="19"/>
      <c r="AL661" s="19"/>
      <c r="AM661" s="19"/>
      <c r="AN661" s="19"/>
      <c r="AO661" s="19"/>
      <c r="AP661" s="19"/>
      <c r="AQ661" s="19"/>
      <c r="AR661" s="19"/>
      <c r="AS661" s="19"/>
      <c r="AT661" s="19"/>
      <c r="AU661" s="19"/>
      <c r="AV661" s="19"/>
      <c r="AW661" s="19"/>
      <c r="AX661" s="19"/>
      <c r="AY661" s="19"/>
      <c r="AZ661" s="19"/>
      <c r="BA661" s="19"/>
      <c r="BB661" s="19"/>
      <c r="BC661" s="19"/>
      <c r="BD661" s="19"/>
      <c r="BE661" s="19"/>
      <c r="BF661" s="19"/>
      <c r="BG661" s="19"/>
      <c r="BH661" s="19"/>
      <c r="BI661" s="19"/>
      <c r="BJ661" s="19"/>
      <c r="BK661" s="19"/>
      <c r="BL661" s="20"/>
      <c r="BM661" s="19"/>
      <c r="BN661" s="19"/>
      <c r="BO661" s="19"/>
      <c r="BP661" s="19"/>
      <c r="BQ661" s="19"/>
    </row>
    <row r="662" spans="1:69" ht="12" customHeight="1">
      <c r="A662" s="1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20"/>
      <c r="AH662" s="19"/>
      <c r="AI662" s="19"/>
      <c r="AJ662" s="19"/>
      <c r="AK662" s="19"/>
      <c r="AL662" s="19"/>
      <c r="AM662" s="19"/>
      <c r="AN662" s="19"/>
      <c r="AO662" s="19"/>
      <c r="AP662" s="19"/>
      <c r="AQ662" s="19"/>
      <c r="AR662" s="19"/>
      <c r="AS662" s="19"/>
      <c r="AT662" s="19"/>
      <c r="AU662" s="19"/>
      <c r="AV662" s="19"/>
      <c r="AW662" s="19"/>
      <c r="AX662" s="19"/>
      <c r="AY662" s="19"/>
      <c r="AZ662" s="19"/>
      <c r="BA662" s="19"/>
      <c r="BB662" s="19"/>
      <c r="BC662" s="19"/>
      <c r="BD662" s="19"/>
      <c r="BE662" s="19"/>
      <c r="BF662" s="19"/>
      <c r="BG662" s="19"/>
      <c r="BH662" s="19"/>
      <c r="BI662" s="19"/>
      <c r="BJ662" s="19"/>
      <c r="BK662" s="19"/>
      <c r="BL662" s="20"/>
      <c r="BM662" s="19"/>
      <c r="BN662" s="19"/>
      <c r="BO662" s="19"/>
      <c r="BP662" s="19"/>
      <c r="BQ662" s="19"/>
    </row>
    <row r="663" spans="1:69" ht="12" customHeight="1">
      <c r="A663" s="1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20"/>
      <c r="AH663" s="19"/>
      <c r="AI663" s="19"/>
      <c r="AJ663" s="19"/>
      <c r="AK663" s="19"/>
      <c r="AL663" s="19"/>
      <c r="AM663" s="19"/>
      <c r="AN663" s="19"/>
      <c r="AO663" s="19"/>
      <c r="AP663" s="19"/>
      <c r="AQ663" s="19"/>
      <c r="AR663" s="19"/>
      <c r="AS663" s="19"/>
      <c r="AT663" s="19"/>
      <c r="AU663" s="19"/>
      <c r="AV663" s="19"/>
      <c r="AW663" s="19"/>
      <c r="AX663" s="19"/>
      <c r="AY663" s="19"/>
      <c r="AZ663" s="19"/>
      <c r="BA663" s="19"/>
      <c r="BB663" s="19"/>
      <c r="BC663" s="19"/>
      <c r="BD663" s="19"/>
      <c r="BE663" s="19"/>
      <c r="BF663" s="19"/>
      <c r="BG663" s="19"/>
      <c r="BH663" s="19"/>
      <c r="BI663" s="19"/>
      <c r="BJ663" s="19"/>
      <c r="BK663" s="19"/>
      <c r="BL663" s="20"/>
      <c r="BM663" s="19"/>
      <c r="BN663" s="19"/>
      <c r="BO663" s="19"/>
      <c r="BP663" s="19"/>
      <c r="BQ663" s="19"/>
    </row>
    <row r="664" spans="1:69" ht="12" customHeight="1">
      <c r="A664" s="1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20"/>
      <c r="AH664" s="19"/>
      <c r="AI664" s="19"/>
      <c r="AJ664" s="19"/>
      <c r="AK664" s="19"/>
      <c r="AL664" s="19"/>
      <c r="AM664" s="19"/>
      <c r="AN664" s="19"/>
      <c r="AO664" s="19"/>
      <c r="AP664" s="19"/>
      <c r="AQ664" s="19"/>
      <c r="AR664" s="19"/>
      <c r="AS664" s="19"/>
      <c r="AT664" s="19"/>
      <c r="AU664" s="19"/>
      <c r="AV664" s="19"/>
      <c r="AW664" s="19"/>
      <c r="AX664" s="19"/>
      <c r="AY664" s="19"/>
      <c r="AZ664" s="19"/>
      <c r="BA664" s="19"/>
      <c r="BB664" s="19"/>
      <c r="BC664" s="19"/>
      <c r="BD664" s="19"/>
      <c r="BE664" s="19"/>
      <c r="BF664" s="19"/>
      <c r="BG664" s="19"/>
      <c r="BH664" s="19"/>
      <c r="BI664" s="19"/>
      <c r="BJ664" s="19"/>
      <c r="BK664" s="19"/>
      <c r="BL664" s="20"/>
      <c r="BM664" s="19"/>
      <c r="BN664" s="19"/>
      <c r="BO664" s="19"/>
      <c r="BP664" s="19"/>
      <c r="BQ664" s="19"/>
    </row>
    <row r="665" spans="1:69" ht="12" customHeight="1">
      <c r="A665" s="1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20"/>
      <c r="AH665" s="19"/>
      <c r="AI665" s="19"/>
      <c r="AJ665" s="19"/>
      <c r="AK665" s="19"/>
      <c r="AL665" s="19"/>
      <c r="AM665" s="19"/>
      <c r="AN665" s="19"/>
      <c r="AO665" s="19"/>
      <c r="AP665" s="19"/>
      <c r="AQ665" s="19"/>
      <c r="AR665" s="19"/>
      <c r="AS665" s="19"/>
      <c r="AT665" s="19"/>
      <c r="AU665" s="19"/>
      <c r="AV665" s="19"/>
      <c r="AW665" s="19"/>
      <c r="AX665" s="19"/>
      <c r="AY665" s="19"/>
      <c r="AZ665" s="19"/>
      <c r="BA665" s="19"/>
      <c r="BB665" s="19"/>
      <c r="BC665" s="19"/>
      <c r="BD665" s="19"/>
      <c r="BE665" s="19"/>
      <c r="BF665" s="19"/>
      <c r="BG665" s="19"/>
      <c r="BH665" s="19"/>
      <c r="BI665" s="19"/>
      <c r="BJ665" s="19"/>
      <c r="BK665" s="19"/>
      <c r="BL665" s="20"/>
      <c r="BM665" s="19"/>
      <c r="BN665" s="19"/>
      <c r="BO665" s="19"/>
      <c r="BP665" s="19"/>
      <c r="BQ665" s="19"/>
    </row>
    <row r="666" spans="1:69" ht="12" customHeight="1">
      <c r="A666" s="1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20"/>
      <c r="AH666" s="19"/>
      <c r="AI666" s="19"/>
      <c r="AJ666" s="19"/>
      <c r="AK666" s="19"/>
      <c r="AL666" s="19"/>
      <c r="AM666" s="19"/>
      <c r="AN666" s="19"/>
      <c r="AO666" s="19"/>
      <c r="AP666" s="19"/>
      <c r="AQ666" s="19"/>
      <c r="AR666" s="19"/>
      <c r="AS666" s="19"/>
      <c r="AT666" s="19"/>
      <c r="AU666" s="19"/>
      <c r="AV666" s="19"/>
      <c r="AW666" s="19"/>
      <c r="AX666" s="19"/>
      <c r="AY666" s="19"/>
      <c r="AZ666" s="19"/>
      <c r="BA666" s="19"/>
      <c r="BB666" s="19"/>
      <c r="BC666" s="19"/>
      <c r="BD666" s="19"/>
      <c r="BE666" s="19"/>
      <c r="BF666" s="19"/>
      <c r="BG666" s="19"/>
      <c r="BH666" s="19"/>
      <c r="BI666" s="19"/>
      <c r="BJ666" s="19"/>
      <c r="BK666" s="19"/>
      <c r="BL666" s="20"/>
      <c r="BM666" s="19"/>
      <c r="BN666" s="19"/>
      <c r="BO666" s="19"/>
      <c r="BP666" s="19"/>
      <c r="BQ666" s="19"/>
    </row>
    <row r="667" spans="1:69" ht="12" customHeight="1">
      <c r="A667" s="1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19"/>
      <c r="AG667" s="20"/>
      <c r="AH667" s="19"/>
      <c r="AI667" s="19"/>
      <c r="AJ667" s="19"/>
      <c r="AK667" s="19"/>
      <c r="AL667" s="19"/>
      <c r="AM667" s="19"/>
      <c r="AN667" s="19"/>
      <c r="AO667" s="19"/>
      <c r="AP667" s="19"/>
      <c r="AQ667" s="19"/>
      <c r="AR667" s="19"/>
      <c r="AS667" s="19"/>
      <c r="AT667" s="19"/>
      <c r="AU667" s="19"/>
      <c r="AV667" s="19"/>
      <c r="AW667" s="19"/>
      <c r="AX667" s="19"/>
      <c r="AY667" s="19"/>
      <c r="AZ667" s="19"/>
      <c r="BA667" s="19"/>
      <c r="BB667" s="19"/>
      <c r="BC667" s="19"/>
      <c r="BD667" s="19"/>
      <c r="BE667" s="19"/>
      <c r="BF667" s="19"/>
      <c r="BG667" s="19"/>
      <c r="BH667" s="19"/>
      <c r="BI667" s="19"/>
      <c r="BJ667" s="19"/>
      <c r="BK667" s="19"/>
      <c r="BL667" s="20"/>
      <c r="BM667" s="19"/>
      <c r="BN667" s="19"/>
      <c r="BO667" s="19"/>
      <c r="BP667" s="19"/>
      <c r="BQ667" s="19"/>
    </row>
    <row r="668" spans="1:69" ht="12" customHeight="1">
      <c r="A668" s="1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19"/>
      <c r="AG668" s="20"/>
      <c r="AH668" s="19"/>
      <c r="AI668" s="19"/>
      <c r="AJ668" s="19"/>
      <c r="AK668" s="19"/>
      <c r="AL668" s="19"/>
      <c r="AM668" s="19"/>
      <c r="AN668" s="19"/>
      <c r="AO668" s="19"/>
      <c r="AP668" s="19"/>
      <c r="AQ668" s="19"/>
      <c r="AR668" s="19"/>
      <c r="AS668" s="19"/>
      <c r="AT668" s="19"/>
      <c r="AU668" s="19"/>
      <c r="AV668" s="19"/>
      <c r="AW668" s="19"/>
      <c r="AX668" s="19"/>
      <c r="AY668" s="19"/>
      <c r="AZ668" s="19"/>
      <c r="BA668" s="19"/>
      <c r="BB668" s="19"/>
      <c r="BC668" s="19"/>
      <c r="BD668" s="19"/>
      <c r="BE668" s="19"/>
      <c r="BF668" s="19"/>
      <c r="BG668" s="19"/>
      <c r="BH668" s="19"/>
      <c r="BI668" s="19"/>
      <c r="BJ668" s="19"/>
      <c r="BK668" s="19"/>
      <c r="BL668" s="20"/>
      <c r="BM668" s="19"/>
      <c r="BN668" s="19"/>
      <c r="BO668" s="19"/>
      <c r="BP668" s="19"/>
      <c r="BQ668" s="19"/>
    </row>
    <row r="669" spans="1:69" ht="12" customHeight="1">
      <c r="A669" s="1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19"/>
      <c r="AG669" s="20"/>
      <c r="AH669" s="19"/>
      <c r="AI669" s="19"/>
      <c r="AJ669" s="19"/>
      <c r="AK669" s="19"/>
      <c r="AL669" s="19"/>
      <c r="AM669" s="19"/>
      <c r="AN669" s="19"/>
      <c r="AO669" s="19"/>
      <c r="AP669" s="19"/>
      <c r="AQ669" s="19"/>
      <c r="AR669" s="19"/>
      <c r="AS669" s="19"/>
      <c r="AT669" s="19"/>
      <c r="AU669" s="19"/>
      <c r="AV669" s="19"/>
      <c r="AW669" s="19"/>
      <c r="AX669" s="19"/>
      <c r="AY669" s="19"/>
      <c r="AZ669" s="19"/>
      <c r="BA669" s="19"/>
      <c r="BB669" s="19"/>
      <c r="BC669" s="19"/>
      <c r="BD669" s="19"/>
      <c r="BE669" s="19"/>
      <c r="BF669" s="19"/>
      <c r="BG669" s="19"/>
      <c r="BH669" s="19"/>
      <c r="BI669" s="19"/>
      <c r="BJ669" s="19"/>
      <c r="BK669" s="19"/>
      <c r="BL669" s="20"/>
      <c r="BM669" s="19"/>
      <c r="BN669" s="19"/>
      <c r="BO669" s="19"/>
      <c r="BP669" s="19"/>
      <c r="BQ669" s="19"/>
    </row>
    <row r="670" spans="1:69" ht="12" customHeight="1">
      <c r="A670" s="1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19"/>
      <c r="AG670" s="20"/>
      <c r="AH670" s="19"/>
      <c r="AI670" s="19"/>
      <c r="AJ670" s="19"/>
      <c r="AK670" s="19"/>
      <c r="AL670" s="19"/>
      <c r="AM670" s="19"/>
      <c r="AN670" s="19"/>
      <c r="AO670" s="19"/>
      <c r="AP670" s="19"/>
      <c r="AQ670" s="19"/>
      <c r="AR670" s="19"/>
      <c r="AS670" s="19"/>
      <c r="AT670" s="19"/>
      <c r="AU670" s="19"/>
      <c r="AV670" s="19"/>
      <c r="AW670" s="19"/>
      <c r="AX670" s="19"/>
      <c r="AY670" s="19"/>
      <c r="AZ670" s="19"/>
      <c r="BA670" s="19"/>
      <c r="BB670" s="19"/>
      <c r="BC670" s="19"/>
      <c r="BD670" s="19"/>
      <c r="BE670" s="19"/>
      <c r="BF670" s="19"/>
      <c r="BG670" s="19"/>
      <c r="BH670" s="19"/>
      <c r="BI670" s="19"/>
      <c r="BJ670" s="19"/>
      <c r="BK670" s="19"/>
      <c r="BL670" s="20"/>
      <c r="BM670" s="19"/>
      <c r="BN670" s="19"/>
      <c r="BO670" s="19"/>
      <c r="BP670" s="19"/>
      <c r="BQ670" s="19"/>
    </row>
    <row r="671" spans="1:69" ht="12" customHeight="1">
      <c r="A671" s="1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19"/>
      <c r="AG671" s="20"/>
      <c r="AH671" s="19"/>
      <c r="AI671" s="19"/>
      <c r="AJ671" s="19"/>
      <c r="AK671" s="19"/>
      <c r="AL671" s="19"/>
      <c r="AM671" s="19"/>
      <c r="AN671" s="19"/>
      <c r="AO671" s="19"/>
      <c r="AP671" s="19"/>
      <c r="AQ671" s="19"/>
      <c r="AR671" s="19"/>
      <c r="AS671" s="19"/>
      <c r="AT671" s="19"/>
      <c r="AU671" s="19"/>
      <c r="AV671" s="19"/>
      <c r="AW671" s="19"/>
      <c r="AX671" s="19"/>
      <c r="AY671" s="19"/>
      <c r="AZ671" s="19"/>
      <c r="BA671" s="19"/>
      <c r="BB671" s="19"/>
      <c r="BC671" s="19"/>
      <c r="BD671" s="19"/>
      <c r="BE671" s="19"/>
      <c r="BF671" s="19"/>
      <c r="BG671" s="19"/>
      <c r="BH671" s="19"/>
      <c r="BI671" s="19"/>
      <c r="BJ671" s="19"/>
      <c r="BK671" s="19"/>
      <c r="BL671" s="20"/>
      <c r="BM671" s="19"/>
      <c r="BN671" s="19"/>
      <c r="BO671" s="19"/>
      <c r="BP671" s="19"/>
      <c r="BQ671" s="19"/>
    </row>
    <row r="672" spans="1:69" ht="12" customHeight="1">
      <c r="A672" s="1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19"/>
      <c r="AG672" s="20"/>
      <c r="AH672" s="19"/>
      <c r="AI672" s="19"/>
      <c r="AJ672" s="19"/>
      <c r="AK672" s="19"/>
      <c r="AL672" s="19"/>
      <c r="AM672" s="19"/>
      <c r="AN672" s="19"/>
      <c r="AO672" s="19"/>
      <c r="AP672" s="19"/>
      <c r="AQ672" s="19"/>
      <c r="AR672" s="19"/>
      <c r="AS672" s="19"/>
      <c r="AT672" s="19"/>
      <c r="AU672" s="19"/>
      <c r="AV672" s="19"/>
      <c r="AW672" s="19"/>
      <c r="AX672" s="19"/>
      <c r="AY672" s="19"/>
      <c r="AZ672" s="19"/>
      <c r="BA672" s="19"/>
      <c r="BB672" s="19"/>
      <c r="BC672" s="19"/>
      <c r="BD672" s="19"/>
      <c r="BE672" s="19"/>
      <c r="BF672" s="19"/>
      <c r="BG672" s="19"/>
      <c r="BH672" s="19"/>
      <c r="BI672" s="19"/>
      <c r="BJ672" s="19"/>
      <c r="BK672" s="19"/>
      <c r="BL672" s="20"/>
      <c r="BM672" s="19"/>
      <c r="BN672" s="19"/>
      <c r="BO672" s="19"/>
      <c r="BP672" s="19"/>
      <c r="BQ672" s="19"/>
    </row>
    <row r="673" spans="1:69" ht="12" customHeight="1">
      <c r="A673" s="1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20"/>
      <c r="AH673" s="19"/>
      <c r="AI673" s="19"/>
      <c r="AJ673" s="19"/>
      <c r="AK673" s="19"/>
      <c r="AL673" s="19"/>
      <c r="AM673" s="19"/>
      <c r="AN673" s="19"/>
      <c r="AO673" s="19"/>
      <c r="AP673" s="19"/>
      <c r="AQ673" s="19"/>
      <c r="AR673" s="19"/>
      <c r="AS673" s="19"/>
      <c r="AT673" s="19"/>
      <c r="AU673" s="19"/>
      <c r="AV673" s="19"/>
      <c r="AW673" s="19"/>
      <c r="AX673" s="19"/>
      <c r="AY673" s="19"/>
      <c r="AZ673" s="19"/>
      <c r="BA673" s="19"/>
      <c r="BB673" s="19"/>
      <c r="BC673" s="19"/>
      <c r="BD673" s="19"/>
      <c r="BE673" s="19"/>
      <c r="BF673" s="19"/>
      <c r="BG673" s="19"/>
      <c r="BH673" s="19"/>
      <c r="BI673" s="19"/>
      <c r="BJ673" s="19"/>
      <c r="BK673" s="19"/>
      <c r="BL673" s="20"/>
      <c r="BM673" s="19"/>
      <c r="BN673" s="19"/>
      <c r="BO673" s="19"/>
      <c r="BP673" s="19"/>
      <c r="BQ673" s="19"/>
    </row>
    <row r="674" spans="1:69" ht="12" customHeight="1">
      <c r="A674" s="1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20"/>
      <c r="AH674" s="19"/>
      <c r="AI674" s="19"/>
      <c r="AJ674" s="19"/>
      <c r="AK674" s="19"/>
      <c r="AL674" s="19"/>
      <c r="AM674" s="19"/>
      <c r="AN674" s="19"/>
      <c r="AO674" s="19"/>
      <c r="AP674" s="19"/>
      <c r="AQ674" s="19"/>
      <c r="AR674" s="19"/>
      <c r="AS674" s="19"/>
      <c r="AT674" s="19"/>
      <c r="AU674" s="19"/>
      <c r="AV674" s="19"/>
      <c r="AW674" s="19"/>
      <c r="AX674" s="19"/>
      <c r="AY674" s="19"/>
      <c r="AZ674" s="19"/>
      <c r="BA674" s="19"/>
      <c r="BB674" s="19"/>
      <c r="BC674" s="19"/>
      <c r="BD674" s="19"/>
      <c r="BE674" s="19"/>
      <c r="BF674" s="19"/>
      <c r="BG674" s="19"/>
      <c r="BH674" s="19"/>
      <c r="BI674" s="19"/>
      <c r="BJ674" s="19"/>
      <c r="BK674" s="19"/>
      <c r="BL674" s="20"/>
      <c r="BM674" s="19"/>
      <c r="BN674" s="19"/>
      <c r="BO674" s="19"/>
      <c r="BP674" s="19"/>
      <c r="BQ674" s="19"/>
    </row>
    <row r="675" spans="1:69" ht="12" customHeight="1">
      <c r="A675" s="1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20"/>
      <c r="AH675" s="19"/>
      <c r="AI675" s="19"/>
      <c r="AJ675" s="19"/>
      <c r="AK675" s="19"/>
      <c r="AL675" s="19"/>
      <c r="AM675" s="19"/>
      <c r="AN675" s="19"/>
      <c r="AO675" s="19"/>
      <c r="AP675" s="19"/>
      <c r="AQ675" s="19"/>
      <c r="AR675" s="19"/>
      <c r="AS675" s="19"/>
      <c r="AT675" s="19"/>
      <c r="AU675" s="19"/>
      <c r="AV675" s="19"/>
      <c r="AW675" s="19"/>
      <c r="AX675" s="19"/>
      <c r="AY675" s="19"/>
      <c r="AZ675" s="19"/>
      <c r="BA675" s="19"/>
      <c r="BB675" s="19"/>
      <c r="BC675" s="19"/>
      <c r="BD675" s="19"/>
      <c r="BE675" s="19"/>
      <c r="BF675" s="19"/>
      <c r="BG675" s="19"/>
      <c r="BH675" s="19"/>
      <c r="BI675" s="19"/>
      <c r="BJ675" s="19"/>
      <c r="BK675" s="19"/>
      <c r="BL675" s="20"/>
      <c r="BM675" s="19"/>
      <c r="BN675" s="19"/>
      <c r="BO675" s="19"/>
      <c r="BP675" s="19"/>
      <c r="BQ675" s="19"/>
    </row>
    <row r="676" spans="1:69" ht="12" customHeight="1">
      <c r="A676" s="1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20"/>
      <c r="AH676" s="19"/>
      <c r="AI676" s="19"/>
      <c r="AJ676" s="19"/>
      <c r="AK676" s="19"/>
      <c r="AL676" s="19"/>
      <c r="AM676" s="19"/>
      <c r="AN676" s="19"/>
      <c r="AO676" s="19"/>
      <c r="AP676" s="19"/>
      <c r="AQ676" s="19"/>
      <c r="AR676" s="19"/>
      <c r="AS676" s="19"/>
      <c r="AT676" s="19"/>
      <c r="AU676" s="19"/>
      <c r="AV676" s="19"/>
      <c r="AW676" s="19"/>
      <c r="AX676" s="19"/>
      <c r="AY676" s="19"/>
      <c r="AZ676" s="19"/>
      <c r="BA676" s="19"/>
      <c r="BB676" s="19"/>
      <c r="BC676" s="19"/>
      <c r="BD676" s="19"/>
      <c r="BE676" s="19"/>
      <c r="BF676" s="19"/>
      <c r="BG676" s="19"/>
      <c r="BH676" s="19"/>
      <c r="BI676" s="19"/>
      <c r="BJ676" s="19"/>
      <c r="BK676" s="19"/>
      <c r="BL676" s="20"/>
      <c r="BM676" s="19"/>
      <c r="BN676" s="19"/>
      <c r="BO676" s="19"/>
      <c r="BP676" s="19"/>
      <c r="BQ676" s="19"/>
    </row>
    <row r="677" spans="1:69" ht="12" customHeight="1">
      <c r="A677" s="1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19"/>
      <c r="AG677" s="20"/>
      <c r="AH677" s="19"/>
      <c r="AI677" s="19"/>
      <c r="AJ677" s="19"/>
      <c r="AK677" s="19"/>
      <c r="AL677" s="19"/>
      <c r="AM677" s="19"/>
      <c r="AN677" s="19"/>
      <c r="AO677" s="19"/>
      <c r="AP677" s="19"/>
      <c r="AQ677" s="19"/>
      <c r="AR677" s="19"/>
      <c r="AS677" s="19"/>
      <c r="AT677" s="19"/>
      <c r="AU677" s="19"/>
      <c r="AV677" s="19"/>
      <c r="AW677" s="19"/>
      <c r="AX677" s="19"/>
      <c r="AY677" s="19"/>
      <c r="AZ677" s="19"/>
      <c r="BA677" s="19"/>
      <c r="BB677" s="19"/>
      <c r="BC677" s="19"/>
      <c r="BD677" s="19"/>
      <c r="BE677" s="19"/>
      <c r="BF677" s="19"/>
      <c r="BG677" s="19"/>
      <c r="BH677" s="19"/>
      <c r="BI677" s="19"/>
      <c r="BJ677" s="19"/>
      <c r="BK677" s="19"/>
      <c r="BL677" s="20"/>
      <c r="BM677" s="19"/>
      <c r="BN677" s="19"/>
      <c r="BO677" s="19"/>
      <c r="BP677" s="19"/>
      <c r="BQ677" s="19"/>
    </row>
    <row r="678" spans="1:69" ht="12" customHeight="1">
      <c r="A678" s="1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19"/>
      <c r="AG678" s="20"/>
      <c r="AH678" s="19"/>
      <c r="AI678" s="19"/>
      <c r="AJ678" s="19"/>
      <c r="AK678" s="19"/>
      <c r="AL678" s="19"/>
      <c r="AM678" s="19"/>
      <c r="AN678" s="19"/>
      <c r="AO678" s="19"/>
      <c r="AP678" s="19"/>
      <c r="AQ678" s="19"/>
      <c r="AR678" s="19"/>
      <c r="AS678" s="19"/>
      <c r="AT678" s="19"/>
      <c r="AU678" s="19"/>
      <c r="AV678" s="19"/>
      <c r="AW678" s="19"/>
      <c r="AX678" s="19"/>
      <c r="AY678" s="19"/>
      <c r="AZ678" s="19"/>
      <c r="BA678" s="19"/>
      <c r="BB678" s="19"/>
      <c r="BC678" s="19"/>
      <c r="BD678" s="19"/>
      <c r="BE678" s="19"/>
      <c r="BF678" s="19"/>
      <c r="BG678" s="19"/>
      <c r="BH678" s="19"/>
      <c r="BI678" s="19"/>
      <c r="BJ678" s="19"/>
      <c r="BK678" s="19"/>
      <c r="BL678" s="20"/>
      <c r="BM678" s="19"/>
      <c r="BN678" s="19"/>
      <c r="BO678" s="19"/>
      <c r="BP678" s="19"/>
      <c r="BQ678" s="19"/>
    </row>
    <row r="679" spans="1:69" ht="12" customHeight="1">
      <c r="A679" s="1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19"/>
      <c r="AG679" s="20"/>
      <c r="AH679" s="19"/>
      <c r="AI679" s="19"/>
      <c r="AJ679" s="19"/>
      <c r="AK679" s="19"/>
      <c r="AL679" s="19"/>
      <c r="AM679" s="19"/>
      <c r="AN679" s="19"/>
      <c r="AO679" s="19"/>
      <c r="AP679" s="19"/>
      <c r="AQ679" s="19"/>
      <c r="AR679" s="19"/>
      <c r="AS679" s="19"/>
      <c r="AT679" s="19"/>
      <c r="AU679" s="19"/>
      <c r="AV679" s="19"/>
      <c r="AW679" s="19"/>
      <c r="AX679" s="19"/>
      <c r="AY679" s="19"/>
      <c r="AZ679" s="19"/>
      <c r="BA679" s="19"/>
      <c r="BB679" s="19"/>
      <c r="BC679" s="19"/>
      <c r="BD679" s="19"/>
      <c r="BE679" s="19"/>
      <c r="BF679" s="19"/>
      <c r="BG679" s="19"/>
      <c r="BH679" s="19"/>
      <c r="BI679" s="19"/>
      <c r="BJ679" s="19"/>
      <c r="BK679" s="19"/>
      <c r="BL679" s="20"/>
      <c r="BM679" s="19"/>
      <c r="BN679" s="19"/>
      <c r="BO679" s="19"/>
      <c r="BP679" s="19"/>
      <c r="BQ679" s="19"/>
    </row>
    <row r="680" spans="1:69" ht="12" customHeight="1">
      <c r="A680" s="1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19"/>
      <c r="AG680" s="20"/>
      <c r="AH680" s="19"/>
      <c r="AI680" s="19"/>
      <c r="AJ680" s="19"/>
      <c r="AK680" s="19"/>
      <c r="AL680" s="19"/>
      <c r="AM680" s="19"/>
      <c r="AN680" s="19"/>
      <c r="AO680" s="19"/>
      <c r="AP680" s="19"/>
      <c r="AQ680" s="19"/>
      <c r="AR680" s="19"/>
      <c r="AS680" s="19"/>
      <c r="AT680" s="19"/>
      <c r="AU680" s="19"/>
      <c r="AV680" s="19"/>
      <c r="AW680" s="19"/>
      <c r="AX680" s="19"/>
      <c r="AY680" s="19"/>
      <c r="AZ680" s="19"/>
      <c r="BA680" s="19"/>
      <c r="BB680" s="19"/>
      <c r="BC680" s="19"/>
      <c r="BD680" s="19"/>
      <c r="BE680" s="19"/>
      <c r="BF680" s="19"/>
      <c r="BG680" s="19"/>
      <c r="BH680" s="19"/>
      <c r="BI680" s="19"/>
      <c r="BJ680" s="19"/>
      <c r="BK680" s="19"/>
      <c r="BL680" s="20"/>
      <c r="BM680" s="19"/>
      <c r="BN680" s="19"/>
      <c r="BO680" s="19"/>
      <c r="BP680" s="19"/>
      <c r="BQ680" s="19"/>
    </row>
    <row r="681" spans="1:69" ht="12" customHeight="1">
      <c r="A681" s="1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20"/>
      <c r="AH681" s="19"/>
      <c r="AI681" s="19"/>
      <c r="AJ681" s="19"/>
      <c r="AK681" s="19"/>
      <c r="AL681" s="19"/>
      <c r="AM681" s="19"/>
      <c r="AN681" s="19"/>
      <c r="AO681" s="19"/>
      <c r="AP681" s="19"/>
      <c r="AQ681" s="19"/>
      <c r="AR681" s="19"/>
      <c r="AS681" s="19"/>
      <c r="AT681" s="19"/>
      <c r="AU681" s="19"/>
      <c r="AV681" s="19"/>
      <c r="AW681" s="19"/>
      <c r="AX681" s="19"/>
      <c r="AY681" s="19"/>
      <c r="AZ681" s="19"/>
      <c r="BA681" s="19"/>
      <c r="BB681" s="19"/>
      <c r="BC681" s="19"/>
      <c r="BD681" s="19"/>
      <c r="BE681" s="19"/>
      <c r="BF681" s="19"/>
      <c r="BG681" s="19"/>
      <c r="BH681" s="19"/>
      <c r="BI681" s="19"/>
      <c r="BJ681" s="19"/>
      <c r="BK681" s="19"/>
      <c r="BL681" s="20"/>
      <c r="BM681" s="19"/>
      <c r="BN681" s="19"/>
      <c r="BO681" s="19"/>
      <c r="BP681" s="19"/>
      <c r="BQ681" s="19"/>
    </row>
    <row r="682" spans="1:69" ht="12" customHeight="1">
      <c r="A682" s="1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19"/>
      <c r="AG682" s="20"/>
      <c r="AH682" s="19"/>
      <c r="AI682" s="19"/>
      <c r="AJ682" s="19"/>
      <c r="AK682" s="19"/>
      <c r="AL682" s="19"/>
      <c r="AM682" s="19"/>
      <c r="AN682" s="19"/>
      <c r="AO682" s="19"/>
      <c r="AP682" s="19"/>
      <c r="AQ682" s="19"/>
      <c r="AR682" s="19"/>
      <c r="AS682" s="19"/>
      <c r="AT682" s="19"/>
      <c r="AU682" s="19"/>
      <c r="AV682" s="19"/>
      <c r="AW682" s="19"/>
      <c r="AX682" s="19"/>
      <c r="AY682" s="19"/>
      <c r="AZ682" s="19"/>
      <c r="BA682" s="19"/>
      <c r="BB682" s="19"/>
      <c r="BC682" s="19"/>
      <c r="BD682" s="19"/>
      <c r="BE682" s="19"/>
      <c r="BF682" s="19"/>
      <c r="BG682" s="19"/>
      <c r="BH682" s="19"/>
      <c r="BI682" s="19"/>
      <c r="BJ682" s="19"/>
      <c r="BK682" s="19"/>
      <c r="BL682" s="20"/>
      <c r="BM682" s="19"/>
      <c r="BN682" s="19"/>
      <c r="BO682" s="19"/>
      <c r="BP682" s="19"/>
      <c r="BQ682" s="19"/>
    </row>
    <row r="683" spans="1:69" ht="12" customHeight="1">
      <c r="A683" s="1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20"/>
      <c r="AH683" s="19"/>
      <c r="AI683" s="19"/>
      <c r="AJ683" s="19"/>
      <c r="AK683" s="19"/>
      <c r="AL683" s="19"/>
      <c r="AM683" s="19"/>
      <c r="AN683" s="19"/>
      <c r="AO683" s="19"/>
      <c r="AP683" s="19"/>
      <c r="AQ683" s="19"/>
      <c r="AR683" s="19"/>
      <c r="AS683" s="19"/>
      <c r="AT683" s="19"/>
      <c r="AU683" s="19"/>
      <c r="AV683" s="19"/>
      <c r="AW683" s="19"/>
      <c r="AX683" s="19"/>
      <c r="AY683" s="19"/>
      <c r="AZ683" s="19"/>
      <c r="BA683" s="19"/>
      <c r="BB683" s="19"/>
      <c r="BC683" s="19"/>
      <c r="BD683" s="19"/>
      <c r="BE683" s="19"/>
      <c r="BF683" s="19"/>
      <c r="BG683" s="19"/>
      <c r="BH683" s="19"/>
      <c r="BI683" s="19"/>
      <c r="BJ683" s="19"/>
      <c r="BK683" s="19"/>
      <c r="BL683" s="20"/>
      <c r="BM683" s="19"/>
      <c r="BN683" s="19"/>
      <c r="BO683" s="19"/>
      <c r="BP683" s="19"/>
      <c r="BQ683" s="19"/>
    </row>
    <row r="684" spans="1:69" ht="12" customHeight="1">
      <c r="A684" s="1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20"/>
      <c r="AH684" s="19"/>
      <c r="AI684" s="19"/>
      <c r="AJ684" s="19"/>
      <c r="AK684" s="19"/>
      <c r="AL684" s="19"/>
      <c r="AM684" s="19"/>
      <c r="AN684" s="19"/>
      <c r="AO684" s="19"/>
      <c r="AP684" s="19"/>
      <c r="AQ684" s="19"/>
      <c r="AR684" s="19"/>
      <c r="AS684" s="19"/>
      <c r="AT684" s="19"/>
      <c r="AU684" s="19"/>
      <c r="AV684" s="19"/>
      <c r="AW684" s="19"/>
      <c r="AX684" s="19"/>
      <c r="AY684" s="19"/>
      <c r="AZ684" s="19"/>
      <c r="BA684" s="19"/>
      <c r="BB684" s="19"/>
      <c r="BC684" s="19"/>
      <c r="BD684" s="19"/>
      <c r="BE684" s="19"/>
      <c r="BF684" s="19"/>
      <c r="BG684" s="19"/>
      <c r="BH684" s="19"/>
      <c r="BI684" s="19"/>
      <c r="BJ684" s="19"/>
      <c r="BK684" s="19"/>
      <c r="BL684" s="20"/>
      <c r="BM684" s="19"/>
      <c r="BN684" s="19"/>
      <c r="BO684" s="19"/>
      <c r="BP684" s="19"/>
      <c r="BQ684" s="19"/>
    </row>
    <row r="685" spans="1:69" ht="12" customHeight="1">
      <c r="A685" s="1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20"/>
      <c r="AH685" s="19"/>
      <c r="AI685" s="19"/>
      <c r="AJ685" s="19"/>
      <c r="AK685" s="19"/>
      <c r="AL685" s="19"/>
      <c r="AM685" s="19"/>
      <c r="AN685" s="19"/>
      <c r="AO685" s="19"/>
      <c r="AP685" s="19"/>
      <c r="AQ685" s="19"/>
      <c r="AR685" s="19"/>
      <c r="AS685" s="19"/>
      <c r="AT685" s="19"/>
      <c r="AU685" s="19"/>
      <c r="AV685" s="19"/>
      <c r="AW685" s="19"/>
      <c r="AX685" s="19"/>
      <c r="AY685" s="19"/>
      <c r="AZ685" s="19"/>
      <c r="BA685" s="19"/>
      <c r="BB685" s="19"/>
      <c r="BC685" s="19"/>
      <c r="BD685" s="19"/>
      <c r="BE685" s="19"/>
      <c r="BF685" s="19"/>
      <c r="BG685" s="19"/>
      <c r="BH685" s="19"/>
      <c r="BI685" s="19"/>
      <c r="BJ685" s="19"/>
      <c r="BK685" s="19"/>
      <c r="BL685" s="20"/>
      <c r="BM685" s="19"/>
      <c r="BN685" s="19"/>
      <c r="BO685" s="19"/>
      <c r="BP685" s="19"/>
      <c r="BQ685" s="19"/>
    </row>
    <row r="686" spans="1:69" ht="12" customHeight="1">
      <c r="A686" s="1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20"/>
      <c r="AH686" s="19"/>
      <c r="AI686" s="19"/>
      <c r="AJ686" s="19"/>
      <c r="AK686" s="19"/>
      <c r="AL686" s="19"/>
      <c r="AM686" s="19"/>
      <c r="AN686" s="19"/>
      <c r="AO686" s="19"/>
      <c r="AP686" s="19"/>
      <c r="AQ686" s="19"/>
      <c r="AR686" s="19"/>
      <c r="AS686" s="19"/>
      <c r="AT686" s="19"/>
      <c r="AU686" s="19"/>
      <c r="AV686" s="19"/>
      <c r="AW686" s="19"/>
      <c r="AX686" s="19"/>
      <c r="AY686" s="19"/>
      <c r="AZ686" s="19"/>
      <c r="BA686" s="19"/>
      <c r="BB686" s="19"/>
      <c r="BC686" s="19"/>
      <c r="BD686" s="19"/>
      <c r="BE686" s="19"/>
      <c r="BF686" s="19"/>
      <c r="BG686" s="19"/>
      <c r="BH686" s="19"/>
      <c r="BI686" s="19"/>
      <c r="BJ686" s="19"/>
      <c r="BK686" s="19"/>
      <c r="BL686" s="20"/>
      <c r="BM686" s="19"/>
      <c r="BN686" s="19"/>
      <c r="BO686" s="19"/>
      <c r="BP686" s="19"/>
      <c r="BQ686" s="19"/>
    </row>
    <row r="687" spans="1:69" ht="12" customHeight="1">
      <c r="A687" s="1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19"/>
      <c r="AG687" s="20"/>
      <c r="AH687" s="19"/>
      <c r="AI687" s="19"/>
      <c r="AJ687" s="19"/>
      <c r="AK687" s="19"/>
      <c r="AL687" s="19"/>
      <c r="AM687" s="19"/>
      <c r="AN687" s="19"/>
      <c r="AO687" s="19"/>
      <c r="AP687" s="19"/>
      <c r="AQ687" s="19"/>
      <c r="AR687" s="19"/>
      <c r="AS687" s="19"/>
      <c r="AT687" s="19"/>
      <c r="AU687" s="19"/>
      <c r="AV687" s="19"/>
      <c r="AW687" s="19"/>
      <c r="AX687" s="19"/>
      <c r="AY687" s="19"/>
      <c r="AZ687" s="19"/>
      <c r="BA687" s="19"/>
      <c r="BB687" s="19"/>
      <c r="BC687" s="19"/>
      <c r="BD687" s="19"/>
      <c r="BE687" s="19"/>
      <c r="BF687" s="19"/>
      <c r="BG687" s="19"/>
      <c r="BH687" s="19"/>
      <c r="BI687" s="19"/>
      <c r="BJ687" s="19"/>
      <c r="BK687" s="19"/>
      <c r="BL687" s="20"/>
      <c r="BM687" s="19"/>
      <c r="BN687" s="19"/>
      <c r="BO687" s="19"/>
      <c r="BP687" s="19"/>
      <c r="BQ687" s="19"/>
    </row>
    <row r="688" spans="1:69" ht="12" customHeight="1">
      <c r="A688" s="1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19"/>
      <c r="AG688" s="20"/>
      <c r="AH688" s="19"/>
      <c r="AI688" s="19"/>
      <c r="AJ688" s="19"/>
      <c r="AK688" s="19"/>
      <c r="AL688" s="19"/>
      <c r="AM688" s="19"/>
      <c r="AN688" s="19"/>
      <c r="AO688" s="19"/>
      <c r="AP688" s="19"/>
      <c r="AQ688" s="19"/>
      <c r="AR688" s="19"/>
      <c r="AS688" s="19"/>
      <c r="AT688" s="19"/>
      <c r="AU688" s="19"/>
      <c r="AV688" s="19"/>
      <c r="AW688" s="19"/>
      <c r="AX688" s="19"/>
      <c r="AY688" s="19"/>
      <c r="AZ688" s="19"/>
      <c r="BA688" s="19"/>
      <c r="BB688" s="19"/>
      <c r="BC688" s="19"/>
      <c r="BD688" s="19"/>
      <c r="BE688" s="19"/>
      <c r="BF688" s="19"/>
      <c r="BG688" s="19"/>
      <c r="BH688" s="19"/>
      <c r="BI688" s="19"/>
      <c r="BJ688" s="19"/>
      <c r="BK688" s="19"/>
      <c r="BL688" s="20"/>
      <c r="BM688" s="19"/>
      <c r="BN688" s="19"/>
      <c r="BO688" s="19"/>
      <c r="BP688" s="19"/>
      <c r="BQ688" s="19"/>
    </row>
    <row r="689" spans="1:69" ht="12" customHeight="1">
      <c r="A689" s="1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19"/>
      <c r="AG689" s="20"/>
      <c r="AH689" s="19"/>
      <c r="AI689" s="19"/>
      <c r="AJ689" s="19"/>
      <c r="AK689" s="19"/>
      <c r="AL689" s="19"/>
      <c r="AM689" s="19"/>
      <c r="AN689" s="19"/>
      <c r="AO689" s="19"/>
      <c r="AP689" s="19"/>
      <c r="AQ689" s="19"/>
      <c r="AR689" s="19"/>
      <c r="AS689" s="19"/>
      <c r="AT689" s="19"/>
      <c r="AU689" s="19"/>
      <c r="AV689" s="19"/>
      <c r="AW689" s="19"/>
      <c r="AX689" s="19"/>
      <c r="AY689" s="19"/>
      <c r="AZ689" s="19"/>
      <c r="BA689" s="19"/>
      <c r="BB689" s="19"/>
      <c r="BC689" s="19"/>
      <c r="BD689" s="19"/>
      <c r="BE689" s="19"/>
      <c r="BF689" s="19"/>
      <c r="BG689" s="19"/>
      <c r="BH689" s="19"/>
      <c r="BI689" s="19"/>
      <c r="BJ689" s="19"/>
      <c r="BK689" s="19"/>
      <c r="BL689" s="20"/>
      <c r="BM689" s="19"/>
      <c r="BN689" s="19"/>
      <c r="BO689" s="19"/>
      <c r="BP689" s="19"/>
      <c r="BQ689" s="19"/>
    </row>
    <row r="690" spans="1:69" ht="12" customHeight="1">
      <c r="A690" s="1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19"/>
      <c r="AG690" s="20"/>
      <c r="AH690" s="19"/>
      <c r="AI690" s="19"/>
      <c r="AJ690" s="19"/>
      <c r="AK690" s="19"/>
      <c r="AL690" s="19"/>
      <c r="AM690" s="19"/>
      <c r="AN690" s="19"/>
      <c r="AO690" s="19"/>
      <c r="AP690" s="19"/>
      <c r="AQ690" s="19"/>
      <c r="AR690" s="19"/>
      <c r="AS690" s="19"/>
      <c r="AT690" s="19"/>
      <c r="AU690" s="19"/>
      <c r="AV690" s="19"/>
      <c r="AW690" s="19"/>
      <c r="AX690" s="19"/>
      <c r="AY690" s="19"/>
      <c r="AZ690" s="19"/>
      <c r="BA690" s="19"/>
      <c r="BB690" s="19"/>
      <c r="BC690" s="19"/>
      <c r="BD690" s="19"/>
      <c r="BE690" s="19"/>
      <c r="BF690" s="19"/>
      <c r="BG690" s="19"/>
      <c r="BH690" s="19"/>
      <c r="BI690" s="19"/>
      <c r="BJ690" s="19"/>
      <c r="BK690" s="19"/>
      <c r="BL690" s="20"/>
      <c r="BM690" s="19"/>
      <c r="BN690" s="19"/>
      <c r="BO690" s="19"/>
      <c r="BP690" s="19"/>
      <c r="BQ690" s="19"/>
    </row>
    <row r="691" spans="1:69" ht="12" customHeight="1">
      <c r="A691" s="1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19"/>
      <c r="AG691" s="20"/>
      <c r="AH691" s="19"/>
      <c r="AI691" s="19"/>
      <c r="AJ691" s="19"/>
      <c r="AK691" s="19"/>
      <c r="AL691" s="19"/>
      <c r="AM691" s="19"/>
      <c r="AN691" s="19"/>
      <c r="AO691" s="19"/>
      <c r="AP691" s="19"/>
      <c r="AQ691" s="19"/>
      <c r="AR691" s="19"/>
      <c r="AS691" s="19"/>
      <c r="AT691" s="19"/>
      <c r="AU691" s="19"/>
      <c r="AV691" s="19"/>
      <c r="AW691" s="19"/>
      <c r="AX691" s="19"/>
      <c r="AY691" s="19"/>
      <c r="AZ691" s="19"/>
      <c r="BA691" s="19"/>
      <c r="BB691" s="19"/>
      <c r="BC691" s="19"/>
      <c r="BD691" s="19"/>
      <c r="BE691" s="19"/>
      <c r="BF691" s="19"/>
      <c r="BG691" s="19"/>
      <c r="BH691" s="19"/>
      <c r="BI691" s="19"/>
      <c r="BJ691" s="19"/>
      <c r="BK691" s="19"/>
      <c r="BL691" s="20"/>
      <c r="BM691" s="19"/>
      <c r="BN691" s="19"/>
      <c r="BO691" s="19"/>
      <c r="BP691" s="19"/>
      <c r="BQ691" s="19"/>
    </row>
    <row r="692" spans="1:69" ht="12" customHeight="1">
      <c r="A692" s="1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19"/>
      <c r="AG692" s="20"/>
      <c r="AH692" s="19"/>
      <c r="AI692" s="19"/>
      <c r="AJ692" s="19"/>
      <c r="AK692" s="19"/>
      <c r="AL692" s="19"/>
      <c r="AM692" s="19"/>
      <c r="AN692" s="19"/>
      <c r="AO692" s="19"/>
      <c r="AP692" s="19"/>
      <c r="AQ692" s="19"/>
      <c r="AR692" s="19"/>
      <c r="AS692" s="19"/>
      <c r="AT692" s="19"/>
      <c r="AU692" s="19"/>
      <c r="AV692" s="19"/>
      <c r="AW692" s="19"/>
      <c r="AX692" s="19"/>
      <c r="AY692" s="19"/>
      <c r="AZ692" s="19"/>
      <c r="BA692" s="19"/>
      <c r="BB692" s="19"/>
      <c r="BC692" s="19"/>
      <c r="BD692" s="19"/>
      <c r="BE692" s="19"/>
      <c r="BF692" s="19"/>
      <c r="BG692" s="19"/>
      <c r="BH692" s="19"/>
      <c r="BI692" s="19"/>
      <c r="BJ692" s="19"/>
      <c r="BK692" s="19"/>
      <c r="BL692" s="20"/>
      <c r="BM692" s="19"/>
      <c r="BN692" s="19"/>
      <c r="BO692" s="19"/>
      <c r="BP692" s="19"/>
      <c r="BQ692" s="19"/>
    </row>
    <row r="693" spans="1:69" ht="12" customHeight="1">
      <c r="A693" s="1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20"/>
      <c r="AH693" s="19"/>
      <c r="AI693" s="19"/>
      <c r="AJ693" s="19"/>
      <c r="AK693" s="19"/>
      <c r="AL693" s="19"/>
      <c r="AM693" s="19"/>
      <c r="AN693" s="19"/>
      <c r="AO693" s="19"/>
      <c r="AP693" s="19"/>
      <c r="AQ693" s="19"/>
      <c r="AR693" s="19"/>
      <c r="AS693" s="19"/>
      <c r="AT693" s="19"/>
      <c r="AU693" s="19"/>
      <c r="AV693" s="19"/>
      <c r="AW693" s="19"/>
      <c r="AX693" s="19"/>
      <c r="AY693" s="19"/>
      <c r="AZ693" s="19"/>
      <c r="BA693" s="19"/>
      <c r="BB693" s="19"/>
      <c r="BC693" s="19"/>
      <c r="BD693" s="19"/>
      <c r="BE693" s="19"/>
      <c r="BF693" s="19"/>
      <c r="BG693" s="19"/>
      <c r="BH693" s="19"/>
      <c r="BI693" s="19"/>
      <c r="BJ693" s="19"/>
      <c r="BK693" s="19"/>
      <c r="BL693" s="20"/>
      <c r="BM693" s="19"/>
      <c r="BN693" s="19"/>
      <c r="BO693" s="19"/>
      <c r="BP693" s="19"/>
      <c r="BQ693" s="19"/>
    </row>
    <row r="694" spans="1:69" ht="12" customHeight="1">
      <c r="A694" s="1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20"/>
      <c r="AH694" s="19"/>
      <c r="AI694" s="19"/>
      <c r="AJ694" s="19"/>
      <c r="AK694" s="19"/>
      <c r="AL694" s="19"/>
      <c r="AM694" s="19"/>
      <c r="AN694" s="19"/>
      <c r="AO694" s="19"/>
      <c r="AP694" s="19"/>
      <c r="AQ694" s="19"/>
      <c r="AR694" s="19"/>
      <c r="AS694" s="19"/>
      <c r="AT694" s="19"/>
      <c r="AU694" s="19"/>
      <c r="AV694" s="19"/>
      <c r="AW694" s="19"/>
      <c r="AX694" s="19"/>
      <c r="AY694" s="19"/>
      <c r="AZ694" s="19"/>
      <c r="BA694" s="19"/>
      <c r="BB694" s="19"/>
      <c r="BC694" s="19"/>
      <c r="BD694" s="19"/>
      <c r="BE694" s="19"/>
      <c r="BF694" s="19"/>
      <c r="BG694" s="19"/>
      <c r="BH694" s="19"/>
      <c r="BI694" s="19"/>
      <c r="BJ694" s="19"/>
      <c r="BK694" s="19"/>
      <c r="BL694" s="20"/>
      <c r="BM694" s="19"/>
      <c r="BN694" s="19"/>
      <c r="BO694" s="19"/>
      <c r="BP694" s="19"/>
      <c r="BQ694" s="19"/>
    </row>
    <row r="695" spans="1:69" ht="12" customHeight="1">
      <c r="A695" s="1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20"/>
      <c r="AH695" s="19"/>
      <c r="AI695" s="19"/>
      <c r="AJ695" s="19"/>
      <c r="AK695" s="19"/>
      <c r="AL695" s="19"/>
      <c r="AM695" s="19"/>
      <c r="AN695" s="19"/>
      <c r="AO695" s="19"/>
      <c r="AP695" s="19"/>
      <c r="AQ695" s="19"/>
      <c r="AR695" s="19"/>
      <c r="AS695" s="19"/>
      <c r="AT695" s="19"/>
      <c r="AU695" s="19"/>
      <c r="AV695" s="19"/>
      <c r="AW695" s="19"/>
      <c r="AX695" s="19"/>
      <c r="AY695" s="19"/>
      <c r="AZ695" s="19"/>
      <c r="BA695" s="19"/>
      <c r="BB695" s="19"/>
      <c r="BC695" s="19"/>
      <c r="BD695" s="19"/>
      <c r="BE695" s="19"/>
      <c r="BF695" s="19"/>
      <c r="BG695" s="19"/>
      <c r="BH695" s="19"/>
      <c r="BI695" s="19"/>
      <c r="BJ695" s="19"/>
      <c r="BK695" s="19"/>
      <c r="BL695" s="20"/>
      <c r="BM695" s="19"/>
      <c r="BN695" s="19"/>
      <c r="BO695" s="19"/>
      <c r="BP695" s="19"/>
      <c r="BQ695" s="19"/>
    </row>
    <row r="696" spans="1:69" ht="12" customHeight="1">
      <c r="A696" s="1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20"/>
      <c r="AH696" s="19"/>
      <c r="AI696" s="19"/>
      <c r="AJ696" s="19"/>
      <c r="AK696" s="19"/>
      <c r="AL696" s="19"/>
      <c r="AM696" s="19"/>
      <c r="AN696" s="19"/>
      <c r="AO696" s="19"/>
      <c r="AP696" s="19"/>
      <c r="AQ696" s="19"/>
      <c r="AR696" s="19"/>
      <c r="AS696" s="19"/>
      <c r="AT696" s="19"/>
      <c r="AU696" s="19"/>
      <c r="AV696" s="19"/>
      <c r="AW696" s="19"/>
      <c r="AX696" s="19"/>
      <c r="AY696" s="19"/>
      <c r="AZ696" s="19"/>
      <c r="BA696" s="19"/>
      <c r="BB696" s="19"/>
      <c r="BC696" s="19"/>
      <c r="BD696" s="19"/>
      <c r="BE696" s="19"/>
      <c r="BF696" s="19"/>
      <c r="BG696" s="19"/>
      <c r="BH696" s="19"/>
      <c r="BI696" s="19"/>
      <c r="BJ696" s="19"/>
      <c r="BK696" s="19"/>
      <c r="BL696" s="20"/>
      <c r="BM696" s="19"/>
      <c r="BN696" s="19"/>
      <c r="BO696" s="19"/>
      <c r="BP696" s="19"/>
      <c r="BQ696" s="19"/>
    </row>
    <row r="697" spans="1:69" ht="12" customHeight="1">
      <c r="A697" s="1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19"/>
      <c r="AG697" s="20"/>
      <c r="AH697" s="19"/>
      <c r="AI697" s="19"/>
      <c r="AJ697" s="19"/>
      <c r="AK697" s="19"/>
      <c r="AL697" s="19"/>
      <c r="AM697" s="19"/>
      <c r="AN697" s="19"/>
      <c r="AO697" s="19"/>
      <c r="AP697" s="19"/>
      <c r="AQ697" s="19"/>
      <c r="AR697" s="19"/>
      <c r="AS697" s="19"/>
      <c r="AT697" s="19"/>
      <c r="AU697" s="19"/>
      <c r="AV697" s="19"/>
      <c r="AW697" s="19"/>
      <c r="AX697" s="19"/>
      <c r="AY697" s="19"/>
      <c r="AZ697" s="19"/>
      <c r="BA697" s="19"/>
      <c r="BB697" s="19"/>
      <c r="BC697" s="19"/>
      <c r="BD697" s="19"/>
      <c r="BE697" s="19"/>
      <c r="BF697" s="19"/>
      <c r="BG697" s="19"/>
      <c r="BH697" s="19"/>
      <c r="BI697" s="19"/>
      <c r="BJ697" s="19"/>
      <c r="BK697" s="19"/>
      <c r="BL697" s="20"/>
      <c r="BM697" s="19"/>
      <c r="BN697" s="19"/>
      <c r="BO697" s="19"/>
      <c r="BP697" s="19"/>
      <c r="BQ697" s="19"/>
    </row>
    <row r="698" spans="1:69" ht="12" customHeight="1">
      <c r="A698" s="1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19"/>
      <c r="AG698" s="20"/>
      <c r="AH698" s="19"/>
      <c r="AI698" s="19"/>
      <c r="AJ698" s="19"/>
      <c r="AK698" s="19"/>
      <c r="AL698" s="19"/>
      <c r="AM698" s="19"/>
      <c r="AN698" s="19"/>
      <c r="AO698" s="19"/>
      <c r="AP698" s="19"/>
      <c r="AQ698" s="19"/>
      <c r="AR698" s="19"/>
      <c r="AS698" s="19"/>
      <c r="AT698" s="19"/>
      <c r="AU698" s="19"/>
      <c r="AV698" s="19"/>
      <c r="AW698" s="19"/>
      <c r="AX698" s="19"/>
      <c r="AY698" s="19"/>
      <c r="AZ698" s="19"/>
      <c r="BA698" s="19"/>
      <c r="BB698" s="19"/>
      <c r="BC698" s="19"/>
      <c r="BD698" s="19"/>
      <c r="BE698" s="19"/>
      <c r="BF698" s="19"/>
      <c r="BG698" s="19"/>
      <c r="BH698" s="19"/>
      <c r="BI698" s="19"/>
      <c r="BJ698" s="19"/>
      <c r="BK698" s="19"/>
      <c r="BL698" s="20"/>
      <c r="BM698" s="19"/>
      <c r="BN698" s="19"/>
      <c r="BO698" s="19"/>
      <c r="BP698" s="19"/>
      <c r="BQ698" s="19"/>
    </row>
    <row r="699" spans="1:69" ht="12" customHeight="1">
      <c r="A699" s="1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  <c r="AA699" s="19"/>
      <c r="AB699" s="19"/>
      <c r="AC699" s="19"/>
      <c r="AD699" s="19"/>
      <c r="AE699" s="19"/>
      <c r="AF699" s="19"/>
      <c r="AG699" s="20"/>
      <c r="AH699" s="19"/>
      <c r="AI699" s="19"/>
      <c r="AJ699" s="19"/>
      <c r="AK699" s="19"/>
      <c r="AL699" s="19"/>
      <c r="AM699" s="19"/>
      <c r="AN699" s="19"/>
      <c r="AO699" s="19"/>
      <c r="AP699" s="19"/>
      <c r="AQ699" s="19"/>
      <c r="AR699" s="19"/>
      <c r="AS699" s="19"/>
      <c r="AT699" s="19"/>
      <c r="AU699" s="19"/>
      <c r="AV699" s="19"/>
      <c r="AW699" s="19"/>
      <c r="AX699" s="19"/>
      <c r="AY699" s="19"/>
      <c r="AZ699" s="19"/>
      <c r="BA699" s="19"/>
      <c r="BB699" s="19"/>
      <c r="BC699" s="19"/>
      <c r="BD699" s="19"/>
      <c r="BE699" s="19"/>
      <c r="BF699" s="19"/>
      <c r="BG699" s="19"/>
      <c r="BH699" s="19"/>
      <c r="BI699" s="19"/>
      <c r="BJ699" s="19"/>
      <c r="BK699" s="19"/>
      <c r="BL699" s="20"/>
      <c r="BM699" s="19"/>
      <c r="BN699" s="19"/>
      <c r="BO699" s="19"/>
      <c r="BP699" s="19"/>
      <c r="BQ699" s="19"/>
    </row>
    <row r="700" spans="1:69" ht="12" customHeight="1">
      <c r="A700" s="1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20"/>
      <c r="AH700" s="19"/>
      <c r="AI700" s="19"/>
      <c r="AJ700" s="19"/>
      <c r="AK700" s="19"/>
      <c r="AL700" s="19"/>
      <c r="AM700" s="19"/>
      <c r="AN700" s="19"/>
      <c r="AO700" s="19"/>
      <c r="AP700" s="19"/>
      <c r="AQ700" s="19"/>
      <c r="AR700" s="19"/>
      <c r="AS700" s="19"/>
      <c r="AT700" s="19"/>
      <c r="AU700" s="19"/>
      <c r="AV700" s="19"/>
      <c r="AW700" s="19"/>
      <c r="AX700" s="19"/>
      <c r="AY700" s="19"/>
      <c r="AZ700" s="19"/>
      <c r="BA700" s="19"/>
      <c r="BB700" s="19"/>
      <c r="BC700" s="19"/>
      <c r="BD700" s="19"/>
      <c r="BE700" s="19"/>
      <c r="BF700" s="19"/>
      <c r="BG700" s="19"/>
      <c r="BH700" s="19"/>
      <c r="BI700" s="19"/>
      <c r="BJ700" s="19"/>
      <c r="BK700" s="19"/>
      <c r="BL700" s="20"/>
      <c r="BM700" s="19"/>
      <c r="BN700" s="19"/>
      <c r="BO700" s="19"/>
      <c r="BP700" s="19"/>
      <c r="BQ700" s="19"/>
    </row>
    <row r="701" spans="1:69" ht="12" customHeight="1">
      <c r="A701" s="1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20"/>
      <c r="AH701" s="19"/>
      <c r="AI701" s="19"/>
      <c r="AJ701" s="19"/>
      <c r="AK701" s="19"/>
      <c r="AL701" s="19"/>
      <c r="AM701" s="19"/>
      <c r="AN701" s="19"/>
      <c r="AO701" s="19"/>
      <c r="AP701" s="19"/>
      <c r="AQ701" s="19"/>
      <c r="AR701" s="19"/>
      <c r="AS701" s="19"/>
      <c r="AT701" s="19"/>
      <c r="AU701" s="19"/>
      <c r="AV701" s="19"/>
      <c r="AW701" s="19"/>
      <c r="AX701" s="19"/>
      <c r="AY701" s="19"/>
      <c r="AZ701" s="19"/>
      <c r="BA701" s="19"/>
      <c r="BB701" s="19"/>
      <c r="BC701" s="19"/>
      <c r="BD701" s="19"/>
      <c r="BE701" s="19"/>
      <c r="BF701" s="19"/>
      <c r="BG701" s="19"/>
      <c r="BH701" s="19"/>
      <c r="BI701" s="19"/>
      <c r="BJ701" s="19"/>
      <c r="BK701" s="19"/>
      <c r="BL701" s="20"/>
      <c r="BM701" s="19"/>
      <c r="BN701" s="19"/>
      <c r="BO701" s="19"/>
      <c r="BP701" s="19"/>
      <c r="BQ701" s="19"/>
    </row>
    <row r="702" spans="1:69" ht="12" customHeight="1">
      <c r="A702" s="1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20"/>
      <c r="AH702" s="19"/>
      <c r="AI702" s="19"/>
      <c r="AJ702" s="19"/>
      <c r="AK702" s="19"/>
      <c r="AL702" s="19"/>
      <c r="AM702" s="19"/>
      <c r="AN702" s="19"/>
      <c r="AO702" s="19"/>
      <c r="AP702" s="19"/>
      <c r="AQ702" s="19"/>
      <c r="AR702" s="19"/>
      <c r="AS702" s="19"/>
      <c r="AT702" s="19"/>
      <c r="AU702" s="19"/>
      <c r="AV702" s="19"/>
      <c r="AW702" s="19"/>
      <c r="AX702" s="19"/>
      <c r="AY702" s="19"/>
      <c r="AZ702" s="19"/>
      <c r="BA702" s="19"/>
      <c r="BB702" s="19"/>
      <c r="BC702" s="19"/>
      <c r="BD702" s="19"/>
      <c r="BE702" s="19"/>
      <c r="BF702" s="19"/>
      <c r="BG702" s="19"/>
      <c r="BH702" s="19"/>
      <c r="BI702" s="19"/>
      <c r="BJ702" s="19"/>
      <c r="BK702" s="19"/>
      <c r="BL702" s="20"/>
      <c r="BM702" s="19"/>
      <c r="BN702" s="19"/>
      <c r="BO702" s="19"/>
      <c r="BP702" s="19"/>
      <c r="BQ702" s="19"/>
    </row>
    <row r="703" spans="1:69" ht="12" customHeight="1">
      <c r="A703" s="1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20"/>
      <c r="AH703" s="19"/>
      <c r="AI703" s="19"/>
      <c r="AJ703" s="19"/>
      <c r="AK703" s="19"/>
      <c r="AL703" s="19"/>
      <c r="AM703" s="19"/>
      <c r="AN703" s="19"/>
      <c r="AO703" s="19"/>
      <c r="AP703" s="19"/>
      <c r="AQ703" s="19"/>
      <c r="AR703" s="19"/>
      <c r="AS703" s="19"/>
      <c r="AT703" s="19"/>
      <c r="AU703" s="19"/>
      <c r="AV703" s="19"/>
      <c r="AW703" s="19"/>
      <c r="AX703" s="19"/>
      <c r="AY703" s="19"/>
      <c r="AZ703" s="19"/>
      <c r="BA703" s="19"/>
      <c r="BB703" s="19"/>
      <c r="BC703" s="19"/>
      <c r="BD703" s="19"/>
      <c r="BE703" s="19"/>
      <c r="BF703" s="19"/>
      <c r="BG703" s="19"/>
      <c r="BH703" s="19"/>
      <c r="BI703" s="19"/>
      <c r="BJ703" s="19"/>
      <c r="BK703" s="19"/>
      <c r="BL703" s="20"/>
      <c r="BM703" s="19"/>
      <c r="BN703" s="19"/>
      <c r="BO703" s="19"/>
      <c r="BP703" s="19"/>
      <c r="BQ703" s="19"/>
    </row>
    <row r="704" spans="1:69" ht="12" customHeight="1">
      <c r="A704" s="1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20"/>
      <c r="AH704" s="19"/>
      <c r="AI704" s="19"/>
      <c r="AJ704" s="19"/>
      <c r="AK704" s="19"/>
      <c r="AL704" s="19"/>
      <c r="AM704" s="19"/>
      <c r="AN704" s="19"/>
      <c r="AO704" s="19"/>
      <c r="AP704" s="19"/>
      <c r="AQ704" s="19"/>
      <c r="AR704" s="19"/>
      <c r="AS704" s="19"/>
      <c r="AT704" s="19"/>
      <c r="AU704" s="19"/>
      <c r="AV704" s="19"/>
      <c r="AW704" s="19"/>
      <c r="AX704" s="19"/>
      <c r="AY704" s="19"/>
      <c r="AZ704" s="19"/>
      <c r="BA704" s="19"/>
      <c r="BB704" s="19"/>
      <c r="BC704" s="19"/>
      <c r="BD704" s="19"/>
      <c r="BE704" s="19"/>
      <c r="BF704" s="19"/>
      <c r="BG704" s="19"/>
      <c r="BH704" s="19"/>
      <c r="BI704" s="19"/>
      <c r="BJ704" s="19"/>
      <c r="BK704" s="19"/>
      <c r="BL704" s="20"/>
      <c r="BM704" s="19"/>
      <c r="BN704" s="19"/>
      <c r="BO704" s="19"/>
      <c r="BP704" s="19"/>
      <c r="BQ704" s="19"/>
    </row>
    <row r="705" spans="1:69" ht="12" customHeight="1">
      <c r="A705" s="1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20"/>
      <c r="AH705" s="19"/>
      <c r="AI705" s="19"/>
      <c r="AJ705" s="19"/>
      <c r="AK705" s="19"/>
      <c r="AL705" s="19"/>
      <c r="AM705" s="19"/>
      <c r="AN705" s="19"/>
      <c r="AO705" s="19"/>
      <c r="AP705" s="19"/>
      <c r="AQ705" s="19"/>
      <c r="AR705" s="19"/>
      <c r="AS705" s="19"/>
      <c r="AT705" s="19"/>
      <c r="AU705" s="19"/>
      <c r="AV705" s="19"/>
      <c r="AW705" s="19"/>
      <c r="AX705" s="19"/>
      <c r="AY705" s="19"/>
      <c r="AZ705" s="19"/>
      <c r="BA705" s="19"/>
      <c r="BB705" s="19"/>
      <c r="BC705" s="19"/>
      <c r="BD705" s="19"/>
      <c r="BE705" s="19"/>
      <c r="BF705" s="19"/>
      <c r="BG705" s="19"/>
      <c r="BH705" s="19"/>
      <c r="BI705" s="19"/>
      <c r="BJ705" s="19"/>
      <c r="BK705" s="19"/>
      <c r="BL705" s="20"/>
      <c r="BM705" s="19"/>
      <c r="BN705" s="19"/>
      <c r="BO705" s="19"/>
      <c r="BP705" s="19"/>
      <c r="BQ705" s="19"/>
    </row>
    <row r="706" spans="1:69" ht="12" customHeight="1">
      <c r="A706" s="1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20"/>
      <c r="AH706" s="19"/>
      <c r="AI706" s="19"/>
      <c r="AJ706" s="19"/>
      <c r="AK706" s="19"/>
      <c r="AL706" s="19"/>
      <c r="AM706" s="19"/>
      <c r="AN706" s="19"/>
      <c r="AO706" s="19"/>
      <c r="AP706" s="19"/>
      <c r="AQ706" s="19"/>
      <c r="AR706" s="19"/>
      <c r="AS706" s="19"/>
      <c r="AT706" s="19"/>
      <c r="AU706" s="19"/>
      <c r="AV706" s="19"/>
      <c r="AW706" s="19"/>
      <c r="AX706" s="19"/>
      <c r="AY706" s="19"/>
      <c r="AZ706" s="19"/>
      <c r="BA706" s="19"/>
      <c r="BB706" s="19"/>
      <c r="BC706" s="19"/>
      <c r="BD706" s="19"/>
      <c r="BE706" s="19"/>
      <c r="BF706" s="19"/>
      <c r="BG706" s="19"/>
      <c r="BH706" s="19"/>
      <c r="BI706" s="19"/>
      <c r="BJ706" s="19"/>
      <c r="BK706" s="19"/>
      <c r="BL706" s="20"/>
      <c r="BM706" s="19"/>
      <c r="BN706" s="19"/>
      <c r="BO706" s="19"/>
      <c r="BP706" s="19"/>
      <c r="BQ706" s="19"/>
    </row>
    <row r="707" spans="1:69" ht="12" customHeight="1">
      <c r="A707" s="1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/>
      <c r="AD707" s="19"/>
      <c r="AE707" s="19"/>
      <c r="AF707" s="19"/>
      <c r="AG707" s="20"/>
      <c r="AH707" s="19"/>
      <c r="AI707" s="19"/>
      <c r="AJ707" s="19"/>
      <c r="AK707" s="19"/>
      <c r="AL707" s="19"/>
      <c r="AM707" s="19"/>
      <c r="AN707" s="19"/>
      <c r="AO707" s="19"/>
      <c r="AP707" s="19"/>
      <c r="AQ707" s="19"/>
      <c r="AR707" s="19"/>
      <c r="AS707" s="19"/>
      <c r="AT707" s="19"/>
      <c r="AU707" s="19"/>
      <c r="AV707" s="19"/>
      <c r="AW707" s="19"/>
      <c r="AX707" s="19"/>
      <c r="AY707" s="19"/>
      <c r="AZ707" s="19"/>
      <c r="BA707" s="19"/>
      <c r="BB707" s="19"/>
      <c r="BC707" s="19"/>
      <c r="BD707" s="19"/>
      <c r="BE707" s="19"/>
      <c r="BF707" s="19"/>
      <c r="BG707" s="19"/>
      <c r="BH707" s="19"/>
      <c r="BI707" s="19"/>
      <c r="BJ707" s="19"/>
      <c r="BK707" s="19"/>
      <c r="BL707" s="20"/>
      <c r="BM707" s="19"/>
      <c r="BN707" s="19"/>
      <c r="BO707" s="19"/>
      <c r="BP707" s="19"/>
      <c r="BQ707" s="19"/>
    </row>
    <row r="708" spans="1:69" ht="12" customHeight="1">
      <c r="A708" s="1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19"/>
      <c r="AG708" s="20"/>
      <c r="AH708" s="19"/>
      <c r="AI708" s="19"/>
      <c r="AJ708" s="19"/>
      <c r="AK708" s="19"/>
      <c r="AL708" s="19"/>
      <c r="AM708" s="19"/>
      <c r="AN708" s="19"/>
      <c r="AO708" s="19"/>
      <c r="AP708" s="19"/>
      <c r="AQ708" s="19"/>
      <c r="AR708" s="19"/>
      <c r="AS708" s="19"/>
      <c r="AT708" s="19"/>
      <c r="AU708" s="19"/>
      <c r="AV708" s="19"/>
      <c r="AW708" s="19"/>
      <c r="AX708" s="19"/>
      <c r="AY708" s="19"/>
      <c r="AZ708" s="19"/>
      <c r="BA708" s="19"/>
      <c r="BB708" s="19"/>
      <c r="BC708" s="19"/>
      <c r="BD708" s="19"/>
      <c r="BE708" s="19"/>
      <c r="BF708" s="19"/>
      <c r="BG708" s="19"/>
      <c r="BH708" s="19"/>
      <c r="BI708" s="19"/>
      <c r="BJ708" s="19"/>
      <c r="BK708" s="19"/>
      <c r="BL708" s="20"/>
      <c r="BM708" s="19"/>
      <c r="BN708" s="19"/>
      <c r="BO708" s="19"/>
      <c r="BP708" s="19"/>
      <c r="BQ708" s="19"/>
    </row>
    <row r="709" spans="1:69" ht="12" customHeight="1">
      <c r="A709" s="1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/>
      <c r="AD709" s="19"/>
      <c r="AE709" s="19"/>
      <c r="AF709" s="19"/>
      <c r="AG709" s="20"/>
      <c r="AH709" s="19"/>
      <c r="AI709" s="19"/>
      <c r="AJ709" s="19"/>
      <c r="AK709" s="19"/>
      <c r="AL709" s="19"/>
      <c r="AM709" s="19"/>
      <c r="AN709" s="19"/>
      <c r="AO709" s="19"/>
      <c r="AP709" s="19"/>
      <c r="AQ709" s="19"/>
      <c r="AR709" s="19"/>
      <c r="AS709" s="19"/>
      <c r="AT709" s="19"/>
      <c r="AU709" s="19"/>
      <c r="AV709" s="19"/>
      <c r="AW709" s="19"/>
      <c r="AX709" s="19"/>
      <c r="AY709" s="19"/>
      <c r="AZ709" s="19"/>
      <c r="BA709" s="19"/>
      <c r="BB709" s="19"/>
      <c r="BC709" s="19"/>
      <c r="BD709" s="19"/>
      <c r="BE709" s="19"/>
      <c r="BF709" s="19"/>
      <c r="BG709" s="19"/>
      <c r="BH709" s="19"/>
      <c r="BI709" s="19"/>
      <c r="BJ709" s="19"/>
      <c r="BK709" s="19"/>
      <c r="BL709" s="20"/>
      <c r="BM709" s="19"/>
      <c r="BN709" s="19"/>
      <c r="BO709" s="19"/>
      <c r="BP709" s="19"/>
      <c r="BQ709" s="19"/>
    </row>
    <row r="710" spans="1:69" ht="12" customHeight="1">
      <c r="A710" s="1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19"/>
      <c r="AG710" s="20"/>
      <c r="AH710" s="19"/>
      <c r="AI710" s="19"/>
      <c r="AJ710" s="19"/>
      <c r="AK710" s="19"/>
      <c r="AL710" s="19"/>
      <c r="AM710" s="19"/>
      <c r="AN710" s="19"/>
      <c r="AO710" s="19"/>
      <c r="AP710" s="19"/>
      <c r="AQ710" s="19"/>
      <c r="AR710" s="19"/>
      <c r="AS710" s="19"/>
      <c r="AT710" s="19"/>
      <c r="AU710" s="19"/>
      <c r="AV710" s="19"/>
      <c r="AW710" s="19"/>
      <c r="AX710" s="19"/>
      <c r="AY710" s="19"/>
      <c r="AZ710" s="19"/>
      <c r="BA710" s="19"/>
      <c r="BB710" s="19"/>
      <c r="BC710" s="19"/>
      <c r="BD710" s="19"/>
      <c r="BE710" s="19"/>
      <c r="BF710" s="19"/>
      <c r="BG710" s="19"/>
      <c r="BH710" s="19"/>
      <c r="BI710" s="19"/>
      <c r="BJ710" s="19"/>
      <c r="BK710" s="19"/>
      <c r="BL710" s="20"/>
      <c r="BM710" s="19"/>
      <c r="BN710" s="19"/>
      <c r="BO710" s="19"/>
      <c r="BP710" s="19"/>
      <c r="BQ710" s="19"/>
    </row>
    <row r="711" spans="1:69" ht="12" customHeight="1">
      <c r="A711" s="1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/>
      <c r="AD711" s="19"/>
      <c r="AE711" s="19"/>
      <c r="AF711" s="19"/>
      <c r="AG711" s="20"/>
      <c r="AH711" s="19"/>
      <c r="AI711" s="19"/>
      <c r="AJ711" s="19"/>
      <c r="AK711" s="19"/>
      <c r="AL711" s="19"/>
      <c r="AM711" s="19"/>
      <c r="AN711" s="19"/>
      <c r="AO711" s="19"/>
      <c r="AP711" s="19"/>
      <c r="AQ711" s="19"/>
      <c r="AR711" s="19"/>
      <c r="AS711" s="19"/>
      <c r="AT711" s="19"/>
      <c r="AU711" s="19"/>
      <c r="AV711" s="19"/>
      <c r="AW711" s="19"/>
      <c r="AX711" s="19"/>
      <c r="AY711" s="19"/>
      <c r="AZ711" s="19"/>
      <c r="BA711" s="19"/>
      <c r="BB711" s="19"/>
      <c r="BC711" s="19"/>
      <c r="BD711" s="19"/>
      <c r="BE711" s="19"/>
      <c r="BF711" s="19"/>
      <c r="BG711" s="19"/>
      <c r="BH711" s="19"/>
      <c r="BI711" s="19"/>
      <c r="BJ711" s="19"/>
      <c r="BK711" s="19"/>
      <c r="BL711" s="20"/>
      <c r="BM711" s="19"/>
      <c r="BN711" s="19"/>
      <c r="BO711" s="19"/>
      <c r="BP711" s="19"/>
      <c r="BQ711" s="19"/>
    </row>
    <row r="712" spans="1:69" ht="12" customHeight="1">
      <c r="A712" s="1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19"/>
      <c r="AG712" s="20"/>
      <c r="AH712" s="19"/>
      <c r="AI712" s="19"/>
      <c r="AJ712" s="19"/>
      <c r="AK712" s="19"/>
      <c r="AL712" s="19"/>
      <c r="AM712" s="19"/>
      <c r="AN712" s="19"/>
      <c r="AO712" s="19"/>
      <c r="AP712" s="19"/>
      <c r="AQ712" s="19"/>
      <c r="AR712" s="19"/>
      <c r="AS712" s="19"/>
      <c r="AT712" s="19"/>
      <c r="AU712" s="19"/>
      <c r="AV712" s="19"/>
      <c r="AW712" s="19"/>
      <c r="AX712" s="19"/>
      <c r="AY712" s="19"/>
      <c r="AZ712" s="19"/>
      <c r="BA712" s="19"/>
      <c r="BB712" s="19"/>
      <c r="BC712" s="19"/>
      <c r="BD712" s="19"/>
      <c r="BE712" s="19"/>
      <c r="BF712" s="19"/>
      <c r="BG712" s="19"/>
      <c r="BH712" s="19"/>
      <c r="BI712" s="19"/>
      <c r="BJ712" s="19"/>
      <c r="BK712" s="19"/>
      <c r="BL712" s="20"/>
      <c r="BM712" s="19"/>
      <c r="BN712" s="19"/>
      <c r="BO712" s="19"/>
      <c r="BP712" s="19"/>
      <c r="BQ712" s="19"/>
    </row>
    <row r="713" spans="1:69" ht="12" customHeight="1">
      <c r="A713" s="1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/>
      <c r="AD713" s="19"/>
      <c r="AE713" s="19"/>
      <c r="AF713" s="19"/>
      <c r="AG713" s="20"/>
      <c r="AH713" s="19"/>
      <c r="AI713" s="19"/>
      <c r="AJ713" s="19"/>
      <c r="AK713" s="19"/>
      <c r="AL713" s="19"/>
      <c r="AM713" s="19"/>
      <c r="AN713" s="19"/>
      <c r="AO713" s="19"/>
      <c r="AP713" s="19"/>
      <c r="AQ713" s="19"/>
      <c r="AR713" s="19"/>
      <c r="AS713" s="19"/>
      <c r="AT713" s="19"/>
      <c r="AU713" s="19"/>
      <c r="AV713" s="19"/>
      <c r="AW713" s="19"/>
      <c r="AX713" s="19"/>
      <c r="AY713" s="19"/>
      <c r="AZ713" s="19"/>
      <c r="BA713" s="19"/>
      <c r="BB713" s="19"/>
      <c r="BC713" s="19"/>
      <c r="BD713" s="19"/>
      <c r="BE713" s="19"/>
      <c r="BF713" s="19"/>
      <c r="BG713" s="19"/>
      <c r="BH713" s="19"/>
      <c r="BI713" s="19"/>
      <c r="BJ713" s="19"/>
      <c r="BK713" s="19"/>
      <c r="BL713" s="20"/>
      <c r="BM713" s="19"/>
      <c r="BN713" s="19"/>
      <c r="BO713" s="19"/>
      <c r="BP713" s="19"/>
      <c r="BQ713" s="19"/>
    </row>
    <row r="714" spans="1:69" ht="12" customHeight="1">
      <c r="A714" s="1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19"/>
      <c r="AG714" s="20"/>
      <c r="AH714" s="19"/>
      <c r="AI714" s="19"/>
      <c r="AJ714" s="19"/>
      <c r="AK714" s="19"/>
      <c r="AL714" s="19"/>
      <c r="AM714" s="19"/>
      <c r="AN714" s="19"/>
      <c r="AO714" s="19"/>
      <c r="AP714" s="19"/>
      <c r="AQ714" s="19"/>
      <c r="AR714" s="19"/>
      <c r="AS714" s="19"/>
      <c r="AT714" s="19"/>
      <c r="AU714" s="19"/>
      <c r="AV714" s="19"/>
      <c r="AW714" s="19"/>
      <c r="AX714" s="19"/>
      <c r="AY714" s="19"/>
      <c r="AZ714" s="19"/>
      <c r="BA714" s="19"/>
      <c r="BB714" s="19"/>
      <c r="BC714" s="19"/>
      <c r="BD714" s="19"/>
      <c r="BE714" s="19"/>
      <c r="BF714" s="19"/>
      <c r="BG714" s="19"/>
      <c r="BH714" s="19"/>
      <c r="BI714" s="19"/>
      <c r="BJ714" s="19"/>
      <c r="BK714" s="19"/>
      <c r="BL714" s="20"/>
      <c r="BM714" s="19"/>
      <c r="BN714" s="19"/>
      <c r="BO714" s="19"/>
      <c r="BP714" s="19"/>
      <c r="BQ714" s="19"/>
    </row>
    <row r="715" spans="1:69" ht="12" customHeight="1">
      <c r="A715" s="1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20"/>
      <c r="AH715" s="19"/>
      <c r="AI715" s="19"/>
      <c r="AJ715" s="19"/>
      <c r="AK715" s="19"/>
      <c r="AL715" s="19"/>
      <c r="AM715" s="19"/>
      <c r="AN715" s="19"/>
      <c r="AO715" s="19"/>
      <c r="AP715" s="19"/>
      <c r="AQ715" s="19"/>
      <c r="AR715" s="19"/>
      <c r="AS715" s="19"/>
      <c r="AT715" s="19"/>
      <c r="AU715" s="19"/>
      <c r="AV715" s="19"/>
      <c r="AW715" s="19"/>
      <c r="AX715" s="19"/>
      <c r="AY715" s="19"/>
      <c r="AZ715" s="19"/>
      <c r="BA715" s="19"/>
      <c r="BB715" s="19"/>
      <c r="BC715" s="19"/>
      <c r="BD715" s="19"/>
      <c r="BE715" s="19"/>
      <c r="BF715" s="19"/>
      <c r="BG715" s="19"/>
      <c r="BH715" s="19"/>
      <c r="BI715" s="19"/>
      <c r="BJ715" s="19"/>
      <c r="BK715" s="19"/>
      <c r="BL715" s="20"/>
      <c r="BM715" s="19"/>
      <c r="BN715" s="19"/>
      <c r="BO715" s="19"/>
      <c r="BP715" s="19"/>
      <c r="BQ715" s="19"/>
    </row>
    <row r="716" spans="1:69" ht="12" customHeight="1">
      <c r="A716" s="1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19"/>
      <c r="AG716" s="20"/>
      <c r="AH716" s="19"/>
      <c r="AI716" s="19"/>
      <c r="AJ716" s="19"/>
      <c r="AK716" s="19"/>
      <c r="AL716" s="19"/>
      <c r="AM716" s="19"/>
      <c r="AN716" s="19"/>
      <c r="AO716" s="19"/>
      <c r="AP716" s="19"/>
      <c r="AQ716" s="19"/>
      <c r="AR716" s="19"/>
      <c r="AS716" s="19"/>
      <c r="AT716" s="19"/>
      <c r="AU716" s="19"/>
      <c r="AV716" s="19"/>
      <c r="AW716" s="19"/>
      <c r="AX716" s="19"/>
      <c r="AY716" s="19"/>
      <c r="AZ716" s="19"/>
      <c r="BA716" s="19"/>
      <c r="BB716" s="19"/>
      <c r="BC716" s="19"/>
      <c r="BD716" s="19"/>
      <c r="BE716" s="19"/>
      <c r="BF716" s="19"/>
      <c r="BG716" s="19"/>
      <c r="BH716" s="19"/>
      <c r="BI716" s="19"/>
      <c r="BJ716" s="19"/>
      <c r="BK716" s="19"/>
      <c r="BL716" s="20"/>
      <c r="BM716" s="19"/>
      <c r="BN716" s="19"/>
      <c r="BO716" s="19"/>
      <c r="BP716" s="19"/>
      <c r="BQ716" s="19"/>
    </row>
    <row r="717" spans="1:69" ht="12" customHeight="1">
      <c r="A717" s="1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/>
      <c r="AD717" s="19"/>
      <c r="AE717" s="19"/>
      <c r="AF717" s="19"/>
      <c r="AG717" s="20"/>
      <c r="AH717" s="19"/>
      <c r="AI717" s="19"/>
      <c r="AJ717" s="19"/>
      <c r="AK717" s="19"/>
      <c r="AL717" s="19"/>
      <c r="AM717" s="19"/>
      <c r="AN717" s="19"/>
      <c r="AO717" s="19"/>
      <c r="AP717" s="19"/>
      <c r="AQ717" s="19"/>
      <c r="AR717" s="19"/>
      <c r="AS717" s="19"/>
      <c r="AT717" s="19"/>
      <c r="AU717" s="19"/>
      <c r="AV717" s="19"/>
      <c r="AW717" s="19"/>
      <c r="AX717" s="19"/>
      <c r="AY717" s="19"/>
      <c r="AZ717" s="19"/>
      <c r="BA717" s="19"/>
      <c r="BB717" s="19"/>
      <c r="BC717" s="19"/>
      <c r="BD717" s="19"/>
      <c r="BE717" s="19"/>
      <c r="BF717" s="19"/>
      <c r="BG717" s="19"/>
      <c r="BH717" s="19"/>
      <c r="BI717" s="19"/>
      <c r="BJ717" s="19"/>
      <c r="BK717" s="19"/>
      <c r="BL717" s="20"/>
      <c r="BM717" s="19"/>
      <c r="BN717" s="19"/>
      <c r="BO717" s="19"/>
      <c r="BP717" s="19"/>
      <c r="BQ717" s="19"/>
    </row>
    <row r="718" spans="1:69" ht="12" customHeight="1">
      <c r="A718" s="1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19"/>
      <c r="AG718" s="20"/>
      <c r="AH718" s="19"/>
      <c r="AI718" s="19"/>
      <c r="AJ718" s="19"/>
      <c r="AK718" s="19"/>
      <c r="AL718" s="19"/>
      <c r="AM718" s="19"/>
      <c r="AN718" s="19"/>
      <c r="AO718" s="19"/>
      <c r="AP718" s="19"/>
      <c r="AQ718" s="19"/>
      <c r="AR718" s="19"/>
      <c r="AS718" s="19"/>
      <c r="AT718" s="19"/>
      <c r="AU718" s="19"/>
      <c r="AV718" s="19"/>
      <c r="AW718" s="19"/>
      <c r="AX718" s="19"/>
      <c r="AY718" s="19"/>
      <c r="AZ718" s="19"/>
      <c r="BA718" s="19"/>
      <c r="BB718" s="19"/>
      <c r="BC718" s="19"/>
      <c r="BD718" s="19"/>
      <c r="BE718" s="19"/>
      <c r="BF718" s="19"/>
      <c r="BG718" s="19"/>
      <c r="BH718" s="19"/>
      <c r="BI718" s="19"/>
      <c r="BJ718" s="19"/>
      <c r="BK718" s="19"/>
      <c r="BL718" s="20"/>
      <c r="BM718" s="19"/>
      <c r="BN718" s="19"/>
      <c r="BO718" s="19"/>
      <c r="BP718" s="19"/>
      <c r="BQ718" s="19"/>
    </row>
    <row r="719" spans="1:69" ht="12" customHeight="1">
      <c r="A719" s="1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/>
      <c r="AD719" s="19"/>
      <c r="AE719" s="19"/>
      <c r="AF719" s="19"/>
      <c r="AG719" s="20"/>
      <c r="AH719" s="19"/>
      <c r="AI719" s="19"/>
      <c r="AJ719" s="19"/>
      <c r="AK719" s="19"/>
      <c r="AL719" s="19"/>
      <c r="AM719" s="19"/>
      <c r="AN719" s="19"/>
      <c r="AO719" s="19"/>
      <c r="AP719" s="19"/>
      <c r="AQ719" s="19"/>
      <c r="AR719" s="19"/>
      <c r="AS719" s="19"/>
      <c r="AT719" s="19"/>
      <c r="AU719" s="19"/>
      <c r="AV719" s="19"/>
      <c r="AW719" s="19"/>
      <c r="AX719" s="19"/>
      <c r="AY719" s="19"/>
      <c r="AZ719" s="19"/>
      <c r="BA719" s="19"/>
      <c r="BB719" s="19"/>
      <c r="BC719" s="19"/>
      <c r="BD719" s="19"/>
      <c r="BE719" s="19"/>
      <c r="BF719" s="19"/>
      <c r="BG719" s="19"/>
      <c r="BH719" s="19"/>
      <c r="BI719" s="19"/>
      <c r="BJ719" s="19"/>
      <c r="BK719" s="19"/>
      <c r="BL719" s="20"/>
      <c r="BM719" s="19"/>
      <c r="BN719" s="19"/>
      <c r="BO719" s="19"/>
      <c r="BP719" s="19"/>
      <c r="BQ719" s="19"/>
    </row>
    <row r="720" spans="1:69" ht="12" customHeight="1">
      <c r="A720" s="1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19"/>
      <c r="AG720" s="20"/>
      <c r="AH720" s="19"/>
      <c r="AI720" s="19"/>
      <c r="AJ720" s="19"/>
      <c r="AK720" s="19"/>
      <c r="AL720" s="19"/>
      <c r="AM720" s="19"/>
      <c r="AN720" s="19"/>
      <c r="AO720" s="19"/>
      <c r="AP720" s="19"/>
      <c r="AQ720" s="19"/>
      <c r="AR720" s="19"/>
      <c r="AS720" s="19"/>
      <c r="AT720" s="19"/>
      <c r="AU720" s="19"/>
      <c r="AV720" s="19"/>
      <c r="AW720" s="19"/>
      <c r="AX720" s="19"/>
      <c r="AY720" s="19"/>
      <c r="AZ720" s="19"/>
      <c r="BA720" s="19"/>
      <c r="BB720" s="19"/>
      <c r="BC720" s="19"/>
      <c r="BD720" s="19"/>
      <c r="BE720" s="19"/>
      <c r="BF720" s="19"/>
      <c r="BG720" s="19"/>
      <c r="BH720" s="19"/>
      <c r="BI720" s="19"/>
      <c r="BJ720" s="19"/>
      <c r="BK720" s="19"/>
      <c r="BL720" s="20"/>
      <c r="BM720" s="19"/>
      <c r="BN720" s="19"/>
      <c r="BO720" s="19"/>
      <c r="BP720" s="19"/>
      <c r="BQ720" s="19"/>
    </row>
    <row r="721" spans="1:69" ht="12" customHeight="1">
      <c r="A721" s="1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/>
      <c r="AD721" s="19"/>
      <c r="AE721" s="19"/>
      <c r="AF721" s="19"/>
      <c r="AG721" s="20"/>
      <c r="AH721" s="19"/>
      <c r="AI721" s="19"/>
      <c r="AJ721" s="19"/>
      <c r="AK721" s="19"/>
      <c r="AL721" s="19"/>
      <c r="AM721" s="19"/>
      <c r="AN721" s="19"/>
      <c r="AO721" s="19"/>
      <c r="AP721" s="19"/>
      <c r="AQ721" s="19"/>
      <c r="AR721" s="19"/>
      <c r="AS721" s="19"/>
      <c r="AT721" s="19"/>
      <c r="AU721" s="19"/>
      <c r="AV721" s="19"/>
      <c r="AW721" s="19"/>
      <c r="AX721" s="19"/>
      <c r="AY721" s="19"/>
      <c r="AZ721" s="19"/>
      <c r="BA721" s="19"/>
      <c r="BB721" s="19"/>
      <c r="BC721" s="19"/>
      <c r="BD721" s="19"/>
      <c r="BE721" s="19"/>
      <c r="BF721" s="19"/>
      <c r="BG721" s="19"/>
      <c r="BH721" s="19"/>
      <c r="BI721" s="19"/>
      <c r="BJ721" s="19"/>
      <c r="BK721" s="19"/>
      <c r="BL721" s="20"/>
      <c r="BM721" s="19"/>
      <c r="BN721" s="19"/>
      <c r="BO721" s="19"/>
      <c r="BP721" s="19"/>
      <c r="BQ721" s="19"/>
    </row>
    <row r="722" spans="1:69" ht="12" customHeight="1">
      <c r="A722" s="1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19"/>
      <c r="AG722" s="20"/>
      <c r="AH722" s="19"/>
      <c r="AI722" s="19"/>
      <c r="AJ722" s="19"/>
      <c r="AK722" s="19"/>
      <c r="AL722" s="19"/>
      <c r="AM722" s="19"/>
      <c r="AN722" s="19"/>
      <c r="AO722" s="19"/>
      <c r="AP722" s="19"/>
      <c r="AQ722" s="19"/>
      <c r="AR722" s="19"/>
      <c r="AS722" s="19"/>
      <c r="AT722" s="19"/>
      <c r="AU722" s="19"/>
      <c r="AV722" s="19"/>
      <c r="AW722" s="19"/>
      <c r="AX722" s="19"/>
      <c r="AY722" s="19"/>
      <c r="AZ722" s="19"/>
      <c r="BA722" s="19"/>
      <c r="BB722" s="19"/>
      <c r="BC722" s="19"/>
      <c r="BD722" s="19"/>
      <c r="BE722" s="19"/>
      <c r="BF722" s="19"/>
      <c r="BG722" s="19"/>
      <c r="BH722" s="19"/>
      <c r="BI722" s="19"/>
      <c r="BJ722" s="19"/>
      <c r="BK722" s="19"/>
      <c r="BL722" s="20"/>
      <c r="BM722" s="19"/>
      <c r="BN722" s="19"/>
      <c r="BO722" s="19"/>
      <c r="BP722" s="19"/>
      <c r="BQ722" s="19"/>
    </row>
    <row r="723" spans="1:69" ht="12" customHeight="1">
      <c r="A723" s="1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/>
      <c r="AD723" s="19"/>
      <c r="AE723" s="19"/>
      <c r="AF723" s="19"/>
      <c r="AG723" s="20"/>
      <c r="AH723" s="19"/>
      <c r="AI723" s="19"/>
      <c r="AJ723" s="19"/>
      <c r="AK723" s="19"/>
      <c r="AL723" s="19"/>
      <c r="AM723" s="19"/>
      <c r="AN723" s="19"/>
      <c r="AO723" s="19"/>
      <c r="AP723" s="19"/>
      <c r="AQ723" s="19"/>
      <c r="AR723" s="19"/>
      <c r="AS723" s="19"/>
      <c r="AT723" s="19"/>
      <c r="AU723" s="19"/>
      <c r="AV723" s="19"/>
      <c r="AW723" s="19"/>
      <c r="AX723" s="19"/>
      <c r="AY723" s="19"/>
      <c r="AZ723" s="19"/>
      <c r="BA723" s="19"/>
      <c r="BB723" s="19"/>
      <c r="BC723" s="19"/>
      <c r="BD723" s="19"/>
      <c r="BE723" s="19"/>
      <c r="BF723" s="19"/>
      <c r="BG723" s="19"/>
      <c r="BH723" s="19"/>
      <c r="BI723" s="19"/>
      <c r="BJ723" s="19"/>
      <c r="BK723" s="19"/>
      <c r="BL723" s="20"/>
      <c r="BM723" s="19"/>
      <c r="BN723" s="19"/>
      <c r="BO723" s="19"/>
      <c r="BP723" s="19"/>
      <c r="BQ723" s="19"/>
    </row>
    <row r="724" spans="1:69" ht="12" customHeight="1">
      <c r="A724" s="1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19"/>
      <c r="AG724" s="20"/>
      <c r="AH724" s="19"/>
      <c r="AI724" s="19"/>
      <c r="AJ724" s="19"/>
      <c r="AK724" s="19"/>
      <c r="AL724" s="19"/>
      <c r="AM724" s="19"/>
      <c r="AN724" s="19"/>
      <c r="AO724" s="19"/>
      <c r="AP724" s="19"/>
      <c r="AQ724" s="19"/>
      <c r="AR724" s="19"/>
      <c r="AS724" s="19"/>
      <c r="AT724" s="19"/>
      <c r="AU724" s="19"/>
      <c r="AV724" s="19"/>
      <c r="AW724" s="19"/>
      <c r="AX724" s="19"/>
      <c r="AY724" s="19"/>
      <c r="AZ724" s="19"/>
      <c r="BA724" s="19"/>
      <c r="BB724" s="19"/>
      <c r="BC724" s="19"/>
      <c r="BD724" s="19"/>
      <c r="BE724" s="19"/>
      <c r="BF724" s="19"/>
      <c r="BG724" s="19"/>
      <c r="BH724" s="19"/>
      <c r="BI724" s="19"/>
      <c r="BJ724" s="19"/>
      <c r="BK724" s="19"/>
      <c r="BL724" s="20"/>
      <c r="BM724" s="19"/>
      <c r="BN724" s="19"/>
      <c r="BO724" s="19"/>
      <c r="BP724" s="19"/>
      <c r="BQ724" s="19"/>
    </row>
    <row r="725" spans="1:69" ht="12" customHeight="1">
      <c r="A725" s="1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19"/>
      <c r="AG725" s="20"/>
      <c r="AH725" s="19"/>
      <c r="AI725" s="19"/>
      <c r="AJ725" s="19"/>
      <c r="AK725" s="19"/>
      <c r="AL725" s="19"/>
      <c r="AM725" s="19"/>
      <c r="AN725" s="19"/>
      <c r="AO725" s="19"/>
      <c r="AP725" s="19"/>
      <c r="AQ725" s="19"/>
      <c r="AR725" s="19"/>
      <c r="AS725" s="19"/>
      <c r="AT725" s="19"/>
      <c r="AU725" s="19"/>
      <c r="AV725" s="19"/>
      <c r="AW725" s="19"/>
      <c r="AX725" s="19"/>
      <c r="AY725" s="19"/>
      <c r="AZ725" s="19"/>
      <c r="BA725" s="19"/>
      <c r="BB725" s="19"/>
      <c r="BC725" s="19"/>
      <c r="BD725" s="19"/>
      <c r="BE725" s="19"/>
      <c r="BF725" s="19"/>
      <c r="BG725" s="19"/>
      <c r="BH725" s="19"/>
      <c r="BI725" s="19"/>
      <c r="BJ725" s="19"/>
      <c r="BK725" s="19"/>
      <c r="BL725" s="20"/>
      <c r="BM725" s="19"/>
      <c r="BN725" s="19"/>
      <c r="BO725" s="19"/>
      <c r="BP725" s="19"/>
      <c r="BQ725" s="19"/>
    </row>
    <row r="726" spans="1:69" ht="12" customHeight="1">
      <c r="A726" s="1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19"/>
      <c r="AG726" s="20"/>
      <c r="AH726" s="19"/>
      <c r="AI726" s="19"/>
      <c r="AJ726" s="19"/>
      <c r="AK726" s="19"/>
      <c r="AL726" s="19"/>
      <c r="AM726" s="19"/>
      <c r="AN726" s="19"/>
      <c r="AO726" s="19"/>
      <c r="AP726" s="19"/>
      <c r="AQ726" s="19"/>
      <c r="AR726" s="19"/>
      <c r="AS726" s="19"/>
      <c r="AT726" s="19"/>
      <c r="AU726" s="19"/>
      <c r="AV726" s="19"/>
      <c r="AW726" s="19"/>
      <c r="AX726" s="19"/>
      <c r="AY726" s="19"/>
      <c r="AZ726" s="19"/>
      <c r="BA726" s="19"/>
      <c r="BB726" s="19"/>
      <c r="BC726" s="19"/>
      <c r="BD726" s="19"/>
      <c r="BE726" s="19"/>
      <c r="BF726" s="19"/>
      <c r="BG726" s="19"/>
      <c r="BH726" s="19"/>
      <c r="BI726" s="19"/>
      <c r="BJ726" s="19"/>
      <c r="BK726" s="19"/>
      <c r="BL726" s="20"/>
      <c r="BM726" s="19"/>
      <c r="BN726" s="19"/>
      <c r="BO726" s="19"/>
      <c r="BP726" s="19"/>
      <c r="BQ726" s="19"/>
    </row>
    <row r="727" spans="1:69" ht="12" customHeight="1">
      <c r="A727" s="1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/>
      <c r="AD727" s="19"/>
      <c r="AE727" s="19"/>
      <c r="AF727" s="19"/>
      <c r="AG727" s="20"/>
      <c r="AH727" s="19"/>
      <c r="AI727" s="19"/>
      <c r="AJ727" s="19"/>
      <c r="AK727" s="19"/>
      <c r="AL727" s="19"/>
      <c r="AM727" s="19"/>
      <c r="AN727" s="19"/>
      <c r="AO727" s="19"/>
      <c r="AP727" s="19"/>
      <c r="AQ727" s="19"/>
      <c r="AR727" s="19"/>
      <c r="AS727" s="19"/>
      <c r="AT727" s="19"/>
      <c r="AU727" s="19"/>
      <c r="AV727" s="19"/>
      <c r="AW727" s="19"/>
      <c r="AX727" s="19"/>
      <c r="AY727" s="19"/>
      <c r="AZ727" s="19"/>
      <c r="BA727" s="19"/>
      <c r="BB727" s="19"/>
      <c r="BC727" s="19"/>
      <c r="BD727" s="19"/>
      <c r="BE727" s="19"/>
      <c r="BF727" s="19"/>
      <c r="BG727" s="19"/>
      <c r="BH727" s="19"/>
      <c r="BI727" s="19"/>
      <c r="BJ727" s="19"/>
      <c r="BK727" s="19"/>
      <c r="BL727" s="20"/>
      <c r="BM727" s="19"/>
      <c r="BN727" s="19"/>
      <c r="BO727" s="19"/>
      <c r="BP727" s="19"/>
      <c r="BQ727" s="19"/>
    </row>
    <row r="728" spans="1:69" ht="12" customHeight="1">
      <c r="A728" s="1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19"/>
      <c r="AG728" s="20"/>
      <c r="AH728" s="19"/>
      <c r="AI728" s="19"/>
      <c r="AJ728" s="19"/>
      <c r="AK728" s="19"/>
      <c r="AL728" s="19"/>
      <c r="AM728" s="19"/>
      <c r="AN728" s="19"/>
      <c r="AO728" s="19"/>
      <c r="AP728" s="19"/>
      <c r="AQ728" s="19"/>
      <c r="AR728" s="19"/>
      <c r="AS728" s="19"/>
      <c r="AT728" s="19"/>
      <c r="AU728" s="19"/>
      <c r="AV728" s="19"/>
      <c r="AW728" s="19"/>
      <c r="AX728" s="19"/>
      <c r="AY728" s="19"/>
      <c r="AZ728" s="19"/>
      <c r="BA728" s="19"/>
      <c r="BB728" s="19"/>
      <c r="BC728" s="19"/>
      <c r="BD728" s="19"/>
      <c r="BE728" s="19"/>
      <c r="BF728" s="19"/>
      <c r="BG728" s="19"/>
      <c r="BH728" s="19"/>
      <c r="BI728" s="19"/>
      <c r="BJ728" s="19"/>
      <c r="BK728" s="19"/>
      <c r="BL728" s="20"/>
      <c r="BM728" s="19"/>
      <c r="BN728" s="19"/>
      <c r="BO728" s="19"/>
      <c r="BP728" s="19"/>
      <c r="BQ728" s="19"/>
    </row>
    <row r="729" spans="1:69" ht="12" customHeight="1">
      <c r="A729" s="1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/>
      <c r="AD729" s="19"/>
      <c r="AE729" s="19"/>
      <c r="AF729" s="19"/>
      <c r="AG729" s="20"/>
      <c r="AH729" s="19"/>
      <c r="AI729" s="19"/>
      <c r="AJ729" s="19"/>
      <c r="AK729" s="19"/>
      <c r="AL729" s="19"/>
      <c r="AM729" s="19"/>
      <c r="AN729" s="19"/>
      <c r="AO729" s="19"/>
      <c r="AP729" s="19"/>
      <c r="AQ729" s="19"/>
      <c r="AR729" s="19"/>
      <c r="AS729" s="19"/>
      <c r="AT729" s="19"/>
      <c r="AU729" s="19"/>
      <c r="AV729" s="19"/>
      <c r="AW729" s="19"/>
      <c r="AX729" s="19"/>
      <c r="AY729" s="19"/>
      <c r="AZ729" s="19"/>
      <c r="BA729" s="19"/>
      <c r="BB729" s="19"/>
      <c r="BC729" s="19"/>
      <c r="BD729" s="19"/>
      <c r="BE729" s="19"/>
      <c r="BF729" s="19"/>
      <c r="BG729" s="19"/>
      <c r="BH729" s="19"/>
      <c r="BI729" s="19"/>
      <c r="BJ729" s="19"/>
      <c r="BK729" s="19"/>
      <c r="BL729" s="20"/>
      <c r="BM729" s="19"/>
      <c r="BN729" s="19"/>
      <c r="BO729" s="19"/>
      <c r="BP729" s="19"/>
      <c r="BQ729" s="19"/>
    </row>
    <row r="730" spans="1:69" ht="12" customHeight="1">
      <c r="A730" s="1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19"/>
      <c r="AG730" s="20"/>
      <c r="AH730" s="19"/>
      <c r="AI730" s="19"/>
      <c r="AJ730" s="19"/>
      <c r="AK730" s="19"/>
      <c r="AL730" s="19"/>
      <c r="AM730" s="19"/>
      <c r="AN730" s="19"/>
      <c r="AO730" s="19"/>
      <c r="AP730" s="19"/>
      <c r="AQ730" s="19"/>
      <c r="AR730" s="19"/>
      <c r="AS730" s="19"/>
      <c r="AT730" s="19"/>
      <c r="AU730" s="19"/>
      <c r="AV730" s="19"/>
      <c r="AW730" s="19"/>
      <c r="AX730" s="19"/>
      <c r="AY730" s="19"/>
      <c r="AZ730" s="19"/>
      <c r="BA730" s="19"/>
      <c r="BB730" s="19"/>
      <c r="BC730" s="19"/>
      <c r="BD730" s="19"/>
      <c r="BE730" s="19"/>
      <c r="BF730" s="19"/>
      <c r="BG730" s="19"/>
      <c r="BH730" s="19"/>
      <c r="BI730" s="19"/>
      <c r="BJ730" s="19"/>
      <c r="BK730" s="19"/>
      <c r="BL730" s="20"/>
      <c r="BM730" s="19"/>
      <c r="BN730" s="19"/>
      <c r="BO730" s="19"/>
      <c r="BP730" s="19"/>
      <c r="BQ730" s="19"/>
    </row>
    <row r="731" spans="1:69" ht="12" customHeight="1">
      <c r="A731" s="1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/>
      <c r="AD731" s="19"/>
      <c r="AE731" s="19"/>
      <c r="AF731" s="19"/>
      <c r="AG731" s="20"/>
      <c r="AH731" s="19"/>
      <c r="AI731" s="19"/>
      <c r="AJ731" s="19"/>
      <c r="AK731" s="19"/>
      <c r="AL731" s="19"/>
      <c r="AM731" s="19"/>
      <c r="AN731" s="19"/>
      <c r="AO731" s="19"/>
      <c r="AP731" s="19"/>
      <c r="AQ731" s="19"/>
      <c r="AR731" s="19"/>
      <c r="AS731" s="19"/>
      <c r="AT731" s="19"/>
      <c r="AU731" s="19"/>
      <c r="AV731" s="19"/>
      <c r="AW731" s="19"/>
      <c r="AX731" s="19"/>
      <c r="AY731" s="19"/>
      <c r="AZ731" s="19"/>
      <c r="BA731" s="19"/>
      <c r="BB731" s="19"/>
      <c r="BC731" s="19"/>
      <c r="BD731" s="19"/>
      <c r="BE731" s="19"/>
      <c r="BF731" s="19"/>
      <c r="BG731" s="19"/>
      <c r="BH731" s="19"/>
      <c r="BI731" s="19"/>
      <c r="BJ731" s="19"/>
      <c r="BK731" s="19"/>
      <c r="BL731" s="20"/>
      <c r="BM731" s="19"/>
      <c r="BN731" s="19"/>
      <c r="BO731" s="19"/>
      <c r="BP731" s="19"/>
      <c r="BQ731" s="19"/>
    </row>
    <row r="732" spans="1:69" ht="12" customHeight="1">
      <c r="A732" s="1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19"/>
      <c r="AG732" s="20"/>
      <c r="AH732" s="19"/>
      <c r="AI732" s="19"/>
      <c r="AJ732" s="19"/>
      <c r="AK732" s="19"/>
      <c r="AL732" s="19"/>
      <c r="AM732" s="19"/>
      <c r="AN732" s="19"/>
      <c r="AO732" s="19"/>
      <c r="AP732" s="19"/>
      <c r="AQ732" s="19"/>
      <c r="AR732" s="19"/>
      <c r="AS732" s="19"/>
      <c r="AT732" s="19"/>
      <c r="AU732" s="19"/>
      <c r="AV732" s="19"/>
      <c r="AW732" s="19"/>
      <c r="AX732" s="19"/>
      <c r="AY732" s="19"/>
      <c r="AZ732" s="19"/>
      <c r="BA732" s="19"/>
      <c r="BB732" s="19"/>
      <c r="BC732" s="19"/>
      <c r="BD732" s="19"/>
      <c r="BE732" s="19"/>
      <c r="BF732" s="19"/>
      <c r="BG732" s="19"/>
      <c r="BH732" s="19"/>
      <c r="BI732" s="19"/>
      <c r="BJ732" s="19"/>
      <c r="BK732" s="19"/>
      <c r="BL732" s="20"/>
      <c r="BM732" s="19"/>
      <c r="BN732" s="19"/>
      <c r="BO732" s="19"/>
      <c r="BP732" s="19"/>
      <c r="BQ732" s="19"/>
    </row>
    <row r="733" spans="1:69" ht="12" customHeight="1">
      <c r="A733" s="1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19"/>
      <c r="AG733" s="20"/>
      <c r="AH733" s="19"/>
      <c r="AI733" s="19"/>
      <c r="AJ733" s="19"/>
      <c r="AK733" s="19"/>
      <c r="AL733" s="19"/>
      <c r="AM733" s="19"/>
      <c r="AN733" s="19"/>
      <c r="AO733" s="19"/>
      <c r="AP733" s="19"/>
      <c r="AQ733" s="19"/>
      <c r="AR733" s="19"/>
      <c r="AS733" s="19"/>
      <c r="AT733" s="19"/>
      <c r="AU733" s="19"/>
      <c r="AV733" s="19"/>
      <c r="AW733" s="19"/>
      <c r="AX733" s="19"/>
      <c r="AY733" s="19"/>
      <c r="AZ733" s="19"/>
      <c r="BA733" s="19"/>
      <c r="BB733" s="19"/>
      <c r="BC733" s="19"/>
      <c r="BD733" s="19"/>
      <c r="BE733" s="19"/>
      <c r="BF733" s="19"/>
      <c r="BG733" s="19"/>
      <c r="BH733" s="19"/>
      <c r="BI733" s="19"/>
      <c r="BJ733" s="19"/>
      <c r="BK733" s="19"/>
      <c r="BL733" s="20"/>
      <c r="BM733" s="19"/>
      <c r="BN733" s="19"/>
      <c r="BO733" s="19"/>
      <c r="BP733" s="19"/>
      <c r="BQ733" s="19"/>
    </row>
    <row r="734" spans="1:69" ht="12" customHeight="1">
      <c r="A734" s="1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19"/>
      <c r="AG734" s="20"/>
      <c r="AH734" s="19"/>
      <c r="AI734" s="19"/>
      <c r="AJ734" s="19"/>
      <c r="AK734" s="19"/>
      <c r="AL734" s="19"/>
      <c r="AM734" s="19"/>
      <c r="AN734" s="19"/>
      <c r="AO734" s="19"/>
      <c r="AP734" s="19"/>
      <c r="AQ734" s="19"/>
      <c r="AR734" s="19"/>
      <c r="AS734" s="19"/>
      <c r="AT734" s="19"/>
      <c r="AU734" s="19"/>
      <c r="AV734" s="19"/>
      <c r="AW734" s="19"/>
      <c r="AX734" s="19"/>
      <c r="AY734" s="19"/>
      <c r="AZ734" s="19"/>
      <c r="BA734" s="19"/>
      <c r="BB734" s="19"/>
      <c r="BC734" s="19"/>
      <c r="BD734" s="19"/>
      <c r="BE734" s="19"/>
      <c r="BF734" s="19"/>
      <c r="BG734" s="19"/>
      <c r="BH734" s="19"/>
      <c r="BI734" s="19"/>
      <c r="BJ734" s="19"/>
      <c r="BK734" s="19"/>
      <c r="BL734" s="20"/>
      <c r="BM734" s="19"/>
      <c r="BN734" s="19"/>
      <c r="BO734" s="19"/>
      <c r="BP734" s="19"/>
      <c r="BQ734" s="19"/>
    </row>
    <row r="735" spans="1:69" ht="12" customHeight="1">
      <c r="A735" s="1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/>
      <c r="AD735" s="19"/>
      <c r="AE735" s="19"/>
      <c r="AF735" s="19"/>
      <c r="AG735" s="20"/>
      <c r="AH735" s="19"/>
      <c r="AI735" s="19"/>
      <c r="AJ735" s="19"/>
      <c r="AK735" s="19"/>
      <c r="AL735" s="19"/>
      <c r="AM735" s="19"/>
      <c r="AN735" s="19"/>
      <c r="AO735" s="19"/>
      <c r="AP735" s="19"/>
      <c r="AQ735" s="19"/>
      <c r="AR735" s="19"/>
      <c r="AS735" s="19"/>
      <c r="AT735" s="19"/>
      <c r="AU735" s="19"/>
      <c r="AV735" s="19"/>
      <c r="AW735" s="19"/>
      <c r="AX735" s="19"/>
      <c r="AY735" s="19"/>
      <c r="AZ735" s="19"/>
      <c r="BA735" s="19"/>
      <c r="BB735" s="19"/>
      <c r="BC735" s="19"/>
      <c r="BD735" s="19"/>
      <c r="BE735" s="19"/>
      <c r="BF735" s="19"/>
      <c r="BG735" s="19"/>
      <c r="BH735" s="19"/>
      <c r="BI735" s="19"/>
      <c r="BJ735" s="19"/>
      <c r="BK735" s="19"/>
      <c r="BL735" s="20"/>
      <c r="BM735" s="19"/>
      <c r="BN735" s="19"/>
      <c r="BO735" s="19"/>
      <c r="BP735" s="19"/>
      <c r="BQ735" s="19"/>
    </row>
    <row r="736" spans="1:69" ht="12" customHeight="1">
      <c r="A736" s="1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19"/>
      <c r="AG736" s="20"/>
      <c r="AH736" s="19"/>
      <c r="AI736" s="19"/>
      <c r="AJ736" s="19"/>
      <c r="AK736" s="19"/>
      <c r="AL736" s="19"/>
      <c r="AM736" s="19"/>
      <c r="AN736" s="19"/>
      <c r="AO736" s="19"/>
      <c r="AP736" s="19"/>
      <c r="AQ736" s="19"/>
      <c r="AR736" s="19"/>
      <c r="AS736" s="19"/>
      <c r="AT736" s="19"/>
      <c r="AU736" s="19"/>
      <c r="AV736" s="19"/>
      <c r="AW736" s="19"/>
      <c r="AX736" s="19"/>
      <c r="AY736" s="19"/>
      <c r="AZ736" s="19"/>
      <c r="BA736" s="19"/>
      <c r="BB736" s="19"/>
      <c r="BC736" s="19"/>
      <c r="BD736" s="19"/>
      <c r="BE736" s="19"/>
      <c r="BF736" s="19"/>
      <c r="BG736" s="19"/>
      <c r="BH736" s="19"/>
      <c r="BI736" s="19"/>
      <c r="BJ736" s="19"/>
      <c r="BK736" s="19"/>
      <c r="BL736" s="20"/>
      <c r="BM736" s="19"/>
      <c r="BN736" s="19"/>
      <c r="BO736" s="19"/>
      <c r="BP736" s="19"/>
      <c r="BQ736" s="19"/>
    </row>
    <row r="737" spans="1:69" ht="12" customHeight="1">
      <c r="A737" s="1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/>
      <c r="AD737" s="19"/>
      <c r="AE737" s="19"/>
      <c r="AF737" s="19"/>
      <c r="AG737" s="20"/>
      <c r="AH737" s="19"/>
      <c r="AI737" s="19"/>
      <c r="AJ737" s="19"/>
      <c r="AK737" s="19"/>
      <c r="AL737" s="19"/>
      <c r="AM737" s="19"/>
      <c r="AN737" s="19"/>
      <c r="AO737" s="19"/>
      <c r="AP737" s="19"/>
      <c r="AQ737" s="19"/>
      <c r="AR737" s="19"/>
      <c r="AS737" s="19"/>
      <c r="AT737" s="19"/>
      <c r="AU737" s="19"/>
      <c r="AV737" s="19"/>
      <c r="AW737" s="19"/>
      <c r="AX737" s="19"/>
      <c r="AY737" s="19"/>
      <c r="AZ737" s="19"/>
      <c r="BA737" s="19"/>
      <c r="BB737" s="19"/>
      <c r="BC737" s="19"/>
      <c r="BD737" s="19"/>
      <c r="BE737" s="19"/>
      <c r="BF737" s="19"/>
      <c r="BG737" s="19"/>
      <c r="BH737" s="19"/>
      <c r="BI737" s="19"/>
      <c r="BJ737" s="19"/>
      <c r="BK737" s="19"/>
      <c r="BL737" s="20"/>
      <c r="BM737" s="19"/>
      <c r="BN737" s="19"/>
      <c r="BO737" s="19"/>
      <c r="BP737" s="19"/>
      <c r="BQ737" s="19"/>
    </row>
    <row r="738" spans="1:69" ht="12" customHeight="1">
      <c r="A738" s="1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19"/>
      <c r="AG738" s="20"/>
      <c r="AH738" s="19"/>
      <c r="AI738" s="19"/>
      <c r="AJ738" s="19"/>
      <c r="AK738" s="19"/>
      <c r="AL738" s="19"/>
      <c r="AM738" s="19"/>
      <c r="AN738" s="19"/>
      <c r="AO738" s="19"/>
      <c r="AP738" s="19"/>
      <c r="AQ738" s="19"/>
      <c r="AR738" s="19"/>
      <c r="AS738" s="19"/>
      <c r="AT738" s="19"/>
      <c r="AU738" s="19"/>
      <c r="AV738" s="19"/>
      <c r="AW738" s="19"/>
      <c r="AX738" s="19"/>
      <c r="AY738" s="19"/>
      <c r="AZ738" s="19"/>
      <c r="BA738" s="19"/>
      <c r="BB738" s="19"/>
      <c r="BC738" s="19"/>
      <c r="BD738" s="19"/>
      <c r="BE738" s="19"/>
      <c r="BF738" s="19"/>
      <c r="BG738" s="19"/>
      <c r="BH738" s="19"/>
      <c r="BI738" s="19"/>
      <c r="BJ738" s="19"/>
      <c r="BK738" s="19"/>
      <c r="BL738" s="20"/>
      <c r="BM738" s="19"/>
      <c r="BN738" s="19"/>
      <c r="BO738" s="19"/>
      <c r="BP738" s="19"/>
      <c r="BQ738" s="19"/>
    </row>
    <row r="739" spans="1:69" ht="12" customHeight="1">
      <c r="A739" s="1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/>
      <c r="AD739" s="19"/>
      <c r="AE739" s="19"/>
      <c r="AF739" s="19"/>
      <c r="AG739" s="20"/>
      <c r="AH739" s="19"/>
      <c r="AI739" s="19"/>
      <c r="AJ739" s="19"/>
      <c r="AK739" s="19"/>
      <c r="AL739" s="19"/>
      <c r="AM739" s="19"/>
      <c r="AN739" s="19"/>
      <c r="AO739" s="19"/>
      <c r="AP739" s="19"/>
      <c r="AQ739" s="19"/>
      <c r="AR739" s="19"/>
      <c r="AS739" s="19"/>
      <c r="AT739" s="19"/>
      <c r="AU739" s="19"/>
      <c r="AV739" s="19"/>
      <c r="AW739" s="19"/>
      <c r="AX739" s="19"/>
      <c r="AY739" s="19"/>
      <c r="AZ739" s="19"/>
      <c r="BA739" s="19"/>
      <c r="BB739" s="19"/>
      <c r="BC739" s="19"/>
      <c r="BD739" s="19"/>
      <c r="BE739" s="19"/>
      <c r="BF739" s="19"/>
      <c r="BG739" s="19"/>
      <c r="BH739" s="19"/>
      <c r="BI739" s="19"/>
      <c r="BJ739" s="19"/>
      <c r="BK739" s="19"/>
      <c r="BL739" s="20"/>
      <c r="BM739" s="19"/>
      <c r="BN739" s="19"/>
      <c r="BO739" s="19"/>
      <c r="BP739" s="19"/>
      <c r="BQ739" s="19"/>
    </row>
    <row r="740" spans="1:69" ht="12" customHeight="1">
      <c r="A740" s="1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19"/>
      <c r="AG740" s="20"/>
      <c r="AH740" s="19"/>
      <c r="AI740" s="19"/>
      <c r="AJ740" s="19"/>
      <c r="AK740" s="19"/>
      <c r="AL740" s="19"/>
      <c r="AM740" s="19"/>
      <c r="AN740" s="19"/>
      <c r="AO740" s="19"/>
      <c r="AP740" s="19"/>
      <c r="AQ740" s="19"/>
      <c r="AR740" s="19"/>
      <c r="AS740" s="19"/>
      <c r="AT740" s="19"/>
      <c r="AU740" s="19"/>
      <c r="AV740" s="19"/>
      <c r="AW740" s="19"/>
      <c r="AX740" s="19"/>
      <c r="AY740" s="19"/>
      <c r="AZ740" s="19"/>
      <c r="BA740" s="19"/>
      <c r="BB740" s="19"/>
      <c r="BC740" s="19"/>
      <c r="BD740" s="19"/>
      <c r="BE740" s="19"/>
      <c r="BF740" s="19"/>
      <c r="BG740" s="19"/>
      <c r="BH740" s="19"/>
      <c r="BI740" s="19"/>
      <c r="BJ740" s="19"/>
      <c r="BK740" s="19"/>
      <c r="BL740" s="20"/>
      <c r="BM740" s="19"/>
      <c r="BN740" s="19"/>
      <c r="BO740" s="19"/>
      <c r="BP740" s="19"/>
      <c r="BQ740" s="19"/>
    </row>
    <row r="741" spans="1:69" ht="12" customHeight="1">
      <c r="A741" s="1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/>
      <c r="AD741" s="19"/>
      <c r="AE741" s="19"/>
      <c r="AF741" s="19"/>
      <c r="AG741" s="20"/>
      <c r="AH741" s="19"/>
      <c r="AI741" s="19"/>
      <c r="AJ741" s="19"/>
      <c r="AK741" s="19"/>
      <c r="AL741" s="19"/>
      <c r="AM741" s="19"/>
      <c r="AN741" s="19"/>
      <c r="AO741" s="19"/>
      <c r="AP741" s="19"/>
      <c r="AQ741" s="19"/>
      <c r="AR741" s="19"/>
      <c r="AS741" s="19"/>
      <c r="AT741" s="19"/>
      <c r="AU741" s="19"/>
      <c r="AV741" s="19"/>
      <c r="AW741" s="19"/>
      <c r="AX741" s="19"/>
      <c r="AY741" s="19"/>
      <c r="AZ741" s="19"/>
      <c r="BA741" s="19"/>
      <c r="BB741" s="19"/>
      <c r="BC741" s="19"/>
      <c r="BD741" s="19"/>
      <c r="BE741" s="19"/>
      <c r="BF741" s="19"/>
      <c r="BG741" s="19"/>
      <c r="BH741" s="19"/>
      <c r="BI741" s="19"/>
      <c r="BJ741" s="19"/>
      <c r="BK741" s="19"/>
      <c r="BL741" s="20"/>
      <c r="BM741" s="19"/>
      <c r="BN741" s="19"/>
      <c r="BO741" s="19"/>
      <c r="BP741" s="19"/>
      <c r="BQ741" s="19"/>
    </row>
    <row r="742" spans="1:69" ht="12" customHeight="1">
      <c r="A742" s="1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19"/>
      <c r="AG742" s="20"/>
      <c r="AH742" s="19"/>
      <c r="AI742" s="19"/>
      <c r="AJ742" s="19"/>
      <c r="AK742" s="19"/>
      <c r="AL742" s="19"/>
      <c r="AM742" s="19"/>
      <c r="AN742" s="19"/>
      <c r="AO742" s="19"/>
      <c r="AP742" s="19"/>
      <c r="AQ742" s="19"/>
      <c r="AR742" s="19"/>
      <c r="AS742" s="19"/>
      <c r="AT742" s="19"/>
      <c r="AU742" s="19"/>
      <c r="AV742" s="19"/>
      <c r="AW742" s="19"/>
      <c r="AX742" s="19"/>
      <c r="AY742" s="19"/>
      <c r="AZ742" s="19"/>
      <c r="BA742" s="19"/>
      <c r="BB742" s="19"/>
      <c r="BC742" s="19"/>
      <c r="BD742" s="19"/>
      <c r="BE742" s="19"/>
      <c r="BF742" s="19"/>
      <c r="BG742" s="19"/>
      <c r="BH742" s="19"/>
      <c r="BI742" s="19"/>
      <c r="BJ742" s="19"/>
      <c r="BK742" s="19"/>
      <c r="BL742" s="20"/>
      <c r="BM742" s="19"/>
      <c r="BN742" s="19"/>
      <c r="BO742" s="19"/>
      <c r="BP742" s="19"/>
      <c r="BQ742" s="19"/>
    </row>
    <row r="743" spans="1:69" ht="12" customHeight="1">
      <c r="A743" s="1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/>
      <c r="AD743" s="19"/>
      <c r="AE743" s="19"/>
      <c r="AF743" s="19"/>
      <c r="AG743" s="20"/>
      <c r="AH743" s="19"/>
      <c r="AI743" s="19"/>
      <c r="AJ743" s="19"/>
      <c r="AK743" s="19"/>
      <c r="AL743" s="19"/>
      <c r="AM743" s="19"/>
      <c r="AN743" s="19"/>
      <c r="AO743" s="19"/>
      <c r="AP743" s="19"/>
      <c r="AQ743" s="19"/>
      <c r="AR743" s="19"/>
      <c r="AS743" s="19"/>
      <c r="AT743" s="19"/>
      <c r="AU743" s="19"/>
      <c r="AV743" s="19"/>
      <c r="AW743" s="19"/>
      <c r="AX743" s="19"/>
      <c r="AY743" s="19"/>
      <c r="AZ743" s="19"/>
      <c r="BA743" s="19"/>
      <c r="BB743" s="19"/>
      <c r="BC743" s="19"/>
      <c r="BD743" s="19"/>
      <c r="BE743" s="19"/>
      <c r="BF743" s="19"/>
      <c r="BG743" s="19"/>
      <c r="BH743" s="19"/>
      <c r="BI743" s="19"/>
      <c r="BJ743" s="19"/>
      <c r="BK743" s="19"/>
      <c r="BL743" s="20"/>
      <c r="BM743" s="19"/>
      <c r="BN743" s="19"/>
      <c r="BO743" s="19"/>
      <c r="BP743" s="19"/>
      <c r="BQ743" s="19"/>
    </row>
    <row r="744" spans="1:69" ht="12" customHeight="1">
      <c r="A744" s="1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19"/>
      <c r="AG744" s="20"/>
      <c r="AH744" s="19"/>
      <c r="AI744" s="19"/>
      <c r="AJ744" s="19"/>
      <c r="AK744" s="19"/>
      <c r="AL744" s="19"/>
      <c r="AM744" s="19"/>
      <c r="AN744" s="19"/>
      <c r="AO744" s="19"/>
      <c r="AP744" s="19"/>
      <c r="AQ744" s="19"/>
      <c r="AR744" s="19"/>
      <c r="AS744" s="19"/>
      <c r="AT744" s="19"/>
      <c r="AU744" s="19"/>
      <c r="AV744" s="19"/>
      <c r="AW744" s="19"/>
      <c r="AX744" s="19"/>
      <c r="AY744" s="19"/>
      <c r="AZ744" s="19"/>
      <c r="BA744" s="19"/>
      <c r="BB744" s="19"/>
      <c r="BC744" s="19"/>
      <c r="BD744" s="19"/>
      <c r="BE744" s="19"/>
      <c r="BF744" s="19"/>
      <c r="BG744" s="19"/>
      <c r="BH744" s="19"/>
      <c r="BI744" s="19"/>
      <c r="BJ744" s="19"/>
      <c r="BK744" s="19"/>
      <c r="BL744" s="20"/>
      <c r="BM744" s="19"/>
      <c r="BN744" s="19"/>
      <c r="BO744" s="19"/>
      <c r="BP744" s="19"/>
      <c r="BQ744" s="19"/>
    </row>
    <row r="745" spans="1:69" ht="12" customHeight="1">
      <c r="A745" s="1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/>
      <c r="AD745" s="19"/>
      <c r="AE745" s="19"/>
      <c r="AF745" s="19"/>
      <c r="AG745" s="20"/>
      <c r="AH745" s="19"/>
      <c r="AI745" s="19"/>
      <c r="AJ745" s="19"/>
      <c r="AK745" s="19"/>
      <c r="AL745" s="19"/>
      <c r="AM745" s="19"/>
      <c r="AN745" s="19"/>
      <c r="AO745" s="19"/>
      <c r="AP745" s="19"/>
      <c r="AQ745" s="19"/>
      <c r="AR745" s="19"/>
      <c r="AS745" s="19"/>
      <c r="AT745" s="19"/>
      <c r="AU745" s="19"/>
      <c r="AV745" s="19"/>
      <c r="AW745" s="19"/>
      <c r="AX745" s="19"/>
      <c r="AY745" s="19"/>
      <c r="AZ745" s="19"/>
      <c r="BA745" s="19"/>
      <c r="BB745" s="19"/>
      <c r="BC745" s="19"/>
      <c r="BD745" s="19"/>
      <c r="BE745" s="19"/>
      <c r="BF745" s="19"/>
      <c r="BG745" s="19"/>
      <c r="BH745" s="19"/>
      <c r="BI745" s="19"/>
      <c r="BJ745" s="19"/>
      <c r="BK745" s="19"/>
      <c r="BL745" s="20"/>
      <c r="BM745" s="19"/>
      <c r="BN745" s="19"/>
      <c r="BO745" s="19"/>
      <c r="BP745" s="19"/>
      <c r="BQ745" s="19"/>
    </row>
    <row r="746" spans="1:69" ht="12" customHeight="1">
      <c r="A746" s="1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19"/>
      <c r="AG746" s="20"/>
      <c r="AH746" s="19"/>
      <c r="AI746" s="19"/>
      <c r="AJ746" s="19"/>
      <c r="AK746" s="19"/>
      <c r="AL746" s="19"/>
      <c r="AM746" s="19"/>
      <c r="AN746" s="19"/>
      <c r="AO746" s="19"/>
      <c r="AP746" s="19"/>
      <c r="AQ746" s="19"/>
      <c r="AR746" s="19"/>
      <c r="AS746" s="19"/>
      <c r="AT746" s="19"/>
      <c r="AU746" s="19"/>
      <c r="AV746" s="19"/>
      <c r="AW746" s="19"/>
      <c r="AX746" s="19"/>
      <c r="AY746" s="19"/>
      <c r="AZ746" s="19"/>
      <c r="BA746" s="19"/>
      <c r="BB746" s="19"/>
      <c r="BC746" s="19"/>
      <c r="BD746" s="19"/>
      <c r="BE746" s="19"/>
      <c r="BF746" s="19"/>
      <c r="BG746" s="19"/>
      <c r="BH746" s="19"/>
      <c r="BI746" s="19"/>
      <c r="BJ746" s="19"/>
      <c r="BK746" s="19"/>
      <c r="BL746" s="20"/>
      <c r="BM746" s="19"/>
      <c r="BN746" s="19"/>
      <c r="BO746" s="19"/>
      <c r="BP746" s="19"/>
      <c r="BQ746" s="19"/>
    </row>
    <row r="747" spans="1:69" ht="12" customHeight="1">
      <c r="A747" s="1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19"/>
      <c r="AG747" s="20"/>
      <c r="AH747" s="19"/>
      <c r="AI747" s="19"/>
      <c r="AJ747" s="19"/>
      <c r="AK747" s="19"/>
      <c r="AL747" s="19"/>
      <c r="AM747" s="19"/>
      <c r="AN747" s="19"/>
      <c r="AO747" s="19"/>
      <c r="AP747" s="19"/>
      <c r="AQ747" s="19"/>
      <c r="AR747" s="19"/>
      <c r="AS747" s="19"/>
      <c r="AT747" s="19"/>
      <c r="AU747" s="19"/>
      <c r="AV747" s="19"/>
      <c r="AW747" s="19"/>
      <c r="AX747" s="19"/>
      <c r="AY747" s="19"/>
      <c r="AZ747" s="19"/>
      <c r="BA747" s="19"/>
      <c r="BB747" s="19"/>
      <c r="BC747" s="19"/>
      <c r="BD747" s="19"/>
      <c r="BE747" s="19"/>
      <c r="BF747" s="19"/>
      <c r="BG747" s="19"/>
      <c r="BH747" s="19"/>
      <c r="BI747" s="19"/>
      <c r="BJ747" s="19"/>
      <c r="BK747" s="19"/>
      <c r="BL747" s="20"/>
      <c r="BM747" s="19"/>
      <c r="BN747" s="19"/>
      <c r="BO747" s="19"/>
      <c r="BP747" s="19"/>
      <c r="BQ747" s="19"/>
    </row>
    <row r="748" spans="1:69" ht="12" customHeight="1">
      <c r="A748" s="1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19"/>
      <c r="AG748" s="20"/>
      <c r="AH748" s="19"/>
      <c r="AI748" s="19"/>
      <c r="AJ748" s="19"/>
      <c r="AK748" s="19"/>
      <c r="AL748" s="19"/>
      <c r="AM748" s="19"/>
      <c r="AN748" s="19"/>
      <c r="AO748" s="19"/>
      <c r="AP748" s="19"/>
      <c r="AQ748" s="19"/>
      <c r="AR748" s="19"/>
      <c r="AS748" s="19"/>
      <c r="AT748" s="19"/>
      <c r="AU748" s="19"/>
      <c r="AV748" s="19"/>
      <c r="AW748" s="19"/>
      <c r="AX748" s="19"/>
      <c r="AY748" s="19"/>
      <c r="AZ748" s="19"/>
      <c r="BA748" s="19"/>
      <c r="BB748" s="19"/>
      <c r="BC748" s="19"/>
      <c r="BD748" s="19"/>
      <c r="BE748" s="19"/>
      <c r="BF748" s="19"/>
      <c r="BG748" s="19"/>
      <c r="BH748" s="19"/>
      <c r="BI748" s="19"/>
      <c r="BJ748" s="19"/>
      <c r="BK748" s="19"/>
      <c r="BL748" s="20"/>
      <c r="BM748" s="19"/>
      <c r="BN748" s="19"/>
      <c r="BO748" s="19"/>
      <c r="BP748" s="19"/>
      <c r="BQ748" s="19"/>
    </row>
    <row r="749" spans="1:69" ht="12" customHeight="1">
      <c r="A749" s="1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/>
      <c r="AD749" s="19"/>
      <c r="AE749" s="19"/>
      <c r="AF749" s="19"/>
      <c r="AG749" s="20"/>
      <c r="AH749" s="19"/>
      <c r="AI749" s="19"/>
      <c r="AJ749" s="19"/>
      <c r="AK749" s="19"/>
      <c r="AL749" s="19"/>
      <c r="AM749" s="19"/>
      <c r="AN749" s="19"/>
      <c r="AO749" s="19"/>
      <c r="AP749" s="19"/>
      <c r="AQ749" s="19"/>
      <c r="AR749" s="19"/>
      <c r="AS749" s="19"/>
      <c r="AT749" s="19"/>
      <c r="AU749" s="19"/>
      <c r="AV749" s="19"/>
      <c r="AW749" s="19"/>
      <c r="AX749" s="19"/>
      <c r="AY749" s="19"/>
      <c r="AZ749" s="19"/>
      <c r="BA749" s="19"/>
      <c r="BB749" s="19"/>
      <c r="BC749" s="19"/>
      <c r="BD749" s="19"/>
      <c r="BE749" s="19"/>
      <c r="BF749" s="19"/>
      <c r="BG749" s="19"/>
      <c r="BH749" s="19"/>
      <c r="BI749" s="19"/>
      <c r="BJ749" s="19"/>
      <c r="BK749" s="19"/>
      <c r="BL749" s="20"/>
      <c r="BM749" s="19"/>
      <c r="BN749" s="19"/>
      <c r="BO749" s="19"/>
      <c r="BP749" s="19"/>
      <c r="BQ749" s="19"/>
    </row>
    <row r="750" spans="1:69" ht="12" customHeight="1">
      <c r="A750" s="1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19"/>
      <c r="AG750" s="20"/>
      <c r="AH750" s="19"/>
      <c r="AI750" s="19"/>
      <c r="AJ750" s="19"/>
      <c r="AK750" s="19"/>
      <c r="AL750" s="19"/>
      <c r="AM750" s="19"/>
      <c r="AN750" s="19"/>
      <c r="AO750" s="19"/>
      <c r="AP750" s="19"/>
      <c r="AQ750" s="19"/>
      <c r="AR750" s="19"/>
      <c r="AS750" s="19"/>
      <c r="AT750" s="19"/>
      <c r="AU750" s="19"/>
      <c r="AV750" s="19"/>
      <c r="AW750" s="19"/>
      <c r="AX750" s="19"/>
      <c r="AY750" s="19"/>
      <c r="AZ750" s="19"/>
      <c r="BA750" s="19"/>
      <c r="BB750" s="19"/>
      <c r="BC750" s="19"/>
      <c r="BD750" s="19"/>
      <c r="BE750" s="19"/>
      <c r="BF750" s="19"/>
      <c r="BG750" s="19"/>
      <c r="BH750" s="19"/>
      <c r="BI750" s="19"/>
      <c r="BJ750" s="19"/>
      <c r="BK750" s="19"/>
      <c r="BL750" s="20"/>
      <c r="BM750" s="19"/>
      <c r="BN750" s="19"/>
      <c r="BO750" s="19"/>
      <c r="BP750" s="19"/>
      <c r="BQ750" s="19"/>
    </row>
    <row r="751" spans="1:69" ht="12" customHeight="1">
      <c r="A751" s="1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/>
      <c r="AD751" s="19"/>
      <c r="AE751" s="19"/>
      <c r="AF751" s="19"/>
      <c r="AG751" s="20"/>
      <c r="AH751" s="19"/>
      <c r="AI751" s="19"/>
      <c r="AJ751" s="19"/>
      <c r="AK751" s="19"/>
      <c r="AL751" s="19"/>
      <c r="AM751" s="19"/>
      <c r="AN751" s="19"/>
      <c r="AO751" s="19"/>
      <c r="AP751" s="19"/>
      <c r="AQ751" s="19"/>
      <c r="AR751" s="19"/>
      <c r="AS751" s="19"/>
      <c r="AT751" s="19"/>
      <c r="AU751" s="19"/>
      <c r="AV751" s="19"/>
      <c r="AW751" s="19"/>
      <c r="AX751" s="19"/>
      <c r="AY751" s="19"/>
      <c r="AZ751" s="19"/>
      <c r="BA751" s="19"/>
      <c r="BB751" s="19"/>
      <c r="BC751" s="19"/>
      <c r="BD751" s="19"/>
      <c r="BE751" s="19"/>
      <c r="BF751" s="19"/>
      <c r="BG751" s="19"/>
      <c r="BH751" s="19"/>
      <c r="BI751" s="19"/>
      <c r="BJ751" s="19"/>
      <c r="BK751" s="19"/>
      <c r="BL751" s="20"/>
      <c r="BM751" s="19"/>
      <c r="BN751" s="19"/>
      <c r="BO751" s="19"/>
      <c r="BP751" s="19"/>
      <c r="BQ751" s="19"/>
    </row>
    <row r="752" spans="1:69" ht="12" customHeight="1">
      <c r="A752" s="1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19"/>
      <c r="AG752" s="20"/>
      <c r="AH752" s="19"/>
      <c r="AI752" s="19"/>
      <c r="AJ752" s="19"/>
      <c r="AK752" s="19"/>
      <c r="AL752" s="19"/>
      <c r="AM752" s="19"/>
      <c r="AN752" s="19"/>
      <c r="AO752" s="19"/>
      <c r="AP752" s="19"/>
      <c r="AQ752" s="19"/>
      <c r="AR752" s="19"/>
      <c r="AS752" s="19"/>
      <c r="AT752" s="19"/>
      <c r="AU752" s="19"/>
      <c r="AV752" s="19"/>
      <c r="AW752" s="19"/>
      <c r="AX752" s="19"/>
      <c r="AY752" s="19"/>
      <c r="AZ752" s="19"/>
      <c r="BA752" s="19"/>
      <c r="BB752" s="19"/>
      <c r="BC752" s="19"/>
      <c r="BD752" s="19"/>
      <c r="BE752" s="19"/>
      <c r="BF752" s="19"/>
      <c r="BG752" s="19"/>
      <c r="BH752" s="19"/>
      <c r="BI752" s="19"/>
      <c r="BJ752" s="19"/>
      <c r="BK752" s="19"/>
      <c r="BL752" s="20"/>
      <c r="BM752" s="19"/>
      <c r="BN752" s="19"/>
      <c r="BO752" s="19"/>
      <c r="BP752" s="19"/>
      <c r="BQ752" s="19"/>
    </row>
    <row r="753" spans="1:69" ht="12" customHeight="1">
      <c r="A753" s="1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/>
      <c r="AD753" s="19"/>
      <c r="AE753" s="19"/>
      <c r="AF753" s="19"/>
      <c r="AG753" s="20"/>
      <c r="AH753" s="19"/>
      <c r="AI753" s="19"/>
      <c r="AJ753" s="19"/>
      <c r="AK753" s="19"/>
      <c r="AL753" s="19"/>
      <c r="AM753" s="19"/>
      <c r="AN753" s="19"/>
      <c r="AO753" s="19"/>
      <c r="AP753" s="19"/>
      <c r="AQ753" s="19"/>
      <c r="AR753" s="19"/>
      <c r="AS753" s="19"/>
      <c r="AT753" s="19"/>
      <c r="AU753" s="19"/>
      <c r="AV753" s="19"/>
      <c r="AW753" s="19"/>
      <c r="AX753" s="19"/>
      <c r="AY753" s="19"/>
      <c r="AZ753" s="19"/>
      <c r="BA753" s="19"/>
      <c r="BB753" s="19"/>
      <c r="BC753" s="19"/>
      <c r="BD753" s="19"/>
      <c r="BE753" s="19"/>
      <c r="BF753" s="19"/>
      <c r="BG753" s="19"/>
      <c r="BH753" s="19"/>
      <c r="BI753" s="19"/>
      <c r="BJ753" s="19"/>
      <c r="BK753" s="19"/>
      <c r="BL753" s="20"/>
      <c r="BM753" s="19"/>
      <c r="BN753" s="19"/>
      <c r="BO753" s="19"/>
      <c r="BP753" s="19"/>
      <c r="BQ753" s="19"/>
    </row>
    <row r="754" spans="1:69" ht="12" customHeight="1">
      <c r="A754" s="1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19"/>
      <c r="AG754" s="20"/>
      <c r="AH754" s="19"/>
      <c r="AI754" s="19"/>
      <c r="AJ754" s="19"/>
      <c r="AK754" s="19"/>
      <c r="AL754" s="19"/>
      <c r="AM754" s="19"/>
      <c r="AN754" s="19"/>
      <c r="AO754" s="19"/>
      <c r="AP754" s="19"/>
      <c r="AQ754" s="19"/>
      <c r="AR754" s="19"/>
      <c r="AS754" s="19"/>
      <c r="AT754" s="19"/>
      <c r="AU754" s="19"/>
      <c r="AV754" s="19"/>
      <c r="AW754" s="19"/>
      <c r="AX754" s="19"/>
      <c r="AY754" s="19"/>
      <c r="AZ754" s="19"/>
      <c r="BA754" s="19"/>
      <c r="BB754" s="19"/>
      <c r="BC754" s="19"/>
      <c r="BD754" s="19"/>
      <c r="BE754" s="19"/>
      <c r="BF754" s="19"/>
      <c r="BG754" s="19"/>
      <c r="BH754" s="19"/>
      <c r="BI754" s="19"/>
      <c r="BJ754" s="19"/>
      <c r="BK754" s="19"/>
      <c r="BL754" s="20"/>
      <c r="BM754" s="19"/>
      <c r="BN754" s="19"/>
      <c r="BO754" s="19"/>
      <c r="BP754" s="19"/>
      <c r="BQ754" s="19"/>
    </row>
    <row r="755" spans="1:69" ht="12" customHeight="1">
      <c r="A755" s="1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19"/>
      <c r="AG755" s="20"/>
      <c r="AH755" s="19"/>
      <c r="AI755" s="19"/>
      <c r="AJ755" s="19"/>
      <c r="AK755" s="19"/>
      <c r="AL755" s="19"/>
      <c r="AM755" s="19"/>
      <c r="AN755" s="19"/>
      <c r="AO755" s="19"/>
      <c r="AP755" s="19"/>
      <c r="AQ755" s="19"/>
      <c r="AR755" s="19"/>
      <c r="AS755" s="19"/>
      <c r="AT755" s="19"/>
      <c r="AU755" s="19"/>
      <c r="AV755" s="19"/>
      <c r="AW755" s="19"/>
      <c r="AX755" s="19"/>
      <c r="AY755" s="19"/>
      <c r="AZ755" s="19"/>
      <c r="BA755" s="19"/>
      <c r="BB755" s="19"/>
      <c r="BC755" s="19"/>
      <c r="BD755" s="19"/>
      <c r="BE755" s="19"/>
      <c r="BF755" s="19"/>
      <c r="BG755" s="19"/>
      <c r="BH755" s="19"/>
      <c r="BI755" s="19"/>
      <c r="BJ755" s="19"/>
      <c r="BK755" s="19"/>
      <c r="BL755" s="20"/>
      <c r="BM755" s="19"/>
      <c r="BN755" s="19"/>
      <c r="BO755" s="19"/>
      <c r="BP755" s="19"/>
      <c r="BQ755" s="19"/>
    </row>
    <row r="756" spans="1:69" ht="12" customHeight="1">
      <c r="A756" s="1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20"/>
      <c r="AH756" s="19"/>
      <c r="AI756" s="19"/>
      <c r="AJ756" s="19"/>
      <c r="AK756" s="19"/>
      <c r="AL756" s="19"/>
      <c r="AM756" s="19"/>
      <c r="AN756" s="19"/>
      <c r="AO756" s="19"/>
      <c r="AP756" s="19"/>
      <c r="AQ756" s="19"/>
      <c r="AR756" s="19"/>
      <c r="AS756" s="19"/>
      <c r="AT756" s="19"/>
      <c r="AU756" s="19"/>
      <c r="AV756" s="19"/>
      <c r="AW756" s="19"/>
      <c r="AX756" s="19"/>
      <c r="AY756" s="19"/>
      <c r="AZ756" s="19"/>
      <c r="BA756" s="19"/>
      <c r="BB756" s="19"/>
      <c r="BC756" s="19"/>
      <c r="BD756" s="19"/>
      <c r="BE756" s="19"/>
      <c r="BF756" s="19"/>
      <c r="BG756" s="19"/>
      <c r="BH756" s="19"/>
      <c r="BI756" s="19"/>
      <c r="BJ756" s="19"/>
      <c r="BK756" s="19"/>
      <c r="BL756" s="20"/>
      <c r="BM756" s="19"/>
      <c r="BN756" s="19"/>
      <c r="BO756" s="19"/>
      <c r="BP756" s="19"/>
      <c r="BQ756" s="19"/>
    </row>
    <row r="757" spans="1:69" ht="12" customHeight="1">
      <c r="A757" s="1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19"/>
      <c r="AG757" s="20"/>
      <c r="AH757" s="19"/>
      <c r="AI757" s="19"/>
      <c r="AJ757" s="19"/>
      <c r="AK757" s="19"/>
      <c r="AL757" s="19"/>
      <c r="AM757" s="19"/>
      <c r="AN757" s="19"/>
      <c r="AO757" s="19"/>
      <c r="AP757" s="19"/>
      <c r="AQ757" s="19"/>
      <c r="AR757" s="19"/>
      <c r="AS757" s="19"/>
      <c r="AT757" s="19"/>
      <c r="AU757" s="19"/>
      <c r="AV757" s="19"/>
      <c r="AW757" s="19"/>
      <c r="AX757" s="19"/>
      <c r="AY757" s="19"/>
      <c r="AZ757" s="19"/>
      <c r="BA757" s="19"/>
      <c r="BB757" s="19"/>
      <c r="BC757" s="19"/>
      <c r="BD757" s="19"/>
      <c r="BE757" s="19"/>
      <c r="BF757" s="19"/>
      <c r="BG757" s="19"/>
      <c r="BH757" s="19"/>
      <c r="BI757" s="19"/>
      <c r="BJ757" s="19"/>
      <c r="BK757" s="19"/>
      <c r="BL757" s="20"/>
      <c r="BM757" s="19"/>
      <c r="BN757" s="19"/>
      <c r="BO757" s="19"/>
      <c r="BP757" s="19"/>
      <c r="BQ757" s="19"/>
    </row>
    <row r="758" spans="1:69" ht="12" customHeight="1">
      <c r="A758" s="1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19"/>
      <c r="AG758" s="20"/>
      <c r="AH758" s="19"/>
      <c r="AI758" s="19"/>
      <c r="AJ758" s="19"/>
      <c r="AK758" s="19"/>
      <c r="AL758" s="19"/>
      <c r="AM758" s="19"/>
      <c r="AN758" s="19"/>
      <c r="AO758" s="19"/>
      <c r="AP758" s="19"/>
      <c r="AQ758" s="19"/>
      <c r="AR758" s="19"/>
      <c r="AS758" s="19"/>
      <c r="AT758" s="19"/>
      <c r="AU758" s="19"/>
      <c r="AV758" s="19"/>
      <c r="AW758" s="19"/>
      <c r="AX758" s="19"/>
      <c r="AY758" s="19"/>
      <c r="AZ758" s="19"/>
      <c r="BA758" s="19"/>
      <c r="BB758" s="19"/>
      <c r="BC758" s="19"/>
      <c r="BD758" s="19"/>
      <c r="BE758" s="19"/>
      <c r="BF758" s="19"/>
      <c r="BG758" s="19"/>
      <c r="BH758" s="19"/>
      <c r="BI758" s="19"/>
      <c r="BJ758" s="19"/>
      <c r="BK758" s="19"/>
      <c r="BL758" s="20"/>
      <c r="BM758" s="19"/>
      <c r="BN758" s="19"/>
      <c r="BO758" s="19"/>
      <c r="BP758" s="19"/>
      <c r="BQ758" s="19"/>
    </row>
    <row r="759" spans="1:69" ht="12" customHeight="1">
      <c r="A759" s="1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19"/>
      <c r="AG759" s="20"/>
      <c r="AH759" s="19"/>
      <c r="AI759" s="19"/>
      <c r="AJ759" s="19"/>
      <c r="AK759" s="19"/>
      <c r="AL759" s="19"/>
      <c r="AM759" s="19"/>
      <c r="AN759" s="19"/>
      <c r="AO759" s="19"/>
      <c r="AP759" s="19"/>
      <c r="AQ759" s="19"/>
      <c r="AR759" s="19"/>
      <c r="AS759" s="19"/>
      <c r="AT759" s="19"/>
      <c r="AU759" s="19"/>
      <c r="AV759" s="19"/>
      <c r="AW759" s="19"/>
      <c r="AX759" s="19"/>
      <c r="AY759" s="19"/>
      <c r="AZ759" s="19"/>
      <c r="BA759" s="19"/>
      <c r="BB759" s="19"/>
      <c r="BC759" s="19"/>
      <c r="BD759" s="19"/>
      <c r="BE759" s="19"/>
      <c r="BF759" s="19"/>
      <c r="BG759" s="19"/>
      <c r="BH759" s="19"/>
      <c r="BI759" s="19"/>
      <c r="BJ759" s="19"/>
      <c r="BK759" s="19"/>
      <c r="BL759" s="20"/>
      <c r="BM759" s="19"/>
      <c r="BN759" s="19"/>
      <c r="BO759" s="19"/>
      <c r="BP759" s="19"/>
      <c r="BQ759" s="19"/>
    </row>
    <row r="760" spans="1:69" ht="12" customHeight="1">
      <c r="A760" s="1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19"/>
      <c r="AG760" s="20"/>
      <c r="AH760" s="19"/>
      <c r="AI760" s="19"/>
      <c r="AJ760" s="19"/>
      <c r="AK760" s="19"/>
      <c r="AL760" s="19"/>
      <c r="AM760" s="19"/>
      <c r="AN760" s="19"/>
      <c r="AO760" s="19"/>
      <c r="AP760" s="19"/>
      <c r="AQ760" s="19"/>
      <c r="AR760" s="19"/>
      <c r="AS760" s="19"/>
      <c r="AT760" s="19"/>
      <c r="AU760" s="19"/>
      <c r="AV760" s="19"/>
      <c r="AW760" s="19"/>
      <c r="AX760" s="19"/>
      <c r="AY760" s="19"/>
      <c r="AZ760" s="19"/>
      <c r="BA760" s="19"/>
      <c r="BB760" s="19"/>
      <c r="BC760" s="19"/>
      <c r="BD760" s="19"/>
      <c r="BE760" s="19"/>
      <c r="BF760" s="19"/>
      <c r="BG760" s="19"/>
      <c r="BH760" s="19"/>
      <c r="BI760" s="19"/>
      <c r="BJ760" s="19"/>
      <c r="BK760" s="19"/>
      <c r="BL760" s="20"/>
      <c r="BM760" s="19"/>
      <c r="BN760" s="19"/>
      <c r="BO760" s="19"/>
      <c r="BP760" s="19"/>
      <c r="BQ760" s="19"/>
    </row>
    <row r="761" spans="1:69" ht="12" customHeight="1">
      <c r="A761" s="1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/>
      <c r="AD761" s="19"/>
      <c r="AE761" s="19"/>
      <c r="AF761" s="19"/>
      <c r="AG761" s="20"/>
      <c r="AH761" s="19"/>
      <c r="AI761" s="19"/>
      <c r="AJ761" s="19"/>
      <c r="AK761" s="19"/>
      <c r="AL761" s="19"/>
      <c r="AM761" s="19"/>
      <c r="AN761" s="19"/>
      <c r="AO761" s="19"/>
      <c r="AP761" s="19"/>
      <c r="AQ761" s="19"/>
      <c r="AR761" s="19"/>
      <c r="AS761" s="19"/>
      <c r="AT761" s="19"/>
      <c r="AU761" s="19"/>
      <c r="AV761" s="19"/>
      <c r="AW761" s="19"/>
      <c r="AX761" s="19"/>
      <c r="AY761" s="19"/>
      <c r="AZ761" s="19"/>
      <c r="BA761" s="19"/>
      <c r="BB761" s="19"/>
      <c r="BC761" s="19"/>
      <c r="BD761" s="19"/>
      <c r="BE761" s="19"/>
      <c r="BF761" s="19"/>
      <c r="BG761" s="19"/>
      <c r="BH761" s="19"/>
      <c r="BI761" s="19"/>
      <c r="BJ761" s="19"/>
      <c r="BK761" s="19"/>
      <c r="BL761" s="20"/>
      <c r="BM761" s="19"/>
      <c r="BN761" s="19"/>
      <c r="BO761" s="19"/>
      <c r="BP761" s="19"/>
      <c r="BQ761" s="19"/>
    </row>
    <row r="762" spans="1:69" ht="12" customHeight="1">
      <c r="A762" s="1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19"/>
      <c r="AG762" s="20"/>
      <c r="AH762" s="19"/>
      <c r="AI762" s="19"/>
      <c r="AJ762" s="19"/>
      <c r="AK762" s="19"/>
      <c r="AL762" s="19"/>
      <c r="AM762" s="19"/>
      <c r="AN762" s="19"/>
      <c r="AO762" s="19"/>
      <c r="AP762" s="19"/>
      <c r="AQ762" s="19"/>
      <c r="AR762" s="19"/>
      <c r="AS762" s="19"/>
      <c r="AT762" s="19"/>
      <c r="AU762" s="19"/>
      <c r="AV762" s="19"/>
      <c r="AW762" s="19"/>
      <c r="AX762" s="19"/>
      <c r="AY762" s="19"/>
      <c r="AZ762" s="19"/>
      <c r="BA762" s="19"/>
      <c r="BB762" s="19"/>
      <c r="BC762" s="19"/>
      <c r="BD762" s="19"/>
      <c r="BE762" s="19"/>
      <c r="BF762" s="19"/>
      <c r="BG762" s="19"/>
      <c r="BH762" s="19"/>
      <c r="BI762" s="19"/>
      <c r="BJ762" s="19"/>
      <c r="BK762" s="19"/>
      <c r="BL762" s="20"/>
      <c r="BM762" s="19"/>
      <c r="BN762" s="19"/>
      <c r="BO762" s="19"/>
      <c r="BP762" s="19"/>
      <c r="BQ762" s="19"/>
    </row>
    <row r="763" spans="1:69" ht="12" customHeight="1">
      <c r="A763" s="1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19"/>
      <c r="AG763" s="20"/>
      <c r="AH763" s="19"/>
      <c r="AI763" s="19"/>
      <c r="AJ763" s="19"/>
      <c r="AK763" s="19"/>
      <c r="AL763" s="19"/>
      <c r="AM763" s="19"/>
      <c r="AN763" s="19"/>
      <c r="AO763" s="19"/>
      <c r="AP763" s="19"/>
      <c r="AQ763" s="19"/>
      <c r="AR763" s="19"/>
      <c r="AS763" s="19"/>
      <c r="AT763" s="19"/>
      <c r="AU763" s="19"/>
      <c r="AV763" s="19"/>
      <c r="AW763" s="19"/>
      <c r="AX763" s="19"/>
      <c r="AY763" s="19"/>
      <c r="AZ763" s="19"/>
      <c r="BA763" s="19"/>
      <c r="BB763" s="19"/>
      <c r="BC763" s="19"/>
      <c r="BD763" s="19"/>
      <c r="BE763" s="19"/>
      <c r="BF763" s="19"/>
      <c r="BG763" s="19"/>
      <c r="BH763" s="19"/>
      <c r="BI763" s="19"/>
      <c r="BJ763" s="19"/>
      <c r="BK763" s="19"/>
      <c r="BL763" s="20"/>
      <c r="BM763" s="19"/>
      <c r="BN763" s="19"/>
      <c r="BO763" s="19"/>
      <c r="BP763" s="19"/>
      <c r="BQ763" s="19"/>
    </row>
    <row r="764" spans="1:69" ht="12" customHeight="1">
      <c r="A764" s="1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19"/>
      <c r="AG764" s="20"/>
      <c r="AH764" s="19"/>
      <c r="AI764" s="19"/>
      <c r="AJ764" s="19"/>
      <c r="AK764" s="19"/>
      <c r="AL764" s="19"/>
      <c r="AM764" s="19"/>
      <c r="AN764" s="19"/>
      <c r="AO764" s="19"/>
      <c r="AP764" s="19"/>
      <c r="AQ764" s="19"/>
      <c r="AR764" s="19"/>
      <c r="AS764" s="19"/>
      <c r="AT764" s="19"/>
      <c r="AU764" s="19"/>
      <c r="AV764" s="19"/>
      <c r="AW764" s="19"/>
      <c r="AX764" s="19"/>
      <c r="AY764" s="19"/>
      <c r="AZ764" s="19"/>
      <c r="BA764" s="19"/>
      <c r="BB764" s="19"/>
      <c r="BC764" s="19"/>
      <c r="BD764" s="19"/>
      <c r="BE764" s="19"/>
      <c r="BF764" s="19"/>
      <c r="BG764" s="19"/>
      <c r="BH764" s="19"/>
      <c r="BI764" s="19"/>
      <c r="BJ764" s="19"/>
      <c r="BK764" s="19"/>
      <c r="BL764" s="20"/>
      <c r="BM764" s="19"/>
      <c r="BN764" s="19"/>
      <c r="BO764" s="19"/>
      <c r="BP764" s="19"/>
      <c r="BQ764" s="19"/>
    </row>
    <row r="765" spans="1:69" ht="12" customHeight="1">
      <c r="A765" s="1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19"/>
      <c r="AG765" s="20"/>
      <c r="AH765" s="19"/>
      <c r="AI765" s="19"/>
      <c r="AJ765" s="19"/>
      <c r="AK765" s="19"/>
      <c r="AL765" s="19"/>
      <c r="AM765" s="19"/>
      <c r="AN765" s="19"/>
      <c r="AO765" s="19"/>
      <c r="AP765" s="19"/>
      <c r="AQ765" s="19"/>
      <c r="AR765" s="19"/>
      <c r="AS765" s="19"/>
      <c r="AT765" s="19"/>
      <c r="AU765" s="19"/>
      <c r="AV765" s="19"/>
      <c r="AW765" s="19"/>
      <c r="AX765" s="19"/>
      <c r="AY765" s="19"/>
      <c r="AZ765" s="19"/>
      <c r="BA765" s="19"/>
      <c r="BB765" s="19"/>
      <c r="BC765" s="19"/>
      <c r="BD765" s="19"/>
      <c r="BE765" s="19"/>
      <c r="BF765" s="19"/>
      <c r="BG765" s="19"/>
      <c r="BH765" s="19"/>
      <c r="BI765" s="19"/>
      <c r="BJ765" s="19"/>
      <c r="BK765" s="19"/>
      <c r="BL765" s="20"/>
      <c r="BM765" s="19"/>
      <c r="BN765" s="19"/>
      <c r="BO765" s="19"/>
      <c r="BP765" s="19"/>
      <c r="BQ765" s="19"/>
    </row>
    <row r="766" spans="1:69" ht="12" customHeight="1">
      <c r="A766" s="1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19"/>
      <c r="AG766" s="20"/>
      <c r="AH766" s="19"/>
      <c r="AI766" s="19"/>
      <c r="AJ766" s="19"/>
      <c r="AK766" s="19"/>
      <c r="AL766" s="19"/>
      <c r="AM766" s="19"/>
      <c r="AN766" s="19"/>
      <c r="AO766" s="19"/>
      <c r="AP766" s="19"/>
      <c r="AQ766" s="19"/>
      <c r="AR766" s="19"/>
      <c r="AS766" s="19"/>
      <c r="AT766" s="19"/>
      <c r="AU766" s="19"/>
      <c r="AV766" s="19"/>
      <c r="AW766" s="19"/>
      <c r="AX766" s="19"/>
      <c r="AY766" s="19"/>
      <c r="AZ766" s="19"/>
      <c r="BA766" s="19"/>
      <c r="BB766" s="19"/>
      <c r="BC766" s="19"/>
      <c r="BD766" s="19"/>
      <c r="BE766" s="19"/>
      <c r="BF766" s="19"/>
      <c r="BG766" s="19"/>
      <c r="BH766" s="19"/>
      <c r="BI766" s="19"/>
      <c r="BJ766" s="19"/>
      <c r="BK766" s="19"/>
      <c r="BL766" s="20"/>
      <c r="BM766" s="19"/>
      <c r="BN766" s="19"/>
      <c r="BO766" s="19"/>
      <c r="BP766" s="19"/>
      <c r="BQ766" s="19"/>
    </row>
    <row r="767" spans="1:69" ht="12" customHeight="1"/>
    <row r="768" spans="1:69" ht="12" customHeight="1"/>
    <row r="769" spans="1:1" ht="12" customHeight="1">
      <c r="A769" s="1"/>
    </row>
    <row r="770" spans="1:1" ht="12" customHeight="1">
      <c r="A770" s="1"/>
    </row>
    <row r="771" spans="1:1" ht="12" customHeight="1">
      <c r="A771" s="1"/>
    </row>
    <row r="772" spans="1:1" ht="12" customHeight="1">
      <c r="A772" s="1"/>
    </row>
    <row r="773" spans="1:1" ht="12" customHeight="1">
      <c r="A773" s="1"/>
    </row>
    <row r="774" spans="1:1" ht="12" customHeight="1">
      <c r="A774" s="1"/>
    </row>
    <row r="775" spans="1:1" ht="12" customHeight="1">
      <c r="A775" s="1"/>
    </row>
    <row r="776" spans="1:1" ht="12" customHeight="1">
      <c r="A776" s="1"/>
    </row>
    <row r="777" spans="1:1" ht="12" customHeight="1">
      <c r="A777" s="1"/>
    </row>
    <row r="778" spans="1:1" ht="12" customHeight="1">
      <c r="A778" s="1"/>
    </row>
    <row r="779" spans="1:1" ht="12" customHeight="1">
      <c r="A779" s="1"/>
    </row>
    <row r="780" spans="1:1" ht="12" customHeight="1">
      <c r="A780" s="1"/>
    </row>
    <row r="781" spans="1:1" ht="12" customHeight="1">
      <c r="A781" s="1"/>
    </row>
    <row r="782" spans="1:1" ht="12" customHeight="1">
      <c r="A782" s="1"/>
    </row>
    <row r="783" spans="1:1" ht="12" customHeight="1">
      <c r="A783" s="1"/>
    </row>
    <row r="784" spans="1:1" ht="12" customHeight="1">
      <c r="A784" s="1"/>
    </row>
    <row r="785" spans="1:1" ht="12" customHeight="1">
      <c r="A785" s="1"/>
    </row>
    <row r="786" spans="1:1" ht="12" customHeight="1">
      <c r="A786" s="1"/>
    </row>
    <row r="787" spans="1:1" ht="12" customHeight="1">
      <c r="A787" s="1"/>
    </row>
    <row r="788" spans="1:1" ht="12" customHeight="1">
      <c r="A788" s="1"/>
    </row>
    <row r="789" spans="1:1" ht="12" customHeight="1">
      <c r="A789" s="1"/>
    </row>
    <row r="790" spans="1:1" ht="12" customHeight="1">
      <c r="A790" s="1"/>
    </row>
    <row r="791" spans="1:1" ht="12" customHeight="1">
      <c r="A791" s="1"/>
    </row>
    <row r="792" spans="1:1" ht="12" customHeight="1">
      <c r="A792" s="1"/>
    </row>
    <row r="793" spans="1:1" ht="12" customHeight="1">
      <c r="A793" s="1"/>
    </row>
    <row r="794" spans="1:1" ht="12" customHeight="1">
      <c r="A794" s="1"/>
    </row>
    <row r="795" spans="1:1" ht="12" customHeight="1">
      <c r="A795" s="1"/>
    </row>
    <row r="796" spans="1:1" ht="12" customHeight="1">
      <c r="A796" s="1"/>
    </row>
    <row r="797" spans="1:1" ht="12" customHeight="1">
      <c r="A797" s="1"/>
    </row>
    <row r="798" spans="1:1" ht="12" customHeight="1">
      <c r="A798" s="1"/>
    </row>
    <row r="799" spans="1:1" ht="12" customHeight="1">
      <c r="A799" s="1"/>
    </row>
    <row r="800" spans="1:1" ht="12" customHeight="1">
      <c r="A800" s="1"/>
    </row>
    <row r="801" spans="1:1" ht="12" customHeight="1">
      <c r="A801" s="1"/>
    </row>
    <row r="802" spans="1:1" ht="12" customHeight="1">
      <c r="A802" s="1"/>
    </row>
    <row r="803" spans="1:1" ht="12" customHeight="1">
      <c r="A803" s="1"/>
    </row>
    <row r="804" spans="1:1" ht="12" customHeight="1">
      <c r="A804" s="1"/>
    </row>
    <row r="805" spans="1:1" ht="12" customHeight="1">
      <c r="A805" s="1"/>
    </row>
    <row r="806" spans="1:1" ht="12" customHeight="1">
      <c r="A806" s="1"/>
    </row>
    <row r="807" spans="1:1" ht="12" customHeight="1">
      <c r="A807" s="1"/>
    </row>
    <row r="808" spans="1:1" ht="12" customHeight="1">
      <c r="A808" s="1"/>
    </row>
    <row r="809" spans="1:1" ht="12" customHeight="1">
      <c r="A809" s="1"/>
    </row>
    <row r="810" spans="1:1" ht="12" customHeight="1">
      <c r="A810" s="1"/>
    </row>
    <row r="811" spans="1:1" ht="12" customHeight="1">
      <c r="A811" s="1"/>
    </row>
    <row r="812" spans="1:1" ht="12" customHeight="1">
      <c r="A812" s="1"/>
    </row>
    <row r="813" spans="1:1" ht="12" customHeight="1">
      <c r="A813" s="1"/>
    </row>
    <row r="814" spans="1:1" ht="12" customHeight="1">
      <c r="A814" s="1"/>
    </row>
    <row r="815" spans="1:1" ht="12" customHeight="1">
      <c r="A815" s="1"/>
    </row>
    <row r="816" spans="1:1" ht="12" customHeight="1">
      <c r="A816" s="1"/>
    </row>
    <row r="817" spans="1:1" ht="12" customHeight="1">
      <c r="A817" s="1"/>
    </row>
    <row r="818" spans="1:1" ht="12" customHeight="1">
      <c r="A818" s="1"/>
    </row>
    <row r="819" spans="1:1" ht="12" customHeight="1">
      <c r="A819" s="1"/>
    </row>
    <row r="820" spans="1:1" ht="12" customHeight="1">
      <c r="A820" s="1"/>
    </row>
    <row r="821" spans="1:1" ht="12" customHeight="1">
      <c r="A821" s="1"/>
    </row>
    <row r="822" spans="1:1" ht="12" customHeight="1">
      <c r="A822" s="1"/>
    </row>
    <row r="823" spans="1:1" ht="12" customHeight="1">
      <c r="A823" s="1"/>
    </row>
    <row r="824" spans="1:1" ht="12" customHeight="1">
      <c r="A824" s="1"/>
    </row>
    <row r="825" spans="1:1" ht="12" customHeight="1">
      <c r="A825" s="1"/>
    </row>
    <row r="826" spans="1:1" ht="12" customHeight="1">
      <c r="A826" s="1"/>
    </row>
    <row r="827" spans="1:1" ht="12" customHeight="1">
      <c r="A827" s="1"/>
    </row>
    <row r="828" spans="1:1" ht="12" customHeight="1">
      <c r="A828" s="1"/>
    </row>
    <row r="829" spans="1:1" ht="12" customHeight="1">
      <c r="A829" s="1"/>
    </row>
    <row r="830" spans="1:1" ht="12" customHeight="1">
      <c r="A830" s="1"/>
    </row>
    <row r="831" spans="1:1" ht="12" customHeight="1">
      <c r="A831" s="1"/>
    </row>
    <row r="832" spans="1:1" ht="12" customHeight="1">
      <c r="A832" s="1"/>
    </row>
    <row r="833" spans="1:1" ht="12" customHeight="1">
      <c r="A833" s="1"/>
    </row>
    <row r="834" spans="1:1" ht="12" customHeight="1">
      <c r="A834" s="1"/>
    </row>
    <row r="835" spans="1:1" ht="12" customHeight="1">
      <c r="A835" s="1"/>
    </row>
    <row r="836" spans="1:1" ht="12" customHeight="1">
      <c r="A836" s="1"/>
    </row>
    <row r="837" spans="1:1" ht="12" customHeight="1">
      <c r="A837" s="1"/>
    </row>
    <row r="838" spans="1:1" ht="12" customHeight="1">
      <c r="A838" s="1"/>
    </row>
    <row r="839" spans="1:1" ht="12" customHeight="1">
      <c r="A839" s="1"/>
    </row>
    <row r="840" spans="1:1" ht="12" customHeight="1">
      <c r="A840" s="1"/>
    </row>
    <row r="841" spans="1:1" ht="12" customHeight="1">
      <c r="A841" s="1"/>
    </row>
    <row r="842" spans="1:1" ht="12" customHeight="1">
      <c r="A842" s="1"/>
    </row>
    <row r="843" spans="1:1" ht="12" customHeight="1">
      <c r="A843" s="1"/>
    </row>
    <row r="844" spans="1:1" ht="12" customHeight="1">
      <c r="A844" s="1"/>
    </row>
    <row r="845" spans="1:1" ht="12" customHeight="1">
      <c r="A845" s="1"/>
    </row>
    <row r="846" spans="1:1" ht="12" customHeight="1">
      <c r="A846" s="1"/>
    </row>
    <row r="847" spans="1:1" ht="12" customHeight="1">
      <c r="A847" s="1"/>
    </row>
    <row r="848" spans="1:1" ht="12" customHeight="1">
      <c r="A848" s="1"/>
    </row>
    <row r="849" spans="1:1" ht="12" customHeight="1">
      <c r="A849" s="1"/>
    </row>
    <row r="850" spans="1:1" ht="12" customHeight="1">
      <c r="A850" s="1"/>
    </row>
    <row r="851" spans="1:1" ht="12" customHeight="1">
      <c r="A851" s="1"/>
    </row>
    <row r="852" spans="1:1" ht="12" customHeight="1">
      <c r="A852" s="1"/>
    </row>
    <row r="853" spans="1:1" ht="12" customHeight="1">
      <c r="A853" s="1"/>
    </row>
    <row r="854" spans="1:1" ht="12" customHeight="1">
      <c r="A854" s="1"/>
    </row>
    <row r="855" spans="1:1" ht="12" customHeight="1">
      <c r="A855" s="1"/>
    </row>
    <row r="856" spans="1:1" ht="12" customHeight="1">
      <c r="A856" s="1"/>
    </row>
    <row r="857" spans="1:1" ht="12" customHeight="1">
      <c r="A857" s="1"/>
    </row>
    <row r="858" spans="1:1" ht="12" customHeight="1">
      <c r="A858" s="1"/>
    </row>
    <row r="859" spans="1:1" ht="12" customHeight="1">
      <c r="A859" s="1"/>
    </row>
    <row r="860" spans="1:1" ht="12" customHeight="1">
      <c r="A860" s="1"/>
    </row>
    <row r="861" spans="1:1" ht="12" customHeight="1">
      <c r="A861" s="1"/>
    </row>
    <row r="862" spans="1:1" ht="12" customHeight="1">
      <c r="A862" s="1"/>
    </row>
    <row r="863" spans="1:1" ht="12" customHeight="1">
      <c r="A863" s="1"/>
    </row>
    <row r="864" spans="1:1" ht="12" customHeight="1">
      <c r="A864" s="1"/>
    </row>
    <row r="865" spans="1:1" ht="12" customHeight="1">
      <c r="A865" s="1"/>
    </row>
    <row r="866" spans="1:1" ht="12" customHeight="1">
      <c r="A866" s="1"/>
    </row>
    <row r="867" spans="1:1" ht="12" customHeight="1">
      <c r="A867" s="1"/>
    </row>
    <row r="868" spans="1:1" ht="12" customHeight="1">
      <c r="A868" s="1"/>
    </row>
    <row r="869" spans="1:1" ht="12" customHeight="1">
      <c r="A869" s="1"/>
    </row>
    <row r="870" spans="1:1" ht="12" customHeight="1">
      <c r="A870" s="1"/>
    </row>
    <row r="871" spans="1:1" ht="12" customHeight="1">
      <c r="A871" s="1"/>
    </row>
    <row r="872" spans="1:1" ht="12" customHeight="1">
      <c r="A872" s="1"/>
    </row>
    <row r="873" spans="1:1" ht="12" customHeight="1">
      <c r="A873" s="1"/>
    </row>
    <row r="874" spans="1:1" ht="12" customHeight="1">
      <c r="A874" s="1"/>
    </row>
    <row r="875" spans="1:1" ht="12" customHeight="1">
      <c r="A875" s="1"/>
    </row>
    <row r="876" spans="1:1" ht="12" customHeight="1">
      <c r="A876" s="1"/>
    </row>
    <row r="877" spans="1:1" ht="12" customHeight="1">
      <c r="A877" s="1"/>
    </row>
    <row r="878" spans="1:1" ht="12" customHeight="1">
      <c r="A878" s="1"/>
    </row>
    <row r="879" spans="1:1" ht="12" customHeight="1">
      <c r="A879" s="1"/>
    </row>
    <row r="880" spans="1:1" ht="12" customHeight="1">
      <c r="A880" s="1"/>
    </row>
    <row r="881" spans="1:1" ht="12" customHeight="1">
      <c r="A881" s="1"/>
    </row>
    <row r="882" spans="1:1" ht="12" customHeight="1">
      <c r="A882" s="1"/>
    </row>
    <row r="883" spans="1:1" ht="12" customHeight="1">
      <c r="A883" s="1"/>
    </row>
    <row r="884" spans="1:1" ht="12" customHeight="1">
      <c r="A884" s="1"/>
    </row>
    <row r="885" spans="1:1" ht="12" customHeight="1">
      <c r="A885" s="1"/>
    </row>
    <row r="886" spans="1:1" ht="12" customHeight="1">
      <c r="A886" s="1"/>
    </row>
    <row r="887" spans="1:1" ht="12" customHeight="1">
      <c r="A887" s="1"/>
    </row>
    <row r="888" spans="1:1" ht="12" customHeight="1">
      <c r="A888" s="1"/>
    </row>
    <row r="889" spans="1:1" ht="12" customHeight="1">
      <c r="A889" s="1"/>
    </row>
    <row r="890" spans="1:1" ht="12" customHeight="1">
      <c r="A890" s="1"/>
    </row>
    <row r="891" spans="1:1" ht="12" customHeight="1">
      <c r="A891" s="1"/>
    </row>
    <row r="892" spans="1:1" ht="12" customHeight="1">
      <c r="A892" s="1"/>
    </row>
    <row r="893" spans="1:1" ht="12" customHeight="1">
      <c r="A893" s="1"/>
    </row>
    <row r="894" spans="1:1" ht="12" customHeight="1">
      <c r="A894" s="1"/>
    </row>
    <row r="895" spans="1:1" ht="12" customHeight="1">
      <c r="A895" s="1"/>
    </row>
    <row r="896" spans="1:1" ht="12" customHeight="1">
      <c r="A896" s="1"/>
    </row>
    <row r="897" spans="1:1" ht="12" customHeight="1">
      <c r="A897" s="1"/>
    </row>
    <row r="898" spans="1:1" ht="12" customHeight="1">
      <c r="A898" s="1"/>
    </row>
    <row r="899" spans="1:1" ht="12" customHeight="1">
      <c r="A899" s="1"/>
    </row>
    <row r="900" spans="1:1" ht="12" customHeight="1">
      <c r="A900" s="1"/>
    </row>
    <row r="901" spans="1:1" ht="12" customHeight="1">
      <c r="A901" s="1"/>
    </row>
    <row r="902" spans="1:1" ht="12" customHeight="1">
      <c r="A902" s="1"/>
    </row>
    <row r="903" spans="1:1" ht="12" customHeight="1">
      <c r="A903" s="1"/>
    </row>
    <row r="904" spans="1:1" ht="12" customHeight="1">
      <c r="A904" s="1"/>
    </row>
    <row r="905" spans="1:1" ht="12" customHeight="1">
      <c r="A905" s="1"/>
    </row>
    <row r="906" spans="1:1" ht="12" customHeight="1">
      <c r="A906" s="1"/>
    </row>
    <row r="907" spans="1:1" ht="12" customHeight="1">
      <c r="A907" s="1"/>
    </row>
    <row r="908" spans="1:1" ht="12" customHeight="1">
      <c r="A908" s="1"/>
    </row>
    <row r="909" spans="1:1" ht="12" customHeight="1">
      <c r="A909" s="1"/>
    </row>
    <row r="910" spans="1:1" ht="12" customHeight="1">
      <c r="A910" s="1"/>
    </row>
    <row r="911" spans="1:1" ht="12" customHeight="1">
      <c r="A911" s="1"/>
    </row>
    <row r="912" spans="1:1" ht="12" customHeight="1">
      <c r="A912" s="1"/>
    </row>
    <row r="913" spans="1:1" ht="12" customHeight="1">
      <c r="A913" s="1"/>
    </row>
    <row r="914" spans="1:1" ht="12" customHeight="1">
      <c r="A914" s="1"/>
    </row>
    <row r="915" spans="1:1" ht="12" customHeight="1">
      <c r="A915" s="1"/>
    </row>
    <row r="916" spans="1:1" ht="12" customHeight="1">
      <c r="A916" s="1"/>
    </row>
    <row r="917" spans="1:1" ht="12" customHeight="1">
      <c r="A917" s="1"/>
    </row>
    <row r="918" spans="1:1" ht="12" customHeight="1">
      <c r="A918" s="1"/>
    </row>
    <row r="919" spans="1:1" ht="12" customHeight="1">
      <c r="A919" s="1"/>
    </row>
    <row r="920" spans="1:1" ht="12" customHeight="1">
      <c r="A920" s="1"/>
    </row>
    <row r="921" spans="1:1" ht="12" customHeight="1">
      <c r="A921" s="1"/>
    </row>
    <row r="922" spans="1:1" ht="12" customHeight="1">
      <c r="A922" s="1"/>
    </row>
    <row r="923" spans="1:1" ht="12" customHeight="1">
      <c r="A923" s="1"/>
    </row>
    <row r="924" spans="1:1" ht="12" customHeight="1">
      <c r="A924" s="1"/>
    </row>
    <row r="925" spans="1:1" ht="12" customHeight="1">
      <c r="A925" s="1"/>
    </row>
    <row r="926" spans="1:1" ht="12" customHeight="1">
      <c r="A926" s="1"/>
    </row>
    <row r="927" spans="1:1" ht="12" customHeight="1">
      <c r="A927" s="1"/>
    </row>
    <row r="928" spans="1:1" ht="12" customHeight="1">
      <c r="A928" s="1"/>
    </row>
    <row r="929" spans="1:1" ht="12" customHeight="1">
      <c r="A929" s="1"/>
    </row>
    <row r="930" spans="1:1" ht="12" customHeight="1">
      <c r="A930" s="1"/>
    </row>
    <row r="931" spans="1:1" ht="12" customHeight="1">
      <c r="A931" s="1"/>
    </row>
    <row r="932" spans="1:1" ht="12" customHeight="1">
      <c r="A932" s="1"/>
    </row>
    <row r="933" spans="1:1" ht="12" customHeight="1">
      <c r="A933" s="1"/>
    </row>
    <row r="934" spans="1:1" ht="12" customHeight="1">
      <c r="A934" s="1"/>
    </row>
    <row r="935" spans="1:1" ht="12" customHeight="1">
      <c r="A935" s="1"/>
    </row>
    <row r="936" spans="1:1" ht="12" customHeight="1">
      <c r="A936" s="1"/>
    </row>
    <row r="937" spans="1:1" ht="12" customHeight="1">
      <c r="A937" s="1"/>
    </row>
    <row r="938" spans="1:1" ht="12" customHeight="1">
      <c r="A938" s="1"/>
    </row>
    <row r="939" spans="1:1" ht="12" customHeight="1">
      <c r="A939" s="1"/>
    </row>
    <row r="940" spans="1:1" ht="12" customHeight="1">
      <c r="A940" s="1"/>
    </row>
    <row r="941" spans="1:1" ht="12" customHeight="1">
      <c r="A941" s="1"/>
    </row>
    <row r="942" spans="1:1" ht="12" customHeight="1">
      <c r="A942" s="1"/>
    </row>
    <row r="943" spans="1:1" ht="12" customHeight="1">
      <c r="A943" s="1"/>
    </row>
    <row r="944" spans="1:1" ht="12" customHeight="1">
      <c r="A944" s="1"/>
    </row>
    <row r="945" spans="1:1" ht="12" customHeight="1">
      <c r="A945" s="1"/>
    </row>
    <row r="946" spans="1:1" ht="12" customHeight="1">
      <c r="A946" s="1"/>
    </row>
    <row r="947" spans="1:1" ht="12" customHeight="1">
      <c r="A947" s="1"/>
    </row>
    <row r="948" spans="1:1" ht="12" customHeight="1">
      <c r="A948" s="1"/>
    </row>
    <row r="949" spans="1:1" ht="12" customHeight="1">
      <c r="A949" s="1"/>
    </row>
    <row r="950" spans="1:1" ht="12" customHeight="1">
      <c r="A950" s="1"/>
    </row>
    <row r="951" spans="1:1" ht="12" customHeight="1">
      <c r="A951" s="1"/>
    </row>
    <row r="952" spans="1:1" ht="12" customHeight="1">
      <c r="A952" s="1"/>
    </row>
    <row r="953" spans="1:1" ht="12" customHeight="1">
      <c r="A953" s="1"/>
    </row>
    <row r="954" spans="1:1" ht="12" customHeight="1">
      <c r="A954" s="1"/>
    </row>
    <row r="955" spans="1:1" ht="12" customHeight="1">
      <c r="A955" s="1"/>
    </row>
    <row r="956" spans="1:1" ht="12" customHeight="1">
      <c r="A956" s="1"/>
    </row>
    <row r="957" spans="1:1" ht="12" customHeight="1">
      <c r="A957" s="1"/>
    </row>
    <row r="958" spans="1:1" ht="12" customHeight="1">
      <c r="A958" s="1"/>
    </row>
    <row r="959" spans="1:1" ht="12" customHeight="1">
      <c r="A959" s="1"/>
    </row>
    <row r="960" spans="1:1" ht="12" customHeight="1">
      <c r="A960" s="1"/>
    </row>
    <row r="961" spans="1:1" ht="12" customHeight="1">
      <c r="A961" s="1"/>
    </row>
    <row r="962" spans="1:1" ht="12" customHeight="1">
      <c r="A962" s="1"/>
    </row>
    <row r="963" spans="1:1" ht="12" customHeight="1">
      <c r="A963" s="1"/>
    </row>
    <row r="964" spans="1:1" ht="12" customHeight="1">
      <c r="A964" s="1"/>
    </row>
    <row r="965" spans="1:1" ht="12" customHeight="1">
      <c r="A965" s="1"/>
    </row>
    <row r="966" spans="1:1" ht="12" customHeight="1">
      <c r="A966" s="1"/>
    </row>
    <row r="967" spans="1:1" ht="12" customHeight="1">
      <c r="A967" s="1"/>
    </row>
    <row r="968" spans="1:1" ht="12" customHeight="1">
      <c r="A968" s="1"/>
    </row>
    <row r="969" spans="1:1" ht="12" customHeight="1">
      <c r="A969" s="1"/>
    </row>
    <row r="970" spans="1:1" ht="12" customHeight="1">
      <c r="A970" s="1"/>
    </row>
    <row r="971" spans="1:1" ht="12" customHeight="1">
      <c r="A971" s="1"/>
    </row>
    <row r="972" spans="1:1" ht="12" customHeight="1">
      <c r="A972" s="1"/>
    </row>
    <row r="973" spans="1:1" ht="12" customHeight="1">
      <c r="A973" s="1"/>
    </row>
    <row r="974" spans="1:1" ht="12" customHeight="1">
      <c r="A974" s="1"/>
    </row>
    <row r="975" spans="1:1" ht="12" customHeight="1">
      <c r="A975" s="1"/>
    </row>
    <row r="976" spans="1:1" ht="12" customHeight="1">
      <c r="A976" s="1"/>
    </row>
    <row r="977" spans="1:1" ht="12" customHeight="1">
      <c r="A977" s="1"/>
    </row>
    <row r="978" spans="1:1" ht="12" customHeight="1">
      <c r="A978" s="1"/>
    </row>
    <row r="979" spans="1:1" ht="12" customHeight="1">
      <c r="A979" s="1"/>
    </row>
    <row r="980" spans="1:1" ht="12" customHeight="1">
      <c r="A980" s="1"/>
    </row>
    <row r="981" spans="1:1" ht="12" customHeight="1">
      <c r="A981" s="1"/>
    </row>
    <row r="982" spans="1:1" ht="12" customHeight="1">
      <c r="A982" s="1"/>
    </row>
    <row r="983" spans="1:1" ht="12" customHeight="1">
      <c r="A983" s="1"/>
    </row>
    <row r="984" spans="1:1" ht="12" customHeight="1">
      <c r="A984" s="1"/>
    </row>
    <row r="985" spans="1:1" ht="12" customHeight="1">
      <c r="A985" s="1"/>
    </row>
    <row r="986" spans="1:1" ht="12" customHeight="1">
      <c r="A986" s="1"/>
    </row>
    <row r="987" spans="1:1" ht="12" customHeight="1">
      <c r="A987" s="1"/>
    </row>
    <row r="988" spans="1:1" ht="12" customHeight="1">
      <c r="A988" s="1"/>
    </row>
    <row r="989" spans="1:1" ht="12" customHeight="1">
      <c r="A989" s="1"/>
    </row>
    <row r="990" spans="1:1" ht="12" customHeight="1">
      <c r="A990" s="1"/>
    </row>
    <row r="991" spans="1:1" ht="12" customHeight="1">
      <c r="A991" s="1"/>
    </row>
    <row r="992" spans="1:1" ht="12" customHeight="1">
      <c r="A992" s="1"/>
    </row>
    <row r="993" spans="1:1" ht="12" customHeight="1">
      <c r="A993" s="1"/>
    </row>
    <row r="994" spans="1:1" ht="12" customHeight="1">
      <c r="A994" s="1"/>
    </row>
    <row r="995" spans="1:1" ht="12" customHeight="1">
      <c r="A995" s="1"/>
    </row>
    <row r="996" spans="1:1" ht="12" customHeight="1">
      <c r="A996" s="1"/>
    </row>
    <row r="997" spans="1:1" ht="12" customHeight="1">
      <c r="A997" s="1"/>
    </row>
    <row r="998" spans="1:1" ht="12" customHeight="1">
      <c r="A998" s="1"/>
    </row>
    <row r="999" spans="1:1" ht="12" customHeight="1">
      <c r="A999" s="1"/>
    </row>
    <row r="1000" spans="1:1" ht="12" customHeight="1">
      <c r="A1000" s="1"/>
    </row>
    <row r="1001" spans="1:1" ht="12" customHeight="1">
      <c r="A1001" s="1"/>
    </row>
    <row r="1002" spans="1:1" ht="12" customHeight="1">
      <c r="A1002" s="1"/>
    </row>
    <row r="1003" spans="1:1" ht="12" customHeight="1">
      <c r="A1003" s="1"/>
    </row>
    <row r="1004" spans="1:1" ht="12" customHeight="1">
      <c r="A1004" s="1"/>
    </row>
    <row r="1005" spans="1:1" ht="12" customHeight="1">
      <c r="A1005" s="1"/>
    </row>
    <row r="1006" spans="1:1" ht="12" customHeight="1">
      <c r="A1006" s="1"/>
    </row>
    <row r="1007" spans="1:1" ht="12" customHeight="1">
      <c r="A1007" s="1"/>
    </row>
    <row r="1008" spans="1:1" ht="12" customHeight="1">
      <c r="A1008" s="1"/>
    </row>
    <row r="1009" spans="1:1" ht="12" customHeight="1">
      <c r="A1009" s="1"/>
    </row>
    <row r="1010" spans="1:1" ht="12" customHeight="1">
      <c r="A1010" s="1"/>
    </row>
    <row r="1011" spans="1:1" ht="12" customHeight="1">
      <c r="A1011" s="1"/>
    </row>
    <row r="1012" spans="1:1" ht="12" customHeight="1">
      <c r="A1012" s="1"/>
    </row>
    <row r="1013" spans="1:1" ht="12" customHeight="1">
      <c r="A1013" s="1"/>
    </row>
    <row r="1014" spans="1:1" ht="12" customHeight="1">
      <c r="A1014" s="1"/>
    </row>
    <row r="1015" spans="1:1" ht="12" customHeight="1">
      <c r="A1015" s="1"/>
    </row>
    <row r="1016" spans="1:1" ht="12" customHeight="1">
      <c r="A1016" s="1"/>
    </row>
    <row r="1017" spans="1:1" ht="12" customHeight="1">
      <c r="A1017" s="1"/>
    </row>
    <row r="1018" spans="1:1" ht="12" customHeight="1">
      <c r="A1018" s="1"/>
    </row>
    <row r="1019" spans="1:1" ht="12" customHeight="1">
      <c r="A1019" s="1"/>
    </row>
    <row r="1020" spans="1:1" ht="12" customHeight="1">
      <c r="A1020" s="1"/>
    </row>
    <row r="1021" spans="1:1" ht="12" customHeight="1">
      <c r="A1021" s="1"/>
    </row>
    <row r="1022" spans="1:1" ht="12" customHeight="1">
      <c r="A1022" s="1"/>
    </row>
    <row r="1023" spans="1:1" ht="12" customHeight="1">
      <c r="A1023" s="1"/>
    </row>
    <row r="1024" spans="1:1" ht="12" customHeight="1">
      <c r="A1024" s="1"/>
    </row>
    <row r="1025" spans="1:1" ht="12" customHeight="1">
      <c r="A1025" s="1"/>
    </row>
    <row r="1026" spans="1:1" ht="12" customHeight="1">
      <c r="A1026" s="1"/>
    </row>
    <row r="1027" spans="1:1" ht="12" customHeight="1">
      <c r="A1027" s="1"/>
    </row>
    <row r="1028" spans="1:1" ht="12" customHeight="1">
      <c r="A1028" s="1"/>
    </row>
    <row r="1029" spans="1:1" ht="12" customHeight="1">
      <c r="A1029" s="1"/>
    </row>
    <row r="1030" spans="1:1" ht="12" customHeight="1">
      <c r="A1030" s="1"/>
    </row>
    <row r="1031" spans="1:1" ht="12" customHeight="1">
      <c r="A1031" s="1"/>
    </row>
    <row r="1032" spans="1:1" ht="12" customHeight="1">
      <c r="A1032" s="1"/>
    </row>
    <row r="1033" spans="1:1" ht="12" customHeight="1">
      <c r="A1033" s="1"/>
    </row>
    <row r="1034" spans="1:1" ht="12" customHeight="1">
      <c r="A1034" s="1"/>
    </row>
    <row r="1035" spans="1:1" ht="12" customHeight="1">
      <c r="A1035" s="1"/>
    </row>
    <row r="1036" spans="1:1" ht="12" customHeight="1">
      <c r="A1036" s="1"/>
    </row>
    <row r="1037" spans="1:1" ht="12" customHeight="1">
      <c r="A1037" s="1"/>
    </row>
    <row r="1038" spans="1:1" ht="12" customHeight="1">
      <c r="A1038" s="1"/>
    </row>
    <row r="1039" spans="1:1" ht="12" customHeight="1">
      <c r="A1039" s="1"/>
    </row>
    <row r="1040" spans="1:1" ht="12" customHeight="1">
      <c r="A1040" s="1"/>
    </row>
    <row r="1041" spans="1:1" ht="12" customHeight="1">
      <c r="A1041" s="1"/>
    </row>
    <row r="1042" spans="1:1" ht="12" customHeight="1">
      <c r="A1042" s="1"/>
    </row>
    <row r="1043" spans="1:1" ht="12" customHeight="1">
      <c r="A1043" s="1"/>
    </row>
    <row r="1044" spans="1:1" ht="12" customHeight="1">
      <c r="A1044" s="1"/>
    </row>
    <row r="1045" spans="1:1" ht="12" customHeight="1">
      <c r="A1045" s="1"/>
    </row>
    <row r="1046" spans="1:1" ht="12" customHeight="1">
      <c r="A1046" s="1"/>
    </row>
    <row r="1047" spans="1:1" ht="12" customHeight="1">
      <c r="A1047" s="1"/>
    </row>
    <row r="1048" spans="1:1" ht="12" customHeight="1">
      <c r="A1048" s="1"/>
    </row>
    <row r="1049" spans="1:1" ht="12" customHeight="1">
      <c r="A1049" s="1"/>
    </row>
    <row r="1050" spans="1:1" ht="12" customHeight="1">
      <c r="A1050" s="1"/>
    </row>
    <row r="1051" spans="1:1" ht="12" customHeight="1">
      <c r="A1051" s="1"/>
    </row>
    <row r="1052" spans="1:1" ht="12" customHeight="1">
      <c r="A1052" s="1"/>
    </row>
    <row r="1053" spans="1:1" ht="12" customHeight="1">
      <c r="A1053" s="1"/>
    </row>
    <row r="1054" spans="1:1" ht="12" customHeight="1">
      <c r="A1054" s="1"/>
    </row>
    <row r="1055" spans="1:1" ht="12" customHeight="1">
      <c r="A1055" s="1"/>
    </row>
    <row r="1056" spans="1:1" ht="12" customHeight="1">
      <c r="A1056" s="1"/>
    </row>
    <row r="1057" spans="1:1" ht="12" customHeight="1">
      <c r="A1057" s="1"/>
    </row>
    <row r="1058" spans="1:1" ht="12" customHeight="1">
      <c r="A1058" s="1"/>
    </row>
    <row r="1059" spans="1:1" ht="12" customHeight="1">
      <c r="A1059" s="1"/>
    </row>
    <row r="1060" spans="1:1" ht="12" customHeight="1">
      <c r="A1060" s="1"/>
    </row>
    <row r="1061" spans="1:1" ht="12" customHeight="1">
      <c r="A1061" s="1"/>
    </row>
    <row r="1062" spans="1:1" ht="12" customHeight="1">
      <c r="A1062" s="1"/>
    </row>
    <row r="1063" spans="1:1" ht="12" customHeight="1">
      <c r="A1063" s="1"/>
    </row>
    <row r="1064" spans="1:1" ht="12" customHeight="1">
      <c r="A1064" s="1"/>
    </row>
    <row r="1065" spans="1:1" ht="12" customHeight="1">
      <c r="A1065" s="1"/>
    </row>
    <row r="1066" spans="1:1" ht="12" customHeight="1">
      <c r="A1066" s="1"/>
    </row>
    <row r="1067" spans="1:1" ht="12" customHeight="1">
      <c r="A1067" s="1"/>
    </row>
    <row r="1068" spans="1:1" ht="12" customHeight="1">
      <c r="A1068" s="1"/>
    </row>
    <row r="1069" spans="1:1" ht="12" customHeight="1">
      <c r="A1069" s="1"/>
    </row>
    <row r="1070" spans="1:1" ht="12" customHeight="1">
      <c r="A1070" s="1"/>
    </row>
    <row r="1071" spans="1:1" ht="12" customHeight="1">
      <c r="A1071" s="1"/>
    </row>
    <row r="1072" spans="1:1" ht="12" customHeight="1">
      <c r="A1072" s="1"/>
    </row>
    <row r="1073" spans="1:1" ht="12" customHeight="1">
      <c r="A1073" s="1"/>
    </row>
    <row r="1074" spans="1:1" ht="12" customHeight="1">
      <c r="A1074" s="1"/>
    </row>
    <row r="1075" spans="1:1" ht="12" customHeight="1">
      <c r="A1075" s="1"/>
    </row>
    <row r="1076" spans="1:1" ht="12" customHeight="1">
      <c r="A1076" s="1"/>
    </row>
    <row r="1077" spans="1:1" ht="12" customHeight="1">
      <c r="A1077" s="1"/>
    </row>
    <row r="1078" spans="1:1" ht="12" customHeight="1">
      <c r="A1078" s="1"/>
    </row>
    <row r="1079" spans="1:1" ht="12" customHeight="1">
      <c r="A1079" s="1"/>
    </row>
    <row r="1080" spans="1:1" ht="12" customHeight="1">
      <c r="A1080" s="1"/>
    </row>
    <row r="1081" spans="1:1" ht="12" customHeight="1">
      <c r="A1081" s="1"/>
    </row>
    <row r="1082" spans="1:1" ht="12" customHeight="1">
      <c r="A1082" s="1"/>
    </row>
    <row r="1083" spans="1:1" ht="12" customHeight="1">
      <c r="A1083" s="1"/>
    </row>
    <row r="1084" spans="1:1" ht="12" customHeight="1">
      <c r="A1084" s="1"/>
    </row>
    <row r="1085" spans="1:1" ht="12" customHeight="1">
      <c r="A1085" s="1"/>
    </row>
    <row r="1086" spans="1:1" ht="12" customHeight="1">
      <c r="A1086" s="1"/>
    </row>
    <row r="1087" spans="1:1" ht="12" customHeight="1">
      <c r="A1087" s="1"/>
    </row>
    <row r="1088" spans="1:1" ht="12" customHeight="1">
      <c r="A1088" s="1"/>
    </row>
    <row r="1089" spans="1:1" ht="12" customHeight="1">
      <c r="A1089" s="1"/>
    </row>
    <row r="1090" spans="1:1" ht="12" customHeight="1">
      <c r="A1090" s="1"/>
    </row>
    <row r="1091" spans="1:1" ht="12" customHeight="1">
      <c r="A1091" s="1"/>
    </row>
    <row r="1092" spans="1:1" ht="12" customHeight="1">
      <c r="A1092" s="1"/>
    </row>
    <row r="1093" spans="1:1" ht="12" customHeight="1">
      <c r="A1093" s="1"/>
    </row>
    <row r="1094" spans="1:1" ht="12" customHeight="1">
      <c r="A1094" s="1"/>
    </row>
    <row r="1095" spans="1:1" ht="12" customHeight="1">
      <c r="A1095" s="1"/>
    </row>
    <row r="1096" spans="1:1" ht="12" customHeight="1">
      <c r="A1096" s="1"/>
    </row>
    <row r="1097" spans="1:1" ht="12" customHeight="1">
      <c r="A1097" s="1"/>
    </row>
    <row r="1098" spans="1:1" ht="12" customHeight="1">
      <c r="A1098" s="1"/>
    </row>
    <row r="1099" spans="1:1" ht="12" customHeight="1">
      <c r="A1099" s="1"/>
    </row>
    <row r="1100" spans="1:1" ht="12" customHeight="1">
      <c r="A1100" s="1"/>
    </row>
    <row r="1101" spans="1:1" ht="12" customHeight="1">
      <c r="A1101" s="1"/>
    </row>
    <row r="1102" spans="1:1" ht="12" customHeight="1">
      <c r="A1102" s="1"/>
    </row>
    <row r="1103" spans="1:1" ht="12" customHeight="1">
      <c r="A1103" s="1"/>
    </row>
    <row r="1104" spans="1:1" ht="12" customHeight="1">
      <c r="A1104" s="1"/>
    </row>
    <row r="1105" spans="1:1" ht="12" customHeight="1">
      <c r="A1105" s="1"/>
    </row>
    <row r="1106" spans="1:1" ht="12" customHeight="1">
      <c r="A1106" s="1"/>
    </row>
    <row r="1107" spans="1:1" ht="12" customHeight="1">
      <c r="A1107" s="1"/>
    </row>
    <row r="1108" spans="1:1" ht="12" customHeight="1">
      <c r="A1108" s="1"/>
    </row>
    <row r="1109" spans="1:1" ht="12" customHeight="1">
      <c r="A1109" s="1"/>
    </row>
    <row r="1110" spans="1:1" ht="12" customHeight="1">
      <c r="A1110" s="1"/>
    </row>
    <row r="1111" spans="1:1" ht="12" customHeight="1">
      <c r="A1111" s="1"/>
    </row>
    <row r="1112" spans="1:1" ht="12" customHeight="1">
      <c r="A1112" s="1"/>
    </row>
    <row r="1113" spans="1:1" ht="12" customHeight="1">
      <c r="A1113" s="1"/>
    </row>
    <row r="1114" spans="1:1" ht="12" customHeight="1">
      <c r="A1114" s="1"/>
    </row>
    <row r="1115" spans="1:1" ht="12" customHeight="1">
      <c r="A1115" s="1"/>
    </row>
    <row r="1116" spans="1:1" ht="12" customHeight="1">
      <c r="A1116" s="1"/>
    </row>
    <row r="1117" spans="1:1" ht="12" customHeight="1">
      <c r="A1117" s="1"/>
    </row>
    <row r="1118" spans="1:1" ht="12" customHeight="1">
      <c r="A1118" s="1"/>
    </row>
    <row r="1119" spans="1:1" ht="12" customHeight="1">
      <c r="A1119" s="1"/>
    </row>
    <row r="1120" spans="1:1" ht="12" customHeight="1">
      <c r="A1120" s="1"/>
    </row>
    <row r="1121" spans="1:1" ht="12" customHeight="1">
      <c r="A1121" s="1"/>
    </row>
    <row r="1122" spans="1:1" ht="12" customHeight="1">
      <c r="A1122" s="1"/>
    </row>
    <row r="1123" spans="1:1" ht="12" customHeight="1">
      <c r="A1123" s="1"/>
    </row>
    <row r="1124" spans="1:1" ht="12" customHeight="1">
      <c r="A1124" s="1"/>
    </row>
    <row r="1125" spans="1:1" ht="12" customHeight="1">
      <c r="A1125" s="1"/>
    </row>
    <row r="1126" spans="1:1" ht="12" customHeight="1">
      <c r="A1126" s="1"/>
    </row>
    <row r="1127" spans="1:1" ht="12" customHeight="1">
      <c r="A1127" s="1"/>
    </row>
    <row r="1128" spans="1:1" ht="12" customHeight="1">
      <c r="A1128" s="1"/>
    </row>
    <row r="1129" spans="1:1" ht="12" customHeight="1">
      <c r="A1129" s="1"/>
    </row>
    <row r="1130" spans="1:1" ht="12" customHeight="1">
      <c r="A1130" s="1"/>
    </row>
    <row r="1131" spans="1:1" ht="12" customHeight="1">
      <c r="A1131" s="1"/>
    </row>
    <row r="1132" spans="1:1" ht="12" customHeight="1">
      <c r="A1132" s="1"/>
    </row>
    <row r="1133" spans="1:1" ht="12" customHeight="1">
      <c r="A1133" s="1"/>
    </row>
    <row r="1134" spans="1:1" ht="12" customHeight="1">
      <c r="A1134" s="1"/>
    </row>
    <row r="1135" spans="1:1" ht="12" customHeight="1">
      <c r="A1135" s="1"/>
    </row>
    <row r="1136" spans="1:1" ht="12" customHeight="1">
      <c r="A1136" s="1"/>
    </row>
    <row r="1137" spans="1:1" ht="12" customHeight="1">
      <c r="A1137" s="1"/>
    </row>
    <row r="1138" spans="1:1" ht="12" customHeight="1">
      <c r="A1138" s="1"/>
    </row>
    <row r="1139" spans="1:1" ht="12" customHeight="1">
      <c r="A1139" s="1"/>
    </row>
    <row r="1140" spans="1:1" ht="12" customHeight="1">
      <c r="A1140" s="1"/>
    </row>
    <row r="1141" spans="1:1" ht="12" customHeight="1">
      <c r="A1141" s="1"/>
    </row>
    <row r="1142" spans="1:1" ht="12" customHeight="1">
      <c r="A1142" s="1"/>
    </row>
    <row r="1143" spans="1:1" ht="12" customHeight="1">
      <c r="A1143" s="1"/>
    </row>
    <row r="1144" spans="1:1" ht="12" customHeight="1">
      <c r="A1144" s="1"/>
    </row>
    <row r="1145" spans="1:1" ht="12" customHeight="1">
      <c r="A1145" s="1"/>
    </row>
    <row r="1146" spans="1:1" ht="12" customHeight="1">
      <c r="A1146" s="1"/>
    </row>
    <row r="1147" spans="1:1" ht="12" customHeight="1">
      <c r="A1147" s="1"/>
    </row>
    <row r="1148" spans="1:1" ht="12" customHeight="1">
      <c r="A1148" s="1"/>
    </row>
    <row r="1149" spans="1:1" ht="12" customHeight="1">
      <c r="A1149" s="1"/>
    </row>
    <row r="1150" spans="1:1" ht="12" customHeight="1">
      <c r="A1150" s="1"/>
    </row>
    <row r="1151" spans="1:1" ht="12" customHeight="1">
      <c r="A1151" s="1"/>
    </row>
    <row r="1152" spans="1:1" ht="12" customHeight="1">
      <c r="A1152" s="1"/>
    </row>
    <row r="1153" spans="1:1" ht="12" customHeight="1">
      <c r="A1153" s="1"/>
    </row>
    <row r="1154" spans="1:1" ht="12" customHeight="1">
      <c r="A1154" s="1"/>
    </row>
    <row r="1155" spans="1:1" ht="12" customHeight="1">
      <c r="A1155" s="1"/>
    </row>
    <row r="1156" spans="1:1" ht="12" customHeight="1">
      <c r="A1156" s="1"/>
    </row>
    <row r="1157" spans="1:1" ht="12" customHeight="1">
      <c r="A1157" s="1"/>
    </row>
    <row r="1158" spans="1:1" ht="12" customHeight="1">
      <c r="A1158" s="1"/>
    </row>
    <row r="1159" spans="1:1" ht="12" customHeight="1">
      <c r="A1159" s="1"/>
    </row>
    <row r="1160" spans="1:1" ht="12" customHeight="1">
      <c r="A1160" s="1"/>
    </row>
    <row r="1161" spans="1:1" ht="12" customHeight="1">
      <c r="A1161" s="1"/>
    </row>
    <row r="1162" spans="1:1" ht="12" customHeight="1">
      <c r="A1162" s="1"/>
    </row>
    <row r="1163" spans="1:1" ht="12" customHeight="1">
      <c r="A1163" s="1"/>
    </row>
    <row r="1164" spans="1:1" ht="12" customHeight="1">
      <c r="A1164" s="1"/>
    </row>
    <row r="1165" spans="1:1" ht="12" customHeight="1">
      <c r="A1165" s="1"/>
    </row>
    <row r="1166" spans="1:1" ht="12" customHeight="1">
      <c r="A1166" s="1"/>
    </row>
    <row r="1167" spans="1:1" ht="12" customHeight="1">
      <c r="A1167" s="1"/>
    </row>
    <row r="1168" spans="1:1" ht="12" customHeight="1">
      <c r="A1168" s="1"/>
    </row>
    <row r="1169" spans="1:1" ht="12" customHeight="1">
      <c r="A1169" s="1"/>
    </row>
    <row r="1170" spans="1:1" ht="12" customHeight="1">
      <c r="A1170" s="1"/>
    </row>
    <row r="1171" spans="1:1" ht="12" customHeight="1">
      <c r="A1171" s="1"/>
    </row>
    <row r="1172" spans="1:1" ht="12" customHeight="1">
      <c r="A1172" s="1"/>
    </row>
    <row r="1173" spans="1:1" ht="12" customHeight="1">
      <c r="A1173" s="1"/>
    </row>
    <row r="1174" spans="1:1" ht="12" customHeight="1">
      <c r="A1174" s="1"/>
    </row>
    <row r="1175" spans="1:1" ht="12" customHeight="1">
      <c r="A1175" s="1"/>
    </row>
    <row r="1176" spans="1:1" ht="12" customHeight="1">
      <c r="A1176" s="1"/>
    </row>
    <row r="1177" spans="1:1" ht="12" customHeight="1">
      <c r="A1177" s="1"/>
    </row>
    <row r="1178" spans="1:1" ht="12" customHeight="1">
      <c r="A1178" s="1"/>
    </row>
    <row r="1179" spans="1:1" ht="12" customHeight="1">
      <c r="A1179" s="1"/>
    </row>
    <row r="1180" spans="1:1" ht="12" customHeight="1">
      <c r="A1180" s="1"/>
    </row>
    <row r="1181" spans="1:1" ht="12" customHeight="1">
      <c r="A1181" s="1"/>
    </row>
    <row r="1182" spans="1:1" ht="12" customHeight="1">
      <c r="A1182" s="1"/>
    </row>
    <row r="1183" spans="1:1" ht="12" customHeight="1">
      <c r="A1183" s="1"/>
    </row>
    <row r="1184" spans="1:1" ht="12" customHeight="1">
      <c r="A1184" s="1"/>
    </row>
    <row r="1185" spans="1:1" ht="12" customHeight="1">
      <c r="A1185" s="1"/>
    </row>
    <row r="1186" spans="1:1" ht="12" customHeight="1">
      <c r="A1186" s="1"/>
    </row>
    <row r="1187" spans="1:1" ht="12" customHeight="1">
      <c r="A1187" s="1"/>
    </row>
    <row r="1188" spans="1:1" ht="12" customHeight="1">
      <c r="A1188" s="1"/>
    </row>
    <row r="1189" spans="1:1" ht="12" customHeight="1">
      <c r="A1189" s="1"/>
    </row>
    <row r="1190" spans="1:1" ht="12" customHeight="1">
      <c r="A1190" s="1"/>
    </row>
    <row r="1191" spans="1:1" ht="12" customHeight="1">
      <c r="A1191" s="1"/>
    </row>
    <row r="1192" spans="1:1" ht="12" customHeight="1">
      <c r="A1192" s="1"/>
    </row>
    <row r="1193" spans="1:1" ht="12" customHeight="1">
      <c r="A1193" s="1"/>
    </row>
    <row r="1194" spans="1:1" ht="12" customHeight="1">
      <c r="A1194" s="1"/>
    </row>
    <row r="1195" spans="1:1" ht="12" customHeight="1">
      <c r="A1195" s="1"/>
    </row>
    <row r="1196" spans="1:1" ht="12" customHeight="1">
      <c r="A1196" s="1"/>
    </row>
    <row r="1197" spans="1:1" ht="12" customHeight="1">
      <c r="A1197" s="1"/>
    </row>
    <row r="1198" spans="1:1" ht="12" customHeight="1">
      <c r="A1198" s="1"/>
    </row>
    <row r="1199" spans="1:1" ht="12" customHeight="1">
      <c r="A1199" s="1"/>
    </row>
    <row r="1200" spans="1:1" ht="12" customHeight="1">
      <c r="A1200" s="1"/>
    </row>
    <row r="1201" spans="1:1" ht="12" customHeight="1">
      <c r="A1201" s="1"/>
    </row>
    <row r="1202" spans="1:1" ht="12" customHeight="1">
      <c r="A1202" s="1"/>
    </row>
    <row r="1203" spans="1:1" ht="12" customHeight="1">
      <c r="A1203" s="1"/>
    </row>
    <row r="1204" spans="1:1" ht="12" customHeight="1">
      <c r="A1204" s="1"/>
    </row>
    <row r="1205" spans="1:1" ht="12" customHeight="1">
      <c r="A1205" s="1"/>
    </row>
    <row r="1206" spans="1:1" ht="12" customHeight="1">
      <c r="A1206" s="1"/>
    </row>
    <row r="1207" spans="1:1" ht="12" customHeight="1">
      <c r="A1207" s="1"/>
    </row>
    <row r="1208" spans="1:1" ht="12" customHeight="1">
      <c r="A1208" s="1"/>
    </row>
    <row r="1209" spans="1:1" ht="12" customHeight="1">
      <c r="A1209" s="1"/>
    </row>
    <row r="1210" spans="1:1" ht="12" customHeight="1">
      <c r="A1210" s="1"/>
    </row>
    <row r="1211" spans="1:1" ht="12" customHeight="1">
      <c r="A1211" s="1"/>
    </row>
    <row r="1212" spans="1:1" ht="12" customHeight="1">
      <c r="A1212" s="1"/>
    </row>
    <row r="1213" spans="1:1" ht="12" customHeight="1">
      <c r="A1213" s="1"/>
    </row>
    <row r="1214" spans="1:1" ht="12" customHeight="1">
      <c r="A1214" s="1"/>
    </row>
    <row r="1215" spans="1:1" ht="12" customHeight="1">
      <c r="A1215" s="1"/>
    </row>
    <row r="1216" spans="1:1" ht="12" customHeight="1">
      <c r="A1216" s="1"/>
    </row>
    <row r="1217" spans="1:1" ht="12" customHeight="1">
      <c r="A1217" s="1"/>
    </row>
    <row r="1218" spans="1:1" ht="12" customHeight="1">
      <c r="A1218" s="1"/>
    </row>
    <row r="1219" spans="1:1" ht="12" customHeight="1">
      <c r="A1219" s="1"/>
    </row>
    <row r="1220" spans="1:1" ht="12" customHeight="1">
      <c r="A1220" s="1"/>
    </row>
    <row r="1221" spans="1:1" ht="12" customHeight="1">
      <c r="A1221" s="1"/>
    </row>
    <row r="1222" spans="1:1" ht="12" customHeight="1">
      <c r="A1222" s="1"/>
    </row>
    <row r="1223" spans="1:1" ht="12" customHeight="1">
      <c r="A1223" s="1"/>
    </row>
    <row r="1224" spans="1:1" ht="12" customHeight="1">
      <c r="A1224" s="1"/>
    </row>
    <row r="1225" spans="1:1" ht="12" customHeight="1">
      <c r="A1225" s="1"/>
    </row>
    <row r="1226" spans="1:1" ht="12" customHeight="1">
      <c r="A1226" s="1"/>
    </row>
    <row r="1227" spans="1:1" ht="12" customHeight="1">
      <c r="A1227" s="1"/>
    </row>
    <row r="1228" spans="1:1" ht="12" customHeight="1">
      <c r="A1228" s="1"/>
    </row>
    <row r="1229" spans="1:1" ht="12" customHeight="1">
      <c r="A1229" s="1"/>
    </row>
    <row r="1230" spans="1:1" ht="12" customHeight="1">
      <c r="A1230" s="1"/>
    </row>
    <row r="1231" spans="1:1" ht="12" customHeight="1">
      <c r="A1231" s="1"/>
    </row>
    <row r="1232" spans="1:1" ht="12" customHeight="1">
      <c r="A1232" s="1"/>
    </row>
    <row r="1233" spans="1:1" ht="12" customHeight="1">
      <c r="A1233" s="1"/>
    </row>
    <row r="1234" spans="1:1" ht="12" customHeight="1">
      <c r="A1234" s="1"/>
    </row>
    <row r="1235" spans="1:1" ht="12" customHeight="1">
      <c r="A1235" s="1"/>
    </row>
    <row r="1236" spans="1:1" ht="12" customHeight="1">
      <c r="A1236" s="1"/>
    </row>
    <row r="1237" spans="1:1" ht="12" customHeight="1">
      <c r="A1237" s="1"/>
    </row>
    <row r="1238" spans="1:1" ht="12" customHeight="1">
      <c r="A1238" s="1"/>
    </row>
    <row r="1239" spans="1:1" ht="12" customHeight="1">
      <c r="A1239" s="1"/>
    </row>
    <row r="1240" spans="1:1" ht="12" customHeight="1">
      <c r="A1240" s="1"/>
    </row>
    <row r="1241" spans="1:1" ht="12" customHeight="1">
      <c r="A1241" s="1"/>
    </row>
    <row r="1242" spans="1:1" ht="12" customHeight="1">
      <c r="A1242" s="1"/>
    </row>
    <row r="1243" spans="1:1" ht="12" customHeight="1">
      <c r="A1243" s="1"/>
    </row>
    <row r="1244" spans="1:1" ht="12" customHeight="1">
      <c r="A1244" s="1"/>
    </row>
    <row r="1245" spans="1:1" ht="12" customHeight="1">
      <c r="A1245" s="1"/>
    </row>
    <row r="1246" spans="1:1" ht="12" customHeight="1">
      <c r="A1246" s="1"/>
    </row>
    <row r="1247" spans="1:1" ht="12" customHeight="1">
      <c r="A1247" s="1"/>
    </row>
    <row r="1248" spans="1:1" ht="12" customHeight="1">
      <c r="A1248" s="1"/>
    </row>
    <row r="1249" spans="1:1" ht="12" customHeight="1">
      <c r="A1249" s="1"/>
    </row>
    <row r="1250" spans="1:1" ht="12" customHeight="1">
      <c r="A1250" s="1"/>
    </row>
    <row r="1251" spans="1:1" ht="12" customHeight="1">
      <c r="A1251" s="1"/>
    </row>
    <row r="1252" spans="1:1" ht="12" customHeight="1">
      <c r="A1252" s="1"/>
    </row>
    <row r="1253" spans="1:1" ht="12" customHeight="1">
      <c r="A1253" s="1"/>
    </row>
    <row r="1254" spans="1:1" ht="12" customHeight="1">
      <c r="A1254" s="1"/>
    </row>
    <row r="1255" spans="1:1" ht="12" customHeight="1">
      <c r="A1255" s="1"/>
    </row>
    <row r="1256" spans="1:1" ht="12" customHeight="1">
      <c r="A1256" s="1"/>
    </row>
    <row r="1257" spans="1:1" ht="12" customHeight="1">
      <c r="A1257" s="1"/>
    </row>
    <row r="1258" spans="1:1" ht="12" customHeight="1">
      <c r="A1258" s="1"/>
    </row>
    <row r="1259" spans="1:1" ht="12" customHeight="1">
      <c r="A1259" s="1"/>
    </row>
    <row r="1260" spans="1:1" ht="12" customHeight="1">
      <c r="A1260" s="1"/>
    </row>
    <row r="1261" spans="1:1" ht="12" customHeight="1">
      <c r="A1261" s="1"/>
    </row>
    <row r="1262" spans="1:1" ht="12" customHeight="1">
      <c r="A1262" s="1"/>
    </row>
    <row r="1263" spans="1:1" ht="12" customHeight="1">
      <c r="A1263" s="1"/>
    </row>
    <row r="1264" spans="1:1" ht="12" customHeight="1">
      <c r="A1264" s="1"/>
    </row>
    <row r="1265" spans="1:1" ht="12" customHeight="1">
      <c r="A1265" s="1"/>
    </row>
    <row r="1266" spans="1:1" ht="12" customHeight="1">
      <c r="A1266" s="1"/>
    </row>
    <row r="1267" spans="1:1" ht="12" customHeight="1">
      <c r="A1267" s="1"/>
    </row>
    <row r="1268" spans="1:1" ht="12" customHeight="1">
      <c r="A1268" s="1"/>
    </row>
    <row r="1269" spans="1:1" ht="12" customHeight="1">
      <c r="A1269" s="1"/>
    </row>
    <row r="1270" spans="1:1" ht="12" customHeight="1">
      <c r="A1270" s="1"/>
    </row>
    <row r="1271" spans="1:1" ht="12" customHeight="1">
      <c r="A1271" s="1"/>
    </row>
    <row r="1272" spans="1:1" ht="12" customHeight="1">
      <c r="A1272" s="1"/>
    </row>
    <row r="1273" spans="1:1" ht="12" customHeight="1">
      <c r="A1273" s="1"/>
    </row>
    <row r="1274" spans="1:1" ht="12" customHeight="1">
      <c r="A1274" s="1"/>
    </row>
    <row r="1275" spans="1:1" ht="12" customHeight="1">
      <c r="A1275" s="1"/>
    </row>
    <row r="1276" spans="1:1" ht="12" customHeight="1">
      <c r="A1276" s="1"/>
    </row>
    <row r="1277" spans="1:1" ht="12" customHeight="1">
      <c r="A1277" s="1"/>
    </row>
    <row r="1278" spans="1:1" ht="12" customHeight="1">
      <c r="A1278" s="1"/>
    </row>
    <row r="1279" spans="1:1" ht="12" customHeight="1">
      <c r="A1279" s="1"/>
    </row>
    <row r="1280" spans="1:1" ht="12" customHeight="1">
      <c r="A1280" s="1"/>
    </row>
    <row r="1281" spans="1:1" ht="12" customHeight="1">
      <c r="A1281" s="1"/>
    </row>
    <row r="1282" spans="1:1" ht="12" customHeight="1">
      <c r="A1282" s="1"/>
    </row>
    <row r="1283" spans="1:1" ht="12" customHeight="1">
      <c r="A1283" s="1"/>
    </row>
    <row r="1284" spans="1:1" ht="12" customHeight="1">
      <c r="A1284" s="1"/>
    </row>
    <row r="1285" spans="1:1" ht="12" customHeight="1">
      <c r="A1285" s="1"/>
    </row>
    <row r="1286" spans="1:1" ht="12" customHeight="1">
      <c r="A1286" s="1"/>
    </row>
    <row r="1287" spans="1:1" ht="12" customHeight="1">
      <c r="A1287" s="1"/>
    </row>
    <row r="1288" spans="1:1" ht="12" customHeight="1">
      <c r="A1288" s="1"/>
    </row>
    <row r="1289" spans="1:1" ht="12" customHeight="1">
      <c r="A1289" s="1"/>
    </row>
    <row r="1290" spans="1:1" ht="12" customHeight="1">
      <c r="A1290" s="1"/>
    </row>
    <row r="1291" spans="1:1" ht="12" customHeight="1">
      <c r="A1291" s="1"/>
    </row>
    <row r="1292" spans="1:1" ht="12" customHeight="1">
      <c r="A1292" s="1"/>
    </row>
    <row r="1293" spans="1:1" ht="12" customHeight="1">
      <c r="A1293" s="1"/>
    </row>
    <row r="1294" spans="1:1" ht="12" customHeight="1">
      <c r="A1294" s="1"/>
    </row>
    <row r="1295" spans="1:1" ht="12" customHeight="1">
      <c r="A1295" s="1"/>
    </row>
    <row r="1296" spans="1:1" ht="12" customHeight="1">
      <c r="A1296" s="1"/>
    </row>
    <row r="1297" spans="1:1" ht="12" customHeight="1">
      <c r="A1297" s="1"/>
    </row>
    <row r="1298" spans="1:1" ht="12" customHeight="1">
      <c r="A1298" s="1"/>
    </row>
    <row r="1299" spans="1:1" ht="12" customHeight="1">
      <c r="A1299" s="1"/>
    </row>
    <row r="1300" spans="1:1" ht="12" customHeight="1">
      <c r="A1300" s="1"/>
    </row>
    <row r="1301" spans="1:1" ht="12" customHeight="1">
      <c r="A1301" s="1"/>
    </row>
    <row r="1302" spans="1:1" ht="12" customHeight="1">
      <c r="A1302" s="1"/>
    </row>
    <row r="1303" spans="1:1" ht="12" customHeight="1">
      <c r="A1303" s="1"/>
    </row>
    <row r="1304" spans="1:1" ht="12" customHeight="1">
      <c r="A1304" s="1"/>
    </row>
    <row r="1305" spans="1:1" ht="12" customHeight="1">
      <c r="A1305" s="1"/>
    </row>
    <row r="1306" spans="1:1" ht="12" customHeight="1">
      <c r="A1306" s="1"/>
    </row>
    <row r="1307" spans="1:1" ht="12" customHeight="1">
      <c r="A1307" s="1"/>
    </row>
    <row r="1308" spans="1:1" ht="12" customHeight="1">
      <c r="A1308" s="1"/>
    </row>
    <row r="1309" spans="1:1" ht="12" customHeight="1">
      <c r="A1309" s="1"/>
    </row>
    <row r="1310" spans="1:1" ht="12" customHeight="1">
      <c r="A1310" s="1"/>
    </row>
    <row r="1311" spans="1:1" ht="12" customHeight="1">
      <c r="A1311" s="1"/>
    </row>
    <row r="1312" spans="1:1" ht="12" customHeight="1">
      <c r="A1312" s="1"/>
    </row>
    <row r="1313" spans="1:1" ht="12" customHeight="1">
      <c r="A1313" s="1"/>
    </row>
    <row r="1314" spans="1:1" ht="12" customHeight="1">
      <c r="A1314" s="1"/>
    </row>
    <row r="1315" spans="1:1" ht="12" customHeight="1">
      <c r="A1315" s="1"/>
    </row>
    <row r="1316" spans="1:1" ht="12" customHeight="1">
      <c r="A1316" s="1"/>
    </row>
    <row r="1317" spans="1:1" ht="12" customHeight="1">
      <c r="A1317" s="1"/>
    </row>
    <row r="1318" spans="1:1" ht="12" customHeight="1">
      <c r="A1318" s="1"/>
    </row>
    <row r="1319" spans="1:1" ht="12" customHeight="1">
      <c r="A1319" s="1"/>
    </row>
    <row r="1320" spans="1:1" ht="12" customHeight="1">
      <c r="A1320" s="1"/>
    </row>
    <row r="1321" spans="1:1" ht="12" customHeight="1">
      <c r="A1321" s="1"/>
    </row>
    <row r="1322" spans="1:1" ht="12" customHeight="1">
      <c r="A1322" s="1"/>
    </row>
    <row r="1323" spans="1:1" ht="12" customHeight="1">
      <c r="A1323" s="1"/>
    </row>
    <row r="1324" spans="1:1" ht="12" customHeight="1">
      <c r="A1324" s="1"/>
    </row>
    <row r="1325" spans="1:1" ht="12" customHeight="1">
      <c r="A1325" s="1"/>
    </row>
    <row r="1326" spans="1:1" ht="12" customHeight="1">
      <c r="A1326" s="1"/>
    </row>
    <row r="1327" spans="1:1" ht="12" customHeight="1">
      <c r="A1327" s="1"/>
    </row>
    <row r="1328" spans="1:1" ht="12" customHeight="1">
      <c r="A1328" s="1"/>
    </row>
    <row r="1329" spans="1:1" ht="12" customHeight="1">
      <c r="A1329" s="1"/>
    </row>
    <row r="1330" spans="1:1" ht="12" customHeight="1">
      <c r="A1330" s="1"/>
    </row>
    <row r="1331" spans="1:1" ht="12" customHeight="1">
      <c r="A1331" s="1"/>
    </row>
    <row r="1332" spans="1:1" ht="12" customHeight="1">
      <c r="A1332" s="1"/>
    </row>
    <row r="1333" spans="1:1" ht="12" customHeight="1">
      <c r="A1333" s="1"/>
    </row>
    <row r="1334" spans="1:1" ht="12" customHeight="1">
      <c r="A1334" s="1"/>
    </row>
    <row r="1335" spans="1:1" ht="12" customHeight="1">
      <c r="A1335" s="1"/>
    </row>
    <row r="1336" spans="1:1" ht="12" customHeight="1">
      <c r="A1336" s="1"/>
    </row>
    <row r="1337" spans="1:1" ht="12" customHeight="1">
      <c r="A1337" s="1"/>
    </row>
    <row r="1338" spans="1:1" ht="12" customHeight="1">
      <c r="A1338" s="1"/>
    </row>
    <row r="1339" spans="1:1" ht="12" customHeight="1">
      <c r="A1339" s="1"/>
    </row>
    <row r="1340" spans="1:1" ht="12" customHeight="1">
      <c r="A1340" s="1"/>
    </row>
    <row r="1341" spans="1:1" ht="12" customHeight="1">
      <c r="A1341" s="1"/>
    </row>
    <row r="1342" spans="1:1" ht="12" customHeight="1">
      <c r="A1342" s="1"/>
    </row>
    <row r="1343" spans="1:1" ht="12" customHeight="1">
      <c r="A1343" s="1"/>
    </row>
    <row r="1344" spans="1:1" ht="12" customHeight="1">
      <c r="A1344" s="1"/>
    </row>
    <row r="1345" spans="1:1" ht="12" customHeight="1">
      <c r="A1345" s="1"/>
    </row>
    <row r="1346" spans="1:1" ht="12" customHeight="1">
      <c r="A1346" s="1"/>
    </row>
    <row r="1347" spans="1:1" ht="12" customHeight="1">
      <c r="A1347" s="1"/>
    </row>
    <row r="1348" spans="1:1" ht="12" customHeight="1">
      <c r="A1348" s="1"/>
    </row>
    <row r="1349" spans="1:1" ht="12" customHeight="1">
      <c r="A1349" s="1"/>
    </row>
    <row r="1350" spans="1:1" ht="12" customHeight="1">
      <c r="A1350" s="1"/>
    </row>
    <row r="1351" spans="1:1" ht="12" customHeight="1">
      <c r="A1351" s="1"/>
    </row>
    <row r="1352" spans="1:1" ht="12" customHeight="1">
      <c r="A1352" s="1"/>
    </row>
    <row r="1353" spans="1:1" ht="12" customHeight="1">
      <c r="A1353" s="1"/>
    </row>
    <row r="1354" spans="1:1" ht="12" customHeight="1">
      <c r="A1354" s="1"/>
    </row>
    <row r="1355" spans="1:1" ht="12" customHeight="1">
      <c r="A1355" s="1"/>
    </row>
    <row r="1356" spans="1:1" ht="12" customHeight="1">
      <c r="A1356" s="1"/>
    </row>
    <row r="1357" spans="1:1" ht="12" customHeight="1">
      <c r="A1357" s="1"/>
    </row>
    <row r="1358" spans="1:1" ht="12" customHeight="1">
      <c r="A1358" s="1"/>
    </row>
    <row r="1359" spans="1:1" ht="12" customHeight="1">
      <c r="A1359" s="1"/>
    </row>
    <row r="1360" spans="1:1" ht="12" customHeight="1">
      <c r="A1360" s="1"/>
    </row>
    <row r="1361" spans="1:1" ht="12" customHeight="1">
      <c r="A1361" s="1"/>
    </row>
    <row r="1362" spans="1:1" ht="12" customHeight="1">
      <c r="A1362" s="1"/>
    </row>
    <row r="1363" spans="1:1" ht="12" customHeight="1">
      <c r="A1363" s="1"/>
    </row>
    <row r="1364" spans="1:1" ht="12" customHeight="1">
      <c r="A1364" s="1"/>
    </row>
    <row r="1365" spans="1:1" ht="12" customHeight="1">
      <c r="A1365" s="1"/>
    </row>
    <row r="1366" spans="1:1" ht="12" customHeight="1">
      <c r="A1366" s="1"/>
    </row>
    <row r="1367" spans="1:1" ht="12" customHeight="1">
      <c r="A1367" s="1"/>
    </row>
    <row r="1368" spans="1:1" ht="12" customHeight="1">
      <c r="A1368" s="1"/>
    </row>
    <row r="1369" spans="1:1" ht="12" customHeight="1">
      <c r="A1369" s="1"/>
    </row>
    <row r="1370" spans="1:1" ht="12" customHeight="1">
      <c r="A1370" s="1"/>
    </row>
    <row r="1371" spans="1:1" ht="12" customHeight="1">
      <c r="A1371" s="1"/>
    </row>
    <row r="1372" spans="1:1" ht="12" customHeight="1">
      <c r="A1372" s="1"/>
    </row>
    <row r="1373" spans="1:1" ht="12" customHeight="1">
      <c r="A1373" s="1"/>
    </row>
    <row r="1374" spans="1:1" ht="12" customHeight="1">
      <c r="A1374" s="1"/>
    </row>
    <row r="1375" spans="1:1" ht="12" customHeight="1">
      <c r="A1375" s="1"/>
    </row>
    <row r="1376" spans="1:1" ht="12" customHeight="1">
      <c r="A1376" s="1"/>
    </row>
    <row r="1377" spans="1:1" ht="12" customHeight="1">
      <c r="A1377" s="1"/>
    </row>
    <row r="1378" spans="1:1" ht="12" customHeight="1">
      <c r="A1378" s="1"/>
    </row>
    <row r="1379" spans="1:1" ht="12" customHeight="1">
      <c r="A1379" s="1"/>
    </row>
    <row r="1380" spans="1:1" ht="12" customHeight="1">
      <c r="A1380" s="1"/>
    </row>
    <row r="1381" spans="1:1" ht="12" customHeight="1">
      <c r="A1381" s="1"/>
    </row>
    <row r="1382" spans="1:1" ht="12" customHeight="1">
      <c r="A1382" s="1"/>
    </row>
    <row r="1383" spans="1:1" ht="12" customHeight="1">
      <c r="A1383" s="1"/>
    </row>
    <row r="1384" spans="1:1" ht="12" customHeight="1">
      <c r="A1384" s="1"/>
    </row>
    <row r="1385" spans="1:1" ht="12" customHeight="1">
      <c r="A1385" s="1"/>
    </row>
    <row r="1386" spans="1:1" ht="12" customHeight="1">
      <c r="A1386" s="1"/>
    </row>
    <row r="1387" spans="1:1" ht="12" customHeight="1">
      <c r="A1387" s="1"/>
    </row>
    <row r="1388" spans="1:1" ht="12" customHeight="1">
      <c r="A1388" s="1"/>
    </row>
    <row r="1389" spans="1:1" ht="12" customHeight="1">
      <c r="A1389" s="1"/>
    </row>
    <row r="1390" spans="1:1" ht="12" customHeight="1">
      <c r="A1390" s="1"/>
    </row>
    <row r="1391" spans="1:1" ht="12" customHeight="1">
      <c r="A1391" s="1"/>
    </row>
    <row r="1392" spans="1:1" ht="12" customHeight="1">
      <c r="A1392" s="1"/>
    </row>
    <row r="1393" spans="1:1" ht="12" customHeight="1">
      <c r="A1393" s="1"/>
    </row>
    <row r="1394" spans="1:1" ht="12" customHeight="1">
      <c r="A1394" s="1"/>
    </row>
    <row r="1395" spans="1:1" ht="12" customHeight="1">
      <c r="A1395" s="1"/>
    </row>
    <row r="1396" spans="1:1" ht="12" customHeight="1">
      <c r="A1396" s="1"/>
    </row>
    <row r="1397" spans="1:1" ht="12" customHeight="1">
      <c r="A1397" s="1"/>
    </row>
    <row r="1398" spans="1:1" ht="12" customHeight="1">
      <c r="A1398" s="1"/>
    </row>
    <row r="1399" spans="1:1" ht="12" customHeight="1">
      <c r="A1399" s="1"/>
    </row>
    <row r="1400" spans="1:1" ht="12" customHeight="1">
      <c r="A1400" s="1"/>
    </row>
    <row r="1401" spans="1:1" ht="12" customHeight="1">
      <c r="A1401" s="1"/>
    </row>
    <row r="1402" spans="1:1" ht="12" customHeight="1">
      <c r="A1402" s="1"/>
    </row>
    <row r="1403" spans="1:1" ht="12" customHeight="1">
      <c r="A1403" s="1"/>
    </row>
    <row r="1404" spans="1:1" ht="12" customHeight="1">
      <c r="A1404" s="1"/>
    </row>
    <row r="1405" spans="1:1" ht="12" customHeight="1">
      <c r="A1405" s="1"/>
    </row>
    <row r="1406" spans="1:1" ht="12" customHeight="1">
      <c r="A1406" s="1"/>
    </row>
    <row r="1407" spans="1:1" ht="12" customHeight="1">
      <c r="A1407" s="1"/>
    </row>
    <row r="1408" spans="1:1" ht="12" customHeight="1">
      <c r="A1408" s="1"/>
    </row>
    <row r="1409" spans="1:1" ht="12" customHeight="1">
      <c r="A1409" s="1"/>
    </row>
    <row r="1410" spans="1:1" ht="12" customHeight="1">
      <c r="A1410" s="1"/>
    </row>
    <row r="1411" spans="1:1" ht="12" customHeight="1">
      <c r="A1411" s="1"/>
    </row>
    <row r="1412" spans="1:1" ht="12" customHeight="1">
      <c r="A1412" s="1"/>
    </row>
    <row r="1413" spans="1:1" ht="12" customHeight="1">
      <c r="A1413" s="1"/>
    </row>
    <row r="1414" spans="1:1" ht="12" customHeight="1">
      <c r="A1414" s="1"/>
    </row>
    <row r="1415" spans="1:1" ht="12" customHeight="1">
      <c r="A1415" s="1"/>
    </row>
    <row r="1416" spans="1:1" ht="12" customHeight="1">
      <c r="A1416" s="1"/>
    </row>
    <row r="1417" spans="1:1" ht="12" customHeight="1">
      <c r="A1417" s="1"/>
    </row>
    <row r="1418" spans="1:1" ht="12" customHeight="1">
      <c r="A1418" s="1"/>
    </row>
    <row r="1419" spans="1:1" ht="12" customHeight="1">
      <c r="A1419" s="1"/>
    </row>
    <row r="1420" spans="1:1" ht="12" customHeight="1">
      <c r="A1420" s="1"/>
    </row>
    <row r="1421" spans="1:1" ht="12" customHeight="1">
      <c r="A1421" s="1"/>
    </row>
    <row r="1422" spans="1:1" ht="12" customHeight="1">
      <c r="A1422" s="1"/>
    </row>
    <row r="1423" spans="1:1" ht="12" customHeight="1">
      <c r="A1423" s="1"/>
    </row>
    <row r="1424" spans="1:1" ht="12" customHeight="1">
      <c r="A1424" s="1"/>
    </row>
    <row r="1425" spans="1:1" ht="12" customHeight="1">
      <c r="A1425" s="1"/>
    </row>
    <row r="1426" spans="1:1" ht="12" customHeight="1">
      <c r="A1426" s="1"/>
    </row>
    <row r="1427" spans="1:1" ht="12" customHeight="1">
      <c r="A1427" s="1"/>
    </row>
    <row r="1428" spans="1:1" ht="12" customHeight="1">
      <c r="A1428" s="1"/>
    </row>
    <row r="1429" spans="1:1" ht="12" customHeight="1">
      <c r="A1429" s="1"/>
    </row>
    <row r="1430" spans="1:1" ht="12" customHeight="1">
      <c r="A1430" s="1"/>
    </row>
    <row r="1431" spans="1:1" ht="12" customHeight="1">
      <c r="A1431" s="1"/>
    </row>
    <row r="1432" spans="1:1" ht="12" customHeight="1">
      <c r="A1432" s="1"/>
    </row>
    <row r="1433" spans="1:1" ht="12" customHeight="1">
      <c r="A1433" s="1"/>
    </row>
    <row r="1434" spans="1:1" ht="12" customHeight="1">
      <c r="A1434" s="1"/>
    </row>
    <row r="1435" spans="1:1" ht="12" customHeight="1">
      <c r="A1435" s="1"/>
    </row>
    <row r="1436" spans="1:1" ht="12" customHeight="1">
      <c r="A1436" s="1"/>
    </row>
    <row r="1437" spans="1:1" ht="12" customHeight="1">
      <c r="A1437" s="1"/>
    </row>
    <row r="1438" spans="1:1" ht="12" customHeight="1">
      <c r="A1438" s="1"/>
    </row>
    <row r="1439" spans="1:1" ht="12" customHeight="1">
      <c r="A1439" s="1"/>
    </row>
    <row r="1440" spans="1:1" ht="12" customHeight="1">
      <c r="A1440" s="1"/>
    </row>
    <row r="1441" spans="1:1" ht="12" customHeight="1">
      <c r="A1441" s="1"/>
    </row>
    <row r="1442" spans="1:1" ht="12" customHeight="1">
      <c r="A1442" s="1"/>
    </row>
    <row r="1443" spans="1:1" ht="12" customHeight="1">
      <c r="A1443" s="1"/>
    </row>
    <row r="1444" spans="1:1" ht="12" customHeight="1">
      <c r="A1444" s="1"/>
    </row>
    <row r="1445" spans="1:1" ht="12" customHeight="1">
      <c r="A1445" s="1"/>
    </row>
    <row r="1446" spans="1:1" ht="12" customHeight="1">
      <c r="A1446" s="1"/>
    </row>
    <row r="1447" spans="1:1" ht="12" customHeight="1">
      <c r="A1447" s="1"/>
    </row>
    <row r="1448" spans="1:1" ht="12" customHeight="1">
      <c r="A1448" s="1"/>
    </row>
    <row r="1449" spans="1:1" ht="12" customHeight="1">
      <c r="A1449" s="1"/>
    </row>
    <row r="1450" spans="1:1" ht="12" customHeight="1">
      <c r="A1450" s="1"/>
    </row>
    <row r="1451" spans="1:1" ht="12" customHeight="1">
      <c r="A1451" s="1"/>
    </row>
    <row r="1452" spans="1:1" ht="12" customHeight="1">
      <c r="A1452" s="1"/>
    </row>
    <row r="1453" spans="1:1" ht="12" customHeight="1">
      <c r="A1453" s="1"/>
    </row>
    <row r="1454" spans="1:1" ht="12" customHeight="1">
      <c r="A1454" s="1"/>
    </row>
    <row r="1455" spans="1:1" ht="12" customHeight="1">
      <c r="A1455" s="1"/>
    </row>
    <row r="1456" spans="1:1" ht="12" customHeight="1">
      <c r="A1456" s="1"/>
    </row>
    <row r="1457" spans="1:1" ht="12" customHeight="1">
      <c r="A1457" s="1"/>
    </row>
    <row r="1458" spans="1:1" ht="12" customHeight="1">
      <c r="A1458" s="1"/>
    </row>
    <row r="1459" spans="1:1" ht="12" customHeight="1">
      <c r="A1459" s="1"/>
    </row>
    <row r="1460" spans="1:1" ht="12" customHeight="1">
      <c r="A1460" s="1"/>
    </row>
    <row r="1461" spans="1:1" ht="12" customHeight="1">
      <c r="A1461" s="1"/>
    </row>
    <row r="1462" spans="1:1" ht="12" customHeight="1">
      <c r="A1462" s="1"/>
    </row>
    <row r="1463" spans="1:1" ht="12" customHeight="1">
      <c r="A1463" s="1"/>
    </row>
    <row r="1464" spans="1:1" ht="12" customHeight="1">
      <c r="A1464" s="1"/>
    </row>
    <row r="1465" spans="1:1" ht="12" customHeight="1">
      <c r="A1465" s="1"/>
    </row>
    <row r="1466" spans="1:1" ht="12" customHeight="1">
      <c r="A1466" s="1"/>
    </row>
    <row r="1467" spans="1:1" ht="12" customHeight="1">
      <c r="A1467" s="1"/>
    </row>
    <row r="1468" spans="1:1" ht="12" customHeight="1">
      <c r="A1468" s="1"/>
    </row>
    <row r="1469" spans="1:1" ht="12" customHeight="1">
      <c r="A1469" s="1"/>
    </row>
    <row r="1470" spans="1:1" ht="12" customHeight="1">
      <c r="A1470" s="1"/>
    </row>
    <row r="1471" spans="1:1" ht="12" customHeight="1">
      <c r="A1471" s="1"/>
    </row>
    <row r="1472" spans="1:1" ht="12" customHeight="1">
      <c r="A1472" s="1"/>
    </row>
    <row r="1473" spans="1:1" ht="12" customHeight="1">
      <c r="A1473" s="1"/>
    </row>
    <row r="1474" spans="1:1" ht="12" customHeight="1">
      <c r="A1474" s="1"/>
    </row>
    <row r="1475" spans="1:1" ht="12" customHeight="1">
      <c r="A1475" s="1"/>
    </row>
    <row r="1476" spans="1:1" ht="12" customHeight="1">
      <c r="A1476" s="1"/>
    </row>
    <row r="1477" spans="1:1" ht="12" customHeight="1">
      <c r="A1477" s="1"/>
    </row>
    <row r="1478" spans="1:1" ht="12" customHeight="1">
      <c r="A1478" s="1"/>
    </row>
    <row r="1479" spans="1:1" ht="12" customHeight="1">
      <c r="A1479" s="1"/>
    </row>
    <row r="1480" spans="1:1" ht="12" customHeight="1">
      <c r="A1480" s="1"/>
    </row>
    <row r="1481" spans="1:1" ht="12" customHeight="1">
      <c r="A1481" s="1"/>
    </row>
    <row r="1482" spans="1:1" ht="12" customHeight="1">
      <c r="A1482" s="1"/>
    </row>
    <row r="1483" spans="1:1" ht="12" customHeight="1">
      <c r="A1483" s="1"/>
    </row>
    <row r="1484" spans="1:1" ht="12" customHeight="1">
      <c r="A1484" s="1"/>
    </row>
    <row r="1485" spans="1:1" ht="12" customHeight="1">
      <c r="A1485" s="1"/>
    </row>
    <row r="1486" spans="1:1" ht="12" customHeight="1">
      <c r="A1486" s="1"/>
    </row>
    <row r="1487" spans="1:1" ht="12" customHeight="1">
      <c r="A1487" s="1"/>
    </row>
    <row r="1488" spans="1:1" ht="12" customHeight="1">
      <c r="A1488" s="1"/>
    </row>
    <row r="1489" spans="1:1" ht="12" customHeight="1">
      <c r="A1489" s="1"/>
    </row>
    <row r="1490" spans="1:1" ht="12" customHeight="1">
      <c r="A1490" s="1"/>
    </row>
    <row r="1491" spans="1:1" ht="12" customHeight="1">
      <c r="A1491" s="1"/>
    </row>
    <row r="1492" spans="1:1" ht="12" customHeight="1">
      <c r="A1492" s="1"/>
    </row>
    <row r="1493" spans="1:1" ht="12" customHeight="1">
      <c r="A1493" s="1"/>
    </row>
    <row r="1494" spans="1:1" ht="12" customHeight="1">
      <c r="A1494" s="1"/>
    </row>
    <row r="1495" spans="1:1" ht="12" customHeight="1">
      <c r="A1495" s="1"/>
    </row>
    <row r="1496" spans="1:1" ht="12" customHeight="1">
      <c r="A1496" s="1"/>
    </row>
    <row r="1497" spans="1:1" ht="12" customHeight="1">
      <c r="A1497" s="1"/>
    </row>
    <row r="1498" spans="1:1" ht="12" customHeight="1">
      <c r="A1498" s="1"/>
    </row>
    <row r="1499" spans="1:1" ht="12" customHeight="1">
      <c r="A1499" s="1"/>
    </row>
    <row r="1500" spans="1:1" ht="12" customHeight="1">
      <c r="A1500" s="1"/>
    </row>
    <row r="1501" spans="1:1" ht="12" customHeight="1">
      <c r="A1501" s="1"/>
    </row>
    <row r="1502" spans="1:1" ht="12" customHeight="1">
      <c r="A1502" s="1"/>
    </row>
    <row r="1503" spans="1:1" ht="12" customHeight="1">
      <c r="A1503" s="1"/>
    </row>
    <row r="1504" spans="1:1" ht="12" customHeight="1">
      <c r="A1504" s="1"/>
    </row>
    <row r="1505" spans="1:1" ht="12" customHeight="1">
      <c r="A1505" s="1"/>
    </row>
    <row r="1506" spans="1:1" ht="12" customHeight="1">
      <c r="A1506" s="1"/>
    </row>
    <row r="1507" spans="1:1" ht="12" customHeight="1">
      <c r="A1507" s="1"/>
    </row>
    <row r="1508" spans="1:1" ht="12" customHeight="1">
      <c r="A1508" s="1"/>
    </row>
    <row r="1509" spans="1:1" ht="12" customHeight="1">
      <c r="A1509" s="1"/>
    </row>
    <row r="1510" spans="1:1" ht="12" customHeight="1">
      <c r="A1510" s="1"/>
    </row>
    <row r="1511" spans="1:1" ht="12" customHeight="1">
      <c r="A1511" s="1"/>
    </row>
    <row r="1512" spans="1:1" ht="12" customHeight="1">
      <c r="A1512" s="1"/>
    </row>
    <row r="1513" spans="1:1" ht="12" customHeight="1">
      <c r="A1513" s="1"/>
    </row>
    <row r="1514" spans="1:1" ht="12" customHeight="1">
      <c r="A1514" s="1"/>
    </row>
    <row r="1515" spans="1:1" ht="12" customHeight="1">
      <c r="A1515" s="1"/>
    </row>
    <row r="1516" spans="1:1" ht="12" customHeight="1">
      <c r="A1516" s="1"/>
    </row>
    <row r="1517" spans="1:1" ht="12" customHeight="1">
      <c r="A1517" s="1"/>
    </row>
    <row r="1518" spans="1:1" ht="12" customHeight="1">
      <c r="A1518" s="1"/>
    </row>
    <row r="1519" spans="1:1" ht="12" customHeight="1">
      <c r="A1519" s="1"/>
    </row>
    <row r="1520" spans="1:1" ht="12" customHeight="1">
      <c r="A1520" s="1"/>
    </row>
    <row r="1521" spans="1:1" ht="12" customHeight="1">
      <c r="A1521" s="1"/>
    </row>
    <row r="1522" spans="1:1" ht="12" customHeight="1">
      <c r="A1522" s="1"/>
    </row>
    <row r="1523" spans="1:1" ht="12" customHeight="1">
      <c r="A1523" s="1"/>
    </row>
    <row r="1524" spans="1:1" ht="12" customHeight="1">
      <c r="A1524" s="1"/>
    </row>
    <row r="1525" spans="1:1" ht="12" customHeight="1">
      <c r="A1525" s="1"/>
    </row>
    <row r="1526" spans="1:1" ht="12" customHeight="1">
      <c r="A1526" s="1"/>
    </row>
    <row r="1527" spans="1:1" ht="12" customHeight="1">
      <c r="A1527" s="1"/>
    </row>
    <row r="1528" spans="1:1" ht="12" customHeight="1">
      <c r="A1528" s="1"/>
    </row>
    <row r="1529" spans="1:1" ht="12" customHeight="1">
      <c r="A1529" s="1"/>
    </row>
    <row r="1530" spans="1:1" ht="12" customHeight="1">
      <c r="A1530" s="1"/>
    </row>
    <row r="1531" spans="1:1" ht="12" customHeight="1">
      <c r="A1531" s="1"/>
    </row>
    <row r="1532" spans="1:1" ht="12" customHeight="1">
      <c r="A1532" s="1"/>
    </row>
    <row r="1533" spans="1:1" ht="12" customHeight="1">
      <c r="A1533" s="1"/>
    </row>
    <row r="1534" spans="1:1" ht="12" customHeight="1">
      <c r="A1534" s="1"/>
    </row>
    <row r="1535" spans="1:1" ht="12" customHeight="1">
      <c r="A1535" s="1"/>
    </row>
    <row r="1536" spans="1:1" ht="12" customHeight="1">
      <c r="A1536" s="1"/>
    </row>
    <row r="1537" spans="1:1" ht="12" customHeight="1">
      <c r="A1537" s="1"/>
    </row>
    <row r="1538" spans="1:1" ht="12" customHeight="1">
      <c r="A1538" s="1"/>
    </row>
    <row r="1539" spans="1:1" ht="12" customHeight="1">
      <c r="A1539" s="1"/>
    </row>
    <row r="1540" spans="1:1" ht="12" customHeight="1">
      <c r="A1540" s="1"/>
    </row>
    <row r="1541" spans="1:1" ht="12" customHeight="1">
      <c r="A1541" s="1"/>
    </row>
    <row r="1542" spans="1:1" ht="12" customHeight="1">
      <c r="A1542" s="1"/>
    </row>
    <row r="1543" spans="1:1" ht="12" customHeight="1">
      <c r="A1543" s="1"/>
    </row>
    <row r="1544" spans="1:1" ht="12" customHeight="1">
      <c r="A1544" s="1"/>
    </row>
    <row r="1545" spans="1:1" ht="12" customHeight="1">
      <c r="A1545" s="1"/>
    </row>
    <row r="1546" spans="1:1" ht="12" customHeight="1">
      <c r="A1546" s="1"/>
    </row>
    <row r="1547" spans="1:1" ht="12" customHeight="1">
      <c r="A1547" s="1"/>
    </row>
    <row r="1548" spans="1:1" ht="12" customHeight="1">
      <c r="A1548" s="1"/>
    </row>
    <row r="1549" spans="1:1" ht="12" customHeight="1">
      <c r="A1549" s="1"/>
    </row>
    <row r="1550" spans="1:1" ht="12" customHeight="1">
      <c r="A1550" s="1"/>
    </row>
    <row r="1551" spans="1:1" ht="12" customHeight="1">
      <c r="A1551" s="1"/>
    </row>
    <row r="1552" spans="1:1" ht="12" customHeight="1">
      <c r="A1552" s="1"/>
    </row>
    <row r="1553" spans="1:1" ht="12" customHeight="1">
      <c r="A1553" s="1"/>
    </row>
    <row r="1554" spans="1:1" ht="12" customHeight="1">
      <c r="A1554" s="1"/>
    </row>
    <row r="1555" spans="1:1" ht="12" customHeight="1">
      <c r="A1555" s="1"/>
    </row>
    <row r="1556" spans="1:1" ht="12" customHeight="1">
      <c r="A1556" s="1"/>
    </row>
    <row r="1557" spans="1:1" ht="12" customHeight="1">
      <c r="A1557" s="1"/>
    </row>
    <row r="1558" spans="1:1" ht="12" customHeight="1">
      <c r="A1558" s="1"/>
    </row>
    <row r="1559" spans="1:1" ht="12" customHeight="1">
      <c r="A1559" s="1"/>
    </row>
    <row r="1560" spans="1:1" ht="12" customHeight="1">
      <c r="A1560" s="1"/>
    </row>
    <row r="1561" spans="1:1" ht="12" customHeight="1">
      <c r="A1561" s="1"/>
    </row>
    <row r="1562" spans="1:1" ht="12" customHeight="1">
      <c r="A1562" s="1"/>
    </row>
    <row r="1563" spans="1:1" ht="12" customHeight="1">
      <c r="A1563" s="1"/>
    </row>
    <row r="1564" spans="1:1" ht="12" customHeight="1">
      <c r="A1564" s="1"/>
    </row>
    <row r="1565" spans="1:1" ht="12" customHeight="1">
      <c r="A1565" s="1"/>
    </row>
    <row r="1566" spans="1:1" ht="12" customHeight="1">
      <c r="A1566" s="1"/>
    </row>
    <row r="1567" spans="1:1" ht="12" customHeight="1">
      <c r="A1567" s="1"/>
    </row>
    <row r="1568" spans="1:1" ht="12" customHeight="1">
      <c r="A1568" s="1"/>
    </row>
    <row r="1569" spans="1:1" ht="12" customHeight="1">
      <c r="A1569" s="1"/>
    </row>
    <row r="1570" spans="1:1" ht="12" customHeight="1">
      <c r="A1570" s="1"/>
    </row>
    <row r="1571" spans="1:1" ht="12" customHeight="1">
      <c r="A1571" s="1"/>
    </row>
    <row r="1572" spans="1:1" ht="12" customHeight="1">
      <c r="A1572" s="1"/>
    </row>
    <row r="1573" spans="1:1" ht="12" customHeight="1">
      <c r="A1573" s="1"/>
    </row>
    <row r="1574" spans="1:1" ht="12" customHeight="1">
      <c r="A1574" s="1"/>
    </row>
    <row r="1575" spans="1:1" ht="12" customHeight="1">
      <c r="A1575" s="1"/>
    </row>
    <row r="1576" spans="1:1" ht="12" customHeight="1">
      <c r="A1576" s="1"/>
    </row>
    <row r="1577" spans="1:1" ht="12" customHeight="1">
      <c r="A1577" s="1"/>
    </row>
    <row r="1578" spans="1:1" ht="12" customHeight="1">
      <c r="A1578" s="1"/>
    </row>
    <row r="1579" spans="1:1" ht="12" customHeight="1">
      <c r="A1579" s="1"/>
    </row>
    <row r="1580" spans="1:1" ht="12" customHeight="1">
      <c r="A1580" s="1"/>
    </row>
    <row r="1581" spans="1:1" ht="12" customHeight="1">
      <c r="A1581" s="1"/>
    </row>
    <row r="1582" spans="1:1" ht="12" customHeight="1">
      <c r="A1582" s="1"/>
    </row>
    <row r="1583" spans="1:1" ht="12" customHeight="1">
      <c r="A1583" s="1"/>
    </row>
    <row r="1584" spans="1:1" ht="12" customHeight="1">
      <c r="A1584" s="1"/>
    </row>
    <row r="1585" spans="1:1" ht="12" customHeight="1">
      <c r="A1585" s="1"/>
    </row>
    <row r="1586" spans="1:1" ht="12" customHeight="1">
      <c r="A1586" s="1"/>
    </row>
    <row r="1587" spans="1:1" ht="12" customHeight="1">
      <c r="A1587" s="1"/>
    </row>
    <row r="1588" spans="1:1" ht="12" customHeight="1">
      <c r="A1588" s="1"/>
    </row>
    <row r="1589" spans="1:1" ht="12" customHeight="1">
      <c r="A1589" s="1"/>
    </row>
    <row r="1590" spans="1:1" ht="12" customHeight="1">
      <c r="A1590" s="1"/>
    </row>
    <row r="1591" spans="1:1" ht="12" customHeight="1">
      <c r="A1591" s="1"/>
    </row>
    <row r="1592" spans="1:1" ht="12" customHeight="1">
      <c r="A1592" s="1"/>
    </row>
    <row r="1593" spans="1:1" ht="12" customHeight="1">
      <c r="A1593" s="1"/>
    </row>
    <row r="1594" spans="1:1" ht="12" customHeight="1">
      <c r="A1594" s="1"/>
    </row>
    <row r="1595" spans="1:1" ht="12" customHeight="1">
      <c r="A1595" s="1"/>
    </row>
    <row r="1596" spans="1:1" ht="12" customHeight="1">
      <c r="A1596" s="1"/>
    </row>
    <row r="1597" spans="1:1" ht="12" customHeight="1">
      <c r="A1597" s="1"/>
    </row>
    <row r="1598" spans="1:1" ht="12" customHeight="1">
      <c r="A1598" s="1"/>
    </row>
    <row r="1599" spans="1:1" ht="12" customHeight="1">
      <c r="A1599" s="1"/>
    </row>
    <row r="1600" spans="1:1" ht="12" customHeight="1">
      <c r="A1600" s="1"/>
    </row>
    <row r="1601" spans="1:1" ht="12" customHeight="1">
      <c r="A1601" s="1"/>
    </row>
    <row r="1602" spans="1:1" ht="12" customHeight="1">
      <c r="A1602" s="1"/>
    </row>
    <row r="1603" spans="1:1" ht="12" customHeight="1">
      <c r="A1603" s="1"/>
    </row>
    <row r="1604" spans="1:1" ht="12" customHeight="1">
      <c r="A1604" s="1"/>
    </row>
    <row r="1605" spans="1:1" ht="12" customHeight="1">
      <c r="A1605" s="1"/>
    </row>
    <row r="1606" spans="1:1" ht="12" customHeight="1">
      <c r="A1606" s="1"/>
    </row>
    <row r="1607" spans="1:1" ht="12" customHeight="1">
      <c r="A1607" s="1"/>
    </row>
    <row r="1608" spans="1:1" ht="12" customHeight="1">
      <c r="A1608" s="1"/>
    </row>
    <row r="1609" spans="1:1" ht="12" customHeight="1">
      <c r="A1609" s="1"/>
    </row>
    <row r="1610" spans="1:1" ht="12" customHeight="1">
      <c r="A1610" s="1"/>
    </row>
    <row r="1611" spans="1:1" ht="12" customHeight="1">
      <c r="A1611" s="1"/>
    </row>
    <row r="1612" spans="1:1" ht="12" customHeight="1">
      <c r="A1612" s="1"/>
    </row>
    <row r="1613" spans="1:1" ht="12" customHeight="1">
      <c r="A1613" s="1"/>
    </row>
    <row r="1614" spans="1:1" ht="12" customHeight="1">
      <c r="A1614" s="1"/>
    </row>
    <row r="1615" spans="1:1" ht="12" customHeight="1">
      <c r="A1615" s="1"/>
    </row>
    <row r="1616" spans="1:1" ht="12" customHeight="1">
      <c r="A1616" s="1"/>
    </row>
    <row r="1617" spans="1:1" ht="12" customHeight="1">
      <c r="A1617" s="1"/>
    </row>
    <row r="1618" spans="1:1" ht="12" customHeight="1">
      <c r="A1618" s="1"/>
    </row>
    <row r="1619" spans="1:1" ht="12" customHeight="1">
      <c r="A1619" s="1"/>
    </row>
    <row r="1620" spans="1:1" ht="12" customHeight="1">
      <c r="A1620" s="1"/>
    </row>
    <row r="1621" spans="1:1" ht="12" customHeight="1">
      <c r="A1621" s="1"/>
    </row>
    <row r="1622" spans="1:1" ht="12" customHeight="1">
      <c r="A1622" s="1"/>
    </row>
    <row r="1623" spans="1:1" ht="12" customHeight="1">
      <c r="A1623" s="1"/>
    </row>
    <row r="1624" spans="1:1" ht="12" customHeight="1">
      <c r="A1624" s="1"/>
    </row>
    <row r="1625" spans="1:1" ht="12" customHeight="1">
      <c r="A1625" s="1"/>
    </row>
    <row r="1626" spans="1:1" ht="12" customHeight="1">
      <c r="A1626" s="1"/>
    </row>
    <row r="1627" spans="1:1" ht="12" customHeight="1">
      <c r="A1627" s="1"/>
    </row>
    <row r="1628" spans="1:1" ht="12" customHeight="1">
      <c r="A1628" s="1"/>
    </row>
    <row r="1629" spans="1:1" ht="12" customHeight="1">
      <c r="A1629" s="1"/>
    </row>
    <row r="1630" spans="1:1" ht="12" customHeight="1">
      <c r="A1630" s="1"/>
    </row>
    <row r="1631" spans="1:1" ht="12" customHeight="1">
      <c r="A1631" s="1"/>
    </row>
    <row r="1632" spans="1:1" ht="12" customHeight="1">
      <c r="A1632" s="1"/>
    </row>
    <row r="1633" spans="1:1" ht="12" customHeight="1">
      <c r="A1633" s="1"/>
    </row>
    <row r="1634" spans="1:1" ht="12" customHeight="1">
      <c r="A1634" s="1"/>
    </row>
    <row r="1635" spans="1:1" ht="12" customHeight="1">
      <c r="A1635" s="1"/>
    </row>
    <row r="1636" spans="1:1" ht="12" customHeight="1">
      <c r="A1636" s="1"/>
    </row>
    <row r="1637" spans="1:1" ht="12" customHeight="1">
      <c r="A1637" s="1"/>
    </row>
    <row r="1638" spans="1:1" ht="12" customHeight="1">
      <c r="A1638" s="1"/>
    </row>
    <row r="1639" spans="1:1" ht="12" customHeight="1">
      <c r="A1639" s="1"/>
    </row>
  </sheetData>
  <pageMargins left="0.7" right="0.7" top="0.75" bottom="0.75" header="0.3" footer="0.3"/>
  <pageSetup paperSize="171" orientation="portrait" r:id="rId1"/>
  <customProperties>
    <customPr name="Qube.Worksheet.Visibility" r:id="rId2"/>
    <customPr name="SHEET_UNIQUE_ID" r:id="rId3"/>
  </customProperties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outlinePr summaryBelow="0"/>
  </sheetPr>
  <dimension ref="A1:AQ338"/>
  <sheetViews>
    <sheetView workbookViewId="0"/>
  </sheetViews>
  <sheetFormatPr defaultColWidth="9.140625" defaultRowHeight="15" outlineLevelRow="2"/>
  <cols>
    <col min="1" max="1" width="2.7109375" customWidth="1"/>
    <col min="2" max="2" width="29.28515625" customWidth="1"/>
    <col min="3" max="3" width="26.7109375" customWidth="1"/>
    <col min="4" max="4" width="8.7109375" customWidth="1"/>
    <col min="5" max="5" width="9.140625" style="298"/>
    <col min="6" max="17" width="12.85546875" style="298" bestFit="1" customWidth="1"/>
    <col min="18" max="20" width="12.85546875" style="298" customWidth="1"/>
    <col min="21" max="21" width="9.140625" style="298"/>
    <col min="22" max="22" width="12.5703125" style="298" bestFit="1" customWidth="1"/>
    <col min="23" max="23" width="12.85546875" style="298" bestFit="1" customWidth="1"/>
    <col min="24" max="24" width="12.5703125" style="298" bestFit="1" customWidth="1"/>
    <col min="25" max="25" width="12.85546875" style="298" bestFit="1" customWidth="1"/>
    <col min="26" max="26" width="12.5703125" style="298" bestFit="1" customWidth="1"/>
    <col min="27" max="27" width="12.85546875" style="298" bestFit="1" customWidth="1"/>
    <col min="28" max="28" width="12.5703125" style="298" customWidth="1"/>
    <col min="29" max="29" width="12.85546875" style="298" customWidth="1"/>
    <col min="30" max="30" width="12.5703125" style="298" customWidth="1"/>
    <col min="31" max="31" width="12.85546875" style="298" customWidth="1"/>
    <col min="32" max="32" width="12.5703125" style="298" customWidth="1"/>
    <col min="33" max="33" width="12.85546875" style="298" customWidth="1"/>
    <col min="34" max="34" width="12.5703125" style="298" customWidth="1"/>
    <col min="35" max="35" width="12.85546875" style="298" customWidth="1"/>
    <col min="36" max="16384" width="9.140625" style="298"/>
  </cols>
  <sheetData>
    <row r="1" spans="1:43" s="312" customFormat="1">
      <c r="A1" s="311" t="s">
        <v>1566</v>
      </c>
      <c r="F1" s="312">
        <v>2006</v>
      </c>
      <c r="G1" s="312">
        <v>2007</v>
      </c>
      <c r="H1" s="312">
        <v>2008</v>
      </c>
      <c r="I1" s="312">
        <v>2009</v>
      </c>
      <c r="J1" s="312">
        <v>2010</v>
      </c>
      <c r="K1" s="312">
        <v>2011</v>
      </c>
      <c r="L1" s="312">
        <v>2012</v>
      </c>
      <c r="M1" s="312">
        <v>2013</v>
      </c>
      <c r="N1" s="312">
        <v>2014</v>
      </c>
      <c r="O1" s="312">
        <v>2015</v>
      </c>
      <c r="P1" s="312">
        <v>2016</v>
      </c>
      <c r="Q1" s="312">
        <v>2017</v>
      </c>
      <c r="R1" s="312" t="s">
        <v>1375</v>
      </c>
      <c r="S1" s="312" t="s">
        <v>1383</v>
      </c>
      <c r="T1" s="312" t="s">
        <v>1545</v>
      </c>
      <c r="V1" s="312" t="s">
        <v>752</v>
      </c>
      <c r="W1" s="312" t="s">
        <v>753</v>
      </c>
      <c r="X1" s="312" t="s">
        <v>754</v>
      </c>
      <c r="Y1" s="312" t="s">
        <v>755</v>
      </c>
      <c r="Z1" s="312" t="s">
        <v>1337</v>
      </c>
      <c r="AA1" s="312" t="s">
        <v>1338</v>
      </c>
      <c r="AB1" s="312" t="s">
        <v>1384</v>
      </c>
      <c r="AC1" s="312" t="s">
        <v>1385</v>
      </c>
      <c r="AD1" s="312" t="s">
        <v>1386</v>
      </c>
      <c r="AE1" s="312" t="s">
        <v>1387</v>
      </c>
      <c r="AF1" s="312" t="s">
        <v>1483</v>
      </c>
      <c r="AG1" s="312" t="s">
        <v>1484</v>
      </c>
      <c r="AH1" s="312" t="s">
        <v>1544</v>
      </c>
      <c r="AI1" s="312" t="s">
        <v>1567</v>
      </c>
    </row>
    <row r="2" spans="1:43" s="294" customFormat="1">
      <c r="A2" s="313"/>
      <c r="B2" s="313"/>
      <c r="C2" s="313"/>
      <c r="D2" s="313"/>
      <c r="F2" s="294" t="s">
        <v>1046</v>
      </c>
      <c r="G2" s="294" t="s">
        <v>1046</v>
      </c>
      <c r="H2" s="294" t="s">
        <v>1046</v>
      </c>
      <c r="I2" s="294" t="s">
        <v>1046</v>
      </c>
      <c r="J2" s="294" t="s">
        <v>1046</v>
      </c>
      <c r="K2" s="294" t="s">
        <v>1046</v>
      </c>
      <c r="L2" s="294" t="s">
        <v>1046</v>
      </c>
      <c r="M2" s="294" t="s">
        <v>1046</v>
      </c>
      <c r="N2" s="294" t="s">
        <v>1046</v>
      </c>
      <c r="O2" s="294" t="s">
        <v>1046</v>
      </c>
      <c r="P2" s="294" t="s">
        <v>1046</v>
      </c>
      <c r="Q2" s="294" t="s">
        <v>1046</v>
      </c>
      <c r="R2" s="294" t="s">
        <v>1047</v>
      </c>
      <c r="S2" s="294" t="s">
        <v>1047</v>
      </c>
      <c r="T2" s="294" t="s">
        <v>1047</v>
      </c>
      <c r="V2" s="294" t="s">
        <v>1046</v>
      </c>
      <c r="W2" s="294" t="s">
        <v>1046</v>
      </c>
      <c r="X2" s="294" t="s">
        <v>1046</v>
      </c>
      <c r="Y2" s="294" t="s">
        <v>1046</v>
      </c>
      <c r="Z2" s="294" t="s">
        <v>1046</v>
      </c>
      <c r="AA2" s="294" t="s">
        <v>1046</v>
      </c>
      <c r="AB2" s="294" t="s">
        <v>1046</v>
      </c>
      <c r="AC2" s="294" t="s">
        <v>1046</v>
      </c>
      <c r="AD2" s="294" t="s">
        <v>1046</v>
      </c>
      <c r="AE2" s="294" t="s">
        <v>1046</v>
      </c>
      <c r="AF2" s="294" t="s">
        <v>1046</v>
      </c>
      <c r="AG2" s="294" t="s">
        <v>1047</v>
      </c>
      <c r="AH2" s="294" t="s">
        <v>1047</v>
      </c>
      <c r="AI2" s="294" t="s">
        <v>1047</v>
      </c>
    </row>
    <row r="3" spans="1:43" s="295" customFormat="1">
      <c r="A3" s="314"/>
      <c r="B3" s="314"/>
      <c r="C3" s="314"/>
      <c r="D3" s="314"/>
      <c r="F3" s="295">
        <v>38807</v>
      </c>
      <c r="G3" s="295">
        <v>39172</v>
      </c>
      <c r="H3" s="295">
        <v>39538</v>
      </c>
      <c r="I3" s="295">
        <v>39903</v>
      </c>
      <c r="J3" s="295">
        <v>40268</v>
      </c>
      <c r="K3" s="295">
        <v>40633</v>
      </c>
      <c r="L3" s="295">
        <v>40999</v>
      </c>
      <c r="M3" s="295">
        <v>41364</v>
      </c>
      <c r="N3" s="295">
        <v>41729</v>
      </c>
      <c r="O3" s="295">
        <v>42094</v>
      </c>
      <c r="P3" s="295">
        <v>42460</v>
      </c>
      <c r="Q3" s="295">
        <v>42825</v>
      </c>
      <c r="R3" s="295">
        <v>43190</v>
      </c>
      <c r="S3" s="295">
        <v>43555</v>
      </c>
      <c r="T3" s="295">
        <v>43921</v>
      </c>
      <c r="V3" s="295">
        <v>41182</v>
      </c>
      <c r="W3" s="295">
        <v>41364</v>
      </c>
      <c r="X3" s="295">
        <v>41547</v>
      </c>
      <c r="Y3" s="295">
        <v>41729</v>
      </c>
      <c r="Z3" s="295">
        <v>41912</v>
      </c>
      <c r="AA3" s="295">
        <v>42094</v>
      </c>
      <c r="AB3" s="295">
        <v>42277</v>
      </c>
      <c r="AC3" s="295">
        <v>42460</v>
      </c>
      <c r="AD3" s="295">
        <v>42643</v>
      </c>
      <c r="AE3" s="295">
        <v>42825</v>
      </c>
      <c r="AF3" s="295">
        <v>43008</v>
      </c>
      <c r="AG3" s="295">
        <v>43190</v>
      </c>
      <c r="AH3" s="295">
        <v>43373</v>
      </c>
      <c r="AI3" s="295">
        <v>43555</v>
      </c>
    </row>
    <row r="4" spans="1:43" s="296" customFormat="1">
      <c r="A4" s="315" t="s">
        <v>1566</v>
      </c>
      <c r="B4" s="315"/>
      <c r="C4" s="315"/>
      <c r="D4" s="315"/>
    </row>
    <row r="5" spans="1:43" s="297" customFormat="1" outlineLevel="1">
      <c r="A5" s="316" t="s">
        <v>756</v>
      </c>
      <c r="B5" s="316"/>
      <c r="C5" s="316"/>
      <c r="D5" s="316"/>
    </row>
    <row r="6" spans="1:43" outlineLevel="2">
      <c r="B6" t="s">
        <v>757</v>
      </c>
      <c r="C6" t="s">
        <v>757</v>
      </c>
      <c r="E6" s="317" t="s">
        <v>623</v>
      </c>
      <c r="AL6" s="298">
        <f>ROW()</f>
        <v>6</v>
      </c>
      <c r="AN6" s="298" t="s">
        <v>1049</v>
      </c>
      <c r="AO6" s="298" t="s">
        <v>1050</v>
      </c>
      <c r="AP6" s="298" t="s">
        <v>1051</v>
      </c>
      <c r="AQ6" s="298" t="s">
        <v>1052</v>
      </c>
    </row>
    <row r="7" spans="1:43" outlineLevel="2">
      <c r="B7" t="s">
        <v>758</v>
      </c>
      <c r="C7" t="s">
        <v>759</v>
      </c>
      <c r="E7" s="317" t="s">
        <v>760</v>
      </c>
      <c r="AL7" s="298">
        <f>ROW()</f>
        <v>7</v>
      </c>
    </row>
    <row r="8" spans="1:43" s="297" customFormat="1" outlineLevel="1">
      <c r="A8" s="316" t="s">
        <v>919</v>
      </c>
      <c r="B8" s="316"/>
      <c r="C8" s="316"/>
      <c r="D8" s="316"/>
      <c r="AL8" s="298">
        <f>ROW()</f>
        <v>8</v>
      </c>
    </row>
    <row r="9" spans="1:43" outlineLevel="2">
      <c r="B9" t="s">
        <v>1557</v>
      </c>
      <c r="C9" t="s">
        <v>1392</v>
      </c>
      <c r="E9" s="410">
        <v>3</v>
      </c>
      <c r="AL9" s="298">
        <f>ROW()</f>
        <v>9</v>
      </c>
    </row>
    <row r="10" spans="1:43" outlineLevel="2">
      <c r="B10" t="s">
        <v>1549</v>
      </c>
      <c r="C10" t="s">
        <v>1550</v>
      </c>
      <c r="E10" s="418" t="e">
        <f>VLOOKUP($AN10,'Group Model'!$1:$1048576,MATCH("FY"&amp;RIGHT(R$1,2)&amp;LEFT(R$2,1),'Group Model'!$1:$1,0),FALSE)</f>
        <v>#N/A</v>
      </c>
      <c r="AL10" s="298">
        <f>ROW()</f>
        <v>10</v>
      </c>
      <c r="AN10" s="298" t="s">
        <v>750</v>
      </c>
    </row>
    <row r="11" spans="1:43" outlineLevel="2">
      <c r="B11" t="s">
        <v>1551</v>
      </c>
      <c r="C11" t="s">
        <v>1552</v>
      </c>
      <c r="E11" s="418" t="e">
        <f>VLOOKUP($AN11,'Group Model'!$1:$1048576,MATCH("FY"&amp;RIGHT(R$1,2)&amp;LEFT(R$2,1),'Group Model'!$1:$1,0),FALSE)</f>
        <v>#N/A</v>
      </c>
      <c r="AL11" s="298">
        <f>ROW()</f>
        <v>11</v>
      </c>
      <c r="AN11" s="298" t="s">
        <v>1558</v>
      </c>
    </row>
    <row r="12" spans="1:43" outlineLevel="2">
      <c r="B12" t="s">
        <v>1553</v>
      </c>
      <c r="C12" t="s">
        <v>1554</v>
      </c>
      <c r="E12" s="306"/>
      <c r="AL12" s="298">
        <f>ROW()</f>
        <v>12</v>
      </c>
    </row>
    <row r="13" spans="1:43" s="297" customFormat="1" outlineLevel="1">
      <c r="A13" s="316" t="s">
        <v>761</v>
      </c>
      <c r="B13" s="316"/>
      <c r="C13" s="316"/>
      <c r="D13" s="316"/>
      <c r="AL13" s="298">
        <f>ROW()</f>
        <v>13</v>
      </c>
    </row>
    <row r="14" spans="1:43" outlineLevel="2">
      <c r="B14" t="s">
        <v>762</v>
      </c>
      <c r="C14" t="s">
        <v>763</v>
      </c>
      <c r="D14" t="str">
        <f t="shared" ref="D14:D46" si="0">E_CURRENCY_ISSR_208008758_REP</f>
        <v>AUD</v>
      </c>
      <c r="F14" s="299">
        <f>VLOOKUP($AN14,'Group Model'!$1:$1048576,MATCH("FY"&amp;RIGHT(F$1,2)&amp;LEFT(F$2,1),'Group Model'!$1:$1,0),FALSE)</f>
        <v>592</v>
      </c>
      <c r="G14" s="299">
        <f>VLOOKUP($AN14,'Group Model'!$1:$1048576,MATCH("FY"&amp;RIGHT(G$1,2)&amp;LEFT(G$2,1),'Group Model'!$1:$1,0),FALSE)</f>
        <v>728</v>
      </c>
      <c r="H14" s="299">
        <f>VLOOKUP($AN14,'Group Model'!$1:$1048576,MATCH("FY"&amp;RIGHT(H$1,2)&amp;LEFT(H$2,1),'Group Model'!$1:$1,0),FALSE)</f>
        <v>817</v>
      </c>
      <c r="I14" s="299">
        <f>VLOOKUP($AN14,'Group Model'!$1:$1048576,MATCH("FY"&amp;RIGHT(I$1,2)&amp;LEFT(I$2,1),'Group Model'!$1:$1,0),FALSE)</f>
        <v>938</v>
      </c>
      <c r="J14" s="299">
        <f>VLOOKUP($AN14,'Group Model'!$1:$1048576,MATCH("FY"&amp;RIGHT(J$1,2)&amp;LEFT(J$2,1),'Group Model'!$1:$1,0),FALSE)</f>
        <v>1080</v>
      </c>
      <c r="K14" s="299">
        <f>VLOOKUP($AN14,'Group Model'!$1:$1048576,MATCH("FY"&amp;RIGHT(K$1,2)&amp;LEFT(K$2,1),'Group Model'!$1:$1,0),FALSE)</f>
        <v>1275</v>
      </c>
      <c r="L14" s="299">
        <f>VLOOKUP($AN14,'Group Model'!$1:$1048576,MATCH("FY"&amp;RIGHT(L$1,2)&amp;LEFT(L$2,1),'Group Model'!$1:$1,0),FALSE)</f>
        <v>1333</v>
      </c>
      <c r="M14" s="299">
        <f>VLOOKUP($AN14,'Group Model'!$1:$1048576,MATCH("FY"&amp;RIGHT(M$1,2)&amp;LEFT(M$2,1),'Group Model'!$1:$1,0),FALSE)</f>
        <v>1367</v>
      </c>
      <c r="N14" s="299">
        <f>VLOOKUP($AN14,'Group Model'!$1:$1048576,MATCH("FY"&amp;RIGHT(N$1,2)&amp;LEFT(N$2,1),'Group Model'!$1:$1,0),FALSE)</f>
        <v>1705</v>
      </c>
      <c r="O14" s="299">
        <f>VLOOKUP($AN14,'Group Model'!$1:$1048576,MATCH("FY"&amp;RIGHT(O$1,2)&amp;LEFT(O$2,1),'Group Model'!$1:$1,0),FALSE)</f>
        <v>2092</v>
      </c>
      <c r="P14" s="299">
        <f>VLOOKUP($AN14,'Group Model'!$1:$1048576,MATCH("FY"&amp;RIGHT(P$1,2)&amp;LEFT(P$2,1),'Group Model'!$1:$1,0),FALSE)</f>
        <v>2279</v>
      </c>
      <c r="Q14" s="299">
        <f>VLOOKUP($AN14,'Group Model'!$1:$1048576,MATCH("FY"&amp;RIGHT(Q$1,2)&amp;LEFT(Q$2,1),'Group Model'!$1:$1,0),FALSE)</f>
        <v>2185</v>
      </c>
      <c r="R14" s="299" t="e">
        <f>VLOOKUP($AN14,'Group Model'!$1:$1048576,MATCH("FY"&amp;RIGHT(R$1,2)&amp;LEFT(R$2,1),'Group Model'!$1:$1,0),FALSE)</f>
        <v>#N/A</v>
      </c>
      <c r="S14" s="299" t="e">
        <f>VLOOKUP($AN14,'Group Model'!$1:$1048576,MATCH("FY"&amp;RIGHT(S$1,2)&amp;LEFT(S$2,1),'Group Model'!$1:$1,0),FALSE)</f>
        <v>#N/A</v>
      </c>
      <c r="T14" s="299" t="e">
        <f>VLOOKUP($AN14,'Group Model'!$1:$1048576,MATCH("FY"&amp;RIGHT(T$1,2)&amp;LEFT(T$2,1),'Group Model'!$1:$1,0),FALSE)</f>
        <v>#N/A</v>
      </c>
      <c r="U14" s="299"/>
      <c r="V14" s="299">
        <f>VLOOKUP($AN14,'Group Model'!$1:$1048576,MATCH("1H"&amp;MID(V$1,3,2)&amp;LEFT(V$2,1),'Group Model'!$1:$1,0),FALSE)</f>
        <v>644</v>
      </c>
      <c r="W14" s="299">
        <f>VLOOKUP($AN14,'Group Model'!$1:$1048576,MATCH("1H"&amp;MID(W$1,3,2)&amp;LEFT(W$2,1),'Group Model'!$1:$1,0),FALSE)</f>
        <v>644</v>
      </c>
      <c r="X14" s="299">
        <f>VLOOKUP($AN14,'Group Model'!$1:$1048576,MATCH("1H"&amp;MID(X$1,3,2)&amp;LEFT(X$2,1),'Group Model'!$1:$1,0),FALSE)</f>
        <v>860</v>
      </c>
      <c r="Y14" s="299">
        <f>VLOOKUP($AN14,'Group Model'!$1:$1048576,MATCH("1H"&amp;MID(Y$1,3,2)&amp;LEFT(Y$2,1),'Group Model'!$1:$1,0),FALSE)</f>
        <v>860</v>
      </c>
      <c r="Z14" s="299">
        <f>VLOOKUP($AN14,'Group Model'!$1:$1048576,MATCH("1H"&amp;MID(Z$1,3,2)&amp;LEFT(Z$2,1),'Group Model'!$1:$1,0),FALSE)</f>
        <v>956</v>
      </c>
      <c r="AA14" s="299">
        <f>VLOOKUP($AN14,'Group Model'!$1:$1048576,MATCH("1H"&amp;MID(AA$1,3,2)&amp;LEFT(AA$2,1),'Group Model'!$1:$1,0),FALSE)</f>
        <v>956</v>
      </c>
      <c r="AB14" s="299">
        <f>VLOOKUP($AN14,'Group Model'!$1:$1048576,MATCH("1H"&amp;MID(AB$1,3,2)&amp;LEFT(AB$2,1),'Group Model'!$1:$1,0),FALSE)</f>
        <v>1165</v>
      </c>
      <c r="AC14" s="299">
        <f>VLOOKUP($AN14,'Group Model'!$1:$1048576,MATCH("1H"&amp;MID(AC$1,3,2)&amp;LEFT(AC$2,1),'Group Model'!$1:$1,0),FALSE)</f>
        <v>1165</v>
      </c>
      <c r="AD14" s="299">
        <f>VLOOKUP($AN14,'Group Model'!$1:$1048576,MATCH("1H"&amp;MID(AD$1,3,2)&amp;LEFT(AD$2,1),'Group Model'!$1:$1,0),FALSE)</f>
        <v>1096</v>
      </c>
      <c r="AE14" s="299">
        <f>VLOOKUP($AN14,'Group Model'!$1:$1048576,MATCH("1H"&amp;MID(AE$1,3,2)&amp;LEFT(AE$2,1),'Group Model'!$1:$1,0),FALSE)</f>
        <v>1096</v>
      </c>
      <c r="AF14" s="299">
        <f>VLOOKUP($AN14,'Group Model'!$1:$1048576,MATCH("1H"&amp;MID(AF$1,3,2)&amp;LEFT(AF$2,1),'Group Model'!$1:$1,0),FALSE)</f>
        <v>1011</v>
      </c>
      <c r="AG14" s="299" t="e">
        <f>VLOOKUP($AN14,'Group Model'!$1:$1048576,MATCH("2H"&amp;MID(AG$1,3,2)&amp;LEFT(AG$2,1),'Group Model'!$1:$1,0),FALSE)</f>
        <v>#N/A</v>
      </c>
      <c r="AH14" s="299" t="e">
        <f>VLOOKUP($AN14,'Group Model'!$1:$1048576,MATCH("1H"&amp;MID(AH$1,3,2)&amp;LEFT(AH$2,1),'Group Model'!$1:$1,0),FALSE)</f>
        <v>#N/A</v>
      </c>
      <c r="AI14" s="299" t="e">
        <f>VLOOKUP($AN14,'Group Model'!$1:$1048576,MATCH("2H"&amp;MID(AI$1,3,2)&amp;LEFT(AI$2,1),'Group Model'!$1:$1,0),FALSE)</f>
        <v>#N/A</v>
      </c>
      <c r="AL14" s="298">
        <f>ROW()</f>
        <v>14</v>
      </c>
      <c r="AN14" s="298" t="str">
        <f>'Group Model'!A62</f>
        <v>NII</v>
      </c>
    </row>
    <row r="15" spans="1:43" outlineLevel="2">
      <c r="B15" t="s">
        <v>764</v>
      </c>
      <c r="C15" t="s">
        <v>765</v>
      </c>
      <c r="D15" t="str">
        <f t="shared" si="0"/>
        <v>AUD</v>
      </c>
      <c r="F15" s="299"/>
      <c r="G15" s="299"/>
      <c r="H15" s="299"/>
      <c r="I15" s="299"/>
      <c r="J15" s="299"/>
      <c r="K15" s="299"/>
      <c r="L15" s="299"/>
      <c r="M15" s="299"/>
      <c r="N15" s="299"/>
      <c r="O15" s="299"/>
      <c r="P15" s="299"/>
      <c r="Q15" s="299"/>
      <c r="R15" s="299"/>
      <c r="S15" s="299"/>
      <c r="T15" s="299"/>
      <c r="U15" s="299"/>
      <c r="V15" s="299"/>
      <c r="W15" s="299"/>
      <c r="X15" s="299"/>
      <c r="Y15" s="299"/>
      <c r="Z15" s="299"/>
      <c r="AA15" s="299"/>
      <c r="AB15" s="299"/>
      <c r="AC15" s="299"/>
      <c r="AD15" s="299"/>
      <c r="AE15" s="299"/>
      <c r="AF15" s="299"/>
      <c r="AG15" s="299"/>
      <c r="AH15" s="299"/>
      <c r="AI15" s="299"/>
      <c r="AL15" s="298">
        <f>ROW()</f>
        <v>15</v>
      </c>
    </row>
    <row r="16" spans="1:43" outlineLevel="2">
      <c r="B16" t="s">
        <v>7</v>
      </c>
      <c r="C16" t="s">
        <v>766</v>
      </c>
      <c r="D16" t="str">
        <f t="shared" si="0"/>
        <v>AUD</v>
      </c>
      <c r="F16" s="299">
        <f>VLOOKUP($AN16,'Group Model'!$1:$1048576,MATCH("FY"&amp;RIGHT(F$1,2)&amp;LEFT(F$2,1),'Group Model'!$1:$1,0),FALSE)</f>
        <v>592</v>
      </c>
      <c r="G16" s="299">
        <f>VLOOKUP($AN16,'Group Model'!$1:$1048576,MATCH("FY"&amp;RIGHT(G$1,2)&amp;LEFT(G$2,1),'Group Model'!$1:$1,0),FALSE)</f>
        <v>728</v>
      </c>
      <c r="H16" s="299">
        <f>VLOOKUP($AN16,'Group Model'!$1:$1048576,MATCH("FY"&amp;RIGHT(H$1,2)&amp;LEFT(H$2,1),'Group Model'!$1:$1,0),FALSE)</f>
        <v>817</v>
      </c>
      <c r="I16" s="299">
        <f>VLOOKUP($AN16,'Group Model'!$1:$1048576,MATCH("FY"&amp;RIGHT(I$1,2)&amp;LEFT(I$2,1),'Group Model'!$1:$1,0),FALSE)</f>
        <v>938</v>
      </c>
      <c r="J16" s="299">
        <f>VLOOKUP($AN16,'Group Model'!$1:$1048576,MATCH("FY"&amp;RIGHT(J$1,2)&amp;LEFT(J$2,1),'Group Model'!$1:$1,0),FALSE)</f>
        <v>1080</v>
      </c>
      <c r="K16" s="299">
        <f>VLOOKUP($AN16,'Group Model'!$1:$1048576,MATCH("FY"&amp;RIGHT(K$1,2)&amp;LEFT(K$2,1),'Group Model'!$1:$1,0),FALSE)</f>
        <v>1275</v>
      </c>
      <c r="L16" s="299">
        <f>VLOOKUP($AN16,'Group Model'!$1:$1048576,MATCH("FY"&amp;RIGHT(L$1,2)&amp;LEFT(L$2,1),'Group Model'!$1:$1,0),FALSE)</f>
        <v>1333</v>
      </c>
      <c r="M16" s="299">
        <f>VLOOKUP($AN16,'Group Model'!$1:$1048576,MATCH("FY"&amp;RIGHT(M$1,2)&amp;LEFT(M$2,1),'Group Model'!$1:$1,0),FALSE)</f>
        <v>1367</v>
      </c>
      <c r="N16" s="299">
        <f>VLOOKUP($AN16,'Group Model'!$1:$1048576,MATCH("FY"&amp;RIGHT(N$1,2)&amp;LEFT(N$2,1),'Group Model'!$1:$1,0),FALSE)</f>
        <v>1705</v>
      </c>
      <c r="O16" s="299">
        <f>VLOOKUP($AN16,'Group Model'!$1:$1048576,MATCH("FY"&amp;RIGHT(O$1,2)&amp;LEFT(O$2,1),'Group Model'!$1:$1,0),FALSE)</f>
        <v>2092</v>
      </c>
      <c r="P16" s="299">
        <f>VLOOKUP($AN16,'Group Model'!$1:$1048576,MATCH("FY"&amp;RIGHT(P$1,2)&amp;LEFT(P$2,1),'Group Model'!$1:$1,0),FALSE)</f>
        <v>2279</v>
      </c>
      <c r="Q16" s="299">
        <f>VLOOKUP($AN16,'Group Model'!$1:$1048576,MATCH("FY"&amp;RIGHT(Q$1,2)&amp;LEFT(Q$2,1),'Group Model'!$1:$1,0),FALSE)</f>
        <v>2185</v>
      </c>
      <c r="R16" s="299" t="e">
        <f>VLOOKUP($AN16,'Group Model'!$1:$1048576,MATCH("FY"&amp;RIGHT(R$1,2)&amp;LEFT(R$2,1),'Group Model'!$1:$1,0),FALSE)</f>
        <v>#N/A</v>
      </c>
      <c r="S16" s="299" t="e">
        <f>VLOOKUP($AN16,'Group Model'!$1:$1048576,MATCH("FY"&amp;RIGHT(S$1,2)&amp;LEFT(S$2,1),'Group Model'!$1:$1,0),FALSE)</f>
        <v>#N/A</v>
      </c>
      <c r="T16" s="299" t="e">
        <f>VLOOKUP($AN16,'Group Model'!$1:$1048576,MATCH("FY"&amp;RIGHT(T$1,2)&amp;LEFT(T$2,1),'Group Model'!$1:$1,0),FALSE)</f>
        <v>#N/A</v>
      </c>
      <c r="U16" s="299"/>
      <c r="V16" s="299">
        <f>VLOOKUP($AN16,'Group Model'!$1:$1048576,MATCH("1H"&amp;MID(V$1,3,2)&amp;LEFT(V$2,1),'Group Model'!$1:$1,0),FALSE)</f>
        <v>644</v>
      </c>
      <c r="W16" s="299">
        <f>VLOOKUP($AN16,'Group Model'!$1:$1048576,MATCH("1H"&amp;MID(W$1,3,2)&amp;LEFT(W$2,1),'Group Model'!$1:$1,0),FALSE)</f>
        <v>644</v>
      </c>
      <c r="X16" s="299">
        <f>VLOOKUP($AN16,'Group Model'!$1:$1048576,MATCH("1H"&amp;MID(X$1,3,2)&amp;LEFT(X$2,1),'Group Model'!$1:$1,0),FALSE)</f>
        <v>860</v>
      </c>
      <c r="Y16" s="299">
        <f>VLOOKUP($AN16,'Group Model'!$1:$1048576,MATCH("1H"&amp;MID(Y$1,3,2)&amp;LEFT(Y$2,1),'Group Model'!$1:$1,0),FALSE)</f>
        <v>860</v>
      </c>
      <c r="Z16" s="299">
        <f>VLOOKUP($AN16,'Group Model'!$1:$1048576,MATCH("1H"&amp;MID(Z$1,3,2)&amp;LEFT(Z$2,1),'Group Model'!$1:$1,0),FALSE)</f>
        <v>956</v>
      </c>
      <c r="AA16" s="299">
        <f>VLOOKUP($AN16,'Group Model'!$1:$1048576,MATCH("1H"&amp;MID(AA$1,3,2)&amp;LEFT(AA$2,1),'Group Model'!$1:$1,0),FALSE)</f>
        <v>956</v>
      </c>
      <c r="AB16" s="299">
        <f>VLOOKUP($AN16,'Group Model'!$1:$1048576,MATCH("1H"&amp;MID(AB$1,3,2)&amp;LEFT(AB$2,1),'Group Model'!$1:$1,0),FALSE)</f>
        <v>1165</v>
      </c>
      <c r="AC16" s="299">
        <f>VLOOKUP($AN16,'Group Model'!$1:$1048576,MATCH("1H"&amp;MID(AC$1,3,2)&amp;LEFT(AC$2,1),'Group Model'!$1:$1,0),FALSE)</f>
        <v>1165</v>
      </c>
      <c r="AD16" s="299">
        <f>VLOOKUP($AN16,'Group Model'!$1:$1048576,MATCH("1H"&amp;MID(AD$1,3,2)&amp;LEFT(AD$2,1),'Group Model'!$1:$1,0),FALSE)</f>
        <v>1096</v>
      </c>
      <c r="AE16" s="299">
        <f>VLOOKUP($AN16,'Group Model'!$1:$1048576,MATCH("1H"&amp;MID(AE$1,3,2)&amp;LEFT(AE$2,1),'Group Model'!$1:$1,0),FALSE)</f>
        <v>1096</v>
      </c>
      <c r="AF16" s="299">
        <f>VLOOKUP($AN16,'Group Model'!$1:$1048576,MATCH("1H"&amp;MID(AF$1,3,2)&amp;LEFT(AF$2,1),'Group Model'!$1:$1,0),FALSE)</f>
        <v>1011</v>
      </c>
      <c r="AG16" s="299" t="e">
        <f>VLOOKUP($AN16,'Group Model'!$1:$1048576,MATCH("2H"&amp;MID(AG$1,3,2)&amp;LEFT(AG$2,1),'Group Model'!$1:$1,0),FALSE)</f>
        <v>#N/A</v>
      </c>
      <c r="AH16" s="299" t="e">
        <f>VLOOKUP($AN16,'Group Model'!$1:$1048576,MATCH("1H"&amp;MID(AH$1,3,2)&amp;LEFT(AH$2,1),'Group Model'!$1:$1,0),FALSE)</f>
        <v>#N/A</v>
      </c>
      <c r="AI16" s="299" t="e">
        <f>VLOOKUP($AN16,'Group Model'!$1:$1048576,MATCH("2H"&amp;MID(AI$1,3,2)&amp;LEFT(AI$2,1),'Group Model'!$1:$1,0),FALSE)</f>
        <v>#N/A</v>
      </c>
      <c r="AL16" s="298">
        <f>ROW()</f>
        <v>16</v>
      </c>
      <c r="AN16" s="298" t="str">
        <f>'Group Model'!A62</f>
        <v>NII</v>
      </c>
    </row>
    <row r="17" spans="2:42" outlineLevel="2">
      <c r="B17" t="s">
        <v>1568</v>
      </c>
      <c r="C17" t="s">
        <v>1569</v>
      </c>
      <c r="D17" t="str">
        <f t="shared" si="0"/>
        <v>AUD</v>
      </c>
      <c r="F17" s="299"/>
      <c r="G17" s="299"/>
      <c r="H17" s="299"/>
      <c r="I17" s="299"/>
      <c r="J17" s="299"/>
      <c r="K17" s="299"/>
      <c r="L17" s="299"/>
      <c r="M17" s="299"/>
      <c r="N17" s="299"/>
      <c r="O17" s="299"/>
      <c r="P17" s="299"/>
      <c r="Q17" s="299"/>
      <c r="R17" s="299"/>
      <c r="S17" s="299"/>
      <c r="T17" s="299"/>
      <c r="U17" s="299"/>
      <c r="V17" s="299"/>
      <c r="W17" s="299"/>
      <c r="X17" s="299"/>
      <c r="Y17" s="299"/>
      <c r="Z17" s="299"/>
      <c r="AA17" s="299"/>
      <c r="AB17" s="299"/>
      <c r="AC17" s="299"/>
      <c r="AD17" s="299"/>
      <c r="AE17" s="299"/>
      <c r="AF17" s="299"/>
      <c r="AG17" s="299"/>
      <c r="AH17" s="299"/>
      <c r="AI17" s="299"/>
      <c r="AL17" s="298">
        <f>ROW()</f>
        <v>17</v>
      </c>
    </row>
    <row r="18" spans="2:42" outlineLevel="2">
      <c r="B18" t="s">
        <v>1570</v>
      </c>
      <c r="C18" t="s">
        <v>1571</v>
      </c>
      <c r="D18" t="str">
        <f t="shared" si="0"/>
        <v>AUD</v>
      </c>
      <c r="F18" s="299"/>
      <c r="G18" s="299"/>
      <c r="H18" s="299"/>
      <c r="I18" s="299"/>
      <c r="J18" s="299"/>
      <c r="K18" s="299"/>
      <c r="L18" s="299"/>
      <c r="M18" s="299"/>
      <c r="N18" s="299"/>
      <c r="O18" s="299"/>
      <c r="P18" s="299"/>
      <c r="Q18" s="299"/>
      <c r="R18" s="299"/>
      <c r="S18" s="299"/>
      <c r="T18" s="299"/>
      <c r="U18" s="299"/>
      <c r="V18" s="299"/>
      <c r="W18" s="299"/>
      <c r="X18" s="299"/>
      <c r="Y18" s="299"/>
      <c r="Z18" s="299"/>
      <c r="AA18" s="299"/>
      <c r="AB18" s="299"/>
      <c r="AC18" s="299"/>
      <c r="AD18" s="299"/>
      <c r="AE18" s="299"/>
      <c r="AF18" s="299"/>
      <c r="AG18" s="299"/>
      <c r="AH18" s="299"/>
      <c r="AI18" s="299"/>
      <c r="AL18" s="298">
        <f>ROW()</f>
        <v>18</v>
      </c>
    </row>
    <row r="19" spans="2:42" outlineLevel="2">
      <c r="B19" t="s">
        <v>1572</v>
      </c>
      <c r="C19" t="s">
        <v>1573</v>
      </c>
      <c r="D19" t="str">
        <f t="shared" si="0"/>
        <v>AUD</v>
      </c>
      <c r="F19" s="299"/>
      <c r="G19" s="299"/>
      <c r="H19" s="299"/>
      <c r="I19" s="299"/>
      <c r="J19" s="299"/>
      <c r="K19" s="299"/>
      <c r="L19" s="299"/>
      <c r="M19" s="299"/>
      <c r="N19" s="299"/>
      <c r="O19" s="299"/>
      <c r="P19" s="299"/>
      <c r="Q19" s="299"/>
      <c r="R19" s="299"/>
      <c r="S19" s="299"/>
      <c r="T19" s="299"/>
      <c r="U19" s="299"/>
      <c r="V19" s="299"/>
      <c r="W19" s="299"/>
      <c r="X19" s="299"/>
      <c r="Y19" s="299"/>
      <c r="Z19" s="299"/>
      <c r="AA19" s="299"/>
      <c r="AB19" s="299"/>
      <c r="AC19" s="299"/>
      <c r="AD19" s="299"/>
      <c r="AE19" s="299"/>
      <c r="AF19" s="299"/>
      <c r="AG19" s="299"/>
      <c r="AH19" s="299"/>
      <c r="AI19" s="299"/>
      <c r="AL19" s="298">
        <f>ROW()</f>
        <v>19</v>
      </c>
    </row>
    <row r="20" spans="2:42" outlineLevel="2">
      <c r="B20" t="s">
        <v>1574</v>
      </c>
      <c r="C20" t="s">
        <v>1575</v>
      </c>
      <c r="D20" t="str">
        <f t="shared" si="0"/>
        <v>AUD</v>
      </c>
      <c r="F20" s="299"/>
      <c r="G20" s="299"/>
      <c r="H20" s="299"/>
      <c r="I20" s="299"/>
      <c r="J20" s="299"/>
      <c r="K20" s="299"/>
      <c r="L20" s="299"/>
      <c r="M20" s="299"/>
      <c r="N20" s="299"/>
      <c r="O20" s="299"/>
      <c r="P20" s="299"/>
      <c r="Q20" s="299"/>
      <c r="R20" s="299"/>
      <c r="S20" s="299"/>
      <c r="T20" s="299"/>
      <c r="U20" s="299"/>
      <c r="V20" s="299"/>
      <c r="W20" s="299"/>
      <c r="X20" s="299"/>
      <c r="Y20" s="299"/>
      <c r="Z20" s="299"/>
      <c r="AA20" s="299"/>
      <c r="AB20" s="299"/>
      <c r="AC20" s="299"/>
      <c r="AD20" s="299"/>
      <c r="AE20" s="299"/>
      <c r="AF20" s="299"/>
      <c r="AG20" s="299"/>
      <c r="AH20" s="299"/>
      <c r="AI20" s="299"/>
      <c r="AL20" s="298">
        <f>ROW()</f>
        <v>20</v>
      </c>
    </row>
    <row r="21" spans="2:42" outlineLevel="2">
      <c r="B21" t="s">
        <v>1576</v>
      </c>
      <c r="C21" t="s">
        <v>1577</v>
      </c>
      <c r="D21" t="str">
        <f t="shared" si="0"/>
        <v>AUD</v>
      </c>
      <c r="F21" s="299"/>
      <c r="G21" s="299"/>
      <c r="H21" s="299"/>
      <c r="I21" s="299"/>
      <c r="J21" s="299"/>
      <c r="K21" s="299"/>
      <c r="L21" s="299"/>
      <c r="M21" s="299"/>
      <c r="N21" s="299"/>
      <c r="O21" s="299"/>
      <c r="P21" s="299"/>
      <c r="Q21" s="299"/>
      <c r="R21" s="299"/>
      <c r="S21" s="299"/>
      <c r="T21" s="299"/>
      <c r="U21" s="299"/>
      <c r="V21" s="299"/>
      <c r="W21" s="299"/>
      <c r="X21" s="299"/>
      <c r="Y21" s="299"/>
      <c r="Z21" s="299"/>
      <c r="AA21" s="299"/>
      <c r="AB21" s="299"/>
      <c r="AC21" s="299"/>
      <c r="AD21" s="299"/>
      <c r="AE21" s="299"/>
      <c r="AF21" s="299"/>
      <c r="AG21" s="299"/>
      <c r="AH21" s="299"/>
      <c r="AI21" s="299"/>
      <c r="AL21" s="298">
        <f>ROW()</f>
        <v>21</v>
      </c>
    </row>
    <row r="22" spans="2:42" outlineLevel="2">
      <c r="B22" t="s">
        <v>10</v>
      </c>
      <c r="C22" t="s">
        <v>767</v>
      </c>
      <c r="D22" t="str">
        <f t="shared" si="0"/>
        <v>AUD</v>
      </c>
      <c r="F22" s="299">
        <f>VLOOKUP($AN22,'Group Model'!$1:$1048576,MATCH("FY"&amp;RIGHT(F$1,2)&amp;LEFT(F$2,1),'Group Model'!$1:$1,0),FALSE)+VLOOKUP($AO22,'Group Model'!$1:$1048576,MATCH("FY"&amp;RIGHT(F$1,2)&amp;LEFT(F$2,1),'Group Model'!$1:$1,0),FALSE)+VLOOKUP($AP22,'Group Model'!$1:$1048576,MATCH("FY"&amp;RIGHT(F$1,2)&amp;LEFT(F$2,1),'Group Model'!$1:$1,0),FALSE)</f>
        <v>560</v>
      </c>
      <c r="G22" s="299">
        <f>VLOOKUP($AN22,'Group Model'!$1:$1048576,MATCH("FY"&amp;RIGHT(G$1,2)&amp;LEFT(G$2,1),'Group Model'!$1:$1,0),FALSE)+VLOOKUP($AO22,'Group Model'!$1:$1048576,MATCH("FY"&amp;RIGHT(G$1,2)&amp;LEFT(G$2,1),'Group Model'!$1:$1,0),FALSE)+VLOOKUP($AP22,'Group Model'!$1:$1048576,MATCH("FY"&amp;RIGHT(G$1,2)&amp;LEFT(G$2,1),'Group Model'!$1:$1,0),FALSE)</f>
        <v>1812</v>
      </c>
      <c r="H22" s="299">
        <f>VLOOKUP($AN22,'Group Model'!$1:$1048576,MATCH("FY"&amp;RIGHT(H$1,2)&amp;LEFT(H$2,1),'Group Model'!$1:$1,0),FALSE)+VLOOKUP($AO22,'Group Model'!$1:$1048576,MATCH("FY"&amp;RIGHT(H$1,2)&amp;LEFT(H$2,1),'Group Model'!$1:$1,0),FALSE)+VLOOKUP($AP22,'Group Model'!$1:$1048576,MATCH("FY"&amp;RIGHT(H$1,2)&amp;LEFT(H$2,1),'Group Model'!$1:$1,0),FALSE)</f>
        <v>637</v>
      </c>
      <c r="I22" s="299">
        <f>VLOOKUP($AN22,'Group Model'!$1:$1048576,MATCH("FY"&amp;RIGHT(I$1,2)&amp;LEFT(I$2,1),'Group Model'!$1:$1,0),FALSE)+VLOOKUP($AO22,'Group Model'!$1:$1048576,MATCH("FY"&amp;RIGHT(I$1,2)&amp;LEFT(I$2,1),'Group Model'!$1:$1,0),FALSE)+VLOOKUP($AP22,'Group Model'!$1:$1048576,MATCH("FY"&amp;RIGHT(I$1,2)&amp;LEFT(I$2,1),'Group Model'!$1:$1,0),FALSE)</f>
        <v>197</v>
      </c>
      <c r="J22" s="299">
        <f>VLOOKUP($AN22,'Group Model'!$1:$1048576,MATCH("FY"&amp;RIGHT(J$1,2)&amp;LEFT(J$2,1),'Group Model'!$1:$1,0),FALSE)+VLOOKUP($AO22,'Group Model'!$1:$1048576,MATCH("FY"&amp;RIGHT(J$1,2)&amp;LEFT(J$2,1),'Group Model'!$1:$1,0),FALSE)+VLOOKUP($AP22,'Group Model'!$1:$1048576,MATCH("FY"&amp;RIGHT(J$1,2)&amp;LEFT(J$2,1),'Group Model'!$1:$1,0),FALSE)</f>
        <v>130</v>
      </c>
      <c r="K22" s="299">
        <f>VLOOKUP($AN22,'Group Model'!$1:$1048576,MATCH("FY"&amp;RIGHT(K$1,2)&amp;LEFT(K$2,1),'Group Model'!$1:$1,0),FALSE)+VLOOKUP($AO22,'Group Model'!$1:$1048576,MATCH("FY"&amp;RIGHT(K$1,2)&amp;LEFT(K$2,1),'Group Model'!$1:$1,0),FALSE)+VLOOKUP($AP22,'Group Model'!$1:$1048576,MATCH("FY"&amp;RIGHT(K$1,2)&amp;LEFT(K$2,1),'Group Model'!$1:$1,0),FALSE)</f>
        <v>888</v>
      </c>
      <c r="L22" s="299">
        <f>VLOOKUP($AN22,'Group Model'!$1:$1048576,MATCH("FY"&amp;RIGHT(L$1,2)&amp;LEFT(L$2,1),'Group Model'!$1:$1,0),FALSE)+VLOOKUP($AO22,'Group Model'!$1:$1048576,MATCH("FY"&amp;RIGHT(L$1,2)&amp;LEFT(L$2,1),'Group Model'!$1:$1,0),FALSE)+VLOOKUP($AP22,'Group Model'!$1:$1048576,MATCH("FY"&amp;RIGHT(L$1,2)&amp;LEFT(L$2,1),'Group Model'!$1:$1,0),FALSE)</f>
        <v>633</v>
      </c>
      <c r="M22" s="299">
        <f>VLOOKUP($AN22,'Group Model'!$1:$1048576,MATCH("FY"&amp;RIGHT(M$1,2)&amp;LEFT(M$2,1),'Group Model'!$1:$1,0),FALSE)+VLOOKUP($AO22,'Group Model'!$1:$1048576,MATCH("FY"&amp;RIGHT(M$1,2)&amp;LEFT(M$2,1),'Group Model'!$1:$1,0),FALSE)+VLOOKUP($AP22,'Group Model'!$1:$1048576,MATCH("FY"&amp;RIGHT(M$1,2)&amp;LEFT(M$2,1),'Group Model'!$1:$1,0),FALSE)</f>
        <v>629</v>
      </c>
      <c r="N22" s="299">
        <f>VLOOKUP($AN22,'Group Model'!$1:$1048576,MATCH("FY"&amp;RIGHT(N$1,2)&amp;LEFT(N$2,1),'Group Model'!$1:$1,0),FALSE)+VLOOKUP($AO22,'Group Model'!$1:$1048576,MATCH("FY"&amp;RIGHT(N$1,2)&amp;LEFT(N$2,1),'Group Model'!$1:$1,0),FALSE)+VLOOKUP($AP22,'Group Model'!$1:$1048576,MATCH("FY"&amp;RIGHT(N$1,2)&amp;LEFT(N$2,1),'Group Model'!$1:$1,0),FALSE)</f>
        <v>546</v>
      </c>
      <c r="O22" s="299">
        <f>VLOOKUP($AN22,'Group Model'!$1:$1048576,MATCH("FY"&amp;RIGHT(O$1,2)&amp;LEFT(O$2,1),'Group Model'!$1:$1,0),FALSE)+VLOOKUP($AO22,'Group Model'!$1:$1048576,MATCH("FY"&amp;RIGHT(O$1,2)&amp;LEFT(O$2,1),'Group Model'!$1:$1,0),FALSE)+VLOOKUP($AP22,'Group Model'!$1:$1048576,MATCH("FY"&amp;RIGHT(O$1,2)&amp;LEFT(O$2,1),'Group Model'!$1:$1,0),FALSE)</f>
        <v>413</v>
      </c>
      <c r="P22" s="299">
        <f>VLOOKUP($AN22,'Group Model'!$1:$1048576,MATCH("FY"&amp;RIGHT(P$1,2)&amp;LEFT(P$2,1),'Group Model'!$1:$1,0),FALSE)+VLOOKUP($AO22,'Group Model'!$1:$1048576,MATCH("FY"&amp;RIGHT(P$1,2)&amp;LEFT(P$2,1),'Group Model'!$1:$1,0),FALSE)+VLOOKUP($AP22,'Group Model'!$1:$1048576,MATCH("FY"&amp;RIGHT(P$1,2)&amp;LEFT(P$2,1),'Group Model'!$1:$1,0),FALSE)</f>
        <v>146</v>
      </c>
      <c r="Q22" s="299">
        <f>VLOOKUP($AN22,'Group Model'!$1:$1048576,MATCH("FY"&amp;RIGHT(Q$1,2)&amp;LEFT(Q$2,1),'Group Model'!$1:$1,0),FALSE)+VLOOKUP($AO22,'Group Model'!$1:$1048576,MATCH("FY"&amp;RIGHT(Q$1,2)&amp;LEFT(Q$2,1),'Group Model'!$1:$1,0),FALSE)+VLOOKUP($AP22,'Group Model'!$1:$1048576,MATCH("FY"&amp;RIGHT(Q$1,2)&amp;LEFT(Q$2,1),'Group Model'!$1:$1,0),FALSE)</f>
        <v>318</v>
      </c>
      <c r="R22" s="299" t="e">
        <f>VLOOKUP($AN22,'Group Model'!$1:$1048576,MATCH("FY"&amp;RIGHT(R$1,2)&amp;LEFT(R$2,1),'Group Model'!$1:$1,0),FALSE)+VLOOKUP($AO22,'Group Model'!$1:$1048576,MATCH("FY"&amp;RIGHT(R$1,2)&amp;LEFT(R$2,1),'Group Model'!$1:$1,0),FALSE)+VLOOKUP($AP22,'Group Model'!$1:$1048576,MATCH("FY"&amp;RIGHT(R$1,2)&amp;LEFT(R$2,1),'Group Model'!$1:$1,0),FALSE)</f>
        <v>#N/A</v>
      </c>
      <c r="S22" s="299" t="e">
        <f>VLOOKUP($AN22,'Group Model'!$1:$1048576,MATCH("FY"&amp;RIGHT(S$1,2)&amp;LEFT(S$2,1),'Group Model'!$1:$1,0),FALSE)+VLOOKUP($AO22,'Group Model'!$1:$1048576,MATCH("FY"&amp;RIGHT(S$1,2)&amp;LEFT(S$2,1),'Group Model'!$1:$1,0),FALSE)+VLOOKUP($AP22,'Group Model'!$1:$1048576,MATCH("FY"&amp;RIGHT(S$1,2)&amp;LEFT(S$2,1),'Group Model'!$1:$1,0),FALSE)</f>
        <v>#N/A</v>
      </c>
      <c r="T22" s="299" t="e">
        <f>VLOOKUP($AN22,'Group Model'!$1:$1048576,MATCH("FY"&amp;RIGHT(T$1,2)&amp;LEFT(T$2,1),'Group Model'!$1:$1,0),FALSE)+VLOOKUP($AO22,'Group Model'!$1:$1048576,MATCH("FY"&amp;RIGHT(T$1,2)&amp;LEFT(T$2,1),'Group Model'!$1:$1,0),FALSE)+VLOOKUP($AP22,'Group Model'!$1:$1048576,MATCH("FY"&amp;RIGHT(T$1,2)&amp;LEFT(T$2,1),'Group Model'!$1:$1,0),FALSE)</f>
        <v>#N/A</v>
      </c>
      <c r="U22" s="299"/>
      <c r="V22" s="299">
        <f>VLOOKUP($AN22,'Group Model'!$1:$1048576,MATCH("1H"&amp;MID(V$1,3,2)&amp;LEFT(V$2,1),'Group Model'!$1:$1,0),FALSE)+VLOOKUP($AO22,'Group Model'!$1:$1048576,MATCH("1H"&amp;MID(V$1,3,2)&amp;LEFT(V$2,1),'Group Model'!$1:$1,0),FALSE)+VLOOKUP($AP22,'Group Model'!$1:$1048576,MATCH("1H"&amp;MID(V$1,3,2)&amp;LEFT(V$2,1),'Group Model'!$1:$1,0),FALSE)</f>
        <v>327</v>
      </c>
      <c r="W22" s="299">
        <f>VLOOKUP($AN22,'Group Model'!$1:$1048576,MATCH("1H"&amp;MID(W$1,3,2)&amp;LEFT(W$2,1),'Group Model'!$1:$1,0),FALSE)+VLOOKUP($AO22,'Group Model'!$1:$1048576,MATCH("1H"&amp;MID(W$1,3,2)&amp;LEFT(W$2,1),'Group Model'!$1:$1,0),FALSE)+VLOOKUP($AP22,'Group Model'!$1:$1048576,MATCH("1H"&amp;MID(W$1,3,2)&amp;LEFT(W$2,1),'Group Model'!$1:$1,0),FALSE)</f>
        <v>327</v>
      </c>
      <c r="X22" s="299">
        <f>VLOOKUP($AN22,'Group Model'!$1:$1048576,MATCH("1H"&amp;MID(X$1,3,2)&amp;LEFT(X$2,1),'Group Model'!$1:$1,0),FALSE)+VLOOKUP($AO22,'Group Model'!$1:$1048576,MATCH("1H"&amp;MID(X$1,3,2)&amp;LEFT(X$2,1),'Group Model'!$1:$1,0),FALSE)+VLOOKUP($AP22,'Group Model'!$1:$1048576,MATCH("1H"&amp;MID(X$1,3,2)&amp;LEFT(X$2,1),'Group Model'!$1:$1,0),FALSE)</f>
        <v>283</v>
      </c>
      <c r="Y22" s="299">
        <f>VLOOKUP($AN22,'Group Model'!$1:$1048576,MATCH("1H"&amp;MID(Y$1,3,2)&amp;LEFT(Y$2,1),'Group Model'!$1:$1,0),FALSE)+VLOOKUP($AO22,'Group Model'!$1:$1048576,MATCH("1H"&amp;MID(Y$1,3,2)&amp;LEFT(Y$2,1),'Group Model'!$1:$1,0),FALSE)+VLOOKUP($AP22,'Group Model'!$1:$1048576,MATCH("1H"&amp;MID(Y$1,3,2)&amp;LEFT(Y$2,1),'Group Model'!$1:$1,0),FALSE)</f>
        <v>283</v>
      </c>
      <c r="Z22" s="299">
        <f>VLOOKUP($AN22,'Group Model'!$1:$1048576,MATCH("1H"&amp;MID(Z$1,3,2)&amp;LEFT(Z$2,1),'Group Model'!$1:$1,0),FALSE)+VLOOKUP($AO22,'Group Model'!$1:$1048576,MATCH("1H"&amp;MID(Z$1,3,2)&amp;LEFT(Z$2,1),'Group Model'!$1:$1,0),FALSE)+VLOOKUP($AP22,'Group Model'!$1:$1048576,MATCH("1H"&amp;MID(Z$1,3,2)&amp;LEFT(Z$2,1),'Group Model'!$1:$1,0),FALSE)</f>
        <v>234</v>
      </c>
      <c r="AA22" s="299">
        <f>VLOOKUP($AN22,'Group Model'!$1:$1048576,MATCH("1H"&amp;MID(AA$1,3,2)&amp;LEFT(AA$2,1),'Group Model'!$1:$1,0),FALSE)+VLOOKUP($AO22,'Group Model'!$1:$1048576,MATCH("1H"&amp;MID(AA$1,3,2)&amp;LEFT(AA$2,1),'Group Model'!$1:$1,0),FALSE)+VLOOKUP($AP22,'Group Model'!$1:$1048576,MATCH("1H"&amp;MID(AA$1,3,2)&amp;LEFT(AA$2,1),'Group Model'!$1:$1,0),FALSE)</f>
        <v>234</v>
      </c>
      <c r="AB22" s="299">
        <f>VLOOKUP($AN22,'Group Model'!$1:$1048576,MATCH("1H"&amp;MID(AB$1,3,2)&amp;LEFT(AB$2,1),'Group Model'!$1:$1,0),FALSE)+VLOOKUP($AO22,'Group Model'!$1:$1048576,MATCH("1H"&amp;MID(AB$1,3,2)&amp;LEFT(AB$2,1),'Group Model'!$1:$1,0),FALSE)+VLOOKUP($AP22,'Group Model'!$1:$1048576,MATCH("1H"&amp;MID(AB$1,3,2)&amp;LEFT(AB$2,1),'Group Model'!$1:$1,0),FALSE)</f>
        <v>-23</v>
      </c>
      <c r="AC22" s="299">
        <f>VLOOKUP($AN22,'Group Model'!$1:$1048576,MATCH("1H"&amp;MID(AC$1,3,2)&amp;LEFT(AC$2,1),'Group Model'!$1:$1,0),FALSE)+VLOOKUP($AO22,'Group Model'!$1:$1048576,MATCH("1H"&amp;MID(AC$1,3,2)&amp;LEFT(AC$2,1),'Group Model'!$1:$1,0),FALSE)+VLOOKUP($AP22,'Group Model'!$1:$1048576,MATCH("1H"&amp;MID(AC$1,3,2)&amp;LEFT(AC$2,1),'Group Model'!$1:$1,0),FALSE)</f>
        <v>-23</v>
      </c>
      <c r="AD22" s="299">
        <f>VLOOKUP($AN22,'Group Model'!$1:$1048576,MATCH("1H"&amp;MID(AD$1,3,2)&amp;LEFT(AD$2,1),'Group Model'!$1:$1,0),FALSE)+VLOOKUP($AO22,'Group Model'!$1:$1048576,MATCH("1H"&amp;MID(AD$1,3,2)&amp;LEFT(AD$2,1),'Group Model'!$1:$1,0),FALSE)+VLOOKUP($AP22,'Group Model'!$1:$1048576,MATCH("1H"&amp;MID(AD$1,3,2)&amp;LEFT(AD$2,1),'Group Model'!$1:$1,0),FALSE)</f>
        <v>58</v>
      </c>
      <c r="AE22" s="299">
        <f>VLOOKUP($AN22,'Group Model'!$1:$1048576,MATCH("1H"&amp;MID(AE$1,3,2)&amp;LEFT(AE$2,1),'Group Model'!$1:$1,0),FALSE)+VLOOKUP($AO22,'Group Model'!$1:$1048576,MATCH("1H"&amp;MID(AE$1,3,2)&amp;LEFT(AE$2,1),'Group Model'!$1:$1,0),FALSE)+VLOOKUP($AP22,'Group Model'!$1:$1048576,MATCH("1H"&amp;MID(AE$1,3,2)&amp;LEFT(AE$2,1),'Group Model'!$1:$1,0),FALSE)</f>
        <v>58</v>
      </c>
      <c r="AF22" s="299">
        <f>VLOOKUP($AN22,'Group Model'!$1:$1048576,MATCH("1H"&amp;MID(AF$1,3,2)&amp;LEFT(AF$2,1),'Group Model'!$1:$1,0),FALSE)+VLOOKUP($AO22,'Group Model'!$1:$1048576,MATCH("1H"&amp;MID(AF$1,3,2)&amp;LEFT(AF$2,1),'Group Model'!$1:$1,0),FALSE)+VLOOKUP($AP22,'Group Model'!$1:$1048576,MATCH("1H"&amp;MID(AF$1,3,2)&amp;LEFT(AF$2,1),'Group Model'!$1:$1,0),FALSE)</f>
        <v>344</v>
      </c>
      <c r="AG22" s="299" t="e">
        <f>VLOOKUP($AN22,'Group Model'!$1:$1048576,MATCH("2H"&amp;MID(AG$1,3,2)&amp;LEFT(AG$2,1),'Group Model'!$1:$1,0),FALSE)+VLOOKUP($AO22,'Group Model'!$1:$1048576,MATCH("2H"&amp;MID(AG$1,3,2)&amp;LEFT(AG$2,1),'Group Model'!$1:$1,0),FALSE)+VLOOKUP($AP22,'Group Model'!$1:$1048576,MATCH("2H"&amp;MID(AG$1,3,2)&amp;LEFT(AG$2,1),'Group Model'!$1:$1,0),FALSE)</f>
        <v>#N/A</v>
      </c>
      <c r="AH22" s="299" t="e">
        <f>VLOOKUP($AN22,'Group Model'!$1:$1048576,MATCH("1H"&amp;MID(AH$1,3,2)&amp;LEFT(AH$2,1),'Group Model'!$1:$1,0),FALSE)+VLOOKUP($AO22,'Group Model'!$1:$1048576,MATCH("1H"&amp;MID(AH$1,3,2)&amp;LEFT(AH$2,1),'Group Model'!$1:$1,0),FALSE)+VLOOKUP($AP22,'Group Model'!$1:$1048576,MATCH("1H"&amp;MID(AH$1,3,2)&amp;LEFT(AH$2,1),'Group Model'!$1:$1,0),FALSE)</f>
        <v>#N/A</v>
      </c>
      <c r="AI22" s="299" t="e">
        <f>VLOOKUP($AN22,'Group Model'!$1:$1048576,MATCH("2H"&amp;MID(AI$1,3,2)&amp;LEFT(AI$2,1),'Group Model'!$1:$1,0),FALSE)+VLOOKUP($AO22,'Group Model'!$1:$1048576,MATCH("2H"&amp;MID(AI$1,3,2)&amp;LEFT(AI$2,1),'Group Model'!$1:$1,0),FALSE)+VLOOKUP($AP22,'Group Model'!$1:$1048576,MATCH("2H"&amp;MID(AI$1,3,2)&amp;LEFT(AI$2,1),'Group Model'!$1:$1,0),FALSE)</f>
        <v>#N/A</v>
      </c>
      <c r="AL22" s="298">
        <f>ROW()</f>
        <v>22</v>
      </c>
      <c r="AN22" s="298" t="str">
        <f>'Group Model'!A67</f>
        <v>OI_OtherF&amp;C</v>
      </c>
      <c r="AO22" s="298" t="str">
        <f>'Group Model'!A70</f>
        <v>OI_Equity</v>
      </c>
      <c r="AP22" s="298" t="str">
        <f>'Group Model'!A71</f>
        <v>BDD_Total</v>
      </c>
    </row>
    <row r="23" spans="2:42" outlineLevel="2">
      <c r="B23" t="s">
        <v>768</v>
      </c>
      <c r="C23" t="s">
        <v>769</v>
      </c>
      <c r="D23" t="str">
        <f t="shared" si="0"/>
        <v>AUD</v>
      </c>
      <c r="F23" s="299">
        <f>VLOOKUP($AN23,'Group Model'!$1:$1048576,MATCH("FY"&amp;RIGHT(F$1,2)&amp;LEFT(F$2,1),'Group Model'!$1:$1,0),FALSE)-VLOOKUP($AO23,'Group Model'!$1:$1048576,MATCH("FY"&amp;RIGHT(F$1,2)&amp;LEFT(F$2,1),'Group Model'!$1:$1,0),FALSE)</f>
        <v>4240</v>
      </c>
      <c r="G23" s="299">
        <f>VLOOKUP($AN23,'Group Model'!$1:$1048576,MATCH("FY"&amp;RIGHT(G$1,2)&amp;LEFT(G$2,1),'Group Model'!$1:$1,0),FALSE)-VLOOKUP($AO23,'Group Model'!$1:$1048576,MATCH("FY"&amp;RIGHT(G$1,2)&amp;LEFT(G$2,1),'Group Model'!$1:$1,0),FALSE)</f>
        <v>6453</v>
      </c>
      <c r="H23" s="299">
        <f>VLOOKUP($AN23,'Group Model'!$1:$1048576,MATCH("FY"&amp;RIGHT(H$1,2)&amp;LEFT(H$2,1),'Group Model'!$1:$1,0),FALSE)-VLOOKUP($AO23,'Group Model'!$1:$1048576,MATCH("FY"&amp;RIGHT(H$1,2)&amp;LEFT(H$2,1),'Group Model'!$1:$1,0),FALSE)</f>
        <v>7431</v>
      </c>
      <c r="I23" s="299">
        <f>VLOOKUP($AN23,'Group Model'!$1:$1048576,MATCH("FY"&amp;RIGHT(I$1,2)&amp;LEFT(I$2,1),'Group Model'!$1:$1,0),FALSE)-VLOOKUP($AO23,'Group Model'!$1:$1048576,MATCH("FY"&amp;RIGHT(I$1,2)&amp;LEFT(I$2,1),'Group Model'!$1:$1,0),FALSE)</f>
        <v>4588</v>
      </c>
      <c r="J23" s="299">
        <f>VLOOKUP($AN23,'Group Model'!$1:$1048576,MATCH("FY"&amp;RIGHT(J$1,2)&amp;LEFT(J$2,1),'Group Model'!$1:$1,0),FALSE)-VLOOKUP($AO23,'Group Model'!$1:$1048576,MATCH("FY"&amp;RIGHT(J$1,2)&amp;LEFT(J$2,1),'Group Model'!$1:$1,0),FALSE)</f>
        <v>5558</v>
      </c>
      <c r="K23" s="299">
        <f>VLOOKUP($AN23,'Group Model'!$1:$1048576,MATCH("FY"&amp;RIGHT(K$1,2)&amp;LEFT(K$2,1),'Group Model'!$1:$1,0),FALSE)-VLOOKUP($AO23,'Group Model'!$1:$1048576,MATCH("FY"&amp;RIGHT(K$1,2)&amp;LEFT(K$2,1),'Group Model'!$1:$1,0),FALSE)</f>
        <v>6390</v>
      </c>
      <c r="L23" s="299">
        <f>VLOOKUP($AN23,'Group Model'!$1:$1048576,MATCH("FY"&amp;RIGHT(L$1,2)&amp;LEFT(L$2,1),'Group Model'!$1:$1,0),FALSE)-VLOOKUP($AO23,'Group Model'!$1:$1048576,MATCH("FY"&amp;RIGHT(L$1,2)&amp;LEFT(L$2,1),'Group Model'!$1:$1,0),FALSE)</f>
        <v>5630</v>
      </c>
      <c r="M23" s="299">
        <f>VLOOKUP($AN23,'Group Model'!$1:$1048576,MATCH("FY"&amp;RIGHT(M$1,2)&amp;LEFT(M$2,1),'Group Model'!$1:$1,0),FALSE)-VLOOKUP($AO23,'Group Model'!$1:$1048576,MATCH("FY"&amp;RIGHT(M$1,2)&amp;LEFT(M$2,1),'Group Model'!$1:$1,0),FALSE)</f>
        <v>5290</v>
      </c>
      <c r="N23" s="299">
        <f>VLOOKUP($AN23,'Group Model'!$1:$1048576,MATCH("FY"&amp;RIGHT(N$1,2)&amp;LEFT(N$2,1),'Group Model'!$1:$1,0),FALSE)-VLOOKUP($AO23,'Group Model'!$1:$1048576,MATCH("FY"&amp;RIGHT(N$1,2)&amp;LEFT(N$2,1),'Group Model'!$1:$1,0),FALSE)</f>
        <v>6427</v>
      </c>
      <c r="O23" s="299">
        <f>VLOOKUP($AN23,'Group Model'!$1:$1048576,MATCH("FY"&amp;RIGHT(O$1,2)&amp;LEFT(O$2,1),'Group Model'!$1:$1,0),FALSE)-VLOOKUP($AO23,'Group Model'!$1:$1048576,MATCH("FY"&amp;RIGHT(O$1,2)&amp;LEFT(O$2,1),'Group Model'!$1:$1,0),FALSE)</f>
        <v>7170</v>
      </c>
      <c r="P23" s="299">
        <f>VLOOKUP($AN23,'Group Model'!$1:$1048576,MATCH("FY"&amp;RIGHT(P$1,2)&amp;LEFT(P$2,1),'Group Model'!$1:$1,0),FALSE)-VLOOKUP($AO23,'Group Model'!$1:$1048576,MATCH("FY"&amp;RIGHT(P$1,2)&amp;LEFT(P$2,1),'Group Model'!$1:$1,0),FALSE)</f>
        <v>7856</v>
      </c>
      <c r="Q23" s="299">
        <f>VLOOKUP($AN23,'Group Model'!$1:$1048576,MATCH("FY"&amp;RIGHT(Q$1,2)&amp;LEFT(Q$2,1),'Group Model'!$1:$1,0),FALSE)-VLOOKUP($AO23,'Group Model'!$1:$1048576,MATCH("FY"&amp;RIGHT(Q$1,2)&amp;LEFT(Q$2,1),'Group Model'!$1:$1,0),FALSE)</f>
        <v>8179</v>
      </c>
      <c r="R23" s="299" t="e">
        <f>VLOOKUP($AN23,'Group Model'!$1:$1048576,MATCH("FY"&amp;RIGHT(R$1,2)&amp;LEFT(R$2,1),'Group Model'!$1:$1,0),FALSE)-VLOOKUP($AO23,'Group Model'!$1:$1048576,MATCH("FY"&amp;RIGHT(R$1,2)&amp;LEFT(R$2,1),'Group Model'!$1:$1,0),FALSE)</f>
        <v>#N/A</v>
      </c>
      <c r="S23" s="299" t="e">
        <f>VLOOKUP($AN23,'Group Model'!$1:$1048576,MATCH("FY"&amp;RIGHT(S$1,2)&amp;LEFT(S$2,1),'Group Model'!$1:$1,0),FALSE)-VLOOKUP($AO23,'Group Model'!$1:$1048576,MATCH("FY"&amp;RIGHT(S$1,2)&amp;LEFT(S$2,1),'Group Model'!$1:$1,0),FALSE)</f>
        <v>#N/A</v>
      </c>
      <c r="T23" s="299" t="e">
        <f>VLOOKUP($AN23,'Group Model'!$1:$1048576,MATCH("FY"&amp;RIGHT(T$1,2)&amp;LEFT(T$2,1),'Group Model'!$1:$1,0),FALSE)-VLOOKUP($AO23,'Group Model'!$1:$1048576,MATCH("FY"&amp;RIGHT(T$1,2)&amp;LEFT(T$2,1),'Group Model'!$1:$1,0),FALSE)</f>
        <v>#N/A</v>
      </c>
      <c r="U23" s="299"/>
      <c r="V23" s="299">
        <f>VLOOKUP($AN23,'Group Model'!$1:$1048576,MATCH("1H"&amp;MID(V$1,3,2)&amp;LEFT(V$2,1),'Group Model'!$1:$1,0),FALSE)-VLOOKUP($AO23,'Group Model'!$1:$1048576,MATCH("1H"&amp;MID(V$1,3,2)&amp;LEFT(V$2,1),'Group Model'!$1:$1,0),FALSE)</f>
        <v>2410</v>
      </c>
      <c r="W23" s="299">
        <f>VLOOKUP($AN23,'Group Model'!$1:$1048576,MATCH("1H"&amp;MID(W$1,3,2)&amp;LEFT(W$2,1),'Group Model'!$1:$1,0),FALSE)-VLOOKUP($AO23,'Group Model'!$1:$1048576,MATCH("1H"&amp;MID(W$1,3,2)&amp;LEFT(W$2,1),'Group Model'!$1:$1,0),FALSE)</f>
        <v>2410</v>
      </c>
      <c r="X23" s="299">
        <f>VLOOKUP($AN23,'Group Model'!$1:$1048576,MATCH("1H"&amp;MID(X$1,3,2)&amp;LEFT(X$2,1),'Group Model'!$1:$1,0),FALSE)-VLOOKUP($AO23,'Group Model'!$1:$1048576,MATCH("1H"&amp;MID(X$1,3,2)&amp;LEFT(X$2,1),'Group Model'!$1:$1,0),FALSE)</f>
        <v>2819</v>
      </c>
      <c r="Y23" s="299">
        <f>VLOOKUP($AN23,'Group Model'!$1:$1048576,MATCH("1H"&amp;MID(Y$1,3,2)&amp;LEFT(Y$2,1),'Group Model'!$1:$1,0),FALSE)-VLOOKUP($AO23,'Group Model'!$1:$1048576,MATCH("1H"&amp;MID(Y$1,3,2)&amp;LEFT(Y$2,1),'Group Model'!$1:$1,0),FALSE)</f>
        <v>2819</v>
      </c>
      <c r="Z23" s="299">
        <f>VLOOKUP($AN23,'Group Model'!$1:$1048576,MATCH("1H"&amp;MID(Z$1,3,2)&amp;LEFT(Z$2,1),'Group Model'!$1:$1,0),FALSE)-VLOOKUP($AO23,'Group Model'!$1:$1048576,MATCH("1H"&amp;MID(Z$1,3,2)&amp;LEFT(Z$2,1),'Group Model'!$1:$1,0),FALSE)</f>
        <v>3328</v>
      </c>
      <c r="AA23" s="299">
        <f>VLOOKUP($AN23,'Group Model'!$1:$1048576,MATCH("1H"&amp;MID(AA$1,3,2)&amp;LEFT(AA$2,1),'Group Model'!$1:$1,0),FALSE)-VLOOKUP($AO23,'Group Model'!$1:$1048576,MATCH("1H"&amp;MID(AA$1,3,2)&amp;LEFT(AA$2,1),'Group Model'!$1:$1,0),FALSE)</f>
        <v>3328</v>
      </c>
      <c r="AB23" s="299">
        <f>VLOOKUP($AN23,'Group Model'!$1:$1048576,MATCH("1H"&amp;MID(AB$1,3,2)&amp;LEFT(AB$2,1),'Group Model'!$1:$1,0),FALSE)-VLOOKUP($AO23,'Group Model'!$1:$1048576,MATCH("1H"&amp;MID(AB$1,3,2)&amp;LEFT(AB$2,1),'Group Model'!$1:$1,0),FALSE)</f>
        <v>4153</v>
      </c>
      <c r="AC23" s="299">
        <f>VLOOKUP($AN23,'Group Model'!$1:$1048576,MATCH("1H"&amp;MID(AC$1,3,2)&amp;LEFT(AC$2,1),'Group Model'!$1:$1,0),FALSE)-VLOOKUP($AO23,'Group Model'!$1:$1048576,MATCH("1H"&amp;MID(AC$1,3,2)&amp;LEFT(AC$2,1),'Group Model'!$1:$1,0),FALSE)</f>
        <v>4153</v>
      </c>
      <c r="AD23" s="299">
        <f>VLOOKUP($AN23,'Group Model'!$1:$1048576,MATCH("1H"&amp;MID(AD$1,3,2)&amp;LEFT(AD$2,1),'Group Model'!$1:$1,0),FALSE)-VLOOKUP($AO23,'Group Model'!$1:$1048576,MATCH("1H"&amp;MID(AD$1,3,2)&amp;LEFT(AD$2,1),'Group Model'!$1:$1,0),FALSE)</f>
        <v>4122</v>
      </c>
      <c r="AE23" s="299">
        <f>VLOOKUP($AN23,'Group Model'!$1:$1048576,MATCH("1H"&amp;MID(AE$1,3,2)&amp;LEFT(AE$2,1),'Group Model'!$1:$1,0),FALSE)-VLOOKUP($AO23,'Group Model'!$1:$1048576,MATCH("1H"&amp;MID(AE$1,3,2)&amp;LEFT(AE$2,1),'Group Model'!$1:$1,0),FALSE)</f>
        <v>4122</v>
      </c>
      <c r="AF23" s="299">
        <f>VLOOKUP($AN23,'Group Model'!$1:$1048576,MATCH("1H"&amp;MID(AF$1,3,2)&amp;LEFT(AF$2,1),'Group Model'!$1:$1,0),FALSE)-VLOOKUP($AO23,'Group Model'!$1:$1048576,MATCH("1H"&amp;MID(AF$1,3,2)&amp;LEFT(AF$2,1),'Group Model'!$1:$1,0),FALSE)</f>
        <v>4386</v>
      </c>
      <c r="AG23" s="299" t="e">
        <f>VLOOKUP($AN23,'Group Model'!$1:$1048576,MATCH("2H"&amp;MID(AG$1,3,2)&amp;LEFT(AG$2,1),'Group Model'!$1:$1,0),FALSE)-VLOOKUP($AO23,'Group Model'!$1:$1048576,MATCH("2H"&amp;MID(AG$1,3,2)&amp;LEFT(AG$2,1),'Group Model'!$1:$1,0),FALSE)</f>
        <v>#N/A</v>
      </c>
      <c r="AH23" s="299" t="e">
        <f>VLOOKUP($AN23,'Group Model'!$1:$1048576,MATCH("1H"&amp;MID(AH$1,3,2)&amp;LEFT(AH$2,1),'Group Model'!$1:$1,0),FALSE)-VLOOKUP($AO23,'Group Model'!$1:$1048576,MATCH("1H"&amp;MID(AH$1,3,2)&amp;LEFT(AH$2,1),'Group Model'!$1:$1,0),FALSE)</f>
        <v>#N/A</v>
      </c>
      <c r="AI23" s="299" t="e">
        <f>VLOOKUP($AN23,'Group Model'!$1:$1048576,MATCH("2H"&amp;MID(AI$1,3,2)&amp;LEFT(AI$2,1),'Group Model'!$1:$1,0),FALSE)-VLOOKUP($AO23,'Group Model'!$1:$1048576,MATCH("2H"&amp;MID(AI$1,3,2)&amp;LEFT(AI$2,1),'Group Model'!$1:$1,0),FALSE)</f>
        <v>#N/A</v>
      </c>
      <c r="AL23" s="298">
        <f>ROW()</f>
        <v>23</v>
      </c>
      <c r="AN23" s="298" t="str">
        <f>'Group Model'!A73</f>
        <v>TR</v>
      </c>
      <c r="AO23" s="298" t="str">
        <f>'Group Model'!A62</f>
        <v>NII</v>
      </c>
    </row>
    <row r="24" spans="2:42" outlineLevel="2">
      <c r="B24" t="s">
        <v>770</v>
      </c>
      <c r="C24" t="s">
        <v>771</v>
      </c>
      <c r="D24" t="str">
        <f t="shared" si="0"/>
        <v>AUD</v>
      </c>
      <c r="F24" s="300">
        <f>VLOOKUP($AN24,'Group Model'!$1:$1048576,MATCH("FY"&amp;RIGHT(F$1,2)&amp;LEFT(F$2,1),'Group Model'!$1:$1,0),FALSE)</f>
        <v>4832</v>
      </c>
      <c r="G24" s="300">
        <f>VLOOKUP($AN24,'Group Model'!$1:$1048576,MATCH("FY"&amp;RIGHT(G$1,2)&amp;LEFT(G$2,1),'Group Model'!$1:$1,0),FALSE)</f>
        <v>7181</v>
      </c>
      <c r="H24" s="300">
        <f>VLOOKUP($AN24,'Group Model'!$1:$1048576,MATCH("FY"&amp;RIGHT(H$1,2)&amp;LEFT(H$2,1),'Group Model'!$1:$1,0),FALSE)</f>
        <v>8248</v>
      </c>
      <c r="I24" s="300">
        <f>VLOOKUP($AN24,'Group Model'!$1:$1048576,MATCH("FY"&amp;RIGHT(I$1,2)&amp;LEFT(I$2,1),'Group Model'!$1:$1,0),FALSE)</f>
        <v>5526</v>
      </c>
      <c r="J24" s="300">
        <f>VLOOKUP($AN24,'Group Model'!$1:$1048576,MATCH("FY"&amp;RIGHT(J$1,2)&amp;LEFT(J$2,1),'Group Model'!$1:$1,0),FALSE)</f>
        <v>6638</v>
      </c>
      <c r="K24" s="300">
        <f>VLOOKUP($AN24,'Group Model'!$1:$1048576,MATCH("FY"&amp;RIGHT(K$1,2)&amp;LEFT(K$2,1),'Group Model'!$1:$1,0),FALSE)</f>
        <v>7665</v>
      </c>
      <c r="L24" s="300">
        <f>VLOOKUP($AN24,'Group Model'!$1:$1048576,MATCH("FY"&amp;RIGHT(L$1,2)&amp;LEFT(L$2,1),'Group Model'!$1:$1,0),FALSE)</f>
        <v>6963</v>
      </c>
      <c r="M24" s="300">
        <f>VLOOKUP($AN24,'Group Model'!$1:$1048576,MATCH("FY"&amp;RIGHT(M$1,2)&amp;LEFT(M$2,1),'Group Model'!$1:$1,0),FALSE)</f>
        <v>6657</v>
      </c>
      <c r="N24" s="300">
        <f>VLOOKUP($AN24,'Group Model'!$1:$1048576,MATCH("FY"&amp;RIGHT(N$1,2)&amp;LEFT(N$2,1),'Group Model'!$1:$1,0),FALSE)</f>
        <v>8132</v>
      </c>
      <c r="O24" s="300">
        <f>VLOOKUP($AN24,'Group Model'!$1:$1048576,MATCH("FY"&amp;RIGHT(O$1,2)&amp;LEFT(O$2,1),'Group Model'!$1:$1,0),FALSE)</f>
        <v>9262</v>
      </c>
      <c r="P24" s="300">
        <f>VLOOKUP($AN24,'Group Model'!$1:$1048576,MATCH("FY"&amp;RIGHT(P$1,2)&amp;LEFT(P$2,1),'Group Model'!$1:$1,0),FALSE)</f>
        <v>10135</v>
      </c>
      <c r="Q24" s="300">
        <f>VLOOKUP($AN24,'Group Model'!$1:$1048576,MATCH("FY"&amp;RIGHT(Q$1,2)&amp;LEFT(Q$2,1),'Group Model'!$1:$1,0),FALSE)</f>
        <v>10364</v>
      </c>
      <c r="R24" s="300" t="e">
        <f>VLOOKUP($AN24,'Group Model'!$1:$1048576,MATCH("FY"&amp;RIGHT(R$1,2)&amp;LEFT(R$2,1),'Group Model'!$1:$1,0),FALSE)</f>
        <v>#N/A</v>
      </c>
      <c r="S24" s="300" t="e">
        <f>VLOOKUP($AN24,'Group Model'!$1:$1048576,MATCH("FY"&amp;RIGHT(S$1,2)&amp;LEFT(S$2,1),'Group Model'!$1:$1,0),FALSE)</f>
        <v>#N/A</v>
      </c>
      <c r="T24" s="300" t="e">
        <f>VLOOKUP($AN24,'Group Model'!$1:$1048576,MATCH("FY"&amp;RIGHT(T$1,2)&amp;LEFT(T$2,1),'Group Model'!$1:$1,0),FALSE)</f>
        <v>#N/A</v>
      </c>
      <c r="U24" s="300"/>
      <c r="V24" s="300">
        <f>VLOOKUP($AN24,'Group Model'!$1:$1048576,MATCH("1H"&amp;MID(V$1,3,2)&amp;LEFT(V$2,1),'Group Model'!$1:$1,0),FALSE)</f>
        <v>3054</v>
      </c>
      <c r="W24" s="300">
        <f>VLOOKUP($AN24,'Group Model'!$1:$1048576,MATCH("1H"&amp;MID(W$1,3,2)&amp;LEFT(W$2,1),'Group Model'!$1:$1,0),FALSE)</f>
        <v>3054</v>
      </c>
      <c r="X24" s="300">
        <f>VLOOKUP($AN24,'Group Model'!$1:$1048576,MATCH("1H"&amp;MID(X$1,3,2)&amp;LEFT(X$2,1),'Group Model'!$1:$1,0),FALSE)</f>
        <v>3679</v>
      </c>
      <c r="Y24" s="300">
        <f>VLOOKUP($AN24,'Group Model'!$1:$1048576,MATCH("1H"&amp;MID(Y$1,3,2)&amp;LEFT(Y$2,1),'Group Model'!$1:$1,0),FALSE)</f>
        <v>3679</v>
      </c>
      <c r="Z24" s="300">
        <f>VLOOKUP($AN24,'Group Model'!$1:$1048576,MATCH("1H"&amp;MID(Z$1,3,2)&amp;LEFT(Z$2,1),'Group Model'!$1:$1,0),FALSE)</f>
        <v>4284</v>
      </c>
      <c r="AA24" s="300">
        <f>VLOOKUP($AN24,'Group Model'!$1:$1048576,MATCH("1H"&amp;MID(AA$1,3,2)&amp;LEFT(AA$2,1),'Group Model'!$1:$1,0),FALSE)</f>
        <v>4284</v>
      </c>
      <c r="AB24" s="300">
        <f>VLOOKUP($AN24,'Group Model'!$1:$1048576,MATCH("1H"&amp;MID(AB$1,3,2)&amp;LEFT(AB$2,1),'Group Model'!$1:$1,0),FALSE)</f>
        <v>5318</v>
      </c>
      <c r="AC24" s="300">
        <f>VLOOKUP($AN24,'Group Model'!$1:$1048576,MATCH("1H"&amp;MID(AC$1,3,2)&amp;LEFT(AC$2,1),'Group Model'!$1:$1,0),FALSE)</f>
        <v>5318</v>
      </c>
      <c r="AD24" s="300">
        <f>VLOOKUP($AN24,'Group Model'!$1:$1048576,MATCH("1H"&amp;MID(AD$1,3,2)&amp;LEFT(AD$2,1),'Group Model'!$1:$1,0),FALSE)</f>
        <v>5218</v>
      </c>
      <c r="AE24" s="300">
        <f>VLOOKUP($AN24,'Group Model'!$1:$1048576,MATCH("1H"&amp;MID(AE$1,3,2)&amp;LEFT(AE$2,1),'Group Model'!$1:$1,0),FALSE)</f>
        <v>5218</v>
      </c>
      <c r="AF24" s="300">
        <f>VLOOKUP($AN24,'Group Model'!$1:$1048576,MATCH("1H"&amp;MID(AF$1,3,2)&amp;LEFT(AF$2,1),'Group Model'!$1:$1,0),FALSE)</f>
        <v>5397</v>
      </c>
      <c r="AG24" s="300" t="e">
        <f>VLOOKUP($AN24,'Group Model'!$1:$1048576,MATCH("2H"&amp;MID(AG$1,3,2)&amp;LEFT(AG$2,1),'Group Model'!$1:$1,0),FALSE)</f>
        <v>#N/A</v>
      </c>
      <c r="AH24" s="300" t="e">
        <f>VLOOKUP($AN24,'Group Model'!$1:$1048576,MATCH("1H"&amp;MID(AH$1,3,2)&amp;LEFT(AH$2,1),'Group Model'!$1:$1,0),FALSE)</f>
        <v>#N/A</v>
      </c>
      <c r="AI24" s="300" t="e">
        <f>VLOOKUP($AN24,'Group Model'!$1:$1048576,MATCH("2H"&amp;MID(AI$1,3,2)&amp;LEFT(AI$2,1),'Group Model'!$1:$1,0),FALSE)</f>
        <v>#N/A</v>
      </c>
      <c r="AL24" s="298">
        <f>ROW()</f>
        <v>24</v>
      </c>
      <c r="AN24" s="298" t="str">
        <f>'Group Model'!A73</f>
        <v>TR</v>
      </c>
    </row>
    <row r="25" spans="2:42" outlineLevel="2">
      <c r="B25" t="s">
        <v>772</v>
      </c>
      <c r="C25" t="s">
        <v>773</v>
      </c>
      <c r="D25" t="str">
        <f t="shared" si="0"/>
        <v>AUD</v>
      </c>
      <c r="F25" s="299">
        <f>VLOOKUP($AN25,'Group Model'!$1:$1048576,MATCH("FY"&amp;RIGHT(F$1,2)&amp;LEFT(F$2,1),'Group Model'!$1:$1,0),FALSE)</f>
        <v>-2407</v>
      </c>
      <c r="G25" s="299">
        <f>VLOOKUP($AN25,'Group Model'!$1:$1048576,MATCH("FY"&amp;RIGHT(G$1,2)&amp;LEFT(G$2,1),'Group Model'!$1:$1,0),FALSE)</f>
        <v>-3733</v>
      </c>
      <c r="H25" s="299">
        <f>VLOOKUP($AN25,'Group Model'!$1:$1048576,MATCH("FY"&amp;RIGHT(H$1,2)&amp;LEFT(H$2,1),'Group Model'!$1:$1,0),FALSE)</f>
        <v>-4177</v>
      </c>
      <c r="I25" s="299">
        <f>VLOOKUP($AN25,'Group Model'!$1:$1048576,MATCH("FY"&amp;RIGHT(I$1,2)&amp;LEFT(I$2,1),'Group Model'!$1:$1,0),FALSE)</f>
        <v>-2359</v>
      </c>
      <c r="J25" s="299">
        <f>VLOOKUP($AN25,'Group Model'!$1:$1048576,MATCH("FY"&amp;RIGHT(J$1,2)&amp;LEFT(J$2,1),'Group Model'!$1:$1,0),FALSE)</f>
        <v>-3101</v>
      </c>
      <c r="K25" s="299">
        <f>VLOOKUP($AN25,'Group Model'!$1:$1048576,MATCH("FY"&amp;RIGHT(K$1,2)&amp;LEFT(K$2,1),'Group Model'!$1:$1,0),FALSE)</f>
        <v>-3890</v>
      </c>
      <c r="L25" s="299">
        <f>VLOOKUP($AN25,'Group Model'!$1:$1048576,MATCH("FY"&amp;RIGHT(L$1,2)&amp;LEFT(L$2,1),'Group Model'!$1:$1,0),FALSE)</f>
        <v>-3560</v>
      </c>
      <c r="M25" s="299">
        <f>VLOOKUP($AN25,'Group Model'!$1:$1048576,MATCH("FY"&amp;RIGHT(M$1,2)&amp;LEFT(M$2,1),'Group Model'!$1:$1,0),FALSE)</f>
        <v>-3273</v>
      </c>
      <c r="N25" s="299">
        <f>VLOOKUP($AN25,'Group Model'!$1:$1048576,MATCH("FY"&amp;RIGHT(N$1,2)&amp;LEFT(N$2,1),'Group Model'!$1:$1,0),FALSE)</f>
        <v>-3736</v>
      </c>
      <c r="O25" s="299">
        <f>VLOOKUP($AN25,'Group Model'!$1:$1048576,MATCH("FY"&amp;RIGHT(O$1,2)&amp;LEFT(O$2,1),'Group Model'!$1:$1,0),FALSE)</f>
        <v>-4143</v>
      </c>
      <c r="P25" s="299">
        <f>VLOOKUP($AN25,'Group Model'!$1:$1048576,MATCH("FY"&amp;RIGHT(P$1,2)&amp;LEFT(P$2,1),'Group Model'!$1:$1,0),FALSE)</f>
        <v>-4244</v>
      </c>
      <c r="Q25" s="299">
        <f>VLOOKUP($AN25,'Group Model'!$1:$1048576,MATCH("FY"&amp;RIGHT(Q$1,2)&amp;LEFT(Q$2,1),'Group Model'!$1:$1,0),FALSE)</f>
        <v>-4379</v>
      </c>
      <c r="R25" s="299" t="e">
        <f>VLOOKUP($AN25,'Group Model'!$1:$1048576,MATCH("FY"&amp;RIGHT(R$1,2)&amp;LEFT(R$2,1),'Group Model'!$1:$1,0),FALSE)</f>
        <v>#N/A</v>
      </c>
      <c r="S25" s="299" t="e">
        <f>VLOOKUP($AN25,'Group Model'!$1:$1048576,MATCH("FY"&amp;RIGHT(S$1,2)&amp;LEFT(S$2,1),'Group Model'!$1:$1,0),FALSE)</f>
        <v>#N/A</v>
      </c>
      <c r="T25" s="299" t="e">
        <f>VLOOKUP($AN25,'Group Model'!$1:$1048576,MATCH("FY"&amp;RIGHT(T$1,2)&amp;LEFT(T$2,1),'Group Model'!$1:$1,0),FALSE)</f>
        <v>#N/A</v>
      </c>
      <c r="U25" s="299"/>
      <c r="V25" s="299">
        <f>VLOOKUP($AN25,'Group Model'!$1:$1048576,MATCH("1H"&amp;MID(V$1,3,2)&amp;LEFT(V$2,1),'Group Model'!$1:$1,0),FALSE)</f>
        <v>-1538</v>
      </c>
      <c r="W25" s="299">
        <f>VLOOKUP($AN25,'Group Model'!$1:$1048576,MATCH("1H"&amp;MID(W$1,3,2)&amp;LEFT(W$2,1),'Group Model'!$1:$1,0),FALSE)</f>
        <v>-1538</v>
      </c>
      <c r="X25" s="299">
        <f>VLOOKUP($AN25,'Group Model'!$1:$1048576,MATCH("1H"&amp;MID(X$1,3,2)&amp;LEFT(X$2,1),'Group Model'!$1:$1,0),FALSE)</f>
        <v>-1730</v>
      </c>
      <c r="Y25" s="299">
        <f>VLOOKUP($AN25,'Group Model'!$1:$1048576,MATCH("1H"&amp;MID(Y$1,3,2)&amp;LEFT(Y$2,1),'Group Model'!$1:$1,0),FALSE)</f>
        <v>-1730</v>
      </c>
      <c r="Z25" s="299">
        <f>VLOOKUP($AN25,'Group Model'!$1:$1048576,MATCH("1H"&amp;MID(Z$1,3,2)&amp;LEFT(Z$2,1),'Group Model'!$1:$1,0),FALSE)</f>
        <v>-1944</v>
      </c>
      <c r="AA25" s="299">
        <f>VLOOKUP($AN25,'Group Model'!$1:$1048576,MATCH("1H"&amp;MID(AA$1,3,2)&amp;LEFT(AA$2,1),'Group Model'!$1:$1,0),FALSE)</f>
        <v>-1944</v>
      </c>
      <c r="AB25" s="299">
        <f>VLOOKUP($AN25,'Group Model'!$1:$1048576,MATCH("1H"&amp;MID(AB$1,3,2)&amp;LEFT(AB$2,1),'Group Model'!$1:$1,0),FALSE)</f>
        <v>-2263</v>
      </c>
      <c r="AC25" s="299">
        <f>VLOOKUP($AN25,'Group Model'!$1:$1048576,MATCH("1H"&amp;MID(AC$1,3,2)&amp;LEFT(AC$2,1),'Group Model'!$1:$1,0),FALSE)</f>
        <v>-2263</v>
      </c>
      <c r="AD25" s="299">
        <f>VLOOKUP($AN25,'Group Model'!$1:$1048576,MATCH("1H"&amp;MID(AD$1,3,2)&amp;LEFT(AD$2,1),'Group Model'!$1:$1,0),FALSE)</f>
        <v>-2290</v>
      </c>
      <c r="AE25" s="299">
        <f>VLOOKUP($AN25,'Group Model'!$1:$1048576,MATCH("1H"&amp;MID(AE$1,3,2)&amp;LEFT(AE$2,1),'Group Model'!$1:$1,0),FALSE)</f>
        <v>-2290</v>
      </c>
      <c r="AF25" s="299">
        <f>VLOOKUP($AN25,'Group Model'!$1:$1048576,MATCH("1H"&amp;MID(AF$1,3,2)&amp;LEFT(AF$2,1),'Group Model'!$1:$1,0),FALSE)</f>
        <v>-2261</v>
      </c>
      <c r="AG25" s="299" t="e">
        <f>VLOOKUP($AN25,'Group Model'!$1:$1048576,MATCH("2H"&amp;MID(AG$1,3,2)&amp;LEFT(AG$2,1),'Group Model'!$1:$1,0),FALSE)</f>
        <v>#N/A</v>
      </c>
      <c r="AH25" s="299" t="e">
        <f>VLOOKUP($AN25,'Group Model'!$1:$1048576,MATCH("1H"&amp;MID(AH$1,3,2)&amp;LEFT(AH$2,1),'Group Model'!$1:$1,0),FALSE)</f>
        <v>#N/A</v>
      </c>
      <c r="AI25" s="299" t="e">
        <f>VLOOKUP($AN25,'Group Model'!$1:$1048576,MATCH("2H"&amp;MID(AI$1,3,2)&amp;LEFT(AI$2,1),'Group Model'!$1:$1,0),FALSE)</f>
        <v>#N/A</v>
      </c>
      <c r="AL25" s="298">
        <f>ROW()</f>
        <v>25</v>
      </c>
      <c r="AN25" s="298" t="str">
        <f>'Group Model'!A74</f>
        <v>OE_StaffCosts</v>
      </c>
    </row>
    <row r="26" spans="2:42" outlineLevel="2">
      <c r="B26" t="s">
        <v>1578</v>
      </c>
      <c r="C26" t="s">
        <v>1579</v>
      </c>
      <c r="D26" t="str">
        <f t="shared" si="0"/>
        <v>AUD</v>
      </c>
      <c r="F26" s="299"/>
      <c r="G26" s="299"/>
      <c r="H26" s="299"/>
      <c r="I26" s="299"/>
      <c r="J26" s="299"/>
      <c r="K26" s="299"/>
      <c r="L26" s="299"/>
      <c r="M26" s="299"/>
      <c r="N26" s="299"/>
      <c r="O26" s="299"/>
      <c r="P26" s="299"/>
      <c r="Q26" s="299"/>
      <c r="R26" s="299"/>
      <c r="S26" s="299"/>
      <c r="T26" s="299"/>
      <c r="U26" s="299"/>
      <c r="V26" s="299"/>
      <c r="W26" s="299"/>
      <c r="X26" s="299"/>
      <c r="Y26" s="299"/>
      <c r="Z26" s="299"/>
      <c r="AA26" s="299"/>
      <c r="AB26" s="299"/>
      <c r="AC26" s="299"/>
      <c r="AD26" s="299"/>
      <c r="AE26" s="299"/>
      <c r="AF26" s="299"/>
      <c r="AG26" s="299"/>
      <c r="AH26" s="299"/>
      <c r="AI26" s="299"/>
      <c r="AL26" s="298">
        <f>ROW()</f>
        <v>26</v>
      </c>
    </row>
    <row r="27" spans="2:42" outlineLevel="2">
      <c r="B27" t="s">
        <v>1580</v>
      </c>
      <c r="C27" t="s">
        <v>1581</v>
      </c>
      <c r="D27" t="str">
        <f t="shared" si="0"/>
        <v>AUD</v>
      </c>
      <c r="F27" s="299"/>
      <c r="G27" s="299"/>
      <c r="H27" s="299"/>
      <c r="I27" s="299"/>
      <c r="J27" s="299"/>
      <c r="K27" s="299"/>
      <c r="L27" s="299"/>
      <c r="M27" s="299"/>
      <c r="N27" s="299"/>
      <c r="O27" s="299"/>
      <c r="P27" s="299"/>
      <c r="Q27" s="299"/>
      <c r="R27" s="299"/>
      <c r="S27" s="299"/>
      <c r="T27" s="299"/>
      <c r="U27" s="299"/>
      <c r="V27" s="299"/>
      <c r="W27" s="299"/>
      <c r="X27" s="299"/>
      <c r="Y27" s="299"/>
      <c r="Z27" s="299"/>
      <c r="AA27" s="299"/>
      <c r="AB27" s="299"/>
      <c r="AC27" s="299"/>
      <c r="AD27" s="299"/>
      <c r="AE27" s="299"/>
      <c r="AF27" s="299"/>
      <c r="AG27" s="299"/>
      <c r="AH27" s="299"/>
      <c r="AI27" s="299"/>
      <c r="AL27" s="298">
        <f>ROW()</f>
        <v>27</v>
      </c>
    </row>
    <row r="28" spans="2:42" outlineLevel="2">
      <c r="B28" t="s">
        <v>1582</v>
      </c>
      <c r="C28" t="s">
        <v>1583</v>
      </c>
      <c r="D28" t="str">
        <f t="shared" si="0"/>
        <v>AUD</v>
      </c>
      <c r="F28" s="299">
        <f>VLOOKUP($AN28,'Group Model'!$1:$1048576,MATCH("FY"&amp;RIGHT(F$1,2)&amp;LEFT(F$2,1),'Group Model'!$1:$1,0),FALSE)</f>
        <v>-366</v>
      </c>
      <c r="G28" s="299">
        <f>VLOOKUP($AN28,'Group Model'!$1:$1048576,MATCH("FY"&amp;RIGHT(G$1,2)&amp;LEFT(G$2,1),'Group Model'!$1:$1,0),FALSE)</f>
        <v>-421</v>
      </c>
      <c r="H28" s="299">
        <f>VLOOKUP($AN28,'Group Model'!$1:$1048576,MATCH("FY"&amp;RIGHT(H$1,2)&amp;LEFT(H$2,1),'Group Model'!$1:$1,0),FALSE)</f>
        <v>-702</v>
      </c>
      <c r="I28" s="299">
        <f>VLOOKUP($AN28,'Group Model'!$1:$1048576,MATCH("FY"&amp;RIGHT(I$1,2)&amp;LEFT(I$2,1),'Group Model'!$1:$1,0),FALSE)</f>
        <v>-685</v>
      </c>
      <c r="J28" s="299">
        <f>VLOOKUP($AN28,'Group Model'!$1:$1048576,MATCH("FY"&amp;RIGHT(J$1,2)&amp;LEFT(J$2,1),'Group Model'!$1:$1,0),FALSE)</f>
        <v>-645</v>
      </c>
      <c r="K28" s="299">
        <f>VLOOKUP($AN28,'Group Model'!$1:$1048576,MATCH("FY"&amp;RIGHT(K$1,2)&amp;LEFT(K$2,1),'Group Model'!$1:$1,0),FALSE)</f>
        <v>-785</v>
      </c>
      <c r="L28" s="299">
        <f>VLOOKUP($AN28,'Group Model'!$1:$1048576,MATCH("FY"&amp;RIGHT(L$1,2)&amp;LEFT(L$2,1),'Group Model'!$1:$1,0),FALSE)</f>
        <v>-724</v>
      </c>
      <c r="M28" s="299">
        <f>VLOOKUP($AN28,'Group Model'!$1:$1048576,MATCH("FY"&amp;RIGHT(M$1,2)&amp;LEFT(M$2,1),'Group Model'!$1:$1,0),FALSE)</f>
        <v>-604</v>
      </c>
      <c r="N28" s="299">
        <f>VLOOKUP($AN28,'Group Model'!$1:$1048576,MATCH("FY"&amp;RIGHT(N$1,2)&amp;LEFT(N$2,1),'Group Model'!$1:$1,0),FALSE)</f>
        <v>-779</v>
      </c>
      <c r="O28" s="299">
        <f>VLOOKUP($AN28,'Group Model'!$1:$1048576,MATCH("FY"&amp;RIGHT(O$1,2)&amp;LEFT(O$2,1),'Group Model'!$1:$1,0),FALSE)</f>
        <v>-824</v>
      </c>
      <c r="P28" s="299">
        <f>VLOOKUP($AN28,'Group Model'!$1:$1048576,MATCH("FY"&amp;RIGHT(P$1,2)&amp;LEFT(P$2,1),'Group Model'!$1:$1,0),FALSE)</f>
        <v>-892</v>
      </c>
      <c r="Q28" s="299">
        <f>VLOOKUP($AN28,'Group Model'!$1:$1048576,MATCH("FY"&amp;RIGHT(Q$1,2)&amp;LEFT(Q$2,1),'Group Model'!$1:$1,0),FALSE)</f>
        <v>-852</v>
      </c>
      <c r="R28" s="299" t="e">
        <f>VLOOKUP($AN28,'Group Model'!$1:$1048576,MATCH("FY"&amp;RIGHT(R$1,2)&amp;LEFT(R$2,1),'Group Model'!$1:$1,0),FALSE)</f>
        <v>#N/A</v>
      </c>
      <c r="S28" s="299" t="e">
        <f>VLOOKUP($AN28,'Group Model'!$1:$1048576,MATCH("FY"&amp;RIGHT(S$1,2)&amp;LEFT(S$2,1),'Group Model'!$1:$1,0),FALSE)</f>
        <v>#N/A</v>
      </c>
      <c r="T28" s="299" t="e">
        <f>VLOOKUP($AN28,'Group Model'!$1:$1048576,MATCH("FY"&amp;RIGHT(T$1,2)&amp;LEFT(T$2,1),'Group Model'!$1:$1,0),FALSE)</f>
        <v>#N/A</v>
      </c>
      <c r="U28" s="299"/>
      <c r="V28" s="299">
        <f>VLOOKUP($AN28,'Group Model'!$1:$1048576,MATCH("1H"&amp;MID(V$1,3,2)&amp;LEFT(V$2,1),'Group Model'!$1:$1,0),FALSE)</f>
        <v>-320</v>
      </c>
      <c r="W28" s="299">
        <f>VLOOKUP($AN28,'Group Model'!$1:$1048576,MATCH("1H"&amp;MID(W$1,3,2)&amp;LEFT(W$2,1),'Group Model'!$1:$1,0),FALSE)</f>
        <v>-320</v>
      </c>
      <c r="X28" s="299">
        <f>VLOOKUP($AN28,'Group Model'!$1:$1048576,MATCH("1H"&amp;MID(X$1,3,2)&amp;LEFT(X$2,1),'Group Model'!$1:$1,0),FALSE)</f>
        <v>-379</v>
      </c>
      <c r="Y28" s="299">
        <f>VLOOKUP($AN28,'Group Model'!$1:$1048576,MATCH("1H"&amp;MID(Y$1,3,2)&amp;LEFT(Y$2,1),'Group Model'!$1:$1,0),FALSE)</f>
        <v>-379</v>
      </c>
      <c r="Z28" s="299">
        <f>VLOOKUP($AN28,'Group Model'!$1:$1048576,MATCH("1H"&amp;MID(Z$1,3,2)&amp;LEFT(Z$2,1),'Group Model'!$1:$1,0),FALSE)</f>
        <v>-387</v>
      </c>
      <c r="AA28" s="299">
        <f>VLOOKUP($AN28,'Group Model'!$1:$1048576,MATCH("1H"&amp;MID(AA$1,3,2)&amp;LEFT(AA$2,1),'Group Model'!$1:$1,0),FALSE)</f>
        <v>-387</v>
      </c>
      <c r="AB28" s="299">
        <f>VLOOKUP($AN28,'Group Model'!$1:$1048576,MATCH("1H"&amp;MID(AB$1,3,2)&amp;LEFT(AB$2,1),'Group Model'!$1:$1,0),FALSE)</f>
        <v>-444</v>
      </c>
      <c r="AC28" s="299">
        <f>VLOOKUP($AN28,'Group Model'!$1:$1048576,MATCH("1H"&amp;MID(AC$1,3,2)&amp;LEFT(AC$2,1),'Group Model'!$1:$1,0),FALSE)</f>
        <v>-444</v>
      </c>
      <c r="AD28" s="299">
        <f>VLOOKUP($AN28,'Group Model'!$1:$1048576,MATCH("1H"&amp;MID(AD$1,3,2)&amp;LEFT(AD$2,1),'Group Model'!$1:$1,0),FALSE)</f>
        <v>-418</v>
      </c>
      <c r="AE28" s="299">
        <f>VLOOKUP($AN28,'Group Model'!$1:$1048576,MATCH("1H"&amp;MID(AE$1,3,2)&amp;LEFT(AE$2,1),'Group Model'!$1:$1,0),FALSE)</f>
        <v>-418</v>
      </c>
      <c r="AF28" s="299">
        <f>VLOOKUP($AN28,'Group Model'!$1:$1048576,MATCH("1H"&amp;MID(AF$1,3,2)&amp;LEFT(AF$2,1),'Group Model'!$1:$1,0),FALSE)</f>
        <v>-422</v>
      </c>
      <c r="AG28" s="299" t="e">
        <f>VLOOKUP($AN28,'Group Model'!$1:$1048576,MATCH("2H"&amp;MID(AG$1,3,2)&amp;LEFT(AG$2,1),'Group Model'!$1:$1,0),FALSE)</f>
        <v>#N/A</v>
      </c>
      <c r="AH28" s="299" t="e">
        <f>VLOOKUP($AN28,'Group Model'!$1:$1048576,MATCH("1H"&amp;MID(AH$1,3,2)&amp;LEFT(AH$2,1),'Group Model'!$1:$1,0),FALSE)</f>
        <v>#N/A</v>
      </c>
      <c r="AI28" s="299" t="e">
        <f>VLOOKUP($AN28,'Group Model'!$1:$1048576,MATCH("2H"&amp;MID(AI$1,3,2)&amp;LEFT(AI$2,1),'Group Model'!$1:$1,0),FALSE)</f>
        <v>#N/A</v>
      </c>
      <c r="AL28" s="298">
        <f>ROW()</f>
        <v>28</v>
      </c>
      <c r="AN28" s="298" t="str">
        <f>'Group Model'!A75</f>
        <v>OE_B&amp;C</v>
      </c>
    </row>
    <row r="29" spans="2:42" outlineLevel="2">
      <c r="B29" t="s">
        <v>1584</v>
      </c>
      <c r="C29" t="s">
        <v>1585</v>
      </c>
      <c r="D29" t="str">
        <f t="shared" si="0"/>
        <v>AUD</v>
      </c>
      <c r="F29" s="299"/>
      <c r="G29" s="299"/>
      <c r="H29" s="299"/>
      <c r="I29" s="299"/>
      <c r="J29" s="299"/>
      <c r="K29" s="299"/>
      <c r="L29" s="299"/>
      <c r="M29" s="299"/>
      <c r="N29" s="299"/>
      <c r="O29" s="299"/>
      <c r="P29" s="299"/>
      <c r="Q29" s="299"/>
      <c r="R29" s="299"/>
      <c r="S29" s="299"/>
      <c r="T29" s="299"/>
      <c r="U29" s="299"/>
      <c r="V29" s="299"/>
      <c r="W29" s="299"/>
      <c r="X29" s="299"/>
      <c r="Y29" s="299"/>
      <c r="Z29" s="299"/>
      <c r="AA29" s="299"/>
      <c r="AB29" s="299"/>
      <c r="AC29" s="299"/>
      <c r="AD29" s="299"/>
      <c r="AE29" s="299"/>
      <c r="AF29" s="299"/>
      <c r="AG29" s="299"/>
      <c r="AH29" s="299"/>
      <c r="AI29" s="299"/>
      <c r="AL29" s="298">
        <f>ROW()</f>
        <v>29</v>
      </c>
    </row>
    <row r="30" spans="2:42" outlineLevel="2">
      <c r="B30" t="s">
        <v>1586</v>
      </c>
      <c r="C30" t="s">
        <v>1587</v>
      </c>
      <c r="D30" t="str">
        <f t="shared" si="0"/>
        <v>AUD</v>
      </c>
      <c r="F30" s="299"/>
      <c r="G30" s="299"/>
      <c r="H30" s="299"/>
      <c r="I30" s="299"/>
      <c r="J30" s="299"/>
      <c r="K30" s="299"/>
      <c r="L30" s="299"/>
      <c r="M30" s="299"/>
      <c r="N30" s="299"/>
      <c r="O30" s="299"/>
      <c r="P30" s="299"/>
      <c r="Q30" s="299"/>
      <c r="R30" s="299"/>
      <c r="S30" s="299"/>
      <c r="T30" s="299"/>
      <c r="U30" s="299"/>
      <c r="V30" s="299"/>
      <c r="W30" s="299"/>
      <c r="X30" s="299"/>
      <c r="Y30" s="299"/>
      <c r="Z30" s="299"/>
      <c r="AA30" s="299"/>
      <c r="AB30" s="299"/>
      <c r="AC30" s="299"/>
      <c r="AD30" s="299"/>
      <c r="AE30" s="299"/>
      <c r="AF30" s="299"/>
      <c r="AG30" s="299"/>
      <c r="AH30" s="299"/>
      <c r="AI30" s="299"/>
      <c r="AL30" s="298">
        <f>ROW()</f>
        <v>30</v>
      </c>
    </row>
    <row r="31" spans="2:42" outlineLevel="2">
      <c r="B31" t="s">
        <v>1588</v>
      </c>
      <c r="C31" t="s">
        <v>1589</v>
      </c>
      <c r="D31" t="str">
        <f t="shared" si="0"/>
        <v>AUD</v>
      </c>
      <c r="F31" s="299"/>
      <c r="G31" s="299"/>
      <c r="H31" s="299"/>
      <c r="I31" s="299"/>
      <c r="J31" s="299"/>
      <c r="K31" s="299"/>
      <c r="L31" s="299"/>
      <c r="M31" s="299"/>
      <c r="N31" s="299"/>
      <c r="O31" s="299"/>
      <c r="P31" s="299"/>
      <c r="Q31" s="299"/>
      <c r="R31" s="299"/>
      <c r="S31" s="299"/>
      <c r="T31" s="299"/>
      <c r="U31" s="299"/>
      <c r="V31" s="299"/>
      <c r="W31" s="299"/>
      <c r="X31" s="299"/>
      <c r="Y31" s="299"/>
      <c r="Z31" s="299"/>
      <c r="AA31" s="299"/>
      <c r="AB31" s="299"/>
      <c r="AC31" s="299"/>
      <c r="AD31" s="299"/>
      <c r="AE31" s="299"/>
      <c r="AF31" s="299"/>
      <c r="AG31" s="299"/>
      <c r="AH31" s="299"/>
      <c r="AI31" s="299"/>
      <c r="AL31" s="298">
        <f>ROW()</f>
        <v>31</v>
      </c>
    </row>
    <row r="32" spans="2:42" outlineLevel="2">
      <c r="B32" t="s">
        <v>774</v>
      </c>
      <c r="C32" t="s">
        <v>775</v>
      </c>
      <c r="D32" t="str">
        <f t="shared" si="0"/>
        <v>AUD</v>
      </c>
      <c r="F32" s="299">
        <f>VLOOKUP($AN32,'Group Model'!$1:$1048576,MATCH("FY"&amp;RIGHT(F$1,2)&amp;LEFT(F$2,1),'Group Model'!$1:$1,0),FALSE)</f>
        <v>-60</v>
      </c>
      <c r="G32" s="299">
        <f>VLOOKUP($AN32,'Group Model'!$1:$1048576,MATCH("FY"&amp;RIGHT(G$1,2)&amp;LEFT(G$2,1),'Group Model'!$1:$1,0),FALSE)</f>
        <v>-81</v>
      </c>
      <c r="H32" s="299">
        <f>VLOOKUP($AN32,'Group Model'!$1:$1048576,MATCH("FY"&amp;RIGHT(H$1,2)&amp;LEFT(H$2,1),'Group Model'!$1:$1,0),FALSE)</f>
        <v>-120</v>
      </c>
      <c r="I32" s="299">
        <f>VLOOKUP($AN32,'Group Model'!$1:$1048576,MATCH("FY"&amp;RIGHT(I$1,2)&amp;LEFT(I$2,1),'Group Model'!$1:$1,0),FALSE)</f>
        <v>-159</v>
      </c>
      <c r="J32" s="299">
        <f>VLOOKUP($AN32,'Group Model'!$1:$1048576,MATCH("FY"&amp;RIGHT(J$1,2)&amp;LEFT(J$2,1),'Group Model'!$1:$1,0),FALSE)</f>
        <v>-181</v>
      </c>
      <c r="K32" s="299">
        <f>VLOOKUP($AN32,'Group Model'!$1:$1048576,MATCH("FY"&amp;RIGHT(K$1,2)&amp;LEFT(K$2,1),'Group Model'!$1:$1,0),FALSE)</f>
        <v>-174</v>
      </c>
      <c r="L32" s="299">
        <f>VLOOKUP($AN32,'Group Model'!$1:$1048576,MATCH("FY"&amp;RIGHT(L$1,2)&amp;LEFT(L$2,1),'Group Model'!$1:$1,0),FALSE)</f>
        <v>-168</v>
      </c>
      <c r="M32" s="299">
        <f>VLOOKUP($AN32,'Group Model'!$1:$1048576,MATCH("FY"&amp;RIGHT(M$1,2)&amp;LEFT(M$2,1),'Group Model'!$1:$1,0),FALSE)</f>
        <v>-125</v>
      </c>
      <c r="N32" s="299">
        <f>VLOOKUP($AN32,'Group Model'!$1:$1048576,MATCH("FY"&amp;RIGHT(N$1,2)&amp;LEFT(N$2,1),'Group Model'!$1:$1,0),FALSE)</f>
        <v>-104</v>
      </c>
      <c r="O32" s="299">
        <f>VLOOKUP($AN32,'Group Model'!$1:$1048576,MATCH("FY"&amp;RIGHT(O$1,2)&amp;LEFT(O$2,1),'Group Model'!$1:$1,0),FALSE)</f>
        <v>-88</v>
      </c>
      <c r="P32" s="299">
        <f>VLOOKUP($AN32,'Group Model'!$1:$1048576,MATCH("FY"&amp;RIGHT(P$1,2)&amp;LEFT(P$2,1),'Group Model'!$1:$1,0),FALSE)</f>
        <v>-113</v>
      </c>
      <c r="Q32" s="299">
        <f>VLOOKUP($AN32,'Group Model'!$1:$1048576,MATCH("FY"&amp;RIGHT(Q$1,2)&amp;LEFT(Q$2,1),'Group Model'!$1:$1,0),FALSE)</f>
        <v>-116</v>
      </c>
      <c r="R32" s="299" t="e">
        <f>VLOOKUP($AN32,'Group Model'!$1:$1048576,MATCH("FY"&amp;RIGHT(R$1,2)&amp;LEFT(R$2,1),'Group Model'!$1:$1,0),FALSE)</f>
        <v>#N/A</v>
      </c>
      <c r="S32" s="299" t="e">
        <f>VLOOKUP($AN32,'Group Model'!$1:$1048576,MATCH("FY"&amp;RIGHT(S$1,2)&amp;LEFT(S$2,1),'Group Model'!$1:$1,0),FALSE)</f>
        <v>#N/A</v>
      </c>
      <c r="T32" s="299" t="e">
        <f>VLOOKUP($AN32,'Group Model'!$1:$1048576,MATCH("FY"&amp;RIGHT(T$1,2)&amp;LEFT(T$2,1),'Group Model'!$1:$1,0),FALSE)</f>
        <v>#N/A</v>
      </c>
      <c r="U32" s="299"/>
      <c r="V32" s="299">
        <f>VLOOKUP($AN32,'Group Model'!$1:$1048576,MATCH("1H"&amp;MID(V$1,3,2)&amp;LEFT(V$2,1),'Group Model'!$1:$1,0),FALSE)</f>
        <v>-67</v>
      </c>
      <c r="W32" s="299">
        <f>VLOOKUP($AN32,'Group Model'!$1:$1048576,MATCH("1H"&amp;MID(W$1,3,2)&amp;LEFT(W$2,1),'Group Model'!$1:$1,0),FALSE)</f>
        <v>-67</v>
      </c>
      <c r="X32" s="299">
        <f>VLOOKUP($AN32,'Group Model'!$1:$1048576,MATCH("1H"&amp;MID(X$1,3,2)&amp;LEFT(X$2,1),'Group Model'!$1:$1,0),FALSE)</f>
        <v>-58</v>
      </c>
      <c r="Y32" s="299">
        <f>VLOOKUP($AN32,'Group Model'!$1:$1048576,MATCH("1H"&amp;MID(Y$1,3,2)&amp;LEFT(Y$2,1),'Group Model'!$1:$1,0),FALSE)</f>
        <v>-58</v>
      </c>
      <c r="Z32" s="299">
        <f>VLOOKUP($AN32,'Group Model'!$1:$1048576,MATCH("1H"&amp;MID(Z$1,3,2)&amp;LEFT(Z$2,1),'Group Model'!$1:$1,0),FALSE)</f>
        <v>-41</v>
      </c>
      <c r="AA32" s="299">
        <f>VLOOKUP($AN32,'Group Model'!$1:$1048576,MATCH("1H"&amp;MID(AA$1,3,2)&amp;LEFT(AA$2,1),'Group Model'!$1:$1,0),FALSE)</f>
        <v>-41</v>
      </c>
      <c r="AB32" s="299">
        <f>VLOOKUP($AN32,'Group Model'!$1:$1048576,MATCH("1H"&amp;MID(AB$1,3,2)&amp;LEFT(AB$2,1),'Group Model'!$1:$1,0),FALSE)</f>
        <v>-46</v>
      </c>
      <c r="AC32" s="299">
        <f>VLOOKUP($AN32,'Group Model'!$1:$1048576,MATCH("1H"&amp;MID(AC$1,3,2)&amp;LEFT(AC$2,1),'Group Model'!$1:$1,0),FALSE)</f>
        <v>-46</v>
      </c>
      <c r="AD32" s="299">
        <f>VLOOKUP($AN32,'Group Model'!$1:$1048576,MATCH("1H"&amp;MID(AD$1,3,2)&amp;LEFT(AD$2,1),'Group Model'!$1:$1,0),FALSE)</f>
        <v>-50</v>
      </c>
      <c r="AE32" s="299">
        <f>VLOOKUP($AN32,'Group Model'!$1:$1048576,MATCH("1H"&amp;MID(AE$1,3,2)&amp;LEFT(AE$2,1),'Group Model'!$1:$1,0),FALSE)</f>
        <v>-50</v>
      </c>
      <c r="AF32" s="299">
        <f>VLOOKUP($AN32,'Group Model'!$1:$1048576,MATCH("1H"&amp;MID(AF$1,3,2)&amp;LEFT(AF$2,1),'Group Model'!$1:$1,0),FALSE)</f>
        <v>-49</v>
      </c>
      <c r="AG32" s="299" t="e">
        <f>VLOOKUP($AN32,'Group Model'!$1:$1048576,MATCH("2H"&amp;MID(AG$1,3,2)&amp;LEFT(AG$2,1),'Group Model'!$1:$1,0),FALSE)</f>
        <v>#N/A</v>
      </c>
      <c r="AH32" s="299" t="e">
        <f>VLOOKUP($AN32,'Group Model'!$1:$1048576,MATCH("1H"&amp;MID(AH$1,3,2)&amp;LEFT(AH$2,1),'Group Model'!$1:$1,0),FALSE)</f>
        <v>#N/A</v>
      </c>
      <c r="AI32" s="299" t="e">
        <f>VLOOKUP($AN32,'Group Model'!$1:$1048576,MATCH("2H"&amp;MID(AI$1,3,2)&amp;LEFT(AI$2,1),'Group Model'!$1:$1,0),FALSE)</f>
        <v>#N/A</v>
      </c>
      <c r="AL32" s="298">
        <f>ROW()</f>
        <v>32</v>
      </c>
      <c r="AN32" s="298" t="str">
        <f>'Group Model'!A546</f>
        <v>AD_ProfitabilityDepreciation</v>
      </c>
    </row>
    <row r="33" spans="1:40" outlineLevel="2">
      <c r="B33" t="s">
        <v>776</v>
      </c>
      <c r="C33" t="s">
        <v>777</v>
      </c>
      <c r="D33" t="str">
        <f t="shared" si="0"/>
        <v>AUD</v>
      </c>
      <c r="F33" s="299">
        <f>VLOOKUP($AN33,'Group Model'!$1:$1048576,MATCH("FY"&amp;RIGHT(F$1,2)&amp;LEFT(F$2,1),'Group Model'!$1:$1,0),FALSE)</f>
        <v>0</v>
      </c>
      <c r="G33" s="299">
        <f>VLOOKUP($AN33,'Group Model'!$1:$1048576,MATCH("FY"&amp;RIGHT(G$1,2)&amp;LEFT(G$2,1),'Group Model'!$1:$1,0),FALSE)</f>
        <v>0</v>
      </c>
      <c r="H33" s="299">
        <f>VLOOKUP($AN33,'Group Model'!$1:$1048576,MATCH("FY"&amp;RIGHT(H$1,2)&amp;LEFT(H$2,1),'Group Model'!$1:$1,0),FALSE)</f>
        <v>-25</v>
      </c>
      <c r="I33" s="299">
        <f>VLOOKUP($AN33,'Group Model'!$1:$1048576,MATCH("FY"&amp;RIGHT(I$1,2)&amp;LEFT(I$2,1),'Group Model'!$1:$1,0),FALSE)</f>
        <v>-35</v>
      </c>
      <c r="J33" s="299">
        <f>VLOOKUP($AN33,'Group Model'!$1:$1048576,MATCH("FY"&amp;RIGHT(J$1,2)&amp;LEFT(J$2,1),'Group Model'!$1:$1,0),FALSE)</f>
        <v>-32</v>
      </c>
      <c r="K33" s="299">
        <f>VLOOKUP($AN33,'Group Model'!$1:$1048576,MATCH("FY"&amp;RIGHT(K$1,2)&amp;LEFT(K$2,1),'Group Model'!$1:$1,0),FALSE)</f>
        <v>-74</v>
      </c>
      <c r="L33" s="299">
        <f>VLOOKUP($AN33,'Group Model'!$1:$1048576,MATCH("FY"&amp;RIGHT(L$1,2)&amp;LEFT(L$2,1),'Group Model'!$1:$1,0),FALSE)</f>
        <v>-86</v>
      </c>
      <c r="M33" s="299">
        <f>VLOOKUP($AN33,'Group Model'!$1:$1048576,MATCH("FY"&amp;RIGHT(M$1,2)&amp;LEFT(M$2,1),'Group Model'!$1:$1,0),FALSE)</f>
        <v>-62</v>
      </c>
      <c r="N33" s="299">
        <f>VLOOKUP($AN33,'Group Model'!$1:$1048576,MATCH("FY"&amp;RIGHT(N$1,2)&amp;LEFT(N$2,1),'Group Model'!$1:$1,0),FALSE)</f>
        <v>-66</v>
      </c>
      <c r="O33" s="299">
        <f>VLOOKUP($AN33,'Group Model'!$1:$1048576,MATCH("FY"&amp;RIGHT(O$1,2)&amp;LEFT(O$2,1),'Group Model'!$1:$1,0),FALSE)</f>
        <v>-95</v>
      </c>
      <c r="P33" s="299">
        <f>VLOOKUP($AN33,'Group Model'!$1:$1048576,MATCH("FY"&amp;RIGHT(P$1,2)&amp;LEFT(P$2,1),'Group Model'!$1:$1,0),FALSE)</f>
        <v>-61</v>
      </c>
      <c r="Q33" s="299">
        <f>VLOOKUP($AN33,'Group Model'!$1:$1048576,MATCH("FY"&amp;RIGHT(Q$1,2)&amp;LEFT(Q$2,1),'Group Model'!$1:$1,0),FALSE)</f>
        <v>-35</v>
      </c>
      <c r="R33" s="299" t="e">
        <f>VLOOKUP($AN33,'Group Model'!$1:$1048576,MATCH("FY"&amp;RIGHT(R$1,2)&amp;LEFT(R$2,1),'Group Model'!$1:$1,0),FALSE)</f>
        <v>#N/A</v>
      </c>
      <c r="S33" s="299" t="e">
        <f>VLOOKUP($AN33,'Group Model'!$1:$1048576,MATCH("FY"&amp;RIGHT(S$1,2)&amp;LEFT(S$2,1),'Group Model'!$1:$1,0),FALSE)</f>
        <v>#N/A</v>
      </c>
      <c r="T33" s="299" t="e">
        <f>VLOOKUP($AN33,'Group Model'!$1:$1048576,MATCH("FY"&amp;RIGHT(T$1,2)&amp;LEFT(T$2,1),'Group Model'!$1:$1,0),FALSE)</f>
        <v>#N/A</v>
      </c>
      <c r="U33" s="299"/>
      <c r="V33" s="299">
        <f>VLOOKUP($AN33,'Group Model'!$1:$1048576,MATCH("1H"&amp;MID(V$1,3,2)&amp;LEFT(V$2,1),'Group Model'!$1:$1,0),FALSE)</f>
        <v>-27</v>
      </c>
      <c r="W33" s="299">
        <f>VLOOKUP($AN33,'Group Model'!$1:$1048576,MATCH("1H"&amp;MID(W$1,3,2)&amp;LEFT(W$2,1),'Group Model'!$1:$1,0),FALSE)</f>
        <v>-27</v>
      </c>
      <c r="X33" s="299">
        <f>VLOOKUP($AN33,'Group Model'!$1:$1048576,MATCH("1H"&amp;MID(X$1,3,2)&amp;LEFT(X$2,1),'Group Model'!$1:$1,0),FALSE)</f>
        <v>-38</v>
      </c>
      <c r="Y33" s="299">
        <f>VLOOKUP($AN33,'Group Model'!$1:$1048576,MATCH("1H"&amp;MID(Y$1,3,2)&amp;LEFT(Y$2,1),'Group Model'!$1:$1,0),FALSE)</f>
        <v>-38</v>
      </c>
      <c r="Z33" s="299">
        <f>VLOOKUP($AN33,'Group Model'!$1:$1048576,MATCH("1H"&amp;MID(Z$1,3,2)&amp;LEFT(Z$2,1),'Group Model'!$1:$1,0),FALSE)</f>
        <v>-28</v>
      </c>
      <c r="AA33" s="299">
        <f>VLOOKUP($AN33,'Group Model'!$1:$1048576,MATCH("1H"&amp;MID(AA$1,3,2)&amp;LEFT(AA$2,1),'Group Model'!$1:$1,0),FALSE)</f>
        <v>-28</v>
      </c>
      <c r="AB33" s="299">
        <f>VLOOKUP($AN33,'Group Model'!$1:$1048576,MATCH("1H"&amp;MID(AB$1,3,2)&amp;LEFT(AB$2,1),'Group Model'!$1:$1,0),FALSE)</f>
        <v>-41</v>
      </c>
      <c r="AC33" s="299">
        <f>VLOOKUP($AN33,'Group Model'!$1:$1048576,MATCH("1H"&amp;MID(AC$1,3,2)&amp;LEFT(AC$2,1),'Group Model'!$1:$1,0),FALSE)</f>
        <v>-41</v>
      </c>
      <c r="AD33" s="299">
        <f>VLOOKUP($AN33,'Group Model'!$1:$1048576,MATCH("1H"&amp;MID(AD$1,3,2)&amp;LEFT(AD$2,1),'Group Model'!$1:$1,0),FALSE)</f>
        <v>-17</v>
      </c>
      <c r="AE33" s="299">
        <f>VLOOKUP($AN33,'Group Model'!$1:$1048576,MATCH("1H"&amp;MID(AE$1,3,2)&amp;LEFT(AE$2,1),'Group Model'!$1:$1,0),FALSE)</f>
        <v>-17</v>
      </c>
      <c r="AF33" s="299">
        <f>VLOOKUP($AN33,'Group Model'!$1:$1048576,MATCH("1H"&amp;MID(AF$1,3,2)&amp;LEFT(AF$2,1),'Group Model'!$1:$1,0),FALSE)</f>
        <v>-21</v>
      </c>
      <c r="AG33" s="299" t="e">
        <f>VLOOKUP($AN33,'Group Model'!$1:$1048576,MATCH("2H"&amp;MID(AG$1,3,2)&amp;LEFT(AG$2,1),'Group Model'!$1:$1,0),FALSE)</f>
        <v>#N/A</v>
      </c>
      <c r="AH33" s="299" t="e">
        <f>VLOOKUP($AN33,'Group Model'!$1:$1048576,MATCH("1H"&amp;MID(AH$1,3,2)&amp;LEFT(AH$2,1),'Group Model'!$1:$1,0),FALSE)</f>
        <v>#N/A</v>
      </c>
      <c r="AI33" s="299" t="e">
        <f>VLOOKUP($AN33,'Group Model'!$1:$1048576,MATCH("2H"&amp;MID(AI$1,3,2)&amp;LEFT(AI$2,1),'Group Model'!$1:$1,0),FALSE)</f>
        <v>#N/A</v>
      </c>
      <c r="AL33" s="298">
        <f>ROW()</f>
        <v>33</v>
      </c>
      <c r="AN33" s="298" t="str">
        <f>'Group Model'!A547</f>
        <v>AD_ProfitabilityAmortisation</v>
      </c>
    </row>
    <row r="34" spans="1:40" outlineLevel="2">
      <c r="B34" t="s">
        <v>778</v>
      </c>
      <c r="C34" t="s">
        <v>779</v>
      </c>
      <c r="D34" t="str">
        <f t="shared" si="0"/>
        <v>AUD</v>
      </c>
      <c r="F34" s="299"/>
      <c r="G34" s="299"/>
      <c r="H34" s="299"/>
      <c r="I34" s="299"/>
      <c r="J34" s="299"/>
      <c r="K34" s="299"/>
      <c r="L34" s="299"/>
      <c r="M34" s="299"/>
      <c r="N34" s="299"/>
      <c r="O34" s="299"/>
      <c r="P34" s="299"/>
      <c r="Q34" s="299"/>
      <c r="R34" s="299"/>
      <c r="S34" s="299"/>
      <c r="T34" s="299"/>
      <c r="U34" s="299"/>
      <c r="V34" s="299"/>
      <c r="W34" s="299"/>
      <c r="X34" s="299"/>
      <c r="Y34" s="299"/>
      <c r="Z34" s="299"/>
      <c r="AA34" s="299"/>
      <c r="AB34" s="299"/>
      <c r="AC34" s="299"/>
      <c r="AD34" s="299"/>
      <c r="AE34" s="299"/>
      <c r="AF34" s="299"/>
      <c r="AG34" s="299"/>
      <c r="AH34" s="299"/>
      <c r="AI34" s="299"/>
      <c r="AL34" s="298">
        <f>ROW()</f>
        <v>34</v>
      </c>
    </row>
    <row r="35" spans="1:40" outlineLevel="2">
      <c r="B35" t="s">
        <v>780</v>
      </c>
      <c r="C35" t="s">
        <v>781</v>
      </c>
      <c r="D35" t="str">
        <f t="shared" si="0"/>
        <v>AUD</v>
      </c>
      <c r="F35" s="299">
        <f>VLOOKUP($AN35,'Group Model'!$1:$1048576,MATCH("FY"&amp;RIGHT(F$1,2)&amp;LEFT(F$2,1),'Group Model'!$1:$1,0),FALSE)</f>
        <v>-36</v>
      </c>
      <c r="G35" s="299">
        <f>VLOOKUP($AN35,'Group Model'!$1:$1048576,MATCH("FY"&amp;RIGHT(G$1,2)&amp;LEFT(G$2,1),'Group Model'!$1:$1,0),FALSE)</f>
        <v>-40</v>
      </c>
      <c r="H35" s="299">
        <f>VLOOKUP($AN35,'Group Model'!$1:$1048576,MATCH("FY"&amp;RIGHT(H$1,2)&amp;LEFT(H$2,1),'Group Model'!$1:$1,0),FALSE)</f>
        <v>-108</v>
      </c>
      <c r="I35" s="299">
        <f>VLOOKUP($AN35,'Group Model'!$1:$1048576,MATCH("FY"&amp;RIGHT(I$1,2)&amp;LEFT(I$2,1),'Group Model'!$1:$1,0),FALSE)</f>
        <v>-501</v>
      </c>
      <c r="J35" s="299">
        <f>VLOOKUP($AN35,'Group Model'!$1:$1048576,MATCH("FY"&amp;RIGHT(J$1,2)&amp;LEFT(J$2,1),'Group Model'!$1:$1,0),FALSE)</f>
        <v>-216</v>
      </c>
      <c r="K35" s="299">
        <f>VLOOKUP($AN35,'Group Model'!$1:$1048576,MATCH("FY"&amp;RIGHT(K$1,2)&amp;LEFT(K$2,1),'Group Model'!$1:$1,0),FALSE)</f>
        <v>-128</v>
      </c>
      <c r="L35" s="299">
        <f>VLOOKUP($AN35,'Group Model'!$1:$1048576,MATCH("FY"&amp;RIGHT(L$1,2)&amp;LEFT(L$2,1),'Group Model'!$1:$1,0),FALSE)</f>
        <v>-179</v>
      </c>
      <c r="M35" s="299">
        <f>VLOOKUP($AN35,'Group Model'!$1:$1048576,MATCH("FY"&amp;RIGHT(M$1,2)&amp;LEFT(M$2,1),'Group Model'!$1:$1,0),FALSE)</f>
        <v>-189</v>
      </c>
      <c r="N35" s="299">
        <f>VLOOKUP($AN35,'Group Model'!$1:$1048576,MATCH("FY"&amp;RIGHT(N$1,2)&amp;LEFT(N$2,1),'Group Model'!$1:$1,0),FALSE)</f>
        <v>-236</v>
      </c>
      <c r="O35" s="299">
        <f>VLOOKUP($AN35,'Group Model'!$1:$1048576,MATCH("FY"&amp;RIGHT(O$1,2)&amp;LEFT(O$2,1),'Group Model'!$1:$1,0),FALSE)</f>
        <v>-467</v>
      </c>
      <c r="P35" s="299">
        <f>VLOOKUP($AN35,'Group Model'!$1:$1048576,MATCH("FY"&amp;RIGHT(P$1,2)&amp;LEFT(P$2,1),'Group Model'!$1:$1,0),FALSE)</f>
        <v>-574</v>
      </c>
      <c r="Q35" s="299">
        <f>VLOOKUP($AN35,'Group Model'!$1:$1048576,MATCH("FY"&amp;RIGHT(Q$1,2)&amp;LEFT(Q$2,1),'Group Model'!$1:$1,0),FALSE)</f>
        <v>-444</v>
      </c>
      <c r="R35" s="299" t="e">
        <f>VLOOKUP($AN35,'Group Model'!$1:$1048576,MATCH("FY"&amp;RIGHT(R$1,2)&amp;LEFT(R$2,1),'Group Model'!$1:$1,0),FALSE)</f>
        <v>#N/A</v>
      </c>
      <c r="S35" s="299" t="e">
        <f>VLOOKUP($AN35,'Group Model'!$1:$1048576,MATCH("FY"&amp;RIGHT(S$1,2)&amp;LEFT(S$2,1),'Group Model'!$1:$1,0),FALSE)</f>
        <v>#N/A</v>
      </c>
      <c r="T35" s="299" t="e">
        <f>VLOOKUP($AN35,'Group Model'!$1:$1048576,MATCH("FY"&amp;RIGHT(T$1,2)&amp;LEFT(T$2,1),'Group Model'!$1:$1,0),FALSE)</f>
        <v>#N/A</v>
      </c>
      <c r="U35" s="299"/>
      <c r="V35" s="299">
        <f>VLOOKUP($AN35,'Group Model'!$1:$1048576,MATCH("1H"&amp;MID(V$1,3,2)&amp;LEFT(V$2,1),'Group Model'!$1:$1,0),FALSE)</f>
        <v>-88</v>
      </c>
      <c r="W35" s="299">
        <f>VLOOKUP($AN35,'Group Model'!$1:$1048576,MATCH("1H"&amp;MID(W$1,3,2)&amp;LEFT(W$2,1),'Group Model'!$1:$1,0),FALSE)</f>
        <v>-88</v>
      </c>
      <c r="X35" s="299">
        <f>VLOOKUP($AN35,'Group Model'!$1:$1048576,MATCH("1H"&amp;MID(X$1,3,2)&amp;LEFT(X$2,1),'Group Model'!$1:$1,0),FALSE)</f>
        <v>-95</v>
      </c>
      <c r="Y35" s="299">
        <f>VLOOKUP($AN35,'Group Model'!$1:$1048576,MATCH("1H"&amp;MID(Y$1,3,2)&amp;LEFT(Y$2,1),'Group Model'!$1:$1,0),FALSE)</f>
        <v>-95</v>
      </c>
      <c r="Z35" s="299">
        <f>VLOOKUP($AN35,'Group Model'!$1:$1048576,MATCH("1H"&amp;MID(Z$1,3,2)&amp;LEFT(Z$2,1),'Group Model'!$1:$1,0),FALSE)</f>
        <v>-104</v>
      </c>
      <c r="AA35" s="299">
        <f>VLOOKUP($AN35,'Group Model'!$1:$1048576,MATCH("1H"&amp;MID(AA$1,3,2)&amp;LEFT(AA$2,1),'Group Model'!$1:$1,0),FALSE)</f>
        <v>-104</v>
      </c>
      <c r="AB35" s="299">
        <f>VLOOKUP($AN35,'Group Model'!$1:$1048576,MATCH("1H"&amp;MID(AB$1,3,2)&amp;LEFT(AB$2,1),'Group Model'!$1:$1,0),FALSE)</f>
        <v>-336</v>
      </c>
      <c r="AC35" s="299">
        <f>VLOOKUP($AN35,'Group Model'!$1:$1048576,MATCH("1H"&amp;MID(AC$1,3,2)&amp;LEFT(AC$2,1),'Group Model'!$1:$1,0),FALSE)</f>
        <v>-336</v>
      </c>
      <c r="AD35" s="299">
        <f>VLOOKUP($AN35,'Group Model'!$1:$1048576,MATCH("1H"&amp;MID(AD$1,3,2)&amp;LEFT(AD$2,1),'Group Model'!$1:$1,0),FALSE)</f>
        <v>-282</v>
      </c>
      <c r="AE35" s="299">
        <f>VLOOKUP($AN35,'Group Model'!$1:$1048576,MATCH("1H"&amp;MID(AE$1,3,2)&amp;LEFT(AE$2,1),'Group Model'!$1:$1,0),FALSE)</f>
        <v>-282</v>
      </c>
      <c r="AF35" s="299">
        <f>VLOOKUP($AN35,'Group Model'!$1:$1048576,MATCH("1H"&amp;MID(AF$1,3,2)&amp;LEFT(AF$2,1),'Group Model'!$1:$1,0),FALSE)</f>
        <v>-142</v>
      </c>
      <c r="AG35" s="299" t="e">
        <f>VLOOKUP($AN35,'Group Model'!$1:$1048576,MATCH("2H"&amp;MID(AG$1,3,2)&amp;LEFT(AG$2,1),'Group Model'!$1:$1,0),FALSE)</f>
        <v>#N/A</v>
      </c>
      <c r="AH35" s="299" t="e">
        <f>VLOOKUP($AN35,'Group Model'!$1:$1048576,MATCH("1H"&amp;MID(AH$1,3,2)&amp;LEFT(AH$2,1),'Group Model'!$1:$1,0),FALSE)</f>
        <v>#N/A</v>
      </c>
      <c r="AI35" s="299" t="e">
        <f>VLOOKUP($AN35,'Group Model'!$1:$1048576,MATCH("2H"&amp;MID(AI$1,3,2)&amp;LEFT(AI$2,1),'Group Model'!$1:$1,0),FALSE)</f>
        <v>#N/A</v>
      </c>
      <c r="AL35" s="298">
        <f>ROW()</f>
        <v>35</v>
      </c>
      <c r="AN35" s="298" t="s">
        <v>539</v>
      </c>
    </row>
    <row r="36" spans="1:40" outlineLevel="2">
      <c r="B36" t="s">
        <v>1590</v>
      </c>
      <c r="C36" t="s">
        <v>1591</v>
      </c>
      <c r="D36" t="str">
        <f t="shared" si="0"/>
        <v>AUD</v>
      </c>
      <c r="F36" s="299"/>
      <c r="G36" s="299"/>
      <c r="H36" s="299"/>
      <c r="I36" s="299"/>
      <c r="J36" s="299"/>
      <c r="K36" s="299"/>
      <c r="L36" s="299"/>
      <c r="M36" s="299"/>
      <c r="N36" s="299"/>
      <c r="O36" s="299"/>
      <c r="P36" s="299"/>
      <c r="Q36" s="299"/>
      <c r="R36" s="299"/>
      <c r="S36" s="299"/>
      <c r="T36" s="299"/>
      <c r="U36" s="299"/>
      <c r="V36" s="299"/>
      <c r="W36" s="299"/>
      <c r="X36" s="299"/>
      <c r="Y36" s="299"/>
      <c r="Z36" s="299"/>
      <c r="AA36" s="299"/>
      <c r="AB36" s="299"/>
      <c r="AC36" s="299"/>
      <c r="AD36" s="299"/>
      <c r="AE36" s="299"/>
      <c r="AF36" s="299"/>
      <c r="AG36" s="299"/>
      <c r="AH36" s="299"/>
      <c r="AI36" s="299"/>
      <c r="AL36" s="298">
        <f>ROW()</f>
        <v>36</v>
      </c>
    </row>
    <row r="37" spans="1:40" outlineLevel="2">
      <c r="B37" t="s">
        <v>1592</v>
      </c>
      <c r="C37" t="s">
        <v>1593</v>
      </c>
      <c r="D37" t="str">
        <f t="shared" si="0"/>
        <v>AUD</v>
      </c>
      <c r="F37" s="299"/>
      <c r="G37" s="299"/>
      <c r="H37" s="299"/>
      <c r="I37" s="299"/>
      <c r="J37" s="299"/>
      <c r="K37" s="299"/>
      <c r="L37" s="299"/>
      <c r="M37" s="299"/>
      <c r="N37" s="299"/>
      <c r="O37" s="299"/>
      <c r="P37" s="299"/>
      <c r="Q37" s="299"/>
      <c r="R37" s="299"/>
      <c r="S37" s="299"/>
      <c r="T37" s="299"/>
      <c r="U37" s="299"/>
      <c r="V37" s="299"/>
      <c r="W37" s="299"/>
      <c r="X37" s="299"/>
      <c r="Y37" s="299"/>
      <c r="Z37" s="299"/>
      <c r="AA37" s="299"/>
      <c r="AB37" s="299"/>
      <c r="AC37" s="299"/>
      <c r="AD37" s="299"/>
      <c r="AE37" s="299"/>
      <c r="AF37" s="299"/>
      <c r="AG37" s="299"/>
      <c r="AH37" s="299"/>
      <c r="AI37" s="299"/>
      <c r="AL37" s="298">
        <f>ROW()</f>
        <v>37</v>
      </c>
    </row>
    <row r="38" spans="1:40" outlineLevel="2">
      <c r="B38" t="s">
        <v>1594</v>
      </c>
      <c r="C38" t="s">
        <v>1595</v>
      </c>
      <c r="D38" t="str">
        <f t="shared" si="0"/>
        <v>AUD</v>
      </c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299"/>
      <c r="Y38" s="299"/>
      <c r="Z38" s="299"/>
      <c r="AA38" s="299"/>
      <c r="AB38" s="299"/>
      <c r="AC38" s="299"/>
      <c r="AD38" s="299"/>
      <c r="AE38" s="299"/>
      <c r="AF38" s="299"/>
      <c r="AG38" s="299"/>
      <c r="AH38" s="299"/>
      <c r="AI38" s="299"/>
      <c r="AL38" s="298">
        <f>ROW()</f>
        <v>38</v>
      </c>
    </row>
    <row r="39" spans="1:40" outlineLevel="2">
      <c r="B39" t="s">
        <v>782</v>
      </c>
      <c r="C39" t="s">
        <v>783</v>
      </c>
      <c r="D39" t="str">
        <f t="shared" si="0"/>
        <v>AUD</v>
      </c>
      <c r="F39" s="299">
        <f>VLOOKUP($AN39,'Group Model'!$1:$1048576,MATCH("FY"&amp;RIGHT(F$1,2)&amp;LEFT(F$2,1),'Group Model'!$1:$1,0),FALSE)</f>
        <v>1287</v>
      </c>
      <c r="G39" s="299">
        <f>VLOOKUP($AN39,'Group Model'!$1:$1048576,MATCH("FY"&amp;RIGHT(G$1,2)&amp;LEFT(G$2,1),'Group Model'!$1:$1,0),FALSE)</f>
        <v>1928</v>
      </c>
      <c r="H39" s="299">
        <f>VLOOKUP($AN39,'Group Model'!$1:$1048576,MATCH("FY"&amp;RIGHT(H$1,2)&amp;LEFT(H$2,1),'Group Model'!$1:$1,0),FALSE)</f>
        <v>2205</v>
      </c>
      <c r="I39" s="299">
        <f>VLOOKUP($AN39,'Group Model'!$1:$1048576,MATCH("FY"&amp;RIGHT(I$1,2)&amp;LEFT(I$2,1),'Group Model'!$1:$1,0),FALSE)</f>
        <v>989</v>
      </c>
      <c r="J39" s="299">
        <f>VLOOKUP($AN39,'Group Model'!$1:$1048576,MATCH("FY"&amp;RIGHT(J$1,2)&amp;LEFT(J$2,1),'Group Model'!$1:$1,0),FALSE)</f>
        <v>1294</v>
      </c>
      <c r="K39" s="299">
        <f>VLOOKUP($AN39,'Group Model'!$1:$1048576,MATCH("FY"&amp;RIGHT(K$1,2)&amp;LEFT(K$2,1),'Group Model'!$1:$1,0),FALSE)</f>
        <v>1271</v>
      </c>
      <c r="L39" s="299">
        <f>VLOOKUP($AN39,'Group Model'!$1:$1048576,MATCH("FY"&amp;RIGHT(L$1,2)&amp;LEFT(L$2,1),'Group Model'!$1:$1,0),FALSE)</f>
        <v>1049</v>
      </c>
      <c r="M39" s="299">
        <f>VLOOKUP($AN39,'Group Model'!$1:$1048576,MATCH("FY"&amp;RIGHT(M$1,2)&amp;LEFT(M$2,1),'Group Model'!$1:$1,0),FALSE)</f>
        <v>1405</v>
      </c>
      <c r="N39" s="299">
        <f>VLOOKUP($AN39,'Group Model'!$1:$1048576,MATCH("FY"&amp;RIGHT(N$1,2)&amp;LEFT(N$2,1),'Group Model'!$1:$1,0),FALSE)</f>
        <v>2106</v>
      </c>
      <c r="O39" s="299">
        <f>VLOOKUP($AN39,'Group Model'!$1:$1048576,MATCH("FY"&amp;RIGHT(O$1,2)&amp;LEFT(O$2,1),'Group Model'!$1:$1,0),FALSE)</f>
        <v>2522</v>
      </c>
      <c r="P39" s="299">
        <f>VLOOKUP($AN39,'Group Model'!$1:$1048576,MATCH("FY"&amp;RIGHT(P$1,2)&amp;LEFT(P$2,1),'Group Model'!$1:$1,0),FALSE)</f>
        <v>3015</v>
      </c>
      <c r="Q39" s="299">
        <f>VLOOKUP($AN39,'Group Model'!$1:$1048576,MATCH("FY"&amp;RIGHT(Q$1,2)&amp;LEFT(Q$2,1),'Group Model'!$1:$1,0),FALSE)</f>
        <v>3104</v>
      </c>
      <c r="R39" s="299" t="e">
        <f>VLOOKUP($AN39,'Group Model'!$1:$1048576,MATCH("FY"&amp;RIGHT(R$1,2)&amp;LEFT(R$2,1),'Group Model'!$1:$1,0),FALSE)</f>
        <v>#N/A</v>
      </c>
      <c r="S39" s="299" t="e">
        <f>VLOOKUP($AN39,'Group Model'!$1:$1048576,MATCH("FY"&amp;RIGHT(S$1,2)&amp;LEFT(S$2,1),'Group Model'!$1:$1,0),FALSE)</f>
        <v>#N/A</v>
      </c>
      <c r="T39" s="299" t="e">
        <f>VLOOKUP($AN39,'Group Model'!$1:$1048576,MATCH("FY"&amp;RIGHT(T$1,2)&amp;LEFT(T$2,1),'Group Model'!$1:$1,0),FALSE)</f>
        <v>#N/A</v>
      </c>
      <c r="U39" s="299"/>
      <c r="V39" s="299">
        <f>VLOOKUP($AN39,'Group Model'!$1:$1048576,MATCH("1H"&amp;MID(V$1,3,2)&amp;LEFT(V$2,1),'Group Model'!$1:$1,0),FALSE)</f>
        <v>517</v>
      </c>
      <c r="W39" s="299">
        <f>VLOOKUP($AN39,'Group Model'!$1:$1048576,MATCH("1H"&amp;MID(W$1,3,2)&amp;LEFT(W$2,1),'Group Model'!$1:$1,0),FALSE)</f>
        <v>517</v>
      </c>
      <c r="X39" s="299">
        <f>VLOOKUP($AN39,'Group Model'!$1:$1048576,MATCH("1H"&amp;MID(X$1,3,2)&amp;LEFT(X$2,1),'Group Model'!$1:$1,0),FALSE)</f>
        <v>810</v>
      </c>
      <c r="Y39" s="299">
        <f>VLOOKUP($AN39,'Group Model'!$1:$1048576,MATCH("1H"&amp;MID(Y$1,3,2)&amp;LEFT(Y$2,1),'Group Model'!$1:$1,0),FALSE)</f>
        <v>810</v>
      </c>
      <c r="Z39" s="299">
        <f>VLOOKUP($AN39,'Group Model'!$1:$1048576,MATCH("1H"&amp;MID(Z$1,3,2)&amp;LEFT(Z$2,1),'Group Model'!$1:$1,0),FALSE)</f>
        <v>1121</v>
      </c>
      <c r="AA39" s="299">
        <f>VLOOKUP($AN39,'Group Model'!$1:$1048576,MATCH("1H"&amp;MID(AA$1,3,2)&amp;LEFT(AA$2,1),'Group Model'!$1:$1,0),FALSE)</f>
        <v>1121</v>
      </c>
      <c r="AB39" s="299">
        <f>VLOOKUP($AN39,'Group Model'!$1:$1048576,MATCH("1H"&amp;MID(AB$1,3,2)&amp;LEFT(AB$2,1),'Group Model'!$1:$1,0),FALSE)</f>
        <v>1619</v>
      </c>
      <c r="AC39" s="299">
        <f>VLOOKUP($AN39,'Group Model'!$1:$1048576,MATCH("1H"&amp;MID(AC$1,3,2)&amp;LEFT(AC$2,1),'Group Model'!$1:$1,0),FALSE)</f>
        <v>1619</v>
      </c>
      <c r="AD39" s="299">
        <f>VLOOKUP($AN39,'Group Model'!$1:$1048576,MATCH("1H"&amp;MID(AD$1,3,2)&amp;LEFT(AD$2,1),'Group Model'!$1:$1,0),FALSE)</f>
        <v>1485</v>
      </c>
      <c r="AE39" s="299">
        <f>VLOOKUP($AN39,'Group Model'!$1:$1048576,MATCH("1H"&amp;MID(AE$1,3,2)&amp;LEFT(AE$2,1),'Group Model'!$1:$1,0),FALSE)</f>
        <v>1485</v>
      </c>
      <c r="AF39" s="299">
        <f>VLOOKUP($AN39,'Group Model'!$1:$1048576,MATCH("1H"&amp;MID(AF$1,3,2)&amp;LEFT(AF$2,1),'Group Model'!$1:$1,0),FALSE)</f>
        <v>1704</v>
      </c>
      <c r="AG39" s="299" t="e">
        <f>VLOOKUP($AN39,'Group Model'!$1:$1048576,MATCH("2H"&amp;MID(AG$1,3,2)&amp;LEFT(AG$2,1),'Group Model'!$1:$1,0),FALSE)</f>
        <v>#N/A</v>
      </c>
      <c r="AH39" s="299" t="e">
        <f>VLOOKUP($AN39,'Group Model'!$1:$1048576,MATCH("1H"&amp;MID(AH$1,3,2)&amp;LEFT(AH$2,1),'Group Model'!$1:$1,0),FALSE)</f>
        <v>#N/A</v>
      </c>
      <c r="AI39" s="299" t="e">
        <f>VLOOKUP($AN39,'Group Model'!$1:$1048576,MATCH("2H"&amp;MID(AI$1,3,2)&amp;LEFT(AI$2,1),'Group Model'!$1:$1,0),FALSE)</f>
        <v>#N/A</v>
      </c>
      <c r="AL39" s="298">
        <f>ROW()</f>
        <v>39</v>
      </c>
      <c r="AN39" s="298" t="str">
        <f>'Group Model'!A77</f>
        <v>PreTax</v>
      </c>
    </row>
    <row r="40" spans="1:40" outlineLevel="2">
      <c r="B40" t="s">
        <v>784</v>
      </c>
      <c r="C40" t="s">
        <v>785</v>
      </c>
      <c r="D40" t="str">
        <f t="shared" si="0"/>
        <v>AUD</v>
      </c>
      <c r="F40" s="299">
        <f t="shared" ref="F40:P40" si="1">F46-F45</f>
        <v>1287</v>
      </c>
      <c r="G40" s="299">
        <f t="shared" si="1"/>
        <v>1928</v>
      </c>
      <c r="H40" s="299">
        <f t="shared" si="1"/>
        <v>2205</v>
      </c>
      <c r="I40" s="299">
        <f t="shared" si="1"/>
        <v>989</v>
      </c>
      <c r="J40" s="299">
        <f t="shared" si="1"/>
        <v>1294</v>
      </c>
      <c r="K40" s="299">
        <f t="shared" si="1"/>
        <v>1271</v>
      </c>
      <c r="L40" s="299">
        <f t="shared" si="1"/>
        <v>1049</v>
      </c>
      <c r="M40" s="299">
        <f t="shared" si="1"/>
        <v>1405</v>
      </c>
      <c r="N40" s="299">
        <f t="shared" si="1"/>
        <v>2106</v>
      </c>
      <c r="O40" s="299">
        <f t="shared" si="1"/>
        <v>2522</v>
      </c>
      <c r="P40" s="299">
        <f t="shared" si="1"/>
        <v>3015</v>
      </c>
      <c r="Q40" s="299">
        <f>Q46-Q45</f>
        <v>3104</v>
      </c>
      <c r="R40" s="299" t="e">
        <f t="shared" ref="R40:AH40" si="2">R46-R45</f>
        <v>#N/A</v>
      </c>
      <c r="S40" s="299" t="e">
        <f t="shared" si="2"/>
        <v>#N/A</v>
      </c>
      <c r="T40" s="299" t="e">
        <f t="shared" si="2"/>
        <v>#N/A</v>
      </c>
      <c r="U40" s="299"/>
      <c r="V40" s="299">
        <f t="shared" si="2"/>
        <v>517</v>
      </c>
      <c r="W40" s="299">
        <f t="shared" si="2"/>
        <v>517</v>
      </c>
      <c r="X40" s="299">
        <f t="shared" si="2"/>
        <v>810</v>
      </c>
      <c r="Y40" s="299">
        <f t="shared" si="2"/>
        <v>810</v>
      </c>
      <c r="Z40" s="299">
        <f t="shared" si="2"/>
        <v>1121</v>
      </c>
      <c r="AA40" s="299">
        <f t="shared" si="2"/>
        <v>1121</v>
      </c>
      <c r="AB40" s="299">
        <f t="shared" si="2"/>
        <v>1619</v>
      </c>
      <c r="AC40" s="299">
        <f t="shared" si="2"/>
        <v>1619</v>
      </c>
      <c r="AD40" s="299">
        <f t="shared" si="2"/>
        <v>1485</v>
      </c>
      <c r="AE40" s="299">
        <f t="shared" si="2"/>
        <v>1485</v>
      </c>
      <c r="AF40" s="299">
        <f t="shared" si="2"/>
        <v>1704</v>
      </c>
      <c r="AG40" s="299" t="e">
        <f t="shared" si="2"/>
        <v>#N/A</v>
      </c>
      <c r="AH40" s="299" t="e">
        <f t="shared" si="2"/>
        <v>#N/A</v>
      </c>
      <c r="AI40" s="299" t="e">
        <f t="shared" ref="AI40" si="3">AI46-AI45</f>
        <v>#N/A</v>
      </c>
      <c r="AL40" s="298">
        <f>ROW()</f>
        <v>40</v>
      </c>
      <c r="AN40" s="417" t="s">
        <v>594</v>
      </c>
    </row>
    <row r="41" spans="1:40" outlineLevel="2">
      <c r="F41" s="299"/>
      <c r="G41" s="299"/>
      <c r="H41" s="299"/>
      <c r="I41" s="299"/>
      <c r="J41" s="299"/>
      <c r="K41" s="299"/>
      <c r="L41" s="299"/>
      <c r="M41" s="299"/>
      <c r="N41" s="299"/>
      <c r="O41" s="299"/>
      <c r="P41" s="299"/>
      <c r="Q41" s="299"/>
      <c r="R41" s="299"/>
      <c r="S41" s="299"/>
      <c r="T41" s="299"/>
      <c r="U41" s="299"/>
      <c r="V41" s="299"/>
      <c r="W41" s="299"/>
      <c r="X41" s="299"/>
      <c r="Y41" s="299"/>
      <c r="Z41" s="299"/>
      <c r="AA41" s="299"/>
      <c r="AB41" s="299"/>
      <c r="AC41" s="299"/>
      <c r="AD41" s="299"/>
      <c r="AE41" s="299"/>
      <c r="AF41" s="299"/>
      <c r="AG41" s="299"/>
      <c r="AH41" s="299"/>
      <c r="AI41" s="299"/>
      <c r="AL41" s="298">
        <f>ROW()</f>
        <v>41</v>
      </c>
      <c r="AN41" s="417"/>
    </row>
    <row r="42" spans="1:40" outlineLevel="2">
      <c r="F42" s="299"/>
      <c r="G42" s="299"/>
      <c r="H42" s="299"/>
      <c r="I42" s="299"/>
      <c r="J42" s="299"/>
      <c r="K42" s="299"/>
      <c r="L42" s="299"/>
      <c r="M42" s="299"/>
      <c r="N42" s="299"/>
      <c r="O42" s="299"/>
      <c r="P42" s="299"/>
      <c r="Q42" s="299"/>
      <c r="R42" s="299"/>
      <c r="S42" s="299"/>
      <c r="T42" s="299"/>
      <c r="U42" s="299"/>
      <c r="V42" s="299"/>
      <c r="W42" s="299"/>
      <c r="X42" s="299"/>
      <c r="Y42" s="299"/>
      <c r="Z42" s="299"/>
      <c r="AA42" s="299"/>
      <c r="AB42" s="299"/>
      <c r="AC42" s="299"/>
      <c r="AD42" s="299"/>
      <c r="AE42" s="299"/>
      <c r="AF42" s="299"/>
      <c r="AG42" s="299"/>
      <c r="AH42" s="299"/>
      <c r="AI42" s="299"/>
      <c r="AL42" s="298">
        <f>ROW()</f>
        <v>42</v>
      </c>
      <c r="AN42" s="417"/>
    </row>
    <row r="43" spans="1:40" outlineLevel="2">
      <c r="B43" t="s">
        <v>786</v>
      </c>
      <c r="C43" t="s">
        <v>787</v>
      </c>
      <c r="D43" t="str">
        <f t="shared" si="0"/>
        <v>AUD</v>
      </c>
      <c r="F43" s="299"/>
      <c r="G43" s="299"/>
      <c r="H43" s="299"/>
      <c r="I43" s="299"/>
      <c r="J43" s="299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299"/>
      <c r="AB43" s="299"/>
      <c r="AC43" s="299"/>
      <c r="AD43" s="299"/>
      <c r="AE43" s="299"/>
      <c r="AF43" s="299"/>
      <c r="AG43" s="299"/>
      <c r="AH43" s="299"/>
      <c r="AI43" s="299"/>
      <c r="AL43" s="298">
        <f>ROW()</f>
        <v>43</v>
      </c>
    </row>
    <row r="44" spans="1:40" outlineLevel="2">
      <c r="B44" t="s">
        <v>788</v>
      </c>
      <c r="C44" t="s">
        <v>789</v>
      </c>
      <c r="D44" t="str">
        <f t="shared" si="0"/>
        <v>AUD</v>
      </c>
      <c r="F44" s="299"/>
      <c r="G44" s="299"/>
      <c r="H44" s="299"/>
      <c r="I44" s="299"/>
      <c r="J44" s="299"/>
      <c r="K44" s="299"/>
      <c r="L44" s="299"/>
      <c r="M44" s="299"/>
      <c r="N44" s="299"/>
      <c r="O44" s="299"/>
      <c r="P44" s="299"/>
      <c r="Q44" s="299"/>
      <c r="R44" s="299"/>
      <c r="S44" s="299"/>
      <c r="T44" s="299"/>
      <c r="U44" s="299"/>
      <c r="V44" s="299"/>
      <c r="W44" s="299"/>
      <c r="X44" s="299"/>
      <c r="Y44" s="299"/>
      <c r="Z44" s="299"/>
      <c r="AA44" s="299"/>
      <c r="AB44" s="299"/>
      <c r="AC44" s="299"/>
      <c r="AD44" s="299"/>
      <c r="AE44" s="299"/>
      <c r="AF44" s="299"/>
      <c r="AG44" s="299"/>
      <c r="AH44" s="299"/>
      <c r="AI44" s="299"/>
      <c r="AL44" s="298">
        <f>ROW()</f>
        <v>44</v>
      </c>
    </row>
    <row r="45" spans="1:40" outlineLevel="2">
      <c r="B45" t="s">
        <v>790</v>
      </c>
      <c r="C45" t="s">
        <v>791</v>
      </c>
      <c r="D45" t="str">
        <f t="shared" si="0"/>
        <v>AUD</v>
      </c>
      <c r="F45" s="299">
        <f>VLOOKUP($AN45,'Group Model'!$1:$1048576,MATCH("FY"&amp;RIGHT(F$1,2)&amp;LEFT(F$2,1),'Group Model'!$1:$1,0),FALSE)</f>
        <v>0</v>
      </c>
      <c r="G45" s="299">
        <f>VLOOKUP($AN45,'Group Model'!$1:$1048576,MATCH("FY"&amp;RIGHT(G$1,2)&amp;LEFT(G$2,1),'Group Model'!$1:$1,0),FALSE)</f>
        <v>0</v>
      </c>
      <c r="H45" s="299">
        <f>VLOOKUP($AN45,'Group Model'!$1:$1048576,MATCH("FY"&amp;RIGHT(H$1,2)&amp;LEFT(H$2,1),'Group Model'!$1:$1,0),FALSE)</f>
        <v>0</v>
      </c>
      <c r="I45" s="299">
        <f>VLOOKUP($AN45,'Group Model'!$1:$1048576,MATCH("FY"&amp;RIGHT(I$1,2)&amp;LEFT(I$2,1),'Group Model'!$1:$1,0),FALSE)</f>
        <v>0</v>
      </c>
      <c r="J45" s="299">
        <f>VLOOKUP($AN45,'Group Model'!$1:$1048576,MATCH("FY"&amp;RIGHT(J$1,2)&amp;LEFT(J$2,1),'Group Model'!$1:$1,0),FALSE)</f>
        <v>0</v>
      </c>
      <c r="K45" s="299">
        <f>VLOOKUP($AN45,'Group Model'!$1:$1048576,MATCH("FY"&amp;RIGHT(K$1,2)&amp;LEFT(K$2,1),'Group Model'!$1:$1,0),FALSE)</f>
        <v>0</v>
      </c>
      <c r="L45" s="299">
        <f>VLOOKUP($AN45,'Group Model'!$1:$1048576,MATCH("FY"&amp;RIGHT(L$1,2)&amp;LEFT(L$2,1),'Group Model'!$1:$1,0),FALSE)</f>
        <v>0</v>
      </c>
      <c r="M45" s="299">
        <f>VLOOKUP($AN45,'Group Model'!$1:$1048576,MATCH("FY"&amp;RIGHT(M$1,2)&amp;LEFT(M$2,1),'Group Model'!$1:$1,0),FALSE)</f>
        <v>0</v>
      </c>
      <c r="N45" s="299">
        <f>VLOOKUP($AN45,'Group Model'!$1:$1048576,MATCH("FY"&amp;RIGHT(N$1,2)&amp;LEFT(N$2,1),'Group Model'!$1:$1,0),FALSE)</f>
        <v>0</v>
      </c>
      <c r="O45" s="299">
        <f>VLOOKUP($AN45,'Group Model'!$1:$1048576,MATCH("FY"&amp;RIGHT(O$1,2)&amp;LEFT(O$2,1),'Group Model'!$1:$1,0),FALSE)</f>
        <v>0</v>
      </c>
      <c r="P45" s="299">
        <f>VLOOKUP($AN45,'Group Model'!$1:$1048576,MATCH("FY"&amp;RIGHT(P$1,2)&amp;LEFT(P$2,1),'Group Model'!$1:$1,0),FALSE)</f>
        <v>0</v>
      </c>
      <c r="Q45" s="299">
        <f>VLOOKUP($AN45,'Group Model'!$1:$1048576,MATCH("FY"&amp;RIGHT(Q$1,2)&amp;LEFT(Q$2,1),'Group Model'!$1:$1,0),FALSE)</f>
        <v>0</v>
      </c>
      <c r="R45" s="299" t="e">
        <f>VLOOKUP($AN45,'Group Model'!$1:$1048576,MATCH("FY"&amp;RIGHT(R$1,2)&amp;LEFT(R$2,1),'Group Model'!$1:$1,0),FALSE)</f>
        <v>#N/A</v>
      </c>
      <c r="S45" s="299" t="e">
        <f>VLOOKUP($AN45,'Group Model'!$1:$1048576,MATCH("FY"&amp;RIGHT(S$1,2)&amp;LEFT(S$2,1),'Group Model'!$1:$1,0),FALSE)</f>
        <v>#N/A</v>
      </c>
      <c r="T45" s="299" t="e">
        <f>VLOOKUP($AN45,'Group Model'!$1:$1048576,MATCH("FY"&amp;RIGHT(T$1,2)&amp;LEFT(T$2,1),'Group Model'!$1:$1,0),FALSE)</f>
        <v>#N/A</v>
      </c>
      <c r="U45" s="299"/>
      <c r="V45" s="299">
        <f>VLOOKUP($AN45,'Group Model'!$1:$1048576,MATCH("1H"&amp;MID(V$1,3,2)&amp;LEFT(V$2,1),'Group Model'!$1:$1,0),FALSE)</f>
        <v>0</v>
      </c>
      <c r="W45" s="299">
        <f>VLOOKUP($AN45,'Group Model'!$1:$1048576,MATCH("1H"&amp;MID(W$1,3,2)&amp;LEFT(W$2,1),'Group Model'!$1:$1,0),FALSE)</f>
        <v>0</v>
      </c>
      <c r="X45" s="299">
        <f>VLOOKUP($AN45,'Group Model'!$1:$1048576,MATCH("1H"&amp;MID(X$1,3,2)&amp;LEFT(X$2,1),'Group Model'!$1:$1,0),FALSE)</f>
        <v>0</v>
      </c>
      <c r="Y45" s="299">
        <f>VLOOKUP($AN45,'Group Model'!$1:$1048576,MATCH("1H"&amp;MID(Y$1,3,2)&amp;LEFT(Y$2,1),'Group Model'!$1:$1,0),FALSE)</f>
        <v>0</v>
      </c>
      <c r="Z45" s="299">
        <f>VLOOKUP($AN45,'Group Model'!$1:$1048576,MATCH("1H"&amp;MID(Z$1,3,2)&amp;LEFT(Z$2,1),'Group Model'!$1:$1,0),FALSE)</f>
        <v>0</v>
      </c>
      <c r="AA45" s="299">
        <f>VLOOKUP($AN45,'Group Model'!$1:$1048576,MATCH("1H"&amp;MID(AA$1,3,2)&amp;LEFT(AA$2,1),'Group Model'!$1:$1,0),FALSE)</f>
        <v>0</v>
      </c>
      <c r="AB45" s="299">
        <f>VLOOKUP($AN45,'Group Model'!$1:$1048576,MATCH("1H"&amp;MID(AB$1,3,2)&amp;LEFT(AB$2,1),'Group Model'!$1:$1,0),FALSE)</f>
        <v>0</v>
      </c>
      <c r="AC45" s="299">
        <f>VLOOKUP($AN45,'Group Model'!$1:$1048576,MATCH("1H"&amp;MID(AC$1,3,2)&amp;LEFT(AC$2,1),'Group Model'!$1:$1,0),FALSE)</f>
        <v>0</v>
      </c>
      <c r="AD45" s="299">
        <f>VLOOKUP($AN45,'Group Model'!$1:$1048576,MATCH("1H"&amp;MID(AD$1,3,2)&amp;LEFT(AD$2,1),'Group Model'!$1:$1,0),FALSE)</f>
        <v>0</v>
      </c>
      <c r="AE45" s="299">
        <f>VLOOKUP($AN45,'Group Model'!$1:$1048576,MATCH("1H"&amp;MID(AE$1,3,2)&amp;LEFT(AE$2,1),'Group Model'!$1:$1,0),FALSE)</f>
        <v>0</v>
      </c>
      <c r="AF45" s="299">
        <f>VLOOKUP($AN45,'Group Model'!$1:$1048576,MATCH("1H"&amp;MID(AF$1,3,2)&amp;LEFT(AF$2,1),'Group Model'!$1:$1,0),FALSE)</f>
        <v>0</v>
      </c>
      <c r="AG45" s="299" t="e">
        <f>VLOOKUP($AN45,'Group Model'!$1:$1048576,MATCH("2H"&amp;MID(AG$1,3,2)&amp;LEFT(AG$2,1),'Group Model'!$1:$1,0),FALSE)</f>
        <v>#N/A</v>
      </c>
      <c r="AH45" s="299" t="e">
        <f>VLOOKUP($AN45,'Group Model'!$1:$1048576,MATCH("1H"&amp;MID(AH$1,3,2)&amp;LEFT(AH$2,1),'Group Model'!$1:$1,0),FALSE)</f>
        <v>#N/A</v>
      </c>
      <c r="AI45" s="299" t="e">
        <f>VLOOKUP($AN45,'Group Model'!$1:$1048576,MATCH("2H"&amp;MID(AI$1,3,2)&amp;LEFT(AI$2,1),'Group Model'!$1:$1,0),FALSE)</f>
        <v>#N/A</v>
      </c>
      <c r="AL45" s="298">
        <f>ROW()</f>
        <v>45</v>
      </c>
      <c r="AN45" s="298" t="str">
        <f>'Group Model'!A80</f>
        <v>TXandOther_Pref</v>
      </c>
    </row>
    <row r="46" spans="1:40" outlineLevel="2">
      <c r="B46" t="s">
        <v>792</v>
      </c>
      <c r="C46" t="s">
        <v>793</v>
      </c>
      <c r="D46" t="str">
        <f t="shared" si="0"/>
        <v>AUD</v>
      </c>
      <c r="F46" s="299">
        <f>VLOOKUP($AN46,'Group Model'!$1:$1048576,MATCH("FY"&amp;RIGHT(F$1,2)&amp;LEFT(F$2,1),'Group Model'!$1:$1,0),FALSE)</f>
        <v>1287</v>
      </c>
      <c r="G46" s="299">
        <f>VLOOKUP($AN46,'Group Model'!$1:$1048576,MATCH("FY"&amp;RIGHT(G$1,2)&amp;LEFT(G$2,1),'Group Model'!$1:$1,0),FALSE)</f>
        <v>1928</v>
      </c>
      <c r="H46" s="299">
        <f>VLOOKUP($AN46,'Group Model'!$1:$1048576,MATCH("FY"&amp;RIGHT(H$1,2)&amp;LEFT(H$2,1),'Group Model'!$1:$1,0),FALSE)</f>
        <v>2205</v>
      </c>
      <c r="I46" s="299">
        <f>VLOOKUP($AN46,'Group Model'!$1:$1048576,MATCH("FY"&amp;RIGHT(I$1,2)&amp;LEFT(I$2,1),'Group Model'!$1:$1,0),FALSE)</f>
        <v>989</v>
      </c>
      <c r="J46" s="299">
        <f>VLOOKUP($AN46,'Group Model'!$1:$1048576,MATCH("FY"&amp;RIGHT(J$1,2)&amp;LEFT(J$2,1),'Group Model'!$1:$1,0),FALSE)</f>
        <v>1294</v>
      </c>
      <c r="K46" s="299">
        <f>VLOOKUP($AN46,'Group Model'!$1:$1048576,MATCH("FY"&amp;RIGHT(K$1,2)&amp;LEFT(K$2,1),'Group Model'!$1:$1,0),FALSE)</f>
        <v>1271</v>
      </c>
      <c r="L46" s="299">
        <f>VLOOKUP($AN46,'Group Model'!$1:$1048576,MATCH("FY"&amp;RIGHT(L$1,2)&amp;LEFT(L$2,1),'Group Model'!$1:$1,0),FALSE)</f>
        <v>1049</v>
      </c>
      <c r="M46" s="299">
        <f>VLOOKUP($AN46,'Group Model'!$1:$1048576,MATCH("FY"&amp;RIGHT(M$1,2)&amp;LEFT(M$2,1),'Group Model'!$1:$1,0),FALSE)</f>
        <v>1405</v>
      </c>
      <c r="N46" s="299">
        <f>VLOOKUP($AN46,'Group Model'!$1:$1048576,MATCH("FY"&amp;RIGHT(N$1,2)&amp;LEFT(N$2,1),'Group Model'!$1:$1,0),FALSE)</f>
        <v>2106</v>
      </c>
      <c r="O46" s="299">
        <f>VLOOKUP($AN46,'Group Model'!$1:$1048576,MATCH("FY"&amp;RIGHT(O$1,2)&amp;LEFT(O$2,1),'Group Model'!$1:$1,0),FALSE)</f>
        <v>2522</v>
      </c>
      <c r="P46" s="299">
        <f>VLOOKUP($AN46,'Group Model'!$1:$1048576,MATCH("FY"&amp;RIGHT(P$1,2)&amp;LEFT(P$2,1),'Group Model'!$1:$1,0),FALSE)</f>
        <v>3015</v>
      </c>
      <c r="Q46" s="299">
        <f>VLOOKUP($AN46,'Group Model'!$1:$1048576,MATCH("FY"&amp;RIGHT(Q$1,2)&amp;LEFT(Q$2,1),'Group Model'!$1:$1,0),FALSE)</f>
        <v>3104</v>
      </c>
      <c r="R46" s="299" t="e">
        <f>VLOOKUP($AN46,'Group Model'!$1:$1048576,MATCH("FY"&amp;RIGHT(R$1,2)&amp;LEFT(R$2,1),'Group Model'!$1:$1,0),FALSE)</f>
        <v>#N/A</v>
      </c>
      <c r="S46" s="299" t="e">
        <f>VLOOKUP($AN46,'Group Model'!$1:$1048576,MATCH("FY"&amp;RIGHT(S$1,2)&amp;LEFT(S$2,1),'Group Model'!$1:$1,0),FALSE)</f>
        <v>#N/A</v>
      </c>
      <c r="T46" s="299" t="e">
        <f>VLOOKUP($AN46,'Group Model'!$1:$1048576,MATCH("FY"&amp;RIGHT(T$1,2)&amp;LEFT(T$2,1),'Group Model'!$1:$1,0),FALSE)</f>
        <v>#N/A</v>
      </c>
      <c r="U46" s="299"/>
      <c r="V46" s="299">
        <f>VLOOKUP($AN46,'Group Model'!$1:$1048576,MATCH("1H"&amp;MID(V$1,3,2)&amp;LEFT(V$2,1),'Group Model'!$1:$1,0),FALSE)</f>
        <v>517</v>
      </c>
      <c r="W46" s="299">
        <f>VLOOKUP($AN46,'Group Model'!$1:$1048576,MATCH("1H"&amp;MID(W$1,3,2)&amp;LEFT(W$2,1),'Group Model'!$1:$1,0),FALSE)</f>
        <v>517</v>
      </c>
      <c r="X46" s="299">
        <f>VLOOKUP($AN46,'Group Model'!$1:$1048576,MATCH("1H"&amp;MID(X$1,3,2)&amp;LEFT(X$2,1),'Group Model'!$1:$1,0),FALSE)</f>
        <v>810</v>
      </c>
      <c r="Y46" s="299">
        <f>VLOOKUP($AN46,'Group Model'!$1:$1048576,MATCH("1H"&amp;MID(Y$1,3,2)&amp;LEFT(Y$2,1),'Group Model'!$1:$1,0),FALSE)</f>
        <v>810</v>
      </c>
      <c r="Z46" s="299">
        <f>VLOOKUP($AN46,'Group Model'!$1:$1048576,MATCH("1H"&amp;MID(Z$1,3,2)&amp;LEFT(Z$2,1),'Group Model'!$1:$1,0),FALSE)</f>
        <v>1121</v>
      </c>
      <c r="AA46" s="299">
        <f>VLOOKUP($AN46,'Group Model'!$1:$1048576,MATCH("1H"&amp;MID(AA$1,3,2)&amp;LEFT(AA$2,1),'Group Model'!$1:$1,0),FALSE)</f>
        <v>1121</v>
      </c>
      <c r="AB46" s="299">
        <f>VLOOKUP($AN46,'Group Model'!$1:$1048576,MATCH("1H"&amp;MID(AB$1,3,2)&amp;LEFT(AB$2,1),'Group Model'!$1:$1,0),FALSE)</f>
        <v>1619</v>
      </c>
      <c r="AC46" s="299">
        <f>VLOOKUP($AN46,'Group Model'!$1:$1048576,MATCH("1H"&amp;MID(AC$1,3,2)&amp;LEFT(AC$2,1),'Group Model'!$1:$1,0),FALSE)</f>
        <v>1619</v>
      </c>
      <c r="AD46" s="299">
        <f>VLOOKUP($AN46,'Group Model'!$1:$1048576,MATCH("1H"&amp;MID(AD$1,3,2)&amp;LEFT(AD$2,1),'Group Model'!$1:$1,0),FALSE)</f>
        <v>1485</v>
      </c>
      <c r="AE46" s="299">
        <f>VLOOKUP($AN46,'Group Model'!$1:$1048576,MATCH("1H"&amp;MID(AE$1,3,2)&amp;LEFT(AE$2,1),'Group Model'!$1:$1,0),FALSE)</f>
        <v>1485</v>
      </c>
      <c r="AF46" s="299">
        <f>VLOOKUP($AN46,'Group Model'!$1:$1048576,MATCH("1H"&amp;MID(AF$1,3,2)&amp;LEFT(AF$2,1),'Group Model'!$1:$1,0),FALSE)</f>
        <v>1704</v>
      </c>
      <c r="AG46" s="299" t="e">
        <f>VLOOKUP($AN46,'Group Model'!$1:$1048576,MATCH("2H"&amp;MID(AG$1,3,2)&amp;LEFT(AG$2,1),'Group Model'!$1:$1,0),FALSE)</f>
        <v>#N/A</v>
      </c>
      <c r="AH46" s="299" t="e">
        <f>VLOOKUP($AN46,'Group Model'!$1:$1048576,MATCH("1H"&amp;MID(AH$1,3,2)&amp;LEFT(AH$2,1),'Group Model'!$1:$1,0),FALSE)</f>
        <v>#N/A</v>
      </c>
      <c r="AI46" s="299" t="e">
        <f>VLOOKUP($AN46,'Group Model'!$1:$1048576,MATCH("2H"&amp;MID(AI$1,3,2)&amp;LEFT(AI$2,1),'Group Model'!$1:$1,0),FALSE)</f>
        <v>#N/A</v>
      </c>
      <c r="AL46" s="298">
        <f>ROW()</f>
        <v>46</v>
      </c>
      <c r="AN46" s="298" t="str">
        <f>'Group Model'!A77</f>
        <v>PreTax</v>
      </c>
    </row>
    <row r="47" spans="1:40" s="297" customFormat="1" outlineLevel="1">
      <c r="A47" s="316" t="s">
        <v>795</v>
      </c>
      <c r="B47" s="316"/>
      <c r="C47" s="316"/>
      <c r="D47" s="316"/>
      <c r="AL47" s="298">
        <f>ROW()</f>
        <v>47</v>
      </c>
    </row>
    <row r="48" spans="1:40" outlineLevel="2">
      <c r="B48" t="s">
        <v>796</v>
      </c>
      <c r="C48" t="s">
        <v>797</v>
      </c>
      <c r="D48" t="str">
        <f>E_CURRENCY_ISSR_208008758_REP</f>
        <v>AUD</v>
      </c>
      <c r="F48" s="299"/>
      <c r="G48" s="299"/>
      <c r="H48" s="299"/>
      <c r="I48" s="299"/>
      <c r="J48" s="299"/>
      <c r="K48" s="299"/>
      <c r="L48" s="299"/>
      <c r="M48" s="299"/>
      <c r="N48" s="299"/>
      <c r="O48" s="299"/>
      <c r="P48" s="299"/>
      <c r="Q48" s="299"/>
      <c r="R48" s="299"/>
      <c r="S48" s="299"/>
      <c r="T48" s="299"/>
      <c r="U48" s="299"/>
      <c r="V48" s="299"/>
      <c r="W48" s="299"/>
      <c r="X48" s="299"/>
      <c r="Y48" s="299"/>
      <c r="Z48" s="299"/>
      <c r="AA48" s="299"/>
      <c r="AB48" s="299"/>
      <c r="AC48" s="299"/>
      <c r="AD48" s="299"/>
      <c r="AE48" s="299"/>
      <c r="AF48" s="299"/>
      <c r="AG48" s="299"/>
      <c r="AH48" s="299"/>
      <c r="AI48" s="299"/>
      <c r="AL48" s="298">
        <f>ROW()</f>
        <v>48</v>
      </c>
    </row>
    <row r="49" spans="1:38" outlineLevel="2">
      <c r="B49" t="s">
        <v>1559</v>
      </c>
      <c r="C49" t="s">
        <v>1548</v>
      </c>
      <c r="D49" t="str">
        <f>E_CURRENCY_ISSR_208008758_REP</f>
        <v>AUD</v>
      </c>
      <c r="F49" s="299"/>
      <c r="G49" s="299"/>
      <c r="H49" s="299"/>
      <c r="I49" s="299"/>
      <c r="J49" s="299"/>
      <c r="K49" s="299"/>
      <c r="L49" s="299"/>
      <c r="M49" s="299"/>
      <c r="N49" s="299"/>
      <c r="O49" s="299"/>
      <c r="P49" s="299"/>
      <c r="Q49" s="299"/>
      <c r="R49" s="299">
        <f>(6%*-'Group Model'!BH81)*(76%)</f>
        <v>-116.5992</v>
      </c>
      <c r="S49" s="299"/>
      <c r="T49" s="299"/>
      <c r="U49" s="299"/>
      <c r="V49" s="299"/>
      <c r="W49" s="299"/>
      <c r="X49" s="299"/>
      <c r="Y49" s="299"/>
      <c r="Z49" s="299"/>
      <c r="AA49" s="299"/>
      <c r="AB49" s="299"/>
      <c r="AC49" s="299"/>
      <c r="AD49" s="299"/>
      <c r="AE49" s="299"/>
      <c r="AF49" s="299"/>
      <c r="AG49" s="299"/>
      <c r="AH49" s="299"/>
      <c r="AI49" s="299"/>
      <c r="AL49" s="298">
        <f>ROW()</f>
        <v>49</v>
      </c>
    </row>
    <row r="50" spans="1:38" outlineLevel="2">
      <c r="B50" t="s">
        <v>1560</v>
      </c>
      <c r="C50" t="s">
        <v>1555</v>
      </c>
      <c r="D50" t="str">
        <f>E_CURRENCY_ISSR_208008758_REP</f>
        <v>AUD</v>
      </c>
      <c r="F50" s="299"/>
      <c r="G50" s="299"/>
      <c r="H50" s="299"/>
      <c r="I50" s="299"/>
      <c r="J50" s="299"/>
      <c r="K50" s="299"/>
      <c r="L50" s="299"/>
      <c r="M50" s="299"/>
      <c r="N50" s="299"/>
      <c r="O50" s="299"/>
      <c r="P50" s="299"/>
      <c r="Q50" s="299"/>
      <c r="R50" s="299">
        <f>(6%*-'Group Model'!BH81)*(24%)</f>
        <v>-36.820799999999998</v>
      </c>
      <c r="S50" s="299"/>
      <c r="T50" s="299"/>
      <c r="U50" s="299"/>
      <c r="V50" s="299"/>
      <c r="W50" s="299"/>
      <c r="X50" s="299"/>
      <c r="Y50" s="299"/>
      <c r="Z50" s="299"/>
      <c r="AA50" s="299"/>
      <c r="AB50" s="299"/>
      <c r="AC50" s="299"/>
      <c r="AD50" s="299"/>
      <c r="AE50" s="299"/>
      <c r="AF50" s="299"/>
      <c r="AG50" s="299"/>
      <c r="AH50" s="299"/>
      <c r="AI50" s="299"/>
      <c r="AL50" s="298">
        <f>ROW()</f>
        <v>50</v>
      </c>
    </row>
    <row r="51" spans="1:38" outlineLevel="2">
      <c r="B51" t="s">
        <v>1561</v>
      </c>
      <c r="C51" t="s">
        <v>1556</v>
      </c>
      <c r="D51" t="str">
        <f>E_CURRENCY_ISSR_208008758_REP</f>
        <v>AUD</v>
      </c>
      <c r="F51" s="299"/>
      <c r="G51" s="299"/>
      <c r="H51" s="299"/>
      <c r="I51" s="299"/>
      <c r="J51" s="299"/>
      <c r="K51" s="299"/>
      <c r="L51" s="299"/>
      <c r="M51" s="299"/>
      <c r="N51" s="299"/>
      <c r="O51" s="299"/>
      <c r="P51" s="299"/>
      <c r="Q51" s="299"/>
      <c r="R51" s="299"/>
      <c r="S51" s="299"/>
      <c r="T51" s="299"/>
      <c r="U51" s="299"/>
      <c r="V51" s="299"/>
      <c r="W51" s="299"/>
      <c r="X51" s="299"/>
      <c r="Y51" s="299"/>
      <c r="Z51" s="299"/>
      <c r="AA51" s="299"/>
      <c r="AB51" s="299"/>
      <c r="AC51" s="299"/>
      <c r="AD51" s="299"/>
      <c r="AE51" s="299"/>
      <c r="AF51" s="299"/>
      <c r="AG51" s="299"/>
      <c r="AH51" s="299"/>
      <c r="AI51" s="299"/>
      <c r="AL51" s="298">
        <f>ROW()</f>
        <v>51</v>
      </c>
    </row>
    <row r="52" spans="1:38" s="297" customFormat="1" outlineLevel="1">
      <c r="A52" s="316" t="s">
        <v>798</v>
      </c>
      <c r="B52" s="316"/>
      <c r="C52" s="316"/>
      <c r="D52" s="316"/>
      <c r="AL52" s="298">
        <f>ROW()</f>
        <v>52</v>
      </c>
    </row>
    <row r="53" spans="1:38" outlineLevel="2">
      <c r="B53" t="s">
        <v>799</v>
      </c>
      <c r="C53" t="s">
        <v>800</v>
      </c>
      <c r="D53" t="str">
        <f t="shared" ref="D53:D84" si="4">E_CURRENCY_ISSR_208008758_REP</f>
        <v>AUD</v>
      </c>
      <c r="F53" s="299"/>
      <c r="G53" s="299"/>
      <c r="H53" s="299"/>
      <c r="I53" s="299"/>
      <c r="J53" s="299"/>
      <c r="K53" s="299"/>
      <c r="L53" s="299"/>
      <c r="M53" s="299"/>
      <c r="N53" s="299"/>
      <c r="O53" s="299"/>
      <c r="P53" s="299"/>
      <c r="Q53" s="299"/>
      <c r="R53" s="299"/>
      <c r="S53" s="299"/>
      <c r="T53" s="299"/>
      <c r="U53" s="299"/>
      <c r="V53" s="299"/>
      <c r="W53" s="299"/>
      <c r="X53" s="299"/>
      <c r="Y53" s="299"/>
      <c r="Z53" s="299"/>
      <c r="AA53" s="299"/>
      <c r="AB53" s="299"/>
      <c r="AC53" s="299"/>
      <c r="AD53" s="299"/>
      <c r="AE53" s="299"/>
      <c r="AF53" s="299"/>
      <c r="AG53" s="299"/>
      <c r="AH53" s="299"/>
      <c r="AI53" s="299"/>
      <c r="AL53" s="298">
        <f>ROW()</f>
        <v>53</v>
      </c>
    </row>
    <row r="54" spans="1:38" outlineLevel="2">
      <c r="B54" t="s">
        <v>1596</v>
      </c>
      <c r="C54" t="s">
        <v>1597</v>
      </c>
      <c r="D54" t="str">
        <f t="shared" si="4"/>
        <v>AUD</v>
      </c>
      <c r="F54" s="299"/>
      <c r="G54" s="299"/>
      <c r="H54" s="299"/>
      <c r="I54" s="299"/>
      <c r="J54" s="299"/>
      <c r="K54" s="299"/>
      <c r="L54" s="299"/>
      <c r="M54" s="299"/>
      <c r="N54" s="299"/>
      <c r="O54" s="299"/>
      <c r="P54" s="299"/>
      <c r="Q54" s="299"/>
      <c r="R54" s="299"/>
      <c r="S54" s="299"/>
      <c r="T54" s="299"/>
      <c r="U54" s="299"/>
      <c r="V54" s="299"/>
      <c r="W54" s="299"/>
      <c r="X54" s="299"/>
      <c r="Y54" s="299"/>
      <c r="Z54" s="299"/>
      <c r="AA54" s="299"/>
      <c r="AB54" s="299"/>
      <c r="AC54" s="299"/>
      <c r="AD54" s="299"/>
      <c r="AE54" s="299"/>
      <c r="AF54" s="299"/>
      <c r="AG54" s="299"/>
      <c r="AH54" s="299"/>
      <c r="AI54" s="299"/>
      <c r="AL54" s="298">
        <f>ROW()</f>
        <v>54</v>
      </c>
    </row>
    <row r="55" spans="1:38" outlineLevel="2">
      <c r="B55" t="s">
        <v>1598</v>
      </c>
      <c r="C55" t="s">
        <v>1599</v>
      </c>
      <c r="D55" t="str">
        <f t="shared" si="4"/>
        <v>AUD</v>
      </c>
      <c r="F55" s="299"/>
      <c r="G55" s="299"/>
      <c r="H55" s="299"/>
      <c r="I55" s="299"/>
      <c r="J55" s="299"/>
      <c r="K55" s="299"/>
      <c r="L55" s="299"/>
      <c r="M55" s="299"/>
      <c r="N55" s="299"/>
      <c r="O55" s="299"/>
      <c r="P55" s="299"/>
      <c r="Q55" s="299"/>
      <c r="R55" s="299"/>
      <c r="S55" s="299"/>
      <c r="T55" s="299"/>
      <c r="U55" s="299"/>
      <c r="V55" s="299"/>
      <c r="W55" s="299"/>
      <c r="X55" s="299"/>
      <c r="Y55" s="299"/>
      <c r="Z55" s="299"/>
      <c r="AA55" s="299"/>
      <c r="AB55" s="299"/>
      <c r="AC55" s="299"/>
      <c r="AD55" s="299"/>
      <c r="AE55" s="299"/>
      <c r="AF55" s="299"/>
      <c r="AG55" s="299"/>
      <c r="AH55" s="299"/>
      <c r="AI55" s="299"/>
      <c r="AL55" s="298">
        <f>ROW()</f>
        <v>55</v>
      </c>
    </row>
    <row r="56" spans="1:38" outlineLevel="2">
      <c r="B56" t="s">
        <v>1600</v>
      </c>
      <c r="C56" t="s">
        <v>1601</v>
      </c>
      <c r="D56" t="str">
        <f t="shared" si="4"/>
        <v>AUD</v>
      </c>
      <c r="F56" s="299"/>
      <c r="G56" s="299"/>
      <c r="H56" s="299"/>
      <c r="I56" s="299"/>
      <c r="J56" s="299"/>
      <c r="K56" s="299"/>
      <c r="L56" s="299"/>
      <c r="M56" s="299"/>
      <c r="N56" s="299"/>
      <c r="O56" s="299"/>
      <c r="P56" s="299"/>
      <c r="Q56" s="299"/>
      <c r="R56" s="299"/>
      <c r="S56" s="299"/>
      <c r="T56" s="299"/>
      <c r="U56" s="299"/>
      <c r="V56" s="299"/>
      <c r="W56" s="299"/>
      <c r="X56" s="299"/>
      <c r="Y56" s="299"/>
      <c r="Z56" s="299"/>
      <c r="AA56" s="299"/>
      <c r="AB56" s="299"/>
      <c r="AC56" s="299"/>
      <c r="AD56" s="299"/>
      <c r="AE56" s="299"/>
      <c r="AF56" s="299"/>
      <c r="AG56" s="299"/>
      <c r="AH56" s="299"/>
      <c r="AI56" s="299"/>
      <c r="AL56" s="298">
        <f>ROW()</f>
        <v>56</v>
      </c>
    </row>
    <row r="57" spans="1:38" outlineLevel="2">
      <c r="B57" t="s">
        <v>1602</v>
      </c>
      <c r="C57" t="s">
        <v>1603</v>
      </c>
      <c r="D57" t="str">
        <f t="shared" si="4"/>
        <v>AUD</v>
      </c>
      <c r="F57" s="299"/>
      <c r="G57" s="299"/>
      <c r="H57" s="299"/>
      <c r="I57" s="299"/>
      <c r="J57" s="299"/>
      <c r="K57" s="299"/>
      <c r="L57" s="299"/>
      <c r="M57" s="299"/>
      <c r="N57" s="299"/>
      <c r="O57" s="299"/>
      <c r="P57" s="299"/>
      <c r="Q57" s="299"/>
      <c r="R57" s="299"/>
      <c r="S57" s="299"/>
      <c r="T57" s="299"/>
      <c r="U57" s="299"/>
      <c r="V57" s="299"/>
      <c r="W57" s="299"/>
      <c r="X57" s="299"/>
      <c r="Y57" s="299"/>
      <c r="Z57" s="299"/>
      <c r="AA57" s="299"/>
      <c r="AB57" s="299"/>
      <c r="AC57" s="299"/>
      <c r="AD57" s="299"/>
      <c r="AE57" s="299"/>
      <c r="AF57" s="299"/>
      <c r="AG57" s="299"/>
      <c r="AH57" s="299"/>
      <c r="AI57" s="299"/>
      <c r="AL57" s="298">
        <f>ROW()</f>
        <v>57</v>
      </c>
    </row>
    <row r="58" spans="1:38" outlineLevel="2">
      <c r="B58" t="s">
        <v>1604</v>
      </c>
      <c r="C58" t="s">
        <v>1605</v>
      </c>
      <c r="D58" t="str">
        <f t="shared" si="4"/>
        <v>AUD</v>
      </c>
      <c r="F58" s="299"/>
      <c r="G58" s="299"/>
      <c r="H58" s="299"/>
      <c r="I58" s="299"/>
      <c r="J58" s="299"/>
      <c r="K58" s="299"/>
      <c r="L58" s="299"/>
      <c r="M58" s="299"/>
      <c r="N58" s="299"/>
      <c r="O58" s="299"/>
      <c r="P58" s="299"/>
      <c r="Q58" s="299"/>
      <c r="R58" s="299"/>
      <c r="S58" s="299"/>
      <c r="T58" s="299"/>
      <c r="U58" s="299"/>
      <c r="V58" s="299"/>
      <c r="W58" s="299"/>
      <c r="X58" s="299"/>
      <c r="Y58" s="299"/>
      <c r="Z58" s="299"/>
      <c r="AA58" s="299"/>
      <c r="AB58" s="299"/>
      <c r="AC58" s="299"/>
      <c r="AD58" s="299"/>
      <c r="AE58" s="299"/>
      <c r="AF58" s="299"/>
      <c r="AG58" s="299"/>
      <c r="AH58" s="299"/>
      <c r="AI58" s="299"/>
      <c r="AL58" s="298">
        <f>ROW()</f>
        <v>58</v>
      </c>
    </row>
    <row r="59" spans="1:38" outlineLevel="2">
      <c r="B59" t="s">
        <v>1606</v>
      </c>
      <c r="C59" t="s">
        <v>1607</v>
      </c>
      <c r="D59" t="str">
        <f t="shared" si="4"/>
        <v>AUD</v>
      </c>
      <c r="F59" s="299"/>
      <c r="G59" s="299"/>
      <c r="H59" s="299"/>
      <c r="I59" s="299"/>
      <c r="J59" s="299"/>
      <c r="K59" s="299"/>
      <c r="L59" s="299"/>
      <c r="M59" s="299"/>
      <c r="N59" s="299"/>
      <c r="O59" s="299"/>
      <c r="P59" s="299"/>
      <c r="Q59" s="299"/>
      <c r="R59" s="299"/>
      <c r="S59" s="299"/>
      <c r="T59" s="299"/>
      <c r="U59" s="299"/>
      <c r="V59" s="299"/>
      <c r="W59" s="299"/>
      <c r="X59" s="299"/>
      <c r="Y59" s="299"/>
      <c r="Z59" s="299"/>
      <c r="AA59" s="299"/>
      <c r="AB59" s="299"/>
      <c r="AC59" s="299"/>
      <c r="AD59" s="299"/>
      <c r="AE59" s="299"/>
      <c r="AF59" s="299"/>
      <c r="AG59" s="299"/>
      <c r="AH59" s="299"/>
      <c r="AI59" s="299"/>
      <c r="AL59" s="298">
        <f>ROW()</f>
        <v>59</v>
      </c>
    </row>
    <row r="60" spans="1:38" outlineLevel="2">
      <c r="B60" t="s">
        <v>1608</v>
      </c>
      <c r="C60" t="s">
        <v>1609</v>
      </c>
      <c r="D60" t="str">
        <f t="shared" si="4"/>
        <v>AUD</v>
      </c>
      <c r="F60" s="299"/>
      <c r="G60" s="299"/>
      <c r="H60" s="299"/>
      <c r="I60" s="299"/>
      <c r="J60" s="299"/>
      <c r="K60" s="299"/>
      <c r="L60" s="299"/>
      <c r="M60" s="299"/>
      <c r="N60" s="299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299"/>
      <c r="AB60" s="299"/>
      <c r="AC60" s="299"/>
      <c r="AD60" s="299"/>
      <c r="AE60" s="299"/>
      <c r="AF60" s="299"/>
      <c r="AG60" s="299"/>
      <c r="AH60" s="299"/>
      <c r="AI60" s="299"/>
      <c r="AL60" s="298">
        <f>ROW()</f>
        <v>60</v>
      </c>
    </row>
    <row r="61" spans="1:38" outlineLevel="2">
      <c r="B61" t="s">
        <v>1610</v>
      </c>
      <c r="C61" t="s">
        <v>1611</v>
      </c>
      <c r="D61" t="str">
        <f t="shared" si="4"/>
        <v>AUD</v>
      </c>
      <c r="F61" s="299"/>
      <c r="G61" s="299"/>
      <c r="H61" s="299"/>
      <c r="I61" s="299"/>
      <c r="J61" s="299"/>
      <c r="K61" s="299"/>
      <c r="L61" s="299"/>
      <c r="M61" s="299"/>
      <c r="N61" s="299"/>
      <c r="O61" s="299"/>
      <c r="P61" s="299"/>
      <c r="Q61" s="299"/>
      <c r="R61" s="299"/>
      <c r="S61" s="299"/>
      <c r="T61" s="299"/>
      <c r="U61" s="299"/>
      <c r="V61" s="299"/>
      <c r="W61" s="299"/>
      <c r="X61" s="299"/>
      <c r="Y61" s="299"/>
      <c r="Z61" s="299"/>
      <c r="AA61" s="299"/>
      <c r="AB61" s="299"/>
      <c r="AC61" s="299"/>
      <c r="AD61" s="299"/>
      <c r="AE61" s="299"/>
      <c r="AF61" s="299"/>
      <c r="AG61" s="299"/>
      <c r="AH61" s="299"/>
      <c r="AI61" s="299"/>
      <c r="AL61" s="298">
        <f>ROW()</f>
        <v>61</v>
      </c>
    </row>
    <row r="62" spans="1:38" outlineLevel="2">
      <c r="B62" t="s">
        <v>1612</v>
      </c>
      <c r="C62" t="s">
        <v>1613</v>
      </c>
      <c r="D62" t="str">
        <f t="shared" si="4"/>
        <v>AUD</v>
      </c>
      <c r="F62" s="299"/>
      <c r="G62" s="299"/>
      <c r="H62" s="299"/>
      <c r="I62" s="299"/>
      <c r="J62" s="299"/>
      <c r="K62" s="299"/>
      <c r="L62" s="299"/>
      <c r="M62" s="299"/>
      <c r="N62" s="299"/>
      <c r="O62" s="299"/>
      <c r="P62" s="299"/>
      <c r="Q62" s="299"/>
      <c r="R62" s="299"/>
      <c r="S62" s="299"/>
      <c r="T62" s="299"/>
      <c r="U62" s="299"/>
      <c r="V62" s="299"/>
      <c r="W62" s="299"/>
      <c r="X62" s="299"/>
      <c r="Y62" s="299"/>
      <c r="Z62" s="299"/>
      <c r="AA62" s="299"/>
      <c r="AB62" s="299"/>
      <c r="AC62" s="299"/>
      <c r="AD62" s="299"/>
      <c r="AE62" s="299"/>
      <c r="AF62" s="299"/>
      <c r="AG62" s="299"/>
      <c r="AH62" s="299"/>
      <c r="AI62" s="299"/>
      <c r="AL62" s="298">
        <f>ROW()</f>
        <v>62</v>
      </c>
    </row>
    <row r="63" spans="1:38" outlineLevel="2">
      <c r="B63" t="s">
        <v>1614</v>
      </c>
      <c r="C63" t="s">
        <v>1615</v>
      </c>
      <c r="D63" t="str">
        <f t="shared" si="4"/>
        <v>AUD</v>
      </c>
      <c r="F63" s="299"/>
      <c r="G63" s="299"/>
      <c r="H63" s="299"/>
      <c r="I63" s="299"/>
      <c r="J63" s="299"/>
      <c r="K63" s="299"/>
      <c r="L63" s="299"/>
      <c r="M63" s="299"/>
      <c r="N63" s="299"/>
      <c r="O63" s="299"/>
      <c r="P63" s="299"/>
      <c r="Q63" s="299"/>
      <c r="R63" s="299"/>
      <c r="S63" s="299"/>
      <c r="T63" s="299"/>
      <c r="U63" s="299"/>
      <c r="V63" s="299"/>
      <c r="W63" s="299"/>
      <c r="X63" s="299"/>
      <c r="Y63" s="299"/>
      <c r="Z63" s="299"/>
      <c r="AA63" s="299"/>
      <c r="AB63" s="299"/>
      <c r="AC63" s="299"/>
      <c r="AD63" s="299"/>
      <c r="AE63" s="299"/>
      <c r="AF63" s="299"/>
      <c r="AG63" s="299"/>
      <c r="AH63" s="299"/>
      <c r="AI63" s="299"/>
      <c r="AL63" s="298">
        <f>ROW()</f>
        <v>63</v>
      </c>
    </row>
    <row r="64" spans="1:38" outlineLevel="2">
      <c r="B64" t="s">
        <v>1616</v>
      </c>
      <c r="C64" t="s">
        <v>1617</v>
      </c>
      <c r="D64" t="str">
        <f t="shared" si="4"/>
        <v>AUD</v>
      </c>
      <c r="F64" s="299"/>
      <c r="G64" s="299"/>
      <c r="H64" s="299"/>
      <c r="I64" s="299"/>
      <c r="J64" s="299"/>
      <c r="K64" s="299"/>
      <c r="L64" s="299"/>
      <c r="M64" s="299"/>
      <c r="N64" s="299"/>
      <c r="O64" s="299"/>
      <c r="P64" s="299"/>
      <c r="Q64" s="299"/>
      <c r="R64" s="299"/>
      <c r="S64" s="299"/>
      <c r="T64" s="299"/>
      <c r="U64" s="299"/>
      <c r="V64" s="299"/>
      <c r="W64" s="299"/>
      <c r="X64" s="299"/>
      <c r="Y64" s="299"/>
      <c r="Z64" s="299"/>
      <c r="AA64" s="299"/>
      <c r="AB64" s="299"/>
      <c r="AC64" s="299"/>
      <c r="AD64" s="299"/>
      <c r="AE64" s="299"/>
      <c r="AF64" s="299"/>
      <c r="AG64" s="299"/>
      <c r="AH64" s="299"/>
      <c r="AI64" s="299"/>
      <c r="AL64" s="298">
        <f>ROW()</f>
        <v>64</v>
      </c>
    </row>
    <row r="65" spans="2:40" outlineLevel="2">
      <c r="B65" t="s">
        <v>1618</v>
      </c>
      <c r="C65" t="s">
        <v>1619</v>
      </c>
      <c r="D65" t="str">
        <f t="shared" si="4"/>
        <v>AUD</v>
      </c>
      <c r="F65" s="299"/>
      <c r="G65" s="299"/>
      <c r="H65" s="299"/>
      <c r="I65" s="299"/>
      <c r="J65" s="299"/>
      <c r="K65" s="299"/>
      <c r="L65" s="299"/>
      <c r="M65" s="299"/>
      <c r="N65" s="299"/>
      <c r="O65" s="299"/>
      <c r="P65" s="299"/>
      <c r="Q65" s="299"/>
      <c r="R65" s="299"/>
      <c r="S65" s="299"/>
      <c r="T65" s="299"/>
      <c r="U65" s="299"/>
      <c r="V65" s="299"/>
      <c r="W65" s="299"/>
      <c r="X65" s="299"/>
      <c r="Y65" s="299"/>
      <c r="Z65" s="299"/>
      <c r="AA65" s="299"/>
      <c r="AB65" s="299"/>
      <c r="AC65" s="299"/>
      <c r="AD65" s="299"/>
      <c r="AE65" s="299"/>
      <c r="AF65" s="299"/>
      <c r="AG65" s="299"/>
      <c r="AH65" s="299"/>
      <c r="AI65" s="299"/>
      <c r="AL65" s="298">
        <f>ROW()</f>
        <v>65</v>
      </c>
    </row>
    <row r="66" spans="2:40" outlineLevel="2">
      <c r="B66" t="s">
        <v>1620</v>
      </c>
      <c r="C66" t="s">
        <v>1621</v>
      </c>
      <c r="D66" t="str">
        <f t="shared" si="4"/>
        <v>AUD</v>
      </c>
      <c r="F66" s="299"/>
      <c r="G66" s="299"/>
      <c r="H66" s="299"/>
      <c r="I66" s="299"/>
      <c r="J66" s="299"/>
      <c r="K66" s="299"/>
      <c r="L66" s="299"/>
      <c r="M66" s="299"/>
      <c r="N66" s="299"/>
      <c r="O66" s="299"/>
      <c r="P66" s="299"/>
      <c r="Q66" s="299"/>
      <c r="R66" s="299"/>
      <c r="S66" s="299"/>
      <c r="T66" s="299"/>
      <c r="U66" s="299"/>
      <c r="V66" s="299"/>
      <c r="W66" s="299"/>
      <c r="X66" s="299"/>
      <c r="Y66" s="299"/>
      <c r="Z66" s="299"/>
      <c r="AA66" s="299"/>
      <c r="AB66" s="299"/>
      <c r="AC66" s="299"/>
      <c r="AD66" s="299"/>
      <c r="AE66" s="299"/>
      <c r="AF66" s="299"/>
      <c r="AG66" s="299"/>
      <c r="AH66" s="299"/>
      <c r="AI66" s="299"/>
      <c r="AL66" s="298">
        <f>ROW()</f>
        <v>66</v>
      </c>
    </row>
    <row r="67" spans="2:40" outlineLevel="2">
      <c r="B67" t="s">
        <v>1622</v>
      </c>
      <c r="C67" t="s">
        <v>1623</v>
      </c>
      <c r="D67" t="str">
        <f t="shared" si="4"/>
        <v>AUD</v>
      </c>
      <c r="F67" s="299"/>
      <c r="G67" s="299"/>
      <c r="H67" s="299"/>
      <c r="I67" s="299"/>
      <c r="J67" s="299"/>
      <c r="K67" s="299"/>
      <c r="L67" s="299"/>
      <c r="M67" s="299"/>
      <c r="N67" s="299"/>
      <c r="O67" s="299"/>
      <c r="P67" s="299"/>
      <c r="Q67" s="299"/>
      <c r="R67" s="299"/>
      <c r="S67" s="299"/>
      <c r="T67" s="299"/>
      <c r="U67" s="299"/>
      <c r="V67" s="299"/>
      <c r="W67" s="299"/>
      <c r="X67" s="299"/>
      <c r="Y67" s="299"/>
      <c r="Z67" s="299"/>
      <c r="AA67" s="299"/>
      <c r="AB67" s="299"/>
      <c r="AC67" s="299"/>
      <c r="AD67" s="299"/>
      <c r="AE67" s="299"/>
      <c r="AF67" s="299"/>
      <c r="AG67" s="299"/>
      <c r="AH67" s="299"/>
      <c r="AI67" s="299"/>
      <c r="AL67" s="298">
        <f>ROW()</f>
        <v>67</v>
      </c>
    </row>
    <row r="68" spans="2:40" outlineLevel="2">
      <c r="B68" t="s">
        <v>1624</v>
      </c>
      <c r="C68" t="s">
        <v>1625</v>
      </c>
      <c r="D68" t="str">
        <f t="shared" si="4"/>
        <v>AUD</v>
      </c>
      <c r="F68" s="299"/>
      <c r="G68" s="299"/>
      <c r="H68" s="299"/>
      <c r="I68" s="299"/>
      <c r="J68" s="299"/>
      <c r="K68" s="299"/>
      <c r="L68" s="299"/>
      <c r="M68" s="299"/>
      <c r="N68" s="299"/>
      <c r="O68" s="299"/>
      <c r="P68" s="299"/>
      <c r="Q68" s="299"/>
      <c r="R68" s="299"/>
      <c r="S68" s="299"/>
      <c r="T68" s="299"/>
      <c r="U68" s="299"/>
      <c r="V68" s="299"/>
      <c r="W68" s="299"/>
      <c r="X68" s="299"/>
      <c r="Y68" s="299"/>
      <c r="Z68" s="299"/>
      <c r="AA68" s="299"/>
      <c r="AB68" s="299"/>
      <c r="AC68" s="299"/>
      <c r="AD68" s="299"/>
      <c r="AE68" s="299"/>
      <c r="AF68" s="299"/>
      <c r="AG68" s="299"/>
      <c r="AH68" s="299"/>
      <c r="AI68" s="299"/>
      <c r="AL68" s="298">
        <f>ROW()</f>
        <v>68</v>
      </c>
    </row>
    <row r="69" spans="2:40" outlineLevel="2">
      <c r="B69" t="s">
        <v>1626</v>
      </c>
      <c r="C69" t="s">
        <v>1627</v>
      </c>
      <c r="D69" t="str">
        <f t="shared" si="4"/>
        <v>AUD</v>
      </c>
      <c r="F69" s="299"/>
      <c r="G69" s="299"/>
      <c r="H69" s="299"/>
      <c r="I69" s="299"/>
      <c r="J69" s="299"/>
      <c r="K69" s="299"/>
      <c r="L69" s="299"/>
      <c r="M69" s="299"/>
      <c r="N69" s="299"/>
      <c r="O69" s="299"/>
      <c r="P69" s="299"/>
      <c r="Q69" s="299"/>
      <c r="R69" s="299"/>
      <c r="S69" s="299"/>
      <c r="T69" s="299"/>
      <c r="U69" s="299"/>
      <c r="V69" s="299"/>
      <c r="W69" s="299"/>
      <c r="X69" s="299"/>
      <c r="Y69" s="299"/>
      <c r="Z69" s="299"/>
      <c r="AA69" s="299"/>
      <c r="AB69" s="299"/>
      <c r="AC69" s="299"/>
      <c r="AD69" s="299"/>
      <c r="AE69" s="299"/>
      <c r="AF69" s="299"/>
      <c r="AG69" s="299"/>
      <c r="AH69" s="299"/>
      <c r="AI69" s="299"/>
      <c r="AL69" s="298">
        <f>ROW()</f>
        <v>69</v>
      </c>
    </row>
    <row r="70" spans="2:40" outlineLevel="2">
      <c r="B70" t="s">
        <v>1628</v>
      </c>
      <c r="C70" t="s">
        <v>1629</v>
      </c>
      <c r="D70" t="str">
        <f t="shared" si="4"/>
        <v>AUD</v>
      </c>
      <c r="F70" s="299"/>
      <c r="G70" s="299"/>
      <c r="H70" s="299"/>
      <c r="I70" s="299"/>
      <c r="J70" s="299"/>
      <c r="K70" s="299"/>
      <c r="L70" s="299"/>
      <c r="M70" s="299"/>
      <c r="N70" s="299"/>
      <c r="O70" s="299"/>
      <c r="P70" s="299"/>
      <c r="Q70" s="299"/>
      <c r="R70" s="299"/>
      <c r="S70" s="299"/>
      <c r="T70" s="299"/>
      <c r="U70" s="299"/>
      <c r="V70" s="299"/>
      <c r="W70" s="299"/>
      <c r="X70" s="299"/>
      <c r="Y70" s="299"/>
      <c r="Z70" s="299"/>
      <c r="AA70" s="299"/>
      <c r="AB70" s="299"/>
      <c r="AC70" s="299"/>
      <c r="AD70" s="299"/>
      <c r="AE70" s="299"/>
      <c r="AF70" s="299"/>
      <c r="AG70" s="299"/>
      <c r="AH70" s="299"/>
      <c r="AI70" s="299"/>
      <c r="AL70" s="298">
        <f>ROW()</f>
        <v>70</v>
      </c>
    </row>
    <row r="71" spans="2:40" outlineLevel="2">
      <c r="B71" t="s">
        <v>801</v>
      </c>
      <c r="C71" t="s">
        <v>802</v>
      </c>
      <c r="D71" t="str">
        <f t="shared" si="4"/>
        <v>AUD</v>
      </c>
      <c r="F71" s="299"/>
      <c r="G71" s="299"/>
      <c r="H71" s="299"/>
      <c r="I71" s="299"/>
      <c r="J71" s="299"/>
      <c r="K71" s="299"/>
      <c r="L71" s="299"/>
      <c r="M71" s="299"/>
      <c r="N71" s="299"/>
      <c r="O71" s="299"/>
      <c r="P71" s="299"/>
      <c r="Q71" s="299"/>
      <c r="R71" s="299"/>
      <c r="S71" s="299"/>
      <c r="T71" s="299"/>
      <c r="U71" s="299"/>
      <c r="V71" s="299"/>
      <c r="W71" s="299"/>
      <c r="X71" s="299"/>
      <c r="Y71" s="299"/>
      <c r="Z71" s="299"/>
      <c r="AA71" s="299"/>
      <c r="AB71" s="299"/>
      <c r="AC71" s="299"/>
      <c r="AD71" s="299"/>
      <c r="AE71" s="299"/>
      <c r="AF71" s="299"/>
      <c r="AG71" s="299"/>
      <c r="AH71" s="299"/>
      <c r="AI71" s="299"/>
      <c r="AL71" s="298">
        <f>ROW()</f>
        <v>71</v>
      </c>
    </row>
    <row r="72" spans="2:40" outlineLevel="2">
      <c r="B72" t="s">
        <v>803</v>
      </c>
      <c r="C72" t="s">
        <v>804</v>
      </c>
      <c r="D72" t="str">
        <f t="shared" si="4"/>
        <v>AUD</v>
      </c>
      <c r="F72" s="299">
        <f>VLOOKUP($AN72,'Group Model'!$1:$1048576,MATCH("FY"&amp;RIGHT(F$1,2)&amp;LEFT(F$2,1),'Group Model'!$1:$1,0),FALSE)</f>
        <v>150</v>
      </c>
      <c r="G72" s="299">
        <f>VLOOKUP($AN72,'Group Model'!$1:$1048576,MATCH("FY"&amp;RIGHT(G$1,2)&amp;LEFT(G$2,1),'Group Model'!$1:$1,0),FALSE)</f>
        <v>61</v>
      </c>
      <c r="H72" s="299">
        <f>VLOOKUP($AN72,'Group Model'!$1:$1048576,MATCH("FY"&amp;RIGHT(H$1,2)&amp;LEFT(H$2,1),'Group Model'!$1:$1,0),FALSE)</f>
        <v>118</v>
      </c>
      <c r="I72" s="299">
        <f>VLOOKUP($AN72,'Group Model'!$1:$1048576,MATCH("FY"&amp;RIGHT(I$1,2)&amp;LEFT(I$2,1),'Group Model'!$1:$1,0),FALSE)</f>
        <v>264</v>
      </c>
      <c r="J72" s="299">
        <f>VLOOKUP($AN72,'Group Model'!$1:$1048576,MATCH("FY"&amp;RIGHT(J$1,2)&amp;LEFT(J$2,1),'Group Model'!$1:$1,0),FALSE)</f>
        <v>689</v>
      </c>
      <c r="K72" s="299">
        <f>VLOOKUP($AN72,'Group Model'!$1:$1048576,MATCH("FY"&amp;RIGHT(K$1,2)&amp;LEFT(K$2,1),'Group Model'!$1:$1,0),FALSE)</f>
        <v>652</v>
      </c>
      <c r="L72" s="299">
        <f>VLOOKUP($AN72,'Group Model'!$1:$1048576,MATCH("FY"&amp;RIGHT(L$1,2)&amp;LEFT(L$2,1),'Group Model'!$1:$1,0),FALSE)</f>
        <v>658</v>
      </c>
      <c r="M72" s="299">
        <f>VLOOKUP($AN72,'Group Model'!$1:$1048576,MATCH("FY"&amp;RIGHT(M$1,2)&amp;LEFT(M$2,1),'Group Model'!$1:$1,0),FALSE)</f>
        <v>608</v>
      </c>
      <c r="N72" s="299">
        <f>VLOOKUP($AN72,'Group Model'!$1:$1048576,MATCH("FY"&amp;RIGHT(N$1,2)&amp;LEFT(N$2,1),'Group Model'!$1:$1,0),FALSE)</f>
        <v>467</v>
      </c>
      <c r="O72" s="299">
        <f>VLOOKUP($AN72,'Group Model'!$1:$1048576,MATCH("FY"&amp;RIGHT(O$1,2)&amp;LEFT(O$2,1),'Group Model'!$1:$1,0),FALSE)</f>
        <v>584</v>
      </c>
      <c r="P72" s="299">
        <f>VLOOKUP($AN72,'Group Model'!$1:$1048576,MATCH("FY"&amp;RIGHT(P$1,2)&amp;LEFT(P$2,1),'Group Model'!$1:$1,0),FALSE)</f>
        <v>553</v>
      </c>
      <c r="Q72" s="299">
        <f>VLOOKUP($AN72,'Group Model'!$1:$1048576,MATCH("FY"&amp;RIGHT(Q$1,2)&amp;LEFT(Q$2,1),'Group Model'!$1:$1,0),FALSE)</f>
        <v>567</v>
      </c>
      <c r="R72" s="299" t="e">
        <f>VLOOKUP($AN72,'Group Model'!$1:$1048576,MATCH("FY"&amp;RIGHT(R$1,2)&amp;LEFT(R$2,1),'Group Model'!$1:$1,0),FALSE)</f>
        <v>#N/A</v>
      </c>
      <c r="S72" s="299" t="e">
        <f>VLOOKUP($AN72,'Group Model'!$1:$1048576,MATCH("FY"&amp;RIGHT(S$1,2)&amp;LEFT(S$2,1),'Group Model'!$1:$1,0),FALSE)</f>
        <v>#N/A</v>
      </c>
      <c r="T72" s="299" t="e">
        <f>VLOOKUP($AN72,'Group Model'!$1:$1048576,MATCH("FY"&amp;RIGHT(T$1,2)&amp;LEFT(T$2,1),'Group Model'!$1:$1,0),FALSE)</f>
        <v>#N/A</v>
      </c>
      <c r="U72" s="299"/>
      <c r="V72" s="299">
        <f>VLOOKUP($AN72,'Group Model'!$1:$1048576,MATCH("1H"&amp;MID(V$1,3,2)&amp;LEFT(V$2,1),'Group Model'!$1:$1,0),FALSE)</f>
        <v>635.1</v>
      </c>
      <c r="W72" s="299">
        <f>VLOOKUP($AN72,'Group Model'!$1:$1048576,MATCH("1H"&amp;MID(W$1,3,2)&amp;LEFT(W$2,1),'Group Model'!$1:$1,0),FALSE)</f>
        <v>635.1</v>
      </c>
      <c r="X72" s="299">
        <f>VLOOKUP($AN72,'Group Model'!$1:$1048576,MATCH("1H"&amp;MID(X$1,3,2)&amp;LEFT(X$2,1),'Group Model'!$1:$1,0),FALSE)</f>
        <v>635.4</v>
      </c>
      <c r="Y72" s="299">
        <f>VLOOKUP($AN72,'Group Model'!$1:$1048576,MATCH("1H"&amp;MID(Y$1,3,2)&amp;LEFT(Y$2,1),'Group Model'!$1:$1,0),FALSE)</f>
        <v>635.4</v>
      </c>
      <c r="Z72" s="299">
        <f>VLOOKUP($AN72,'Group Model'!$1:$1048576,MATCH("1H"&amp;MID(Z$1,3,2)&amp;LEFT(Z$2,1),'Group Model'!$1:$1,0),FALSE)</f>
        <v>788</v>
      </c>
      <c r="AA72" s="299">
        <f>VLOOKUP($AN72,'Group Model'!$1:$1048576,MATCH("1H"&amp;MID(AA$1,3,2)&amp;LEFT(AA$2,1),'Group Model'!$1:$1,0),FALSE)</f>
        <v>788</v>
      </c>
      <c r="AB72" s="299">
        <f>VLOOKUP($AN72,'Group Model'!$1:$1048576,MATCH("1H"&amp;MID(AB$1,3,2)&amp;LEFT(AB$2,1),'Group Model'!$1:$1,0),FALSE)</f>
        <v>629.5</v>
      </c>
      <c r="AC72" s="299">
        <f>VLOOKUP($AN72,'Group Model'!$1:$1048576,MATCH("1H"&amp;MID(AC$1,3,2)&amp;LEFT(AC$2,1),'Group Model'!$1:$1,0),FALSE)</f>
        <v>629.5</v>
      </c>
      <c r="AD72" s="299">
        <f>VLOOKUP($AN72,'Group Model'!$1:$1048576,MATCH("1H"&amp;MID(AD$1,3,2)&amp;LEFT(AD$2,1),'Group Model'!$1:$1,0),FALSE)</f>
        <v>509.5</v>
      </c>
      <c r="AE72" s="299">
        <f>VLOOKUP($AN72,'Group Model'!$1:$1048576,MATCH("1H"&amp;MID(AE$1,3,2)&amp;LEFT(AE$2,1),'Group Model'!$1:$1,0),FALSE)</f>
        <v>509.5</v>
      </c>
      <c r="AF72" s="299">
        <f>VLOOKUP($AN72,'Group Model'!$1:$1048576,MATCH("1H"&amp;MID(AF$1,3,2)&amp;LEFT(AF$2,1),'Group Model'!$1:$1,0),FALSE)</f>
        <v>535.5</v>
      </c>
      <c r="AG72" s="299" t="e">
        <f>VLOOKUP($AN72,'Group Model'!$1:$1048576,MATCH("2H"&amp;MID(AG$1,3,2)&amp;LEFT(AG$2,1),'Group Model'!$1:$1,0),FALSE)</f>
        <v>#N/A</v>
      </c>
      <c r="AH72" s="299" t="e">
        <f>VLOOKUP($AN72,'Group Model'!$1:$1048576,MATCH("1H"&amp;MID(AH$1,3,2)&amp;LEFT(AH$2,1),'Group Model'!$1:$1,0),FALSE)</f>
        <v>#N/A</v>
      </c>
      <c r="AI72" s="299" t="e">
        <f>VLOOKUP($AN72,'Group Model'!$1:$1048576,MATCH("2H"&amp;MID(AI$1,3,2)&amp;LEFT(AI$2,1),'Group Model'!$1:$1,0),FALSE)</f>
        <v>#N/A</v>
      </c>
      <c r="AL72" s="298">
        <f>ROW()</f>
        <v>72</v>
      </c>
      <c r="AN72" s="298" t="str">
        <f>'Group Model'!A390</f>
        <v>AD_PEAssetsIntangible</v>
      </c>
    </row>
    <row r="73" spans="2:40" outlineLevel="2">
      <c r="B73" t="s">
        <v>430</v>
      </c>
      <c r="C73" t="s">
        <v>805</v>
      </c>
      <c r="D73" t="str">
        <f t="shared" si="4"/>
        <v>AUD</v>
      </c>
      <c r="F73" s="299">
        <f t="shared" ref="F73:P73" si="5">F74-F72</f>
        <v>106061</v>
      </c>
      <c r="G73" s="299">
        <f t="shared" si="5"/>
        <v>136328</v>
      </c>
      <c r="H73" s="299">
        <f t="shared" si="5"/>
        <v>167132</v>
      </c>
      <c r="I73" s="299">
        <f t="shared" si="5"/>
        <v>148880</v>
      </c>
      <c r="J73" s="299">
        <f t="shared" si="5"/>
        <v>145251</v>
      </c>
      <c r="K73" s="299">
        <f t="shared" si="5"/>
        <v>156916</v>
      </c>
      <c r="L73" s="299">
        <f t="shared" si="5"/>
        <v>152968</v>
      </c>
      <c r="M73" s="299">
        <f t="shared" si="5"/>
        <v>144140</v>
      </c>
      <c r="N73" s="299">
        <f t="shared" si="5"/>
        <v>153437</v>
      </c>
      <c r="O73" s="299">
        <f t="shared" si="5"/>
        <v>187392</v>
      </c>
      <c r="P73" s="299">
        <f t="shared" si="5"/>
        <v>196202</v>
      </c>
      <c r="Q73" s="299">
        <f>Q74-Q72</f>
        <v>182310</v>
      </c>
      <c r="R73" s="299" t="e">
        <f t="shared" ref="R73:AH73" si="6">R74-R72</f>
        <v>#N/A</v>
      </c>
      <c r="S73" s="299" t="e">
        <f t="shared" si="6"/>
        <v>#N/A</v>
      </c>
      <c r="T73" s="299" t="e">
        <f t="shared" si="6"/>
        <v>#N/A</v>
      </c>
      <c r="U73" s="299"/>
      <c r="V73" s="299">
        <f t="shared" si="6"/>
        <v>151544.9</v>
      </c>
      <c r="W73" s="299">
        <f t="shared" si="6"/>
        <v>151544.9</v>
      </c>
      <c r="X73" s="299">
        <f t="shared" si="6"/>
        <v>153964.6</v>
      </c>
      <c r="Y73" s="299">
        <f t="shared" si="6"/>
        <v>153964.6</v>
      </c>
      <c r="Z73" s="299">
        <f t="shared" si="6"/>
        <v>161544</v>
      </c>
      <c r="AA73" s="299">
        <f t="shared" si="6"/>
        <v>161544</v>
      </c>
      <c r="AB73" s="299">
        <f t="shared" si="6"/>
        <v>208460.5</v>
      </c>
      <c r="AC73" s="299">
        <f t="shared" si="6"/>
        <v>208460.5</v>
      </c>
      <c r="AD73" s="299">
        <f t="shared" si="6"/>
        <v>192583.5</v>
      </c>
      <c r="AE73" s="299">
        <f t="shared" si="6"/>
        <v>192583.5</v>
      </c>
      <c r="AF73" s="299">
        <f t="shared" si="6"/>
        <v>189224.5</v>
      </c>
      <c r="AG73" s="299" t="e">
        <f t="shared" si="6"/>
        <v>#N/A</v>
      </c>
      <c r="AH73" s="299" t="e">
        <f t="shared" si="6"/>
        <v>#N/A</v>
      </c>
      <c r="AI73" s="299" t="e">
        <f t="shared" ref="AI73" si="7">AI74-AI72</f>
        <v>#N/A</v>
      </c>
      <c r="AL73" s="298">
        <f>ROW()</f>
        <v>73</v>
      </c>
      <c r="AN73" s="416" t="s">
        <v>1762</v>
      </c>
    </row>
    <row r="74" spans="2:40" outlineLevel="2">
      <c r="B74" t="s">
        <v>174</v>
      </c>
      <c r="C74" t="s">
        <v>806</v>
      </c>
      <c r="D74" t="str">
        <f t="shared" si="4"/>
        <v>AUD</v>
      </c>
      <c r="F74" s="299">
        <f>VLOOKUP($AN74,'Group Model'!$1:$1048576,MATCH("FY"&amp;RIGHT(F$1,2)&amp;LEFT(F$2,1),'Group Model'!$1:$1,0),FALSE)</f>
        <v>106211</v>
      </c>
      <c r="G74" s="299">
        <f>VLOOKUP($AN74,'Group Model'!$1:$1048576,MATCH("FY"&amp;RIGHT(G$1,2)&amp;LEFT(G$2,1),'Group Model'!$1:$1,0),FALSE)</f>
        <v>136389</v>
      </c>
      <c r="H74" s="299">
        <f>VLOOKUP($AN74,'Group Model'!$1:$1048576,MATCH("FY"&amp;RIGHT(H$1,2)&amp;LEFT(H$2,1),'Group Model'!$1:$1,0),FALSE)</f>
        <v>167250</v>
      </c>
      <c r="I74" s="299">
        <f>VLOOKUP($AN74,'Group Model'!$1:$1048576,MATCH("FY"&amp;RIGHT(I$1,2)&amp;LEFT(I$2,1),'Group Model'!$1:$1,0),FALSE)</f>
        <v>149144</v>
      </c>
      <c r="J74" s="299">
        <f>VLOOKUP($AN74,'Group Model'!$1:$1048576,MATCH("FY"&amp;RIGHT(J$1,2)&amp;LEFT(J$2,1),'Group Model'!$1:$1,0),FALSE)</f>
        <v>145940</v>
      </c>
      <c r="K74" s="299">
        <f>VLOOKUP($AN74,'Group Model'!$1:$1048576,MATCH("FY"&amp;RIGHT(K$1,2)&amp;LEFT(K$2,1),'Group Model'!$1:$1,0),FALSE)</f>
        <v>157568</v>
      </c>
      <c r="L74" s="299">
        <f>VLOOKUP($AN74,'Group Model'!$1:$1048576,MATCH("FY"&amp;RIGHT(L$1,2)&amp;LEFT(L$2,1),'Group Model'!$1:$1,0),FALSE)</f>
        <v>153626</v>
      </c>
      <c r="M74" s="299">
        <f>VLOOKUP($AN74,'Group Model'!$1:$1048576,MATCH("FY"&amp;RIGHT(M$1,2)&amp;LEFT(M$2,1),'Group Model'!$1:$1,0),FALSE)</f>
        <v>144748</v>
      </c>
      <c r="N74" s="299">
        <f>VLOOKUP($AN74,'Group Model'!$1:$1048576,MATCH("FY"&amp;RIGHT(N$1,2)&amp;LEFT(N$2,1),'Group Model'!$1:$1,0),FALSE)</f>
        <v>153904</v>
      </c>
      <c r="O74" s="299">
        <f>VLOOKUP($AN74,'Group Model'!$1:$1048576,MATCH("FY"&amp;RIGHT(O$1,2)&amp;LEFT(O$2,1),'Group Model'!$1:$1,0),FALSE)</f>
        <v>187976</v>
      </c>
      <c r="P74" s="299">
        <f>VLOOKUP($AN74,'Group Model'!$1:$1048576,MATCH("FY"&amp;RIGHT(P$1,2)&amp;LEFT(P$2,1),'Group Model'!$1:$1,0),FALSE)</f>
        <v>196755</v>
      </c>
      <c r="Q74" s="299">
        <f>VLOOKUP($AN74,'Group Model'!$1:$1048576,MATCH("FY"&amp;RIGHT(Q$1,2)&amp;LEFT(Q$2,1),'Group Model'!$1:$1,0),FALSE)</f>
        <v>182877</v>
      </c>
      <c r="R74" s="299" t="e">
        <f>VLOOKUP($AN74,'Group Model'!$1:$1048576,MATCH("FY"&amp;RIGHT(R$1,2)&amp;LEFT(R$2,1),'Group Model'!$1:$1,0),FALSE)</f>
        <v>#N/A</v>
      </c>
      <c r="S74" s="299" t="e">
        <f>VLOOKUP($AN74,'Group Model'!$1:$1048576,MATCH("FY"&amp;RIGHT(S$1,2)&amp;LEFT(S$2,1),'Group Model'!$1:$1,0),FALSE)</f>
        <v>#N/A</v>
      </c>
      <c r="T74" s="299" t="e">
        <f>VLOOKUP($AN74,'Group Model'!$1:$1048576,MATCH("FY"&amp;RIGHT(T$1,2)&amp;LEFT(T$2,1),'Group Model'!$1:$1,0),FALSE)</f>
        <v>#N/A</v>
      </c>
      <c r="U74" s="299"/>
      <c r="V74" s="299">
        <f>VLOOKUP($AN74,'Group Model'!$1:$1048576,MATCH("1H"&amp;MID(V$1,3,2)&amp;LEFT(V$2,1),'Group Model'!$1:$1,0),FALSE)</f>
        <v>152180</v>
      </c>
      <c r="W74" s="299">
        <f>VLOOKUP($AN74,'Group Model'!$1:$1048576,MATCH("1H"&amp;MID(W$1,3,2)&amp;LEFT(W$2,1),'Group Model'!$1:$1,0),FALSE)</f>
        <v>152180</v>
      </c>
      <c r="X74" s="299">
        <f>VLOOKUP($AN74,'Group Model'!$1:$1048576,MATCH("1H"&amp;MID(X$1,3,2)&amp;LEFT(X$2,1),'Group Model'!$1:$1,0),FALSE)</f>
        <v>154600</v>
      </c>
      <c r="Y74" s="299">
        <f>VLOOKUP($AN74,'Group Model'!$1:$1048576,MATCH("1H"&amp;MID(Y$1,3,2)&amp;LEFT(Y$2,1),'Group Model'!$1:$1,0),FALSE)</f>
        <v>154600</v>
      </c>
      <c r="Z74" s="299">
        <f>VLOOKUP($AN74,'Group Model'!$1:$1048576,MATCH("1H"&amp;MID(Z$1,3,2)&amp;LEFT(Z$2,1),'Group Model'!$1:$1,0),FALSE)</f>
        <v>162332</v>
      </c>
      <c r="AA74" s="299">
        <f>VLOOKUP($AN74,'Group Model'!$1:$1048576,MATCH("1H"&amp;MID(AA$1,3,2)&amp;LEFT(AA$2,1),'Group Model'!$1:$1,0),FALSE)</f>
        <v>162332</v>
      </c>
      <c r="AB74" s="299">
        <f>VLOOKUP($AN74,'Group Model'!$1:$1048576,MATCH("1H"&amp;MID(AB$1,3,2)&amp;LEFT(AB$2,1),'Group Model'!$1:$1,0),FALSE)</f>
        <v>209090</v>
      </c>
      <c r="AC74" s="299">
        <f>VLOOKUP($AN74,'Group Model'!$1:$1048576,MATCH("1H"&amp;MID(AC$1,3,2)&amp;LEFT(AC$2,1),'Group Model'!$1:$1,0),FALSE)</f>
        <v>209090</v>
      </c>
      <c r="AD74" s="299">
        <f>VLOOKUP($AN74,'Group Model'!$1:$1048576,MATCH("1H"&amp;MID(AD$1,3,2)&amp;LEFT(AD$2,1),'Group Model'!$1:$1,0),FALSE)</f>
        <v>193093</v>
      </c>
      <c r="AE74" s="299">
        <f>VLOOKUP($AN74,'Group Model'!$1:$1048576,MATCH("1H"&amp;MID(AE$1,3,2)&amp;LEFT(AE$2,1),'Group Model'!$1:$1,0),FALSE)</f>
        <v>193093</v>
      </c>
      <c r="AF74" s="299">
        <f>VLOOKUP($AN74,'Group Model'!$1:$1048576,MATCH("1H"&amp;MID(AF$1,3,2)&amp;LEFT(AF$2,1),'Group Model'!$1:$1,0),FALSE)</f>
        <v>189760</v>
      </c>
      <c r="AG74" s="299" t="e">
        <f>VLOOKUP($AN74,'Group Model'!$1:$1048576,MATCH("2H"&amp;MID(AG$1,3,2)&amp;LEFT(AG$2,1),'Group Model'!$1:$1,0),FALSE)</f>
        <v>#N/A</v>
      </c>
      <c r="AH74" s="299" t="e">
        <f>VLOOKUP($AN74,'Group Model'!$1:$1048576,MATCH("1H"&amp;MID(AH$1,3,2)&amp;LEFT(AH$2,1),'Group Model'!$1:$1,0),FALSE)</f>
        <v>#N/A</v>
      </c>
      <c r="AI74" s="299" t="e">
        <f>VLOOKUP($AN74,'Group Model'!$1:$1048576,MATCH("2H"&amp;MID(AI$1,3,2)&amp;LEFT(AI$2,1),'Group Model'!$1:$1,0),FALSE)</f>
        <v>#N/A</v>
      </c>
      <c r="AL74" s="298">
        <f>ROW()</f>
        <v>74</v>
      </c>
      <c r="AN74" s="298" t="str">
        <f>'Group Model'!A402</f>
        <v>AD_PEAssetsTotal</v>
      </c>
    </row>
    <row r="75" spans="2:40" outlineLevel="2">
      <c r="B75" t="s">
        <v>1630</v>
      </c>
      <c r="C75" t="s">
        <v>1631</v>
      </c>
      <c r="D75" t="str">
        <f t="shared" si="4"/>
        <v>AUD</v>
      </c>
      <c r="F75" s="299"/>
      <c r="G75" s="299"/>
      <c r="H75" s="299"/>
      <c r="I75" s="299"/>
      <c r="J75" s="299"/>
      <c r="K75" s="299"/>
      <c r="L75" s="299"/>
      <c r="M75" s="299"/>
      <c r="N75" s="299"/>
      <c r="O75" s="299"/>
      <c r="P75" s="299"/>
      <c r="Q75" s="299"/>
      <c r="R75" s="299"/>
      <c r="S75" s="299"/>
      <c r="T75" s="299"/>
      <c r="U75" s="299"/>
      <c r="V75" s="299"/>
      <c r="W75" s="299"/>
      <c r="X75" s="299"/>
      <c r="Y75" s="299"/>
      <c r="Z75" s="299"/>
      <c r="AA75" s="299"/>
      <c r="AB75" s="299"/>
      <c r="AC75" s="299"/>
      <c r="AD75" s="299"/>
      <c r="AE75" s="299"/>
      <c r="AF75" s="299"/>
      <c r="AG75" s="299"/>
      <c r="AH75" s="299"/>
      <c r="AI75" s="299"/>
      <c r="AL75" s="298">
        <f>ROW()</f>
        <v>75</v>
      </c>
    </row>
    <row r="76" spans="2:40" outlineLevel="2">
      <c r="B76" t="s">
        <v>1632</v>
      </c>
      <c r="C76" t="s">
        <v>1633</v>
      </c>
      <c r="D76" t="str">
        <f t="shared" si="4"/>
        <v>AUD</v>
      </c>
      <c r="F76" s="299"/>
      <c r="G76" s="299"/>
      <c r="H76" s="299"/>
      <c r="I76" s="299"/>
      <c r="J76" s="299"/>
      <c r="K76" s="299"/>
      <c r="L76" s="299"/>
      <c r="M76" s="299"/>
      <c r="N76" s="299"/>
      <c r="O76" s="299"/>
      <c r="P76" s="299"/>
      <c r="Q76" s="299"/>
      <c r="R76" s="299"/>
      <c r="S76" s="299"/>
      <c r="T76" s="299"/>
      <c r="U76" s="299"/>
      <c r="V76" s="299"/>
      <c r="W76" s="299"/>
      <c r="X76" s="299"/>
      <c r="Y76" s="299"/>
      <c r="Z76" s="299"/>
      <c r="AA76" s="299"/>
      <c r="AB76" s="299"/>
      <c r="AC76" s="299"/>
      <c r="AD76" s="299"/>
      <c r="AE76" s="299"/>
      <c r="AF76" s="299"/>
      <c r="AG76" s="299"/>
      <c r="AH76" s="299"/>
      <c r="AI76" s="299"/>
      <c r="AL76" s="298">
        <f>ROW()</f>
        <v>76</v>
      </c>
    </row>
    <row r="77" spans="2:40" outlineLevel="2">
      <c r="B77" t="s">
        <v>1634</v>
      </c>
      <c r="C77" t="s">
        <v>1635</v>
      </c>
      <c r="D77" t="str">
        <f t="shared" si="4"/>
        <v>AUD</v>
      </c>
      <c r="F77" s="299"/>
      <c r="G77" s="299"/>
      <c r="H77" s="299"/>
      <c r="I77" s="299"/>
      <c r="J77" s="299"/>
      <c r="K77" s="299"/>
      <c r="L77" s="299"/>
      <c r="M77" s="299"/>
      <c r="N77" s="299"/>
      <c r="O77" s="299"/>
      <c r="P77" s="299"/>
      <c r="Q77" s="299"/>
      <c r="R77" s="299"/>
      <c r="S77" s="299"/>
      <c r="T77" s="299"/>
      <c r="U77" s="299"/>
      <c r="V77" s="299"/>
      <c r="W77" s="299"/>
      <c r="X77" s="299"/>
      <c r="Y77" s="299"/>
      <c r="Z77" s="299"/>
      <c r="AA77" s="299"/>
      <c r="AB77" s="299"/>
      <c r="AC77" s="299"/>
      <c r="AD77" s="299"/>
      <c r="AE77" s="299"/>
      <c r="AF77" s="299"/>
      <c r="AG77" s="299"/>
      <c r="AH77" s="299"/>
      <c r="AI77" s="299"/>
      <c r="AL77" s="298">
        <f>ROW()</f>
        <v>77</v>
      </c>
    </row>
    <row r="78" spans="2:40" outlineLevel="2">
      <c r="B78" t="s">
        <v>1636</v>
      </c>
      <c r="C78" t="s">
        <v>1637</v>
      </c>
      <c r="D78" t="str">
        <f t="shared" si="4"/>
        <v>AUD</v>
      </c>
      <c r="F78" s="299"/>
      <c r="G78" s="299"/>
      <c r="H78" s="299"/>
      <c r="I78" s="299"/>
      <c r="J78" s="299"/>
      <c r="K78" s="299"/>
      <c r="L78" s="299"/>
      <c r="M78" s="299"/>
      <c r="N78" s="299"/>
      <c r="O78" s="299"/>
      <c r="P78" s="299"/>
      <c r="Q78" s="299"/>
      <c r="R78" s="299"/>
      <c r="S78" s="299"/>
      <c r="T78" s="299"/>
      <c r="U78" s="299"/>
      <c r="V78" s="299"/>
      <c r="W78" s="299"/>
      <c r="X78" s="299"/>
      <c r="Y78" s="299"/>
      <c r="Z78" s="299"/>
      <c r="AA78" s="299"/>
      <c r="AB78" s="299"/>
      <c r="AC78" s="299"/>
      <c r="AD78" s="299"/>
      <c r="AE78" s="299"/>
      <c r="AF78" s="299"/>
      <c r="AG78" s="299"/>
      <c r="AH78" s="299"/>
      <c r="AI78" s="299"/>
      <c r="AL78" s="298">
        <f>ROW()</f>
        <v>78</v>
      </c>
    </row>
    <row r="79" spans="2:40" outlineLevel="2">
      <c r="B79" t="s">
        <v>1638</v>
      </c>
      <c r="C79" t="s">
        <v>1639</v>
      </c>
      <c r="D79" t="str">
        <f t="shared" si="4"/>
        <v>AUD</v>
      </c>
      <c r="F79" s="299"/>
      <c r="G79" s="299"/>
      <c r="H79" s="299"/>
      <c r="I79" s="299"/>
      <c r="J79" s="299"/>
      <c r="K79" s="299"/>
      <c r="L79" s="299"/>
      <c r="M79" s="299"/>
      <c r="N79" s="299"/>
      <c r="O79" s="299"/>
      <c r="P79" s="299"/>
      <c r="Q79" s="299"/>
      <c r="R79" s="299"/>
      <c r="S79" s="299"/>
      <c r="T79" s="299"/>
      <c r="U79" s="299"/>
      <c r="V79" s="299"/>
      <c r="W79" s="299"/>
      <c r="X79" s="299"/>
      <c r="Y79" s="299"/>
      <c r="Z79" s="299"/>
      <c r="AA79" s="299"/>
      <c r="AB79" s="299"/>
      <c r="AC79" s="299"/>
      <c r="AD79" s="299"/>
      <c r="AE79" s="299"/>
      <c r="AF79" s="299"/>
      <c r="AG79" s="299"/>
      <c r="AH79" s="299"/>
      <c r="AI79" s="299"/>
      <c r="AL79" s="298">
        <f>ROW()</f>
        <v>79</v>
      </c>
    </row>
    <row r="80" spans="2:40" outlineLevel="2">
      <c r="B80" t="s">
        <v>1640</v>
      </c>
      <c r="C80" t="s">
        <v>1641</v>
      </c>
      <c r="D80" t="str">
        <f t="shared" si="4"/>
        <v>AUD</v>
      </c>
      <c r="F80" s="299"/>
      <c r="G80" s="299"/>
      <c r="H80" s="299"/>
      <c r="I80" s="299"/>
      <c r="J80" s="299"/>
      <c r="K80" s="299"/>
      <c r="L80" s="299"/>
      <c r="M80" s="299"/>
      <c r="N80" s="299"/>
      <c r="O80" s="299"/>
      <c r="P80" s="299"/>
      <c r="Q80" s="299"/>
      <c r="R80" s="299"/>
      <c r="S80" s="299"/>
      <c r="T80" s="299"/>
      <c r="U80" s="299"/>
      <c r="V80" s="299"/>
      <c r="W80" s="299"/>
      <c r="X80" s="299"/>
      <c r="Y80" s="299"/>
      <c r="Z80" s="299"/>
      <c r="AA80" s="299"/>
      <c r="AB80" s="299"/>
      <c r="AC80" s="299"/>
      <c r="AD80" s="299"/>
      <c r="AE80" s="299"/>
      <c r="AF80" s="299"/>
      <c r="AG80" s="299"/>
      <c r="AH80" s="299"/>
      <c r="AI80" s="299"/>
      <c r="AL80" s="298">
        <f>ROW()</f>
        <v>80</v>
      </c>
    </row>
    <row r="81" spans="2:40" outlineLevel="2">
      <c r="B81" t="s">
        <v>807</v>
      </c>
      <c r="C81" t="s">
        <v>808</v>
      </c>
      <c r="D81" t="str">
        <f t="shared" si="4"/>
        <v>AUD</v>
      </c>
      <c r="F81" s="299"/>
      <c r="G81" s="299"/>
      <c r="H81" s="299"/>
      <c r="I81" s="299"/>
      <c r="J81" s="299"/>
      <c r="K81" s="299"/>
      <c r="L81" s="299"/>
      <c r="M81" s="299"/>
      <c r="N81" s="299"/>
      <c r="O81" s="299"/>
      <c r="P81" s="299"/>
      <c r="Q81" s="299"/>
      <c r="R81" s="299"/>
      <c r="S81" s="299"/>
      <c r="T81" s="299"/>
      <c r="U81" s="299"/>
      <c r="V81" s="299"/>
      <c r="W81" s="299"/>
      <c r="X81" s="299"/>
      <c r="Y81" s="299"/>
      <c r="Z81" s="299"/>
      <c r="AA81" s="299"/>
      <c r="AB81" s="299"/>
      <c r="AC81" s="299"/>
      <c r="AD81" s="299"/>
      <c r="AE81" s="299"/>
      <c r="AF81" s="299"/>
      <c r="AG81" s="299"/>
      <c r="AH81" s="299"/>
      <c r="AI81" s="299"/>
      <c r="AL81" s="298">
        <f>ROW()</f>
        <v>81</v>
      </c>
    </row>
    <row r="82" spans="2:40" outlineLevel="2">
      <c r="B82" t="s">
        <v>1642</v>
      </c>
      <c r="C82" t="s">
        <v>1643</v>
      </c>
      <c r="D82" t="str">
        <f t="shared" si="4"/>
        <v>AUD</v>
      </c>
      <c r="F82" s="299"/>
      <c r="G82" s="299"/>
      <c r="H82" s="299"/>
      <c r="I82" s="299"/>
      <c r="J82" s="299"/>
      <c r="K82" s="299"/>
      <c r="L82" s="299"/>
      <c r="M82" s="299"/>
      <c r="N82" s="299"/>
      <c r="O82" s="299"/>
      <c r="P82" s="299"/>
      <c r="Q82" s="299"/>
      <c r="R82" s="299"/>
      <c r="S82" s="299"/>
      <c r="T82" s="299"/>
      <c r="U82" s="299"/>
      <c r="V82" s="299"/>
      <c r="W82" s="299"/>
      <c r="X82" s="299"/>
      <c r="Y82" s="299"/>
      <c r="Z82" s="299"/>
      <c r="AA82" s="299"/>
      <c r="AB82" s="299"/>
      <c r="AC82" s="299"/>
      <c r="AD82" s="299"/>
      <c r="AE82" s="299"/>
      <c r="AF82" s="299"/>
      <c r="AG82" s="299"/>
      <c r="AH82" s="299"/>
      <c r="AI82" s="299"/>
      <c r="AL82" s="298">
        <f>ROW()</f>
        <v>82</v>
      </c>
    </row>
    <row r="83" spans="2:40" outlineLevel="2">
      <c r="B83" t="s">
        <v>1644</v>
      </c>
      <c r="C83" t="s">
        <v>1645</v>
      </c>
      <c r="D83" t="str">
        <f t="shared" si="4"/>
        <v>AUD</v>
      </c>
      <c r="F83" s="299"/>
      <c r="G83" s="299"/>
      <c r="H83" s="299"/>
      <c r="I83" s="299"/>
      <c r="J83" s="299"/>
      <c r="K83" s="299"/>
      <c r="L83" s="299"/>
      <c r="M83" s="299"/>
      <c r="N83" s="299"/>
      <c r="O83" s="299"/>
      <c r="P83" s="299"/>
      <c r="Q83" s="299"/>
      <c r="R83" s="299"/>
      <c r="S83" s="299"/>
      <c r="T83" s="299"/>
      <c r="U83" s="299"/>
      <c r="V83" s="299"/>
      <c r="W83" s="299"/>
      <c r="X83" s="299"/>
      <c r="Y83" s="299"/>
      <c r="Z83" s="299"/>
      <c r="AA83" s="299"/>
      <c r="AB83" s="299"/>
      <c r="AC83" s="299"/>
      <c r="AD83" s="299"/>
      <c r="AE83" s="299"/>
      <c r="AF83" s="299"/>
      <c r="AG83" s="299"/>
      <c r="AH83" s="299"/>
      <c r="AI83" s="299"/>
      <c r="AL83" s="298">
        <f>ROW()</f>
        <v>83</v>
      </c>
    </row>
    <row r="84" spans="2:40" outlineLevel="2">
      <c r="B84" t="s">
        <v>1646</v>
      </c>
      <c r="C84" t="s">
        <v>1647</v>
      </c>
      <c r="D84" t="str">
        <f t="shared" si="4"/>
        <v>AUD</v>
      </c>
      <c r="F84" s="299"/>
      <c r="G84" s="299"/>
      <c r="H84" s="299"/>
      <c r="I84" s="299"/>
      <c r="J84" s="299"/>
      <c r="K84" s="299"/>
      <c r="L84" s="299"/>
      <c r="M84" s="299"/>
      <c r="N84" s="299"/>
      <c r="O84" s="299"/>
      <c r="P84" s="299"/>
      <c r="Q84" s="299"/>
      <c r="R84" s="299"/>
      <c r="S84" s="299"/>
      <c r="T84" s="299"/>
      <c r="U84" s="299"/>
      <c r="V84" s="299"/>
      <c r="W84" s="299"/>
      <c r="X84" s="299"/>
      <c r="Y84" s="299"/>
      <c r="Z84" s="299"/>
      <c r="AA84" s="299"/>
      <c r="AB84" s="299"/>
      <c r="AC84" s="299"/>
      <c r="AD84" s="299"/>
      <c r="AE84" s="299"/>
      <c r="AF84" s="299"/>
      <c r="AG84" s="299"/>
      <c r="AH84" s="299"/>
      <c r="AI84" s="299"/>
      <c r="AL84" s="298">
        <f>ROW()</f>
        <v>84</v>
      </c>
    </row>
    <row r="85" spans="2:40" outlineLevel="2">
      <c r="B85" t="s">
        <v>1648</v>
      </c>
      <c r="C85" t="s">
        <v>1649</v>
      </c>
      <c r="D85" t="str">
        <f t="shared" ref="D85:D101" si="8">E_CURRENCY_ISSR_208008758_REP</f>
        <v>AUD</v>
      </c>
      <c r="F85" s="299"/>
      <c r="G85" s="299"/>
      <c r="H85" s="299"/>
      <c r="I85" s="299"/>
      <c r="J85" s="299"/>
      <c r="K85" s="299"/>
      <c r="L85" s="299"/>
      <c r="M85" s="299"/>
      <c r="N85" s="299"/>
      <c r="O85" s="299"/>
      <c r="P85" s="299"/>
      <c r="Q85" s="299"/>
      <c r="R85" s="299"/>
      <c r="S85" s="299"/>
      <c r="T85" s="299"/>
      <c r="U85" s="299"/>
      <c r="V85" s="299"/>
      <c r="W85" s="299"/>
      <c r="X85" s="299"/>
      <c r="Y85" s="299"/>
      <c r="Z85" s="299"/>
      <c r="AA85" s="299"/>
      <c r="AB85" s="299"/>
      <c r="AC85" s="299"/>
      <c r="AD85" s="299"/>
      <c r="AE85" s="299"/>
      <c r="AF85" s="299"/>
      <c r="AG85" s="299"/>
      <c r="AH85" s="299"/>
      <c r="AI85" s="299"/>
      <c r="AL85" s="298">
        <f>ROW()</f>
        <v>85</v>
      </c>
    </row>
    <row r="86" spans="2:40" outlineLevel="2">
      <c r="B86" t="s">
        <v>1650</v>
      </c>
      <c r="C86" t="s">
        <v>1651</v>
      </c>
      <c r="D86" t="str">
        <f t="shared" si="8"/>
        <v>AUD</v>
      </c>
      <c r="F86" s="299"/>
      <c r="G86" s="299"/>
      <c r="H86" s="299"/>
      <c r="I86" s="299"/>
      <c r="J86" s="299"/>
      <c r="K86" s="299"/>
      <c r="L86" s="299"/>
      <c r="M86" s="299"/>
      <c r="N86" s="299"/>
      <c r="O86" s="299"/>
      <c r="P86" s="299"/>
      <c r="Q86" s="299"/>
      <c r="R86" s="299"/>
      <c r="S86" s="299"/>
      <c r="T86" s="299"/>
      <c r="U86" s="299"/>
      <c r="V86" s="299"/>
      <c r="W86" s="299"/>
      <c r="X86" s="299"/>
      <c r="Y86" s="299"/>
      <c r="Z86" s="299"/>
      <c r="AA86" s="299"/>
      <c r="AB86" s="299"/>
      <c r="AC86" s="299"/>
      <c r="AD86" s="299"/>
      <c r="AE86" s="299"/>
      <c r="AF86" s="299"/>
      <c r="AG86" s="299"/>
      <c r="AH86" s="299"/>
      <c r="AI86" s="299"/>
      <c r="AL86" s="298">
        <f>ROW()</f>
        <v>86</v>
      </c>
    </row>
    <row r="87" spans="2:40" outlineLevel="2">
      <c r="B87" t="s">
        <v>1652</v>
      </c>
      <c r="C87" t="s">
        <v>1653</v>
      </c>
      <c r="D87" t="str">
        <f t="shared" si="8"/>
        <v>AUD</v>
      </c>
      <c r="F87" s="299"/>
      <c r="G87" s="299"/>
      <c r="H87" s="299"/>
      <c r="I87" s="299"/>
      <c r="J87" s="299"/>
      <c r="K87" s="299"/>
      <c r="L87" s="299"/>
      <c r="M87" s="299"/>
      <c r="N87" s="299"/>
      <c r="O87" s="299"/>
      <c r="P87" s="299"/>
      <c r="Q87" s="299"/>
      <c r="R87" s="299"/>
      <c r="S87" s="299"/>
      <c r="T87" s="299"/>
      <c r="U87" s="299"/>
      <c r="V87" s="299"/>
      <c r="W87" s="299"/>
      <c r="X87" s="299"/>
      <c r="Y87" s="299"/>
      <c r="Z87" s="299"/>
      <c r="AA87" s="299"/>
      <c r="AB87" s="299"/>
      <c r="AC87" s="299"/>
      <c r="AD87" s="299"/>
      <c r="AE87" s="299"/>
      <c r="AF87" s="299"/>
      <c r="AG87" s="299"/>
      <c r="AH87" s="299"/>
      <c r="AI87" s="299"/>
      <c r="AL87" s="298">
        <f>ROW()</f>
        <v>87</v>
      </c>
    </row>
    <row r="88" spans="2:40" outlineLevel="2">
      <c r="B88" t="s">
        <v>1654</v>
      </c>
      <c r="C88" t="s">
        <v>1655</v>
      </c>
      <c r="D88" t="str">
        <f t="shared" si="8"/>
        <v>AUD</v>
      </c>
      <c r="F88" s="299"/>
      <c r="G88" s="299"/>
      <c r="H88" s="299"/>
      <c r="I88" s="299"/>
      <c r="J88" s="299"/>
      <c r="K88" s="299"/>
      <c r="L88" s="299"/>
      <c r="M88" s="299"/>
      <c r="N88" s="299"/>
      <c r="O88" s="299"/>
      <c r="P88" s="299"/>
      <c r="Q88" s="299"/>
      <c r="R88" s="299"/>
      <c r="S88" s="299"/>
      <c r="T88" s="299"/>
      <c r="U88" s="299"/>
      <c r="V88" s="299"/>
      <c r="W88" s="299"/>
      <c r="X88" s="299"/>
      <c r="Y88" s="299"/>
      <c r="Z88" s="299"/>
      <c r="AA88" s="299"/>
      <c r="AB88" s="299"/>
      <c r="AC88" s="299"/>
      <c r="AD88" s="299"/>
      <c r="AE88" s="299"/>
      <c r="AF88" s="299"/>
      <c r="AG88" s="299"/>
      <c r="AH88" s="299"/>
      <c r="AI88" s="299"/>
      <c r="AL88" s="298">
        <f>ROW()</f>
        <v>88</v>
      </c>
    </row>
    <row r="89" spans="2:40" outlineLevel="2">
      <c r="B89" t="s">
        <v>1656</v>
      </c>
      <c r="C89" t="s">
        <v>1657</v>
      </c>
      <c r="D89" t="str">
        <f t="shared" si="8"/>
        <v>AUD</v>
      </c>
      <c r="F89" s="299"/>
      <c r="G89" s="299"/>
      <c r="H89" s="299"/>
      <c r="I89" s="299"/>
      <c r="J89" s="299"/>
      <c r="K89" s="299"/>
      <c r="L89" s="299"/>
      <c r="M89" s="299"/>
      <c r="N89" s="299"/>
      <c r="O89" s="299"/>
      <c r="P89" s="299"/>
      <c r="Q89" s="299"/>
      <c r="R89" s="299"/>
      <c r="S89" s="299"/>
      <c r="T89" s="299"/>
      <c r="U89" s="299"/>
      <c r="V89" s="299"/>
      <c r="W89" s="299"/>
      <c r="X89" s="299"/>
      <c r="Y89" s="299"/>
      <c r="Z89" s="299"/>
      <c r="AA89" s="299"/>
      <c r="AB89" s="299"/>
      <c r="AC89" s="299"/>
      <c r="AD89" s="299"/>
      <c r="AE89" s="299"/>
      <c r="AF89" s="299"/>
      <c r="AG89" s="299"/>
      <c r="AH89" s="299"/>
      <c r="AI89" s="299"/>
      <c r="AL89" s="298">
        <f>ROW()</f>
        <v>89</v>
      </c>
    </row>
    <row r="90" spans="2:40" outlineLevel="2">
      <c r="B90" t="s">
        <v>1658</v>
      </c>
      <c r="C90" t="s">
        <v>1659</v>
      </c>
      <c r="D90" t="str">
        <f t="shared" si="8"/>
        <v>AUD</v>
      </c>
      <c r="F90" s="299"/>
      <c r="G90" s="299"/>
      <c r="H90" s="299"/>
      <c r="I90" s="299"/>
      <c r="J90" s="299"/>
      <c r="K90" s="299"/>
      <c r="L90" s="299"/>
      <c r="M90" s="299"/>
      <c r="N90" s="299"/>
      <c r="O90" s="299"/>
      <c r="P90" s="299"/>
      <c r="Q90" s="299"/>
      <c r="R90" s="299"/>
      <c r="S90" s="299"/>
      <c r="T90" s="299"/>
      <c r="U90" s="299"/>
      <c r="V90" s="299"/>
      <c r="W90" s="299"/>
      <c r="X90" s="299"/>
      <c r="Y90" s="299"/>
      <c r="Z90" s="299"/>
      <c r="AA90" s="299"/>
      <c r="AB90" s="299"/>
      <c r="AC90" s="299"/>
      <c r="AD90" s="299"/>
      <c r="AE90" s="299"/>
      <c r="AF90" s="299"/>
      <c r="AG90" s="299"/>
      <c r="AH90" s="299"/>
      <c r="AI90" s="299"/>
      <c r="AL90" s="298">
        <f>ROW()</f>
        <v>90</v>
      </c>
    </row>
    <row r="91" spans="2:40" outlineLevel="2">
      <c r="B91" t="s">
        <v>1660</v>
      </c>
      <c r="C91" t="s">
        <v>1661</v>
      </c>
      <c r="D91" t="str">
        <f t="shared" si="8"/>
        <v>AUD</v>
      </c>
      <c r="F91" s="299"/>
      <c r="G91" s="299"/>
      <c r="H91" s="299"/>
      <c r="I91" s="299"/>
      <c r="J91" s="299"/>
      <c r="K91" s="299"/>
      <c r="L91" s="299"/>
      <c r="M91" s="299"/>
      <c r="N91" s="299"/>
      <c r="O91" s="299"/>
      <c r="P91" s="299"/>
      <c r="Q91" s="299"/>
      <c r="R91" s="299"/>
      <c r="S91" s="299"/>
      <c r="T91" s="299"/>
      <c r="U91" s="299"/>
      <c r="V91" s="299"/>
      <c r="W91" s="299"/>
      <c r="X91" s="299"/>
      <c r="Y91" s="299"/>
      <c r="Z91" s="299"/>
      <c r="AA91" s="299"/>
      <c r="AB91" s="299"/>
      <c r="AC91" s="299"/>
      <c r="AD91" s="299"/>
      <c r="AE91" s="299"/>
      <c r="AF91" s="299"/>
      <c r="AG91" s="299"/>
      <c r="AH91" s="299"/>
      <c r="AI91" s="299"/>
      <c r="AL91" s="298">
        <f>ROW()</f>
        <v>91</v>
      </c>
    </row>
    <row r="92" spans="2:40" outlineLevel="2">
      <c r="B92" t="s">
        <v>1662</v>
      </c>
      <c r="C92" t="s">
        <v>1663</v>
      </c>
      <c r="D92" t="str">
        <f t="shared" si="8"/>
        <v>AUD</v>
      </c>
      <c r="F92" s="299"/>
      <c r="G92" s="299"/>
      <c r="H92" s="299"/>
      <c r="I92" s="299"/>
      <c r="J92" s="299"/>
      <c r="K92" s="299"/>
      <c r="L92" s="299"/>
      <c r="M92" s="299"/>
      <c r="N92" s="299"/>
      <c r="O92" s="299"/>
      <c r="P92" s="299"/>
      <c r="Q92" s="299"/>
      <c r="R92" s="299"/>
      <c r="S92" s="299"/>
      <c r="T92" s="299"/>
      <c r="U92" s="299"/>
      <c r="V92" s="299"/>
      <c r="W92" s="299"/>
      <c r="X92" s="299"/>
      <c r="Y92" s="299"/>
      <c r="Z92" s="299"/>
      <c r="AA92" s="299"/>
      <c r="AB92" s="299"/>
      <c r="AC92" s="299"/>
      <c r="AD92" s="299"/>
      <c r="AE92" s="299"/>
      <c r="AF92" s="299"/>
      <c r="AG92" s="299"/>
      <c r="AH92" s="299"/>
      <c r="AI92" s="299"/>
      <c r="AL92" s="298">
        <f>ROW()</f>
        <v>92</v>
      </c>
    </row>
    <row r="93" spans="2:40" outlineLevel="2">
      <c r="B93" t="s">
        <v>1664</v>
      </c>
      <c r="C93" t="s">
        <v>1665</v>
      </c>
      <c r="D93" t="str">
        <f t="shared" si="8"/>
        <v>AUD</v>
      </c>
      <c r="F93" s="299"/>
      <c r="G93" s="299"/>
      <c r="H93" s="299"/>
      <c r="I93" s="299"/>
      <c r="J93" s="299"/>
      <c r="K93" s="299"/>
      <c r="L93" s="299"/>
      <c r="M93" s="299"/>
      <c r="N93" s="299"/>
      <c r="O93" s="299"/>
      <c r="P93" s="299"/>
      <c r="Q93" s="299"/>
      <c r="R93" s="299"/>
      <c r="S93" s="299"/>
      <c r="T93" s="299"/>
      <c r="U93" s="299"/>
      <c r="V93" s="299"/>
      <c r="W93" s="299"/>
      <c r="X93" s="299"/>
      <c r="Y93" s="299"/>
      <c r="Z93" s="299"/>
      <c r="AA93" s="299"/>
      <c r="AB93" s="299"/>
      <c r="AC93" s="299"/>
      <c r="AD93" s="299"/>
      <c r="AE93" s="299"/>
      <c r="AF93" s="299"/>
      <c r="AG93" s="299"/>
      <c r="AH93" s="299"/>
      <c r="AI93" s="299"/>
      <c r="AL93" s="298">
        <f>ROW()</f>
        <v>93</v>
      </c>
    </row>
    <row r="94" spans="2:40" outlineLevel="2">
      <c r="B94" t="s">
        <v>444</v>
      </c>
      <c r="C94" t="s">
        <v>809</v>
      </c>
      <c r="D94" t="str">
        <f t="shared" si="8"/>
        <v>AUD</v>
      </c>
      <c r="F94" s="299">
        <f>VLOOKUP($AN94,'Group Model'!$1:$1048576,MATCH("FY"&amp;RIGHT(F$1,2)&amp;LEFT(F$2,1),'Group Model'!$1:$1,0),FALSE)</f>
        <v>100874</v>
      </c>
      <c r="G94" s="299">
        <f>VLOOKUP($AN94,'Group Model'!$1:$1048576,MATCH("FY"&amp;RIGHT(G$1,2)&amp;LEFT(G$2,1),'Group Model'!$1:$1,0),FALSE)</f>
        <v>128870</v>
      </c>
      <c r="H94" s="299">
        <f>VLOOKUP($AN94,'Group Model'!$1:$1048576,MATCH("FY"&amp;RIGHT(H$1,2)&amp;LEFT(H$2,1),'Group Model'!$1:$1,0),FALSE)</f>
        <v>157189</v>
      </c>
      <c r="I94" s="299">
        <f>VLOOKUP($AN94,'Group Model'!$1:$1048576,MATCH("FY"&amp;RIGHT(I$1,2)&amp;LEFT(I$2,1),'Group Model'!$1:$1,0),FALSE)</f>
        <v>139584</v>
      </c>
      <c r="J94" s="299">
        <f>VLOOKUP($AN94,'Group Model'!$1:$1048576,MATCH("FY"&amp;RIGHT(J$1,2)&amp;LEFT(J$2,1),'Group Model'!$1:$1,0),FALSE)</f>
        <v>134171</v>
      </c>
      <c r="K94" s="299">
        <f>VLOOKUP($AN94,'Group Model'!$1:$1048576,MATCH("FY"&amp;RIGHT(K$1,2)&amp;LEFT(K$2,1),'Group Model'!$1:$1,0),FALSE)</f>
        <v>145636</v>
      </c>
      <c r="L94" s="299">
        <f>VLOOKUP($AN94,'Group Model'!$1:$1048576,MATCH("FY"&amp;RIGHT(L$1,2)&amp;LEFT(L$2,1),'Group Model'!$1:$1,0),FALSE)</f>
        <v>141894</v>
      </c>
      <c r="M94" s="299">
        <f>VLOOKUP($AN94,'Group Model'!$1:$1048576,MATCH("FY"&amp;RIGHT(M$1,2)&amp;LEFT(M$2,1),'Group Model'!$1:$1,0),FALSE)</f>
        <v>132793</v>
      </c>
      <c r="N94" s="299">
        <f>VLOOKUP($AN94,'Group Model'!$1:$1048576,MATCH("FY"&amp;RIGHT(N$1,2)&amp;LEFT(N$2,1),'Group Model'!$1:$1,0),FALSE)</f>
        <v>141990</v>
      </c>
      <c r="O94" s="299">
        <f>VLOOKUP($AN94,'Group Model'!$1:$1048576,MATCH("FY"&amp;RIGHT(O$1,2)&amp;LEFT(O$2,1),'Group Model'!$1:$1,0),FALSE)</f>
        <v>173580</v>
      </c>
      <c r="P94" s="299">
        <f>VLOOKUP($AN94,'Group Model'!$1:$1048576,MATCH("FY"&amp;RIGHT(P$1,2)&amp;LEFT(P$2,1),'Group Model'!$1:$1,0),FALSE)</f>
        <v>181091</v>
      </c>
      <c r="Q94" s="299">
        <f>VLOOKUP($AN94,'Group Model'!$1:$1048576,MATCH("FY"&amp;RIGHT(Q$1,2)&amp;LEFT(Q$2,1),'Group Model'!$1:$1,0),FALSE)</f>
        <v>165607</v>
      </c>
      <c r="R94" s="299" t="e">
        <f>VLOOKUP($AN94,'Group Model'!$1:$1048576,MATCH("FY"&amp;RIGHT(R$1,2)&amp;LEFT(R$2,1),'Group Model'!$1:$1,0),FALSE)</f>
        <v>#N/A</v>
      </c>
      <c r="S94" s="299" t="e">
        <f>VLOOKUP($AN94,'Group Model'!$1:$1048576,MATCH("FY"&amp;RIGHT(S$1,2)&amp;LEFT(S$2,1),'Group Model'!$1:$1,0),FALSE)</f>
        <v>#N/A</v>
      </c>
      <c r="T94" s="299" t="e">
        <f>VLOOKUP($AN94,'Group Model'!$1:$1048576,MATCH("FY"&amp;RIGHT(T$1,2)&amp;LEFT(T$2,1),'Group Model'!$1:$1,0),FALSE)</f>
        <v>#N/A</v>
      </c>
      <c r="U94" s="299"/>
      <c r="V94" s="299">
        <f>VLOOKUP($AN94,'Group Model'!$1:$1048576,MATCH("1H"&amp;MID(V$1,3,2)&amp;LEFT(V$2,1),'Group Model'!$1:$1,0),FALSE)</f>
        <v>140681</v>
      </c>
      <c r="W94" s="299">
        <f>VLOOKUP($AN94,'Group Model'!$1:$1048576,MATCH("1H"&amp;MID(W$1,3,2)&amp;LEFT(W$2,1),'Group Model'!$1:$1,0),FALSE)</f>
        <v>140681</v>
      </c>
      <c r="X94" s="299">
        <f>VLOOKUP($AN94,'Group Model'!$1:$1048576,MATCH("1H"&amp;MID(X$1,3,2)&amp;LEFT(X$2,1),'Group Model'!$1:$1,0),FALSE)</f>
        <v>141881</v>
      </c>
      <c r="Y94" s="299">
        <f>VLOOKUP($AN94,'Group Model'!$1:$1048576,MATCH("1H"&amp;MID(Y$1,3,2)&amp;LEFT(Y$2,1),'Group Model'!$1:$1,0),FALSE)</f>
        <v>141881</v>
      </c>
      <c r="Z94" s="299">
        <f>VLOOKUP($AN94,'Group Model'!$1:$1048576,MATCH("1H"&amp;MID(Z$1,3,2)&amp;LEFT(Z$2,1),'Group Model'!$1:$1,0),FALSE)</f>
        <v>150116</v>
      </c>
      <c r="AA94" s="299">
        <f>VLOOKUP($AN94,'Group Model'!$1:$1048576,MATCH("1H"&amp;MID(AA$1,3,2)&amp;LEFT(AA$2,1),'Group Model'!$1:$1,0),FALSE)</f>
        <v>150116</v>
      </c>
      <c r="AB94" s="299">
        <f>VLOOKUP($AN94,'Group Model'!$1:$1048576,MATCH("1H"&amp;MID(AB$1,3,2)&amp;LEFT(AB$2,1),'Group Model'!$1:$1,0),FALSE)</f>
        <v>193873</v>
      </c>
      <c r="AC94" s="299">
        <f>VLOOKUP($AN94,'Group Model'!$1:$1048576,MATCH("1H"&amp;MID(AC$1,3,2)&amp;LEFT(AC$2,1),'Group Model'!$1:$1,0),FALSE)</f>
        <v>193873</v>
      </c>
      <c r="AD94" s="299">
        <f>VLOOKUP($AN94,'Group Model'!$1:$1048576,MATCH("1H"&amp;MID(AD$1,3,2)&amp;LEFT(AD$2,1),'Group Model'!$1:$1,0),FALSE)</f>
        <v>177630</v>
      </c>
      <c r="AE94" s="299">
        <f>VLOOKUP($AN94,'Group Model'!$1:$1048576,MATCH("1H"&amp;MID(AE$1,3,2)&amp;LEFT(AE$2,1),'Group Model'!$1:$1,0),FALSE)</f>
        <v>177630</v>
      </c>
      <c r="AF94" s="299">
        <f>VLOOKUP($AN94,'Group Model'!$1:$1048576,MATCH("1H"&amp;MID(AF$1,3,2)&amp;LEFT(AF$2,1),'Group Model'!$1:$1,0),FALSE)</f>
        <v>172661</v>
      </c>
      <c r="AG94" s="299" t="e">
        <f>VLOOKUP($AN94,'Group Model'!$1:$1048576,MATCH("2H"&amp;MID(AG$1,3,2)&amp;LEFT(AG$2,1),'Group Model'!$1:$1,0),FALSE)</f>
        <v>#N/A</v>
      </c>
      <c r="AH94" s="299" t="e">
        <f>VLOOKUP($AN94,'Group Model'!$1:$1048576,MATCH("1H"&amp;MID(AH$1,3,2)&amp;LEFT(AH$2,1),'Group Model'!$1:$1,0),FALSE)</f>
        <v>#N/A</v>
      </c>
      <c r="AI94" s="299" t="e">
        <f>VLOOKUP($AN94,'Group Model'!$1:$1048576,MATCH("2H"&amp;MID(AI$1,3,2)&amp;LEFT(AI$2,1),'Group Model'!$1:$1,0),FALSE)</f>
        <v>#N/A</v>
      </c>
      <c r="AL94" s="298">
        <f>ROW()</f>
        <v>94</v>
      </c>
      <c r="AN94" s="298" t="str">
        <f>'Group Model'!A444</f>
        <v>AD_PETL</v>
      </c>
    </row>
    <row r="95" spans="2:40" outlineLevel="2">
      <c r="B95" t="s">
        <v>184</v>
      </c>
      <c r="C95" t="s">
        <v>810</v>
      </c>
      <c r="D95" t="str">
        <f t="shared" si="8"/>
        <v>AUD</v>
      </c>
      <c r="F95" s="299">
        <f>VLOOKUP($AN95,'Group Model'!$1:$1048576,MATCH("FY"&amp;RIGHT(F$1,2)&amp;LEFT(F$2,1),'Group Model'!$1:$1,0),FALSE)</f>
        <v>100874</v>
      </c>
      <c r="G95" s="299">
        <f>VLOOKUP($AN95,'Group Model'!$1:$1048576,MATCH("FY"&amp;RIGHT(G$1,2)&amp;LEFT(G$2,1),'Group Model'!$1:$1,0),FALSE)</f>
        <v>128870</v>
      </c>
      <c r="H95" s="299">
        <f>VLOOKUP($AN95,'Group Model'!$1:$1048576,MATCH("FY"&amp;RIGHT(H$1,2)&amp;LEFT(H$2,1),'Group Model'!$1:$1,0),FALSE)</f>
        <v>157189</v>
      </c>
      <c r="I95" s="299">
        <f>VLOOKUP($AN95,'Group Model'!$1:$1048576,MATCH("FY"&amp;RIGHT(I$1,2)&amp;LEFT(I$2,1),'Group Model'!$1:$1,0),FALSE)</f>
        <v>139584</v>
      </c>
      <c r="J95" s="299">
        <f>VLOOKUP($AN95,'Group Model'!$1:$1048576,MATCH("FY"&amp;RIGHT(J$1,2)&amp;LEFT(J$2,1),'Group Model'!$1:$1,0),FALSE)</f>
        <v>134171</v>
      </c>
      <c r="K95" s="299">
        <f>VLOOKUP($AN95,'Group Model'!$1:$1048576,MATCH("FY"&amp;RIGHT(K$1,2)&amp;LEFT(K$2,1),'Group Model'!$1:$1,0),FALSE)</f>
        <v>145636</v>
      </c>
      <c r="L95" s="299">
        <f>VLOOKUP($AN95,'Group Model'!$1:$1048576,MATCH("FY"&amp;RIGHT(L$1,2)&amp;LEFT(L$2,1),'Group Model'!$1:$1,0),FALSE)</f>
        <v>141894</v>
      </c>
      <c r="M95" s="299">
        <f>VLOOKUP($AN95,'Group Model'!$1:$1048576,MATCH("FY"&amp;RIGHT(M$1,2)&amp;LEFT(M$2,1),'Group Model'!$1:$1,0),FALSE)</f>
        <v>132793</v>
      </c>
      <c r="N95" s="299">
        <f>VLOOKUP($AN95,'Group Model'!$1:$1048576,MATCH("FY"&amp;RIGHT(N$1,2)&amp;LEFT(N$2,1),'Group Model'!$1:$1,0),FALSE)</f>
        <v>141990</v>
      </c>
      <c r="O95" s="299">
        <f>VLOOKUP($AN95,'Group Model'!$1:$1048576,MATCH("FY"&amp;RIGHT(O$1,2)&amp;LEFT(O$2,1),'Group Model'!$1:$1,0),FALSE)</f>
        <v>173580</v>
      </c>
      <c r="P95" s="299">
        <f>VLOOKUP($AN95,'Group Model'!$1:$1048576,MATCH("FY"&amp;RIGHT(P$1,2)&amp;LEFT(P$2,1),'Group Model'!$1:$1,0),FALSE)</f>
        <v>181091</v>
      </c>
      <c r="Q95" s="299">
        <f>VLOOKUP($AN95,'Group Model'!$1:$1048576,MATCH("FY"&amp;RIGHT(Q$1,2)&amp;LEFT(Q$2,1),'Group Model'!$1:$1,0),FALSE)</f>
        <v>165607</v>
      </c>
      <c r="R95" s="299" t="e">
        <f>VLOOKUP($AN95,'Group Model'!$1:$1048576,MATCH("FY"&amp;RIGHT(R$1,2)&amp;LEFT(R$2,1),'Group Model'!$1:$1,0),FALSE)</f>
        <v>#N/A</v>
      </c>
      <c r="S95" s="299" t="e">
        <f>VLOOKUP($AN95,'Group Model'!$1:$1048576,MATCH("FY"&amp;RIGHT(S$1,2)&amp;LEFT(S$2,1),'Group Model'!$1:$1,0),FALSE)</f>
        <v>#N/A</v>
      </c>
      <c r="T95" s="299" t="e">
        <f>VLOOKUP($AN95,'Group Model'!$1:$1048576,MATCH("FY"&amp;RIGHT(T$1,2)&amp;LEFT(T$2,1),'Group Model'!$1:$1,0),FALSE)</f>
        <v>#N/A</v>
      </c>
      <c r="U95" s="299"/>
      <c r="V95" s="299">
        <f>VLOOKUP($AN95,'Group Model'!$1:$1048576,MATCH("1H"&amp;MID(V$1,3,2)&amp;LEFT(V$2,1),'Group Model'!$1:$1,0),FALSE)</f>
        <v>140681</v>
      </c>
      <c r="W95" s="299">
        <f>VLOOKUP($AN95,'Group Model'!$1:$1048576,MATCH("1H"&amp;MID(W$1,3,2)&amp;LEFT(W$2,1),'Group Model'!$1:$1,0),FALSE)</f>
        <v>140681</v>
      </c>
      <c r="X95" s="299">
        <f>VLOOKUP($AN95,'Group Model'!$1:$1048576,MATCH("1H"&amp;MID(X$1,3,2)&amp;LEFT(X$2,1),'Group Model'!$1:$1,0),FALSE)</f>
        <v>141881</v>
      </c>
      <c r="Y95" s="299">
        <f>VLOOKUP($AN95,'Group Model'!$1:$1048576,MATCH("1H"&amp;MID(Y$1,3,2)&amp;LEFT(Y$2,1),'Group Model'!$1:$1,0),FALSE)</f>
        <v>141881</v>
      </c>
      <c r="Z95" s="299">
        <f>VLOOKUP($AN95,'Group Model'!$1:$1048576,MATCH("1H"&amp;MID(Z$1,3,2)&amp;LEFT(Z$2,1),'Group Model'!$1:$1,0),FALSE)</f>
        <v>150116</v>
      </c>
      <c r="AA95" s="299">
        <f>VLOOKUP($AN95,'Group Model'!$1:$1048576,MATCH("1H"&amp;MID(AA$1,3,2)&amp;LEFT(AA$2,1),'Group Model'!$1:$1,0),FALSE)</f>
        <v>150116</v>
      </c>
      <c r="AB95" s="299">
        <f>VLOOKUP($AN95,'Group Model'!$1:$1048576,MATCH("1H"&amp;MID(AB$1,3,2)&amp;LEFT(AB$2,1),'Group Model'!$1:$1,0),FALSE)</f>
        <v>193873</v>
      </c>
      <c r="AC95" s="299">
        <f>VLOOKUP($AN95,'Group Model'!$1:$1048576,MATCH("1H"&amp;MID(AC$1,3,2)&amp;LEFT(AC$2,1),'Group Model'!$1:$1,0),FALSE)</f>
        <v>193873</v>
      </c>
      <c r="AD95" s="299">
        <f>VLOOKUP($AN95,'Group Model'!$1:$1048576,MATCH("1H"&amp;MID(AD$1,3,2)&amp;LEFT(AD$2,1),'Group Model'!$1:$1,0),FALSE)</f>
        <v>177630</v>
      </c>
      <c r="AE95" s="299">
        <f>VLOOKUP($AN95,'Group Model'!$1:$1048576,MATCH("1H"&amp;MID(AE$1,3,2)&amp;LEFT(AE$2,1),'Group Model'!$1:$1,0),FALSE)</f>
        <v>177630</v>
      </c>
      <c r="AF95" s="299">
        <f>VLOOKUP($AN95,'Group Model'!$1:$1048576,MATCH("1H"&amp;MID(AF$1,3,2)&amp;LEFT(AF$2,1),'Group Model'!$1:$1,0),FALSE)</f>
        <v>172661</v>
      </c>
      <c r="AG95" s="299" t="e">
        <f>VLOOKUP($AN95,'Group Model'!$1:$1048576,MATCH("2H"&amp;MID(AG$1,3,2)&amp;LEFT(AG$2,1),'Group Model'!$1:$1,0),FALSE)</f>
        <v>#N/A</v>
      </c>
      <c r="AH95" s="299" t="e">
        <f>VLOOKUP($AN95,'Group Model'!$1:$1048576,MATCH("1H"&amp;MID(AH$1,3,2)&amp;LEFT(AH$2,1),'Group Model'!$1:$1,0),FALSE)</f>
        <v>#N/A</v>
      </c>
      <c r="AI95" s="299" t="e">
        <f>VLOOKUP($AN95,'Group Model'!$1:$1048576,MATCH("2H"&amp;MID(AI$1,3,2)&amp;LEFT(AI$2,1),'Group Model'!$1:$1,0),FALSE)</f>
        <v>#N/A</v>
      </c>
      <c r="AL95" s="298">
        <f>ROW()</f>
        <v>95</v>
      </c>
      <c r="AN95" s="298" t="str">
        <f>'Group Model'!A444</f>
        <v>AD_PETL</v>
      </c>
    </row>
    <row r="96" spans="2:40" outlineLevel="2">
      <c r="B96" t="s">
        <v>811</v>
      </c>
      <c r="C96" t="s">
        <v>812</v>
      </c>
      <c r="D96" t="str">
        <f t="shared" si="8"/>
        <v>AUD</v>
      </c>
      <c r="F96" s="299">
        <f>VLOOKUP($AN96,'Group Model'!$1:$1048576,MATCH("FY"&amp;RIGHT(F$1,2)&amp;LEFT(F$2,1),'Group Model'!$1:$1,0),FALSE)</f>
        <v>4098</v>
      </c>
      <c r="G96" s="299">
        <f>VLOOKUP($AN96,'Group Model'!$1:$1048576,MATCH("FY"&amp;RIGHT(G$1,2)&amp;LEFT(G$2,1),'Group Model'!$1:$1,0),FALSE)</f>
        <v>6271</v>
      </c>
      <c r="H96" s="299">
        <f>VLOOKUP($AN96,'Group Model'!$1:$1048576,MATCH("FY"&amp;RIGHT(H$1,2)&amp;LEFT(H$2,1),'Group Model'!$1:$1,0),FALSE)</f>
        <v>8829</v>
      </c>
      <c r="I96" s="299">
        <f>VLOOKUP($AN96,'Group Model'!$1:$1048576,MATCH("FY"&amp;RIGHT(I$1,2)&amp;LEFT(I$2,1),'Group Model'!$1:$1,0),FALSE)</f>
        <v>8664</v>
      </c>
      <c r="J96" s="299">
        <f>VLOOKUP($AN96,'Group Model'!$1:$1048576,MATCH("FY"&amp;RIGHT(J$1,2)&amp;LEFT(J$2,1),'Group Model'!$1:$1,0),FALSE)</f>
        <v>11232</v>
      </c>
      <c r="K96" s="299">
        <f>VLOOKUP($AN96,'Group Model'!$1:$1048576,MATCH("FY"&amp;RIGHT(K$1,2)&amp;LEFT(K$2,1),'Group Model'!$1:$1,0),FALSE)</f>
        <v>11404</v>
      </c>
      <c r="L96" s="299">
        <f>VLOOKUP($AN96,'Group Model'!$1:$1048576,MATCH("FY"&amp;RIGHT(L$1,2)&amp;LEFT(L$2,1),'Group Model'!$1:$1,0),FALSE)</f>
        <v>11203</v>
      </c>
      <c r="M96" s="299">
        <f>VLOOKUP($AN96,'Group Model'!$1:$1048576,MATCH("FY"&amp;RIGHT(M$1,2)&amp;LEFT(M$2,1),'Group Model'!$1:$1,0),FALSE)</f>
        <v>11403</v>
      </c>
      <c r="N96" s="299">
        <f>VLOOKUP($AN96,'Group Model'!$1:$1048576,MATCH("FY"&amp;RIGHT(N$1,2)&amp;LEFT(N$2,1),'Group Model'!$1:$1,0),FALSE)</f>
        <v>11418</v>
      </c>
      <c r="O96" s="299">
        <f>VLOOKUP($AN96,'Group Model'!$1:$1048576,MATCH("FY"&amp;RIGHT(O$1,2)&amp;LEFT(O$2,1),'Group Model'!$1:$1,0),FALSE)</f>
        <v>13909</v>
      </c>
      <c r="P96" s="299">
        <f>VLOOKUP($AN96,'Group Model'!$1:$1048576,MATCH("FY"&amp;RIGHT(P$1,2)&amp;LEFT(P$2,1),'Group Model'!$1:$1,0),FALSE)</f>
        <v>15116</v>
      </c>
      <c r="Q96" s="299">
        <f>VLOOKUP($AN96,'Group Model'!$1:$1048576,MATCH("FY"&amp;RIGHT(Q$1,2)&amp;LEFT(Q$2,1),'Group Model'!$1:$1,0),FALSE)</f>
        <v>15563</v>
      </c>
      <c r="R96" s="299" t="e">
        <f>VLOOKUP($AN96,'Group Model'!$1:$1048576,MATCH("FY"&amp;RIGHT(R$1,2)&amp;LEFT(R$2,1),'Group Model'!$1:$1,0),FALSE)</f>
        <v>#N/A</v>
      </c>
      <c r="S96" s="299" t="e">
        <f>VLOOKUP($AN96,'Group Model'!$1:$1048576,MATCH("FY"&amp;RIGHT(S$1,2)&amp;LEFT(S$2,1),'Group Model'!$1:$1,0),FALSE)</f>
        <v>#N/A</v>
      </c>
      <c r="T96" s="299" t="e">
        <f>VLOOKUP($AN96,'Group Model'!$1:$1048576,MATCH("FY"&amp;RIGHT(T$1,2)&amp;LEFT(T$2,1),'Group Model'!$1:$1,0),FALSE)</f>
        <v>#N/A</v>
      </c>
      <c r="U96" s="299"/>
      <c r="V96" s="299">
        <f>VLOOKUP($AN96,'Group Model'!$1:$1048576,MATCH("1H"&amp;MID(V$1,3,2)&amp;LEFT(V$2,1),'Group Model'!$1:$1,0),FALSE)</f>
        <v>10987</v>
      </c>
      <c r="W96" s="299">
        <f>VLOOKUP($AN96,'Group Model'!$1:$1048576,MATCH("1H"&amp;MID(W$1,3,2)&amp;LEFT(W$2,1),'Group Model'!$1:$1,0),FALSE)</f>
        <v>10987</v>
      </c>
      <c r="X96" s="299">
        <f>VLOOKUP($AN96,'Group Model'!$1:$1048576,MATCH("1H"&amp;MID(X$1,3,2)&amp;LEFT(X$2,1),'Group Model'!$1:$1,0),FALSE)</f>
        <v>12229</v>
      </c>
      <c r="Y96" s="299">
        <f>VLOOKUP($AN96,'Group Model'!$1:$1048576,MATCH("1H"&amp;MID(Y$1,3,2)&amp;LEFT(Y$2,1),'Group Model'!$1:$1,0),FALSE)</f>
        <v>12229</v>
      </c>
      <c r="Z96" s="299">
        <f>VLOOKUP($AN96,'Group Model'!$1:$1048576,MATCH("1H"&amp;MID(Z$1,3,2)&amp;LEFT(Z$2,1),'Group Model'!$1:$1,0),FALSE)</f>
        <v>11690</v>
      </c>
      <c r="AA96" s="299">
        <f>VLOOKUP($AN96,'Group Model'!$1:$1048576,MATCH("1H"&amp;MID(AA$1,3,2)&amp;LEFT(AA$2,1),'Group Model'!$1:$1,0),FALSE)</f>
        <v>11690</v>
      </c>
      <c r="AB96" s="299">
        <f>VLOOKUP($AN96,'Group Model'!$1:$1048576,MATCH("1H"&amp;MID(AB$1,3,2)&amp;LEFT(AB$2,1),'Group Model'!$1:$1,0),FALSE)</f>
        <v>14631</v>
      </c>
      <c r="AC96" s="299">
        <f>VLOOKUP($AN96,'Group Model'!$1:$1048576,MATCH("1H"&amp;MID(AC$1,3,2)&amp;LEFT(AC$2,1),'Group Model'!$1:$1,0),FALSE)</f>
        <v>14631</v>
      </c>
      <c r="AD96" s="299">
        <f>VLOOKUP($AN96,'Group Model'!$1:$1048576,MATCH("1H"&amp;MID(AD$1,3,2)&amp;LEFT(AD$2,1),'Group Model'!$1:$1,0),FALSE)</f>
        <v>14921</v>
      </c>
      <c r="AE96" s="299">
        <f>VLOOKUP($AN96,'Group Model'!$1:$1048576,MATCH("1H"&amp;MID(AE$1,3,2)&amp;LEFT(AE$2,1),'Group Model'!$1:$1,0),FALSE)</f>
        <v>14921</v>
      </c>
      <c r="AF96" s="299">
        <f>VLOOKUP($AN96,'Group Model'!$1:$1048576,MATCH("1H"&amp;MID(AF$1,3,2)&amp;LEFT(AF$2,1),'Group Model'!$1:$1,0),FALSE)</f>
        <v>15357</v>
      </c>
      <c r="AG96" s="299" t="e">
        <f>VLOOKUP($AN96,'Group Model'!$1:$1048576,MATCH("2H"&amp;MID(AG$1,3,2)&amp;LEFT(AG$2,1),'Group Model'!$1:$1,0),FALSE)</f>
        <v>#N/A</v>
      </c>
      <c r="AH96" s="299" t="e">
        <f>VLOOKUP($AN96,'Group Model'!$1:$1048576,MATCH("1H"&amp;MID(AH$1,3,2)&amp;LEFT(AH$2,1),'Group Model'!$1:$1,0),FALSE)</f>
        <v>#N/A</v>
      </c>
      <c r="AI96" s="299" t="e">
        <f>VLOOKUP($AN96,'Group Model'!$1:$1048576,MATCH("2H"&amp;MID(AI$1,3,2)&amp;LEFT(AI$2,1),'Group Model'!$1:$1,0),FALSE)</f>
        <v>#N/A</v>
      </c>
      <c r="AL96" s="298">
        <f>ROW()</f>
        <v>96</v>
      </c>
      <c r="AN96" s="298" t="str">
        <f>'Group Model'!A98</f>
        <v>OrdEqu_EOP</v>
      </c>
    </row>
    <row r="97" spans="1:41" outlineLevel="2">
      <c r="B97" t="s">
        <v>1666</v>
      </c>
      <c r="C97" t="s">
        <v>1667</v>
      </c>
      <c r="D97" t="str">
        <f t="shared" si="8"/>
        <v>AUD</v>
      </c>
      <c r="F97" s="299">
        <f>VLOOKUP($AN97,'Group Model'!$1:$1048576,MATCH("FY"&amp;RIGHT(F$1,2)&amp;LEFT(F$2,1),'Group Model'!$1:$1,0),FALSE)</f>
        <v>0</v>
      </c>
      <c r="G97" s="299">
        <f>VLOOKUP($AN97,'Group Model'!$1:$1048576,MATCH("FY"&amp;RIGHT(G$1,2)&amp;LEFT(G$2,1),'Group Model'!$1:$1,0),FALSE)</f>
        <v>0</v>
      </c>
      <c r="H97" s="299">
        <f>VLOOKUP($AN97,'Group Model'!$1:$1048576,MATCH("FY"&amp;RIGHT(H$1,2)&amp;LEFT(H$2,1),'Group Model'!$1:$1,0),FALSE)</f>
        <v>0</v>
      </c>
      <c r="I97" s="299">
        <f>VLOOKUP($AN97,'Group Model'!$1:$1048576,MATCH("FY"&amp;RIGHT(I$1,2)&amp;LEFT(I$2,1),'Group Model'!$1:$1,0),FALSE)</f>
        <v>0</v>
      </c>
      <c r="J97" s="299">
        <f>VLOOKUP($AN97,'Group Model'!$1:$1048576,MATCH("FY"&amp;RIGHT(J$1,2)&amp;LEFT(J$2,1),'Group Model'!$1:$1,0),FALSE)</f>
        <v>0</v>
      </c>
      <c r="K97" s="299">
        <f>VLOOKUP($AN97,'Group Model'!$1:$1048576,MATCH("FY"&amp;RIGHT(K$1,2)&amp;LEFT(K$2,1),'Group Model'!$1:$1,0),FALSE)</f>
        <v>0</v>
      </c>
      <c r="L97" s="299">
        <f>VLOOKUP($AN97,'Group Model'!$1:$1048576,MATCH("FY"&amp;RIGHT(L$1,2)&amp;LEFT(L$2,1),'Group Model'!$1:$1,0),FALSE)</f>
        <v>0</v>
      </c>
      <c r="M97" s="299">
        <f>VLOOKUP($AN97,'Group Model'!$1:$1048576,MATCH("FY"&amp;RIGHT(M$1,2)&amp;LEFT(M$2,1),'Group Model'!$1:$1,0),FALSE)</f>
        <v>0</v>
      </c>
      <c r="N97" s="299">
        <f>VLOOKUP($AN97,'Group Model'!$1:$1048576,MATCH("FY"&amp;RIGHT(N$1,2)&amp;LEFT(N$2,1),'Group Model'!$1:$1,0),FALSE)</f>
        <v>0</v>
      </c>
      <c r="O97" s="299">
        <f>VLOOKUP($AN97,'Group Model'!$1:$1048576,MATCH("FY"&amp;RIGHT(O$1,2)&amp;LEFT(O$2,1),'Group Model'!$1:$1,0),FALSE)</f>
        <v>0</v>
      </c>
      <c r="P97" s="299">
        <f>VLOOKUP($AN97,'Group Model'!$1:$1048576,MATCH("FY"&amp;RIGHT(P$1,2)&amp;LEFT(P$2,1),'Group Model'!$1:$1,0),FALSE)</f>
        <v>0</v>
      </c>
      <c r="Q97" s="299">
        <f>VLOOKUP($AN97,'Group Model'!$1:$1048576,MATCH("FY"&amp;RIGHT(Q$1,2)&amp;LEFT(Q$2,1),'Group Model'!$1:$1,0),FALSE)</f>
        <v>0</v>
      </c>
      <c r="R97" s="299" t="e">
        <f>VLOOKUP($AN97,'Group Model'!$1:$1048576,MATCH("FY"&amp;RIGHT(R$1,2)&amp;LEFT(R$2,1),'Group Model'!$1:$1,0),FALSE)</f>
        <v>#N/A</v>
      </c>
      <c r="S97" s="299" t="e">
        <f>VLOOKUP($AN97,'Group Model'!$1:$1048576,MATCH("FY"&amp;RIGHT(S$1,2)&amp;LEFT(S$2,1),'Group Model'!$1:$1,0),FALSE)</f>
        <v>#N/A</v>
      </c>
      <c r="T97" s="299" t="e">
        <f>VLOOKUP($AN97,'Group Model'!$1:$1048576,MATCH("FY"&amp;RIGHT(T$1,2)&amp;LEFT(T$2,1),'Group Model'!$1:$1,0),FALSE)</f>
        <v>#N/A</v>
      </c>
      <c r="U97" s="299"/>
      <c r="V97" s="299">
        <f>VLOOKUP($AN97,'Group Model'!$1:$1048576,MATCH("1H"&amp;MID(V$1,3,2)&amp;LEFT(V$2,1),'Group Model'!$1:$1,0),FALSE)</f>
        <v>0</v>
      </c>
      <c r="W97" s="299">
        <f>VLOOKUP($AN97,'Group Model'!$1:$1048576,MATCH("1H"&amp;MID(W$1,3,2)&amp;LEFT(W$2,1),'Group Model'!$1:$1,0),FALSE)</f>
        <v>0</v>
      </c>
      <c r="X97" s="299">
        <f>VLOOKUP($AN97,'Group Model'!$1:$1048576,MATCH("1H"&amp;MID(X$1,3,2)&amp;LEFT(X$2,1),'Group Model'!$1:$1,0),FALSE)</f>
        <v>0</v>
      </c>
      <c r="Y97" s="299">
        <f>VLOOKUP($AN97,'Group Model'!$1:$1048576,MATCH("1H"&amp;MID(Y$1,3,2)&amp;LEFT(Y$2,1),'Group Model'!$1:$1,0),FALSE)</f>
        <v>0</v>
      </c>
      <c r="Z97" s="299">
        <f>VLOOKUP($AN97,'Group Model'!$1:$1048576,MATCH("1H"&amp;MID(Z$1,3,2)&amp;LEFT(Z$2,1),'Group Model'!$1:$1,0),FALSE)</f>
        <v>0</v>
      </c>
      <c r="AA97" s="299">
        <f>VLOOKUP($AN97,'Group Model'!$1:$1048576,MATCH("1H"&amp;MID(AA$1,3,2)&amp;LEFT(AA$2,1),'Group Model'!$1:$1,0),FALSE)</f>
        <v>0</v>
      </c>
      <c r="AB97" s="299">
        <f>VLOOKUP($AN97,'Group Model'!$1:$1048576,MATCH("1H"&amp;MID(AB$1,3,2)&amp;LEFT(AB$2,1),'Group Model'!$1:$1,0),FALSE)</f>
        <v>0</v>
      </c>
      <c r="AC97" s="299">
        <f>VLOOKUP($AN97,'Group Model'!$1:$1048576,MATCH("1H"&amp;MID(AC$1,3,2)&amp;LEFT(AC$2,1),'Group Model'!$1:$1,0),FALSE)</f>
        <v>0</v>
      </c>
      <c r="AD97" s="299">
        <f>VLOOKUP($AN97,'Group Model'!$1:$1048576,MATCH("1H"&amp;MID(AD$1,3,2)&amp;LEFT(AD$2,1),'Group Model'!$1:$1,0),FALSE)</f>
        <v>0</v>
      </c>
      <c r="AE97" s="299">
        <f>VLOOKUP($AN97,'Group Model'!$1:$1048576,MATCH("1H"&amp;MID(AE$1,3,2)&amp;LEFT(AE$2,1),'Group Model'!$1:$1,0),FALSE)</f>
        <v>0</v>
      </c>
      <c r="AF97" s="299">
        <f>VLOOKUP($AN97,'Group Model'!$1:$1048576,MATCH("1H"&amp;MID(AF$1,3,2)&amp;LEFT(AF$2,1),'Group Model'!$1:$1,0),FALSE)</f>
        <v>0</v>
      </c>
      <c r="AG97" s="299" t="e">
        <f>VLOOKUP($AN97,'Group Model'!$1:$1048576,MATCH("2H"&amp;MID(AG$1,3,2)&amp;LEFT(AG$2,1),'Group Model'!$1:$1,0),FALSE)</f>
        <v>#N/A</v>
      </c>
      <c r="AH97" s="299" t="e">
        <f>VLOOKUP($AN97,'Group Model'!$1:$1048576,MATCH("1H"&amp;MID(AH$1,3,2)&amp;LEFT(AH$2,1),'Group Model'!$1:$1,0),FALSE)</f>
        <v>#N/A</v>
      </c>
      <c r="AI97" s="299" t="e">
        <f>VLOOKUP($AN97,'Group Model'!$1:$1048576,MATCH("2H"&amp;MID(AI$1,3,2)&amp;LEFT(AI$2,1),'Group Model'!$1:$1,0),FALSE)</f>
        <v>#N/A</v>
      </c>
      <c r="AL97" s="298">
        <f>ROW()</f>
        <v>97</v>
      </c>
      <c r="AN97" s="421" t="s">
        <v>143</v>
      </c>
    </row>
    <row r="98" spans="1:41" outlineLevel="2">
      <c r="B98" t="s">
        <v>813</v>
      </c>
      <c r="C98" t="s">
        <v>814</v>
      </c>
      <c r="D98" t="str">
        <f t="shared" si="8"/>
        <v>AUD</v>
      </c>
      <c r="F98" s="299">
        <f>VLOOKUP($AN98,'Group Model'!$1:$1048576,MATCH("FY"&amp;RIGHT(F$1,2)&amp;LEFT(F$2,1),'Group Model'!$1:$1,0),FALSE)</f>
        <v>1239</v>
      </c>
      <c r="G98" s="299">
        <f>VLOOKUP($AN98,'Group Model'!$1:$1048576,MATCH("FY"&amp;RIGHT(G$1,2)&amp;LEFT(G$2,1),'Group Model'!$1:$1,0),FALSE)</f>
        <v>1248</v>
      </c>
      <c r="H98" s="299">
        <f>VLOOKUP($AN98,'Group Model'!$1:$1048576,MATCH("FY"&amp;RIGHT(H$1,2)&amp;LEFT(H$2,1),'Group Model'!$1:$1,0),FALSE)</f>
        <v>1232</v>
      </c>
      <c r="I98" s="299">
        <f>VLOOKUP($AN98,'Group Model'!$1:$1048576,MATCH("FY"&amp;RIGHT(I$1,2)&amp;LEFT(I$2,1),'Group Model'!$1:$1,0),FALSE)</f>
        <v>896</v>
      </c>
      <c r="J98" s="299">
        <f>VLOOKUP($AN98,'Group Model'!$1:$1048576,MATCH("FY"&amp;RIGHT(J$1,2)&amp;LEFT(J$2,1),'Group Model'!$1:$1,0),FALSE)</f>
        <v>537</v>
      </c>
      <c r="K98" s="299">
        <f>VLOOKUP($AN98,'Group Model'!$1:$1048576,MATCH("FY"&amp;RIGHT(K$1,2)&amp;LEFT(K$2,1),'Group Model'!$1:$1,0),FALSE)</f>
        <v>528</v>
      </c>
      <c r="L98" s="299">
        <f>VLOOKUP($AN98,'Group Model'!$1:$1048576,MATCH("FY"&amp;RIGHT(L$1,2)&amp;LEFT(L$2,1),'Group Model'!$1:$1,0),FALSE)</f>
        <v>529</v>
      </c>
      <c r="M98" s="299">
        <f>VLOOKUP($AN98,'Group Model'!$1:$1048576,MATCH("FY"&amp;RIGHT(M$1,2)&amp;LEFT(M$2,1),'Group Model'!$1:$1,0),FALSE)</f>
        <v>552</v>
      </c>
      <c r="N98" s="299">
        <f>VLOOKUP($AN98,'Group Model'!$1:$1048576,MATCH("FY"&amp;RIGHT(N$1,2)&amp;LEFT(N$2,1),'Group Model'!$1:$1,0),FALSE)</f>
        <v>496</v>
      </c>
      <c r="O98" s="299">
        <f>VLOOKUP($AN98,'Group Model'!$1:$1048576,MATCH("FY"&amp;RIGHT(O$1,2)&amp;LEFT(O$2,1),'Group Model'!$1:$1,0),FALSE)</f>
        <v>487</v>
      </c>
      <c r="P98" s="299">
        <f>VLOOKUP($AN98,'Group Model'!$1:$1048576,MATCH("FY"&amp;RIGHT(P$1,2)&amp;LEFT(P$2,1),'Group Model'!$1:$1,0),FALSE)</f>
        <v>548</v>
      </c>
      <c r="Q98" s="299">
        <f>VLOOKUP($AN98,'Group Model'!$1:$1048576,MATCH("FY"&amp;RIGHT(Q$1,2)&amp;LEFT(Q$2,1),'Group Model'!$1:$1,0),FALSE)</f>
        <v>1707</v>
      </c>
      <c r="R98" s="299" t="e">
        <f>VLOOKUP($AN98,'Group Model'!$1:$1048576,MATCH("FY"&amp;RIGHT(R$1,2)&amp;LEFT(R$2,1),'Group Model'!$1:$1,0),FALSE)</f>
        <v>#N/A</v>
      </c>
      <c r="S98" s="299" t="e">
        <f>VLOOKUP($AN98,'Group Model'!$1:$1048576,MATCH("FY"&amp;RIGHT(S$1,2)&amp;LEFT(S$2,1),'Group Model'!$1:$1,0),FALSE)</f>
        <v>#N/A</v>
      </c>
      <c r="T98" s="299" t="e">
        <f>VLOOKUP($AN98,'Group Model'!$1:$1048576,MATCH("FY"&amp;RIGHT(T$1,2)&amp;LEFT(T$2,1),'Group Model'!$1:$1,0),FALSE)</f>
        <v>#N/A</v>
      </c>
      <c r="U98" s="299"/>
      <c r="V98" s="299">
        <f>VLOOKUP($AN98,'Group Model'!$1:$1048576,MATCH("1H"&amp;MID(V$1,3,2)&amp;LEFT(V$2,1),'Group Model'!$1:$1,0),FALSE)</f>
        <v>512</v>
      </c>
      <c r="W98" s="299">
        <f>VLOOKUP($AN98,'Group Model'!$1:$1048576,MATCH("1H"&amp;MID(W$1,3,2)&amp;LEFT(W$2,1),'Group Model'!$1:$1,0),FALSE)</f>
        <v>512</v>
      </c>
      <c r="X98" s="299">
        <f>VLOOKUP($AN98,'Group Model'!$1:$1048576,MATCH("1H"&amp;MID(X$1,3,2)&amp;LEFT(X$2,1),'Group Model'!$1:$1,0),FALSE)</f>
        <v>490</v>
      </c>
      <c r="Y98" s="299">
        <f>VLOOKUP($AN98,'Group Model'!$1:$1048576,MATCH("1H"&amp;MID(Y$1,3,2)&amp;LEFT(Y$2,1),'Group Model'!$1:$1,0),FALSE)</f>
        <v>490</v>
      </c>
      <c r="Z98" s="299">
        <f>VLOOKUP($AN98,'Group Model'!$1:$1048576,MATCH("1H"&amp;MID(Z$1,3,2)&amp;LEFT(Z$2,1),'Group Model'!$1:$1,0),FALSE)</f>
        <v>526</v>
      </c>
      <c r="AA98" s="299">
        <f>VLOOKUP($AN98,'Group Model'!$1:$1048576,MATCH("1H"&amp;MID(AA$1,3,2)&amp;LEFT(AA$2,1),'Group Model'!$1:$1,0),FALSE)</f>
        <v>526</v>
      </c>
      <c r="AB98" s="299">
        <f>VLOOKUP($AN98,'Group Model'!$1:$1048576,MATCH("1H"&amp;MID(AB$1,3,2)&amp;LEFT(AB$2,1),'Group Model'!$1:$1,0),FALSE)</f>
        <v>586</v>
      </c>
      <c r="AC98" s="299">
        <f>VLOOKUP($AN98,'Group Model'!$1:$1048576,MATCH("1H"&amp;MID(AC$1,3,2)&amp;LEFT(AC$2,1),'Group Model'!$1:$1,0),FALSE)</f>
        <v>586</v>
      </c>
      <c r="AD98" s="299">
        <f>VLOOKUP($AN98,'Group Model'!$1:$1048576,MATCH("1H"&amp;MID(AD$1,3,2)&amp;LEFT(AD$2,1),'Group Model'!$1:$1,0),FALSE)</f>
        <v>542</v>
      </c>
      <c r="AE98" s="299">
        <f>VLOOKUP($AN98,'Group Model'!$1:$1048576,MATCH("1H"&amp;MID(AE$1,3,2)&amp;LEFT(AE$2,1),'Group Model'!$1:$1,0),FALSE)</f>
        <v>542</v>
      </c>
      <c r="AF98" s="299">
        <f>VLOOKUP($AN98,'Group Model'!$1:$1048576,MATCH("1H"&amp;MID(AF$1,3,2)&amp;LEFT(AF$2,1),'Group Model'!$1:$1,0),FALSE)</f>
        <v>1742</v>
      </c>
      <c r="AG98" s="299" t="e">
        <f>VLOOKUP($AN98,'Group Model'!$1:$1048576,MATCH("2H"&amp;MID(AG$1,3,2)&amp;LEFT(AG$2,1),'Group Model'!$1:$1,0),FALSE)</f>
        <v>#N/A</v>
      </c>
      <c r="AH98" s="299" t="e">
        <f>VLOOKUP($AN98,'Group Model'!$1:$1048576,MATCH("1H"&amp;MID(AH$1,3,2)&amp;LEFT(AH$2,1),'Group Model'!$1:$1,0),FALSE)</f>
        <v>#N/A</v>
      </c>
      <c r="AI98" s="299" t="e">
        <f>VLOOKUP($AN98,'Group Model'!$1:$1048576,MATCH("2H"&amp;MID(AI$1,3,2)&amp;LEFT(AI$2,1),'Group Model'!$1:$1,0),FALSE)</f>
        <v>#N/A</v>
      </c>
      <c r="AL98" s="298">
        <f>ROW()</f>
        <v>98</v>
      </c>
      <c r="AN98" s="420" t="s">
        <v>145</v>
      </c>
    </row>
    <row r="99" spans="1:41" outlineLevel="2">
      <c r="B99" t="s">
        <v>815</v>
      </c>
      <c r="C99" t="s">
        <v>816</v>
      </c>
      <c r="D99" t="str">
        <f t="shared" si="8"/>
        <v>AUD</v>
      </c>
      <c r="F99" s="299">
        <f>VLOOKUP($AN99,'Group Model'!$1:$1048576,MATCH("FY"&amp;RIGHT(F$1,2)&amp;LEFT(F$2,1),'Group Model'!$1:$1,0),FALSE)</f>
        <v>5337</v>
      </c>
      <c r="G99" s="299">
        <f>VLOOKUP($AN99,'Group Model'!$1:$1048576,MATCH("FY"&amp;RIGHT(G$1,2)&amp;LEFT(G$2,1),'Group Model'!$1:$1,0),FALSE)</f>
        <v>7519</v>
      </c>
      <c r="H99" s="299">
        <f>VLOOKUP($AN99,'Group Model'!$1:$1048576,MATCH("FY"&amp;RIGHT(H$1,2)&amp;LEFT(H$2,1),'Group Model'!$1:$1,0),FALSE)</f>
        <v>10061</v>
      </c>
      <c r="I99" s="299">
        <f>VLOOKUP($AN99,'Group Model'!$1:$1048576,MATCH("FY"&amp;RIGHT(I$1,2)&amp;LEFT(I$2,1),'Group Model'!$1:$1,0),FALSE)</f>
        <v>9560</v>
      </c>
      <c r="J99" s="299">
        <f>VLOOKUP($AN99,'Group Model'!$1:$1048576,MATCH("FY"&amp;RIGHT(J$1,2)&amp;LEFT(J$2,1),'Group Model'!$1:$1,0),FALSE)</f>
        <v>11769</v>
      </c>
      <c r="K99" s="299">
        <f>VLOOKUP($AN99,'Group Model'!$1:$1048576,MATCH("FY"&amp;RIGHT(K$1,2)&amp;LEFT(K$2,1),'Group Model'!$1:$1,0),FALSE)</f>
        <v>11932</v>
      </c>
      <c r="L99" s="299">
        <f>VLOOKUP($AN99,'Group Model'!$1:$1048576,MATCH("FY"&amp;RIGHT(L$1,2)&amp;LEFT(L$2,1),'Group Model'!$1:$1,0),FALSE)</f>
        <v>11732</v>
      </c>
      <c r="M99" s="299">
        <f>VLOOKUP($AN99,'Group Model'!$1:$1048576,MATCH("FY"&amp;RIGHT(M$1,2)&amp;LEFT(M$2,1),'Group Model'!$1:$1,0),FALSE)</f>
        <v>11955</v>
      </c>
      <c r="N99" s="299">
        <f>VLOOKUP($AN99,'Group Model'!$1:$1048576,MATCH("FY"&amp;RIGHT(N$1,2)&amp;LEFT(N$2,1),'Group Model'!$1:$1,0),FALSE)</f>
        <v>11914</v>
      </c>
      <c r="O99" s="299">
        <f>VLOOKUP($AN99,'Group Model'!$1:$1048576,MATCH("FY"&amp;RIGHT(O$1,2)&amp;LEFT(O$2,1),'Group Model'!$1:$1,0),FALSE)</f>
        <v>14396</v>
      </c>
      <c r="P99" s="299">
        <f>VLOOKUP($AN99,'Group Model'!$1:$1048576,MATCH("FY"&amp;RIGHT(P$1,2)&amp;LEFT(P$2,1),'Group Model'!$1:$1,0),FALSE)</f>
        <v>15664</v>
      </c>
      <c r="Q99" s="299">
        <f>VLOOKUP($AN99,'Group Model'!$1:$1048576,MATCH("FY"&amp;RIGHT(Q$1,2)&amp;LEFT(Q$2,1),'Group Model'!$1:$1,0),FALSE)</f>
        <v>17270</v>
      </c>
      <c r="R99" s="299" t="e">
        <f>VLOOKUP($AN99,'Group Model'!$1:$1048576,MATCH("FY"&amp;RIGHT(R$1,2)&amp;LEFT(R$2,1),'Group Model'!$1:$1,0),FALSE)</f>
        <v>#N/A</v>
      </c>
      <c r="S99" s="299" t="e">
        <f>VLOOKUP($AN99,'Group Model'!$1:$1048576,MATCH("FY"&amp;RIGHT(S$1,2)&amp;LEFT(S$2,1),'Group Model'!$1:$1,0),FALSE)</f>
        <v>#N/A</v>
      </c>
      <c r="T99" s="299" t="e">
        <f>VLOOKUP($AN99,'Group Model'!$1:$1048576,MATCH("FY"&amp;RIGHT(T$1,2)&amp;LEFT(T$2,1),'Group Model'!$1:$1,0),FALSE)</f>
        <v>#N/A</v>
      </c>
      <c r="U99" s="299"/>
      <c r="V99" s="299">
        <f>VLOOKUP($AN99,'Group Model'!$1:$1048576,MATCH("1H"&amp;MID(V$1,3,2)&amp;LEFT(V$2,1),'Group Model'!$1:$1,0),FALSE)</f>
        <v>11499</v>
      </c>
      <c r="W99" s="299">
        <f>VLOOKUP($AN99,'Group Model'!$1:$1048576,MATCH("1H"&amp;MID(W$1,3,2)&amp;LEFT(W$2,1),'Group Model'!$1:$1,0),FALSE)</f>
        <v>11499</v>
      </c>
      <c r="X99" s="299">
        <f>VLOOKUP($AN99,'Group Model'!$1:$1048576,MATCH("1H"&amp;MID(X$1,3,2)&amp;LEFT(X$2,1),'Group Model'!$1:$1,0),FALSE)</f>
        <v>12719</v>
      </c>
      <c r="Y99" s="299">
        <f>VLOOKUP($AN99,'Group Model'!$1:$1048576,MATCH("1H"&amp;MID(Y$1,3,2)&amp;LEFT(Y$2,1),'Group Model'!$1:$1,0),FALSE)</f>
        <v>12719</v>
      </c>
      <c r="Z99" s="299">
        <f>VLOOKUP($AN99,'Group Model'!$1:$1048576,MATCH("1H"&amp;MID(Z$1,3,2)&amp;LEFT(Z$2,1),'Group Model'!$1:$1,0),FALSE)</f>
        <v>12216</v>
      </c>
      <c r="AA99" s="299">
        <f>VLOOKUP($AN99,'Group Model'!$1:$1048576,MATCH("1H"&amp;MID(AA$1,3,2)&amp;LEFT(AA$2,1),'Group Model'!$1:$1,0),FALSE)</f>
        <v>12216</v>
      </c>
      <c r="AB99" s="299">
        <f>VLOOKUP($AN99,'Group Model'!$1:$1048576,MATCH("1H"&amp;MID(AB$1,3,2)&amp;LEFT(AB$2,1),'Group Model'!$1:$1,0),FALSE)</f>
        <v>15217</v>
      </c>
      <c r="AC99" s="299">
        <f>VLOOKUP($AN99,'Group Model'!$1:$1048576,MATCH("1H"&amp;MID(AC$1,3,2)&amp;LEFT(AC$2,1),'Group Model'!$1:$1,0),FALSE)</f>
        <v>15217</v>
      </c>
      <c r="AD99" s="299">
        <f>VLOOKUP($AN99,'Group Model'!$1:$1048576,MATCH("1H"&amp;MID(AD$1,3,2)&amp;LEFT(AD$2,1),'Group Model'!$1:$1,0),FALSE)</f>
        <v>15463</v>
      </c>
      <c r="AE99" s="299">
        <f>VLOOKUP($AN99,'Group Model'!$1:$1048576,MATCH("1H"&amp;MID(AE$1,3,2)&amp;LEFT(AE$2,1),'Group Model'!$1:$1,0),FALSE)</f>
        <v>15463</v>
      </c>
      <c r="AF99" s="299">
        <f>VLOOKUP($AN99,'Group Model'!$1:$1048576,MATCH("1H"&amp;MID(AF$1,3,2)&amp;LEFT(AF$2,1),'Group Model'!$1:$1,0),FALSE)</f>
        <v>17099</v>
      </c>
      <c r="AG99" s="299" t="e">
        <f>VLOOKUP($AN99,'Group Model'!$1:$1048576,MATCH("2H"&amp;MID(AG$1,3,2)&amp;LEFT(AG$2,1),'Group Model'!$1:$1,0),FALSE)</f>
        <v>#N/A</v>
      </c>
      <c r="AH99" s="299" t="e">
        <f>VLOOKUP($AN99,'Group Model'!$1:$1048576,MATCH("1H"&amp;MID(AH$1,3,2)&amp;LEFT(AH$2,1),'Group Model'!$1:$1,0),FALSE)</f>
        <v>#N/A</v>
      </c>
      <c r="AI99" s="299" t="e">
        <f>VLOOKUP($AN99,'Group Model'!$1:$1048576,MATCH("2H"&amp;MID(AI$1,3,2)&amp;LEFT(AI$2,1),'Group Model'!$1:$1,0),FALSE)</f>
        <v>#N/A</v>
      </c>
      <c r="AL99" s="298">
        <f>ROW()</f>
        <v>99</v>
      </c>
      <c r="AN99" s="419" t="s">
        <v>147</v>
      </c>
    </row>
    <row r="100" spans="1:41" outlineLevel="2">
      <c r="B100" t="s">
        <v>1668</v>
      </c>
      <c r="C100" t="s">
        <v>1669</v>
      </c>
      <c r="D100" t="str">
        <f t="shared" si="8"/>
        <v>AUD</v>
      </c>
      <c r="F100" s="299"/>
      <c r="G100" s="299"/>
      <c r="H100" s="299"/>
      <c r="I100" s="299"/>
      <c r="J100" s="299"/>
      <c r="K100" s="299"/>
      <c r="L100" s="299"/>
      <c r="M100" s="299"/>
      <c r="N100" s="299"/>
      <c r="O100" s="299"/>
      <c r="P100" s="299"/>
      <c r="Q100" s="299"/>
      <c r="R100" s="299"/>
      <c r="S100" s="299"/>
      <c r="T100" s="299"/>
      <c r="U100" s="299"/>
      <c r="V100" s="299"/>
      <c r="W100" s="299"/>
      <c r="X100" s="299"/>
      <c r="Y100" s="299"/>
      <c r="Z100" s="299"/>
      <c r="AA100" s="299"/>
      <c r="AB100" s="299"/>
      <c r="AC100" s="299"/>
      <c r="AD100" s="299"/>
      <c r="AE100" s="299"/>
      <c r="AF100" s="299"/>
      <c r="AG100" s="299"/>
      <c r="AH100" s="299"/>
      <c r="AI100" s="299"/>
      <c r="AL100" s="298">
        <f>ROW()</f>
        <v>100</v>
      </c>
    </row>
    <row r="101" spans="1:41" outlineLevel="2">
      <c r="B101" t="s">
        <v>817</v>
      </c>
      <c r="C101" t="s">
        <v>818</v>
      </c>
      <c r="D101" t="str">
        <f t="shared" si="8"/>
        <v>AUD</v>
      </c>
      <c r="F101" s="299">
        <f>VLOOKUP($AN101,'Group Model'!$1:$1048576,MATCH("FY"&amp;RIGHT(F$1,2)&amp;LEFT(F$2,1),'Group Model'!$1:$1,0),FALSE)+VLOOKUP($AO101,'Group Model'!$1:$1048576,MATCH("FY"&amp;RIGHT(F$1,2)&amp;LEFT(F$2,1),'Group Model'!$1:$1,0),FALSE)</f>
        <v>106211</v>
      </c>
      <c r="G101" s="299">
        <f>VLOOKUP($AN101,'Group Model'!$1:$1048576,MATCH("FY"&amp;RIGHT(G$1,2)&amp;LEFT(G$2,1),'Group Model'!$1:$1,0),FALSE)+VLOOKUP($AO101,'Group Model'!$1:$1048576,MATCH("FY"&amp;RIGHT(G$1,2)&amp;LEFT(G$2,1),'Group Model'!$1:$1,0),FALSE)</f>
        <v>136389</v>
      </c>
      <c r="H101" s="299">
        <f>VLOOKUP($AN101,'Group Model'!$1:$1048576,MATCH("FY"&amp;RIGHT(H$1,2)&amp;LEFT(H$2,1),'Group Model'!$1:$1,0),FALSE)+VLOOKUP($AO101,'Group Model'!$1:$1048576,MATCH("FY"&amp;RIGHT(H$1,2)&amp;LEFT(H$2,1),'Group Model'!$1:$1,0),FALSE)</f>
        <v>167250</v>
      </c>
      <c r="I101" s="299">
        <f>VLOOKUP($AN101,'Group Model'!$1:$1048576,MATCH("FY"&amp;RIGHT(I$1,2)&amp;LEFT(I$2,1),'Group Model'!$1:$1,0),FALSE)+VLOOKUP($AO101,'Group Model'!$1:$1048576,MATCH("FY"&amp;RIGHT(I$1,2)&amp;LEFT(I$2,1),'Group Model'!$1:$1,0),FALSE)</f>
        <v>149144</v>
      </c>
      <c r="J101" s="299">
        <f>VLOOKUP($AN101,'Group Model'!$1:$1048576,MATCH("FY"&amp;RIGHT(J$1,2)&amp;LEFT(J$2,1),'Group Model'!$1:$1,0),FALSE)+VLOOKUP($AO101,'Group Model'!$1:$1048576,MATCH("FY"&amp;RIGHT(J$1,2)&amp;LEFT(J$2,1),'Group Model'!$1:$1,0),FALSE)</f>
        <v>145940</v>
      </c>
      <c r="K101" s="299">
        <f>VLOOKUP($AN101,'Group Model'!$1:$1048576,MATCH("FY"&amp;RIGHT(K$1,2)&amp;LEFT(K$2,1),'Group Model'!$1:$1,0),FALSE)+VLOOKUP($AO101,'Group Model'!$1:$1048576,MATCH("FY"&amp;RIGHT(K$1,2)&amp;LEFT(K$2,1),'Group Model'!$1:$1,0),FALSE)</f>
        <v>157568</v>
      </c>
      <c r="L101" s="299">
        <f>VLOOKUP($AN101,'Group Model'!$1:$1048576,MATCH("FY"&amp;RIGHT(L$1,2)&amp;LEFT(L$2,1),'Group Model'!$1:$1,0),FALSE)+VLOOKUP($AO101,'Group Model'!$1:$1048576,MATCH("FY"&amp;RIGHT(L$1,2)&amp;LEFT(L$2,1),'Group Model'!$1:$1,0),FALSE)</f>
        <v>153626</v>
      </c>
      <c r="M101" s="299">
        <f>VLOOKUP($AN101,'Group Model'!$1:$1048576,MATCH("FY"&amp;RIGHT(M$1,2)&amp;LEFT(M$2,1),'Group Model'!$1:$1,0),FALSE)+VLOOKUP($AO101,'Group Model'!$1:$1048576,MATCH("FY"&amp;RIGHT(M$1,2)&amp;LEFT(M$2,1),'Group Model'!$1:$1,0),FALSE)</f>
        <v>144748</v>
      </c>
      <c r="N101" s="299">
        <f>VLOOKUP($AN101,'Group Model'!$1:$1048576,MATCH("FY"&amp;RIGHT(N$1,2)&amp;LEFT(N$2,1),'Group Model'!$1:$1,0),FALSE)+VLOOKUP($AO101,'Group Model'!$1:$1048576,MATCH("FY"&amp;RIGHT(N$1,2)&amp;LEFT(N$2,1),'Group Model'!$1:$1,0),FALSE)</f>
        <v>153904</v>
      </c>
      <c r="O101" s="299">
        <f>VLOOKUP($AN101,'Group Model'!$1:$1048576,MATCH("FY"&amp;RIGHT(O$1,2)&amp;LEFT(O$2,1),'Group Model'!$1:$1,0),FALSE)+VLOOKUP($AO101,'Group Model'!$1:$1048576,MATCH("FY"&amp;RIGHT(O$1,2)&amp;LEFT(O$2,1),'Group Model'!$1:$1,0),FALSE)</f>
        <v>187976</v>
      </c>
      <c r="P101" s="299">
        <f>VLOOKUP($AN101,'Group Model'!$1:$1048576,MATCH("FY"&amp;RIGHT(P$1,2)&amp;LEFT(P$2,1),'Group Model'!$1:$1,0),FALSE)+VLOOKUP($AO101,'Group Model'!$1:$1048576,MATCH("FY"&amp;RIGHT(P$1,2)&amp;LEFT(P$2,1),'Group Model'!$1:$1,0),FALSE)</f>
        <v>196755</v>
      </c>
      <c r="Q101" s="299">
        <f>VLOOKUP($AN101,'Group Model'!$1:$1048576,MATCH("FY"&amp;RIGHT(Q$1,2)&amp;LEFT(Q$2,1),'Group Model'!$1:$1,0),FALSE)+VLOOKUP($AO101,'Group Model'!$1:$1048576,MATCH("FY"&amp;RIGHT(Q$1,2)&amp;LEFT(Q$2,1),'Group Model'!$1:$1,0),FALSE)</f>
        <v>182877</v>
      </c>
      <c r="R101" s="299" t="e">
        <f>VLOOKUP($AN101,'Group Model'!$1:$1048576,MATCH("FY"&amp;RIGHT(R$1,2)&amp;LEFT(R$2,1),'Group Model'!$1:$1,0),FALSE)+VLOOKUP($AO101,'Group Model'!$1:$1048576,MATCH("FY"&amp;RIGHT(R$1,2)&amp;LEFT(R$2,1),'Group Model'!$1:$1,0),FALSE)</f>
        <v>#N/A</v>
      </c>
      <c r="S101" s="299" t="e">
        <f>VLOOKUP($AN101,'Group Model'!$1:$1048576,MATCH("FY"&amp;RIGHT(S$1,2)&amp;LEFT(S$2,1),'Group Model'!$1:$1,0),FALSE)+VLOOKUP($AO101,'Group Model'!$1:$1048576,MATCH("FY"&amp;RIGHT(S$1,2)&amp;LEFT(S$2,1),'Group Model'!$1:$1,0),FALSE)</f>
        <v>#N/A</v>
      </c>
      <c r="T101" s="299" t="e">
        <f>VLOOKUP($AN101,'Group Model'!$1:$1048576,MATCH("FY"&amp;RIGHT(T$1,2)&amp;LEFT(T$2,1),'Group Model'!$1:$1,0),FALSE)+VLOOKUP($AO101,'Group Model'!$1:$1048576,MATCH("FY"&amp;RIGHT(T$1,2)&amp;LEFT(T$2,1),'Group Model'!$1:$1,0),FALSE)</f>
        <v>#N/A</v>
      </c>
      <c r="U101" s="299"/>
      <c r="V101" s="299">
        <f>VLOOKUP($AN101,'Group Model'!$1:$1048576,MATCH("1H"&amp;MID(V$1,3,2)&amp;LEFT(V$2,1),'Group Model'!$1:$1,0),FALSE)+VLOOKUP($AO101,'Group Model'!$1:$1048576,MATCH("1H"&amp;MID(V$1,3,2)&amp;LEFT(V$2,1),'Group Model'!$1:$1,0),FALSE)</f>
        <v>152180</v>
      </c>
      <c r="W101" s="299">
        <f>VLOOKUP($AN101,'Group Model'!$1:$1048576,MATCH("1H"&amp;MID(W$1,3,2)&amp;LEFT(W$2,1),'Group Model'!$1:$1,0),FALSE)+VLOOKUP($AO101,'Group Model'!$1:$1048576,MATCH("1H"&amp;MID(W$1,3,2)&amp;LEFT(W$2,1),'Group Model'!$1:$1,0),FALSE)</f>
        <v>152180</v>
      </c>
      <c r="X101" s="299">
        <f>VLOOKUP($AN101,'Group Model'!$1:$1048576,MATCH("1H"&amp;MID(X$1,3,2)&amp;LEFT(X$2,1),'Group Model'!$1:$1,0),FALSE)+VLOOKUP($AO101,'Group Model'!$1:$1048576,MATCH("1H"&amp;MID(X$1,3,2)&amp;LEFT(X$2,1),'Group Model'!$1:$1,0),FALSE)</f>
        <v>154600</v>
      </c>
      <c r="Y101" s="299">
        <f>VLOOKUP($AN101,'Group Model'!$1:$1048576,MATCH("1H"&amp;MID(Y$1,3,2)&amp;LEFT(Y$2,1),'Group Model'!$1:$1,0),FALSE)+VLOOKUP($AO101,'Group Model'!$1:$1048576,MATCH("1H"&amp;MID(Y$1,3,2)&amp;LEFT(Y$2,1),'Group Model'!$1:$1,0),FALSE)</f>
        <v>154600</v>
      </c>
      <c r="Z101" s="299">
        <f>VLOOKUP($AN101,'Group Model'!$1:$1048576,MATCH("1H"&amp;MID(Z$1,3,2)&amp;LEFT(Z$2,1),'Group Model'!$1:$1,0),FALSE)+VLOOKUP($AO101,'Group Model'!$1:$1048576,MATCH("1H"&amp;MID(Z$1,3,2)&amp;LEFT(Z$2,1),'Group Model'!$1:$1,0),FALSE)</f>
        <v>162332</v>
      </c>
      <c r="AA101" s="299">
        <f>VLOOKUP($AN101,'Group Model'!$1:$1048576,MATCH("1H"&amp;MID(AA$1,3,2)&amp;LEFT(AA$2,1),'Group Model'!$1:$1,0),FALSE)+VLOOKUP($AO101,'Group Model'!$1:$1048576,MATCH("1H"&amp;MID(AA$1,3,2)&amp;LEFT(AA$2,1),'Group Model'!$1:$1,0),FALSE)</f>
        <v>162332</v>
      </c>
      <c r="AB101" s="299">
        <f>VLOOKUP($AN101,'Group Model'!$1:$1048576,MATCH("1H"&amp;MID(AB$1,3,2)&amp;LEFT(AB$2,1),'Group Model'!$1:$1,0),FALSE)+VLOOKUP($AO101,'Group Model'!$1:$1048576,MATCH("1H"&amp;MID(AB$1,3,2)&amp;LEFT(AB$2,1),'Group Model'!$1:$1,0),FALSE)</f>
        <v>209090</v>
      </c>
      <c r="AC101" s="299">
        <f>VLOOKUP($AN101,'Group Model'!$1:$1048576,MATCH("1H"&amp;MID(AC$1,3,2)&amp;LEFT(AC$2,1),'Group Model'!$1:$1,0),FALSE)+VLOOKUP($AO101,'Group Model'!$1:$1048576,MATCH("1H"&amp;MID(AC$1,3,2)&amp;LEFT(AC$2,1),'Group Model'!$1:$1,0),FALSE)</f>
        <v>209090</v>
      </c>
      <c r="AD101" s="299">
        <f>VLOOKUP($AN101,'Group Model'!$1:$1048576,MATCH("1H"&amp;MID(AD$1,3,2)&amp;LEFT(AD$2,1),'Group Model'!$1:$1,0),FALSE)+VLOOKUP($AO101,'Group Model'!$1:$1048576,MATCH("1H"&amp;MID(AD$1,3,2)&amp;LEFT(AD$2,1),'Group Model'!$1:$1,0),FALSE)</f>
        <v>193093</v>
      </c>
      <c r="AE101" s="299">
        <f>VLOOKUP($AN101,'Group Model'!$1:$1048576,MATCH("1H"&amp;MID(AE$1,3,2)&amp;LEFT(AE$2,1),'Group Model'!$1:$1,0),FALSE)+VLOOKUP($AO101,'Group Model'!$1:$1048576,MATCH("1H"&amp;MID(AE$1,3,2)&amp;LEFT(AE$2,1),'Group Model'!$1:$1,0),FALSE)</f>
        <v>193093</v>
      </c>
      <c r="AF101" s="299">
        <f>VLOOKUP($AN101,'Group Model'!$1:$1048576,MATCH("1H"&amp;MID(AF$1,3,2)&amp;LEFT(AF$2,1),'Group Model'!$1:$1,0),FALSE)+VLOOKUP($AO101,'Group Model'!$1:$1048576,MATCH("1H"&amp;MID(AF$1,3,2)&amp;LEFT(AF$2,1),'Group Model'!$1:$1,0),FALSE)</f>
        <v>189760</v>
      </c>
      <c r="AG101" s="299" t="e">
        <f>VLOOKUP($AN101,'Group Model'!$1:$1048576,MATCH("2H"&amp;MID(AG$1,3,2)&amp;LEFT(AG$2,1),'Group Model'!$1:$1,0),FALSE)+VLOOKUP($AO101,'Group Model'!$1:$1048576,MATCH("2H"&amp;MID(AG$1,3,2)&amp;LEFT(AG$2,1),'Group Model'!$1:$1,0),FALSE)</f>
        <v>#N/A</v>
      </c>
      <c r="AH101" s="299" t="e">
        <f>VLOOKUP($AN101,'Group Model'!$1:$1048576,MATCH("1H"&amp;MID(AH$1,3,2)&amp;LEFT(AH$2,1),'Group Model'!$1:$1,0),FALSE)+VLOOKUP($AO101,'Group Model'!$1:$1048576,MATCH("1H"&amp;MID(AH$1,3,2)&amp;LEFT(AH$2,1),'Group Model'!$1:$1,0),FALSE)</f>
        <v>#N/A</v>
      </c>
      <c r="AI101" s="299" t="e">
        <f>VLOOKUP($AN101,'Group Model'!$1:$1048576,MATCH("2H"&amp;MID(AI$1,3,2)&amp;LEFT(AI$2,1),'Group Model'!$1:$1,0),FALSE)+VLOOKUP($AO101,'Group Model'!$1:$1048576,MATCH("2H"&amp;MID(AI$1,3,2)&amp;LEFT(AI$2,1),'Group Model'!$1:$1,0),FALSE)</f>
        <v>#N/A</v>
      </c>
      <c r="AL101" s="298">
        <f>ROW()</f>
        <v>101</v>
      </c>
      <c r="AN101" s="298" t="str">
        <f>AN99</f>
        <v>OrdEqu_TotalEquity</v>
      </c>
      <c r="AO101" s="298" t="str">
        <f>'Group Model'!A444</f>
        <v>AD_PETL</v>
      </c>
    </row>
    <row r="102" spans="1:41" s="297" customFormat="1" outlineLevel="1">
      <c r="A102" s="316" t="s">
        <v>819</v>
      </c>
      <c r="B102" s="316"/>
      <c r="C102" s="316"/>
      <c r="D102" s="316"/>
      <c r="AL102" s="298">
        <f>ROW()</f>
        <v>102</v>
      </c>
    </row>
    <row r="103" spans="1:41" outlineLevel="2">
      <c r="B103" t="s">
        <v>1490</v>
      </c>
      <c r="C103" t="s">
        <v>1491</v>
      </c>
      <c r="F103" s="299"/>
      <c r="G103" s="299"/>
      <c r="H103" s="299"/>
      <c r="I103" s="299"/>
      <c r="J103" s="299"/>
      <c r="K103" s="299"/>
      <c r="L103" s="299"/>
      <c r="M103" s="299"/>
      <c r="N103" s="299"/>
      <c r="O103" s="299">
        <f>(33.2*1000)*0.4</f>
        <v>13280</v>
      </c>
      <c r="P103" s="299">
        <f>0.4*(45.6*1000)</f>
        <v>18240</v>
      </c>
      <c r="Q103" s="299">
        <f>AVERAGE(O103:P103)</f>
        <v>15760</v>
      </c>
      <c r="R103" s="299">
        <f>Q103</f>
        <v>15760</v>
      </c>
      <c r="S103" s="299">
        <f>R103</f>
        <v>15760</v>
      </c>
      <c r="T103" s="299">
        <f>S103</f>
        <v>15760</v>
      </c>
      <c r="U103" s="299"/>
      <c r="V103" s="299"/>
      <c r="W103" s="299"/>
      <c r="X103" s="299"/>
      <c r="Y103" s="299"/>
      <c r="Z103" s="299"/>
      <c r="AA103" s="299"/>
      <c r="AB103" s="299"/>
      <c r="AC103" s="299"/>
      <c r="AD103" s="299"/>
      <c r="AE103" s="299"/>
      <c r="AF103" s="299"/>
      <c r="AG103" s="299"/>
      <c r="AH103" s="299"/>
      <c r="AI103" s="299"/>
      <c r="AL103" s="298">
        <f>ROW()</f>
        <v>103</v>
      </c>
    </row>
    <row r="104" spans="1:41" outlineLevel="2">
      <c r="B104" t="s">
        <v>1492</v>
      </c>
      <c r="C104" t="s">
        <v>1493</v>
      </c>
      <c r="F104" s="302">
        <v>1</v>
      </c>
      <c r="G104" s="302">
        <v>1</v>
      </c>
      <c r="H104" s="302">
        <v>1</v>
      </c>
      <c r="I104" s="302">
        <v>1</v>
      </c>
      <c r="J104" s="302">
        <v>1</v>
      </c>
      <c r="K104" s="302">
        <v>1</v>
      </c>
      <c r="L104" s="302">
        <v>1</v>
      </c>
      <c r="M104" s="302">
        <v>1</v>
      </c>
      <c r="N104" s="302">
        <v>1</v>
      </c>
      <c r="O104" s="302">
        <v>1</v>
      </c>
      <c r="P104" s="302">
        <v>1</v>
      </c>
      <c r="Q104" s="302">
        <v>1</v>
      </c>
      <c r="R104" s="302">
        <v>1</v>
      </c>
      <c r="S104" s="302">
        <v>1</v>
      </c>
      <c r="T104" s="302">
        <v>1</v>
      </c>
      <c r="U104" s="302"/>
      <c r="V104" s="302"/>
      <c r="W104" s="302"/>
      <c r="X104" s="302"/>
      <c r="Y104" s="302"/>
      <c r="Z104" s="302"/>
      <c r="AA104" s="302"/>
      <c r="AB104" s="302"/>
      <c r="AC104" s="302"/>
      <c r="AD104" s="302"/>
      <c r="AE104" s="302"/>
      <c r="AF104" s="302"/>
      <c r="AG104" s="302"/>
      <c r="AH104" s="302"/>
      <c r="AI104" s="302"/>
      <c r="AL104" s="298">
        <f>ROW()</f>
        <v>104</v>
      </c>
    </row>
    <row r="105" spans="1:41" outlineLevel="2">
      <c r="B105" t="s">
        <v>1494</v>
      </c>
      <c r="C105" t="s">
        <v>1495</v>
      </c>
      <c r="F105" s="302"/>
      <c r="G105" s="302"/>
      <c r="H105" s="302"/>
      <c r="I105" s="302"/>
      <c r="J105" s="302"/>
      <c r="K105" s="302"/>
      <c r="L105" s="302"/>
      <c r="M105" s="302"/>
      <c r="N105" s="302"/>
      <c r="O105" s="302"/>
      <c r="P105" s="302"/>
      <c r="Q105" s="302"/>
      <c r="R105" s="302"/>
      <c r="S105" s="302"/>
      <c r="T105" s="302"/>
      <c r="U105" s="302"/>
      <c r="V105" s="302"/>
      <c r="W105" s="302"/>
      <c r="X105" s="302"/>
      <c r="Y105" s="302"/>
      <c r="Z105" s="302"/>
      <c r="AA105" s="302"/>
      <c r="AB105" s="302"/>
      <c r="AC105" s="302"/>
      <c r="AD105" s="302"/>
      <c r="AE105" s="302"/>
      <c r="AF105" s="302"/>
      <c r="AG105" s="302"/>
      <c r="AH105" s="302"/>
      <c r="AI105" s="302"/>
      <c r="AL105" s="298">
        <f>ROW()</f>
        <v>105</v>
      </c>
    </row>
    <row r="106" spans="1:41" outlineLevel="2">
      <c r="B106" t="s">
        <v>1496</v>
      </c>
      <c r="C106" t="s">
        <v>1497</v>
      </c>
      <c r="F106" s="302"/>
      <c r="G106" s="302"/>
      <c r="H106" s="302"/>
      <c r="I106" s="302"/>
      <c r="J106" s="302"/>
      <c r="K106" s="302"/>
      <c r="L106" s="302"/>
      <c r="M106" s="302"/>
      <c r="N106" s="302"/>
      <c r="O106" s="302"/>
      <c r="P106" s="302"/>
      <c r="Q106" s="302"/>
      <c r="R106" s="302"/>
      <c r="S106" s="302"/>
      <c r="T106" s="302"/>
      <c r="U106" s="302"/>
      <c r="V106" s="302"/>
      <c r="W106" s="302"/>
      <c r="X106" s="302"/>
      <c r="Y106" s="302"/>
      <c r="Z106" s="302"/>
      <c r="AA106" s="302"/>
      <c r="AB106" s="302"/>
      <c r="AC106" s="302"/>
      <c r="AD106" s="302"/>
      <c r="AE106" s="302"/>
      <c r="AF106" s="302"/>
      <c r="AG106" s="302"/>
      <c r="AH106" s="302"/>
      <c r="AI106" s="302"/>
      <c r="AL106" s="298">
        <f>ROW()</f>
        <v>106</v>
      </c>
    </row>
    <row r="107" spans="1:41" outlineLevel="2">
      <c r="B107" t="s">
        <v>820</v>
      </c>
      <c r="C107" t="s">
        <v>821</v>
      </c>
      <c r="D107" t="str">
        <f t="shared" ref="D107:D113" si="9">E_CURRENCY_ISSR_208008758_REP</f>
        <v>AUD</v>
      </c>
      <c r="F107" s="299"/>
      <c r="G107" s="299"/>
      <c r="H107" s="299"/>
      <c r="I107" s="299"/>
      <c r="J107" s="299"/>
      <c r="K107" s="299"/>
      <c r="L107" s="299"/>
      <c r="M107" s="299"/>
      <c r="N107" s="299"/>
      <c r="O107" s="299"/>
      <c r="P107" s="299"/>
      <c r="Q107" s="299"/>
      <c r="R107" s="299"/>
      <c r="S107" s="299"/>
      <c r="T107" s="299"/>
      <c r="U107" s="299"/>
      <c r="V107" s="299"/>
      <c r="W107" s="299"/>
      <c r="X107" s="299"/>
      <c r="Y107" s="299"/>
      <c r="Z107" s="299"/>
      <c r="AA107" s="299"/>
      <c r="AB107" s="299"/>
      <c r="AC107" s="299"/>
      <c r="AD107" s="299"/>
      <c r="AE107" s="299"/>
      <c r="AF107" s="299"/>
      <c r="AG107" s="299"/>
      <c r="AH107" s="299"/>
      <c r="AI107" s="299"/>
      <c r="AL107" s="298">
        <f>ROW()</f>
        <v>107</v>
      </c>
    </row>
    <row r="108" spans="1:41" outlineLevel="2">
      <c r="B108" t="s">
        <v>822</v>
      </c>
      <c r="C108" t="s">
        <v>823</v>
      </c>
      <c r="D108" t="str">
        <f t="shared" si="9"/>
        <v>AUD</v>
      </c>
      <c r="F108" s="299"/>
      <c r="G108" s="299"/>
      <c r="H108" s="299"/>
      <c r="I108" s="299"/>
      <c r="J108" s="299"/>
      <c r="K108" s="299"/>
      <c r="L108" s="299"/>
      <c r="M108" s="299"/>
      <c r="N108" s="299"/>
      <c r="O108" s="299"/>
      <c r="P108" s="299"/>
      <c r="Q108" s="299"/>
      <c r="R108" s="299"/>
      <c r="S108" s="299"/>
      <c r="T108" s="299"/>
      <c r="U108" s="299"/>
      <c r="V108" s="299"/>
      <c r="W108" s="299"/>
      <c r="X108" s="299"/>
      <c r="Y108" s="299"/>
      <c r="Z108" s="299"/>
      <c r="AA108" s="299"/>
      <c r="AB108" s="299"/>
      <c r="AC108" s="299"/>
      <c r="AD108" s="299"/>
      <c r="AE108" s="299"/>
      <c r="AF108" s="299"/>
      <c r="AG108" s="299"/>
      <c r="AH108" s="299"/>
      <c r="AI108" s="299"/>
      <c r="AL108" s="298">
        <f>ROW()</f>
        <v>108</v>
      </c>
    </row>
    <row r="109" spans="1:41" outlineLevel="2">
      <c r="B109" t="s">
        <v>824</v>
      </c>
      <c r="C109" t="s">
        <v>825</v>
      </c>
      <c r="D109" t="str">
        <f t="shared" si="9"/>
        <v>AUD</v>
      </c>
      <c r="F109" s="299"/>
      <c r="G109" s="299"/>
      <c r="H109" s="299"/>
      <c r="I109" s="299"/>
      <c r="J109" s="299"/>
      <c r="K109" s="299"/>
      <c r="L109" s="299"/>
      <c r="M109" s="299"/>
      <c r="N109" s="299"/>
      <c r="O109" s="299"/>
      <c r="P109" s="299"/>
      <c r="Q109" s="299"/>
      <c r="R109" s="299"/>
      <c r="S109" s="299"/>
      <c r="T109" s="299"/>
      <c r="U109" s="299"/>
      <c r="V109" s="299"/>
      <c r="W109" s="299"/>
      <c r="X109" s="299"/>
      <c r="Y109" s="299"/>
      <c r="Z109" s="299"/>
      <c r="AA109" s="299"/>
      <c r="AB109" s="299"/>
      <c r="AC109" s="299"/>
      <c r="AD109" s="299"/>
      <c r="AE109" s="299"/>
      <c r="AF109" s="299"/>
      <c r="AG109" s="299"/>
      <c r="AH109" s="299"/>
      <c r="AI109" s="299"/>
      <c r="AL109" s="298">
        <f>ROW()</f>
        <v>109</v>
      </c>
    </row>
    <row r="110" spans="1:41" outlineLevel="2">
      <c r="B110" t="s">
        <v>826</v>
      </c>
      <c r="C110" t="s">
        <v>827</v>
      </c>
      <c r="D110" t="str">
        <f t="shared" si="9"/>
        <v>AUD</v>
      </c>
      <c r="F110" s="299"/>
      <c r="G110" s="299"/>
      <c r="H110" s="299"/>
      <c r="I110" s="299"/>
      <c r="J110" s="299"/>
      <c r="K110" s="299"/>
      <c r="L110" s="299"/>
      <c r="M110" s="299"/>
      <c r="N110" s="299"/>
      <c r="O110" s="299"/>
      <c r="P110" s="299"/>
      <c r="Q110" s="299"/>
      <c r="R110" s="299"/>
      <c r="S110" s="299"/>
      <c r="T110" s="299"/>
      <c r="U110" s="299"/>
      <c r="V110" s="299"/>
      <c r="W110" s="299"/>
      <c r="X110" s="299"/>
      <c r="Y110" s="299"/>
      <c r="Z110" s="299"/>
      <c r="AA110" s="299"/>
      <c r="AB110" s="299"/>
      <c r="AC110" s="299"/>
      <c r="AD110" s="299"/>
      <c r="AE110" s="299"/>
      <c r="AF110" s="299"/>
      <c r="AG110" s="299"/>
      <c r="AH110" s="299"/>
      <c r="AI110" s="299"/>
      <c r="AL110" s="298">
        <f>ROW()</f>
        <v>110</v>
      </c>
    </row>
    <row r="111" spans="1:41" outlineLevel="2">
      <c r="B111" t="s">
        <v>828</v>
      </c>
      <c r="C111" t="s">
        <v>829</v>
      </c>
      <c r="D111" t="str">
        <f t="shared" si="9"/>
        <v>AUD</v>
      </c>
      <c r="F111" s="299"/>
      <c r="G111" s="299"/>
      <c r="H111" s="299"/>
      <c r="I111" s="299"/>
      <c r="J111" s="299"/>
      <c r="K111" s="299"/>
      <c r="L111" s="299"/>
      <c r="M111" s="299"/>
      <c r="N111" s="299"/>
      <c r="O111" s="299"/>
      <c r="P111" s="299"/>
      <c r="Q111" s="299"/>
      <c r="R111" s="299"/>
      <c r="S111" s="299"/>
      <c r="T111" s="299"/>
      <c r="U111" s="299"/>
      <c r="V111" s="299"/>
      <c r="W111" s="299"/>
      <c r="X111" s="299"/>
      <c r="Y111" s="299"/>
      <c r="Z111" s="299"/>
      <c r="AA111" s="299"/>
      <c r="AB111" s="299"/>
      <c r="AC111" s="299"/>
      <c r="AD111" s="299"/>
      <c r="AE111" s="299"/>
      <c r="AF111" s="299"/>
      <c r="AG111" s="299"/>
      <c r="AH111" s="299"/>
      <c r="AI111" s="299"/>
      <c r="AL111" s="298">
        <f>ROW()</f>
        <v>111</v>
      </c>
    </row>
    <row r="112" spans="1:41" outlineLevel="2">
      <c r="B112" t="s">
        <v>830</v>
      </c>
      <c r="C112" t="s">
        <v>831</v>
      </c>
      <c r="D112" t="str">
        <f t="shared" si="9"/>
        <v>AUD</v>
      </c>
      <c r="F112" s="299"/>
      <c r="G112" s="299"/>
      <c r="H112" s="299"/>
      <c r="I112" s="299"/>
      <c r="J112" s="299"/>
      <c r="K112" s="299"/>
      <c r="L112" s="299"/>
      <c r="M112" s="299"/>
      <c r="N112" s="299"/>
      <c r="O112" s="299"/>
      <c r="P112" s="299"/>
      <c r="Q112" s="299"/>
      <c r="R112" s="299"/>
      <c r="S112" s="299"/>
      <c r="T112" s="299"/>
      <c r="U112" s="299"/>
      <c r="V112" s="299"/>
      <c r="W112" s="299"/>
      <c r="X112" s="299"/>
      <c r="Y112" s="299"/>
      <c r="Z112" s="299"/>
      <c r="AA112" s="299"/>
      <c r="AB112" s="299"/>
      <c r="AC112" s="299"/>
      <c r="AD112" s="299"/>
      <c r="AE112" s="299"/>
      <c r="AF112" s="299"/>
      <c r="AG112" s="299"/>
      <c r="AH112" s="299"/>
      <c r="AI112" s="299"/>
      <c r="AL112" s="298">
        <f>ROW()</f>
        <v>112</v>
      </c>
    </row>
    <row r="113" spans="1:40" outlineLevel="2">
      <c r="B113" t="s">
        <v>813</v>
      </c>
      <c r="C113" t="s">
        <v>832</v>
      </c>
      <c r="D113" t="str">
        <f t="shared" si="9"/>
        <v>AUD</v>
      </c>
      <c r="F113" s="299"/>
      <c r="G113" s="299"/>
      <c r="H113" s="299"/>
      <c r="I113" s="299"/>
      <c r="J113" s="299"/>
      <c r="K113" s="299"/>
      <c r="L113" s="299"/>
      <c r="M113" s="299"/>
      <c r="N113" s="299"/>
      <c r="O113" s="299"/>
      <c r="P113" s="299"/>
      <c r="Q113" s="299"/>
      <c r="R113" s="299"/>
      <c r="S113" s="299"/>
      <c r="T113" s="299"/>
      <c r="U113" s="299"/>
      <c r="V113" s="299"/>
      <c r="W113" s="299"/>
      <c r="X113" s="299"/>
      <c r="Y113" s="299"/>
      <c r="Z113" s="299"/>
      <c r="AA113" s="299"/>
      <c r="AB113" s="299"/>
      <c r="AC113" s="299"/>
      <c r="AD113" s="299"/>
      <c r="AE113" s="299"/>
      <c r="AF113" s="299"/>
      <c r="AG113" s="299"/>
      <c r="AH113" s="299"/>
      <c r="AI113" s="299"/>
      <c r="AL113" s="298">
        <f>ROW()</f>
        <v>113</v>
      </c>
    </row>
    <row r="114" spans="1:40" outlineLevel="2">
      <c r="B114" t="s">
        <v>1670</v>
      </c>
      <c r="C114" t="s">
        <v>1671</v>
      </c>
      <c r="F114" s="299"/>
      <c r="G114" s="299"/>
      <c r="H114" s="299"/>
      <c r="I114" s="299"/>
      <c r="J114" s="299"/>
      <c r="K114" s="299"/>
      <c r="L114" s="299"/>
      <c r="M114" s="299"/>
      <c r="N114" s="299"/>
      <c r="O114" s="299"/>
      <c r="P114" s="299"/>
      <c r="Q114" s="299"/>
      <c r="R114" s="299"/>
      <c r="S114" s="299"/>
      <c r="T114" s="299"/>
      <c r="U114" s="299"/>
      <c r="V114" s="299"/>
      <c r="W114" s="299"/>
      <c r="X114" s="299"/>
      <c r="Y114" s="299"/>
      <c r="Z114" s="299"/>
      <c r="AA114" s="299"/>
      <c r="AB114" s="299"/>
      <c r="AC114" s="299"/>
      <c r="AD114" s="299"/>
      <c r="AE114" s="299"/>
      <c r="AF114" s="299"/>
      <c r="AG114" s="299"/>
      <c r="AH114" s="299"/>
      <c r="AI114" s="299"/>
      <c r="AL114" s="298">
        <f>ROW()</f>
        <v>114</v>
      </c>
    </row>
    <row r="115" spans="1:40" s="297" customFormat="1" outlineLevel="1">
      <c r="A115" s="316" t="s">
        <v>833</v>
      </c>
      <c r="B115" s="316"/>
      <c r="C115" s="316"/>
      <c r="D115" s="316"/>
      <c r="AL115" s="298">
        <f>ROW()</f>
        <v>115</v>
      </c>
    </row>
    <row r="116" spans="1:40" outlineLevel="2">
      <c r="B116" t="s">
        <v>834</v>
      </c>
      <c r="C116" t="s">
        <v>835</v>
      </c>
      <c r="D116" t="str">
        <f>E_CURRENCY_ISSR_208008758_REP</f>
        <v>AUD</v>
      </c>
      <c r="F116" s="299"/>
      <c r="G116" s="299"/>
      <c r="H116" s="299"/>
      <c r="I116" s="299"/>
      <c r="J116" s="299"/>
      <c r="K116" s="299"/>
      <c r="L116" s="299"/>
      <c r="M116" s="299"/>
      <c r="N116" s="299"/>
      <c r="O116" s="299"/>
      <c r="P116" s="299"/>
      <c r="Q116" s="299"/>
      <c r="R116" s="299"/>
      <c r="S116" s="299"/>
      <c r="T116" s="299"/>
      <c r="U116" s="299"/>
      <c r="V116" s="299"/>
      <c r="W116" s="299"/>
      <c r="X116" s="299"/>
      <c r="Y116" s="299"/>
      <c r="Z116" s="299"/>
      <c r="AA116" s="299"/>
      <c r="AB116" s="299"/>
      <c r="AC116" s="299"/>
      <c r="AD116" s="299"/>
      <c r="AE116" s="299"/>
      <c r="AF116" s="299"/>
      <c r="AG116" s="299"/>
      <c r="AH116" s="299"/>
      <c r="AI116" s="299"/>
      <c r="AL116" s="298">
        <f>ROW()</f>
        <v>116</v>
      </c>
    </row>
    <row r="117" spans="1:40" s="297" customFormat="1" outlineLevel="1">
      <c r="A117" s="316" t="s">
        <v>836</v>
      </c>
      <c r="B117" s="316"/>
      <c r="C117" s="316"/>
      <c r="D117" s="316"/>
      <c r="AL117" s="298">
        <f>ROW()</f>
        <v>117</v>
      </c>
    </row>
    <row r="118" spans="1:40" outlineLevel="2">
      <c r="B118" t="s">
        <v>837</v>
      </c>
      <c r="C118" t="s">
        <v>838</v>
      </c>
      <c r="F118" s="299">
        <f>VLOOKUP($AN118,'Group Model'!$1:$1048576,MATCH("FY"&amp;RIGHT(F$1,2)&amp;LEFT(F$2,1),'Group Model'!$1:$1,0),FALSE)</f>
        <v>8183</v>
      </c>
      <c r="G118" s="299">
        <f>VLOOKUP($AN118,'Group Model'!$1:$1048576,MATCH("FY"&amp;RIGHT(G$1,2)&amp;LEFT(G$2,1),'Group Model'!$1:$1,0),FALSE)</f>
        <v>10023</v>
      </c>
      <c r="H118" s="299">
        <f>VLOOKUP($AN118,'Group Model'!$1:$1048576,MATCH("FY"&amp;RIGHT(H$1,2)&amp;LEFT(H$2,1),'Group Model'!$1:$1,0),FALSE)</f>
        <v>13107</v>
      </c>
      <c r="I118" s="299">
        <f>VLOOKUP($AN118,'Group Model'!$1:$1048576,MATCH("FY"&amp;RIGHT(I$1,2)&amp;LEFT(I$2,1),'Group Model'!$1:$1,0),FALSE)</f>
        <v>12716</v>
      </c>
      <c r="J118" s="299">
        <f>VLOOKUP($AN118,'Group Model'!$1:$1048576,MATCH("FY"&amp;RIGHT(J$1,2)&amp;LEFT(J$2,1),'Group Model'!$1:$1,0),FALSE)</f>
        <v>14657</v>
      </c>
      <c r="K118" s="299">
        <f>VLOOKUP($AN118,'Group Model'!$1:$1048576,MATCH("FY"&amp;RIGHT(K$1,2)&amp;LEFT(K$2,1),'Group Model'!$1:$1,0),FALSE)</f>
        <v>15556</v>
      </c>
      <c r="L118" s="299">
        <f>VLOOKUP($AN118,'Group Model'!$1:$1048576,MATCH("FY"&amp;RIGHT(L$1,2)&amp;LEFT(L$2,1),'Group Model'!$1:$1,0),FALSE)</f>
        <v>14202</v>
      </c>
      <c r="M118" s="299">
        <f>VLOOKUP($AN118,'Group Model'!$1:$1048576,MATCH("FY"&amp;RIGHT(M$1,2)&amp;LEFT(M$2,1),'Group Model'!$1:$1,0),FALSE)</f>
        <v>13663</v>
      </c>
      <c r="N118" s="299">
        <f>VLOOKUP($AN118,'Group Model'!$1:$1048576,MATCH("FY"&amp;RIGHT(N$1,2)&amp;LEFT(N$2,1),'Group Model'!$1:$1,0),FALSE)</f>
        <v>13913</v>
      </c>
      <c r="O118" s="299">
        <f>VLOOKUP($AN118,'Group Model'!$1:$1048576,MATCH("FY"&amp;RIGHT(O$1,2)&amp;LEFT(O$2,1),'Group Model'!$1:$1,0),FALSE)</f>
        <v>14085</v>
      </c>
      <c r="P118" s="299">
        <f>VLOOKUP($AN118,'Group Model'!$1:$1048576,MATCH("FY"&amp;RIGHT(P$1,2)&amp;LEFT(P$2,1),'Group Model'!$1:$1,0),FALSE)</f>
        <v>14372</v>
      </c>
      <c r="Q118" s="299">
        <f>VLOOKUP($AN118,'Group Model'!$1:$1048576,MATCH("FY"&amp;RIGHT(Q$1,2)&amp;LEFT(Q$2,1),'Group Model'!$1:$1,0),FALSE)</f>
        <v>13597</v>
      </c>
      <c r="R118" s="299" t="e">
        <f>VLOOKUP($AN118,'Group Model'!$1:$1048576,MATCH("FY"&amp;RIGHT(R$1,2)&amp;LEFT(R$2,1),'Group Model'!$1:$1,0),FALSE)</f>
        <v>#N/A</v>
      </c>
      <c r="S118" s="299" t="e">
        <f>VLOOKUP($AN118,'Group Model'!$1:$1048576,MATCH("FY"&amp;RIGHT(S$1,2)&amp;LEFT(S$2,1),'Group Model'!$1:$1,0),FALSE)</f>
        <v>#N/A</v>
      </c>
      <c r="T118" s="299" t="e">
        <f>VLOOKUP($AN118,'Group Model'!$1:$1048576,MATCH("FY"&amp;RIGHT(T$1,2)&amp;LEFT(T$2,1),'Group Model'!$1:$1,0),FALSE)</f>
        <v>#N/A</v>
      </c>
      <c r="U118" s="299"/>
      <c r="V118" s="299">
        <f>VLOOKUP($AN118,'Group Model'!$1:$1048576,MATCH("1H"&amp;MID(V$1,3,2)&amp;LEFT(V$2,1),'Group Model'!$1:$1,0),FALSE)</f>
        <v>13463</v>
      </c>
      <c r="W118" s="299">
        <f>VLOOKUP($AN118,'Group Model'!$1:$1048576,MATCH("1H"&amp;MID(W$1,3,2)&amp;LEFT(W$2,1),'Group Model'!$1:$1,0),FALSE)</f>
        <v>13463</v>
      </c>
      <c r="X118" s="299">
        <f>VLOOKUP($AN118,'Group Model'!$1:$1048576,MATCH("1H"&amp;MID(X$1,3,2)&amp;LEFT(X$2,1),'Group Model'!$1:$1,0),FALSE)</f>
        <v>13901</v>
      </c>
      <c r="Y118" s="299">
        <f>VLOOKUP($AN118,'Group Model'!$1:$1048576,MATCH("1H"&amp;MID(Y$1,3,2)&amp;LEFT(Y$2,1),'Group Model'!$1:$1,0),FALSE)</f>
        <v>13901</v>
      </c>
      <c r="Z118" s="299">
        <f>VLOOKUP($AN118,'Group Model'!$1:$1048576,MATCH("1H"&amp;MID(Z$1,3,2)&amp;LEFT(Z$2,1),'Group Model'!$1:$1,0),FALSE)</f>
        <v>14138</v>
      </c>
      <c r="AA118" s="299">
        <f>VLOOKUP($AN118,'Group Model'!$1:$1048576,MATCH("1H"&amp;MID(AA$1,3,2)&amp;LEFT(AA$2,1),'Group Model'!$1:$1,0),FALSE)</f>
        <v>14138</v>
      </c>
      <c r="AB118" s="299">
        <f>VLOOKUP($AN118,'Group Model'!$1:$1048576,MATCH("1H"&amp;MID(AB$1,3,2)&amp;LEFT(AB$2,1),'Group Model'!$1:$1,0),FALSE)</f>
        <v>13582</v>
      </c>
      <c r="AC118" s="299">
        <f>VLOOKUP($AN118,'Group Model'!$1:$1048576,MATCH("1H"&amp;MID(AC$1,3,2)&amp;LEFT(AC$2,1),'Group Model'!$1:$1,0),FALSE)</f>
        <v>13582</v>
      </c>
      <c r="AD118" s="299">
        <f>VLOOKUP($AN118,'Group Model'!$1:$1048576,MATCH("1H"&amp;MID(AD$1,3,2)&amp;LEFT(AD$2,1),'Group Model'!$1:$1,0),FALSE)</f>
        <v>13816</v>
      </c>
      <c r="AE118" s="299">
        <f>VLOOKUP($AN118,'Group Model'!$1:$1048576,MATCH("1H"&amp;MID(AE$1,3,2)&amp;LEFT(AE$2,1),'Group Model'!$1:$1,0),FALSE)</f>
        <v>13816</v>
      </c>
      <c r="AF118" s="299">
        <f>VLOOKUP($AN118,'Group Model'!$1:$1048576,MATCH("1H"&amp;MID(AF$1,3,2)&amp;LEFT(AF$2,1),'Group Model'!$1:$1,0),FALSE)</f>
        <v>13966</v>
      </c>
      <c r="AG118" s="299" t="e">
        <f>VLOOKUP($AN118,'Group Model'!$1:$1048576,MATCH("2H"&amp;MID(AG$1,3,2)&amp;LEFT(AG$2,1),'Group Model'!$1:$1,0),FALSE)</f>
        <v>#N/A</v>
      </c>
      <c r="AH118" s="299" t="e">
        <f>VLOOKUP($AN118,'Group Model'!$1:$1048576,MATCH("1H"&amp;MID(AH$1,3,2)&amp;LEFT(AH$2,1),'Group Model'!$1:$1,0),FALSE)</f>
        <v>#N/A</v>
      </c>
      <c r="AI118" s="299" t="e">
        <f>VLOOKUP($AN118,'Group Model'!$1:$1048576,MATCH("2H"&amp;MID(AI$1,3,2)&amp;LEFT(AI$2,1),'Group Model'!$1:$1,0),FALSE)</f>
        <v>#N/A</v>
      </c>
      <c r="AL118" s="298">
        <f>ROW()</f>
        <v>118</v>
      </c>
      <c r="AN118" s="298" t="str">
        <f>'Group Model'!A537</f>
        <v>AD_ProfitabilityFTE</v>
      </c>
    </row>
    <row r="119" spans="1:40" s="297" customFormat="1" outlineLevel="1">
      <c r="A119" s="316" t="s">
        <v>1672</v>
      </c>
      <c r="B119" s="316"/>
      <c r="C119" s="316"/>
      <c r="D119" s="316"/>
      <c r="AL119" s="298">
        <f>ROW()</f>
        <v>119</v>
      </c>
    </row>
    <row r="120" spans="1:40" outlineLevel="2">
      <c r="B120" t="s">
        <v>1673</v>
      </c>
      <c r="C120" t="s">
        <v>1674</v>
      </c>
      <c r="D120" t="str">
        <f>E_CURRENCY_ISSR_208008758_REP</f>
        <v>AUD</v>
      </c>
      <c r="F120" s="299"/>
      <c r="G120" s="299"/>
      <c r="H120" s="299"/>
      <c r="I120" s="299"/>
      <c r="J120" s="299"/>
      <c r="K120" s="299"/>
      <c r="L120" s="299"/>
      <c r="M120" s="299"/>
      <c r="N120" s="299"/>
      <c r="O120" s="299"/>
      <c r="P120" s="299"/>
      <c r="Q120" s="299"/>
      <c r="R120" s="299"/>
      <c r="S120" s="299"/>
      <c r="T120" s="299"/>
      <c r="U120" s="299"/>
      <c r="V120" s="299"/>
      <c r="W120" s="299"/>
      <c r="X120" s="299"/>
      <c r="Y120" s="299"/>
      <c r="Z120" s="299"/>
      <c r="AA120" s="299"/>
      <c r="AB120" s="299"/>
      <c r="AC120" s="299"/>
      <c r="AD120" s="299"/>
      <c r="AE120" s="299"/>
      <c r="AF120" s="299"/>
      <c r="AG120" s="299"/>
      <c r="AH120" s="299"/>
      <c r="AI120" s="299"/>
      <c r="AL120" s="298">
        <f>ROW()</f>
        <v>120</v>
      </c>
    </row>
    <row r="121" spans="1:40" outlineLevel="2">
      <c r="B121" t="s">
        <v>1675</v>
      </c>
      <c r="C121" t="s">
        <v>1676</v>
      </c>
      <c r="D121" t="str">
        <f>E_CURRENCY_ISSR_208008758_REP</f>
        <v>AUD</v>
      </c>
      <c r="F121" s="299"/>
      <c r="G121" s="299"/>
      <c r="H121" s="299"/>
      <c r="I121" s="299"/>
      <c r="J121" s="299"/>
      <c r="K121" s="299"/>
      <c r="L121" s="299"/>
      <c r="M121" s="299"/>
      <c r="N121" s="299"/>
      <c r="O121" s="299"/>
      <c r="P121" s="299"/>
      <c r="Q121" s="299"/>
      <c r="R121" s="299"/>
      <c r="S121" s="299"/>
      <c r="T121" s="299"/>
      <c r="U121" s="299"/>
      <c r="V121" s="299"/>
      <c r="W121" s="299"/>
      <c r="X121" s="299"/>
      <c r="Y121" s="299"/>
      <c r="Z121" s="299"/>
      <c r="AA121" s="299"/>
      <c r="AB121" s="299"/>
      <c r="AC121" s="299"/>
      <c r="AD121" s="299"/>
      <c r="AE121" s="299"/>
      <c r="AF121" s="299"/>
      <c r="AG121" s="299"/>
      <c r="AH121" s="299"/>
      <c r="AI121" s="299"/>
      <c r="AL121" s="298">
        <f>ROW()</f>
        <v>121</v>
      </c>
    </row>
    <row r="122" spans="1:40" outlineLevel="2">
      <c r="B122" t="s">
        <v>1677</v>
      </c>
      <c r="C122" t="s">
        <v>1678</v>
      </c>
      <c r="D122" t="str">
        <f>E_CURRENCY_ISSR_208008758_REP</f>
        <v>AUD</v>
      </c>
      <c r="F122" s="299"/>
      <c r="G122" s="299"/>
      <c r="H122" s="299"/>
      <c r="I122" s="299"/>
      <c r="J122" s="299"/>
      <c r="K122" s="299"/>
      <c r="L122" s="299"/>
      <c r="M122" s="299"/>
      <c r="N122" s="299"/>
      <c r="O122" s="299"/>
      <c r="P122" s="299"/>
      <c r="Q122" s="299"/>
      <c r="R122" s="299"/>
      <c r="S122" s="299"/>
      <c r="T122" s="299"/>
      <c r="U122" s="299"/>
      <c r="V122" s="299"/>
      <c r="W122" s="299"/>
      <c r="X122" s="299"/>
      <c r="Y122" s="299"/>
      <c r="Z122" s="299"/>
      <c r="AA122" s="299"/>
      <c r="AB122" s="299"/>
      <c r="AC122" s="299"/>
      <c r="AD122" s="299"/>
      <c r="AE122" s="299"/>
      <c r="AF122" s="299"/>
      <c r="AG122" s="299"/>
      <c r="AH122" s="299"/>
      <c r="AI122" s="299"/>
      <c r="AL122" s="298">
        <f>ROW()</f>
        <v>122</v>
      </c>
    </row>
    <row r="123" spans="1:40" s="297" customFormat="1" outlineLevel="1">
      <c r="A123" s="316" t="s">
        <v>1679</v>
      </c>
      <c r="B123" s="316"/>
      <c r="C123" s="316"/>
      <c r="D123" s="316"/>
      <c r="AL123" s="298">
        <f>ROW()</f>
        <v>123</v>
      </c>
    </row>
    <row r="124" spans="1:40" outlineLevel="2">
      <c r="B124" t="s">
        <v>1680</v>
      </c>
      <c r="C124" t="s">
        <v>1681</v>
      </c>
      <c r="F124" s="299"/>
      <c r="G124" s="299"/>
      <c r="H124" s="299"/>
      <c r="I124" s="299"/>
      <c r="J124" s="299"/>
      <c r="K124" s="299"/>
      <c r="L124" s="299"/>
      <c r="M124" s="299"/>
      <c r="N124" s="299"/>
      <c r="O124" s="299"/>
      <c r="P124" s="299"/>
      <c r="Q124" s="299"/>
      <c r="R124" s="299"/>
      <c r="S124" s="299"/>
      <c r="T124" s="299"/>
      <c r="U124" s="299"/>
      <c r="V124" s="299"/>
      <c r="W124" s="299"/>
      <c r="X124" s="299"/>
      <c r="Y124" s="299"/>
      <c r="Z124" s="299"/>
      <c r="AA124" s="299"/>
      <c r="AB124" s="299"/>
      <c r="AC124" s="299"/>
      <c r="AD124" s="299"/>
      <c r="AE124" s="299"/>
      <c r="AF124" s="299"/>
      <c r="AG124" s="299"/>
      <c r="AH124" s="299"/>
      <c r="AI124" s="299"/>
      <c r="AL124" s="298">
        <f>ROW()</f>
        <v>124</v>
      </c>
    </row>
    <row r="125" spans="1:40" outlineLevel="2">
      <c r="B125" t="s">
        <v>1682</v>
      </c>
      <c r="C125" t="s">
        <v>1683</v>
      </c>
      <c r="F125" s="302"/>
      <c r="G125" s="302"/>
      <c r="H125" s="302"/>
      <c r="I125" s="302"/>
      <c r="J125" s="302"/>
      <c r="K125" s="302"/>
      <c r="L125" s="302"/>
      <c r="M125" s="302"/>
      <c r="N125" s="302"/>
      <c r="O125" s="302"/>
      <c r="P125" s="302"/>
      <c r="Q125" s="302"/>
      <c r="R125" s="302"/>
      <c r="S125" s="302"/>
      <c r="T125" s="302"/>
      <c r="U125" s="302"/>
      <c r="V125" s="302"/>
      <c r="W125" s="302"/>
      <c r="X125" s="302"/>
      <c r="Y125" s="302"/>
      <c r="Z125" s="302"/>
      <c r="AA125" s="302"/>
      <c r="AB125" s="302"/>
      <c r="AC125" s="302"/>
      <c r="AD125" s="302"/>
      <c r="AE125" s="302"/>
      <c r="AF125" s="302"/>
      <c r="AG125" s="302"/>
      <c r="AH125" s="302"/>
      <c r="AI125" s="302"/>
      <c r="AL125" s="298">
        <f>ROW()</f>
        <v>125</v>
      </c>
    </row>
    <row r="126" spans="1:40" outlineLevel="2">
      <c r="B126" t="s">
        <v>1684</v>
      </c>
      <c r="C126" t="s">
        <v>1685</v>
      </c>
      <c r="F126" s="302"/>
      <c r="G126" s="302"/>
      <c r="H126" s="302"/>
      <c r="I126" s="302"/>
      <c r="J126" s="302"/>
      <c r="K126" s="302"/>
      <c r="L126" s="302"/>
      <c r="M126" s="302"/>
      <c r="N126" s="302"/>
      <c r="O126" s="302"/>
      <c r="P126" s="302"/>
      <c r="Q126" s="302"/>
      <c r="R126" s="302"/>
      <c r="S126" s="302"/>
      <c r="T126" s="302"/>
      <c r="U126" s="302"/>
      <c r="V126" s="302"/>
      <c r="W126" s="302"/>
      <c r="X126" s="302"/>
      <c r="Y126" s="302"/>
      <c r="Z126" s="302"/>
      <c r="AA126" s="302"/>
      <c r="AB126" s="302"/>
      <c r="AC126" s="302"/>
      <c r="AD126" s="302"/>
      <c r="AE126" s="302"/>
      <c r="AF126" s="302"/>
      <c r="AG126" s="302"/>
      <c r="AH126" s="302"/>
      <c r="AI126" s="302"/>
      <c r="AL126" s="298">
        <f>ROW()</f>
        <v>126</v>
      </c>
    </row>
    <row r="127" spans="1:40" outlineLevel="2">
      <c r="B127" t="s">
        <v>1686</v>
      </c>
      <c r="C127" t="s">
        <v>1687</v>
      </c>
      <c r="F127" s="302"/>
      <c r="G127" s="302"/>
      <c r="H127" s="302"/>
      <c r="I127" s="302"/>
      <c r="J127" s="302"/>
      <c r="K127" s="302"/>
      <c r="L127" s="302"/>
      <c r="M127" s="302"/>
      <c r="N127" s="302"/>
      <c r="O127" s="302"/>
      <c r="P127" s="302"/>
      <c r="Q127" s="302"/>
      <c r="R127" s="302"/>
      <c r="S127" s="302"/>
      <c r="T127" s="302"/>
      <c r="U127" s="302"/>
      <c r="V127" s="302"/>
      <c r="W127" s="302"/>
      <c r="X127" s="302"/>
      <c r="Y127" s="302"/>
      <c r="Z127" s="302"/>
      <c r="AA127" s="302"/>
      <c r="AB127" s="302"/>
      <c r="AC127" s="302"/>
      <c r="AD127" s="302"/>
      <c r="AE127" s="302"/>
      <c r="AF127" s="302"/>
      <c r="AG127" s="302"/>
      <c r="AH127" s="302"/>
      <c r="AI127" s="302"/>
      <c r="AL127" s="298">
        <f>ROW()</f>
        <v>127</v>
      </c>
    </row>
    <row r="128" spans="1:40" outlineLevel="2">
      <c r="B128" t="s">
        <v>1688</v>
      </c>
      <c r="C128" t="s">
        <v>1689</v>
      </c>
      <c r="D128" t="str">
        <f>E_CURRENCY_ISSR_208008758_REP</f>
        <v>AUD</v>
      </c>
      <c r="F128" s="299"/>
      <c r="G128" s="299"/>
      <c r="H128" s="299"/>
      <c r="I128" s="299"/>
      <c r="J128" s="299"/>
      <c r="K128" s="299"/>
      <c r="L128" s="299"/>
      <c r="M128" s="299"/>
      <c r="N128" s="299"/>
      <c r="O128" s="299"/>
      <c r="P128" s="299"/>
      <c r="Q128" s="299"/>
      <c r="R128" s="299"/>
      <c r="S128" s="299"/>
      <c r="T128" s="299"/>
      <c r="U128" s="299"/>
      <c r="V128" s="299"/>
      <c r="W128" s="299"/>
      <c r="X128" s="299"/>
      <c r="Y128" s="299"/>
      <c r="Z128" s="299"/>
      <c r="AA128" s="299"/>
      <c r="AB128" s="299"/>
      <c r="AC128" s="299"/>
      <c r="AD128" s="299"/>
      <c r="AE128" s="299"/>
      <c r="AF128" s="299"/>
      <c r="AG128" s="299"/>
      <c r="AH128" s="299"/>
      <c r="AI128" s="299"/>
      <c r="AL128" s="298">
        <f>ROW()</f>
        <v>128</v>
      </c>
    </row>
    <row r="129" spans="1:38" outlineLevel="2">
      <c r="B129" t="s">
        <v>1690</v>
      </c>
      <c r="C129" t="s">
        <v>1691</v>
      </c>
      <c r="F129" s="302"/>
      <c r="G129" s="302"/>
      <c r="H129" s="302"/>
      <c r="I129" s="302"/>
      <c r="J129" s="302"/>
      <c r="K129" s="302"/>
      <c r="L129" s="302"/>
      <c r="M129" s="302"/>
      <c r="N129" s="302"/>
      <c r="O129" s="302"/>
      <c r="P129" s="302"/>
      <c r="Q129" s="302"/>
      <c r="R129" s="302"/>
      <c r="S129" s="302"/>
      <c r="T129" s="302"/>
      <c r="U129" s="302"/>
      <c r="V129" s="302"/>
      <c r="W129" s="302"/>
      <c r="X129" s="302"/>
      <c r="Y129" s="302"/>
      <c r="Z129" s="302"/>
      <c r="AA129" s="302"/>
      <c r="AB129" s="302"/>
      <c r="AC129" s="302"/>
      <c r="AD129" s="302"/>
      <c r="AE129" s="302"/>
      <c r="AF129" s="302"/>
      <c r="AG129" s="302"/>
      <c r="AH129" s="302"/>
      <c r="AI129" s="302"/>
      <c r="AL129" s="298">
        <f>ROW()</f>
        <v>129</v>
      </c>
    </row>
    <row r="130" spans="1:38" outlineLevel="2">
      <c r="B130" t="s">
        <v>1692</v>
      </c>
      <c r="C130" t="s">
        <v>1693</v>
      </c>
      <c r="F130" s="302"/>
      <c r="G130" s="302"/>
      <c r="H130" s="302"/>
      <c r="I130" s="302"/>
      <c r="J130" s="302"/>
      <c r="K130" s="302"/>
      <c r="L130" s="302"/>
      <c r="M130" s="302"/>
      <c r="N130" s="302"/>
      <c r="O130" s="302"/>
      <c r="P130" s="302"/>
      <c r="Q130" s="302"/>
      <c r="R130" s="302"/>
      <c r="S130" s="302"/>
      <c r="T130" s="302"/>
      <c r="U130" s="302"/>
      <c r="V130" s="302"/>
      <c r="W130" s="302"/>
      <c r="X130" s="302"/>
      <c r="Y130" s="302"/>
      <c r="Z130" s="302"/>
      <c r="AA130" s="302"/>
      <c r="AB130" s="302"/>
      <c r="AC130" s="302"/>
      <c r="AD130" s="302"/>
      <c r="AE130" s="302"/>
      <c r="AF130" s="302"/>
      <c r="AG130" s="302"/>
      <c r="AH130" s="302"/>
      <c r="AI130" s="302"/>
      <c r="AL130" s="298">
        <f>ROW()</f>
        <v>130</v>
      </c>
    </row>
    <row r="131" spans="1:38" outlineLevel="2">
      <c r="B131" t="s">
        <v>1694</v>
      </c>
      <c r="C131" t="s">
        <v>1695</v>
      </c>
      <c r="F131" s="302"/>
      <c r="G131" s="302"/>
      <c r="H131" s="302"/>
      <c r="I131" s="302"/>
      <c r="J131" s="302"/>
      <c r="K131" s="302"/>
      <c r="L131" s="302"/>
      <c r="M131" s="302"/>
      <c r="N131" s="302"/>
      <c r="O131" s="302"/>
      <c r="P131" s="302"/>
      <c r="Q131" s="302"/>
      <c r="R131" s="302"/>
      <c r="S131" s="302"/>
      <c r="T131" s="302"/>
      <c r="U131" s="302"/>
      <c r="V131" s="302"/>
      <c r="W131" s="302"/>
      <c r="X131" s="302"/>
      <c r="Y131" s="302"/>
      <c r="Z131" s="302"/>
      <c r="AA131" s="302"/>
      <c r="AB131" s="302"/>
      <c r="AC131" s="302"/>
      <c r="AD131" s="302"/>
      <c r="AE131" s="302"/>
      <c r="AF131" s="302"/>
      <c r="AG131" s="302"/>
      <c r="AH131" s="302"/>
      <c r="AI131" s="302"/>
      <c r="AL131" s="298">
        <f>ROW()</f>
        <v>131</v>
      </c>
    </row>
    <row r="132" spans="1:38" s="297" customFormat="1" outlineLevel="1">
      <c r="A132" s="316" t="s">
        <v>1696</v>
      </c>
      <c r="B132" s="316"/>
      <c r="C132" s="316"/>
      <c r="D132" s="316"/>
      <c r="AL132" s="298">
        <f>ROW()</f>
        <v>132</v>
      </c>
    </row>
    <row r="133" spans="1:38" outlineLevel="2">
      <c r="B133" t="s">
        <v>1697</v>
      </c>
      <c r="C133" t="s">
        <v>1698</v>
      </c>
      <c r="D133" t="str">
        <f t="shared" ref="D133:D138" si="10">E_CURRENCY_ISSR_208008758_REP</f>
        <v>AUD</v>
      </c>
      <c r="F133" s="299"/>
      <c r="G133" s="299"/>
      <c r="H133" s="299"/>
      <c r="I133" s="299"/>
      <c r="J133" s="299"/>
      <c r="K133" s="299"/>
      <c r="L133" s="299"/>
      <c r="M133" s="299"/>
      <c r="N133" s="299"/>
      <c r="O133" s="299"/>
      <c r="P133" s="299"/>
      <c r="Q133" s="299"/>
      <c r="R133" s="299"/>
      <c r="S133" s="299"/>
      <c r="T133" s="299"/>
      <c r="U133" s="299"/>
      <c r="V133" s="299"/>
      <c r="W133" s="299"/>
      <c r="X133" s="299"/>
      <c r="Y133" s="299"/>
      <c r="Z133" s="299"/>
      <c r="AA133" s="299"/>
      <c r="AB133" s="299"/>
      <c r="AC133" s="299"/>
      <c r="AD133" s="299"/>
      <c r="AE133" s="299"/>
      <c r="AF133" s="299"/>
      <c r="AG133" s="299"/>
      <c r="AH133" s="299"/>
      <c r="AI133" s="299"/>
      <c r="AL133" s="298">
        <f>ROW()</f>
        <v>133</v>
      </c>
    </row>
    <row r="134" spans="1:38" outlineLevel="2">
      <c r="B134" t="s">
        <v>1699</v>
      </c>
      <c r="C134" t="s">
        <v>1700</v>
      </c>
      <c r="D134" t="str">
        <f t="shared" si="10"/>
        <v>AUD</v>
      </c>
      <c r="F134" s="299"/>
      <c r="G134" s="299"/>
      <c r="H134" s="299"/>
      <c r="I134" s="299"/>
      <c r="J134" s="299"/>
      <c r="K134" s="299"/>
      <c r="L134" s="299"/>
      <c r="M134" s="299"/>
      <c r="N134" s="299"/>
      <c r="O134" s="299"/>
      <c r="P134" s="299"/>
      <c r="Q134" s="299"/>
      <c r="R134" s="299"/>
      <c r="S134" s="299"/>
      <c r="T134" s="299"/>
      <c r="U134" s="299"/>
      <c r="V134" s="299"/>
      <c r="W134" s="299"/>
      <c r="X134" s="299"/>
      <c r="Y134" s="299"/>
      <c r="Z134" s="299"/>
      <c r="AA134" s="299"/>
      <c r="AB134" s="299"/>
      <c r="AC134" s="299"/>
      <c r="AD134" s="299"/>
      <c r="AE134" s="299"/>
      <c r="AF134" s="299"/>
      <c r="AG134" s="299"/>
      <c r="AH134" s="299"/>
      <c r="AI134" s="299"/>
      <c r="AL134" s="298">
        <f>ROW()</f>
        <v>134</v>
      </c>
    </row>
    <row r="135" spans="1:38" outlineLevel="2">
      <c r="B135" t="s">
        <v>1701</v>
      </c>
      <c r="C135" t="s">
        <v>1702</v>
      </c>
      <c r="D135" t="str">
        <f t="shared" si="10"/>
        <v>AUD</v>
      </c>
      <c r="F135" s="299"/>
      <c r="G135" s="299"/>
      <c r="H135" s="299"/>
      <c r="I135" s="299"/>
      <c r="J135" s="299"/>
      <c r="K135" s="299"/>
      <c r="L135" s="299"/>
      <c r="M135" s="299"/>
      <c r="N135" s="299"/>
      <c r="O135" s="299"/>
      <c r="P135" s="299"/>
      <c r="Q135" s="299"/>
      <c r="R135" s="299"/>
      <c r="S135" s="299"/>
      <c r="T135" s="299"/>
      <c r="U135" s="299"/>
      <c r="V135" s="299"/>
      <c r="W135" s="299"/>
      <c r="X135" s="299"/>
      <c r="Y135" s="299"/>
      <c r="Z135" s="299"/>
      <c r="AA135" s="299"/>
      <c r="AB135" s="299"/>
      <c r="AC135" s="299"/>
      <c r="AD135" s="299"/>
      <c r="AE135" s="299"/>
      <c r="AF135" s="299"/>
      <c r="AG135" s="299"/>
      <c r="AH135" s="299"/>
      <c r="AI135" s="299"/>
      <c r="AL135" s="298">
        <f>ROW()</f>
        <v>135</v>
      </c>
    </row>
    <row r="136" spans="1:38" outlineLevel="2">
      <c r="B136" t="s">
        <v>1703</v>
      </c>
      <c r="C136" t="s">
        <v>1704</v>
      </c>
      <c r="D136" t="str">
        <f t="shared" si="10"/>
        <v>AUD</v>
      </c>
      <c r="F136" s="299"/>
      <c r="G136" s="299"/>
      <c r="H136" s="299"/>
      <c r="I136" s="299"/>
      <c r="J136" s="299"/>
      <c r="K136" s="299"/>
      <c r="L136" s="299"/>
      <c r="M136" s="299"/>
      <c r="N136" s="299"/>
      <c r="O136" s="299"/>
      <c r="P136" s="299"/>
      <c r="Q136" s="299"/>
      <c r="R136" s="299"/>
      <c r="S136" s="299"/>
      <c r="T136" s="299"/>
      <c r="U136" s="299"/>
      <c r="V136" s="299"/>
      <c r="W136" s="299"/>
      <c r="X136" s="299"/>
      <c r="Y136" s="299"/>
      <c r="Z136" s="299"/>
      <c r="AA136" s="299"/>
      <c r="AB136" s="299"/>
      <c r="AC136" s="299"/>
      <c r="AD136" s="299"/>
      <c r="AE136" s="299"/>
      <c r="AF136" s="299"/>
      <c r="AG136" s="299"/>
      <c r="AH136" s="299"/>
      <c r="AI136" s="299"/>
      <c r="AL136" s="298">
        <f>ROW()</f>
        <v>136</v>
      </c>
    </row>
    <row r="137" spans="1:38" outlineLevel="2">
      <c r="B137" t="s">
        <v>1705</v>
      </c>
      <c r="C137" t="s">
        <v>1706</v>
      </c>
      <c r="D137" t="str">
        <f t="shared" si="10"/>
        <v>AUD</v>
      </c>
      <c r="F137" s="299"/>
      <c r="G137" s="299"/>
      <c r="H137" s="299"/>
      <c r="I137" s="299"/>
      <c r="J137" s="299"/>
      <c r="K137" s="299"/>
      <c r="L137" s="299"/>
      <c r="M137" s="299"/>
      <c r="N137" s="299"/>
      <c r="O137" s="299"/>
      <c r="P137" s="299"/>
      <c r="Q137" s="299"/>
      <c r="R137" s="299"/>
      <c r="S137" s="299"/>
      <c r="T137" s="299"/>
      <c r="U137" s="299"/>
      <c r="V137" s="299"/>
      <c r="W137" s="299"/>
      <c r="X137" s="299"/>
      <c r="Y137" s="299"/>
      <c r="Z137" s="299"/>
      <c r="AA137" s="299"/>
      <c r="AB137" s="299"/>
      <c r="AC137" s="299"/>
      <c r="AD137" s="299"/>
      <c r="AE137" s="299"/>
      <c r="AF137" s="299"/>
      <c r="AG137" s="299"/>
      <c r="AH137" s="299"/>
      <c r="AI137" s="299"/>
      <c r="AL137" s="298">
        <f>ROW()</f>
        <v>137</v>
      </c>
    </row>
    <row r="138" spans="1:38" outlineLevel="2">
      <c r="B138" t="s">
        <v>839</v>
      </c>
      <c r="C138" t="s">
        <v>1707</v>
      </c>
      <c r="D138" t="str">
        <f t="shared" si="10"/>
        <v>AUD</v>
      </c>
      <c r="F138" s="299"/>
      <c r="G138" s="299"/>
      <c r="H138" s="299"/>
      <c r="I138" s="299"/>
      <c r="J138" s="299"/>
      <c r="K138" s="299"/>
      <c r="L138" s="299"/>
      <c r="M138" s="299"/>
      <c r="N138" s="299"/>
      <c r="O138" s="299"/>
      <c r="P138" s="299"/>
      <c r="Q138" s="299"/>
      <c r="R138" s="299"/>
      <c r="S138" s="299"/>
      <c r="T138" s="299"/>
      <c r="U138" s="299"/>
      <c r="V138" s="299"/>
      <c r="W138" s="299"/>
      <c r="X138" s="299"/>
      <c r="Y138" s="299"/>
      <c r="Z138" s="299"/>
      <c r="AA138" s="299"/>
      <c r="AB138" s="299"/>
      <c r="AC138" s="299"/>
      <c r="AD138" s="299"/>
      <c r="AE138" s="299"/>
      <c r="AF138" s="299"/>
      <c r="AG138" s="299"/>
      <c r="AH138" s="299"/>
      <c r="AI138" s="299"/>
      <c r="AL138" s="298">
        <f>ROW()</f>
        <v>138</v>
      </c>
    </row>
    <row r="139" spans="1:38" s="297" customFormat="1" outlineLevel="1">
      <c r="A139" s="316" t="s">
        <v>1708</v>
      </c>
      <c r="B139" s="316"/>
      <c r="C139" s="316"/>
      <c r="D139" s="316"/>
      <c r="AL139" s="298">
        <f>ROW()</f>
        <v>139</v>
      </c>
    </row>
    <row r="140" spans="1:38" outlineLevel="2">
      <c r="B140" t="s">
        <v>1709</v>
      </c>
      <c r="C140" t="s">
        <v>1710</v>
      </c>
      <c r="D140" t="str">
        <f t="shared" ref="D140:D145" si="11">E_CURRENCY_ISSR_208008758_REP</f>
        <v>AUD</v>
      </c>
      <c r="F140" s="299"/>
      <c r="G140" s="299"/>
      <c r="H140" s="299"/>
      <c r="I140" s="299"/>
      <c r="J140" s="299"/>
      <c r="K140" s="299"/>
      <c r="L140" s="299"/>
      <c r="M140" s="299"/>
      <c r="N140" s="299"/>
      <c r="O140" s="299"/>
      <c r="P140" s="299"/>
      <c r="Q140" s="299"/>
      <c r="R140" s="299"/>
      <c r="S140" s="299"/>
      <c r="T140" s="299"/>
      <c r="U140" s="299"/>
      <c r="V140" s="299"/>
      <c r="W140" s="299"/>
      <c r="X140" s="299"/>
      <c r="Y140" s="299"/>
      <c r="Z140" s="299"/>
      <c r="AA140" s="299"/>
      <c r="AB140" s="299"/>
      <c r="AC140" s="299"/>
      <c r="AD140" s="299"/>
      <c r="AE140" s="299"/>
      <c r="AF140" s="299"/>
      <c r="AG140" s="299"/>
      <c r="AH140" s="299"/>
      <c r="AI140" s="299"/>
      <c r="AL140" s="298">
        <f>ROW()</f>
        <v>140</v>
      </c>
    </row>
    <row r="141" spans="1:38" outlineLevel="2">
      <c r="B141" t="s">
        <v>1711</v>
      </c>
      <c r="C141" t="s">
        <v>1712</v>
      </c>
      <c r="D141" t="str">
        <f t="shared" si="11"/>
        <v>AUD</v>
      </c>
      <c r="F141" s="299"/>
      <c r="G141" s="299"/>
      <c r="H141" s="299"/>
      <c r="I141" s="299"/>
      <c r="J141" s="299"/>
      <c r="K141" s="299"/>
      <c r="L141" s="299"/>
      <c r="M141" s="299"/>
      <c r="N141" s="299"/>
      <c r="O141" s="299"/>
      <c r="P141" s="299"/>
      <c r="Q141" s="299"/>
      <c r="R141" s="299"/>
      <c r="S141" s="299"/>
      <c r="T141" s="299"/>
      <c r="U141" s="299"/>
      <c r="V141" s="299"/>
      <c r="W141" s="299"/>
      <c r="X141" s="299"/>
      <c r="Y141" s="299"/>
      <c r="Z141" s="299"/>
      <c r="AA141" s="299"/>
      <c r="AB141" s="299"/>
      <c r="AC141" s="299"/>
      <c r="AD141" s="299"/>
      <c r="AE141" s="299"/>
      <c r="AF141" s="299"/>
      <c r="AG141" s="299"/>
      <c r="AH141" s="299"/>
      <c r="AI141" s="299"/>
      <c r="AL141" s="298">
        <f>ROW()</f>
        <v>141</v>
      </c>
    </row>
    <row r="142" spans="1:38" outlineLevel="2">
      <c r="B142" t="s">
        <v>1713</v>
      </c>
      <c r="C142" t="s">
        <v>1714</v>
      </c>
      <c r="D142" t="str">
        <f t="shared" si="11"/>
        <v>AUD</v>
      </c>
      <c r="F142" s="299"/>
      <c r="G142" s="299"/>
      <c r="H142" s="299"/>
      <c r="I142" s="299"/>
      <c r="J142" s="299"/>
      <c r="K142" s="299"/>
      <c r="L142" s="299"/>
      <c r="M142" s="299"/>
      <c r="N142" s="299"/>
      <c r="O142" s="299"/>
      <c r="P142" s="299"/>
      <c r="Q142" s="299"/>
      <c r="R142" s="299"/>
      <c r="S142" s="299"/>
      <c r="T142" s="299"/>
      <c r="U142" s="299"/>
      <c r="V142" s="299"/>
      <c r="W142" s="299"/>
      <c r="X142" s="299"/>
      <c r="Y142" s="299"/>
      <c r="Z142" s="299"/>
      <c r="AA142" s="299"/>
      <c r="AB142" s="299"/>
      <c r="AC142" s="299"/>
      <c r="AD142" s="299"/>
      <c r="AE142" s="299"/>
      <c r="AF142" s="299"/>
      <c r="AG142" s="299"/>
      <c r="AH142" s="299"/>
      <c r="AI142" s="299"/>
      <c r="AL142" s="298">
        <f>ROW()</f>
        <v>142</v>
      </c>
    </row>
    <row r="143" spans="1:38" outlineLevel="2">
      <c r="B143" t="s">
        <v>1715</v>
      </c>
      <c r="C143" t="s">
        <v>1716</v>
      </c>
      <c r="D143" t="str">
        <f t="shared" si="11"/>
        <v>AUD</v>
      </c>
      <c r="F143" s="299"/>
      <c r="G143" s="299"/>
      <c r="H143" s="299"/>
      <c r="I143" s="299"/>
      <c r="J143" s="299"/>
      <c r="K143" s="299"/>
      <c r="L143" s="299"/>
      <c r="M143" s="299"/>
      <c r="N143" s="299"/>
      <c r="O143" s="299"/>
      <c r="P143" s="299"/>
      <c r="Q143" s="299"/>
      <c r="R143" s="299"/>
      <c r="S143" s="299"/>
      <c r="T143" s="299"/>
      <c r="U143" s="299"/>
      <c r="V143" s="299"/>
      <c r="W143" s="299"/>
      <c r="X143" s="299"/>
      <c r="Y143" s="299"/>
      <c r="Z143" s="299"/>
      <c r="AA143" s="299"/>
      <c r="AB143" s="299"/>
      <c r="AC143" s="299"/>
      <c r="AD143" s="299"/>
      <c r="AE143" s="299"/>
      <c r="AF143" s="299"/>
      <c r="AG143" s="299"/>
      <c r="AH143" s="299"/>
      <c r="AI143" s="299"/>
      <c r="AL143" s="298">
        <f>ROW()</f>
        <v>143</v>
      </c>
    </row>
    <row r="144" spans="1:38" outlineLevel="2">
      <c r="B144" t="s">
        <v>1717</v>
      </c>
      <c r="C144" t="s">
        <v>1718</v>
      </c>
      <c r="D144" t="str">
        <f t="shared" si="11"/>
        <v>AUD</v>
      </c>
      <c r="F144" s="299"/>
      <c r="G144" s="299"/>
      <c r="H144" s="299"/>
      <c r="I144" s="299"/>
      <c r="J144" s="299"/>
      <c r="K144" s="299"/>
      <c r="L144" s="299"/>
      <c r="M144" s="299"/>
      <c r="N144" s="299"/>
      <c r="O144" s="299"/>
      <c r="P144" s="299"/>
      <c r="Q144" s="299"/>
      <c r="R144" s="299"/>
      <c r="S144" s="299"/>
      <c r="T144" s="299"/>
      <c r="U144" s="299"/>
      <c r="V144" s="299"/>
      <c r="W144" s="299"/>
      <c r="X144" s="299"/>
      <c r="Y144" s="299"/>
      <c r="Z144" s="299"/>
      <c r="AA144" s="299"/>
      <c r="AB144" s="299"/>
      <c r="AC144" s="299"/>
      <c r="AD144" s="299"/>
      <c r="AE144" s="299"/>
      <c r="AF144" s="299"/>
      <c r="AG144" s="299"/>
      <c r="AH144" s="299"/>
      <c r="AI144" s="299"/>
      <c r="AL144" s="298">
        <f>ROW()</f>
        <v>144</v>
      </c>
    </row>
    <row r="145" spans="1:38" outlineLevel="2">
      <c r="B145" t="s">
        <v>1719</v>
      </c>
      <c r="C145" t="s">
        <v>1720</v>
      </c>
      <c r="D145" t="str">
        <f t="shared" si="11"/>
        <v>AUD</v>
      </c>
      <c r="F145" s="299"/>
      <c r="G145" s="299"/>
      <c r="H145" s="299"/>
      <c r="I145" s="299"/>
      <c r="J145" s="299"/>
      <c r="K145" s="299"/>
      <c r="L145" s="299"/>
      <c r="M145" s="299"/>
      <c r="N145" s="299"/>
      <c r="O145" s="299"/>
      <c r="P145" s="299"/>
      <c r="Q145" s="299"/>
      <c r="R145" s="299"/>
      <c r="S145" s="299"/>
      <c r="T145" s="299"/>
      <c r="U145" s="299"/>
      <c r="V145" s="299"/>
      <c r="W145" s="299"/>
      <c r="X145" s="299"/>
      <c r="Y145" s="299"/>
      <c r="Z145" s="299"/>
      <c r="AA145" s="299"/>
      <c r="AB145" s="299"/>
      <c r="AC145" s="299"/>
      <c r="AD145" s="299"/>
      <c r="AE145" s="299"/>
      <c r="AF145" s="299"/>
      <c r="AG145" s="299"/>
      <c r="AH145" s="299"/>
      <c r="AI145" s="299"/>
      <c r="AL145" s="298">
        <f>ROW()</f>
        <v>145</v>
      </c>
    </row>
    <row r="146" spans="1:38" s="297" customFormat="1" outlineLevel="1">
      <c r="A146" s="316" t="s">
        <v>1721</v>
      </c>
      <c r="B146" s="316"/>
      <c r="C146" s="316"/>
      <c r="D146" s="316"/>
      <c r="AL146" s="298">
        <f>ROW()</f>
        <v>146</v>
      </c>
    </row>
    <row r="147" spans="1:38" outlineLevel="2">
      <c r="B147" t="s">
        <v>1722</v>
      </c>
      <c r="C147" t="s">
        <v>1723</v>
      </c>
      <c r="F147" s="302"/>
      <c r="G147" s="302"/>
      <c r="H147" s="302"/>
      <c r="I147" s="302"/>
      <c r="J147" s="302"/>
      <c r="K147" s="302"/>
      <c r="L147" s="302"/>
      <c r="M147" s="302"/>
      <c r="N147" s="302"/>
      <c r="O147" s="302"/>
      <c r="P147" s="302"/>
      <c r="Q147" s="302"/>
      <c r="R147" s="302"/>
      <c r="S147" s="302"/>
      <c r="T147" s="302"/>
      <c r="U147" s="302"/>
      <c r="V147" s="302"/>
      <c r="W147" s="302"/>
      <c r="X147" s="302"/>
      <c r="Y147" s="302"/>
      <c r="Z147" s="302"/>
      <c r="AA147" s="302"/>
      <c r="AB147" s="302"/>
      <c r="AC147" s="302"/>
      <c r="AD147" s="302"/>
      <c r="AE147" s="302"/>
      <c r="AF147" s="302"/>
      <c r="AG147" s="302"/>
      <c r="AH147" s="302"/>
      <c r="AI147" s="302"/>
      <c r="AL147" s="298">
        <f>ROW()</f>
        <v>147</v>
      </c>
    </row>
    <row r="148" spans="1:38" outlineLevel="2">
      <c r="B148" t="s">
        <v>1724</v>
      </c>
      <c r="C148" t="s">
        <v>1725</v>
      </c>
      <c r="F148" s="302"/>
      <c r="G148" s="302"/>
      <c r="H148" s="302"/>
      <c r="I148" s="302"/>
      <c r="J148" s="302"/>
      <c r="K148" s="302"/>
      <c r="L148" s="302"/>
      <c r="M148" s="302"/>
      <c r="N148" s="302"/>
      <c r="O148" s="302"/>
      <c r="P148" s="302"/>
      <c r="Q148" s="302"/>
      <c r="R148" s="302"/>
      <c r="S148" s="302"/>
      <c r="T148" s="302"/>
      <c r="U148" s="302"/>
      <c r="V148" s="302"/>
      <c r="W148" s="302"/>
      <c r="X148" s="302"/>
      <c r="Y148" s="302"/>
      <c r="Z148" s="302"/>
      <c r="AA148" s="302"/>
      <c r="AB148" s="302"/>
      <c r="AC148" s="302"/>
      <c r="AD148" s="302"/>
      <c r="AE148" s="302"/>
      <c r="AF148" s="302"/>
      <c r="AG148" s="302"/>
      <c r="AH148" s="302"/>
      <c r="AI148" s="302"/>
      <c r="AL148" s="298">
        <f>ROW()</f>
        <v>148</v>
      </c>
    </row>
    <row r="149" spans="1:38" outlineLevel="2">
      <c r="B149" t="s">
        <v>1726</v>
      </c>
      <c r="C149" t="s">
        <v>1727</v>
      </c>
      <c r="F149" s="302"/>
      <c r="G149" s="302"/>
      <c r="H149" s="302"/>
      <c r="I149" s="302"/>
      <c r="J149" s="302"/>
      <c r="K149" s="302"/>
      <c r="L149" s="302"/>
      <c r="M149" s="302"/>
      <c r="N149" s="302"/>
      <c r="O149" s="302"/>
      <c r="P149" s="302"/>
      <c r="Q149" s="302"/>
      <c r="R149" s="302"/>
      <c r="S149" s="302"/>
      <c r="T149" s="302"/>
      <c r="U149" s="302"/>
      <c r="V149" s="302"/>
      <c r="W149" s="302"/>
      <c r="X149" s="302"/>
      <c r="Y149" s="302"/>
      <c r="Z149" s="302"/>
      <c r="AA149" s="302"/>
      <c r="AB149" s="302"/>
      <c r="AC149" s="302"/>
      <c r="AD149" s="302"/>
      <c r="AE149" s="302"/>
      <c r="AF149" s="302"/>
      <c r="AG149" s="302"/>
      <c r="AH149" s="302"/>
      <c r="AI149" s="302"/>
      <c r="AL149" s="298">
        <f>ROW()</f>
        <v>149</v>
      </c>
    </row>
    <row r="150" spans="1:38" outlineLevel="2">
      <c r="B150" t="s">
        <v>1728</v>
      </c>
      <c r="C150" t="s">
        <v>1729</v>
      </c>
      <c r="F150" s="302"/>
      <c r="G150" s="302"/>
      <c r="H150" s="302"/>
      <c r="I150" s="302"/>
      <c r="J150" s="302"/>
      <c r="K150" s="302"/>
      <c r="L150" s="302"/>
      <c r="M150" s="302"/>
      <c r="N150" s="302"/>
      <c r="O150" s="302"/>
      <c r="P150" s="302"/>
      <c r="Q150" s="302"/>
      <c r="R150" s="302"/>
      <c r="S150" s="302"/>
      <c r="T150" s="302"/>
      <c r="U150" s="302"/>
      <c r="V150" s="302"/>
      <c r="W150" s="302"/>
      <c r="X150" s="302"/>
      <c r="Y150" s="302"/>
      <c r="Z150" s="302"/>
      <c r="AA150" s="302"/>
      <c r="AB150" s="302"/>
      <c r="AC150" s="302"/>
      <c r="AD150" s="302"/>
      <c r="AE150" s="302"/>
      <c r="AF150" s="302"/>
      <c r="AG150" s="302"/>
      <c r="AH150" s="302"/>
      <c r="AI150" s="302"/>
      <c r="AL150" s="298">
        <f>ROW()</f>
        <v>150</v>
      </c>
    </row>
    <row r="151" spans="1:38" outlineLevel="2">
      <c r="B151" t="s">
        <v>1730</v>
      </c>
      <c r="C151" t="s">
        <v>1731</v>
      </c>
      <c r="F151" s="302"/>
      <c r="G151" s="302"/>
      <c r="H151" s="302"/>
      <c r="I151" s="302"/>
      <c r="J151" s="302"/>
      <c r="K151" s="302"/>
      <c r="L151" s="302"/>
      <c r="M151" s="302"/>
      <c r="N151" s="302"/>
      <c r="O151" s="302"/>
      <c r="P151" s="302"/>
      <c r="Q151" s="302"/>
      <c r="R151" s="302"/>
      <c r="S151" s="302"/>
      <c r="T151" s="302"/>
      <c r="U151" s="302"/>
      <c r="V151" s="302"/>
      <c r="W151" s="302"/>
      <c r="X151" s="302"/>
      <c r="Y151" s="302"/>
      <c r="Z151" s="302"/>
      <c r="AA151" s="302"/>
      <c r="AB151" s="302"/>
      <c r="AC151" s="302"/>
      <c r="AD151" s="302"/>
      <c r="AE151" s="302"/>
      <c r="AF151" s="302"/>
      <c r="AG151" s="302"/>
      <c r="AH151" s="302"/>
      <c r="AI151" s="302"/>
      <c r="AL151" s="298">
        <f>ROW()</f>
        <v>151</v>
      </c>
    </row>
    <row r="152" spans="1:38" outlineLevel="2">
      <c r="B152" t="s">
        <v>1732</v>
      </c>
      <c r="C152" t="s">
        <v>1733</v>
      </c>
      <c r="F152" s="302"/>
      <c r="G152" s="302"/>
      <c r="H152" s="302"/>
      <c r="I152" s="302"/>
      <c r="J152" s="302"/>
      <c r="K152" s="302"/>
      <c r="L152" s="302"/>
      <c r="M152" s="302"/>
      <c r="N152" s="302"/>
      <c r="O152" s="302"/>
      <c r="P152" s="302"/>
      <c r="Q152" s="302"/>
      <c r="R152" s="302"/>
      <c r="S152" s="302"/>
      <c r="T152" s="302"/>
      <c r="U152" s="302"/>
      <c r="V152" s="302"/>
      <c r="W152" s="302"/>
      <c r="X152" s="302"/>
      <c r="Y152" s="302"/>
      <c r="Z152" s="302"/>
      <c r="AA152" s="302"/>
      <c r="AB152" s="302"/>
      <c r="AC152" s="302"/>
      <c r="AD152" s="302"/>
      <c r="AE152" s="302"/>
      <c r="AF152" s="302"/>
      <c r="AG152" s="302"/>
      <c r="AH152" s="302"/>
      <c r="AI152" s="302"/>
      <c r="AL152" s="298">
        <f>ROW()</f>
        <v>152</v>
      </c>
    </row>
    <row r="153" spans="1:38" s="297" customFormat="1" outlineLevel="1">
      <c r="A153" s="316" t="s">
        <v>1734</v>
      </c>
      <c r="B153" s="316"/>
      <c r="C153" s="316"/>
      <c r="D153" s="316"/>
      <c r="AL153" s="298">
        <f>ROW()</f>
        <v>153</v>
      </c>
    </row>
    <row r="154" spans="1:38" outlineLevel="2">
      <c r="B154" t="s">
        <v>1735</v>
      </c>
      <c r="C154" t="s">
        <v>1736</v>
      </c>
      <c r="D154" t="str">
        <f>E_CURRENCY_ISSR_208008758_REP</f>
        <v>AUD</v>
      </c>
      <c r="F154" s="299"/>
      <c r="G154" s="299"/>
      <c r="H154" s="299"/>
      <c r="I154" s="299"/>
      <c r="J154" s="299"/>
      <c r="K154" s="299"/>
      <c r="L154" s="299"/>
      <c r="M154" s="299"/>
      <c r="N154" s="299"/>
      <c r="O154" s="299"/>
      <c r="P154" s="299"/>
      <c r="Q154" s="299"/>
      <c r="R154" s="299"/>
      <c r="S154" s="299"/>
      <c r="T154" s="299"/>
      <c r="U154" s="299"/>
      <c r="V154" s="299"/>
      <c r="W154" s="299"/>
      <c r="X154" s="299"/>
      <c r="Y154" s="299"/>
      <c r="Z154" s="299"/>
      <c r="AA154" s="299"/>
      <c r="AB154" s="299"/>
      <c r="AC154" s="299"/>
      <c r="AD154" s="299"/>
      <c r="AE154" s="299"/>
      <c r="AF154" s="299"/>
      <c r="AG154" s="299"/>
      <c r="AH154" s="299"/>
      <c r="AI154" s="299"/>
      <c r="AL154" s="298">
        <f>ROW()</f>
        <v>154</v>
      </c>
    </row>
    <row r="155" spans="1:38" outlineLevel="2">
      <c r="B155" t="s">
        <v>1737</v>
      </c>
      <c r="C155" t="s">
        <v>1738</v>
      </c>
      <c r="D155" t="str">
        <f>E_CURRENCY_ISSR_208008758_REP</f>
        <v>AUD</v>
      </c>
      <c r="F155" s="299"/>
      <c r="G155" s="299"/>
      <c r="H155" s="299"/>
      <c r="I155" s="299"/>
      <c r="J155" s="299"/>
      <c r="K155" s="299"/>
      <c r="L155" s="299"/>
      <c r="M155" s="299"/>
      <c r="N155" s="299"/>
      <c r="O155" s="299"/>
      <c r="P155" s="299"/>
      <c r="Q155" s="299"/>
      <c r="R155" s="299"/>
      <c r="S155" s="299"/>
      <c r="T155" s="299"/>
      <c r="U155" s="299"/>
      <c r="V155" s="299"/>
      <c r="W155" s="299"/>
      <c r="X155" s="299"/>
      <c r="Y155" s="299"/>
      <c r="Z155" s="299"/>
      <c r="AA155" s="299"/>
      <c r="AB155" s="299"/>
      <c r="AC155" s="299"/>
      <c r="AD155" s="299"/>
      <c r="AE155" s="299"/>
      <c r="AF155" s="299"/>
      <c r="AG155" s="299"/>
      <c r="AH155" s="299"/>
      <c r="AI155" s="299"/>
      <c r="AL155" s="298">
        <f>ROW()</f>
        <v>155</v>
      </c>
    </row>
    <row r="156" spans="1:38" outlineLevel="2">
      <c r="B156" t="s">
        <v>1739</v>
      </c>
      <c r="C156" t="s">
        <v>1740</v>
      </c>
      <c r="D156" t="str">
        <f>E_CURRENCY_ISSR_208008758_REP</f>
        <v>AUD</v>
      </c>
      <c r="F156" s="299"/>
      <c r="G156" s="299"/>
      <c r="H156" s="299"/>
      <c r="I156" s="299"/>
      <c r="J156" s="299"/>
      <c r="K156" s="299"/>
      <c r="L156" s="299"/>
      <c r="M156" s="299"/>
      <c r="N156" s="299"/>
      <c r="O156" s="299"/>
      <c r="P156" s="299"/>
      <c r="Q156" s="299"/>
      <c r="R156" s="299"/>
      <c r="S156" s="299"/>
      <c r="T156" s="299"/>
      <c r="U156" s="299"/>
      <c r="V156" s="299"/>
      <c r="W156" s="299"/>
      <c r="X156" s="299"/>
      <c r="Y156" s="299"/>
      <c r="Z156" s="299"/>
      <c r="AA156" s="299"/>
      <c r="AB156" s="299"/>
      <c r="AC156" s="299"/>
      <c r="AD156" s="299"/>
      <c r="AE156" s="299"/>
      <c r="AF156" s="299"/>
      <c r="AG156" s="299"/>
      <c r="AH156" s="299"/>
      <c r="AI156" s="299"/>
      <c r="AL156" s="298">
        <f>ROW()</f>
        <v>156</v>
      </c>
    </row>
    <row r="157" spans="1:38" outlineLevel="2">
      <c r="B157" t="s">
        <v>1741</v>
      </c>
      <c r="C157" t="s">
        <v>1742</v>
      </c>
      <c r="D157" t="str">
        <f>E_CURRENCY_ISSR_208008758_REP</f>
        <v>AUD</v>
      </c>
      <c r="F157" s="299"/>
      <c r="G157" s="299"/>
      <c r="H157" s="299"/>
      <c r="I157" s="299"/>
      <c r="J157" s="299"/>
      <c r="K157" s="299"/>
      <c r="L157" s="299"/>
      <c r="M157" s="299"/>
      <c r="N157" s="299"/>
      <c r="O157" s="299"/>
      <c r="P157" s="299"/>
      <c r="Q157" s="299"/>
      <c r="R157" s="299"/>
      <c r="S157" s="299"/>
      <c r="T157" s="299"/>
      <c r="U157" s="299"/>
      <c r="V157" s="299"/>
      <c r="W157" s="299"/>
      <c r="X157" s="299"/>
      <c r="Y157" s="299"/>
      <c r="Z157" s="299"/>
      <c r="AA157" s="299"/>
      <c r="AB157" s="299"/>
      <c r="AC157" s="299"/>
      <c r="AD157" s="299"/>
      <c r="AE157" s="299"/>
      <c r="AF157" s="299"/>
      <c r="AG157" s="299"/>
      <c r="AH157" s="299"/>
      <c r="AI157" s="299"/>
      <c r="AL157" s="298">
        <f>ROW()</f>
        <v>157</v>
      </c>
    </row>
    <row r="158" spans="1:38" s="297" customFormat="1" outlineLevel="1">
      <c r="A158" s="316" t="s">
        <v>1743</v>
      </c>
      <c r="B158" s="316"/>
      <c r="C158" s="316"/>
      <c r="D158" s="316"/>
      <c r="AL158" s="298">
        <f>ROW()</f>
        <v>158</v>
      </c>
    </row>
    <row r="159" spans="1:38" outlineLevel="2">
      <c r="B159" t="s">
        <v>1744</v>
      </c>
      <c r="C159" t="s">
        <v>1745</v>
      </c>
      <c r="D159" t="str">
        <f>E_CURRENCY_ISSR_208008758_REP</f>
        <v>AUD</v>
      </c>
      <c r="F159" s="299"/>
      <c r="G159" s="299"/>
      <c r="H159" s="299"/>
      <c r="I159" s="299"/>
      <c r="J159" s="299"/>
      <c r="K159" s="299"/>
      <c r="L159" s="299"/>
      <c r="M159" s="299"/>
      <c r="N159" s="299"/>
      <c r="O159" s="299"/>
      <c r="P159" s="299"/>
      <c r="Q159" s="299"/>
      <c r="R159" s="299"/>
      <c r="S159" s="299"/>
      <c r="T159" s="299"/>
      <c r="U159" s="299"/>
      <c r="V159" s="299"/>
      <c r="W159" s="299"/>
      <c r="X159" s="299"/>
      <c r="Y159" s="299"/>
      <c r="Z159" s="299"/>
      <c r="AA159" s="299"/>
      <c r="AB159" s="299"/>
      <c r="AC159" s="299"/>
      <c r="AD159" s="299"/>
      <c r="AE159" s="299"/>
      <c r="AF159" s="299"/>
      <c r="AG159" s="299"/>
      <c r="AH159" s="299"/>
      <c r="AI159" s="299"/>
      <c r="AL159" s="298">
        <f>ROW()</f>
        <v>159</v>
      </c>
    </row>
    <row r="160" spans="1:38" outlineLevel="2">
      <c r="B160" t="s">
        <v>1746</v>
      </c>
      <c r="C160" t="s">
        <v>1747</v>
      </c>
      <c r="D160" t="str">
        <f>E_CURRENCY_ISSR_208008758_REP</f>
        <v>AUD</v>
      </c>
      <c r="F160" s="299"/>
      <c r="G160" s="299"/>
      <c r="H160" s="299"/>
      <c r="I160" s="299"/>
      <c r="J160" s="299"/>
      <c r="K160" s="299"/>
      <c r="L160" s="299"/>
      <c r="M160" s="299"/>
      <c r="N160" s="299"/>
      <c r="O160" s="299"/>
      <c r="P160" s="299"/>
      <c r="Q160" s="299"/>
      <c r="R160" s="299"/>
      <c r="S160" s="299"/>
      <c r="T160" s="299"/>
      <c r="U160" s="299"/>
      <c r="V160" s="299"/>
      <c r="W160" s="299"/>
      <c r="X160" s="299"/>
      <c r="Y160" s="299"/>
      <c r="Z160" s="299"/>
      <c r="AA160" s="299"/>
      <c r="AB160" s="299"/>
      <c r="AC160" s="299"/>
      <c r="AD160" s="299"/>
      <c r="AE160" s="299"/>
      <c r="AF160" s="299"/>
      <c r="AG160" s="299"/>
      <c r="AH160" s="299"/>
      <c r="AI160" s="299"/>
      <c r="AL160" s="298">
        <f>ROW()</f>
        <v>160</v>
      </c>
    </row>
    <row r="161" spans="1:40" s="297" customFormat="1" outlineLevel="1">
      <c r="A161" s="316" t="s">
        <v>1748</v>
      </c>
      <c r="B161" s="316"/>
      <c r="C161" s="316"/>
      <c r="D161" s="316"/>
      <c r="AL161" s="298">
        <f>ROW()</f>
        <v>161</v>
      </c>
    </row>
    <row r="162" spans="1:40" outlineLevel="2">
      <c r="B162" t="s">
        <v>1749</v>
      </c>
      <c r="C162" t="s">
        <v>1750</v>
      </c>
      <c r="D162" t="str">
        <f>E_CURRENCY_ISSR_208008758_REP</f>
        <v>AUD</v>
      </c>
      <c r="F162" s="299"/>
      <c r="G162" s="299"/>
      <c r="H162" s="299"/>
      <c r="I162" s="299"/>
      <c r="J162" s="299"/>
      <c r="K162" s="299"/>
      <c r="L162" s="299"/>
      <c r="M162" s="299"/>
      <c r="N162" s="299"/>
      <c r="O162" s="299"/>
      <c r="P162" s="299"/>
      <c r="Q162" s="299"/>
      <c r="R162" s="299"/>
      <c r="S162" s="299"/>
      <c r="T162" s="299"/>
      <c r="U162" s="299"/>
      <c r="V162" s="299"/>
      <c r="W162" s="299"/>
      <c r="X162" s="299"/>
      <c r="Y162" s="299"/>
      <c r="Z162" s="299"/>
      <c r="AA162" s="299"/>
      <c r="AB162" s="299"/>
      <c r="AC162" s="299"/>
      <c r="AD162" s="299"/>
      <c r="AE162" s="299"/>
      <c r="AF162" s="299"/>
      <c r="AG162" s="299"/>
      <c r="AH162" s="299"/>
      <c r="AI162" s="299"/>
      <c r="AL162" s="298">
        <f>ROW()</f>
        <v>162</v>
      </c>
    </row>
    <row r="163" spans="1:40" outlineLevel="2">
      <c r="B163" t="s">
        <v>1751</v>
      </c>
      <c r="C163" t="s">
        <v>1752</v>
      </c>
      <c r="D163" t="str">
        <f>E_CURRENCY_ISSR_208008758_REP</f>
        <v>AUD</v>
      </c>
      <c r="F163" s="299"/>
      <c r="G163" s="299"/>
      <c r="H163" s="299"/>
      <c r="I163" s="299"/>
      <c r="J163" s="299"/>
      <c r="K163" s="299"/>
      <c r="L163" s="299"/>
      <c r="M163" s="299"/>
      <c r="N163" s="299"/>
      <c r="O163" s="299"/>
      <c r="P163" s="299"/>
      <c r="Q163" s="299"/>
      <c r="R163" s="299"/>
      <c r="S163" s="299"/>
      <c r="T163" s="299"/>
      <c r="U163" s="299"/>
      <c r="V163" s="299"/>
      <c r="W163" s="299"/>
      <c r="X163" s="299"/>
      <c r="Y163" s="299"/>
      <c r="Z163" s="299"/>
      <c r="AA163" s="299"/>
      <c r="AB163" s="299"/>
      <c r="AC163" s="299"/>
      <c r="AD163" s="299"/>
      <c r="AE163" s="299"/>
      <c r="AF163" s="299"/>
      <c r="AG163" s="299"/>
      <c r="AH163" s="299"/>
      <c r="AI163" s="299"/>
      <c r="AL163" s="298">
        <f>ROW()</f>
        <v>163</v>
      </c>
    </row>
    <row r="164" spans="1:40" outlineLevel="2">
      <c r="B164" t="s">
        <v>1753</v>
      </c>
      <c r="C164" t="s">
        <v>1754</v>
      </c>
      <c r="D164" t="str">
        <f>E_CURRENCY_ISSR_208008758_REP</f>
        <v>AUD</v>
      </c>
      <c r="F164" s="299"/>
      <c r="G164" s="299"/>
      <c r="H164" s="299"/>
      <c r="I164" s="299"/>
      <c r="J164" s="299"/>
      <c r="K164" s="299"/>
      <c r="L164" s="299"/>
      <c r="M164" s="299"/>
      <c r="N164" s="299"/>
      <c r="O164" s="299"/>
      <c r="P164" s="299"/>
      <c r="Q164" s="299"/>
      <c r="R164" s="299"/>
      <c r="S164" s="299"/>
      <c r="T164" s="299"/>
      <c r="U164" s="299"/>
      <c r="V164" s="299"/>
      <c r="W164" s="299"/>
      <c r="X164" s="299"/>
      <c r="Y164" s="299"/>
      <c r="Z164" s="299"/>
      <c r="AA164" s="299"/>
      <c r="AB164" s="299"/>
      <c r="AC164" s="299"/>
      <c r="AD164" s="299"/>
      <c r="AE164" s="299"/>
      <c r="AF164" s="299"/>
      <c r="AG164" s="299"/>
      <c r="AH164" s="299"/>
      <c r="AI164" s="299"/>
      <c r="AL164" s="298">
        <f>ROW()</f>
        <v>164</v>
      </c>
    </row>
    <row r="165" spans="1:40" outlineLevel="2">
      <c r="B165" t="s">
        <v>1755</v>
      </c>
      <c r="C165" t="s">
        <v>1756</v>
      </c>
      <c r="D165" t="str">
        <f>E_CURRENCY_ISSR_208008758_REP</f>
        <v>AUD</v>
      </c>
      <c r="F165" s="299"/>
      <c r="G165" s="299"/>
      <c r="H165" s="299"/>
      <c r="I165" s="299"/>
      <c r="J165" s="299"/>
      <c r="K165" s="299"/>
      <c r="L165" s="299"/>
      <c r="M165" s="299"/>
      <c r="N165" s="299"/>
      <c r="O165" s="299"/>
      <c r="P165" s="299"/>
      <c r="Q165" s="299"/>
      <c r="R165" s="299"/>
      <c r="S165" s="299"/>
      <c r="T165" s="299"/>
      <c r="U165" s="299"/>
      <c r="V165" s="299"/>
      <c r="W165" s="299"/>
      <c r="X165" s="299"/>
      <c r="Y165" s="299"/>
      <c r="Z165" s="299"/>
      <c r="AA165" s="299"/>
      <c r="AB165" s="299"/>
      <c r="AC165" s="299"/>
      <c r="AD165" s="299"/>
      <c r="AE165" s="299"/>
      <c r="AF165" s="299"/>
      <c r="AG165" s="299"/>
      <c r="AH165" s="299"/>
      <c r="AI165" s="299"/>
      <c r="AL165" s="298">
        <f>ROW()</f>
        <v>165</v>
      </c>
    </row>
    <row r="166" spans="1:40" s="297" customFormat="1" outlineLevel="1">
      <c r="A166" s="316" t="s">
        <v>840</v>
      </c>
      <c r="B166" s="316"/>
      <c r="C166" s="316"/>
      <c r="D166" s="316"/>
      <c r="AL166" s="298">
        <f>ROW()</f>
        <v>166</v>
      </c>
    </row>
    <row r="167" spans="1:40" outlineLevel="2">
      <c r="B167" t="s">
        <v>1394</v>
      </c>
      <c r="C167" t="s">
        <v>1395</v>
      </c>
      <c r="F167" s="303"/>
      <c r="G167" s="303"/>
      <c r="H167" s="303"/>
      <c r="I167" s="303"/>
      <c r="J167" s="303"/>
      <c r="K167" s="303"/>
      <c r="L167" s="303"/>
      <c r="M167" s="303"/>
      <c r="N167" s="303"/>
      <c r="O167" s="303">
        <v>0</v>
      </c>
      <c r="P167" s="303">
        <v>0</v>
      </c>
      <c r="Q167" s="303">
        <v>0</v>
      </c>
      <c r="R167" s="303"/>
      <c r="S167" s="303"/>
      <c r="T167" s="303"/>
      <c r="U167" s="303"/>
      <c r="V167" s="303"/>
      <c r="W167" s="303"/>
      <c r="X167" s="303"/>
      <c r="Y167" s="303"/>
      <c r="Z167" s="303"/>
      <c r="AA167" s="303"/>
      <c r="AB167" s="303"/>
      <c r="AC167" s="303"/>
      <c r="AD167" s="303"/>
      <c r="AE167" s="303"/>
      <c r="AF167" s="303"/>
      <c r="AG167" s="303"/>
      <c r="AH167" s="303"/>
      <c r="AI167" s="303"/>
      <c r="AL167" s="298">
        <f>ROW()</f>
        <v>167</v>
      </c>
    </row>
    <row r="168" spans="1:40" outlineLevel="2">
      <c r="B168" t="s">
        <v>843</v>
      </c>
      <c r="C168" t="s">
        <v>844</v>
      </c>
      <c r="F168" s="303">
        <f>VLOOKUP($AN168,'Group Model'!$1:$1048576,MATCH("FY"&amp;RIGHT(F$1,2)&amp;LEFT(F$2,1),'Group Model'!$1:$1,0),FALSE)</f>
        <v>0</v>
      </c>
      <c r="G168" s="303">
        <f>VLOOKUP($AN168,'Group Model'!$1:$1048576,MATCH("FY"&amp;RIGHT(G$1,2)&amp;LEFT(G$2,1),'Group Model'!$1:$1,0),FALSE)</f>
        <v>0.16476774758983348</v>
      </c>
      <c r="H168" s="303">
        <f>VLOOKUP($AN168,'Group Model'!$1:$1048576,MATCH("FY"&amp;RIGHT(H$1,2)&amp;LEFT(H$2,1),'Group Model'!$1:$1,0),FALSE)</f>
        <v>0.11263881544156532</v>
      </c>
      <c r="I168" s="303">
        <f>VLOOKUP($AN168,'Group Model'!$1:$1048576,MATCH("FY"&amp;RIGHT(I$1,2)&amp;LEFT(I$2,1),'Group Model'!$1:$1,0),FALSE)</f>
        <v>7.8831796223100575E-2</v>
      </c>
      <c r="J168" s="303">
        <f>VLOOKUP($AN168,'Group Model'!$1:$1048576,MATCH("FY"&amp;RIGHT(J$1,2)&amp;LEFT(J$2,1),'Group Model'!$1:$1,0),FALSE)</f>
        <v>0.2969262906595046</v>
      </c>
      <c r="K168" s="303">
        <f>VLOOKUP($AN168,'Group Model'!$1:$1048576,MATCH("FY"&amp;RIGHT(K$1,2)&amp;LEFT(K$2,1),'Group Model'!$1:$1,0),FALSE)</f>
        <v>0.3337612323491656</v>
      </c>
      <c r="L168" s="303">
        <f>VLOOKUP($AN168,'Group Model'!$1:$1048576,MATCH("FY"&amp;RIGHT(L$1,2)&amp;LEFT(L$2,1),'Group Model'!$1:$1,0),FALSE)</f>
        <v>0.32129550014330754</v>
      </c>
      <c r="M168" s="303">
        <f>VLOOKUP($AN168,'Group Model'!$1:$1048576,MATCH("FY"&amp;RIGHT(M$1,2)&amp;LEFT(M$2,1),'Group Model'!$1:$1,0),FALSE)</f>
        <v>0.35016049022468632</v>
      </c>
      <c r="N168" s="303">
        <f>VLOOKUP($AN168,'Group Model'!$1:$1048576,MATCH("FY"&amp;RIGHT(N$1,2)&amp;LEFT(N$2,1),'Group Model'!$1:$1,0),FALSE)</f>
        <v>0.3692124105011933</v>
      </c>
      <c r="O168" s="303">
        <f>VLOOKUP($AN168,'Group Model'!$1:$1048576,MATCH("FY"&amp;RIGHT(O$1,2)&amp;LEFT(O$2,1),'Group Model'!$1:$1,0),FALSE)</f>
        <v>0.41670004004805766</v>
      </c>
      <c r="P168" s="303">
        <f>VLOOKUP($AN168,'Group Model'!$1:$1048576,MATCH("FY"&amp;RIGHT(P$1,2)&amp;LEFT(P$2,1),'Group Model'!$1:$1,0),FALSE)</f>
        <v>0.27294580419580422</v>
      </c>
      <c r="Q168" s="303">
        <f>VLOOKUP($AN168,'Group Model'!$1:$1048576,MATCH("FY"&amp;RIGHT(Q$1,2)&amp;LEFT(Q$2,1),'Group Model'!$1:$1,0),FALSE)</f>
        <v>0.30914512922465209</v>
      </c>
      <c r="R168" s="303" t="e">
        <f>VLOOKUP($AN168,'Group Model'!$1:$1048576,MATCH("FY"&amp;RIGHT(R$1,2)&amp;LEFT(R$2,1),'Group Model'!$1:$1,0),FALSE)</f>
        <v>#N/A</v>
      </c>
      <c r="S168" s="303" t="e">
        <f>VLOOKUP($AN168,'Group Model'!$1:$1048576,MATCH("FY"&amp;RIGHT(S$1,2)&amp;LEFT(S$2,1),'Group Model'!$1:$1,0),FALSE)</f>
        <v>#N/A</v>
      </c>
      <c r="T168" s="303" t="e">
        <f>VLOOKUP($AN168,'Group Model'!$1:$1048576,MATCH("FY"&amp;RIGHT(T$1,2)&amp;LEFT(T$2,1),'Group Model'!$1:$1,0),FALSE)</f>
        <v>#N/A</v>
      </c>
      <c r="U168" s="303"/>
      <c r="V168" s="303">
        <f>VLOOKUP($AN168,'Group Model'!$1:$1048576,MATCH("1H"&amp;MID(V$1,3,2)&amp;LEFT(V$2,1),'Group Model'!$1:$1,0),FALSE)</f>
        <v>0.33489148580968281</v>
      </c>
      <c r="W168" s="303">
        <f>VLOOKUP($AN168,'Group Model'!$1:$1048576,MATCH("1H"&amp;MID(W$1,3,2)&amp;LEFT(W$2,1),'Group Model'!$1:$1,0),FALSE)</f>
        <v>0.33489148580968281</v>
      </c>
      <c r="X168" s="303">
        <f>VLOOKUP($AN168,'Group Model'!$1:$1048576,MATCH("1H"&amp;MID(X$1,3,2)&amp;LEFT(X$2,1),'Group Model'!$1:$1,0),FALSE)</f>
        <v>0.32349665924276172</v>
      </c>
      <c r="Y168" s="303">
        <f>VLOOKUP($AN168,'Group Model'!$1:$1048576,MATCH("1H"&amp;MID(Y$1,3,2)&amp;LEFT(Y$2,1),'Group Model'!$1:$1,0),FALSE)</f>
        <v>0.32349665924276172</v>
      </c>
      <c r="Z168" s="303">
        <f>VLOOKUP($AN168,'Group Model'!$1:$1048576,MATCH("1H"&amp;MID(Z$1,3,2)&amp;LEFT(Z$2,1),'Group Model'!$1:$1,0),FALSE)</f>
        <v>0.30500359109408665</v>
      </c>
      <c r="AA168" s="303">
        <f>VLOOKUP($AN168,'Group Model'!$1:$1048576,MATCH("1H"&amp;MID(AA$1,3,2)&amp;LEFT(AA$2,1),'Group Model'!$1:$1,0),FALSE)</f>
        <v>0.30500359109408665</v>
      </c>
      <c r="AB168" s="303">
        <f>VLOOKUP($AN168,'Group Model'!$1:$1048576,MATCH("1H"&amp;MID(AB$1,3,2)&amp;LEFT(AB$2,1),'Group Model'!$1:$1,0),FALSE)</f>
        <v>0.31552210724365004</v>
      </c>
      <c r="AC168" s="303">
        <f>VLOOKUP($AN168,'Group Model'!$1:$1048576,MATCH("1H"&amp;MID(AC$1,3,2)&amp;LEFT(AC$2,1),'Group Model'!$1:$1,0),FALSE)</f>
        <v>0.31552210724365004</v>
      </c>
      <c r="AD168" s="303">
        <f>VLOOKUP($AN168,'Group Model'!$1:$1048576,MATCH("1H"&amp;MID(AD$1,3,2)&amp;LEFT(AD$2,1),'Group Model'!$1:$1,0),FALSE)</f>
        <v>0.22644466209598432</v>
      </c>
      <c r="AE168" s="303">
        <f>VLOOKUP($AN168,'Group Model'!$1:$1048576,MATCH("1H"&amp;MID(AE$1,3,2)&amp;LEFT(AE$2,1),'Group Model'!$1:$1,0),FALSE)</f>
        <v>0.22644466209598432</v>
      </c>
      <c r="AF168" s="303">
        <f>VLOOKUP($AN168,'Group Model'!$1:$1048576,MATCH("1H"&amp;MID(AF$1,3,2)&amp;LEFT(AF$2,1),'Group Model'!$1:$1,0),FALSE)</f>
        <v>0.24283587644212876</v>
      </c>
      <c r="AG168" s="303" t="e">
        <f>VLOOKUP($AN168,'Group Model'!$1:$1048576,MATCH("2H"&amp;MID(AG$1,3,2)&amp;LEFT(AG$2,1),'Group Model'!$1:$1,0),FALSE)</f>
        <v>#N/A</v>
      </c>
      <c r="AH168" s="303" t="e">
        <f>VLOOKUP($AN168,'Group Model'!$1:$1048576,MATCH("1H"&amp;MID(AH$1,3,2)&amp;LEFT(AH$2,1),'Group Model'!$1:$1,0),FALSE)</f>
        <v>#N/A</v>
      </c>
      <c r="AI168" s="303" t="e">
        <f>VLOOKUP($AN168,'Group Model'!$1:$1048576,MATCH("2H"&amp;MID(AI$1,3,2)&amp;LEFT(AI$2,1),'Group Model'!$1:$1,0),FALSE)</f>
        <v>#N/A</v>
      </c>
      <c r="AL168" s="298">
        <f>ROW()</f>
        <v>168</v>
      </c>
      <c r="AN168" s="298" t="s">
        <v>1324</v>
      </c>
    </row>
    <row r="169" spans="1:40" outlineLevel="2">
      <c r="B169" t="s">
        <v>1396</v>
      </c>
      <c r="C169" t="s">
        <v>1397</v>
      </c>
      <c r="F169" s="303"/>
      <c r="G169" s="303"/>
      <c r="H169" s="303"/>
      <c r="I169" s="303"/>
      <c r="J169" s="303"/>
      <c r="K169" s="303"/>
      <c r="L169" s="303"/>
      <c r="M169" s="303"/>
      <c r="N169" s="303"/>
      <c r="O169" s="303">
        <v>0</v>
      </c>
      <c r="P169" s="303">
        <v>0</v>
      </c>
      <c r="Q169" s="303">
        <v>0</v>
      </c>
      <c r="R169" s="303"/>
      <c r="S169" s="303"/>
      <c r="T169" s="303"/>
      <c r="U169" s="303"/>
      <c r="V169" s="303"/>
      <c r="W169" s="303"/>
      <c r="X169" s="303"/>
      <c r="Y169" s="303"/>
      <c r="Z169" s="303"/>
      <c r="AA169" s="303"/>
      <c r="AB169" s="303"/>
      <c r="AC169" s="303"/>
      <c r="AD169" s="303"/>
      <c r="AE169" s="303"/>
      <c r="AF169" s="303"/>
      <c r="AG169" s="303"/>
      <c r="AH169" s="303"/>
      <c r="AI169" s="303"/>
      <c r="AL169" s="298">
        <f>ROW()</f>
        <v>169</v>
      </c>
    </row>
    <row r="170" spans="1:40" outlineLevel="2">
      <c r="B170" t="s">
        <v>1398</v>
      </c>
      <c r="C170" t="s">
        <v>1399</v>
      </c>
      <c r="F170" s="303"/>
      <c r="G170" s="303"/>
      <c r="H170" s="303"/>
      <c r="I170" s="303"/>
      <c r="J170" s="303"/>
      <c r="K170" s="303"/>
      <c r="L170" s="303"/>
      <c r="M170" s="303"/>
      <c r="N170" s="303"/>
      <c r="O170" s="303">
        <v>0</v>
      </c>
      <c r="P170" s="303">
        <v>0</v>
      </c>
      <c r="Q170" s="303">
        <v>0</v>
      </c>
      <c r="R170" s="303"/>
      <c r="S170" s="303"/>
      <c r="T170" s="303"/>
      <c r="U170" s="303"/>
      <c r="V170" s="303"/>
      <c r="W170" s="303"/>
      <c r="X170" s="303"/>
      <c r="Y170" s="303"/>
      <c r="Z170" s="303"/>
      <c r="AA170" s="303"/>
      <c r="AB170" s="303"/>
      <c r="AC170" s="303"/>
      <c r="AD170" s="303"/>
      <c r="AE170" s="303"/>
      <c r="AF170" s="303"/>
      <c r="AG170" s="303"/>
      <c r="AH170" s="303"/>
      <c r="AI170" s="303"/>
      <c r="AL170" s="298">
        <f>ROW()</f>
        <v>170</v>
      </c>
    </row>
    <row r="171" spans="1:40" outlineLevel="2">
      <c r="B171" t="s">
        <v>845</v>
      </c>
      <c r="C171" t="s">
        <v>846</v>
      </c>
      <c r="F171" s="303"/>
      <c r="G171" s="303"/>
      <c r="H171" s="303"/>
      <c r="I171" s="303"/>
      <c r="J171" s="303"/>
      <c r="K171" s="303"/>
      <c r="L171" s="303"/>
      <c r="M171" s="303"/>
      <c r="N171" s="303"/>
      <c r="O171" s="303">
        <v>0</v>
      </c>
      <c r="P171" s="303">
        <v>0</v>
      </c>
      <c r="Q171" s="303">
        <v>0</v>
      </c>
      <c r="R171" s="303"/>
      <c r="S171" s="303"/>
      <c r="T171" s="303"/>
      <c r="U171" s="303"/>
      <c r="V171" s="303"/>
      <c r="W171" s="303"/>
      <c r="X171" s="303"/>
      <c r="Y171" s="303"/>
      <c r="Z171" s="303"/>
      <c r="AA171" s="303"/>
      <c r="AB171" s="303"/>
      <c r="AC171" s="303"/>
      <c r="AD171" s="303"/>
      <c r="AE171" s="303"/>
      <c r="AF171" s="303"/>
      <c r="AG171" s="303"/>
      <c r="AH171" s="303"/>
      <c r="AI171" s="303"/>
      <c r="AL171" s="298">
        <f>ROW()</f>
        <v>171</v>
      </c>
    </row>
    <row r="172" spans="1:40" outlineLevel="2">
      <c r="B172" t="s">
        <v>1400</v>
      </c>
      <c r="C172" t="s">
        <v>1401</v>
      </c>
      <c r="F172" s="303"/>
      <c r="G172" s="303"/>
      <c r="H172" s="303"/>
      <c r="I172" s="303"/>
      <c r="J172" s="303"/>
      <c r="K172" s="303"/>
      <c r="L172" s="303"/>
      <c r="M172" s="303"/>
      <c r="N172" s="303"/>
      <c r="O172" s="303">
        <v>0</v>
      </c>
      <c r="P172" s="303">
        <v>0</v>
      </c>
      <c r="Q172" s="303">
        <v>0</v>
      </c>
      <c r="R172" s="303"/>
      <c r="S172" s="303"/>
      <c r="T172" s="303"/>
      <c r="U172" s="303"/>
      <c r="V172" s="303"/>
      <c r="W172" s="303"/>
      <c r="X172" s="303"/>
      <c r="Y172" s="303"/>
      <c r="Z172" s="303"/>
      <c r="AA172" s="303"/>
      <c r="AB172" s="303"/>
      <c r="AC172" s="303"/>
      <c r="AD172" s="303"/>
      <c r="AE172" s="303"/>
      <c r="AF172" s="303"/>
      <c r="AG172" s="303"/>
      <c r="AH172" s="303"/>
      <c r="AI172" s="303"/>
      <c r="AL172" s="298">
        <f>ROW()</f>
        <v>172</v>
      </c>
    </row>
    <row r="173" spans="1:40" outlineLevel="2">
      <c r="B173" t="s">
        <v>1402</v>
      </c>
      <c r="C173" t="s">
        <v>1403</v>
      </c>
      <c r="F173" s="303"/>
      <c r="G173" s="303"/>
      <c r="H173" s="303"/>
      <c r="I173" s="303"/>
      <c r="J173" s="303"/>
      <c r="K173" s="303"/>
      <c r="L173" s="303"/>
      <c r="M173" s="303"/>
      <c r="N173" s="303"/>
      <c r="O173" s="303">
        <v>0</v>
      </c>
      <c r="P173" s="303">
        <v>0</v>
      </c>
      <c r="Q173" s="303">
        <v>0</v>
      </c>
      <c r="R173" s="303"/>
      <c r="S173" s="303"/>
      <c r="T173" s="303"/>
      <c r="U173" s="303"/>
      <c r="V173" s="303"/>
      <c r="W173" s="303"/>
      <c r="X173" s="303"/>
      <c r="Y173" s="303"/>
      <c r="Z173" s="303"/>
      <c r="AA173" s="303"/>
      <c r="AB173" s="303"/>
      <c r="AC173" s="303"/>
      <c r="AD173" s="303"/>
      <c r="AE173" s="303"/>
      <c r="AF173" s="303"/>
      <c r="AG173" s="303"/>
      <c r="AH173" s="303"/>
      <c r="AI173" s="303"/>
      <c r="AL173" s="298">
        <f>ROW()</f>
        <v>173</v>
      </c>
    </row>
    <row r="174" spans="1:40" outlineLevel="2">
      <c r="B174" t="s">
        <v>1404</v>
      </c>
      <c r="C174" t="s">
        <v>1405</v>
      </c>
      <c r="F174" s="303"/>
      <c r="G174" s="303"/>
      <c r="H174" s="303"/>
      <c r="I174" s="303"/>
      <c r="J174" s="303"/>
      <c r="K174" s="303"/>
      <c r="L174" s="303"/>
      <c r="M174" s="303"/>
      <c r="N174" s="303"/>
      <c r="O174" s="303">
        <v>0</v>
      </c>
      <c r="P174" s="303">
        <v>0</v>
      </c>
      <c r="Q174" s="303">
        <v>0</v>
      </c>
      <c r="R174" s="303"/>
      <c r="S174" s="303"/>
      <c r="T174" s="303"/>
      <c r="U174" s="303"/>
      <c r="V174" s="303"/>
      <c r="W174" s="303"/>
      <c r="X174" s="303"/>
      <c r="Y174" s="303"/>
      <c r="Z174" s="303"/>
      <c r="AA174" s="303"/>
      <c r="AB174" s="303"/>
      <c r="AC174" s="303"/>
      <c r="AD174" s="303"/>
      <c r="AE174" s="303"/>
      <c r="AF174" s="303"/>
      <c r="AG174" s="303"/>
      <c r="AH174" s="303"/>
      <c r="AI174" s="303"/>
      <c r="AL174" s="298">
        <f>ROW()</f>
        <v>174</v>
      </c>
    </row>
    <row r="175" spans="1:40" outlineLevel="2">
      <c r="B175" t="s">
        <v>1406</v>
      </c>
      <c r="C175" t="s">
        <v>1407</v>
      </c>
      <c r="F175" s="303"/>
      <c r="G175" s="303"/>
      <c r="H175" s="303"/>
      <c r="I175" s="303"/>
      <c r="J175" s="303"/>
      <c r="K175" s="303"/>
      <c r="L175" s="303"/>
      <c r="M175" s="303"/>
      <c r="N175" s="303"/>
      <c r="O175" s="303">
        <v>0</v>
      </c>
      <c r="P175" s="303">
        <v>0</v>
      </c>
      <c r="Q175" s="303">
        <v>0</v>
      </c>
      <c r="R175" s="303"/>
      <c r="S175" s="303"/>
      <c r="T175" s="303"/>
      <c r="U175" s="303"/>
      <c r="V175" s="303"/>
      <c r="W175" s="303"/>
      <c r="X175" s="303"/>
      <c r="Y175" s="303"/>
      <c r="Z175" s="303"/>
      <c r="AA175" s="303"/>
      <c r="AB175" s="303"/>
      <c r="AC175" s="303"/>
      <c r="AD175" s="303"/>
      <c r="AE175" s="303"/>
      <c r="AF175" s="303"/>
      <c r="AG175" s="303"/>
      <c r="AH175" s="303"/>
      <c r="AI175" s="303"/>
      <c r="AL175" s="298">
        <f>ROW()</f>
        <v>175</v>
      </c>
    </row>
    <row r="176" spans="1:40" outlineLevel="2">
      <c r="B176" t="s">
        <v>1408</v>
      </c>
      <c r="C176" t="s">
        <v>1409</v>
      </c>
      <c r="F176" s="303"/>
      <c r="G176" s="303"/>
      <c r="H176" s="303"/>
      <c r="I176" s="303"/>
      <c r="J176" s="303"/>
      <c r="K176" s="303"/>
      <c r="L176" s="303"/>
      <c r="M176" s="303"/>
      <c r="N176" s="303"/>
      <c r="O176" s="303">
        <v>0</v>
      </c>
      <c r="P176" s="303">
        <v>0</v>
      </c>
      <c r="Q176" s="303">
        <v>0</v>
      </c>
      <c r="R176" s="303"/>
      <c r="S176" s="303"/>
      <c r="T176" s="303"/>
      <c r="U176" s="303"/>
      <c r="V176" s="303"/>
      <c r="W176" s="303"/>
      <c r="X176" s="303"/>
      <c r="Y176" s="303"/>
      <c r="Z176" s="303"/>
      <c r="AA176" s="303"/>
      <c r="AB176" s="303"/>
      <c r="AC176" s="303"/>
      <c r="AD176" s="303"/>
      <c r="AE176" s="303"/>
      <c r="AF176" s="303"/>
      <c r="AG176" s="303"/>
      <c r="AH176" s="303"/>
      <c r="AI176" s="303"/>
      <c r="AL176" s="298">
        <f>ROW()</f>
        <v>176</v>
      </c>
    </row>
    <row r="177" spans="2:40" outlineLevel="2">
      <c r="B177" t="s">
        <v>1410</v>
      </c>
      <c r="C177" t="s">
        <v>1411</v>
      </c>
      <c r="F177" s="303"/>
      <c r="G177" s="303"/>
      <c r="H177" s="303"/>
      <c r="I177" s="303"/>
      <c r="J177" s="303"/>
      <c r="K177" s="303"/>
      <c r="L177" s="303"/>
      <c r="M177" s="303"/>
      <c r="N177" s="303"/>
      <c r="O177" s="303">
        <v>0</v>
      </c>
      <c r="P177" s="303">
        <v>0</v>
      </c>
      <c r="Q177" s="303">
        <v>0</v>
      </c>
      <c r="R177" s="303"/>
      <c r="S177" s="303"/>
      <c r="T177" s="303"/>
      <c r="U177" s="303"/>
      <c r="V177" s="303"/>
      <c r="W177" s="303"/>
      <c r="X177" s="303"/>
      <c r="Y177" s="303"/>
      <c r="Z177" s="303"/>
      <c r="AA177" s="303"/>
      <c r="AB177" s="303"/>
      <c r="AC177" s="303"/>
      <c r="AD177" s="303"/>
      <c r="AE177" s="303"/>
      <c r="AF177" s="303"/>
      <c r="AG177" s="303"/>
      <c r="AH177" s="303"/>
      <c r="AI177" s="303"/>
      <c r="AL177" s="298">
        <f>ROW()</f>
        <v>177</v>
      </c>
    </row>
    <row r="178" spans="2:40" outlineLevel="2">
      <c r="B178" t="s">
        <v>1412</v>
      </c>
      <c r="C178" t="s">
        <v>1413</v>
      </c>
      <c r="F178" s="303"/>
      <c r="G178" s="303"/>
      <c r="H178" s="303"/>
      <c r="I178" s="303"/>
      <c r="J178" s="303"/>
      <c r="K178" s="303"/>
      <c r="L178" s="303"/>
      <c r="M178" s="303"/>
      <c r="N178" s="303"/>
      <c r="O178" s="303">
        <v>0</v>
      </c>
      <c r="P178" s="303">
        <v>0</v>
      </c>
      <c r="Q178" s="303">
        <v>0</v>
      </c>
      <c r="R178" s="303"/>
      <c r="S178" s="303"/>
      <c r="T178" s="303"/>
      <c r="U178" s="303"/>
      <c r="V178" s="303"/>
      <c r="W178" s="303"/>
      <c r="X178" s="303"/>
      <c r="Y178" s="303"/>
      <c r="Z178" s="303"/>
      <c r="AA178" s="303"/>
      <c r="AB178" s="303"/>
      <c r="AC178" s="303"/>
      <c r="AD178" s="303"/>
      <c r="AE178" s="303"/>
      <c r="AF178" s="303"/>
      <c r="AG178" s="303"/>
      <c r="AH178" s="303"/>
      <c r="AI178" s="303"/>
      <c r="AL178" s="298">
        <f>ROW()</f>
        <v>178</v>
      </c>
    </row>
    <row r="179" spans="2:40" outlineLevel="2">
      <c r="B179" t="s">
        <v>1414</v>
      </c>
      <c r="C179" t="s">
        <v>1415</v>
      </c>
      <c r="F179" s="303"/>
      <c r="G179" s="303"/>
      <c r="H179" s="303"/>
      <c r="I179" s="303"/>
      <c r="J179" s="303"/>
      <c r="K179" s="303"/>
      <c r="L179" s="303"/>
      <c r="M179" s="303"/>
      <c r="N179" s="303"/>
      <c r="O179" s="303">
        <v>0</v>
      </c>
      <c r="P179" s="303">
        <v>0</v>
      </c>
      <c r="Q179" s="303">
        <v>0</v>
      </c>
      <c r="R179" s="303"/>
      <c r="S179" s="303"/>
      <c r="T179" s="303"/>
      <c r="U179" s="303"/>
      <c r="V179" s="303"/>
      <c r="W179" s="303"/>
      <c r="X179" s="303"/>
      <c r="Y179" s="303"/>
      <c r="Z179" s="303"/>
      <c r="AA179" s="303"/>
      <c r="AB179" s="303"/>
      <c r="AC179" s="303"/>
      <c r="AD179" s="303"/>
      <c r="AE179" s="303"/>
      <c r="AF179" s="303"/>
      <c r="AG179" s="303"/>
      <c r="AH179" s="303"/>
      <c r="AI179" s="303"/>
      <c r="AL179" s="298">
        <f>ROW()</f>
        <v>179</v>
      </c>
    </row>
    <row r="180" spans="2:40" outlineLevel="2">
      <c r="B180" t="s">
        <v>1416</v>
      </c>
      <c r="C180" t="s">
        <v>1417</v>
      </c>
      <c r="F180" s="303"/>
      <c r="G180" s="303"/>
      <c r="H180" s="303"/>
      <c r="I180" s="303"/>
      <c r="J180" s="303"/>
      <c r="K180" s="303"/>
      <c r="L180" s="303"/>
      <c r="M180" s="303"/>
      <c r="N180" s="303"/>
      <c r="O180" s="303">
        <v>0</v>
      </c>
      <c r="P180" s="303">
        <v>0</v>
      </c>
      <c r="Q180" s="303">
        <v>0</v>
      </c>
      <c r="R180" s="303"/>
      <c r="S180" s="303"/>
      <c r="T180" s="303"/>
      <c r="U180" s="303"/>
      <c r="V180" s="303"/>
      <c r="W180" s="303"/>
      <c r="X180" s="303"/>
      <c r="Y180" s="303"/>
      <c r="Z180" s="303"/>
      <c r="AA180" s="303"/>
      <c r="AB180" s="303"/>
      <c r="AC180" s="303"/>
      <c r="AD180" s="303"/>
      <c r="AE180" s="303"/>
      <c r="AF180" s="303"/>
      <c r="AG180" s="303"/>
      <c r="AH180" s="303"/>
      <c r="AI180" s="303"/>
      <c r="AL180" s="298">
        <f>ROW()</f>
        <v>180</v>
      </c>
    </row>
    <row r="181" spans="2:40" outlineLevel="2">
      <c r="B181" t="s">
        <v>1418</v>
      </c>
      <c r="C181" t="s">
        <v>1419</v>
      </c>
      <c r="F181" s="303"/>
      <c r="G181" s="303"/>
      <c r="H181" s="303"/>
      <c r="I181" s="303"/>
      <c r="J181" s="303"/>
      <c r="K181" s="303"/>
      <c r="L181" s="303"/>
      <c r="M181" s="303"/>
      <c r="N181" s="303"/>
      <c r="O181" s="303">
        <v>0</v>
      </c>
      <c r="P181" s="303">
        <v>0</v>
      </c>
      <c r="Q181" s="303">
        <v>0</v>
      </c>
      <c r="R181" s="303"/>
      <c r="S181" s="303"/>
      <c r="T181" s="303"/>
      <c r="U181" s="303"/>
      <c r="V181" s="303"/>
      <c r="W181" s="303"/>
      <c r="X181" s="303"/>
      <c r="Y181" s="303"/>
      <c r="Z181" s="303"/>
      <c r="AA181" s="303"/>
      <c r="AB181" s="303"/>
      <c r="AC181" s="303"/>
      <c r="AD181" s="303"/>
      <c r="AE181" s="303"/>
      <c r="AF181" s="303"/>
      <c r="AG181" s="303"/>
      <c r="AH181" s="303"/>
      <c r="AI181" s="303"/>
      <c r="AL181" s="298">
        <f>ROW()</f>
        <v>181</v>
      </c>
    </row>
    <row r="182" spans="2:40" outlineLevel="2">
      <c r="B182" t="s">
        <v>1420</v>
      </c>
      <c r="C182" t="s">
        <v>1421</v>
      </c>
      <c r="F182" s="303"/>
      <c r="G182" s="303"/>
      <c r="H182" s="303"/>
      <c r="I182" s="303"/>
      <c r="J182" s="303"/>
      <c r="K182" s="303"/>
      <c r="L182" s="303"/>
      <c r="M182" s="303"/>
      <c r="N182" s="303"/>
      <c r="O182" s="303">
        <v>0</v>
      </c>
      <c r="P182" s="303">
        <v>0</v>
      </c>
      <c r="Q182" s="303">
        <v>0</v>
      </c>
      <c r="R182" s="303"/>
      <c r="S182" s="303"/>
      <c r="T182" s="303"/>
      <c r="U182" s="303"/>
      <c r="V182" s="303"/>
      <c r="W182" s="303"/>
      <c r="X182" s="303"/>
      <c r="Y182" s="303"/>
      <c r="Z182" s="303"/>
      <c r="AA182" s="303"/>
      <c r="AB182" s="303"/>
      <c r="AC182" s="303"/>
      <c r="AD182" s="303"/>
      <c r="AE182" s="303"/>
      <c r="AF182" s="303"/>
      <c r="AG182" s="303"/>
      <c r="AH182" s="303"/>
      <c r="AI182" s="303"/>
      <c r="AL182" s="298">
        <f>ROW()</f>
        <v>182</v>
      </c>
    </row>
    <row r="183" spans="2:40" outlineLevel="2">
      <c r="B183" t="s">
        <v>1422</v>
      </c>
      <c r="C183" t="s">
        <v>1423</v>
      </c>
      <c r="F183" s="303"/>
      <c r="G183" s="303"/>
      <c r="H183" s="303"/>
      <c r="I183" s="303"/>
      <c r="J183" s="303"/>
      <c r="K183" s="303"/>
      <c r="L183" s="303"/>
      <c r="M183" s="303"/>
      <c r="N183" s="303"/>
      <c r="O183" s="303">
        <v>0</v>
      </c>
      <c r="P183" s="303">
        <v>0</v>
      </c>
      <c r="Q183" s="303">
        <v>0</v>
      </c>
      <c r="R183" s="303"/>
      <c r="S183" s="303"/>
      <c r="T183" s="303"/>
      <c r="U183" s="303"/>
      <c r="V183" s="303"/>
      <c r="W183" s="303"/>
      <c r="X183" s="303"/>
      <c r="Y183" s="303"/>
      <c r="Z183" s="303"/>
      <c r="AA183" s="303"/>
      <c r="AB183" s="303"/>
      <c r="AC183" s="303"/>
      <c r="AD183" s="303"/>
      <c r="AE183" s="303"/>
      <c r="AF183" s="303"/>
      <c r="AG183" s="303"/>
      <c r="AH183" s="303"/>
      <c r="AI183" s="303"/>
      <c r="AL183" s="298">
        <f>ROW()</f>
        <v>183</v>
      </c>
    </row>
    <row r="184" spans="2:40" outlineLevel="2">
      <c r="B184" t="s">
        <v>1424</v>
      </c>
      <c r="C184" t="s">
        <v>1425</v>
      </c>
      <c r="F184" s="303"/>
      <c r="G184" s="303"/>
      <c r="H184" s="303"/>
      <c r="I184" s="303"/>
      <c r="J184" s="303"/>
      <c r="K184" s="303"/>
      <c r="L184" s="303"/>
      <c r="M184" s="303"/>
      <c r="N184" s="303"/>
      <c r="O184" s="303">
        <v>0</v>
      </c>
      <c r="P184" s="303">
        <v>0</v>
      </c>
      <c r="Q184" s="303">
        <v>0</v>
      </c>
      <c r="R184" s="303"/>
      <c r="S184" s="303"/>
      <c r="T184" s="303"/>
      <c r="U184" s="303"/>
      <c r="V184" s="303"/>
      <c r="W184" s="303"/>
      <c r="X184" s="303"/>
      <c r="Y184" s="303"/>
      <c r="Z184" s="303"/>
      <c r="AA184" s="303"/>
      <c r="AB184" s="303"/>
      <c r="AC184" s="303"/>
      <c r="AD184" s="303"/>
      <c r="AE184" s="303"/>
      <c r="AF184" s="303"/>
      <c r="AG184" s="303"/>
      <c r="AH184" s="303"/>
      <c r="AI184" s="303"/>
      <c r="AL184" s="298">
        <f>ROW()</f>
        <v>184</v>
      </c>
    </row>
    <row r="185" spans="2:40" outlineLevel="2">
      <c r="B185" t="s">
        <v>1426</v>
      </c>
      <c r="C185" t="s">
        <v>1427</v>
      </c>
      <c r="F185" s="303"/>
      <c r="G185" s="303"/>
      <c r="H185" s="303"/>
      <c r="I185" s="303"/>
      <c r="J185" s="303"/>
      <c r="K185" s="303"/>
      <c r="L185" s="303"/>
      <c r="M185" s="303"/>
      <c r="N185" s="303"/>
      <c r="O185" s="303">
        <v>0</v>
      </c>
      <c r="P185" s="303">
        <v>0</v>
      </c>
      <c r="Q185" s="303">
        <v>0</v>
      </c>
      <c r="R185" s="303"/>
      <c r="S185" s="303"/>
      <c r="T185" s="303"/>
      <c r="U185" s="303"/>
      <c r="V185" s="303"/>
      <c r="W185" s="303"/>
      <c r="X185" s="303"/>
      <c r="Y185" s="303"/>
      <c r="Z185" s="303"/>
      <c r="AA185" s="303"/>
      <c r="AB185" s="303"/>
      <c r="AC185" s="303"/>
      <c r="AD185" s="303"/>
      <c r="AE185" s="303"/>
      <c r="AF185" s="303"/>
      <c r="AG185" s="303"/>
      <c r="AH185" s="303"/>
      <c r="AI185" s="303"/>
      <c r="AL185" s="298">
        <f>ROW()</f>
        <v>185</v>
      </c>
    </row>
    <row r="186" spans="2:40" outlineLevel="2">
      <c r="B186" t="s">
        <v>1428</v>
      </c>
      <c r="C186" t="s">
        <v>1429</v>
      </c>
      <c r="F186" s="303"/>
      <c r="G186" s="303"/>
      <c r="H186" s="303"/>
      <c r="I186" s="303"/>
      <c r="J186" s="303"/>
      <c r="K186" s="303"/>
      <c r="L186" s="303"/>
      <c r="M186" s="303"/>
      <c r="N186" s="303"/>
      <c r="O186" s="303">
        <v>0</v>
      </c>
      <c r="P186" s="303">
        <v>0</v>
      </c>
      <c r="Q186" s="303">
        <v>0</v>
      </c>
      <c r="R186" s="303"/>
      <c r="S186" s="303"/>
      <c r="T186" s="303"/>
      <c r="U186" s="303"/>
      <c r="V186" s="303"/>
      <c r="W186" s="303"/>
      <c r="X186" s="303"/>
      <c r="Y186" s="303"/>
      <c r="Z186" s="303"/>
      <c r="AA186" s="303"/>
      <c r="AB186" s="303"/>
      <c r="AC186" s="303"/>
      <c r="AD186" s="303"/>
      <c r="AE186" s="303"/>
      <c r="AF186" s="303"/>
      <c r="AG186" s="303"/>
      <c r="AH186" s="303"/>
      <c r="AI186" s="303"/>
      <c r="AL186" s="298">
        <f>ROW()</f>
        <v>186</v>
      </c>
    </row>
    <row r="187" spans="2:40" outlineLevel="2">
      <c r="B187" t="s">
        <v>1430</v>
      </c>
      <c r="C187" t="s">
        <v>1431</v>
      </c>
      <c r="F187" s="303"/>
      <c r="G187" s="303"/>
      <c r="H187" s="303"/>
      <c r="I187" s="303"/>
      <c r="J187" s="303"/>
      <c r="K187" s="303"/>
      <c r="L187" s="303"/>
      <c r="M187" s="303"/>
      <c r="N187" s="303"/>
      <c r="O187" s="303">
        <v>0</v>
      </c>
      <c r="P187" s="303">
        <v>0</v>
      </c>
      <c r="Q187" s="303">
        <v>0</v>
      </c>
      <c r="R187" s="303"/>
      <c r="S187" s="303"/>
      <c r="T187" s="303"/>
      <c r="U187" s="303"/>
      <c r="V187" s="303"/>
      <c r="W187" s="303"/>
      <c r="X187" s="303"/>
      <c r="Y187" s="303"/>
      <c r="Z187" s="303"/>
      <c r="AA187" s="303"/>
      <c r="AB187" s="303"/>
      <c r="AC187" s="303"/>
      <c r="AD187" s="303"/>
      <c r="AE187" s="303"/>
      <c r="AF187" s="303"/>
      <c r="AG187" s="303"/>
      <c r="AH187" s="303"/>
      <c r="AI187" s="303"/>
      <c r="AL187" s="298">
        <f>ROW()</f>
        <v>187</v>
      </c>
    </row>
    <row r="188" spans="2:40" outlineLevel="2">
      <c r="B188" t="s">
        <v>1432</v>
      </c>
      <c r="C188" t="s">
        <v>1433</v>
      </c>
      <c r="F188" s="303"/>
      <c r="G188" s="303"/>
      <c r="H188" s="303"/>
      <c r="I188" s="303"/>
      <c r="J188" s="303"/>
      <c r="K188" s="303"/>
      <c r="L188" s="303"/>
      <c r="M188" s="303"/>
      <c r="N188" s="303"/>
      <c r="O188" s="303">
        <v>0</v>
      </c>
      <c r="P188" s="303">
        <v>0</v>
      </c>
      <c r="Q188" s="303">
        <v>0</v>
      </c>
      <c r="R188" s="303"/>
      <c r="S188" s="303"/>
      <c r="T188" s="303"/>
      <c r="U188" s="303"/>
      <c r="V188" s="303"/>
      <c r="W188" s="303"/>
      <c r="X188" s="303"/>
      <c r="Y188" s="303"/>
      <c r="Z188" s="303"/>
      <c r="AA188" s="303"/>
      <c r="AB188" s="303"/>
      <c r="AC188" s="303"/>
      <c r="AD188" s="303"/>
      <c r="AE188" s="303"/>
      <c r="AF188" s="303"/>
      <c r="AG188" s="303"/>
      <c r="AH188" s="303"/>
      <c r="AI188" s="303"/>
      <c r="AL188" s="298">
        <f>ROW()</f>
        <v>188</v>
      </c>
    </row>
    <row r="189" spans="2:40" outlineLevel="2">
      <c r="B189" t="s">
        <v>1434</v>
      </c>
      <c r="C189" t="s">
        <v>1435</v>
      </c>
      <c r="F189" s="303"/>
      <c r="G189" s="303"/>
      <c r="H189" s="303"/>
      <c r="I189" s="303"/>
      <c r="J189" s="303"/>
      <c r="K189" s="303"/>
      <c r="L189" s="303"/>
      <c r="M189" s="303"/>
      <c r="N189" s="303"/>
      <c r="O189" s="303">
        <v>0</v>
      </c>
      <c r="P189" s="303">
        <v>0</v>
      </c>
      <c r="Q189" s="303">
        <v>0</v>
      </c>
      <c r="R189" s="303"/>
      <c r="S189" s="303"/>
      <c r="T189" s="303"/>
      <c r="U189" s="303"/>
      <c r="V189" s="303"/>
      <c r="W189" s="303"/>
      <c r="X189" s="303"/>
      <c r="Y189" s="303"/>
      <c r="Z189" s="303"/>
      <c r="AA189" s="303"/>
      <c r="AB189" s="303"/>
      <c r="AC189" s="303"/>
      <c r="AD189" s="303"/>
      <c r="AE189" s="303"/>
      <c r="AF189" s="303"/>
      <c r="AG189" s="303"/>
      <c r="AH189" s="303"/>
      <c r="AI189" s="303"/>
      <c r="AL189" s="298">
        <f>ROW()</f>
        <v>189</v>
      </c>
    </row>
    <row r="190" spans="2:40" outlineLevel="2">
      <c r="B190" t="s">
        <v>851</v>
      </c>
      <c r="C190" t="s">
        <v>852</v>
      </c>
      <c r="F190" s="303">
        <f>0+(VLOOKUP($AN190,'Group Model'!$1:$1048576,MATCH("FY"&amp;RIGHT(F$1,2)&amp;LEFT(F$2,1),'Group Model'!$1:$1,0),FALSE))</f>
        <v>0</v>
      </c>
      <c r="G190" s="303">
        <f>0+(VLOOKUP($AN190,'Group Model'!$1:$1048576,MATCH("FY"&amp;RIGHT(G$1,2)&amp;LEFT(G$2,1),'Group Model'!$1:$1,0),FALSE))</f>
        <v>0.21764534034472685</v>
      </c>
      <c r="H190" s="303">
        <f>0+(VLOOKUP($AN190,'Group Model'!$1:$1048576,MATCH("FY"&amp;RIGHT(H$1,2)&amp;LEFT(H$2,1),'Group Model'!$1:$1,0),FALSE))</f>
        <v>0.19288736118455843</v>
      </c>
      <c r="I190" s="303">
        <f>0+(VLOOKUP($AN190,'Group Model'!$1:$1048576,MATCH("FY"&amp;RIGHT(I$1,2)&amp;LEFT(I$2,1),'Group Model'!$1:$1,0),FALSE))</f>
        <v>0.20114185331576637</v>
      </c>
      <c r="J190" s="303">
        <f>0+(VLOOKUP($AN190,'Group Model'!$1:$1048576,MATCH("FY"&amp;RIGHT(J$1,2)&amp;LEFT(J$2,1),'Group Model'!$1:$1,0),FALSE))</f>
        <v>0.10683378096090719</v>
      </c>
      <c r="K190" s="303">
        <f>0+(VLOOKUP($AN190,'Group Model'!$1:$1048576,MATCH("FY"&amp;RIGHT(K$1,2)&amp;LEFT(K$2,1),'Group Model'!$1:$1,0),FALSE))</f>
        <v>0.14865211810012838</v>
      </c>
      <c r="L190" s="303">
        <f>0+(VLOOKUP($AN190,'Group Model'!$1:$1048576,MATCH("FY"&amp;RIGHT(L$1,2)&amp;LEFT(L$2,1),'Group Model'!$1:$1,0),FALSE))</f>
        <v>0.17426196617942102</v>
      </c>
      <c r="M190" s="303">
        <f>0+(VLOOKUP($AN190,'Group Model'!$1:$1048576,MATCH("FY"&amp;RIGHT(M$1,2)&amp;LEFT(M$2,1),'Group Model'!$1:$1,0),FALSE))</f>
        <v>0.17011963816749343</v>
      </c>
      <c r="N190" s="303">
        <f>0+(VLOOKUP($AN190,'Group Model'!$1:$1048576,MATCH("FY"&amp;RIGHT(N$1,2)&amp;LEFT(N$2,1),'Group Model'!$1:$1,0),FALSE))</f>
        <v>0.19880668257756562</v>
      </c>
      <c r="O190" s="303">
        <f>0+(VLOOKUP($AN190,'Group Model'!$1:$1048576,MATCH("FY"&amp;RIGHT(O$1,2)&amp;LEFT(O$2,1),'Group Model'!$1:$1,0),FALSE))</f>
        <v>0.19082899479375251</v>
      </c>
      <c r="P190" s="303">
        <f>0+(VLOOKUP($AN190,'Group Model'!$1:$1048576,MATCH("FY"&amp;RIGHT(P$1,2)&amp;LEFT(P$2,1),'Group Model'!$1:$1,0),FALSE))</f>
        <v>0.24344405594405594</v>
      </c>
      <c r="Q190" s="303">
        <f>VLOOKUP($AN190,'Group Model'!$1:$1048576,MATCH("FY"&amp;RIGHT(Q$1,2)&amp;LEFT(Q$2,1),'Group Model'!$1:$1,0),FALSE)</f>
        <v>0.23638170974155071</v>
      </c>
      <c r="R190" s="303" t="e">
        <f>VLOOKUP($AN190,'Group Model'!$1:$1048576,MATCH("FY"&amp;RIGHT(R$1,2)&amp;LEFT(R$2,1),'Group Model'!$1:$1,0),FALSE)</f>
        <v>#N/A</v>
      </c>
      <c r="S190" s="303" t="e">
        <f>VLOOKUP($AN190,'Group Model'!$1:$1048576,MATCH("FY"&amp;RIGHT(S$1,2)&amp;LEFT(S$2,1),'Group Model'!$1:$1,0),FALSE)</f>
        <v>#N/A</v>
      </c>
      <c r="T190" s="303" t="e">
        <f>VLOOKUP($AN190,'Group Model'!$1:$1048576,MATCH("FY"&amp;RIGHT(T$1,2)&amp;LEFT(T$2,1),'Group Model'!$1:$1,0),FALSE)</f>
        <v>#N/A</v>
      </c>
      <c r="U190" s="303"/>
      <c r="V190" s="303">
        <f>VLOOKUP($AN190,'Group Model'!$1:$1048576,MATCH("1H"&amp;MID(V$1,3,2)&amp;LEFT(V$2,1),'Group Model'!$1:$1,0),FALSE)</f>
        <v>0.20701168614357263</v>
      </c>
      <c r="W190" s="303">
        <f>VLOOKUP($AN190,'Group Model'!$1:$1048576,MATCH("1H"&amp;MID(W$1,3,2)&amp;LEFT(W$2,1),'Group Model'!$1:$1,0),FALSE)</f>
        <v>0.20701168614357263</v>
      </c>
      <c r="X190" s="303">
        <f>VLOOKUP($AN190,'Group Model'!$1:$1048576,MATCH("1H"&amp;MID(X$1,3,2)&amp;LEFT(X$2,1),'Group Model'!$1:$1,0),FALSE)</f>
        <v>0.20629175946547884</v>
      </c>
      <c r="Y190" s="303">
        <f>VLOOKUP($AN190,'Group Model'!$1:$1048576,MATCH("1H"&amp;MID(Y$1,3,2)&amp;LEFT(Y$2,1),'Group Model'!$1:$1,0),FALSE)</f>
        <v>0.20629175946547884</v>
      </c>
      <c r="Z190" s="303">
        <f>VLOOKUP($AN190,'Group Model'!$1:$1048576,MATCH("1H"&amp;MID(Z$1,3,2)&amp;LEFT(Z$2,1),'Group Model'!$1:$1,0),FALSE)</f>
        <v>0.24898252334211157</v>
      </c>
      <c r="AA190" s="303">
        <f>VLOOKUP($AN190,'Group Model'!$1:$1048576,MATCH("1H"&amp;MID(AA$1,3,2)&amp;LEFT(AA$2,1),'Group Model'!$1:$1,0),FALSE)</f>
        <v>0.24898252334211157</v>
      </c>
      <c r="AB190" s="303">
        <f>VLOOKUP($AN190,'Group Model'!$1:$1048576,MATCH("1H"&amp;MID(AB$1,3,2)&amp;LEFT(AB$2,1),'Group Model'!$1:$1,0),FALSE)</f>
        <v>0.23744120413922859</v>
      </c>
      <c r="AC190" s="303">
        <f>VLOOKUP($AN190,'Group Model'!$1:$1048576,MATCH("1H"&amp;MID(AC$1,3,2)&amp;LEFT(AC$2,1),'Group Model'!$1:$1,0),FALSE)</f>
        <v>0.23744120413922859</v>
      </c>
      <c r="AD190" s="303">
        <f>VLOOKUP($AN190,'Group Model'!$1:$1048576,MATCH("1H"&amp;MID(AD$1,3,2)&amp;LEFT(AD$2,1),'Group Model'!$1:$1,0),FALSE)</f>
        <v>0.25367286973555336</v>
      </c>
      <c r="AE190" s="303">
        <f>VLOOKUP($AN190,'Group Model'!$1:$1048576,MATCH("1H"&amp;MID(AE$1,3,2)&amp;LEFT(AE$2,1),'Group Model'!$1:$1,0),FALSE)</f>
        <v>0.25367286973555336</v>
      </c>
      <c r="AF190" s="303">
        <f>VLOOKUP($AN190,'Group Model'!$1:$1048576,MATCH("1H"&amp;MID(AF$1,3,2)&amp;LEFT(AF$2,1),'Group Model'!$1:$1,0),FALSE)</f>
        <v>0.27837737253442502</v>
      </c>
      <c r="AG190" s="303" t="e">
        <f>VLOOKUP($AN190,'Group Model'!$1:$1048576,MATCH("2H"&amp;MID(AG$1,3,2)&amp;LEFT(AG$2,1),'Group Model'!$1:$1,0),FALSE)</f>
        <v>#N/A</v>
      </c>
      <c r="AH190" s="303" t="e">
        <f>VLOOKUP($AN190,'Group Model'!$1:$1048576,MATCH("1H"&amp;MID(AH$1,3,2)&amp;LEFT(AH$2,1),'Group Model'!$1:$1,0),FALSE)</f>
        <v>#N/A</v>
      </c>
      <c r="AI190" s="303" t="e">
        <f>VLOOKUP($AN190,'Group Model'!$1:$1048576,MATCH("2H"&amp;MID(AI$1,3,2)&amp;LEFT(AI$2,1),'Group Model'!$1:$1,0),FALSE)</f>
        <v>#N/A</v>
      </c>
      <c r="AL190" s="298">
        <f>ROW()</f>
        <v>190</v>
      </c>
      <c r="AN190" s="298" t="s">
        <v>1326</v>
      </c>
    </row>
    <row r="191" spans="2:40" outlineLevel="2">
      <c r="B191" t="s">
        <v>1436</v>
      </c>
      <c r="C191" t="s">
        <v>1437</v>
      </c>
      <c r="F191" s="303"/>
      <c r="G191" s="303"/>
      <c r="H191" s="303"/>
      <c r="I191" s="303"/>
      <c r="J191" s="303"/>
      <c r="K191" s="303"/>
      <c r="L191" s="303"/>
      <c r="M191" s="303"/>
      <c r="N191" s="303"/>
      <c r="O191" s="303">
        <v>0</v>
      </c>
      <c r="P191" s="303">
        <v>0</v>
      </c>
      <c r="Q191" s="303">
        <v>0</v>
      </c>
      <c r="R191" s="303"/>
      <c r="S191" s="303"/>
      <c r="T191" s="303"/>
      <c r="U191" s="303"/>
      <c r="V191" s="303"/>
      <c r="W191" s="303"/>
      <c r="X191" s="303"/>
      <c r="Y191" s="303"/>
      <c r="Z191" s="303"/>
      <c r="AA191" s="303"/>
      <c r="AB191" s="303"/>
      <c r="AC191" s="303"/>
      <c r="AD191" s="303"/>
      <c r="AE191" s="303"/>
      <c r="AF191" s="303"/>
      <c r="AG191" s="303"/>
      <c r="AH191" s="303"/>
      <c r="AI191" s="303"/>
      <c r="AL191" s="298">
        <f>ROW()</f>
        <v>191</v>
      </c>
    </row>
    <row r="192" spans="2:40" outlineLevel="2">
      <c r="B192" t="s">
        <v>1438</v>
      </c>
      <c r="C192" t="s">
        <v>1439</v>
      </c>
      <c r="F192" s="303"/>
      <c r="G192" s="303"/>
      <c r="H192" s="303"/>
      <c r="I192" s="303"/>
      <c r="J192" s="303"/>
      <c r="K192" s="303"/>
      <c r="L192" s="303"/>
      <c r="M192" s="303"/>
      <c r="N192" s="303"/>
      <c r="O192" s="303">
        <v>0</v>
      </c>
      <c r="P192" s="303">
        <v>0</v>
      </c>
      <c r="Q192" s="303">
        <v>0</v>
      </c>
      <c r="R192" s="303"/>
      <c r="S192" s="303"/>
      <c r="T192" s="303"/>
      <c r="U192" s="303"/>
      <c r="V192" s="303"/>
      <c r="W192" s="303"/>
      <c r="X192" s="303"/>
      <c r="Y192" s="303"/>
      <c r="Z192" s="303"/>
      <c r="AA192" s="303"/>
      <c r="AB192" s="303"/>
      <c r="AC192" s="303"/>
      <c r="AD192" s="303"/>
      <c r="AE192" s="303"/>
      <c r="AF192" s="303"/>
      <c r="AG192" s="303"/>
      <c r="AH192" s="303"/>
      <c r="AI192" s="303"/>
      <c r="AL192" s="298">
        <f>ROW()</f>
        <v>192</v>
      </c>
    </row>
    <row r="193" spans="2:38" outlineLevel="2">
      <c r="B193" t="s">
        <v>861</v>
      </c>
      <c r="C193" t="s">
        <v>862</v>
      </c>
      <c r="F193" s="303"/>
      <c r="G193" s="303"/>
      <c r="H193" s="303"/>
      <c r="I193" s="303"/>
      <c r="J193" s="303"/>
      <c r="K193" s="303"/>
      <c r="L193" s="303"/>
      <c r="M193" s="303"/>
      <c r="N193" s="303"/>
      <c r="O193" s="303">
        <v>0</v>
      </c>
      <c r="P193" s="303">
        <v>0</v>
      </c>
      <c r="Q193" s="303">
        <v>0</v>
      </c>
      <c r="R193" s="303"/>
      <c r="S193" s="303"/>
      <c r="T193" s="303"/>
      <c r="U193" s="303"/>
      <c r="V193" s="303"/>
      <c r="W193" s="303"/>
      <c r="X193" s="303"/>
      <c r="Y193" s="303"/>
      <c r="Z193" s="303"/>
      <c r="AA193" s="303"/>
      <c r="AB193" s="303"/>
      <c r="AC193" s="303"/>
      <c r="AD193" s="303"/>
      <c r="AE193" s="303"/>
      <c r="AF193" s="303"/>
      <c r="AG193" s="303"/>
      <c r="AH193" s="303"/>
      <c r="AI193" s="303"/>
      <c r="AL193" s="298">
        <f>ROW()</f>
        <v>193</v>
      </c>
    </row>
    <row r="194" spans="2:38" outlineLevel="2">
      <c r="B194" t="s">
        <v>1440</v>
      </c>
      <c r="C194" t="s">
        <v>1441</v>
      </c>
      <c r="F194" s="303"/>
      <c r="G194" s="303"/>
      <c r="H194" s="303"/>
      <c r="I194" s="303"/>
      <c r="J194" s="303"/>
      <c r="K194" s="303"/>
      <c r="L194" s="303"/>
      <c r="M194" s="303"/>
      <c r="N194" s="303"/>
      <c r="O194" s="303">
        <v>0</v>
      </c>
      <c r="P194" s="303">
        <v>0</v>
      </c>
      <c r="Q194" s="303">
        <v>0</v>
      </c>
      <c r="R194" s="303"/>
      <c r="S194" s="303"/>
      <c r="T194" s="303"/>
      <c r="U194" s="303"/>
      <c r="V194" s="303"/>
      <c r="W194" s="303"/>
      <c r="X194" s="303"/>
      <c r="Y194" s="303"/>
      <c r="Z194" s="303"/>
      <c r="AA194" s="303"/>
      <c r="AB194" s="303"/>
      <c r="AC194" s="303"/>
      <c r="AD194" s="303"/>
      <c r="AE194" s="303"/>
      <c r="AF194" s="303"/>
      <c r="AG194" s="303"/>
      <c r="AH194" s="303"/>
      <c r="AI194" s="303"/>
      <c r="AL194" s="298">
        <f>ROW()</f>
        <v>194</v>
      </c>
    </row>
    <row r="195" spans="2:38" outlineLevel="2">
      <c r="B195" t="s">
        <v>1442</v>
      </c>
      <c r="C195" t="s">
        <v>1443</v>
      </c>
      <c r="F195" s="303"/>
      <c r="G195" s="303"/>
      <c r="H195" s="303"/>
      <c r="I195" s="303"/>
      <c r="J195" s="303"/>
      <c r="K195" s="303"/>
      <c r="L195" s="303"/>
      <c r="M195" s="303"/>
      <c r="N195" s="303"/>
      <c r="O195" s="303">
        <v>0</v>
      </c>
      <c r="P195" s="303">
        <v>0</v>
      </c>
      <c r="Q195" s="303">
        <v>0</v>
      </c>
      <c r="R195" s="303"/>
      <c r="S195" s="303"/>
      <c r="T195" s="303"/>
      <c r="U195" s="303"/>
      <c r="V195" s="303"/>
      <c r="W195" s="303"/>
      <c r="X195" s="303"/>
      <c r="Y195" s="303"/>
      <c r="Z195" s="303"/>
      <c r="AA195" s="303"/>
      <c r="AB195" s="303"/>
      <c r="AC195" s="303"/>
      <c r="AD195" s="303"/>
      <c r="AE195" s="303"/>
      <c r="AF195" s="303"/>
      <c r="AG195" s="303"/>
      <c r="AH195" s="303"/>
      <c r="AI195" s="303"/>
      <c r="AL195" s="298">
        <f>ROW()</f>
        <v>195</v>
      </c>
    </row>
    <row r="196" spans="2:38" outlineLevel="2">
      <c r="B196" t="s">
        <v>1444</v>
      </c>
      <c r="C196" t="s">
        <v>1445</v>
      </c>
      <c r="F196" s="303"/>
      <c r="G196" s="303"/>
      <c r="H196" s="303"/>
      <c r="I196" s="303"/>
      <c r="J196" s="303"/>
      <c r="K196" s="303"/>
      <c r="L196" s="303"/>
      <c r="M196" s="303"/>
      <c r="N196" s="303"/>
      <c r="O196" s="303">
        <v>0</v>
      </c>
      <c r="P196" s="303">
        <v>0</v>
      </c>
      <c r="Q196" s="303">
        <v>0</v>
      </c>
      <c r="R196" s="303"/>
      <c r="S196" s="303"/>
      <c r="T196" s="303"/>
      <c r="U196" s="303"/>
      <c r="V196" s="303"/>
      <c r="W196" s="303"/>
      <c r="X196" s="303"/>
      <c r="Y196" s="303"/>
      <c r="Z196" s="303"/>
      <c r="AA196" s="303"/>
      <c r="AB196" s="303"/>
      <c r="AC196" s="303"/>
      <c r="AD196" s="303"/>
      <c r="AE196" s="303"/>
      <c r="AF196" s="303"/>
      <c r="AG196" s="303"/>
      <c r="AH196" s="303"/>
      <c r="AI196" s="303"/>
      <c r="AL196" s="298">
        <f>ROW()</f>
        <v>196</v>
      </c>
    </row>
    <row r="197" spans="2:38" outlineLevel="2">
      <c r="B197" t="s">
        <v>1446</v>
      </c>
      <c r="C197" t="s">
        <v>1447</v>
      </c>
      <c r="F197" s="303"/>
      <c r="G197" s="303"/>
      <c r="H197" s="303"/>
      <c r="I197" s="303"/>
      <c r="J197" s="303"/>
      <c r="K197" s="303"/>
      <c r="L197" s="303"/>
      <c r="M197" s="303"/>
      <c r="N197" s="303"/>
      <c r="O197" s="303">
        <v>0</v>
      </c>
      <c r="P197" s="303">
        <v>0</v>
      </c>
      <c r="Q197" s="303">
        <v>0</v>
      </c>
      <c r="R197" s="303"/>
      <c r="S197" s="303"/>
      <c r="T197" s="303"/>
      <c r="U197" s="303"/>
      <c r="V197" s="303"/>
      <c r="W197" s="303"/>
      <c r="X197" s="303"/>
      <c r="Y197" s="303"/>
      <c r="Z197" s="303"/>
      <c r="AA197" s="303"/>
      <c r="AB197" s="303"/>
      <c r="AC197" s="303"/>
      <c r="AD197" s="303"/>
      <c r="AE197" s="303"/>
      <c r="AF197" s="303"/>
      <c r="AG197" s="303"/>
      <c r="AH197" s="303"/>
      <c r="AI197" s="303"/>
      <c r="AL197" s="298">
        <f>ROW()</f>
        <v>197</v>
      </c>
    </row>
    <row r="198" spans="2:38" outlineLevel="2">
      <c r="B198" t="s">
        <v>1448</v>
      </c>
      <c r="C198" t="s">
        <v>1449</v>
      </c>
      <c r="F198" s="303"/>
      <c r="G198" s="303"/>
      <c r="H198" s="303"/>
      <c r="I198" s="303"/>
      <c r="J198" s="303"/>
      <c r="K198" s="303"/>
      <c r="L198" s="303"/>
      <c r="M198" s="303"/>
      <c r="N198" s="303"/>
      <c r="O198" s="303">
        <v>0</v>
      </c>
      <c r="P198" s="303">
        <v>0</v>
      </c>
      <c r="Q198" s="303">
        <v>0</v>
      </c>
      <c r="R198" s="303"/>
      <c r="S198" s="303"/>
      <c r="T198" s="303"/>
      <c r="U198" s="303"/>
      <c r="V198" s="303"/>
      <c r="W198" s="303"/>
      <c r="X198" s="303"/>
      <c r="Y198" s="303"/>
      <c r="Z198" s="303"/>
      <c r="AA198" s="303"/>
      <c r="AB198" s="303"/>
      <c r="AC198" s="303"/>
      <c r="AD198" s="303"/>
      <c r="AE198" s="303"/>
      <c r="AF198" s="303"/>
      <c r="AG198" s="303"/>
      <c r="AH198" s="303"/>
      <c r="AI198" s="303"/>
      <c r="AL198" s="298">
        <f>ROW()</f>
        <v>198</v>
      </c>
    </row>
    <row r="199" spans="2:38" outlineLevel="2">
      <c r="B199" t="s">
        <v>1450</v>
      </c>
      <c r="C199" t="s">
        <v>1451</v>
      </c>
      <c r="F199" s="303"/>
      <c r="G199" s="303"/>
      <c r="H199" s="303"/>
      <c r="I199" s="303"/>
      <c r="J199" s="303"/>
      <c r="K199" s="303"/>
      <c r="L199" s="303"/>
      <c r="M199" s="303"/>
      <c r="N199" s="303"/>
      <c r="O199" s="303">
        <v>0</v>
      </c>
      <c r="P199" s="303">
        <v>0</v>
      </c>
      <c r="Q199" s="303">
        <v>0</v>
      </c>
      <c r="R199" s="303"/>
      <c r="S199" s="303"/>
      <c r="T199" s="303"/>
      <c r="U199" s="303"/>
      <c r="V199" s="303"/>
      <c r="W199" s="303"/>
      <c r="X199" s="303"/>
      <c r="Y199" s="303"/>
      <c r="Z199" s="303"/>
      <c r="AA199" s="303"/>
      <c r="AB199" s="303"/>
      <c r="AC199" s="303"/>
      <c r="AD199" s="303"/>
      <c r="AE199" s="303"/>
      <c r="AF199" s="303"/>
      <c r="AG199" s="303"/>
      <c r="AH199" s="303"/>
      <c r="AI199" s="303"/>
      <c r="AL199" s="298">
        <f>ROW()</f>
        <v>199</v>
      </c>
    </row>
    <row r="200" spans="2:38" outlineLevel="2">
      <c r="B200" t="s">
        <v>1452</v>
      </c>
      <c r="C200" t="s">
        <v>1453</v>
      </c>
      <c r="F200" s="303"/>
      <c r="G200" s="303"/>
      <c r="H200" s="303"/>
      <c r="I200" s="303"/>
      <c r="J200" s="303"/>
      <c r="K200" s="303"/>
      <c r="L200" s="303"/>
      <c r="M200" s="303"/>
      <c r="N200" s="303"/>
      <c r="O200" s="303">
        <v>0</v>
      </c>
      <c r="P200" s="303">
        <v>0</v>
      </c>
      <c r="Q200" s="303">
        <v>0</v>
      </c>
      <c r="R200" s="303"/>
      <c r="S200" s="303"/>
      <c r="T200" s="303"/>
      <c r="U200" s="303"/>
      <c r="V200" s="303"/>
      <c r="W200" s="303"/>
      <c r="X200" s="303"/>
      <c r="Y200" s="303"/>
      <c r="Z200" s="303"/>
      <c r="AA200" s="303"/>
      <c r="AB200" s="303"/>
      <c r="AC200" s="303"/>
      <c r="AD200" s="303"/>
      <c r="AE200" s="303"/>
      <c r="AF200" s="303"/>
      <c r="AG200" s="303"/>
      <c r="AH200" s="303"/>
      <c r="AI200" s="303"/>
      <c r="AL200" s="298">
        <f>ROW()</f>
        <v>200</v>
      </c>
    </row>
    <row r="201" spans="2:38" outlineLevel="2">
      <c r="B201" t="s">
        <v>1454</v>
      </c>
      <c r="C201" t="s">
        <v>1455</v>
      </c>
      <c r="F201" s="303"/>
      <c r="G201" s="303"/>
      <c r="H201" s="303"/>
      <c r="I201" s="303"/>
      <c r="J201" s="303"/>
      <c r="K201" s="303"/>
      <c r="L201" s="303"/>
      <c r="M201" s="303"/>
      <c r="N201" s="303"/>
      <c r="O201" s="303">
        <v>0</v>
      </c>
      <c r="P201" s="303">
        <v>0</v>
      </c>
      <c r="Q201" s="303">
        <v>0</v>
      </c>
      <c r="R201" s="303"/>
      <c r="S201" s="303"/>
      <c r="T201" s="303"/>
      <c r="U201" s="303"/>
      <c r="V201" s="303"/>
      <c r="W201" s="303"/>
      <c r="X201" s="303"/>
      <c r="Y201" s="303"/>
      <c r="Z201" s="303"/>
      <c r="AA201" s="303"/>
      <c r="AB201" s="303"/>
      <c r="AC201" s="303"/>
      <c r="AD201" s="303"/>
      <c r="AE201" s="303"/>
      <c r="AF201" s="303"/>
      <c r="AG201" s="303"/>
      <c r="AH201" s="303"/>
      <c r="AI201" s="303"/>
      <c r="AL201" s="298">
        <f>ROW()</f>
        <v>201</v>
      </c>
    </row>
    <row r="202" spans="2:38" outlineLevel="2">
      <c r="B202" t="s">
        <v>1456</v>
      </c>
      <c r="C202" t="s">
        <v>1457</v>
      </c>
      <c r="F202" s="303"/>
      <c r="G202" s="303"/>
      <c r="H202" s="303"/>
      <c r="I202" s="303"/>
      <c r="J202" s="303"/>
      <c r="K202" s="303"/>
      <c r="L202" s="303"/>
      <c r="M202" s="303"/>
      <c r="N202" s="303"/>
      <c r="O202" s="303">
        <v>0</v>
      </c>
      <c r="P202" s="303">
        <v>0</v>
      </c>
      <c r="Q202" s="303">
        <v>0</v>
      </c>
      <c r="R202" s="303"/>
      <c r="S202" s="303"/>
      <c r="T202" s="303"/>
      <c r="U202" s="303"/>
      <c r="V202" s="303"/>
      <c r="W202" s="303"/>
      <c r="X202" s="303"/>
      <c r="Y202" s="303"/>
      <c r="Z202" s="303"/>
      <c r="AA202" s="303"/>
      <c r="AB202" s="303"/>
      <c r="AC202" s="303"/>
      <c r="AD202" s="303"/>
      <c r="AE202" s="303"/>
      <c r="AF202" s="303"/>
      <c r="AG202" s="303"/>
      <c r="AH202" s="303"/>
      <c r="AI202" s="303"/>
      <c r="AL202" s="298">
        <f>ROW()</f>
        <v>202</v>
      </c>
    </row>
    <row r="203" spans="2:38" outlineLevel="2">
      <c r="B203" t="s">
        <v>867</v>
      </c>
      <c r="C203" t="s">
        <v>868</v>
      </c>
      <c r="F203" s="303"/>
      <c r="G203" s="303"/>
      <c r="H203" s="303"/>
      <c r="I203" s="303"/>
      <c r="J203" s="303"/>
      <c r="K203" s="303"/>
      <c r="L203" s="303"/>
      <c r="M203" s="303"/>
      <c r="N203" s="303"/>
      <c r="O203" s="303">
        <v>0</v>
      </c>
      <c r="P203" s="303">
        <v>0</v>
      </c>
      <c r="Q203" s="303">
        <v>0</v>
      </c>
      <c r="R203" s="303"/>
      <c r="S203" s="303"/>
      <c r="T203" s="303"/>
      <c r="U203" s="303"/>
      <c r="V203" s="303"/>
      <c r="W203" s="303"/>
      <c r="X203" s="303"/>
      <c r="Y203" s="303"/>
      <c r="Z203" s="303"/>
      <c r="AA203" s="303"/>
      <c r="AB203" s="303"/>
      <c r="AC203" s="303"/>
      <c r="AD203" s="303"/>
      <c r="AE203" s="303"/>
      <c r="AF203" s="303"/>
      <c r="AG203" s="303"/>
      <c r="AH203" s="303"/>
      <c r="AI203" s="303"/>
      <c r="AL203" s="298">
        <f>ROW()</f>
        <v>203</v>
      </c>
    </row>
    <row r="204" spans="2:38" outlineLevel="2">
      <c r="B204" t="s">
        <v>1458</v>
      </c>
      <c r="C204" t="s">
        <v>1459</v>
      </c>
      <c r="F204" s="303"/>
      <c r="G204" s="303"/>
      <c r="H204" s="303"/>
      <c r="I204" s="303"/>
      <c r="J204" s="303"/>
      <c r="K204" s="303"/>
      <c r="L204" s="303"/>
      <c r="M204" s="303"/>
      <c r="N204" s="303"/>
      <c r="O204" s="303">
        <v>0</v>
      </c>
      <c r="P204" s="303">
        <v>0</v>
      </c>
      <c r="Q204" s="303">
        <v>0</v>
      </c>
      <c r="R204" s="303"/>
      <c r="S204" s="303"/>
      <c r="T204" s="303"/>
      <c r="U204" s="303"/>
      <c r="V204" s="303"/>
      <c r="W204" s="303"/>
      <c r="X204" s="303"/>
      <c r="Y204" s="303"/>
      <c r="Z204" s="303"/>
      <c r="AA204" s="303"/>
      <c r="AB204" s="303"/>
      <c r="AC204" s="303"/>
      <c r="AD204" s="303"/>
      <c r="AE204" s="303"/>
      <c r="AF204" s="303"/>
      <c r="AG204" s="303"/>
      <c r="AH204" s="303"/>
      <c r="AI204" s="303"/>
      <c r="AL204" s="298">
        <f>ROW()</f>
        <v>204</v>
      </c>
    </row>
    <row r="205" spans="2:38" outlineLevel="2">
      <c r="B205" t="s">
        <v>1460</v>
      </c>
      <c r="C205" t="s">
        <v>1461</v>
      </c>
      <c r="F205" s="303"/>
      <c r="G205" s="303"/>
      <c r="H205" s="303"/>
      <c r="I205" s="303"/>
      <c r="J205" s="303"/>
      <c r="K205" s="303"/>
      <c r="L205" s="303"/>
      <c r="M205" s="303"/>
      <c r="N205" s="303"/>
      <c r="O205" s="303">
        <v>0</v>
      </c>
      <c r="P205" s="303">
        <v>0</v>
      </c>
      <c r="Q205" s="303">
        <v>0</v>
      </c>
      <c r="R205" s="303"/>
      <c r="S205" s="303"/>
      <c r="T205" s="303"/>
      <c r="U205" s="303"/>
      <c r="V205" s="303"/>
      <c r="W205" s="303"/>
      <c r="X205" s="303"/>
      <c r="Y205" s="303"/>
      <c r="Z205" s="303"/>
      <c r="AA205" s="303"/>
      <c r="AB205" s="303"/>
      <c r="AC205" s="303"/>
      <c r="AD205" s="303"/>
      <c r="AE205" s="303"/>
      <c r="AF205" s="303"/>
      <c r="AG205" s="303"/>
      <c r="AH205" s="303"/>
      <c r="AI205" s="303"/>
      <c r="AL205" s="298">
        <f>ROW()</f>
        <v>205</v>
      </c>
    </row>
    <row r="206" spans="2:38" outlineLevel="2">
      <c r="B206" t="s">
        <v>1462</v>
      </c>
      <c r="C206" t="s">
        <v>1463</v>
      </c>
      <c r="F206" s="303"/>
      <c r="G206" s="303"/>
      <c r="H206" s="303"/>
      <c r="I206" s="303"/>
      <c r="J206" s="303"/>
      <c r="K206" s="303"/>
      <c r="L206" s="303"/>
      <c r="M206" s="303"/>
      <c r="N206" s="303"/>
      <c r="O206" s="303">
        <v>0</v>
      </c>
      <c r="P206" s="303">
        <v>0</v>
      </c>
      <c r="Q206" s="303">
        <v>0</v>
      </c>
      <c r="R206" s="303"/>
      <c r="S206" s="303"/>
      <c r="T206" s="303"/>
      <c r="U206" s="303"/>
      <c r="V206" s="303"/>
      <c r="W206" s="303"/>
      <c r="X206" s="303"/>
      <c r="Y206" s="303"/>
      <c r="Z206" s="303"/>
      <c r="AA206" s="303"/>
      <c r="AB206" s="303"/>
      <c r="AC206" s="303"/>
      <c r="AD206" s="303"/>
      <c r="AE206" s="303"/>
      <c r="AF206" s="303"/>
      <c r="AG206" s="303"/>
      <c r="AH206" s="303"/>
      <c r="AI206" s="303"/>
      <c r="AL206" s="298">
        <f>ROW()</f>
        <v>206</v>
      </c>
    </row>
    <row r="207" spans="2:38" outlineLevel="2">
      <c r="B207" t="s">
        <v>1464</v>
      </c>
      <c r="C207" t="s">
        <v>1465</v>
      </c>
      <c r="F207" s="303"/>
      <c r="G207" s="303"/>
      <c r="H207" s="303"/>
      <c r="I207" s="303"/>
      <c r="J207" s="303"/>
      <c r="K207" s="303"/>
      <c r="L207" s="303"/>
      <c r="M207" s="303"/>
      <c r="N207" s="303"/>
      <c r="O207" s="303">
        <v>0</v>
      </c>
      <c r="P207" s="303">
        <v>0</v>
      </c>
      <c r="Q207" s="303">
        <v>0</v>
      </c>
      <c r="R207" s="303"/>
      <c r="S207" s="303"/>
      <c r="T207" s="303"/>
      <c r="U207" s="303"/>
      <c r="V207" s="303"/>
      <c r="W207" s="303"/>
      <c r="X207" s="303"/>
      <c r="Y207" s="303"/>
      <c r="Z207" s="303"/>
      <c r="AA207" s="303"/>
      <c r="AB207" s="303"/>
      <c r="AC207" s="303"/>
      <c r="AD207" s="303"/>
      <c r="AE207" s="303"/>
      <c r="AF207" s="303"/>
      <c r="AG207" s="303"/>
      <c r="AH207" s="303"/>
      <c r="AI207" s="303"/>
      <c r="AL207" s="298">
        <f>ROW()</f>
        <v>207</v>
      </c>
    </row>
    <row r="208" spans="2:38" outlineLevel="2">
      <c r="B208" t="s">
        <v>869</v>
      </c>
      <c r="C208" t="s">
        <v>870</v>
      </c>
      <c r="F208" s="303"/>
      <c r="G208" s="303"/>
      <c r="H208" s="303"/>
      <c r="I208" s="303"/>
      <c r="J208" s="303"/>
      <c r="K208" s="303"/>
      <c r="L208" s="303"/>
      <c r="M208" s="303"/>
      <c r="N208" s="303"/>
      <c r="O208" s="303">
        <v>0</v>
      </c>
      <c r="P208" s="303">
        <v>0</v>
      </c>
      <c r="Q208" s="303">
        <v>0</v>
      </c>
      <c r="R208" s="303"/>
      <c r="S208" s="303"/>
      <c r="T208" s="303"/>
      <c r="U208" s="303"/>
      <c r="V208" s="303"/>
      <c r="W208" s="303"/>
      <c r="X208" s="303"/>
      <c r="Y208" s="303"/>
      <c r="Z208" s="303"/>
      <c r="AA208" s="303"/>
      <c r="AB208" s="303"/>
      <c r="AC208" s="303"/>
      <c r="AD208" s="303"/>
      <c r="AE208" s="303"/>
      <c r="AF208" s="303"/>
      <c r="AG208" s="303"/>
      <c r="AH208" s="303"/>
      <c r="AI208" s="303"/>
      <c r="AL208" s="298">
        <f>ROW()</f>
        <v>208</v>
      </c>
    </row>
    <row r="209" spans="2:40" outlineLevel="2">
      <c r="B209" t="s">
        <v>871</v>
      </c>
      <c r="C209" t="s">
        <v>872</v>
      </c>
      <c r="F209" s="303"/>
      <c r="G209" s="303"/>
      <c r="H209" s="303"/>
      <c r="I209" s="303"/>
      <c r="J209" s="303"/>
      <c r="K209" s="303"/>
      <c r="L209" s="303"/>
      <c r="M209" s="303"/>
      <c r="N209" s="303"/>
      <c r="O209" s="303">
        <v>0</v>
      </c>
      <c r="P209" s="303">
        <v>0</v>
      </c>
      <c r="Q209" s="303">
        <v>0</v>
      </c>
      <c r="R209" s="303"/>
      <c r="S209" s="303"/>
      <c r="T209" s="303"/>
      <c r="U209" s="303"/>
      <c r="V209" s="303"/>
      <c r="W209" s="303"/>
      <c r="X209" s="303"/>
      <c r="Y209" s="303"/>
      <c r="Z209" s="303"/>
      <c r="AA209" s="303"/>
      <c r="AB209" s="303"/>
      <c r="AC209" s="303"/>
      <c r="AD209" s="303"/>
      <c r="AE209" s="303"/>
      <c r="AF209" s="303"/>
      <c r="AG209" s="303"/>
      <c r="AH209" s="303"/>
      <c r="AI209" s="303"/>
      <c r="AL209" s="298">
        <f>ROW()</f>
        <v>209</v>
      </c>
    </row>
    <row r="210" spans="2:40" outlineLevel="2">
      <c r="B210" t="s">
        <v>1466</v>
      </c>
      <c r="C210" t="s">
        <v>1467</v>
      </c>
      <c r="F210" s="303"/>
      <c r="G210" s="303"/>
      <c r="H210" s="303"/>
      <c r="I210" s="303"/>
      <c r="J210" s="303"/>
      <c r="K210" s="303"/>
      <c r="L210" s="303"/>
      <c r="M210" s="303"/>
      <c r="N210" s="303"/>
      <c r="O210" s="303">
        <v>0</v>
      </c>
      <c r="P210" s="303">
        <v>0</v>
      </c>
      <c r="Q210" s="303">
        <v>0</v>
      </c>
      <c r="R210" s="303"/>
      <c r="S210" s="303"/>
      <c r="T210" s="303"/>
      <c r="U210" s="303"/>
      <c r="V210" s="303"/>
      <c r="W210" s="303"/>
      <c r="X210" s="303"/>
      <c r="Y210" s="303"/>
      <c r="Z210" s="303"/>
      <c r="AA210" s="303"/>
      <c r="AB210" s="303"/>
      <c r="AC210" s="303"/>
      <c r="AD210" s="303"/>
      <c r="AE210" s="303"/>
      <c r="AF210" s="303"/>
      <c r="AG210" s="303"/>
      <c r="AH210" s="303"/>
      <c r="AI210" s="303"/>
      <c r="AL210" s="298">
        <f>ROW()</f>
        <v>210</v>
      </c>
    </row>
    <row r="211" spans="2:40" outlineLevel="2">
      <c r="B211" t="s">
        <v>1468</v>
      </c>
      <c r="C211" t="s">
        <v>1469</v>
      </c>
      <c r="F211" s="303"/>
      <c r="G211" s="303"/>
      <c r="H211" s="303"/>
      <c r="I211" s="303"/>
      <c r="J211" s="303"/>
      <c r="K211" s="303"/>
      <c r="L211" s="303"/>
      <c r="M211" s="303"/>
      <c r="N211" s="303"/>
      <c r="O211" s="303">
        <v>0</v>
      </c>
      <c r="P211" s="303">
        <v>0</v>
      </c>
      <c r="Q211" s="303">
        <v>0</v>
      </c>
      <c r="R211" s="303"/>
      <c r="S211" s="303"/>
      <c r="T211" s="303"/>
      <c r="U211" s="303"/>
      <c r="V211" s="303"/>
      <c r="W211" s="303"/>
      <c r="X211" s="303"/>
      <c r="Y211" s="303"/>
      <c r="Z211" s="303"/>
      <c r="AA211" s="303"/>
      <c r="AB211" s="303"/>
      <c r="AC211" s="303"/>
      <c r="AD211" s="303"/>
      <c r="AE211" s="303"/>
      <c r="AF211" s="303"/>
      <c r="AG211" s="303"/>
      <c r="AH211" s="303"/>
      <c r="AI211" s="303"/>
      <c r="AL211" s="298">
        <f>ROW()</f>
        <v>211</v>
      </c>
    </row>
    <row r="212" spans="2:40" outlineLevel="2">
      <c r="B212" t="s">
        <v>1470</v>
      </c>
      <c r="C212" t="s">
        <v>1471</v>
      </c>
      <c r="F212" s="303">
        <f>VLOOKUP($AN212,'Group Model'!$1:$1048576,MATCH("FY"&amp;RIGHT(F$1,2)&amp;LEFT(F$2,1),'Group Model'!$1:$1,0),FALSE)</f>
        <v>0</v>
      </c>
      <c r="G212" s="303">
        <f>VLOOKUP($AN212,'Group Model'!$1:$1048576,MATCH("FY"&amp;RIGHT(G$1,2)&amp;LEFT(G$2,1),'Group Model'!$1:$1,0),FALSE)</f>
        <v>0.16929593923458955</v>
      </c>
      <c r="H212" s="303">
        <f>VLOOKUP($AN212,'Group Model'!$1:$1048576,MATCH("FY"&amp;RIGHT(H$1,2)&amp;LEFT(H$2,1),'Group Model'!$1:$1,0),FALSE)</f>
        <v>0.26203067160232679</v>
      </c>
      <c r="I212" s="303">
        <f>VLOOKUP($AN212,'Group Model'!$1:$1048576,MATCH("FY"&amp;RIGHT(I$1,2)&amp;LEFT(I$2,1),'Group Model'!$1:$1,0),FALSE)</f>
        <v>0.23539745278875715</v>
      </c>
      <c r="J212" s="303">
        <f>VLOOKUP($AN212,'Group Model'!$1:$1048576,MATCH("FY"&amp;RIGHT(J$1,2)&amp;LEFT(J$2,1),'Group Model'!$1:$1,0),FALSE)</f>
        <v>0.15279021187705163</v>
      </c>
      <c r="K212" s="303">
        <f>VLOOKUP($AN212,'Group Model'!$1:$1048576,MATCH("FY"&amp;RIGHT(K$1,2)&amp;LEFT(K$2,1),'Group Model'!$1:$1,0),FALSE)</f>
        <v>0.15943517329910142</v>
      </c>
      <c r="L212" s="303">
        <f>VLOOKUP($AN212,'Group Model'!$1:$1048576,MATCH("FY"&amp;RIGHT(L$1,2)&amp;LEFT(L$2,1),'Group Model'!$1:$1,0),FALSE)</f>
        <v>9.7162510748065353E-2</v>
      </c>
      <c r="M212" s="303">
        <f>VLOOKUP($AN212,'Group Model'!$1:$1048576,MATCH("FY"&amp;RIGHT(M$1,2)&amp;LEFT(M$2,1),'Group Model'!$1:$1,0),FALSE)</f>
        <v>0.11117595564633791</v>
      </c>
      <c r="N212" s="303">
        <f>VLOOKUP($AN212,'Group Model'!$1:$1048576,MATCH("FY"&amp;RIGHT(N$1,2)&amp;LEFT(N$2,1),'Group Model'!$1:$1,0),FALSE)</f>
        <v>0.13317422434367543</v>
      </c>
      <c r="O212" s="303">
        <f>VLOOKUP($AN212,'Group Model'!$1:$1048576,MATCH("FY"&amp;RIGHT(O$1,2)&amp;LEFT(O$2,1),'Group Model'!$1:$1,0),FALSE)</f>
        <v>0.13816579895875059</v>
      </c>
      <c r="P212" s="303">
        <f>VLOOKUP($AN212,'Group Model'!$1:$1048576,MATCH("FY"&amp;RIGHT(P$1,2)&amp;LEFT(P$2,1),'Group Model'!$1:$1,0),FALSE)</f>
        <v>0.12718531468531469</v>
      </c>
      <c r="Q212" s="303">
        <f>VLOOKUP($AN212,'Group Model'!$1:$1048576,MATCH("FY"&amp;RIGHT(Q$1,2)&amp;LEFT(Q$2,1),'Group Model'!$1:$1,0),FALSE)</f>
        <v>0.13320079522862815</v>
      </c>
      <c r="R212" s="303" t="e">
        <f>VLOOKUP($AN212,'Group Model'!$1:$1048576,MATCH("FY"&amp;RIGHT(R$1,2)&amp;LEFT(R$2,1),'Group Model'!$1:$1,0),FALSE)</f>
        <v>#N/A</v>
      </c>
      <c r="S212" s="303" t="e">
        <f>VLOOKUP($AN212,'Group Model'!$1:$1048576,MATCH("FY"&amp;RIGHT(S$1,2)&amp;LEFT(S$2,1),'Group Model'!$1:$1,0),FALSE)</f>
        <v>#N/A</v>
      </c>
      <c r="T212" s="303" t="e">
        <f>VLOOKUP($AN212,'Group Model'!$1:$1048576,MATCH("FY"&amp;RIGHT(T$1,2)&amp;LEFT(T$2,1),'Group Model'!$1:$1,0),FALSE)</f>
        <v>#N/A</v>
      </c>
      <c r="U212" s="303"/>
      <c r="V212" s="303">
        <f>VLOOKUP($AN212,'Group Model'!$1:$1048576,MATCH("1H"&amp;MID(V$1,3,2)&amp;LEFT(V$2,1),'Group Model'!$1:$1,0),FALSE)</f>
        <v>0.11585976627712855</v>
      </c>
      <c r="W212" s="303">
        <f>VLOOKUP($AN212,'Group Model'!$1:$1048576,MATCH("1H"&amp;MID(W$1,3,2)&amp;LEFT(W$2,1),'Group Model'!$1:$1,0),FALSE)</f>
        <v>0.11585976627712855</v>
      </c>
      <c r="X212" s="303">
        <f>VLOOKUP($AN212,'Group Model'!$1:$1048576,MATCH("1H"&amp;MID(X$1,3,2)&amp;LEFT(X$2,1),'Group Model'!$1:$1,0),FALSE)</f>
        <v>0.13502227171492204</v>
      </c>
      <c r="Y212" s="303">
        <f>VLOOKUP($AN212,'Group Model'!$1:$1048576,MATCH("1H"&amp;MID(Y$1,3,2)&amp;LEFT(Y$2,1),'Group Model'!$1:$1,0),FALSE)</f>
        <v>0.13502227171492204</v>
      </c>
      <c r="Z212" s="303">
        <f>VLOOKUP($AN212,'Group Model'!$1:$1048576,MATCH("1H"&amp;MID(Z$1,3,2)&amp;LEFT(Z$2,1),'Group Model'!$1:$1,0),FALSE)</f>
        <v>0.10126885324395507</v>
      </c>
      <c r="AA212" s="303">
        <f>VLOOKUP($AN212,'Group Model'!$1:$1048576,MATCH("1H"&amp;MID(AA$1,3,2)&amp;LEFT(AA$2,1),'Group Model'!$1:$1,0),FALSE)</f>
        <v>0.10126885324395507</v>
      </c>
      <c r="AB212" s="303">
        <f>VLOOKUP($AN212,'Group Model'!$1:$1048576,MATCH("1H"&amp;MID(AB$1,3,2)&amp;LEFT(AB$2,1),'Group Model'!$1:$1,0),FALSE)</f>
        <v>0.15992474129821255</v>
      </c>
      <c r="AC212" s="303">
        <f>VLOOKUP($AN212,'Group Model'!$1:$1048576,MATCH("1H"&amp;MID(AC$1,3,2)&amp;LEFT(AC$2,1),'Group Model'!$1:$1,0),FALSE)</f>
        <v>0.15992474129821255</v>
      </c>
      <c r="AD212" s="303">
        <f>VLOOKUP($AN212,'Group Model'!$1:$1048576,MATCH("1H"&amp;MID(AD$1,3,2)&amp;LEFT(AD$2,1),'Group Model'!$1:$1,0),FALSE)</f>
        <v>0.11126346718903035</v>
      </c>
      <c r="AE212" s="303">
        <f>VLOOKUP($AN212,'Group Model'!$1:$1048576,MATCH("1H"&amp;MID(AE$1,3,2)&amp;LEFT(AE$2,1),'Group Model'!$1:$1,0),FALSE)</f>
        <v>0.11126346718903035</v>
      </c>
      <c r="AF212" s="303">
        <f>VLOOKUP($AN212,'Group Model'!$1:$1048576,MATCH("1H"&amp;MID(AF$1,3,2)&amp;LEFT(AF$2,1),'Group Model'!$1:$1,0),FALSE)</f>
        <v>0.10197245999255666</v>
      </c>
      <c r="AG212" s="303" t="e">
        <f>VLOOKUP($AN212,'Group Model'!$1:$1048576,MATCH("2H"&amp;MID(AG$1,3,2)&amp;LEFT(AG$2,1),'Group Model'!$1:$1,0),FALSE)</f>
        <v>#N/A</v>
      </c>
      <c r="AH212" s="303" t="e">
        <f>VLOOKUP($AN212,'Group Model'!$1:$1048576,MATCH("1H"&amp;MID(AH$1,3,2)&amp;LEFT(AH$2,1),'Group Model'!$1:$1,0),FALSE)</f>
        <v>#N/A</v>
      </c>
      <c r="AI212" s="303" t="e">
        <f>VLOOKUP($AN212,'Group Model'!$1:$1048576,MATCH("2H"&amp;MID(AI$1,3,2)&amp;LEFT(AI$2,1),'Group Model'!$1:$1,0),FALSE)</f>
        <v>#N/A</v>
      </c>
      <c r="AL212" s="298">
        <f>ROW()</f>
        <v>212</v>
      </c>
      <c r="AN212" s="298" t="s">
        <v>1327</v>
      </c>
    </row>
    <row r="213" spans="2:40" outlineLevel="2">
      <c r="B213" t="s">
        <v>873</v>
      </c>
      <c r="C213" t="s">
        <v>874</v>
      </c>
      <c r="F213" s="303">
        <f>VLOOKUP($AN213,'Group Model'!$1:$1048576,MATCH("FY"&amp;RIGHT(F$1,2)&amp;LEFT(F$2,1),'Group Model'!$1:$1,0),FALSE)</f>
        <v>0</v>
      </c>
      <c r="G213" s="303">
        <f>VLOOKUP($AN213,'Group Model'!$1:$1048576,MATCH("FY"&amp;RIGHT(G$1,2)&amp;LEFT(G$2,1),'Group Model'!$1:$1,0),FALSE)</f>
        <v>0.44829097283085012</v>
      </c>
      <c r="H213" s="303">
        <f>VLOOKUP($AN213,'Group Model'!$1:$1048576,MATCH("FY"&amp;RIGHT(H$1,2)&amp;LEFT(H$2,1),'Group Model'!$1:$1,0),FALSE)</f>
        <v>0.43244315177154946</v>
      </c>
      <c r="I213" s="303">
        <f>VLOOKUP($AN213,'Group Model'!$1:$1048576,MATCH("FY"&amp;RIGHT(I$1,2)&amp;LEFT(I$2,1),'Group Model'!$1:$1,0),FALSE)</f>
        <v>0.48462889767237594</v>
      </c>
      <c r="J213" s="303">
        <f>VLOOKUP($AN213,'Group Model'!$1:$1048576,MATCH("FY"&amp;RIGHT(J$1,2)&amp;LEFT(J$2,1),'Group Model'!$1:$1,0),FALSE)</f>
        <v>0.44344971650253656</v>
      </c>
      <c r="K213" s="303">
        <f>VLOOKUP($AN213,'Group Model'!$1:$1048576,MATCH("FY"&amp;RIGHT(K$1,2)&amp;LEFT(K$2,1),'Group Model'!$1:$1,0),FALSE)</f>
        <v>0.35815147625160459</v>
      </c>
      <c r="L213" s="303">
        <f>VLOOKUP($AN213,'Group Model'!$1:$1048576,MATCH("FY"&amp;RIGHT(L$1,2)&amp;LEFT(L$2,1),'Group Model'!$1:$1,0),FALSE)</f>
        <v>0.40728002292920606</v>
      </c>
      <c r="M213" s="303">
        <f>VLOOKUP($AN213,'Group Model'!$1:$1048576,MATCH("FY"&amp;RIGHT(M$1,2)&amp;LEFT(M$2,1),'Group Model'!$1:$1,0),FALSE)</f>
        <v>0.36854391596148234</v>
      </c>
      <c r="N213" s="303">
        <f>VLOOKUP($AN213,'Group Model'!$1:$1048576,MATCH("FY"&amp;RIGHT(N$1,2)&amp;LEFT(N$2,1),'Group Model'!$1:$1,0),FALSE)</f>
        <v>0.29880668257756565</v>
      </c>
      <c r="O213" s="303">
        <f>VLOOKUP($AN213,'Group Model'!$1:$1048576,MATCH("FY"&amp;RIGHT(O$1,2)&amp;LEFT(O$2,1),'Group Model'!$1:$1,0),FALSE)</f>
        <v>0.25430516619943933</v>
      </c>
      <c r="P213" s="303">
        <f>VLOOKUP($AN213,'Group Model'!$1:$1048576,MATCH("FY"&amp;RIGHT(P$1,2)&amp;LEFT(P$2,1),'Group Model'!$1:$1,0),FALSE)</f>
        <v>0.35642482517482516</v>
      </c>
      <c r="Q213" s="303">
        <f>VLOOKUP($AN213,'Group Model'!$1:$1048576,MATCH("FY"&amp;RIGHT(Q$1,2)&amp;LEFT(Q$2,1),'Group Model'!$1:$1,0),FALSE)</f>
        <v>0.32127236580516899</v>
      </c>
      <c r="R213" s="303" t="e">
        <f>VLOOKUP($AN213,'Group Model'!$1:$1048576,MATCH("FY"&amp;RIGHT(R$1,2)&amp;LEFT(R$2,1),'Group Model'!$1:$1,0),FALSE)</f>
        <v>#N/A</v>
      </c>
      <c r="S213" s="303" t="e">
        <f>VLOOKUP($AN213,'Group Model'!$1:$1048576,MATCH("FY"&amp;RIGHT(S$1,2)&amp;LEFT(S$2,1),'Group Model'!$1:$1,0),FALSE)</f>
        <v>#N/A</v>
      </c>
      <c r="T213" s="303" t="e">
        <f>VLOOKUP($AN213,'Group Model'!$1:$1048576,MATCH("FY"&amp;RIGHT(T$1,2)&amp;LEFT(T$2,1),'Group Model'!$1:$1,0),FALSE)</f>
        <v>#N/A</v>
      </c>
      <c r="U213" s="303"/>
      <c r="V213" s="303">
        <f>VLOOKUP($AN213,'Group Model'!$1:$1048576,MATCH("1H"&amp;MID(V$1,3,2)&amp;LEFT(V$2,1),'Group Model'!$1:$1,0),FALSE)</f>
        <v>0.34223706176961605</v>
      </c>
      <c r="W213" s="303">
        <f>VLOOKUP($AN213,'Group Model'!$1:$1048576,MATCH("1H"&amp;MID(W$1,3,2)&amp;LEFT(W$2,1),'Group Model'!$1:$1,0),FALSE)</f>
        <v>0.34223706176961605</v>
      </c>
      <c r="X213" s="303">
        <f>VLOOKUP($AN213,'Group Model'!$1:$1048576,MATCH("1H"&amp;MID(X$1,3,2)&amp;LEFT(X$2,1),'Group Model'!$1:$1,0),FALSE)</f>
        <v>0.3351893095768374</v>
      </c>
      <c r="Y213" s="303">
        <f>VLOOKUP($AN213,'Group Model'!$1:$1048576,MATCH("1H"&amp;MID(Y$1,3,2)&amp;LEFT(Y$2,1),'Group Model'!$1:$1,0),FALSE)</f>
        <v>0.3351893095768374</v>
      </c>
      <c r="Z213" s="303">
        <f>VLOOKUP($AN213,'Group Model'!$1:$1048576,MATCH("1H"&amp;MID(Z$1,3,2)&amp;LEFT(Z$2,1),'Group Model'!$1:$1,0),FALSE)</f>
        <v>0.34474503231984677</v>
      </c>
      <c r="AA213" s="303">
        <f>VLOOKUP($AN213,'Group Model'!$1:$1048576,MATCH("1H"&amp;MID(AA$1,3,2)&amp;LEFT(AA$2,1),'Group Model'!$1:$1,0),FALSE)</f>
        <v>0.34474503231984677</v>
      </c>
      <c r="AB213" s="303">
        <f>VLOOKUP($AN213,'Group Model'!$1:$1048576,MATCH("1H"&amp;MID(AB$1,3,2)&amp;LEFT(AB$2,1),'Group Model'!$1:$1,0),FALSE)</f>
        <v>0.28711194731890877</v>
      </c>
      <c r="AC213" s="303">
        <f>VLOOKUP($AN213,'Group Model'!$1:$1048576,MATCH("1H"&amp;MID(AC$1,3,2)&amp;LEFT(AC$2,1),'Group Model'!$1:$1,0),FALSE)</f>
        <v>0.28711194731890877</v>
      </c>
      <c r="AD213" s="303">
        <f>VLOOKUP($AN213,'Group Model'!$1:$1048576,MATCH("1H"&amp;MID(AD$1,3,2)&amp;LEFT(AD$2,1),'Group Model'!$1:$1,0),FALSE)</f>
        <v>0.40861900097943193</v>
      </c>
      <c r="AE213" s="303">
        <f>VLOOKUP($AN213,'Group Model'!$1:$1048576,MATCH("1H"&amp;MID(AE$1,3,2)&amp;LEFT(AE$2,1),'Group Model'!$1:$1,0),FALSE)</f>
        <v>0.40861900097943193</v>
      </c>
      <c r="AF213" s="303">
        <f>VLOOKUP($AN213,'Group Model'!$1:$1048576,MATCH("1H"&amp;MID(AF$1,3,2)&amp;LEFT(AF$2,1),'Group Model'!$1:$1,0),FALSE)</f>
        <v>0.37681429103088948</v>
      </c>
      <c r="AG213" s="303" t="e">
        <f>VLOOKUP($AN213,'Group Model'!$1:$1048576,MATCH("2H"&amp;MID(AG$1,3,2)&amp;LEFT(AG$2,1),'Group Model'!$1:$1,0),FALSE)</f>
        <v>#N/A</v>
      </c>
      <c r="AH213" s="303" t="e">
        <f>VLOOKUP($AN213,'Group Model'!$1:$1048576,MATCH("1H"&amp;MID(AH$1,3,2)&amp;LEFT(AH$2,1),'Group Model'!$1:$1,0),FALSE)</f>
        <v>#N/A</v>
      </c>
      <c r="AI213" s="303" t="e">
        <f>VLOOKUP($AN213,'Group Model'!$1:$1048576,MATCH("2H"&amp;MID(AI$1,3,2)&amp;LEFT(AI$2,1),'Group Model'!$1:$1,0),FALSE)</f>
        <v>#N/A</v>
      </c>
      <c r="AL213" s="298">
        <f>ROW()</f>
        <v>213</v>
      </c>
      <c r="AN213" s="298" t="str">
        <f>'Group Model'!A538</f>
        <v>AD_ProfitabilityRevenueAustralia</v>
      </c>
    </row>
    <row r="214" spans="2:40" outlineLevel="2">
      <c r="B214" t="s">
        <v>875</v>
      </c>
      <c r="C214" t="s">
        <v>876</v>
      </c>
      <c r="F214" s="303"/>
      <c r="G214" s="303"/>
      <c r="H214" s="303"/>
      <c r="I214" s="303"/>
      <c r="J214" s="303"/>
      <c r="K214" s="303"/>
      <c r="L214" s="303"/>
      <c r="M214" s="303"/>
      <c r="N214" s="303"/>
      <c r="O214" s="303">
        <v>0</v>
      </c>
      <c r="P214" s="303">
        <v>0</v>
      </c>
      <c r="Q214" s="303">
        <v>0</v>
      </c>
      <c r="R214" s="303"/>
      <c r="S214" s="303"/>
      <c r="T214" s="303"/>
      <c r="U214" s="303"/>
      <c r="V214" s="303"/>
      <c r="W214" s="303"/>
      <c r="X214" s="303"/>
      <c r="Y214" s="303"/>
      <c r="Z214" s="303"/>
      <c r="AA214" s="303"/>
      <c r="AB214" s="303"/>
      <c r="AC214" s="303"/>
      <c r="AD214" s="303"/>
      <c r="AE214" s="303"/>
      <c r="AF214" s="303"/>
      <c r="AG214" s="303"/>
      <c r="AH214" s="303"/>
      <c r="AI214" s="303"/>
      <c r="AL214" s="298">
        <f>ROW()</f>
        <v>214</v>
      </c>
    </row>
    <row r="215" spans="2:40" outlineLevel="2">
      <c r="B215" t="s">
        <v>879</v>
      </c>
      <c r="C215" t="s">
        <v>880</v>
      </c>
      <c r="F215" s="303"/>
      <c r="G215" s="303"/>
      <c r="H215" s="303"/>
      <c r="I215" s="303"/>
      <c r="J215" s="303"/>
      <c r="K215" s="303"/>
      <c r="L215" s="303"/>
      <c r="M215" s="303"/>
      <c r="N215" s="303"/>
      <c r="O215" s="303">
        <v>0</v>
      </c>
      <c r="P215" s="303">
        <v>0</v>
      </c>
      <c r="Q215" s="303">
        <v>0</v>
      </c>
      <c r="R215" s="303"/>
      <c r="S215" s="303"/>
      <c r="T215" s="303"/>
      <c r="U215" s="303"/>
      <c r="V215" s="303"/>
      <c r="W215" s="303"/>
      <c r="X215" s="303"/>
      <c r="Y215" s="303"/>
      <c r="Z215" s="303"/>
      <c r="AA215" s="303"/>
      <c r="AB215" s="303"/>
      <c r="AC215" s="303"/>
      <c r="AD215" s="303"/>
      <c r="AE215" s="303"/>
      <c r="AF215" s="303"/>
      <c r="AG215" s="303"/>
      <c r="AH215" s="303"/>
      <c r="AI215" s="303"/>
      <c r="AL215" s="298">
        <f>ROW()</f>
        <v>215</v>
      </c>
    </row>
    <row r="216" spans="2:40" outlineLevel="2">
      <c r="B216" t="s">
        <v>1498</v>
      </c>
      <c r="C216" t="s">
        <v>1499</v>
      </c>
      <c r="F216" s="303"/>
      <c r="G216" s="303"/>
      <c r="H216" s="303"/>
      <c r="I216" s="303"/>
      <c r="J216" s="303"/>
      <c r="K216" s="303"/>
      <c r="L216" s="303"/>
      <c r="M216" s="303"/>
      <c r="N216" s="303"/>
      <c r="O216" s="303"/>
      <c r="P216" s="303"/>
      <c r="Q216" s="303"/>
      <c r="R216" s="303"/>
      <c r="S216" s="303"/>
      <c r="T216" s="303"/>
      <c r="U216" s="303"/>
      <c r="V216" s="303"/>
      <c r="W216" s="303"/>
      <c r="X216" s="303"/>
      <c r="Y216" s="303"/>
      <c r="Z216" s="303"/>
      <c r="AA216" s="303"/>
      <c r="AB216" s="303"/>
      <c r="AC216" s="303"/>
      <c r="AD216" s="303"/>
      <c r="AE216" s="303"/>
      <c r="AF216" s="303"/>
      <c r="AG216" s="303"/>
      <c r="AH216" s="303"/>
      <c r="AI216" s="303"/>
      <c r="AL216" s="298">
        <f>ROW()</f>
        <v>216</v>
      </c>
    </row>
    <row r="217" spans="2:40" outlineLevel="2">
      <c r="B217" t="s">
        <v>1500</v>
      </c>
      <c r="C217" t="s">
        <v>1501</v>
      </c>
      <c r="F217" s="303"/>
      <c r="G217" s="303"/>
      <c r="H217" s="303"/>
      <c r="I217" s="303"/>
      <c r="J217" s="303"/>
      <c r="K217" s="303"/>
      <c r="L217" s="303"/>
      <c r="M217" s="303"/>
      <c r="N217" s="303"/>
      <c r="O217" s="303"/>
      <c r="P217" s="303"/>
      <c r="Q217" s="303"/>
      <c r="R217" s="303"/>
      <c r="S217" s="303"/>
      <c r="T217" s="303"/>
      <c r="U217" s="303"/>
      <c r="V217" s="303"/>
      <c r="W217" s="303"/>
      <c r="X217" s="303"/>
      <c r="Y217" s="303"/>
      <c r="Z217" s="303"/>
      <c r="AA217" s="303"/>
      <c r="AB217" s="303"/>
      <c r="AC217" s="303"/>
      <c r="AD217" s="303"/>
      <c r="AE217" s="303"/>
      <c r="AF217" s="303"/>
      <c r="AG217" s="303"/>
      <c r="AH217" s="303"/>
      <c r="AI217" s="303"/>
      <c r="AL217" s="298">
        <f>ROW()</f>
        <v>217</v>
      </c>
    </row>
    <row r="218" spans="2:40" outlineLevel="2">
      <c r="B218" t="s">
        <v>1502</v>
      </c>
      <c r="C218" t="s">
        <v>1503</v>
      </c>
      <c r="F218" s="303"/>
      <c r="G218" s="303"/>
      <c r="H218" s="303"/>
      <c r="I218" s="303"/>
      <c r="J218" s="303"/>
      <c r="K218" s="303"/>
      <c r="L218" s="303"/>
      <c r="M218" s="303"/>
      <c r="N218" s="303"/>
      <c r="O218" s="303"/>
      <c r="P218" s="303"/>
      <c r="Q218" s="303"/>
      <c r="R218" s="303"/>
      <c r="S218" s="303"/>
      <c r="T218" s="303"/>
      <c r="U218" s="303"/>
      <c r="V218" s="303"/>
      <c r="W218" s="303"/>
      <c r="X218" s="303"/>
      <c r="Y218" s="303"/>
      <c r="Z218" s="303"/>
      <c r="AA218" s="303"/>
      <c r="AB218" s="303"/>
      <c r="AC218" s="303"/>
      <c r="AD218" s="303"/>
      <c r="AE218" s="303"/>
      <c r="AF218" s="303"/>
      <c r="AG218" s="303"/>
      <c r="AH218" s="303"/>
      <c r="AI218" s="303"/>
      <c r="AL218" s="298">
        <f>ROW()</f>
        <v>218</v>
      </c>
    </row>
    <row r="219" spans="2:40" outlineLevel="2">
      <c r="B219" t="s">
        <v>1504</v>
      </c>
      <c r="C219" t="s">
        <v>1505</v>
      </c>
      <c r="F219" s="303"/>
      <c r="G219" s="303"/>
      <c r="H219" s="303"/>
      <c r="I219" s="303"/>
      <c r="J219" s="303"/>
      <c r="K219" s="303"/>
      <c r="L219" s="303"/>
      <c r="M219" s="303"/>
      <c r="N219" s="303"/>
      <c r="O219" s="303"/>
      <c r="P219" s="303"/>
      <c r="Q219" s="303"/>
      <c r="R219" s="303"/>
      <c r="S219" s="303"/>
      <c r="T219" s="303"/>
      <c r="U219" s="303"/>
      <c r="V219" s="303"/>
      <c r="W219" s="303"/>
      <c r="X219" s="303"/>
      <c r="Y219" s="303"/>
      <c r="Z219" s="303"/>
      <c r="AA219" s="303"/>
      <c r="AB219" s="303"/>
      <c r="AC219" s="303"/>
      <c r="AD219" s="303"/>
      <c r="AE219" s="303"/>
      <c r="AF219" s="303"/>
      <c r="AG219" s="303"/>
      <c r="AH219" s="303"/>
      <c r="AI219" s="303"/>
      <c r="AL219" s="298">
        <f>ROW()</f>
        <v>219</v>
      </c>
    </row>
    <row r="220" spans="2:40" outlineLevel="2">
      <c r="B220" t="s">
        <v>881</v>
      </c>
      <c r="C220" t="s">
        <v>882</v>
      </c>
      <c r="F220" s="303">
        <f>VLOOKUP($AN220,'Group Model'!$1:$1048576,MATCH("FY"&amp;RIGHT(F$1,2)&amp;LEFT(F$2,1),'Group Model'!$1:$1,0),FALSE)</f>
        <v>0.02</v>
      </c>
      <c r="G220" s="303">
        <f>VLOOKUP($AN220,'Group Model'!$1:$1048576,MATCH("FY"&amp;RIGHT(G$1,2)&amp;LEFT(G$2,1),'Group Model'!$1:$1,0),FALSE)</f>
        <v>0.02</v>
      </c>
      <c r="H220" s="303">
        <f>VLOOKUP($AN220,'Group Model'!$1:$1048576,MATCH("FY"&amp;RIGHT(H$1,2)&amp;LEFT(H$2,1),'Group Model'!$1:$1,0),FALSE)</f>
        <v>0.02</v>
      </c>
      <c r="I220" s="303">
        <f>VLOOKUP($AN220,'Group Model'!$1:$1048576,MATCH("FY"&amp;RIGHT(I$1,2)&amp;LEFT(I$2,1),'Group Model'!$1:$1,0),FALSE)</f>
        <v>0.02</v>
      </c>
      <c r="J220" s="303">
        <f>VLOOKUP($AN220,'Group Model'!$1:$1048576,MATCH("FY"&amp;RIGHT(J$1,2)&amp;LEFT(J$2,1),'Group Model'!$1:$1,0),FALSE)</f>
        <v>2.5000000000000001E-2</v>
      </c>
      <c r="K220" s="303">
        <f>VLOOKUP($AN220,'Group Model'!$1:$1048576,MATCH("FY"&amp;RIGHT(K$1,2)&amp;LEFT(K$2,1),'Group Model'!$1:$1,0),FALSE)</f>
        <v>3.5000000000000003E-2</v>
      </c>
      <c r="L220" s="303">
        <f>VLOOKUP($AN220,'Group Model'!$1:$1048576,MATCH("FY"&amp;RIGHT(L$1,2)&amp;LEFT(L$2,1),'Group Model'!$1:$1,0),FALSE)</f>
        <v>4.4999999999999998E-2</v>
      </c>
      <c r="M220" s="303">
        <f>VLOOKUP($AN220,'Group Model'!$1:$1048576,MATCH("FY"&amp;RIGHT(M$1,2)&amp;LEFT(M$2,1),'Group Model'!$1:$1,0),FALSE)</f>
        <v>5.4999999999999993E-2</v>
      </c>
      <c r="N220" s="303">
        <f>VLOOKUP($AN220,'Group Model'!$1:$1048576,MATCH("FY"&amp;RIGHT(N$1,2)&amp;LEFT(N$2,1),'Group Model'!$1:$1,0),FALSE)</f>
        <v>6.4999999999999988E-2</v>
      </c>
      <c r="O220" s="303">
        <f>VLOOKUP($AN220,'Group Model'!$1:$1048576,MATCH("FY"&amp;RIGHT(O$1,2)&amp;LEFT(O$2,1),'Group Model'!$1:$1,0),FALSE)</f>
        <v>7.4999999999999997E-2</v>
      </c>
      <c r="P220" s="303">
        <f>VLOOKUP($AN220,'Group Model'!$1:$1048576,MATCH("FY"&amp;RIGHT(P$1,2)&amp;LEFT(P$2,1),'Group Model'!$1:$1,0),FALSE)</f>
        <v>8.5000000000000006E-2</v>
      </c>
      <c r="Q220" s="303">
        <f>VLOOKUP($AN220,'Group Model'!$1:$1048576,MATCH("FY"&amp;RIGHT(Q$1,2)&amp;LEFT(Q$2,1),'Group Model'!$1:$1,0),FALSE)</f>
        <v>9.5000000000000015E-2</v>
      </c>
      <c r="R220" s="303" t="e">
        <f>VLOOKUP($AN220,'Group Model'!$1:$1048576,MATCH("FY"&amp;RIGHT(R$1,2)&amp;LEFT(R$2,1),'Group Model'!$1:$1,0),FALSE)</f>
        <v>#N/A</v>
      </c>
      <c r="S220" s="303" t="e">
        <f>VLOOKUP($AN220,'Group Model'!$1:$1048576,MATCH("FY"&amp;RIGHT(S$1,2)&amp;LEFT(S$2,1),'Group Model'!$1:$1,0),FALSE)</f>
        <v>#N/A</v>
      </c>
      <c r="T220" s="303" t="e">
        <f>VLOOKUP($AN220,'Group Model'!$1:$1048576,MATCH("FY"&amp;RIGHT(T$1,2)&amp;LEFT(T$2,1),'Group Model'!$1:$1,0),FALSE)</f>
        <v>#N/A</v>
      </c>
      <c r="U220" s="303"/>
      <c r="V220" s="303">
        <f>VLOOKUP($AN220,'Group Model'!$1:$1048576,MATCH("1H"&amp;MID(V$1,3,2)&amp;LEFT(V$2,1),'Group Model'!$1:$1,0),FALSE)</f>
        <v>4.9999999999999996E-2</v>
      </c>
      <c r="W220" s="303">
        <f>VLOOKUP($AN220,'Group Model'!$1:$1048576,MATCH("1H"&amp;MID(W$1,3,2)&amp;LEFT(W$2,1),'Group Model'!$1:$1,0),FALSE)</f>
        <v>4.9999999999999996E-2</v>
      </c>
      <c r="X220" s="303">
        <f>VLOOKUP($AN220,'Group Model'!$1:$1048576,MATCH("1H"&amp;MID(X$1,3,2)&amp;LEFT(X$2,1),'Group Model'!$1:$1,0),FALSE)</f>
        <v>5.9999999999999991E-2</v>
      </c>
      <c r="Y220" s="303">
        <f>VLOOKUP($AN220,'Group Model'!$1:$1048576,MATCH("1H"&amp;MID(Y$1,3,2)&amp;LEFT(Y$2,1),'Group Model'!$1:$1,0),FALSE)</f>
        <v>5.9999999999999991E-2</v>
      </c>
      <c r="Z220" s="303">
        <f>VLOOKUP($AN220,'Group Model'!$1:$1048576,MATCH("1H"&amp;MID(Z$1,3,2)&amp;LEFT(Z$2,1),'Group Model'!$1:$1,0),FALSE)</f>
        <v>6.9999999999999993E-2</v>
      </c>
      <c r="AA220" s="303">
        <f>VLOOKUP($AN220,'Group Model'!$1:$1048576,MATCH("1H"&amp;MID(AA$1,3,2)&amp;LEFT(AA$2,1),'Group Model'!$1:$1,0),FALSE)</f>
        <v>6.9999999999999993E-2</v>
      </c>
      <c r="AB220" s="303">
        <f>VLOOKUP($AN220,'Group Model'!$1:$1048576,MATCH("1H"&amp;MID(AB$1,3,2)&amp;LEFT(AB$2,1),'Group Model'!$1:$1,0),FALSE)</f>
        <v>0.08</v>
      </c>
      <c r="AC220" s="303">
        <f>VLOOKUP($AN220,'Group Model'!$1:$1048576,MATCH("1H"&amp;MID(AC$1,3,2)&amp;LEFT(AC$2,1),'Group Model'!$1:$1,0),FALSE)</f>
        <v>0.08</v>
      </c>
      <c r="AD220" s="303">
        <f>VLOOKUP($AN220,'Group Model'!$1:$1048576,MATCH("1H"&amp;MID(AD$1,3,2)&amp;LEFT(AD$2,1),'Group Model'!$1:$1,0),FALSE)</f>
        <v>9.0000000000000011E-2</v>
      </c>
      <c r="AE220" s="303">
        <f>VLOOKUP($AN220,'Group Model'!$1:$1048576,MATCH("1H"&amp;MID(AE$1,3,2)&amp;LEFT(AE$2,1),'Group Model'!$1:$1,0),FALSE)</f>
        <v>9.0000000000000011E-2</v>
      </c>
      <c r="AF220" s="303">
        <f>VLOOKUP($AN220,'Group Model'!$1:$1048576,MATCH("1H"&amp;MID(AF$1,3,2)&amp;LEFT(AF$2,1),'Group Model'!$1:$1,0),FALSE)</f>
        <v>0.10000000000000002</v>
      </c>
      <c r="AG220" s="303" t="e">
        <f>VLOOKUP($AN220,'Group Model'!$1:$1048576,MATCH("2H"&amp;MID(AG$1,3,2)&amp;LEFT(AG$2,1),'Group Model'!$1:$1,0),FALSE)</f>
        <v>#N/A</v>
      </c>
      <c r="AH220" s="303" t="e">
        <f>VLOOKUP($AN220,'Group Model'!$1:$1048576,MATCH("1H"&amp;MID(AH$1,3,2)&amp;LEFT(AH$2,1),'Group Model'!$1:$1,0),FALSE)</f>
        <v>#N/A</v>
      </c>
      <c r="AI220" s="303" t="e">
        <f>VLOOKUP($AN220,'Group Model'!$1:$1048576,MATCH("2H"&amp;MID(AI$1,3,2)&amp;LEFT(AI$2,1),'Group Model'!$1:$1,0),FALSE)</f>
        <v>#N/A</v>
      </c>
      <c r="AL220" s="298">
        <f>ROW()</f>
        <v>220</v>
      </c>
      <c r="AN220" s="298" t="str">
        <f>'Group Model'!A542</f>
        <v>AD_ProfitabilityRevenueConsumer</v>
      </c>
    </row>
    <row r="221" spans="2:40" outlineLevel="2">
      <c r="B221" t="s">
        <v>883</v>
      </c>
      <c r="C221" t="s">
        <v>884</v>
      </c>
      <c r="F221" s="303">
        <f>VLOOKUP($AN221,'Group Model'!$1:$1048576,MATCH("FY"&amp;RIGHT(F$1,2)&amp;LEFT(F$2,1),'Group Model'!$1:$1,0),FALSE)</f>
        <v>0.92999999999999994</v>
      </c>
      <c r="G221" s="303">
        <f>VLOOKUP($AN221,'Group Model'!$1:$1048576,MATCH("FY"&amp;RIGHT(G$1,2)&amp;LEFT(G$2,1),'Group Model'!$1:$1,0),FALSE)</f>
        <v>0.92999999999999994</v>
      </c>
      <c r="H221" s="303">
        <f>VLOOKUP($AN221,'Group Model'!$1:$1048576,MATCH("FY"&amp;RIGHT(H$1,2)&amp;LEFT(H$2,1),'Group Model'!$1:$1,0),FALSE)</f>
        <v>0.92999999999999994</v>
      </c>
      <c r="I221" s="303">
        <f>VLOOKUP($AN221,'Group Model'!$1:$1048576,MATCH("FY"&amp;RIGHT(I$1,2)&amp;LEFT(I$2,1),'Group Model'!$1:$1,0),FALSE)</f>
        <v>0.92999999999999994</v>
      </c>
      <c r="J221" s="303">
        <f>VLOOKUP($AN221,'Group Model'!$1:$1048576,MATCH("FY"&amp;RIGHT(J$1,2)&amp;LEFT(J$2,1),'Group Model'!$1:$1,0),FALSE)</f>
        <v>0.92499999999999993</v>
      </c>
      <c r="K221" s="303">
        <f>VLOOKUP($AN221,'Group Model'!$1:$1048576,MATCH("FY"&amp;RIGHT(K$1,2)&amp;LEFT(K$2,1),'Group Model'!$1:$1,0),FALSE)</f>
        <v>0.91499999999999992</v>
      </c>
      <c r="L221" s="303">
        <f>VLOOKUP($AN221,'Group Model'!$1:$1048576,MATCH("FY"&amp;RIGHT(L$1,2)&amp;LEFT(L$2,1),'Group Model'!$1:$1,0),FALSE)</f>
        <v>0.90499999999999992</v>
      </c>
      <c r="M221" s="303">
        <f>VLOOKUP($AN221,'Group Model'!$1:$1048576,MATCH("FY"&amp;RIGHT(M$1,2)&amp;LEFT(M$2,1),'Group Model'!$1:$1,0),FALSE)</f>
        <v>0.89500000000000002</v>
      </c>
      <c r="N221" s="303">
        <f>VLOOKUP($AN221,'Group Model'!$1:$1048576,MATCH("FY"&amp;RIGHT(N$1,2)&amp;LEFT(N$2,1),'Group Model'!$1:$1,0),FALSE)</f>
        <v>0.88500000000000001</v>
      </c>
      <c r="O221" s="303">
        <f>VLOOKUP($AN221,'Group Model'!$1:$1048576,MATCH("FY"&amp;RIGHT(O$1,2)&amp;LEFT(O$2,1),'Group Model'!$1:$1,0),FALSE)</f>
        <v>0.875</v>
      </c>
      <c r="P221" s="303">
        <f>VLOOKUP($AN221,'Group Model'!$1:$1048576,MATCH("FY"&amp;RIGHT(P$1,2)&amp;LEFT(P$2,1),'Group Model'!$1:$1,0),FALSE)</f>
        <v>0.86499999999999999</v>
      </c>
      <c r="Q221" s="303">
        <f>VLOOKUP($AN221,'Group Model'!$1:$1048576,MATCH("FY"&amp;RIGHT(Q$1,2)&amp;LEFT(Q$2,1),'Group Model'!$1:$1,0),FALSE)</f>
        <v>0.85499999999999998</v>
      </c>
      <c r="R221" s="303" t="e">
        <f>VLOOKUP($AN221,'Group Model'!$1:$1048576,MATCH("FY"&amp;RIGHT(R$1,2)&amp;LEFT(R$2,1),'Group Model'!$1:$1,0),FALSE)</f>
        <v>#N/A</v>
      </c>
      <c r="S221" s="303" t="e">
        <f>VLOOKUP($AN221,'Group Model'!$1:$1048576,MATCH("FY"&amp;RIGHT(S$1,2)&amp;LEFT(S$2,1),'Group Model'!$1:$1,0),FALSE)</f>
        <v>#N/A</v>
      </c>
      <c r="T221" s="303" t="e">
        <f>VLOOKUP($AN221,'Group Model'!$1:$1048576,MATCH("FY"&amp;RIGHT(T$1,2)&amp;LEFT(T$2,1),'Group Model'!$1:$1,0),FALSE)</f>
        <v>#N/A</v>
      </c>
      <c r="U221" s="303"/>
      <c r="V221" s="303">
        <f>VLOOKUP($AN221,'Group Model'!$1:$1048576,MATCH("1H"&amp;MID(V$1,3,2)&amp;LEFT(V$2,1),'Group Model'!$1:$1,0),FALSE)</f>
        <v>0.89999999999999991</v>
      </c>
      <c r="W221" s="303">
        <f>VLOOKUP($AN221,'Group Model'!$1:$1048576,MATCH("1H"&amp;MID(W$1,3,2)&amp;LEFT(W$2,1),'Group Model'!$1:$1,0),FALSE)</f>
        <v>0.89999999999999991</v>
      </c>
      <c r="X221" s="303">
        <f>VLOOKUP($AN221,'Group Model'!$1:$1048576,MATCH("1H"&amp;MID(X$1,3,2)&amp;LEFT(X$2,1),'Group Model'!$1:$1,0),FALSE)</f>
        <v>0.89</v>
      </c>
      <c r="Y221" s="303">
        <f>VLOOKUP($AN221,'Group Model'!$1:$1048576,MATCH("1H"&amp;MID(Y$1,3,2)&amp;LEFT(Y$2,1),'Group Model'!$1:$1,0),FALSE)</f>
        <v>0.89</v>
      </c>
      <c r="Z221" s="303">
        <f>VLOOKUP($AN221,'Group Model'!$1:$1048576,MATCH("1H"&amp;MID(Z$1,3,2)&amp;LEFT(Z$2,1),'Group Model'!$1:$1,0),FALSE)</f>
        <v>0.88</v>
      </c>
      <c r="AA221" s="303">
        <f>VLOOKUP($AN221,'Group Model'!$1:$1048576,MATCH("1H"&amp;MID(AA$1,3,2)&amp;LEFT(AA$2,1),'Group Model'!$1:$1,0),FALSE)</f>
        <v>0.88</v>
      </c>
      <c r="AB221" s="303">
        <f>VLOOKUP($AN221,'Group Model'!$1:$1048576,MATCH("1H"&amp;MID(AB$1,3,2)&amp;LEFT(AB$2,1),'Group Model'!$1:$1,0),FALSE)</f>
        <v>0.87</v>
      </c>
      <c r="AC221" s="303">
        <f>VLOOKUP($AN221,'Group Model'!$1:$1048576,MATCH("1H"&amp;MID(AC$1,3,2)&amp;LEFT(AC$2,1),'Group Model'!$1:$1,0),FALSE)</f>
        <v>0.87</v>
      </c>
      <c r="AD221" s="303">
        <f>VLOOKUP($AN221,'Group Model'!$1:$1048576,MATCH("1H"&amp;MID(AD$1,3,2)&amp;LEFT(AD$2,1),'Group Model'!$1:$1,0),FALSE)</f>
        <v>0.86</v>
      </c>
      <c r="AE221" s="303">
        <f>VLOOKUP($AN221,'Group Model'!$1:$1048576,MATCH("1H"&amp;MID(AE$1,3,2)&amp;LEFT(AE$2,1),'Group Model'!$1:$1,0),FALSE)</f>
        <v>0.86</v>
      </c>
      <c r="AF221" s="303">
        <f>VLOOKUP($AN221,'Group Model'!$1:$1048576,MATCH("1H"&amp;MID(AF$1,3,2)&amp;LEFT(AF$2,1),'Group Model'!$1:$1,0),FALSE)</f>
        <v>0.85</v>
      </c>
      <c r="AG221" s="303" t="e">
        <f>VLOOKUP($AN221,'Group Model'!$1:$1048576,MATCH("2H"&amp;MID(AG$1,3,2)&amp;LEFT(AG$2,1),'Group Model'!$1:$1,0),FALSE)</f>
        <v>#N/A</v>
      </c>
      <c r="AH221" s="303" t="e">
        <f>VLOOKUP($AN221,'Group Model'!$1:$1048576,MATCH("1H"&amp;MID(AH$1,3,2)&amp;LEFT(AH$2,1),'Group Model'!$1:$1,0),FALSE)</f>
        <v>#N/A</v>
      </c>
      <c r="AI221" s="303" t="e">
        <f>VLOOKUP($AN221,'Group Model'!$1:$1048576,MATCH("2H"&amp;MID(AI$1,3,2)&amp;LEFT(AI$2,1),'Group Model'!$1:$1,0),FALSE)</f>
        <v>#N/A</v>
      </c>
      <c r="AL221" s="298">
        <f>ROW()</f>
        <v>221</v>
      </c>
      <c r="AN221" s="298" t="str">
        <f>'Group Model'!A543</f>
        <v>AD_ProfitabilityRevenueIndustry</v>
      </c>
    </row>
    <row r="222" spans="2:40" outlineLevel="2">
      <c r="B222" t="s">
        <v>885</v>
      </c>
      <c r="C222" t="s">
        <v>886</v>
      </c>
      <c r="F222" s="303">
        <f>VLOOKUP($AN222,'Group Model'!$1:$1048576,MATCH("FY"&amp;RIGHT(F$1,2)&amp;LEFT(F$2,1),'Group Model'!$1:$1,0),FALSE)</f>
        <v>0.05</v>
      </c>
      <c r="G222" s="303">
        <f>VLOOKUP($AN222,'Group Model'!$1:$1048576,MATCH("FY"&amp;RIGHT(G$1,2)&amp;LEFT(G$2,1),'Group Model'!$1:$1,0),FALSE)</f>
        <v>0.05</v>
      </c>
      <c r="H222" s="303">
        <f>VLOOKUP($AN222,'Group Model'!$1:$1048576,MATCH("FY"&amp;RIGHT(H$1,2)&amp;LEFT(H$2,1),'Group Model'!$1:$1,0),FALSE)</f>
        <v>0.05</v>
      </c>
      <c r="I222" s="303">
        <f>VLOOKUP($AN222,'Group Model'!$1:$1048576,MATCH("FY"&amp;RIGHT(I$1,2)&amp;LEFT(I$2,1),'Group Model'!$1:$1,0),FALSE)</f>
        <v>0.05</v>
      </c>
      <c r="J222" s="303">
        <f>VLOOKUP($AN222,'Group Model'!$1:$1048576,MATCH("FY"&amp;RIGHT(J$1,2)&amp;LEFT(J$2,1),'Group Model'!$1:$1,0),FALSE)</f>
        <v>0.05</v>
      </c>
      <c r="K222" s="303">
        <f>VLOOKUP($AN222,'Group Model'!$1:$1048576,MATCH("FY"&amp;RIGHT(K$1,2)&amp;LEFT(K$2,1),'Group Model'!$1:$1,0),FALSE)</f>
        <v>0.05</v>
      </c>
      <c r="L222" s="303">
        <f>VLOOKUP($AN222,'Group Model'!$1:$1048576,MATCH("FY"&amp;RIGHT(L$1,2)&amp;LEFT(L$2,1),'Group Model'!$1:$1,0),FALSE)</f>
        <v>0.05</v>
      </c>
      <c r="M222" s="303">
        <f>VLOOKUP($AN222,'Group Model'!$1:$1048576,MATCH("FY"&amp;RIGHT(M$1,2)&amp;LEFT(M$2,1),'Group Model'!$1:$1,0),FALSE)</f>
        <v>0.05</v>
      </c>
      <c r="N222" s="303">
        <f>VLOOKUP($AN222,'Group Model'!$1:$1048576,MATCH("FY"&amp;RIGHT(N$1,2)&amp;LEFT(N$2,1),'Group Model'!$1:$1,0),FALSE)</f>
        <v>0.05</v>
      </c>
      <c r="O222" s="303">
        <f>VLOOKUP($AN222,'Group Model'!$1:$1048576,MATCH("FY"&amp;RIGHT(O$1,2)&amp;LEFT(O$2,1),'Group Model'!$1:$1,0),FALSE)</f>
        <v>0.05</v>
      </c>
      <c r="P222" s="303">
        <f>VLOOKUP($AN222,'Group Model'!$1:$1048576,MATCH("FY"&amp;RIGHT(P$1,2)&amp;LEFT(P$2,1),'Group Model'!$1:$1,0),FALSE)</f>
        <v>0.05</v>
      </c>
      <c r="Q222" s="303">
        <f>VLOOKUP($AN222,'Group Model'!$1:$1048576,MATCH("FY"&amp;RIGHT(Q$1,2)&amp;LEFT(Q$2,1),'Group Model'!$1:$1,0),FALSE)</f>
        <v>0.05</v>
      </c>
      <c r="R222" s="303" t="e">
        <f>VLOOKUP($AN222,'Group Model'!$1:$1048576,MATCH("FY"&amp;RIGHT(R$1,2)&amp;LEFT(R$2,1),'Group Model'!$1:$1,0),FALSE)</f>
        <v>#N/A</v>
      </c>
      <c r="S222" s="303" t="e">
        <f>VLOOKUP($AN222,'Group Model'!$1:$1048576,MATCH("FY"&amp;RIGHT(S$1,2)&amp;LEFT(S$2,1),'Group Model'!$1:$1,0),FALSE)</f>
        <v>#N/A</v>
      </c>
      <c r="T222" s="303" t="e">
        <f>VLOOKUP($AN222,'Group Model'!$1:$1048576,MATCH("FY"&amp;RIGHT(T$1,2)&amp;LEFT(T$2,1),'Group Model'!$1:$1,0),FALSE)</f>
        <v>#N/A</v>
      </c>
      <c r="U222" s="303"/>
      <c r="V222" s="303">
        <f>VLOOKUP($AN222,'Group Model'!$1:$1048576,MATCH("1H"&amp;MID(V$1,3,2)&amp;LEFT(V$2,1),'Group Model'!$1:$1,0),FALSE)</f>
        <v>0.05</v>
      </c>
      <c r="W222" s="303">
        <f>VLOOKUP($AN222,'Group Model'!$1:$1048576,MATCH("1H"&amp;MID(W$1,3,2)&amp;LEFT(W$2,1),'Group Model'!$1:$1,0),FALSE)</f>
        <v>0.05</v>
      </c>
      <c r="X222" s="303">
        <f>VLOOKUP($AN222,'Group Model'!$1:$1048576,MATCH("1H"&amp;MID(X$1,3,2)&amp;LEFT(X$2,1),'Group Model'!$1:$1,0),FALSE)</f>
        <v>0.05</v>
      </c>
      <c r="Y222" s="303">
        <f>VLOOKUP($AN222,'Group Model'!$1:$1048576,MATCH("1H"&amp;MID(Y$1,3,2)&amp;LEFT(Y$2,1),'Group Model'!$1:$1,0),FALSE)</f>
        <v>0.05</v>
      </c>
      <c r="Z222" s="303">
        <f>VLOOKUP($AN222,'Group Model'!$1:$1048576,MATCH("1H"&amp;MID(Z$1,3,2)&amp;LEFT(Z$2,1),'Group Model'!$1:$1,0),FALSE)</f>
        <v>0.05</v>
      </c>
      <c r="AA222" s="303">
        <f>VLOOKUP($AN222,'Group Model'!$1:$1048576,MATCH("1H"&amp;MID(AA$1,3,2)&amp;LEFT(AA$2,1),'Group Model'!$1:$1,0),FALSE)</f>
        <v>0.05</v>
      </c>
      <c r="AB222" s="303">
        <f>VLOOKUP($AN222,'Group Model'!$1:$1048576,MATCH("1H"&amp;MID(AB$1,3,2)&amp;LEFT(AB$2,1),'Group Model'!$1:$1,0),FALSE)</f>
        <v>0.05</v>
      </c>
      <c r="AC222" s="303">
        <f>VLOOKUP($AN222,'Group Model'!$1:$1048576,MATCH("1H"&amp;MID(AC$1,3,2)&amp;LEFT(AC$2,1),'Group Model'!$1:$1,0),FALSE)</f>
        <v>0.05</v>
      </c>
      <c r="AD222" s="303">
        <f>VLOOKUP($AN222,'Group Model'!$1:$1048576,MATCH("1H"&amp;MID(AD$1,3,2)&amp;LEFT(AD$2,1),'Group Model'!$1:$1,0),FALSE)</f>
        <v>0.05</v>
      </c>
      <c r="AE222" s="303">
        <f>VLOOKUP($AN222,'Group Model'!$1:$1048576,MATCH("1H"&amp;MID(AE$1,3,2)&amp;LEFT(AE$2,1),'Group Model'!$1:$1,0),FALSE)</f>
        <v>0.05</v>
      </c>
      <c r="AF222" s="303">
        <f>VLOOKUP($AN222,'Group Model'!$1:$1048576,MATCH("1H"&amp;MID(AF$1,3,2)&amp;LEFT(AF$2,1),'Group Model'!$1:$1,0),FALSE)</f>
        <v>0.05</v>
      </c>
      <c r="AG222" s="303" t="e">
        <f>VLOOKUP($AN222,'Group Model'!$1:$1048576,MATCH("2H"&amp;MID(AG$1,3,2)&amp;LEFT(AG$2,1),'Group Model'!$1:$1,0),FALSE)</f>
        <v>#N/A</v>
      </c>
      <c r="AH222" s="303" t="e">
        <f>VLOOKUP($AN222,'Group Model'!$1:$1048576,MATCH("1H"&amp;MID(AH$1,3,2)&amp;LEFT(AH$2,1),'Group Model'!$1:$1,0),FALSE)</f>
        <v>#N/A</v>
      </c>
      <c r="AI222" s="303" t="e">
        <f>VLOOKUP($AN222,'Group Model'!$1:$1048576,MATCH("2H"&amp;MID(AI$1,3,2)&amp;LEFT(AI$2,1),'Group Model'!$1:$1,0),FALSE)</f>
        <v>#N/A</v>
      </c>
      <c r="AL222" s="298">
        <f>ROW()</f>
        <v>222</v>
      </c>
      <c r="AN222" s="298" t="str">
        <f>'Group Model'!A544</f>
        <v>AD_ProfitabilityRevenueGovernment</v>
      </c>
    </row>
    <row r="223" spans="2:40" outlineLevel="2">
      <c r="B223" t="s">
        <v>887</v>
      </c>
      <c r="C223" t="s">
        <v>888</v>
      </c>
      <c r="F223" s="303">
        <f>VLOOKUP($AN223,'Group Model'!$1:$1048576,MATCH("FY"&amp;RIGHT(F$1,2)&amp;LEFT(F$2,1),'Group Model'!$1:$1,0),FALSE)</f>
        <v>9.2999999999999999E-2</v>
      </c>
      <c r="G223" s="303">
        <f>VLOOKUP($AN223,'Group Model'!$1:$1048576,MATCH("FY"&amp;RIGHT(G$1,2)&amp;LEFT(G$2,1),'Group Model'!$1:$1,0),FALSE)</f>
        <v>9.2999999999999999E-2</v>
      </c>
      <c r="H223" s="303">
        <f>VLOOKUP($AN223,'Group Model'!$1:$1048576,MATCH("FY"&amp;RIGHT(H$1,2)&amp;LEFT(H$2,1),'Group Model'!$1:$1,0),FALSE)</f>
        <v>9.2999999999999999E-2</v>
      </c>
      <c r="I223" s="303">
        <f>VLOOKUP($AN223,'Group Model'!$1:$1048576,MATCH("FY"&amp;RIGHT(I$1,2)&amp;LEFT(I$2,1),'Group Model'!$1:$1,0),FALSE)</f>
        <v>9.2999999999999999E-2</v>
      </c>
      <c r="J223" s="303">
        <f>VLOOKUP($AN223,'Group Model'!$1:$1048576,MATCH("FY"&amp;RIGHT(J$1,2)&amp;LEFT(J$2,1),'Group Model'!$1:$1,0),FALSE)</f>
        <v>9.2499999999999999E-2</v>
      </c>
      <c r="K223" s="303">
        <f>VLOOKUP($AN223,'Group Model'!$1:$1048576,MATCH("FY"&amp;RIGHT(K$1,2)&amp;LEFT(K$2,1),'Group Model'!$1:$1,0),FALSE)</f>
        <v>9.1499999999999998E-2</v>
      </c>
      <c r="L223" s="303">
        <f>VLOOKUP($AN223,'Group Model'!$1:$1048576,MATCH("FY"&amp;RIGHT(L$1,2)&amp;LEFT(L$2,1),'Group Model'!$1:$1,0),FALSE)</f>
        <v>9.0499999999999997E-2</v>
      </c>
      <c r="M223" s="303">
        <f>VLOOKUP($AN223,'Group Model'!$1:$1048576,MATCH("FY"&amp;RIGHT(M$1,2)&amp;LEFT(M$2,1),'Group Model'!$1:$1,0),FALSE)</f>
        <v>8.950000000000001E-2</v>
      </c>
      <c r="N223" s="303">
        <f>VLOOKUP($AN223,'Group Model'!$1:$1048576,MATCH("FY"&amp;RIGHT(N$1,2)&amp;LEFT(N$2,1),'Group Model'!$1:$1,0),FALSE)</f>
        <v>8.8500000000000009E-2</v>
      </c>
      <c r="O223" s="303">
        <f>VLOOKUP($AN223,'Group Model'!$1:$1048576,MATCH("FY"&amp;RIGHT(O$1,2)&amp;LEFT(O$2,1),'Group Model'!$1:$1,0),FALSE)</f>
        <v>8.7500000000000008E-2</v>
      </c>
      <c r="P223" s="303">
        <f>VLOOKUP($AN223,'Group Model'!$1:$1048576,MATCH("FY"&amp;RIGHT(P$1,2)&amp;LEFT(P$2,1),'Group Model'!$1:$1,0),FALSE)</f>
        <v>8.6500000000000007E-2</v>
      </c>
      <c r="Q223" s="303">
        <f>VLOOKUP($AN223,'Group Model'!$1:$1048576,MATCH("FY"&amp;RIGHT(Q$1,2)&amp;LEFT(Q$2,1),'Group Model'!$1:$1,0),FALSE)</f>
        <v>8.5500000000000007E-2</v>
      </c>
      <c r="R223" s="303" t="e">
        <f>VLOOKUP($AN223,'Group Model'!$1:$1048576,MATCH("FY"&amp;RIGHT(R$1,2)&amp;LEFT(R$2,1),'Group Model'!$1:$1,0),FALSE)</f>
        <v>#N/A</v>
      </c>
      <c r="S223" s="303" t="e">
        <f>VLOOKUP($AN223,'Group Model'!$1:$1048576,MATCH("FY"&amp;RIGHT(S$1,2)&amp;LEFT(S$2,1),'Group Model'!$1:$1,0),FALSE)</f>
        <v>#N/A</v>
      </c>
      <c r="T223" s="303" t="e">
        <f>VLOOKUP($AN223,'Group Model'!$1:$1048576,MATCH("FY"&amp;RIGHT(T$1,2)&amp;LEFT(T$2,1),'Group Model'!$1:$1,0),FALSE)</f>
        <v>#N/A</v>
      </c>
      <c r="U223" s="303"/>
      <c r="V223" s="303">
        <f>VLOOKUP($AN223,'Group Model'!$1:$1048576,MATCH("1H"&amp;MID(V$1,3,2)&amp;LEFT(V$2,1),'Group Model'!$1:$1,0),FALSE)</f>
        <v>0.09</v>
      </c>
      <c r="W223" s="303">
        <f>VLOOKUP($AN223,'Group Model'!$1:$1048576,MATCH("1H"&amp;MID(W$1,3,2)&amp;LEFT(W$2,1),'Group Model'!$1:$1,0),FALSE)</f>
        <v>0.09</v>
      </c>
      <c r="X223" s="303">
        <f>VLOOKUP($AN223,'Group Model'!$1:$1048576,MATCH("1H"&amp;MID(X$1,3,2)&amp;LEFT(X$2,1),'Group Model'!$1:$1,0),FALSE)</f>
        <v>8.900000000000001E-2</v>
      </c>
      <c r="Y223" s="303">
        <f>VLOOKUP($AN223,'Group Model'!$1:$1048576,MATCH("1H"&amp;MID(Y$1,3,2)&amp;LEFT(Y$2,1),'Group Model'!$1:$1,0),FALSE)</f>
        <v>8.900000000000001E-2</v>
      </c>
      <c r="Z223" s="303">
        <f>VLOOKUP($AN223,'Group Model'!$1:$1048576,MATCH("1H"&amp;MID(Z$1,3,2)&amp;LEFT(Z$2,1),'Group Model'!$1:$1,0),FALSE)</f>
        <v>8.8000000000000009E-2</v>
      </c>
      <c r="AA223" s="303">
        <f>VLOOKUP($AN223,'Group Model'!$1:$1048576,MATCH("1H"&amp;MID(AA$1,3,2)&amp;LEFT(AA$2,1),'Group Model'!$1:$1,0),FALSE)</f>
        <v>8.8000000000000009E-2</v>
      </c>
      <c r="AB223" s="303">
        <f>VLOOKUP($AN223,'Group Model'!$1:$1048576,MATCH("1H"&amp;MID(AB$1,3,2)&amp;LEFT(AB$2,1),'Group Model'!$1:$1,0),FALSE)</f>
        <v>8.7000000000000008E-2</v>
      </c>
      <c r="AC223" s="303">
        <f>VLOOKUP($AN223,'Group Model'!$1:$1048576,MATCH("1H"&amp;MID(AC$1,3,2)&amp;LEFT(AC$2,1),'Group Model'!$1:$1,0),FALSE)</f>
        <v>8.7000000000000008E-2</v>
      </c>
      <c r="AD223" s="303">
        <f>VLOOKUP($AN223,'Group Model'!$1:$1048576,MATCH("1H"&amp;MID(AD$1,3,2)&amp;LEFT(AD$2,1),'Group Model'!$1:$1,0),FALSE)</f>
        <v>8.6000000000000007E-2</v>
      </c>
      <c r="AE223" s="303">
        <f>VLOOKUP($AN223,'Group Model'!$1:$1048576,MATCH("1H"&amp;MID(AE$1,3,2)&amp;LEFT(AE$2,1),'Group Model'!$1:$1,0),FALSE)</f>
        <v>8.6000000000000007E-2</v>
      </c>
      <c r="AF223" s="303">
        <f>VLOOKUP($AN223,'Group Model'!$1:$1048576,MATCH("1H"&amp;MID(AF$1,3,2)&amp;LEFT(AF$2,1),'Group Model'!$1:$1,0),FALSE)</f>
        <v>8.5000000000000006E-2</v>
      </c>
      <c r="AG223" s="303" t="e">
        <f>VLOOKUP($AN223,'Group Model'!$1:$1048576,MATCH("2H"&amp;MID(AG$1,3,2)&amp;LEFT(AG$2,1),'Group Model'!$1:$1,0),FALSE)</f>
        <v>#N/A</v>
      </c>
      <c r="AH223" s="303" t="e">
        <f>VLOOKUP($AN223,'Group Model'!$1:$1048576,MATCH("1H"&amp;MID(AH$1,3,2)&amp;LEFT(AH$2,1),'Group Model'!$1:$1,0),FALSE)</f>
        <v>#N/A</v>
      </c>
      <c r="AI223" s="303" t="e">
        <f>VLOOKUP($AN223,'Group Model'!$1:$1048576,MATCH("2H"&amp;MID(AI$1,3,2)&amp;LEFT(AI$2,1),'Group Model'!$1:$1,0),FALSE)</f>
        <v>#N/A</v>
      </c>
      <c r="AL223" s="298">
        <f>ROW()</f>
        <v>223</v>
      </c>
      <c r="AN223" s="298" t="str">
        <f>'Group Model'!A545</f>
        <v>AD_ProfitabilityRevenuesubFinancials</v>
      </c>
    </row>
    <row r="224" spans="2:40" outlineLevel="2">
      <c r="B224" t="s">
        <v>1472</v>
      </c>
      <c r="C224" t="s">
        <v>1473</v>
      </c>
      <c r="F224" s="303"/>
      <c r="G224" s="303"/>
      <c r="H224" s="303"/>
      <c r="I224" s="303"/>
      <c r="J224" s="303"/>
      <c r="K224" s="303"/>
      <c r="L224" s="303"/>
      <c r="M224" s="303"/>
      <c r="N224" s="303"/>
      <c r="O224" s="303">
        <v>0</v>
      </c>
      <c r="P224" s="303">
        <v>0</v>
      </c>
      <c r="Q224" s="303">
        <v>0</v>
      </c>
      <c r="R224" s="303">
        <v>0</v>
      </c>
      <c r="S224" s="303">
        <v>0</v>
      </c>
      <c r="T224" s="303">
        <v>0</v>
      </c>
      <c r="U224" s="303"/>
      <c r="V224" s="303">
        <v>0</v>
      </c>
      <c r="W224" s="303">
        <v>0</v>
      </c>
      <c r="X224" s="303">
        <v>0</v>
      </c>
      <c r="Y224" s="303">
        <v>0</v>
      </c>
      <c r="Z224" s="303">
        <v>0</v>
      </c>
      <c r="AA224" s="303">
        <v>0</v>
      </c>
      <c r="AB224" s="303">
        <v>0</v>
      </c>
      <c r="AC224" s="303">
        <v>0</v>
      </c>
      <c r="AD224" s="303">
        <v>0</v>
      </c>
      <c r="AE224" s="303">
        <v>0</v>
      </c>
      <c r="AF224" s="303">
        <v>0</v>
      </c>
      <c r="AG224" s="303">
        <v>0</v>
      </c>
      <c r="AH224" s="303">
        <v>0</v>
      </c>
      <c r="AI224" s="303">
        <v>0</v>
      </c>
      <c r="AL224" s="298">
        <f>ROW()</f>
        <v>224</v>
      </c>
    </row>
    <row r="225" spans="1:38" s="297" customFormat="1" outlineLevel="1">
      <c r="A225" s="316" t="s">
        <v>1474</v>
      </c>
      <c r="B225" s="316"/>
      <c r="C225" s="316"/>
      <c r="D225" s="316"/>
      <c r="AL225" s="298">
        <f>ROW()</f>
        <v>225</v>
      </c>
    </row>
    <row r="226" spans="1:38" outlineLevel="2">
      <c r="B226" t="s">
        <v>1475</v>
      </c>
      <c r="C226" t="s">
        <v>1476</v>
      </c>
      <c r="F226" s="302"/>
      <c r="G226" s="302"/>
      <c r="H226" s="302"/>
      <c r="I226" s="302"/>
      <c r="J226" s="302"/>
      <c r="K226" s="302"/>
      <c r="L226" s="302"/>
      <c r="M226" s="302"/>
      <c r="N226" s="302"/>
      <c r="O226" s="302">
        <v>0</v>
      </c>
      <c r="P226" s="302">
        <v>0</v>
      </c>
      <c r="Q226" s="302">
        <v>0</v>
      </c>
      <c r="R226" s="302">
        <v>0</v>
      </c>
      <c r="S226" s="302">
        <v>0</v>
      </c>
      <c r="T226" s="302">
        <v>0</v>
      </c>
      <c r="U226" s="302"/>
      <c r="V226" s="302">
        <v>0</v>
      </c>
      <c r="W226" s="302">
        <v>0</v>
      </c>
      <c r="X226" s="302">
        <v>0</v>
      </c>
      <c r="Y226" s="302">
        <v>0</v>
      </c>
      <c r="Z226" s="302">
        <v>0</v>
      </c>
      <c r="AA226" s="302">
        <v>0</v>
      </c>
      <c r="AB226" s="302">
        <v>0</v>
      </c>
      <c r="AC226" s="302">
        <v>0</v>
      </c>
      <c r="AD226" s="302">
        <v>0</v>
      </c>
      <c r="AE226" s="302">
        <v>0</v>
      </c>
      <c r="AF226" s="302">
        <v>0</v>
      </c>
      <c r="AG226" s="302">
        <v>0</v>
      </c>
      <c r="AH226" s="302">
        <v>0</v>
      </c>
      <c r="AI226" s="302">
        <v>0</v>
      </c>
      <c r="AL226" s="298">
        <f>ROW()</f>
        <v>226</v>
      </c>
    </row>
    <row r="227" spans="1:38" outlineLevel="2">
      <c r="B227" t="s">
        <v>1477</v>
      </c>
      <c r="C227" t="s">
        <v>1478</v>
      </c>
      <c r="F227" s="302"/>
      <c r="G227" s="302"/>
      <c r="H227" s="302"/>
      <c r="I227" s="302"/>
      <c r="J227" s="302"/>
      <c r="K227" s="302"/>
      <c r="L227" s="302"/>
      <c r="M227" s="302"/>
      <c r="N227" s="302"/>
      <c r="O227" s="302">
        <v>0</v>
      </c>
      <c r="P227" s="302">
        <v>0</v>
      </c>
      <c r="Q227" s="302">
        <v>0</v>
      </c>
      <c r="R227" s="302">
        <v>0</v>
      </c>
      <c r="S227" s="302">
        <v>0</v>
      </c>
      <c r="T227" s="302">
        <v>0</v>
      </c>
      <c r="U227" s="302"/>
      <c r="V227" s="302">
        <v>0</v>
      </c>
      <c r="W227" s="302">
        <v>0</v>
      </c>
      <c r="X227" s="302">
        <v>0</v>
      </c>
      <c r="Y227" s="302">
        <v>0</v>
      </c>
      <c r="Z227" s="302">
        <v>0</v>
      </c>
      <c r="AA227" s="302">
        <v>0</v>
      </c>
      <c r="AB227" s="302">
        <v>0</v>
      </c>
      <c r="AC227" s="302">
        <v>0</v>
      </c>
      <c r="AD227" s="302">
        <v>0</v>
      </c>
      <c r="AE227" s="302">
        <v>0</v>
      </c>
      <c r="AF227" s="302">
        <v>0</v>
      </c>
      <c r="AG227" s="302">
        <v>0</v>
      </c>
      <c r="AH227" s="302">
        <v>0</v>
      </c>
      <c r="AI227" s="302">
        <v>0</v>
      </c>
      <c r="AL227" s="298">
        <f>ROW()</f>
        <v>227</v>
      </c>
    </row>
    <row r="228" spans="1:38" s="297" customFormat="1" outlineLevel="1">
      <c r="A228" s="316" t="s">
        <v>889</v>
      </c>
      <c r="B228" s="316"/>
      <c r="C228" s="316"/>
      <c r="D228" s="316"/>
      <c r="AL228" s="298">
        <f>ROW()</f>
        <v>228</v>
      </c>
    </row>
    <row r="229" spans="1:38" outlineLevel="2">
      <c r="B229" t="s">
        <v>890</v>
      </c>
      <c r="C229" t="s">
        <v>891</v>
      </c>
      <c r="F229" s="302">
        <f t="shared" ref="F229:P229" si="12">F190*0.2</f>
        <v>0</v>
      </c>
      <c r="G229" s="302">
        <f t="shared" si="12"/>
        <v>4.3529068068945374E-2</v>
      </c>
      <c r="H229" s="302">
        <f t="shared" si="12"/>
        <v>3.8577472236911686E-2</v>
      </c>
      <c r="I229" s="302">
        <f t="shared" si="12"/>
        <v>4.0228370663153275E-2</v>
      </c>
      <c r="J229" s="302">
        <f t="shared" si="12"/>
        <v>2.1366756192181438E-2</v>
      </c>
      <c r="K229" s="302">
        <f t="shared" si="12"/>
        <v>2.9730423620025676E-2</v>
      </c>
      <c r="L229" s="302">
        <f t="shared" si="12"/>
        <v>3.4852393235884203E-2</v>
      </c>
      <c r="M229" s="302">
        <f t="shared" si="12"/>
        <v>3.4023927633498686E-2</v>
      </c>
      <c r="N229" s="302">
        <f t="shared" si="12"/>
        <v>3.9761336515513127E-2</v>
      </c>
      <c r="O229" s="302">
        <f t="shared" si="12"/>
        <v>3.8165798958750503E-2</v>
      </c>
      <c r="P229" s="302">
        <f t="shared" si="12"/>
        <v>4.8688811188811187E-2</v>
      </c>
      <c r="Q229" s="302">
        <f>Q190*0.2</f>
        <v>4.7276341948310145E-2</v>
      </c>
      <c r="R229" s="302" t="e">
        <f t="shared" ref="R229:T229" si="13">R190*0.2</f>
        <v>#N/A</v>
      </c>
      <c r="S229" s="302" t="e">
        <f t="shared" si="13"/>
        <v>#N/A</v>
      </c>
      <c r="T229" s="302" t="e">
        <f t="shared" si="13"/>
        <v>#N/A</v>
      </c>
      <c r="U229" s="302"/>
      <c r="V229" s="302">
        <f t="shared" ref="V229:AH229" si="14">V190*0.2</f>
        <v>4.1402337228714531E-2</v>
      </c>
      <c r="W229" s="302">
        <f t="shared" si="14"/>
        <v>4.1402337228714531E-2</v>
      </c>
      <c r="X229" s="302">
        <f t="shared" si="14"/>
        <v>4.125835189309577E-2</v>
      </c>
      <c r="Y229" s="302">
        <f t="shared" si="14"/>
        <v>4.125835189309577E-2</v>
      </c>
      <c r="Z229" s="302">
        <f t="shared" si="14"/>
        <v>4.9796504668422316E-2</v>
      </c>
      <c r="AA229" s="302">
        <f t="shared" si="14"/>
        <v>4.9796504668422316E-2</v>
      </c>
      <c r="AB229" s="302">
        <f t="shared" si="14"/>
        <v>4.7488240827845724E-2</v>
      </c>
      <c r="AC229" s="302">
        <f t="shared" si="14"/>
        <v>4.7488240827845724E-2</v>
      </c>
      <c r="AD229" s="302">
        <f t="shared" si="14"/>
        <v>5.0734573947110673E-2</v>
      </c>
      <c r="AE229" s="302">
        <f t="shared" si="14"/>
        <v>5.0734573947110673E-2</v>
      </c>
      <c r="AF229" s="302">
        <f t="shared" si="14"/>
        <v>5.5675474506885009E-2</v>
      </c>
      <c r="AG229" s="302" t="e">
        <f t="shared" si="14"/>
        <v>#N/A</v>
      </c>
      <c r="AH229" s="302" t="e">
        <f t="shared" si="14"/>
        <v>#N/A</v>
      </c>
      <c r="AI229" s="302" t="e">
        <f t="shared" ref="AI229" si="15">AI190*0.2</f>
        <v>#N/A</v>
      </c>
      <c r="AL229" s="298">
        <f>ROW()</f>
        <v>229</v>
      </c>
    </row>
    <row r="230" spans="1:38" outlineLevel="2">
      <c r="B230" t="s">
        <v>892</v>
      </c>
      <c r="C230" t="s">
        <v>893</v>
      </c>
      <c r="F230" s="302">
        <f t="shared" ref="F230:P230" si="16">F190*0.8</f>
        <v>0</v>
      </c>
      <c r="G230" s="302">
        <f t="shared" si="16"/>
        <v>0.1741162722757815</v>
      </c>
      <c r="H230" s="302">
        <f t="shared" si="16"/>
        <v>0.15430988894764675</v>
      </c>
      <c r="I230" s="302">
        <f t="shared" si="16"/>
        <v>0.1609134826526131</v>
      </c>
      <c r="J230" s="302">
        <f t="shared" si="16"/>
        <v>8.5467024768725752E-2</v>
      </c>
      <c r="K230" s="302">
        <f t="shared" si="16"/>
        <v>0.1189216944801027</v>
      </c>
      <c r="L230" s="302">
        <f t="shared" si="16"/>
        <v>0.13940957294353681</v>
      </c>
      <c r="M230" s="302">
        <f t="shared" si="16"/>
        <v>0.13609571053399475</v>
      </c>
      <c r="N230" s="302">
        <f t="shared" si="16"/>
        <v>0.15904534606205251</v>
      </c>
      <c r="O230" s="302">
        <f t="shared" si="16"/>
        <v>0.15266319583500201</v>
      </c>
      <c r="P230" s="302">
        <f t="shared" si="16"/>
        <v>0.19475524475524475</v>
      </c>
      <c r="Q230" s="302">
        <f>Q190*0.8</f>
        <v>0.18910536779324058</v>
      </c>
      <c r="R230" s="302" t="e">
        <f t="shared" ref="R230:T230" si="17">R190*0.8</f>
        <v>#N/A</v>
      </c>
      <c r="S230" s="302" t="e">
        <f t="shared" si="17"/>
        <v>#N/A</v>
      </c>
      <c r="T230" s="302" t="e">
        <f t="shared" si="17"/>
        <v>#N/A</v>
      </c>
      <c r="U230" s="302"/>
      <c r="V230" s="302">
        <f t="shared" ref="V230:AH230" si="18">V190*0.8</f>
        <v>0.16560934891485812</v>
      </c>
      <c r="W230" s="302">
        <f t="shared" si="18"/>
        <v>0.16560934891485812</v>
      </c>
      <c r="X230" s="302">
        <f t="shared" si="18"/>
        <v>0.16503340757238308</v>
      </c>
      <c r="Y230" s="302">
        <f t="shared" si="18"/>
        <v>0.16503340757238308</v>
      </c>
      <c r="Z230" s="302">
        <f t="shared" si="18"/>
        <v>0.19918601867368926</v>
      </c>
      <c r="AA230" s="302">
        <f t="shared" si="18"/>
        <v>0.19918601867368926</v>
      </c>
      <c r="AB230" s="302">
        <f t="shared" si="18"/>
        <v>0.18995296331138289</v>
      </c>
      <c r="AC230" s="302">
        <f t="shared" si="18"/>
        <v>0.18995296331138289</v>
      </c>
      <c r="AD230" s="302">
        <f t="shared" si="18"/>
        <v>0.20293829578844269</v>
      </c>
      <c r="AE230" s="302">
        <f t="shared" si="18"/>
        <v>0.20293829578844269</v>
      </c>
      <c r="AF230" s="302">
        <f t="shared" si="18"/>
        <v>0.22270189802754004</v>
      </c>
      <c r="AG230" s="302" t="e">
        <f t="shared" si="18"/>
        <v>#N/A</v>
      </c>
      <c r="AH230" s="302" t="e">
        <f t="shared" si="18"/>
        <v>#N/A</v>
      </c>
      <c r="AI230" s="302" t="e">
        <f t="shared" ref="AI230" si="19">AI190*0.8</f>
        <v>#N/A</v>
      </c>
      <c r="AL230" s="298">
        <f>ROW()</f>
        <v>230</v>
      </c>
    </row>
    <row r="231" spans="1:38" outlineLevel="2">
      <c r="B231" t="s">
        <v>894</v>
      </c>
      <c r="C231" t="s">
        <v>895</v>
      </c>
      <c r="F231" s="302"/>
      <c r="G231" s="302"/>
      <c r="H231" s="302"/>
      <c r="I231" s="302"/>
      <c r="J231" s="302"/>
      <c r="K231" s="302"/>
      <c r="L231" s="302"/>
      <c r="M231" s="302"/>
      <c r="N231" s="302"/>
      <c r="O231" s="302"/>
      <c r="P231" s="302"/>
      <c r="Q231" s="302"/>
      <c r="R231" s="302"/>
      <c r="S231" s="302"/>
      <c r="T231" s="302"/>
      <c r="U231" s="302"/>
      <c r="V231" s="302"/>
      <c r="W231" s="302"/>
      <c r="X231" s="302"/>
      <c r="Y231" s="302"/>
      <c r="Z231" s="302"/>
      <c r="AA231" s="302"/>
      <c r="AB231" s="302"/>
      <c r="AC231" s="302"/>
      <c r="AD231" s="302"/>
      <c r="AE231" s="302"/>
      <c r="AF231" s="302"/>
      <c r="AG231" s="302"/>
      <c r="AH231" s="302"/>
      <c r="AI231" s="302"/>
      <c r="AL231" s="298">
        <f>ROW()</f>
        <v>231</v>
      </c>
    </row>
    <row r="232" spans="1:38" outlineLevel="2">
      <c r="B232" t="s">
        <v>896</v>
      </c>
      <c r="C232" t="s">
        <v>897</v>
      </c>
      <c r="F232" s="302">
        <f t="shared" ref="F232:P232" si="20">F168+F212</f>
        <v>0</v>
      </c>
      <c r="G232" s="302">
        <f t="shared" si="20"/>
        <v>0.334063686824423</v>
      </c>
      <c r="H232" s="302">
        <f t="shared" si="20"/>
        <v>0.37466948704389214</v>
      </c>
      <c r="I232" s="302">
        <f t="shared" si="20"/>
        <v>0.31422924901185773</v>
      </c>
      <c r="J232" s="302">
        <f t="shared" si="20"/>
        <v>0.44971650253655626</v>
      </c>
      <c r="K232" s="302">
        <f t="shared" si="20"/>
        <v>0.49319640564826706</v>
      </c>
      <c r="L232" s="302">
        <f t="shared" si="20"/>
        <v>0.41845801089137291</v>
      </c>
      <c r="M232" s="302">
        <f t="shared" si="20"/>
        <v>0.46133644587102424</v>
      </c>
      <c r="N232" s="302">
        <f t="shared" si="20"/>
        <v>0.50238663484486867</v>
      </c>
      <c r="O232" s="302">
        <f t="shared" si="20"/>
        <v>0.55486583900680819</v>
      </c>
      <c r="P232" s="302">
        <f t="shared" si="20"/>
        <v>0.40013111888111891</v>
      </c>
      <c r="Q232" s="302">
        <f>Q168+Q212</f>
        <v>0.44234592445328025</v>
      </c>
      <c r="R232" s="302" t="e">
        <f t="shared" ref="R232:T232" si="21">R168+R212</f>
        <v>#N/A</v>
      </c>
      <c r="S232" s="302" t="e">
        <f t="shared" si="21"/>
        <v>#N/A</v>
      </c>
      <c r="T232" s="302" t="e">
        <f t="shared" si="21"/>
        <v>#N/A</v>
      </c>
      <c r="U232" s="302"/>
      <c r="V232" s="302">
        <f t="shared" ref="V232:AH232" si="22">V168+V212</f>
        <v>0.45075125208681133</v>
      </c>
      <c r="W232" s="302">
        <f t="shared" si="22"/>
        <v>0.45075125208681133</v>
      </c>
      <c r="X232" s="302">
        <f t="shared" si="22"/>
        <v>0.45851893095768376</v>
      </c>
      <c r="Y232" s="302">
        <f t="shared" si="22"/>
        <v>0.45851893095768376</v>
      </c>
      <c r="Z232" s="302">
        <f t="shared" si="22"/>
        <v>0.40627244433804172</v>
      </c>
      <c r="AA232" s="302">
        <f t="shared" si="22"/>
        <v>0.40627244433804172</v>
      </c>
      <c r="AB232" s="302">
        <f t="shared" si="22"/>
        <v>0.47544684854186259</v>
      </c>
      <c r="AC232" s="302">
        <f t="shared" si="22"/>
        <v>0.47544684854186259</v>
      </c>
      <c r="AD232" s="302">
        <f t="shared" si="22"/>
        <v>0.3377081292850147</v>
      </c>
      <c r="AE232" s="302">
        <f t="shared" si="22"/>
        <v>0.3377081292850147</v>
      </c>
      <c r="AF232" s="302">
        <f t="shared" si="22"/>
        <v>0.34480833643468545</v>
      </c>
      <c r="AG232" s="302" t="e">
        <f t="shared" si="22"/>
        <v>#N/A</v>
      </c>
      <c r="AH232" s="302" t="e">
        <f t="shared" si="22"/>
        <v>#N/A</v>
      </c>
      <c r="AI232" s="302" t="e">
        <f t="shared" ref="AI232" si="23">AI168+AI212</f>
        <v>#N/A</v>
      </c>
      <c r="AL232" s="298">
        <f>ROW()</f>
        <v>232</v>
      </c>
    </row>
    <row r="233" spans="1:38" outlineLevel="2">
      <c r="B233" t="s">
        <v>898</v>
      </c>
      <c r="C233" t="s">
        <v>899</v>
      </c>
      <c r="F233" s="302"/>
      <c r="G233" s="302"/>
      <c r="H233" s="302"/>
      <c r="I233" s="302"/>
      <c r="J233" s="302"/>
      <c r="K233" s="302"/>
      <c r="L233" s="302"/>
      <c r="M233" s="302"/>
      <c r="N233" s="302"/>
      <c r="O233" s="302"/>
      <c r="P233" s="302"/>
      <c r="Q233" s="302"/>
      <c r="R233" s="302"/>
      <c r="S233" s="302"/>
      <c r="T233" s="302"/>
      <c r="U233" s="302"/>
      <c r="V233" s="302"/>
      <c r="W233" s="302"/>
      <c r="X233" s="302"/>
      <c r="Y233" s="302"/>
      <c r="Z233" s="302"/>
      <c r="AA233" s="302"/>
      <c r="AB233" s="302"/>
      <c r="AC233" s="302"/>
      <c r="AD233" s="302"/>
      <c r="AE233" s="302"/>
      <c r="AF233" s="302"/>
      <c r="AG233" s="302"/>
      <c r="AH233" s="302"/>
      <c r="AI233" s="302"/>
      <c r="AL233" s="298">
        <f>ROW()</f>
        <v>233</v>
      </c>
    </row>
    <row r="234" spans="1:38" outlineLevel="2">
      <c r="B234" t="s">
        <v>900</v>
      </c>
      <c r="C234" t="s">
        <v>901</v>
      </c>
      <c r="F234" s="302"/>
      <c r="G234" s="302"/>
      <c r="H234" s="302"/>
      <c r="I234" s="302"/>
      <c r="J234" s="302"/>
      <c r="K234" s="302"/>
      <c r="L234" s="302"/>
      <c r="M234" s="302"/>
      <c r="N234" s="302"/>
      <c r="O234" s="302"/>
      <c r="P234" s="302"/>
      <c r="Q234" s="302"/>
      <c r="R234" s="302"/>
      <c r="S234" s="302"/>
      <c r="T234" s="302"/>
      <c r="U234" s="302"/>
      <c r="V234" s="302"/>
      <c r="W234" s="302"/>
      <c r="X234" s="302"/>
      <c r="Y234" s="302"/>
      <c r="Z234" s="302"/>
      <c r="AA234" s="302"/>
      <c r="AB234" s="302"/>
      <c r="AC234" s="302"/>
      <c r="AD234" s="302"/>
      <c r="AE234" s="302"/>
      <c r="AF234" s="302"/>
      <c r="AG234" s="302"/>
      <c r="AH234" s="302"/>
      <c r="AI234" s="302"/>
      <c r="AL234" s="298">
        <f>ROW()</f>
        <v>234</v>
      </c>
    </row>
    <row r="235" spans="1:38" outlineLevel="2">
      <c r="B235" t="s">
        <v>902</v>
      </c>
      <c r="C235" t="s">
        <v>903</v>
      </c>
      <c r="F235" s="302"/>
      <c r="G235" s="302"/>
      <c r="H235" s="302"/>
      <c r="I235" s="302"/>
      <c r="J235" s="302"/>
      <c r="K235" s="302"/>
      <c r="L235" s="302"/>
      <c r="M235" s="302"/>
      <c r="N235" s="302"/>
      <c r="O235" s="302"/>
      <c r="P235" s="302"/>
      <c r="Q235" s="302"/>
      <c r="R235" s="302"/>
      <c r="S235" s="302"/>
      <c r="T235" s="302"/>
      <c r="U235" s="302"/>
      <c r="V235" s="302"/>
      <c r="W235" s="302"/>
      <c r="X235" s="302"/>
      <c r="Y235" s="302"/>
      <c r="Z235" s="302"/>
      <c r="AA235" s="302"/>
      <c r="AB235" s="302"/>
      <c r="AC235" s="302"/>
      <c r="AD235" s="302"/>
      <c r="AE235" s="302"/>
      <c r="AF235" s="302"/>
      <c r="AG235" s="302"/>
      <c r="AH235" s="302"/>
      <c r="AI235" s="302"/>
      <c r="AL235" s="298">
        <f>ROW()</f>
        <v>235</v>
      </c>
    </row>
    <row r="236" spans="1:38" outlineLevel="2">
      <c r="B236" t="s">
        <v>904</v>
      </c>
      <c r="C236" t="s">
        <v>905</v>
      </c>
      <c r="F236" s="302"/>
      <c r="G236" s="302"/>
      <c r="H236" s="302"/>
      <c r="I236" s="302"/>
      <c r="J236" s="302"/>
      <c r="K236" s="302"/>
      <c r="L236" s="302"/>
      <c r="M236" s="302"/>
      <c r="N236" s="302"/>
      <c r="O236" s="302"/>
      <c r="P236" s="302"/>
      <c r="Q236" s="302"/>
      <c r="R236" s="302"/>
      <c r="S236" s="302"/>
      <c r="T236" s="302"/>
      <c r="U236" s="302"/>
      <c r="V236" s="302"/>
      <c r="W236" s="302"/>
      <c r="X236" s="302"/>
      <c r="Y236" s="302"/>
      <c r="Z236" s="302"/>
      <c r="AA236" s="302"/>
      <c r="AB236" s="302"/>
      <c r="AC236" s="302"/>
      <c r="AD236" s="302"/>
      <c r="AE236" s="302"/>
      <c r="AF236" s="302"/>
      <c r="AG236" s="302"/>
      <c r="AH236" s="302"/>
      <c r="AI236" s="302"/>
      <c r="AL236" s="298">
        <f>ROW()</f>
        <v>236</v>
      </c>
    </row>
    <row r="237" spans="1:38" outlineLevel="2">
      <c r="B237" t="s">
        <v>906</v>
      </c>
      <c r="C237" t="s">
        <v>907</v>
      </c>
      <c r="F237" s="302">
        <f t="shared" ref="F237:P237" si="24">F213</f>
        <v>0</v>
      </c>
      <c r="G237" s="302">
        <f t="shared" si="24"/>
        <v>0.44829097283085012</v>
      </c>
      <c r="H237" s="302">
        <f t="shared" si="24"/>
        <v>0.43244315177154946</v>
      </c>
      <c r="I237" s="302">
        <f t="shared" si="24"/>
        <v>0.48462889767237594</v>
      </c>
      <c r="J237" s="302">
        <f t="shared" si="24"/>
        <v>0.44344971650253656</v>
      </c>
      <c r="K237" s="302">
        <f t="shared" si="24"/>
        <v>0.35815147625160459</v>
      </c>
      <c r="L237" s="302">
        <f t="shared" si="24"/>
        <v>0.40728002292920606</v>
      </c>
      <c r="M237" s="302">
        <f t="shared" si="24"/>
        <v>0.36854391596148234</v>
      </c>
      <c r="N237" s="302">
        <f t="shared" si="24"/>
        <v>0.29880668257756565</v>
      </c>
      <c r="O237" s="302">
        <f t="shared" si="24"/>
        <v>0.25430516619943933</v>
      </c>
      <c r="P237" s="302">
        <f t="shared" si="24"/>
        <v>0.35642482517482516</v>
      </c>
      <c r="Q237" s="302">
        <f>Q213</f>
        <v>0.32127236580516899</v>
      </c>
      <c r="R237" s="302" t="e">
        <f t="shared" ref="R237:T237" si="25">R213</f>
        <v>#N/A</v>
      </c>
      <c r="S237" s="302" t="e">
        <f t="shared" si="25"/>
        <v>#N/A</v>
      </c>
      <c r="T237" s="302" t="e">
        <f t="shared" si="25"/>
        <v>#N/A</v>
      </c>
      <c r="U237" s="302"/>
      <c r="V237" s="302">
        <f t="shared" ref="V237:AH237" si="26">V213</f>
        <v>0.34223706176961605</v>
      </c>
      <c r="W237" s="302">
        <f t="shared" si="26"/>
        <v>0.34223706176961605</v>
      </c>
      <c r="X237" s="302">
        <f t="shared" si="26"/>
        <v>0.3351893095768374</v>
      </c>
      <c r="Y237" s="302">
        <f t="shared" si="26"/>
        <v>0.3351893095768374</v>
      </c>
      <c r="Z237" s="302">
        <f t="shared" si="26"/>
        <v>0.34474503231984677</v>
      </c>
      <c r="AA237" s="302">
        <f t="shared" si="26"/>
        <v>0.34474503231984677</v>
      </c>
      <c r="AB237" s="302">
        <f t="shared" si="26"/>
        <v>0.28711194731890877</v>
      </c>
      <c r="AC237" s="302">
        <f t="shared" si="26"/>
        <v>0.28711194731890877</v>
      </c>
      <c r="AD237" s="302">
        <f t="shared" si="26"/>
        <v>0.40861900097943193</v>
      </c>
      <c r="AE237" s="302">
        <f t="shared" si="26"/>
        <v>0.40861900097943193</v>
      </c>
      <c r="AF237" s="302">
        <f t="shared" si="26"/>
        <v>0.37681429103088948</v>
      </c>
      <c r="AG237" s="302" t="e">
        <f t="shared" si="26"/>
        <v>#N/A</v>
      </c>
      <c r="AH237" s="302" t="e">
        <f t="shared" si="26"/>
        <v>#N/A</v>
      </c>
      <c r="AI237" s="302" t="e">
        <f t="shared" ref="AI237" si="27">AI213</f>
        <v>#N/A</v>
      </c>
      <c r="AL237" s="298">
        <f>ROW()</f>
        <v>237</v>
      </c>
    </row>
    <row r="238" spans="1:38" outlineLevel="2">
      <c r="B238" t="s">
        <v>908</v>
      </c>
      <c r="C238" t="s">
        <v>909</v>
      </c>
      <c r="F238" s="302"/>
      <c r="G238" s="302"/>
      <c r="H238" s="302"/>
      <c r="I238" s="302"/>
      <c r="J238" s="302"/>
      <c r="K238" s="302"/>
      <c r="L238" s="302"/>
      <c r="M238" s="302"/>
      <c r="N238" s="302"/>
      <c r="O238" s="302"/>
      <c r="P238" s="302"/>
      <c r="Q238" s="302"/>
      <c r="R238" s="302"/>
      <c r="S238" s="302"/>
      <c r="T238" s="302"/>
      <c r="U238" s="302"/>
      <c r="V238" s="302"/>
      <c r="W238" s="302"/>
      <c r="X238" s="302"/>
      <c r="Y238" s="302"/>
      <c r="Z238" s="302"/>
      <c r="AA238" s="302"/>
      <c r="AB238" s="302"/>
      <c r="AC238" s="302"/>
      <c r="AD238" s="302"/>
      <c r="AE238" s="302"/>
      <c r="AF238" s="302"/>
      <c r="AG238" s="302"/>
      <c r="AH238" s="302"/>
      <c r="AI238" s="302"/>
      <c r="AL238" s="298">
        <f>ROW()</f>
        <v>238</v>
      </c>
    </row>
    <row r="239" spans="1:38" outlineLevel="2">
      <c r="B239" t="s">
        <v>910</v>
      </c>
      <c r="C239" t="s">
        <v>911</v>
      </c>
      <c r="F239" s="302"/>
      <c r="G239" s="302"/>
      <c r="H239" s="302"/>
      <c r="I239" s="302"/>
      <c r="J239" s="302"/>
      <c r="K239" s="302"/>
      <c r="L239" s="302"/>
      <c r="M239" s="302"/>
      <c r="N239" s="302"/>
      <c r="O239" s="302"/>
      <c r="P239" s="302"/>
      <c r="Q239" s="302"/>
      <c r="R239" s="302"/>
      <c r="S239" s="302"/>
      <c r="T239" s="302"/>
      <c r="U239" s="302"/>
      <c r="V239" s="302"/>
      <c r="W239" s="302"/>
      <c r="X239" s="302"/>
      <c r="Y239" s="302"/>
      <c r="Z239" s="302"/>
      <c r="AA239" s="302"/>
      <c r="AB239" s="302"/>
      <c r="AC239" s="302"/>
      <c r="AD239" s="302"/>
      <c r="AE239" s="302"/>
      <c r="AF239" s="302"/>
      <c r="AG239" s="302"/>
      <c r="AH239" s="302"/>
      <c r="AI239" s="302"/>
      <c r="AL239" s="298">
        <f>ROW()</f>
        <v>239</v>
      </c>
    </row>
    <row r="240" spans="1:38" s="297" customFormat="1" outlineLevel="1">
      <c r="A240" s="316" t="s">
        <v>1393</v>
      </c>
      <c r="B240" s="316"/>
      <c r="C240" s="316"/>
      <c r="D240" s="316"/>
      <c r="AL240" s="298">
        <f>ROW()</f>
        <v>240</v>
      </c>
    </row>
    <row r="241" spans="1:41" outlineLevel="2">
      <c r="B241" t="s">
        <v>841</v>
      </c>
      <c r="C241" t="s">
        <v>842</v>
      </c>
      <c r="F241" s="303">
        <f>VLOOKUP($AN241,'Group Model'!$1:$1048576,MATCH("FY"&amp;RIGHT(F$1,2)&amp;LEFT(F$2,1),'Group Model'!$1:$1,0),FALSE)</f>
        <v>0</v>
      </c>
      <c r="G241" s="303">
        <f>VLOOKUP($AN241,'Group Model'!$1:$1048576,MATCH("FY"&amp;RIGHT(G$1,2)&amp;LEFT(G$2,1),'Group Model'!$1:$1,0),FALSE)</f>
        <v>0.16476774758983348</v>
      </c>
      <c r="H241" s="303">
        <f>VLOOKUP($AN241,'Group Model'!$1:$1048576,MATCH("FY"&amp;RIGHT(H$1,2)&amp;LEFT(H$2,1),'Group Model'!$1:$1,0),FALSE)</f>
        <v>0.11263881544156532</v>
      </c>
      <c r="I241" s="303">
        <f>VLOOKUP($AN241,'Group Model'!$1:$1048576,MATCH("FY"&amp;RIGHT(I$1,2)&amp;LEFT(I$2,1),'Group Model'!$1:$1,0),FALSE)</f>
        <v>7.8831796223100575E-2</v>
      </c>
      <c r="J241" s="303">
        <f>VLOOKUP($AN241,'Group Model'!$1:$1048576,MATCH("FY"&amp;RIGHT(J$1,2)&amp;LEFT(J$2,1),'Group Model'!$1:$1,0),FALSE)</f>
        <v>0.2969262906595046</v>
      </c>
      <c r="K241" s="303">
        <f>VLOOKUP($AN241,'Group Model'!$1:$1048576,MATCH("FY"&amp;RIGHT(K$1,2)&amp;LEFT(K$2,1),'Group Model'!$1:$1,0),FALSE)</f>
        <v>0.3337612323491656</v>
      </c>
      <c r="L241" s="303">
        <f>VLOOKUP($AN241,'Group Model'!$1:$1048576,MATCH("FY"&amp;RIGHT(L$1,2)&amp;LEFT(L$2,1),'Group Model'!$1:$1,0),FALSE)</f>
        <v>0.32129550014330754</v>
      </c>
      <c r="M241" s="303">
        <f>VLOOKUP($AN241,'Group Model'!$1:$1048576,MATCH("FY"&amp;RIGHT(M$1,2)&amp;LEFT(M$2,1),'Group Model'!$1:$1,0),FALSE)</f>
        <v>0.35016049022468632</v>
      </c>
      <c r="N241" s="303">
        <f>VLOOKUP($AN241,'Group Model'!$1:$1048576,MATCH("FY"&amp;RIGHT(N$1,2)&amp;LEFT(N$2,1),'Group Model'!$1:$1,0),FALSE)</f>
        <v>0.3692124105011933</v>
      </c>
      <c r="O241" s="303">
        <f>VLOOKUP($AN241,'Group Model'!$1:$1048576,MATCH("FY"&amp;RIGHT(O$1,2)&amp;LEFT(O$2,1),'Group Model'!$1:$1,0),FALSE)</f>
        <v>0.41670004004805766</v>
      </c>
      <c r="P241" s="303">
        <f>VLOOKUP($AN241,'Group Model'!$1:$1048576,MATCH("FY"&amp;RIGHT(P$1,2)&amp;LEFT(P$2,1),'Group Model'!$1:$1,0),FALSE)</f>
        <v>0.27294580419580422</v>
      </c>
      <c r="Q241" s="303">
        <f>VLOOKUP($AN241,'Group Model'!$1:$1048576,MATCH("FY"&amp;RIGHT(Q$1,2)&amp;LEFT(Q$2,1),'Group Model'!$1:$1,0),FALSE)</f>
        <v>0.30914512922465209</v>
      </c>
      <c r="R241" s="303" t="e">
        <f>VLOOKUP($AN241,'Group Model'!$1:$1048576,MATCH("FY"&amp;RIGHT(R$1,2)&amp;LEFT(R$2,1),'Group Model'!$1:$1,0),FALSE)</f>
        <v>#N/A</v>
      </c>
      <c r="S241" s="303" t="e">
        <f>VLOOKUP($AN241,'Group Model'!$1:$1048576,MATCH("FY"&amp;RIGHT(S$1,2)&amp;LEFT(S$2,1),'Group Model'!$1:$1,0),FALSE)</f>
        <v>#N/A</v>
      </c>
      <c r="T241" s="303" t="e">
        <f>VLOOKUP($AN241,'Group Model'!$1:$1048576,MATCH("FY"&amp;RIGHT(T$1,2)&amp;LEFT(T$2,1),'Group Model'!$1:$1,0),FALSE)</f>
        <v>#N/A</v>
      </c>
      <c r="U241" s="303"/>
      <c r="V241" s="303">
        <f>VLOOKUP($AN241,'Group Model'!$1:$1048576,MATCH("1H"&amp;MID(V$1,3,2)&amp;LEFT(V$2,1),'Group Model'!$1:$1,0),FALSE)</f>
        <v>0.33489148580968281</v>
      </c>
      <c r="W241" s="303">
        <f>VLOOKUP($AN241,'Group Model'!$1:$1048576,MATCH("1H"&amp;MID(W$1,3,2)&amp;LEFT(W$2,1),'Group Model'!$1:$1,0),FALSE)</f>
        <v>0.33489148580968281</v>
      </c>
      <c r="X241" s="303">
        <f>VLOOKUP($AN241,'Group Model'!$1:$1048576,MATCH("1H"&amp;MID(X$1,3,2)&amp;LEFT(X$2,1),'Group Model'!$1:$1,0),FALSE)</f>
        <v>0.32349665924276172</v>
      </c>
      <c r="Y241" s="303">
        <f>VLOOKUP($AN241,'Group Model'!$1:$1048576,MATCH("1H"&amp;MID(Y$1,3,2)&amp;LEFT(Y$2,1),'Group Model'!$1:$1,0),FALSE)</f>
        <v>0.32349665924276172</v>
      </c>
      <c r="Z241" s="303">
        <f>VLOOKUP($AN241,'Group Model'!$1:$1048576,MATCH("1H"&amp;MID(Z$1,3,2)&amp;LEFT(Z$2,1),'Group Model'!$1:$1,0),FALSE)</f>
        <v>0.30500359109408665</v>
      </c>
      <c r="AA241" s="303">
        <f>VLOOKUP($AN241,'Group Model'!$1:$1048576,MATCH("1H"&amp;MID(AA$1,3,2)&amp;LEFT(AA$2,1),'Group Model'!$1:$1,0),FALSE)</f>
        <v>0.30500359109408665</v>
      </c>
      <c r="AB241" s="303">
        <f>VLOOKUP($AN241,'Group Model'!$1:$1048576,MATCH("1H"&amp;MID(AB$1,3,2)&amp;LEFT(AB$2,1),'Group Model'!$1:$1,0),FALSE)</f>
        <v>0.31552210724365004</v>
      </c>
      <c r="AC241" s="303">
        <f>VLOOKUP($AN241,'Group Model'!$1:$1048576,MATCH("1H"&amp;MID(AC$1,3,2)&amp;LEFT(AC$2,1),'Group Model'!$1:$1,0),FALSE)</f>
        <v>0.31552210724365004</v>
      </c>
      <c r="AD241" s="303">
        <f>VLOOKUP($AN241,'Group Model'!$1:$1048576,MATCH("1H"&amp;MID(AD$1,3,2)&amp;LEFT(AD$2,1),'Group Model'!$1:$1,0),FALSE)</f>
        <v>0.22644466209598432</v>
      </c>
      <c r="AE241" s="303">
        <f>VLOOKUP($AN241,'Group Model'!$1:$1048576,MATCH("1H"&amp;MID(AE$1,3,2)&amp;LEFT(AE$2,1),'Group Model'!$1:$1,0),FALSE)</f>
        <v>0.22644466209598432</v>
      </c>
      <c r="AF241" s="303">
        <f>VLOOKUP($AN241,'Group Model'!$1:$1048576,MATCH("1H"&amp;MID(AF$1,3,2)&amp;LEFT(AF$2,1),'Group Model'!$1:$1,0),FALSE)</f>
        <v>0.24283587644212876</v>
      </c>
      <c r="AG241" s="303" t="e">
        <f>VLOOKUP($AN241,'Group Model'!$1:$1048576,MATCH("2H"&amp;MID(AG$1,3,2)&amp;LEFT(AG$2,1),'Group Model'!$1:$1,0),FALSE)</f>
        <v>#N/A</v>
      </c>
      <c r="AH241" s="303" t="e">
        <f>VLOOKUP($AN241,'Group Model'!$1:$1048576,MATCH("1H"&amp;MID(AH$1,3,2)&amp;LEFT(AH$2,1),'Group Model'!$1:$1,0),FALSE)</f>
        <v>#N/A</v>
      </c>
      <c r="AI241" s="303" t="e">
        <f>VLOOKUP($AN241,'Group Model'!$1:$1048576,MATCH("2H"&amp;MID(AI$1,3,2)&amp;LEFT(AI$2,1),'Group Model'!$1:$1,0),FALSE)</f>
        <v>#N/A</v>
      </c>
      <c r="AL241" s="298">
        <f>ROW()</f>
        <v>241</v>
      </c>
      <c r="AN241" s="298" t="str">
        <f>'Group Model'!A539</f>
        <v>AD_ProfitabilityRevenueAmericas</v>
      </c>
    </row>
    <row r="242" spans="1:41" outlineLevel="2">
      <c r="B242" t="s">
        <v>847</v>
      </c>
      <c r="C242" t="s">
        <v>848</v>
      </c>
      <c r="F242" s="303"/>
      <c r="G242" s="303"/>
      <c r="H242" s="303"/>
      <c r="I242" s="303"/>
      <c r="J242" s="303"/>
      <c r="K242" s="303"/>
      <c r="L242" s="303"/>
      <c r="M242" s="303"/>
      <c r="N242" s="303"/>
      <c r="O242" s="303"/>
      <c r="P242" s="303"/>
      <c r="Q242" s="303"/>
      <c r="R242" s="303"/>
      <c r="S242" s="303"/>
      <c r="T242" s="303"/>
      <c r="U242" s="303"/>
      <c r="V242" s="303"/>
      <c r="W242" s="303"/>
      <c r="X242" s="303"/>
      <c r="Y242" s="303"/>
      <c r="Z242" s="303"/>
      <c r="AA242" s="303"/>
      <c r="AB242" s="303"/>
      <c r="AC242" s="303"/>
      <c r="AD242" s="303"/>
      <c r="AE242" s="303"/>
      <c r="AF242" s="303"/>
      <c r="AG242" s="303"/>
      <c r="AH242" s="303"/>
      <c r="AI242" s="303"/>
      <c r="AL242" s="298">
        <f>ROW()</f>
        <v>242</v>
      </c>
    </row>
    <row r="243" spans="1:41" outlineLevel="2">
      <c r="B243" t="s">
        <v>849</v>
      </c>
      <c r="C243" t="s">
        <v>850</v>
      </c>
      <c r="F243" s="303">
        <f>VLOOKUP($AN243,'Group Model'!$1:$1048576,MATCH("FY"&amp;RIGHT(F$1,2)&amp;LEFT(F$2,1),'Group Model'!$1:$1,0),FALSE)</f>
        <v>0</v>
      </c>
      <c r="G243" s="303">
        <f>VLOOKUP($AN243,'Group Model'!$1:$1048576,MATCH("FY"&amp;RIGHT(G$1,2)&amp;LEFT(G$2,1),'Group Model'!$1:$1,0),FALSE)</f>
        <v>0.21764534034472685</v>
      </c>
      <c r="H243" s="303">
        <f>VLOOKUP($AN243,'Group Model'!$1:$1048576,MATCH("FY"&amp;RIGHT(H$1,2)&amp;LEFT(H$2,1),'Group Model'!$1:$1,0),FALSE)</f>
        <v>0.19288736118455843</v>
      </c>
      <c r="I243" s="303">
        <f>VLOOKUP($AN243,'Group Model'!$1:$1048576,MATCH("FY"&amp;RIGHT(I$1,2)&amp;LEFT(I$2,1),'Group Model'!$1:$1,0),FALSE)</f>
        <v>0.20114185331576637</v>
      </c>
      <c r="J243" s="303">
        <f>VLOOKUP($AN243,'Group Model'!$1:$1048576,MATCH("FY"&amp;RIGHT(J$1,2)&amp;LEFT(J$2,1),'Group Model'!$1:$1,0),FALSE)</f>
        <v>0.10683378096090719</v>
      </c>
      <c r="K243" s="303">
        <f>VLOOKUP($AN243,'Group Model'!$1:$1048576,MATCH("FY"&amp;RIGHT(K$1,2)&amp;LEFT(K$2,1),'Group Model'!$1:$1,0),FALSE)</f>
        <v>0.14865211810012838</v>
      </c>
      <c r="L243" s="303">
        <f>VLOOKUP($AN243,'Group Model'!$1:$1048576,MATCH("FY"&amp;RIGHT(L$1,2)&amp;LEFT(L$2,1),'Group Model'!$1:$1,0),FALSE)</f>
        <v>0.17426196617942102</v>
      </c>
      <c r="M243" s="303">
        <f>VLOOKUP($AN243,'Group Model'!$1:$1048576,MATCH("FY"&amp;RIGHT(M$1,2)&amp;LEFT(M$2,1),'Group Model'!$1:$1,0),FALSE)</f>
        <v>0.17011963816749343</v>
      </c>
      <c r="N243" s="303">
        <f>VLOOKUP($AN243,'Group Model'!$1:$1048576,MATCH("FY"&amp;RIGHT(N$1,2)&amp;LEFT(N$2,1),'Group Model'!$1:$1,0),FALSE)</f>
        <v>0.19880668257756562</v>
      </c>
      <c r="O243" s="303">
        <f>VLOOKUP($AN243,'Group Model'!$1:$1048576,MATCH("FY"&amp;RIGHT(O$1,2)&amp;LEFT(O$2,1),'Group Model'!$1:$1,0),FALSE)</f>
        <v>0.19082899479375251</v>
      </c>
      <c r="P243" s="303">
        <f>VLOOKUP($AN243,'Group Model'!$1:$1048576,MATCH("FY"&amp;RIGHT(P$1,2)&amp;LEFT(P$2,1),'Group Model'!$1:$1,0),FALSE)</f>
        <v>0.24344405594405594</v>
      </c>
      <c r="Q243" s="303">
        <f>VLOOKUP($AN243,'Group Model'!$1:$1048576,MATCH("FY"&amp;RIGHT(Q$1,2)&amp;LEFT(Q$2,1),'Group Model'!$1:$1,0),FALSE)</f>
        <v>0.23638170974155071</v>
      </c>
      <c r="R243" s="303" t="e">
        <f>VLOOKUP($AN243,'Group Model'!$1:$1048576,MATCH("FY"&amp;RIGHT(R$1,2)&amp;LEFT(R$2,1),'Group Model'!$1:$1,0),FALSE)</f>
        <v>#N/A</v>
      </c>
      <c r="S243" s="303" t="e">
        <f>VLOOKUP($AN243,'Group Model'!$1:$1048576,MATCH("FY"&amp;RIGHT(S$1,2)&amp;LEFT(S$2,1),'Group Model'!$1:$1,0),FALSE)</f>
        <v>#N/A</v>
      </c>
      <c r="T243" s="303" t="e">
        <f>VLOOKUP($AN243,'Group Model'!$1:$1048576,MATCH("FY"&amp;RIGHT(T$1,2)&amp;LEFT(T$2,1),'Group Model'!$1:$1,0),FALSE)</f>
        <v>#N/A</v>
      </c>
      <c r="U243" s="303"/>
      <c r="V243" s="303">
        <f>VLOOKUP($AN243,'Group Model'!$1:$1048576,MATCH("1H"&amp;MID(V$1,3,2)&amp;LEFT(V$2,1),'Group Model'!$1:$1,0),FALSE)</f>
        <v>0.20701168614357263</v>
      </c>
      <c r="W243" s="303">
        <f>VLOOKUP($AN243,'Group Model'!$1:$1048576,MATCH("1H"&amp;MID(W$1,3,2)&amp;LEFT(W$2,1),'Group Model'!$1:$1,0),FALSE)</f>
        <v>0.20701168614357263</v>
      </c>
      <c r="X243" s="303">
        <f>VLOOKUP($AN243,'Group Model'!$1:$1048576,MATCH("1H"&amp;MID(X$1,3,2)&amp;LEFT(X$2,1),'Group Model'!$1:$1,0),FALSE)</f>
        <v>0.20629175946547884</v>
      </c>
      <c r="Y243" s="303">
        <f>VLOOKUP($AN243,'Group Model'!$1:$1048576,MATCH("1H"&amp;MID(Y$1,3,2)&amp;LEFT(Y$2,1),'Group Model'!$1:$1,0),FALSE)</f>
        <v>0.20629175946547884</v>
      </c>
      <c r="Z243" s="303">
        <f>VLOOKUP($AN243,'Group Model'!$1:$1048576,MATCH("1H"&amp;MID(Z$1,3,2)&amp;LEFT(Z$2,1),'Group Model'!$1:$1,0),FALSE)</f>
        <v>0.24898252334211157</v>
      </c>
      <c r="AA243" s="303">
        <f>VLOOKUP($AN243,'Group Model'!$1:$1048576,MATCH("1H"&amp;MID(AA$1,3,2)&amp;LEFT(AA$2,1),'Group Model'!$1:$1,0),FALSE)</f>
        <v>0.24898252334211157</v>
      </c>
      <c r="AB243" s="303">
        <f>VLOOKUP($AN243,'Group Model'!$1:$1048576,MATCH("1H"&amp;MID(AB$1,3,2)&amp;LEFT(AB$2,1),'Group Model'!$1:$1,0),FALSE)</f>
        <v>0.23744120413922859</v>
      </c>
      <c r="AC243" s="303">
        <f>VLOOKUP($AN243,'Group Model'!$1:$1048576,MATCH("1H"&amp;MID(AC$1,3,2)&amp;LEFT(AC$2,1),'Group Model'!$1:$1,0),FALSE)</f>
        <v>0.23744120413922859</v>
      </c>
      <c r="AD243" s="303">
        <f>VLOOKUP($AN243,'Group Model'!$1:$1048576,MATCH("1H"&amp;MID(AD$1,3,2)&amp;LEFT(AD$2,1),'Group Model'!$1:$1,0),FALSE)</f>
        <v>0.25367286973555336</v>
      </c>
      <c r="AE243" s="303">
        <f>VLOOKUP($AN243,'Group Model'!$1:$1048576,MATCH("1H"&amp;MID(AE$1,3,2)&amp;LEFT(AE$2,1),'Group Model'!$1:$1,0),FALSE)</f>
        <v>0.25367286973555336</v>
      </c>
      <c r="AF243" s="303">
        <f>VLOOKUP($AN243,'Group Model'!$1:$1048576,MATCH("1H"&amp;MID(AF$1,3,2)&amp;LEFT(AF$2,1),'Group Model'!$1:$1,0),FALSE)</f>
        <v>0.27837737253442502</v>
      </c>
      <c r="AG243" s="303" t="e">
        <f>VLOOKUP($AN243,'Group Model'!$1:$1048576,MATCH("2H"&amp;MID(AG$1,3,2)&amp;LEFT(AG$2,1),'Group Model'!$1:$1,0),FALSE)</f>
        <v>#N/A</v>
      </c>
      <c r="AH243" s="303" t="e">
        <f>VLOOKUP($AN243,'Group Model'!$1:$1048576,MATCH("1H"&amp;MID(AH$1,3,2)&amp;LEFT(AH$2,1),'Group Model'!$1:$1,0),FALSE)</f>
        <v>#N/A</v>
      </c>
      <c r="AI243" s="303" t="e">
        <f>VLOOKUP($AN243,'Group Model'!$1:$1048576,MATCH("2H"&amp;MID(AI$1,3,2)&amp;LEFT(AI$2,1),'Group Model'!$1:$1,0),FALSE)</f>
        <v>#N/A</v>
      </c>
      <c r="AL243" s="298">
        <f>ROW()</f>
        <v>243</v>
      </c>
      <c r="AN243" s="298" t="str">
        <f>'Group Model'!A540</f>
        <v>AD_ProfitabilityRevenueEMEA</v>
      </c>
    </row>
    <row r="244" spans="1:41" outlineLevel="2">
      <c r="B244" t="s">
        <v>853</v>
      </c>
      <c r="C244" t="s">
        <v>854</v>
      </c>
      <c r="F244" s="303"/>
      <c r="G244" s="303"/>
      <c r="H244" s="303"/>
      <c r="I244" s="303"/>
      <c r="J244" s="303"/>
      <c r="K244" s="303"/>
      <c r="L244" s="303"/>
      <c r="M244" s="303"/>
      <c r="N244" s="303"/>
      <c r="O244" s="303"/>
      <c r="P244" s="303"/>
      <c r="Q244" s="303"/>
      <c r="R244" s="303"/>
      <c r="S244" s="303"/>
      <c r="T244" s="303"/>
      <c r="U244" s="303"/>
      <c r="V244" s="303"/>
      <c r="W244" s="303"/>
      <c r="X244" s="303"/>
      <c r="Y244" s="303"/>
      <c r="Z244" s="303"/>
      <c r="AA244" s="303"/>
      <c r="AB244" s="303"/>
      <c r="AC244" s="303"/>
      <c r="AD244" s="303"/>
      <c r="AE244" s="303"/>
      <c r="AF244" s="303"/>
      <c r="AG244" s="303"/>
      <c r="AH244" s="303"/>
      <c r="AI244" s="303"/>
      <c r="AL244" s="298">
        <f>ROW()</f>
        <v>244</v>
      </c>
    </row>
    <row r="245" spans="1:41" outlineLevel="2">
      <c r="B245" t="s">
        <v>855</v>
      </c>
      <c r="C245" t="s">
        <v>856</v>
      </c>
      <c r="F245" s="303"/>
      <c r="G245" s="303"/>
      <c r="H245" s="303"/>
      <c r="I245" s="303"/>
      <c r="J245" s="303"/>
      <c r="K245" s="303"/>
      <c r="L245" s="303"/>
      <c r="M245" s="303"/>
      <c r="N245" s="303"/>
      <c r="O245" s="303"/>
      <c r="P245" s="303"/>
      <c r="Q245" s="303"/>
      <c r="R245" s="303"/>
      <c r="S245" s="303"/>
      <c r="T245" s="303"/>
      <c r="U245" s="303"/>
      <c r="V245" s="303"/>
      <c r="W245" s="303"/>
      <c r="X245" s="303"/>
      <c r="Y245" s="303"/>
      <c r="Z245" s="303"/>
      <c r="AA245" s="303"/>
      <c r="AB245" s="303"/>
      <c r="AC245" s="303"/>
      <c r="AD245" s="303"/>
      <c r="AE245" s="303"/>
      <c r="AF245" s="303"/>
      <c r="AG245" s="303"/>
      <c r="AH245" s="303"/>
      <c r="AI245" s="303"/>
      <c r="AL245" s="298">
        <f>ROW()</f>
        <v>245</v>
      </c>
    </row>
    <row r="246" spans="1:41" outlineLevel="2">
      <c r="B246" t="s">
        <v>857</v>
      </c>
      <c r="C246" t="s">
        <v>858</v>
      </c>
      <c r="F246" s="303"/>
      <c r="G246" s="303"/>
      <c r="H246" s="303"/>
      <c r="I246" s="303"/>
      <c r="J246" s="303"/>
      <c r="K246" s="303"/>
      <c r="L246" s="303"/>
      <c r="M246" s="303"/>
      <c r="N246" s="303"/>
      <c r="O246" s="303"/>
      <c r="P246" s="303"/>
      <c r="Q246" s="303"/>
      <c r="R246" s="303"/>
      <c r="S246" s="303"/>
      <c r="T246" s="303"/>
      <c r="U246" s="303"/>
      <c r="V246" s="303"/>
      <c r="W246" s="303"/>
      <c r="X246" s="303"/>
      <c r="Y246" s="303"/>
      <c r="Z246" s="303"/>
      <c r="AA246" s="303"/>
      <c r="AB246" s="303"/>
      <c r="AC246" s="303"/>
      <c r="AD246" s="303"/>
      <c r="AE246" s="303"/>
      <c r="AF246" s="303"/>
      <c r="AG246" s="303"/>
      <c r="AH246" s="303"/>
      <c r="AI246" s="303"/>
      <c r="AL246" s="298">
        <f>ROW()</f>
        <v>246</v>
      </c>
    </row>
    <row r="247" spans="1:41" outlineLevel="2">
      <c r="B247" t="s">
        <v>859</v>
      </c>
      <c r="C247" t="s">
        <v>860</v>
      </c>
      <c r="F247" s="303"/>
      <c r="G247" s="303"/>
      <c r="H247" s="303"/>
      <c r="I247" s="303"/>
      <c r="J247" s="303"/>
      <c r="K247" s="303"/>
      <c r="L247" s="303"/>
      <c r="M247" s="303"/>
      <c r="N247" s="303"/>
      <c r="O247" s="303"/>
      <c r="P247" s="303"/>
      <c r="Q247" s="303"/>
      <c r="R247" s="303"/>
      <c r="S247" s="303"/>
      <c r="T247" s="303"/>
      <c r="U247" s="303"/>
      <c r="V247" s="303"/>
      <c r="W247" s="303"/>
      <c r="X247" s="303"/>
      <c r="Y247" s="303"/>
      <c r="Z247" s="303"/>
      <c r="AA247" s="303"/>
      <c r="AB247" s="303"/>
      <c r="AC247" s="303"/>
      <c r="AD247" s="303"/>
      <c r="AE247" s="303"/>
      <c r="AF247" s="303"/>
      <c r="AG247" s="303"/>
      <c r="AH247" s="303"/>
      <c r="AI247" s="303"/>
      <c r="AL247" s="298">
        <f>ROW()</f>
        <v>247</v>
      </c>
    </row>
    <row r="248" spans="1:41" outlineLevel="2">
      <c r="B248" t="s">
        <v>863</v>
      </c>
      <c r="C248" t="s">
        <v>864</v>
      </c>
      <c r="F248" s="303"/>
      <c r="G248" s="303"/>
      <c r="H248" s="303"/>
      <c r="I248" s="303"/>
      <c r="J248" s="303"/>
      <c r="K248" s="303"/>
      <c r="L248" s="303"/>
      <c r="M248" s="303"/>
      <c r="N248" s="303"/>
      <c r="O248" s="303"/>
      <c r="P248" s="303"/>
      <c r="Q248" s="303"/>
      <c r="R248" s="303"/>
      <c r="S248" s="303"/>
      <c r="T248" s="303"/>
      <c r="U248" s="303"/>
      <c r="V248" s="303"/>
      <c r="W248" s="303"/>
      <c r="X248" s="303"/>
      <c r="Y248" s="303"/>
      <c r="Z248" s="303"/>
      <c r="AA248" s="303"/>
      <c r="AB248" s="303"/>
      <c r="AC248" s="303"/>
      <c r="AD248" s="303"/>
      <c r="AE248" s="303"/>
      <c r="AF248" s="303"/>
      <c r="AG248" s="303"/>
      <c r="AH248" s="303"/>
      <c r="AI248" s="303"/>
      <c r="AL248" s="298">
        <f>ROW()</f>
        <v>248</v>
      </c>
    </row>
    <row r="249" spans="1:41" outlineLevel="2">
      <c r="B249" t="s">
        <v>865</v>
      </c>
      <c r="C249" t="s">
        <v>866</v>
      </c>
      <c r="F249" s="303">
        <f>VLOOKUP($AN249,'Group Model'!$1:$1048576,MATCH("FY"&amp;RIGHT(F$1,2)&amp;LEFT(F$2,1),'Group Model'!$1:$1,0),FALSE)+VLOOKUP($AO249,'Group Model'!$1:$1048576,MATCH("FY"&amp;RIGHT(F$1,2)&amp;LEFT(F$2,1),'Group Model'!$1:$1,0),FALSE)</f>
        <v>0</v>
      </c>
      <c r="G249" s="303">
        <f>VLOOKUP($AN249,'Group Model'!$1:$1048576,MATCH("FY"&amp;RIGHT(G$1,2)&amp;LEFT(G$2,1),'Group Model'!$1:$1,0),FALSE)+VLOOKUP($AO249,'Group Model'!$1:$1048576,MATCH("FY"&amp;RIGHT(G$1,2)&amp;LEFT(G$2,1),'Group Model'!$1:$1,0),FALSE)</f>
        <v>0.6175869120654397</v>
      </c>
      <c r="H249" s="303">
        <f>VLOOKUP($AN249,'Group Model'!$1:$1048576,MATCH("FY"&amp;RIGHT(H$1,2)&amp;LEFT(H$2,1),'Group Model'!$1:$1,0),FALSE)+VLOOKUP($AO249,'Group Model'!$1:$1048576,MATCH("FY"&amp;RIGHT(H$1,2)&amp;LEFT(H$2,1),'Group Model'!$1:$1,0),FALSE)</f>
        <v>0.69447382337387631</v>
      </c>
      <c r="I249" s="303">
        <f>VLOOKUP($AN249,'Group Model'!$1:$1048576,MATCH("FY"&amp;RIGHT(I$1,2)&amp;LEFT(I$2,1),'Group Model'!$1:$1,0),FALSE)+VLOOKUP($AO249,'Group Model'!$1:$1048576,MATCH("FY"&amp;RIGHT(I$1,2)&amp;LEFT(I$2,1),'Group Model'!$1:$1,0),FALSE)</f>
        <v>0.72002635046113306</v>
      </c>
      <c r="J249" s="303">
        <f>VLOOKUP($AN249,'Group Model'!$1:$1048576,MATCH("FY"&amp;RIGHT(J$1,2)&amp;LEFT(J$2,1),'Group Model'!$1:$1,0),FALSE)+VLOOKUP($AO249,'Group Model'!$1:$1048576,MATCH("FY"&amp;RIGHT(J$1,2)&amp;LEFT(J$2,1),'Group Model'!$1:$1,0),FALSE)</f>
        <v>0.59623992837958817</v>
      </c>
      <c r="K249" s="303">
        <f>VLOOKUP($AN249,'Group Model'!$1:$1048576,MATCH("FY"&amp;RIGHT(K$1,2)&amp;LEFT(K$2,1),'Group Model'!$1:$1,0),FALSE)+VLOOKUP($AO249,'Group Model'!$1:$1048576,MATCH("FY"&amp;RIGHT(K$1,2)&amp;LEFT(K$2,1),'Group Model'!$1:$1,0),FALSE)</f>
        <v>0.51758664955070599</v>
      </c>
      <c r="L249" s="303">
        <f>VLOOKUP($AN249,'Group Model'!$1:$1048576,MATCH("FY"&amp;RIGHT(L$1,2)&amp;LEFT(L$2,1),'Group Model'!$1:$1,0),FALSE)+VLOOKUP($AO249,'Group Model'!$1:$1048576,MATCH("FY"&amp;RIGHT(L$1,2)&amp;LEFT(L$2,1),'Group Model'!$1:$1,0),FALSE)</f>
        <v>0.50444253367727143</v>
      </c>
      <c r="M249" s="303">
        <f>VLOOKUP($AN249,'Group Model'!$1:$1048576,MATCH("FY"&amp;RIGHT(M$1,2)&amp;LEFT(M$2,1),'Group Model'!$1:$1,0),FALSE)+VLOOKUP($AO249,'Group Model'!$1:$1048576,MATCH("FY"&amp;RIGHT(M$1,2)&amp;LEFT(M$2,1),'Group Model'!$1:$1,0),FALSE)</f>
        <v>0.47971987160782026</v>
      </c>
      <c r="N249" s="303">
        <f>VLOOKUP($AN249,'Group Model'!$1:$1048576,MATCH("FY"&amp;RIGHT(N$1,2)&amp;LEFT(N$2,1),'Group Model'!$1:$1,0),FALSE)+VLOOKUP($AO249,'Group Model'!$1:$1048576,MATCH("FY"&amp;RIGHT(N$1,2)&amp;LEFT(N$2,1),'Group Model'!$1:$1,0),FALSE)</f>
        <v>0.43198090692124108</v>
      </c>
      <c r="O249" s="303">
        <f>VLOOKUP($AN249,'Group Model'!$1:$1048576,MATCH("FY"&amp;RIGHT(O$1,2)&amp;LEFT(O$2,1),'Group Model'!$1:$1,0),FALSE)+VLOOKUP($AO249,'Group Model'!$1:$1048576,MATCH("FY"&amp;RIGHT(O$1,2)&amp;LEFT(O$2,1),'Group Model'!$1:$1,0),FALSE)</f>
        <v>0.39247096515818991</v>
      </c>
      <c r="P249" s="303">
        <f>VLOOKUP($AN249,'Group Model'!$1:$1048576,MATCH("FY"&amp;RIGHT(P$1,2)&amp;LEFT(P$2,1),'Group Model'!$1:$1,0),FALSE)+VLOOKUP($AO249,'Group Model'!$1:$1048576,MATCH("FY"&amp;RIGHT(P$1,2)&amp;LEFT(P$2,1),'Group Model'!$1:$1,0),FALSE)</f>
        <v>0.48361013986013984</v>
      </c>
      <c r="Q249" s="303">
        <f>VLOOKUP($AN249,'Group Model'!$1:$1048576,MATCH("FY"&amp;RIGHT(Q$1,2)&amp;LEFT(Q$2,1),'Group Model'!$1:$1,0),FALSE)+VLOOKUP($AO249,'Group Model'!$1:$1048576,MATCH("FY"&amp;RIGHT(Q$1,2)&amp;LEFT(Q$2,1),'Group Model'!$1:$1,0),FALSE)</f>
        <v>0.45447316103379715</v>
      </c>
      <c r="R249" s="303" t="e">
        <f>VLOOKUP($AN249,'Group Model'!$1:$1048576,MATCH("FY"&amp;RIGHT(R$1,2)&amp;LEFT(R$2,1),'Group Model'!$1:$1,0),FALSE)+VLOOKUP($AO249,'Group Model'!$1:$1048576,MATCH("FY"&amp;RIGHT(R$1,2)&amp;LEFT(R$2,1),'Group Model'!$1:$1,0),FALSE)</f>
        <v>#N/A</v>
      </c>
      <c r="S249" s="303" t="e">
        <f>VLOOKUP($AN249,'Group Model'!$1:$1048576,MATCH("FY"&amp;RIGHT(S$1,2)&amp;LEFT(S$2,1),'Group Model'!$1:$1,0),FALSE)+VLOOKUP($AO249,'Group Model'!$1:$1048576,MATCH("FY"&amp;RIGHT(S$1,2)&amp;LEFT(S$2,1),'Group Model'!$1:$1,0),FALSE)</f>
        <v>#N/A</v>
      </c>
      <c r="T249" s="303" t="e">
        <f>VLOOKUP($AN249,'Group Model'!$1:$1048576,MATCH("FY"&amp;RIGHT(T$1,2)&amp;LEFT(T$2,1),'Group Model'!$1:$1,0),FALSE)+VLOOKUP($AO249,'Group Model'!$1:$1048576,MATCH("FY"&amp;RIGHT(T$1,2)&amp;LEFT(T$2,1),'Group Model'!$1:$1,0),FALSE)</f>
        <v>#N/A</v>
      </c>
      <c r="U249" s="303"/>
      <c r="V249" s="303">
        <f>VLOOKUP($AN249,'Group Model'!$1:$1048576,MATCH("1H"&amp;MID(V$1,3,2)&amp;LEFT(V$2,1),'Group Model'!$1:$1,0),FALSE)+VLOOKUP($AO249,'Group Model'!$1:$1048576,MATCH("1H"&amp;MID(V$1,3,2)&amp;LEFT(V$2,1),'Group Model'!$1:$1,0),FALSE)</f>
        <v>0.45809682804674456</v>
      </c>
      <c r="W249" s="303">
        <f>VLOOKUP($AN249,'Group Model'!$1:$1048576,MATCH("1H"&amp;MID(W$1,3,2)&amp;LEFT(W$2,1),'Group Model'!$1:$1,0),FALSE)+VLOOKUP($AO249,'Group Model'!$1:$1048576,MATCH("1H"&amp;MID(W$1,3,2)&amp;LEFT(W$2,1),'Group Model'!$1:$1,0),FALSE)</f>
        <v>0.45809682804674456</v>
      </c>
      <c r="X249" s="303">
        <f>VLOOKUP($AN249,'Group Model'!$1:$1048576,MATCH("1H"&amp;MID(X$1,3,2)&amp;LEFT(X$2,1),'Group Model'!$1:$1,0),FALSE)+VLOOKUP($AO249,'Group Model'!$1:$1048576,MATCH("1H"&amp;MID(X$1,3,2)&amp;LEFT(X$2,1),'Group Model'!$1:$1,0),FALSE)</f>
        <v>0.47021158129175944</v>
      </c>
      <c r="Y249" s="303">
        <f>VLOOKUP($AN249,'Group Model'!$1:$1048576,MATCH("1H"&amp;MID(Y$1,3,2)&amp;LEFT(Y$2,1),'Group Model'!$1:$1,0),FALSE)+VLOOKUP($AO249,'Group Model'!$1:$1048576,MATCH("1H"&amp;MID(Y$1,3,2)&amp;LEFT(Y$2,1),'Group Model'!$1:$1,0),FALSE)</f>
        <v>0.47021158129175944</v>
      </c>
      <c r="Z249" s="303">
        <f>VLOOKUP($AN249,'Group Model'!$1:$1048576,MATCH("1H"&amp;MID(Z$1,3,2)&amp;LEFT(Z$2,1),'Group Model'!$1:$1,0),FALSE)+VLOOKUP($AO249,'Group Model'!$1:$1048576,MATCH("1H"&amp;MID(Z$1,3,2)&amp;LEFT(Z$2,1),'Group Model'!$1:$1,0),FALSE)</f>
        <v>0.44601388556380184</v>
      </c>
      <c r="AA249" s="303">
        <f>VLOOKUP($AN249,'Group Model'!$1:$1048576,MATCH("1H"&amp;MID(AA$1,3,2)&amp;LEFT(AA$2,1),'Group Model'!$1:$1,0),FALSE)+VLOOKUP($AO249,'Group Model'!$1:$1048576,MATCH("1H"&amp;MID(AA$1,3,2)&amp;LEFT(AA$2,1),'Group Model'!$1:$1,0),FALSE)</f>
        <v>0.44601388556380184</v>
      </c>
      <c r="AB249" s="303">
        <f>VLOOKUP($AN249,'Group Model'!$1:$1048576,MATCH("1H"&amp;MID(AB$1,3,2)&amp;LEFT(AB$2,1),'Group Model'!$1:$1,0),FALSE)+VLOOKUP($AO249,'Group Model'!$1:$1048576,MATCH("1H"&amp;MID(AB$1,3,2)&amp;LEFT(AB$2,1),'Group Model'!$1:$1,0),FALSE)</f>
        <v>0.44703668861712131</v>
      </c>
      <c r="AC249" s="303">
        <f>VLOOKUP($AN249,'Group Model'!$1:$1048576,MATCH("1H"&amp;MID(AC$1,3,2)&amp;LEFT(AC$2,1),'Group Model'!$1:$1,0),FALSE)+VLOOKUP($AO249,'Group Model'!$1:$1048576,MATCH("1H"&amp;MID(AC$1,3,2)&amp;LEFT(AC$2,1),'Group Model'!$1:$1,0),FALSE)</f>
        <v>0.44703668861712131</v>
      </c>
      <c r="AD249" s="303">
        <f>VLOOKUP($AN249,'Group Model'!$1:$1048576,MATCH("1H"&amp;MID(AD$1,3,2)&amp;LEFT(AD$2,1),'Group Model'!$1:$1,0),FALSE)+VLOOKUP($AO249,'Group Model'!$1:$1048576,MATCH("1H"&amp;MID(AD$1,3,2)&amp;LEFT(AD$2,1),'Group Model'!$1:$1,0),FALSE)</f>
        <v>0.51988246816846229</v>
      </c>
      <c r="AE249" s="303">
        <f>VLOOKUP($AN249,'Group Model'!$1:$1048576,MATCH("1H"&amp;MID(AE$1,3,2)&amp;LEFT(AE$2,1),'Group Model'!$1:$1,0),FALSE)+VLOOKUP($AO249,'Group Model'!$1:$1048576,MATCH("1H"&amp;MID(AE$1,3,2)&amp;LEFT(AE$2,1),'Group Model'!$1:$1,0),FALSE)</f>
        <v>0.51988246816846229</v>
      </c>
      <c r="AF249" s="303">
        <f>VLOOKUP($AN249,'Group Model'!$1:$1048576,MATCH("1H"&amp;MID(AF$1,3,2)&amp;LEFT(AF$2,1),'Group Model'!$1:$1,0),FALSE)+VLOOKUP($AO249,'Group Model'!$1:$1048576,MATCH("1H"&amp;MID(AF$1,3,2)&amp;LEFT(AF$2,1),'Group Model'!$1:$1,0),FALSE)</f>
        <v>0.47878675102344614</v>
      </c>
      <c r="AG249" s="303" t="e">
        <f>VLOOKUP($AN249,'Group Model'!$1:$1048576,MATCH("2H"&amp;MID(AG$1,3,2)&amp;LEFT(AG$2,1),'Group Model'!$1:$1,0),FALSE)+VLOOKUP($AO249,'Group Model'!$1:$1048576,MATCH("2H"&amp;MID(AG$1,3,2)&amp;LEFT(AG$2,1),'Group Model'!$1:$1,0),FALSE)</f>
        <v>#N/A</v>
      </c>
      <c r="AH249" s="303" t="e">
        <f>VLOOKUP($AN249,'Group Model'!$1:$1048576,MATCH("1H"&amp;MID(AH$1,3,2)&amp;LEFT(AH$2,1),'Group Model'!$1:$1,0),FALSE)+VLOOKUP($AO249,'Group Model'!$1:$1048576,MATCH("1H"&amp;MID(AH$1,3,2)&amp;LEFT(AH$2,1),'Group Model'!$1:$1,0),FALSE)</f>
        <v>#N/A</v>
      </c>
      <c r="AI249" s="303" t="e">
        <f>VLOOKUP($AN249,'Group Model'!$1:$1048576,MATCH("2H"&amp;MID(AI$1,3,2)&amp;LEFT(AI$2,1),'Group Model'!$1:$1,0),FALSE)+VLOOKUP($AO249,'Group Model'!$1:$1048576,MATCH("2H"&amp;MID(AI$1,3,2)&amp;LEFT(AI$2,1),'Group Model'!$1:$1,0),FALSE)</f>
        <v>#N/A</v>
      </c>
      <c r="AL249" s="298">
        <f>ROW()</f>
        <v>249</v>
      </c>
      <c r="AN249" s="298" t="str">
        <f>'Group Model'!A541</f>
        <v>AD_ProfitabilityRevenueAsia</v>
      </c>
      <c r="AO249" s="298" t="str">
        <f>'Group Model'!A538</f>
        <v>AD_ProfitabilityRevenueAustralia</v>
      </c>
    </row>
    <row r="250" spans="1:41" outlineLevel="2">
      <c r="B250" t="s">
        <v>877</v>
      </c>
      <c r="C250" t="s">
        <v>878</v>
      </c>
      <c r="F250" s="303"/>
      <c r="G250" s="303"/>
      <c r="H250" s="303"/>
      <c r="I250" s="303"/>
      <c r="J250" s="303"/>
      <c r="K250" s="303"/>
      <c r="L250" s="303"/>
      <c r="M250" s="303"/>
      <c r="N250" s="303"/>
      <c r="O250" s="303"/>
      <c r="P250" s="303"/>
      <c r="Q250" s="303"/>
      <c r="R250" s="303"/>
      <c r="S250" s="303"/>
      <c r="T250" s="303"/>
      <c r="U250" s="303"/>
      <c r="V250" s="303"/>
      <c r="W250" s="303"/>
      <c r="X250" s="303"/>
      <c r="Y250" s="303"/>
      <c r="Z250" s="303"/>
      <c r="AA250" s="303"/>
      <c r="AB250" s="303"/>
      <c r="AC250" s="303"/>
      <c r="AD250" s="303"/>
      <c r="AE250" s="303"/>
      <c r="AF250" s="303"/>
      <c r="AG250" s="303"/>
      <c r="AH250" s="303"/>
      <c r="AI250" s="303"/>
      <c r="AL250" s="298">
        <f>ROW()</f>
        <v>250</v>
      </c>
    </row>
    <row r="251" spans="1:41" s="296" customFormat="1">
      <c r="A251" s="315" t="s">
        <v>1757</v>
      </c>
      <c r="B251" s="315"/>
      <c r="C251" s="315"/>
      <c r="D251" s="315"/>
      <c r="AL251" s="298">
        <f>ROW()</f>
        <v>251</v>
      </c>
    </row>
    <row r="252" spans="1:41" s="297" customFormat="1" outlineLevel="1">
      <c r="A252" s="316" t="s">
        <v>756</v>
      </c>
      <c r="B252" s="316"/>
      <c r="C252" s="316"/>
      <c r="D252" s="316"/>
      <c r="AL252" s="298">
        <f>ROW()</f>
        <v>252</v>
      </c>
    </row>
    <row r="253" spans="1:41" outlineLevel="2">
      <c r="B253" t="s">
        <v>685</v>
      </c>
      <c r="C253" t="s">
        <v>685</v>
      </c>
      <c r="E253" s="317" t="s">
        <v>686</v>
      </c>
      <c r="AL253" s="298">
        <f>ROW()</f>
        <v>253</v>
      </c>
    </row>
    <row r="254" spans="1:41" outlineLevel="2">
      <c r="B254" t="s">
        <v>912</v>
      </c>
      <c r="C254" t="s">
        <v>912</v>
      </c>
      <c r="E254" s="317" t="s">
        <v>623</v>
      </c>
      <c r="AL254" s="298">
        <f>ROW()</f>
        <v>254</v>
      </c>
    </row>
    <row r="255" spans="1:41" outlineLevel="2">
      <c r="B255" t="s">
        <v>913</v>
      </c>
      <c r="C255" t="s">
        <v>913</v>
      </c>
      <c r="E255" s="317" t="s">
        <v>914</v>
      </c>
      <c r="AL255" s="298">
        <f>ROW()</f>
        <v>255</v>
      </c>
    </row>
    <row r="256" spans="1:41" outlineLevel="2">
      <c r="B256" t="s">
        <v>915</v>
      </c>
      <c r="C256" t="s">
        <v>916</v>
      </c>
      <c r="E256" s="317" t="s">
        <v>760</v>
      </c>
      <c r="AL256" s="298">
        <f>ROW()</f>
        <v>256</v>
      </c>
    </row>
    <row r="257" spans="1:38" outlineLevel="2">
      <c r="B257" t="s">
        <v>917</v>
      </c>
      <c r="C257" t="s">
        <v>918</v>
      </c>
      <c r="E257" s="317" t="s">
        <v>760</v>
      </c>
      <c r="AL257" s="298">
        <f>ROW()</f>
        <v>257</v>
      </c>
    </row>
    <row r="258" spans="1:38" outlineLevel="2">
      <c r="B258" t="s">
        <v>758</v>
      </c>
      <c r="C258" t="s">
        <v>759</v>
      </c>
      <c r="E258" s="317" t="s">
        <v>760</v>
      </c>
      <c r="AL258" s="298">
        <f>ROW()</f>
        <v>258</v>
      </c>
    </row>
    <row r="259" spans="1:38" s="297" customFormat="1" outlineLevel="1">
      <c r="A259" s="316" t="s">
        <v>919</v>
      </c>
      <c r="B259" s="316"/>
      <c r="C259" s="316"/>
      <c r="D259" s="316"/>
      <c r="AL259" s="298">
        <f>ROW()</f>
        <v>259</v>
      </c>
    </row>
    <row r="260" spans="1:38" outlineLevel="2">
      <c r="B260" t="s">
        <v>920</v>
      </c>
      <c r="C260" t="s">
        <v>921</v>
      </c>
      <c r="E260" s="304"/>
      <c r="AL260" s="298">
        <f>ROW()</f>
        <v>260</v>
      </c>
    </row>
    <row r="261" spans="1:38" outlineLevel="2">
      <c r="B261" t="s">
        <v>922</v>
      </c>
      <c r="C261" t="s">
        <v>923</v>
      </c>
      <c r="E261" s="304"/>
      <c r="AL261" s="298">
        <f>ROW()</f>
        <v>261</v>
      </c>
    </row>
    <row r="262" spans="1:38" outlineLevel="2">
      <c r="B262" t="s">
        <v>924</v>
      </c>
      <c r="C262" t="s">
        <v>925</v>
      </c>
      <c r="E262" s="304"/>
      <c r="AL262" s="298">
        <f>ROW()</f>
        <v>262</v>
      </c>
    </row>
    <row r="263" spans="1:38" outlineLevel="2">
      <c r="B263" t="s">
        <v>926</v>
      </c>
      <c r="C263" t="s">
        <v>403</v>
      </c>
      <c r="D263" t="str">
        <f>E_CURRENCY_EQTY_200011471_PRI</f>
        <v>AUD</v>
      </c>
      <c r="E263" s="305">
        <f>Summary!G10</f>
        <v>221.37365092065986</v>
      </c>
      <c r="AL263" s="298">
        <f>ROW()</f>
        <v>263</v>
      </c>
    </row>
    <row r="264" spans="1:38" outlineLevel="2">
      <c r="B264" t="s">
        <v>927</v>
      </c>
      <c r="C264" t="s">
        <v>928</v>
      </c>
      <c r="E264" s="304" t="s">
        <v>1048</v>
      </c>
      <c r="AL264" s="298">
        <f>ROW()</f>
        <v>264</v>
      </c>
    </row>
    <row r="265" spans="1:38" outlineLevel="2">
      <c r="B265" t="s">
        <v>929</v>
      </c>
      <c r="C265" t="s">
        <v>930</v>
      </c>
      <c r="E265" s="306" t="e">
        <f>Summary!#REF!/Summary!C5</f>
        <v>#REF!</v>
      </c>
      <c r="AL265" s="298">
        <f>ROW()</f>
        <v>265</v>
      </c>
    </row>
    <row r="266" spans="1:38" outlineLevel="2">
      <c r="B266" t="s">
        <v>931</v>
      </c>
      <c r="C266" t="s">
        <v>932</v>
      </c>
      <c r="E266" s="301">
        <v>1</v>
      </c>
      <c r="AL266" s="298">
        <f>ROW()</f>
        <v>266</v>
      </c>
    </row>
    <row r="267" spans="1:38" outlineLevel="2">
      <c r="B267" t="s">
        <v>933</v>
      </c>
      <c r="C267" t="s">
        <v>934</v>
      </c>
      <c r="E267" s="301"/>
      <c r="AL267" s="298">
        <f>ROW()</f>
        <v>267</v>
      </c>
    </row>
    <row r="268" spans="1:38" outlineLevel="2">
      <c r="B268" t="s">
        <v>935</v>
      </c>
      <c r="C268" t="s">
        <v>936</v>
      </c>
      <c r="E268" s="307"/>
      <c r="AL268" s="298">
        <f>ROW()</f>
        <v>268</v>
      </c>
    </row>
    <row r="269" spans="1:38" outlineLevel="2">
      <c r="B269" t="s">
        <v>937</v>
      </c>
      <c r="C269" t="s">
        <v>938</v>
      </c>
      <c r="E269" s="308"/>
      <c r="AL269" s="298">
        <f>ROW()</f>
        <v>269</v>
      </c>
    </row>
    <row r="270" spans="1:38" outlineLevel="2">
      <c r="B270" t="s">
        <v>939</v>
      </c>
      <c r="C270" t="s">
        <v>940</v>
      </c>
      <c r="E270" s="307"/>
      <c r="AL270" s="298">
        <f>ROW()</f>
        <v>270</v>
      </c>
    </row>
    <row r="271" spans="1:38" outlineLevel="2">
      <c r="B271" t="s">
        <v>941</v>
      </c>
      <c r="C271" t="s">
        <v>942</v>
      </c>
      <c r="E271" s="308"/>
      <c r="AL271" s="298">
        <f>ROW()</f>
        <v>271</v>
      </c>
    </row>
    <row r="272" spans="1:38" outlineLevel="2">
      <c r="B272" t="s">
        <v>943</v>
      </c>
      <c r="C272" t="s">
        <v>944</v>
      </c>
      <c r="E272" s="307"/>
      <c r="AL272" s="298">
        <f>ROW()</f>
        <v>272</v>
      </c>
    </row>
    <row r="273" spans="1:40" outlineLevel="2">
      <c r="B273" t="s">
        <v>945</v>
      </c>
      <c r="C273" t="s">
        <v>946</v>
      </c>
      <c r="E273" s="308"/>
      <c r="AL273" s="298">
        <f>ROW()</f>
        <v>273</v>
      </c>
    </row>
    <row r="274" spans="1:40" outlineLevel="2">
      <c r="B274" t="s">
        <v>947</v>
      </c>
      <c r="C274" t="s">
        <v>948</v>
      </c>
      <c r="E274" s="307"/>
      <c r="AL274" s="298">
        <f>ROW()</f>
        <v>274</v>
      </c>
    </row>
    <row r="275" spans="1:40" outlineLevel="2">
      <c r="B275" t="s">
        <v>949</v>
      </c>
      <c r="C275" t="s">
        <v>950</v>
      </c>
      <c r="E275" s="308"/>
      <c r="AL275" s="298">
        <f>ROW()</f>
        <v>275</v>
      </c>
    </row>
    <row r="276" spans="1:40" outlineLevel="2">
      <c r="B276" t="s">
        <v>951</v>
      </c>
      <c r="C276" t="s">
        <v>952</v>
      </c>
      <c r="E276" s="307"/>
      <c r="AL276" s="298">
        <f>ROW()</f>
        <v>276</v>
      </c>
    </row>
    <row r="277" spans="1:40" outlineLevel="2">
      <c r="B277" t="s">
        <v>953</v>
      </c>
      <c r="C277" t="s">
        <v>954</v>
      </c>
      <c r="E277" s="308"/>
      <c r="AL277" s="298">
        <f>ROW()</f>
        <v>277</v>
      </c>
    </row>
    <row r="278" spans="1:40" outlineLevel="2">
      <c r="B278" t="s">
        <v>955</v>
      </c>
      <c r="C278" t="s">
        <v>956</v>
      </c>
      <c r="E278" s="304"/>
      <c r="AL278" s="298">
        <f>ROW()</f>
        <v>278</v>
      </c>
    </row>
    <row r="279" spans="1:40" outlineLevel="2">
      <c r="B279" t="s">
        <v>957</v>
      </c>
      <c r="C279" t="s">
        <v>958</v>
      </c>
      <c r="E279" s="308"/>
      <c r="AL279" s="298">
        <f>ROW()</f>
        <v>279</v>
      </c>
    </row>
    <row r="280" spans="1:40" s="297" customFormat="1" outlineLevel="1">
      <c r="A280" s="316" t="s">
        <v>959</v>
      </c>
      <c r="B280" s="316"/>
      <c r="C280" s="316"/>
      <c r="D280" s="316"/>
      <c r="AL280" s="298">
        <f>ROW()</f>
        <v>280</v>
      </c>
    </row>
    <row r="281" spans="1:40" outlineLevel="2">
      <c r="B281" t="s">
        <v>960</v>
      </c>
      <c r="C281" t="s">
        <v>961</v>
      </c>
      <c r="D281" t="str">
        <f t="shared" ref="D281:D294" si="28">E_CURRENCY_EQTY_200011471_PUB</f>
        <v>AUD</v>
      </c>
      <c r="F281" s="309">
        <f t="shared" ref="F281:P281" si="29">F331</f>
        <v>22.579579539387154</v>
      </c>
      <c r="G281" s="309">
        <f t="shared" si="29"/>
        <v>29.117703052562895</v>
      </c>
      <c r="H281" s="309">
        <f t="shared" si="29"/>
        <v>35.821459937835343</v>
      </c>
      <c r="I281" s="309">
        <f t="shared" si="29"/>
        <v>33.002721848118952</v>
      </c>
      <c r="J281" s="309">
        <f t="shared" si="29"/>
        <v>33.340823983881215</v>
      </c>
      <c r="K281" s="309">
        <f t="shared" si="29"/>
        <v>33.628329493053847</v>
      </c>
      <c r="L281" s="309">
        <f t="shared" si="29"/>
        <v>32.933955957169829</v>
      </c>
      <c r="M281" s="309">
        <f t="shared" si="29"/>
        <v>34.56783572365724</v>
      </c>
      <c r="N281" s="309">
        <f t="shared" si="29"/>
        <v>37.054971164800534</v>
      </c>
      <c r="O281" s="309">
        <f t="shared" si="29"/>
        <v>43.14012757299276</v>
      </c>
      <c r="P281" s="309">
        <f t="shared" si="29"/>
        <v>46.006553202339092</v>
      </c>
      <c r="Q281" s="309">
        <f>Q331</f>
        <v>50.720935392964755</v>
      </c>
      <c r="R281" s="309" t="e">
        <f t="shared" ref="R281:T281" si="30">R331</f>
        <v>#N/A</v>
      </c>
      <c r="S281" s="309" t="e">
        <f t="shared" si="30"/>
        <v>#N/A</v>
      </c>
      <c r="T281" s="309" t="e">
        <f t="shared" si="30"/>
        <v>#N/A</v>
      </c>
      <c r="U281" s="309"/>
      <c r="V281" s="309">
        <f>V331</f>
        <v>33.253928722050297</v>
      </c>
      <c r="W281" s="309">
        <f t="shared" ref="W281:AH281" si="31">W331</f>
        <v>33.253928722050297</v>
      </c>
      <c r="X281" s="309">
        <f t="shared" si="31"/>
        <v>36.737845895849148</v>
      </c>
      <c r="Y281" s="309">
        <f t="shared" si="31"/>
        <v>36.737845895849148</v>
      </c>
      <c r="Z281" s="309">
        <f t="shared" si="31"/>
        <v>37.984093371120252</v>
      </c>
      <c r="AA281" s="309">
        <f t="shared" si="31"/>
        <v>37.984093371120252</v>
      </c>
      <c r="AB281" s="309">
        <f t="shared" si="31"/>
        <v>45.599183869001479</v>
      </c>
      <c r="AC281" s="309">
        <f t="shared" si="31"/>
        <v>45.599183869001479</v>
      </c>
      <c r="AD281" s="309">
        <f t="shared" si="31"/>
        <v>45.413781770839861</v>
      </c>
      <c r="AE281" s="309">
        <f t="shared" si="31"/>
        <v>45.413781770839861</v>
      </c>
      <c r="AF281" s="309">
        <f t="shared" si="31"/>
        <v>50.218772963858498</v>
      </c>
      <c r="AG281" s="309" t="e">
        <f t="shared" si="31"/>
        <v>#N/A</v>
      </c>
      <c r="AH281" s="309" t="e">
        <f t="shared" si="31"/>
        <v>#N/A</v>
      </c>
      <c r="AI281" s="309" t="e">
        <f t="shared" ref="AI281" si="32">AI331</f>
        <v>#N/A</v>
      </c>
      <c r="AL281" s="298">
        <f>ROW()</f>
        <v>281</v>
      </c>
      <c r="AN281" s="298" t="s">
        <v>1763</v>
      </c>
    </row>
    <row r="282" spans="1:40" outlineLevel="2">
      <c r="B282" t="s">
        <v>962</v>
      </c>
      <c r="C282" t="s">
        <v>402</v>
      </c>
      <c r="D282" t="str">
        <f t="shared" si="28"/>
        <v>AUD</v>
      </c>
      <c r="F282" s="309">
        <f>VLOOKUP($AN282,'Group Model'!$1:$1048576,MATCH("FY"&amp;RIGHT(F$1,2)&amp;LEFT(F$2,1),'Group Model'!$1:$1,0),FALSE)</f>
        <v>2.1143100000000001</v>
      </c>
      <c r="G282" s="309">
        <f>VLOOKUP($AN282,'Group Model'!$1:$1048576,MATCH("FY"&amp;RIGHT(G$1,2)&amp;LEFT(G$2,1),'Group Model'!$1:$1,0),FALSE)</f>
        <v>3.0977100000000002</v>
      </c>
      <c r="H282" s="309">
        <f>VLOOKUP($AN282,'Group Model'!$1:$1048576,MATCH("FY"&amp;RIGHT(H$1,2)&amp;LEFT(H$2,1),'Group Model'!$1:$1,0),FALSE)</f>
        <v>3.3927300000000002</v>
      </c>
      <c r="I282" s="309">
        <f>VLOOKUP($AN282,'Group Model'!$1:$1048576,MATCH("FY"&amp;RIGHT(I$1,2)&amp;LEFT(I$2,1),'Group Model'!$1:$1,0),FALSE)</f>
        <v>1.8192900000000001</v>
      </c>
      <c r="J282" s="309">
        <f>VLOOKUP($AN282,'Group Model'!$1:$1048576,MATCH("FY"&amp;RIGHT(J$1,2)&amp;LEFT(J$2,1),'Group Model'!$1:$1,0),FALSE)</f>
        <v>1.8291240000000002</v>
      </c>
      <c r="K282" s="309">
        <f>VLOOKUP($AN282,'Group Model'!$1:$1048576,MATCH("FY"&amp;RIGHT(K$1,2)&amp;LEFT(K$2,1),'Group Model'!$1:$1,0),FALSE)</f>
        <v>1.8291240000000002</v>
      </c>
      <c r="L282" s="309">
        <f>VLOOKUP($AN282,'Group Model'!$1:$1048576,MATCH("FY"&amp;RIGHT(L$1,2)&amp;LEFT(L$2,1),'Group Model'!$1:$1,0),FALSE)</f>
        <v>1.37676</v>
      </c>
      <c r="M282" s="309">
        <f>VLOOKUP($AN282,'Group Model'!$1:$1048576,MATCH("FY"&amp;RIGHT(M$1,2)&amp;LEFT(M$2,1),'Group Model'!$1:$1,0),FALSE)</f>
        <v>1.9668000000000001</v>
      </c>
      <c r="N282" s="309">
        <f>VLOOKUP($AN282,'Group Model'!$1:$1048576,MATCH("FY"&amp;RIGHT(N$1,2)&amp;LEFT(N$2,1),'Group Model'!$1:$1,0),FALSE)</f>
        <v>3.7397000000000005</v>
      </c>
      <c r="O282" s="309">
        <f>VLOOKUP($AN282,'Group Model'!$1:$1048576,MATCH("FY"&amp;RIGHT(O$1,2)&amp;LEFT(O$2,1),'Group Model'!$1:$1,0),FALSE)</f>
        <v>3.3</v>
      </c>
      <c r="P282" s="309">
        <f>VLOOKUP($AN282,'Group Model'!$1:$1048576,MATCH("FY"&amp;RIGHT(P$1,2)&amp;LEFT(P$2,1),'Group Model'!$1:$1,0),FALSE)</f>
        <v>4</v>
      </c>
      <c r="Q282" s="309">
        <f>VLOOKUP($AN282,'Group Model'!$1:$1048576,MATCH("FY"&amp;RIGHT(Q$1,2)&amp;LEFT(Q$2,1),'Group Model'!$1:$1,0),FALSE)</f>
        <v>4.6999999999999993</v>
      </c>
      <c r="R282" s="309" t="e">
        <f>VLOOKUP($AN282,'Group Model'!$1:$1048576,MATCH("FY"&amp;RIGHT(R$1,2)&amp;LEFT(R$2,1),'Group Model'!$1:$1,0),FALSE)</f>
        <v>#N/A</v>
      </c>
      <c r="S282" s="309" t="e">
        <f>VLOOKUP($AN282,'Group Model'!$1:$1048576,MATCH("FY"&amp;RIGHT(S$1,2)&amp;LEFT(S$2,1),'Group Model'!$1:$1,0),FALSE)</f>
        <v>#N/A</v>
      </c>
      <c r="T282" s="309" t="e">
        <f>VLOOKUP($AN282,'Group Model'!$1:$1048576,MATCH("FY"&amp;RIGHT(T$1,2)&amp;LEFT(T$2,1),'Group Model'!$1:$1,0),FALSE)</f>
        <v>#N/A</v>
      </c>
      <c r="U282" s="309"/>
      <c r="V282" s="309">
        <f>VLOOKUP($AN282,'Group Model'!$1:$1048576,MATCH("1H"&amp;MID(V$1,3,2)&amp;LEFT(V$2,1),'Group Model'!$1:$1,0),FALSE)</f>
        <v>0.73755000000000004</v>
      </c>
      <c r="W282" s="309">
        <f>VLOOKUP($AN282,'Group Model'!$1:$1048576,MATCH("1H"&amp;MID(W$1,3,2)&amp;LEFT(W$2,1),'Group Model'!$1:$1,0),FALSE)</f>
        <v>0.73755000000000004</v>
      </c>
      <c r="X282" s="309">
        <f>VLOOKUP($AN282,'Group Model'!$1:$1048576,MATCH("1H"&amp;MID(X$1,3,2)&amp;LEFT(X$2,1),'Group Model'!$1:$1,0),FALSE)</f>
        <v>0.98340000000000005</v>
      </c>
      <c r="Y282" s="309">
        <f>VLOOKUP($AN282,'Group Model'!$1:$1048576,MATCH("1H"&amp;MID(Y$1,3,2)&amp;LEFT(Y$2,1),'Group Model'!$1:$1,0),FALSE)</f>
        <v>0.98340000000000005</v>
      </c>
      <c r="Z282" s="309">
        <f>VLOOKUP($AN282,'Group Model'!$1:$1048576,MATCH("1H"&amp;MID(Z$1,3,2)&amp;LEFT(Z$2,1),'Group Model'!$1:$1,0),FALSE)</f>
        <v>1.3</v>
      </c>
      <c r="AA282" s="309">
        <f>VLOOKUP($AN282,'Group Model'!$1:$1048576,MATCH("1H"&amp;MID(AA$1,3,2)&amp;LEFT(AA$2,1),'Group Model'!$1:$1,0),FALSE)</f>
        <v>1.3</v>
      </c>
      <c r="AB282" s="309">
        <f>VLOOKUP($AN282,'Group Model'!$1:$1048576,MATCH("1H"&amp;MID(AB$1,3,2)&amp;LEFT(AB$2,1),'Group Model'!$1:$1,0),FALSE)</f>
        <v>1.6</v>
      </c>
      <c r="AC282" s="309">
        <f>VLOOKUP($AN282,'Group Model'!$1:$1048576,MATCH("1H"&amp;MID(AC$1,3,2)&amp;LEFT(AC$2,1),'Group Model'!$1:$1,0),FALSE)</f>
        <v>1.6</v>
      </c>
      <c r="AD282" s="309">
        <f>VLOOKUP($AN282,'Group Model'!$1:$1048576,MATCH("1H"&amp;MID(AD$1,3,2)&amp;LEFT(AD$2,1),'Group Model'!$1:$1,0),FALSE)</f>
        <v>1.9</v>
      </c>
      <c r="AE282" s="309">
        <f>VLOOKUP($AN282,'Group Model'!$1:$1048576,MATCH("1H"&amp;MID(AE$1,3,2)&amp;LEFT(AE$2,1),'Group Model'!$1:$1,0),FALSE)</f>
        <v>1.9</v>
      </c>
      <c r="AF282" s="309">
        <f>VLOOKUP($AN282,'Group Model'!$1:$1048576,MATCH("1H"&amp;MID(AF$1,3,2)&amp;LEFT(AF$2,1),'Group Model'!$1:$1,0),FALSE)</f>
        <v>2.0499999999999998</v>
      </c>
      <c r="AG282" s="309" t="e">
        <f>VLOOKUP($AN282,'Group Model'!$1:$1048576,MATCH("2H"&amp;MID(AG$1,3,2)&amp;LEFT(AG$2,1),'Group Model'!$1:$1,0),FALSE)</f>
        <v>#N/A</v>
      </c>
      <c r="AH282" s="309" t="e">
        <f>VLOOKUP($AN282,'Group Model'!$1:$1048576,MATCH("1H"&amp;MID(AH$1,3,2)&amp;LEFT(AH$2,1),'Group Model'!$1:$1,0),FALSE)</f>
        <v>#N/A</v>
      </c>
      <c r="AI282" s="309" t="e">
        <f>VLOOKUP($AN282,'Group Model'!$1:$1048576,MATCH("2H"&amp;MID(AI$1,3,2)&amp;LEFT(AI$2,1),'Group Model'!$1:$1,0),FALSE)</f>
        <v>#N/A</v>
      </c>
      <c r="AL282" s="298">
        <f>ROW()</f>
        <v>282</v>
      </c>
      <c r="AN282" s="298" t="str">
        <f>'Group Model'!A36</f>
        <v>ASS_CapitalDPS</v>
      </c>
    </row>
    <row r="283" spans="1:40" outlineLevel="2">
      <c r="B283" t="s">
        <v>1363</v>
      </c>
      <c r="C283" t="s">
        <v>1364</v>
      </c>
      <c r="D283" t="str">
        <f t="shared" si="28"/>
        <v>AUD</v>
      </c>
      <c r="F283" s="309">
        <f>VLOOKUP($AN283,'Group Model'!$1:$1048576,MATCH("FY"&amp;RIGHT(F$1,2)&amp;LEFT(F$2,1),'Group Model'!$1:$1,0),FALSE)</f>
        <v>0</v>
      </c>
      <c r="G283" s="309">
        <f>VLOOKUP($AN283,'Group Model'!$1:$1048576,MATCH("FY"&amp;RIGHT(G$1,2)&amp;LEFT(G$2,1),'Group Model'!$1:$1,0),FALSE)</f>
        <v>0</v>
      </c>
      <c r="H283" s="309">
        <f>VLOOKUP($AN283,'Group Model'!$1:$1048576,MATCH("FY"&amp;RIGHT(H$1,2)&amp;LEFT(H$2,1),'Group Model'!$1:$1,0),FALSE)</f>
        <v>0</v>
      </c>
      <c r="I283" s="309">
        <f>VLOOKUP($AN283,'Group Model'!$1:$1048576,MATCH("FY"&amp;RIGHT(I$1,2)&amp;LEFT(I$2,1),'Group Model'!$1:$1,0),FALSE)</f>
        <v>0</v>
      </c>
      <c r="J283" s="309">
        <f>VLOOKUP($AN283,'Group Model'!$1:$1048576,MATCH("FY"&amp;RIGHT(J$1,2)&amp;LEFT(J$2,1),'Group Model'!$1:$1,0),FALSE)</f>
        <v>0</v>
      </c>
      <c r="K283" s="309">
        <f>VLOOKUP($AN283,'Group Model'!$1:$1048576,MATCH("FY"&amp;RIGHT(K$1,2)&amp;LEFT(K$2,1),'Group Model'!$1:$1,0),FALSE)</f>
        <v>0</v>
      </c>
      <c r="L283" s="309">
        <f>VLOOKUP($AN283,'Group Model'!$1:$1048576,MATCH("FY"&amp;RIGHT(L$1,2)&amp;LEFT(L$2,1),'Group Model'!$1:$1,0),FALSE)</f>
        <v>0</v>
      </c>
      <c r="M283" s="309">
        <f>VLOOKUP($AN283,'Group Model'!$1:$1048576,MATCH("FY"&amp;RIGHT(M$1,2)&amp;LEFT(M$2,1),'Group Model'!$1:$1,0),FALSE)</f>
        <v>0</v>
      </c>
      <c r="N283" s="309">
        <f>VLOOKUP($AN283,'Group Model'!$1:$1048576,MATCH("FY"&amp;RIGHT(N$1,2)&amp;LEFT(N$2,1),'Group Model'!$1:$1,0),FALSE)</f>
        <v>1.1563000000000001</v>
      </c>
      <c r="O283" s="309">
        <f>VLOOKUP($AN283,'Group Model'!$1:$1048576,MATCH("FY"&amp;RIGHT(O$1,2)&amp;LEFT(O$2,1),'Group Model'!$1:$1,0),FALSE)</f>
        <v>0</v>
      </c>
      <c r="P283" s="309">
        <f>VLOOKUP($AN283,'Group Model'!$1:$1048576,MATCH("FY"&amp;RIGHT(P$1,2)&amp;LEFT(P$2,1),'Group Model'!$1:$1,0),FALSE)</f>
        <v>0</v>
      </c>
      <c r="Q283" s="309">
        <f>VLOOKUP($AN283,'Group Model'!$1:$1048576,MATCH("FY"&amp;RIGHT(Q$1,2)&amp;LEFT(Q$2,1),'Group Model'!$1:$1,0),FALSE)</f>
        <v>0</v>
      </c>
      <c r="R283" s="309" t="e">
        <f>VLOOKUP($AN283,'Group Model'!$1:$1048576,MATCH("FY"&amp;RIGHT(R$1,2)&amp;LEFT(R$2,1),'Group Model'!$1:$1,0),FALSE)</f>
        <v>#N/A</v>
      </c>
      <c r="S283" s="309" t="e">
        <f>VLOOKUP($AN283,'Group Model'!$1:$1048576,MATCH("FY"&amp;RIGHT(S$1,2)&amp;LEFT(S$2,1),'Group Model'!$1:$1,0),FALSE)</f>
        <v>#N/A</v>
      </c>
      <c r="T283" s="309" t="e">
        <f>VLOOKUP($AN283,'Group Model'!$1:$1048576,MATCH("FY"&amp;RIGHT(T$1,2)&amp;LEFT(T$2,1),'Group Model'!$1:$1,0),FALSE)</f>
        <v>#N/A</v>
      </c>
      <c r="U283" s="309"/>
      <c r="V283" s="309">
        <f>VLOOKUP($AN283,'Group Model'!$1:$1048576,MATCH("1H"&amp;MID(V$1,3,2)&amp;LEFT(V$2,1),'Group Model'!$1:$1,0),FALSE)</f>
        <v>0</v>
      </c>
      <c r="W283" s="309">
        <f>VLOOKUP($AN283,'Group Model'!$1:$1048576,MATCH("1H"&amp;MID(W$1,3,2)&amp;LEFT(W$2,1),'Group Model'!$1:$1,0),FALSE)</f>
        <v>0</v>
      </c>
      <c r="X283" s="309">
        <f>VLOOKUP($AN283,'Group Model'!$1:$1048576,MATCH("1H"&amp;MID(X$1,3,2)&amp;LEFT(X$2,1),'Group Model'!$1:$1,0),FALSE)</f>
        <v>0</v>
      </c>
      <c r="Y283" s="309">
        <f>VLOOKUP($AN283,'Group Model'!$1:$1048576,MATCH("1H"&amp;MID(Y$1,3,2)&amp;LEFT(Y$2,1),'Group Model'!$1:$1,0),FALSE)</f>
        <v>0</v>
      </c>
      <c r="Z283" s="309">
        <f>VLOOKUP($AN283,'Group Model'!$1:$1048576,MATCH("1H"&amp;MID(Z$1,3,2)&amp;LEFT(Z$2,1),'Group Model'!$1:$1,0),FALSE)</f>
        <v>0</v>
      </c>
      <c r="AA283" s="309">
        <f>VLOOKUP($AN283,'Group Model'!$1:$1048576,MATCH("1H"&amp;MID(AA$1,3,2)&amp;LEFT(AA$2,1),'Group Model'!$1:$1,0),FALSE)</f>
        <v>0</v>
      </c>
      <c r="AB283" s="309">
        <f>VLOOKUP($AN283,'Group Model'!$1:$1048576,MATCH("1H"&amp;MID(AB$1,3,2)&amp;LEFT(AB$2,1),'Group Model'!$1:$1,0),FALSE)</f>
        <v>0</v>
      </c>
      <c r="AC283" s="309">
        <f>VLOOKUP($AN283,'Group Model'!$1:$1048576,MATCH("1H"&amp;MID(AC$1,3,2)&amp;LEFT(AC$2,1),'Group Model'!$1:$1,0),FALSE)</f>
        <v>0</v>
      </c>
      <c r="AD283" s="309">
        <f>VLOOKUP($AN283,'Group Model'!$1:$1048576,MATCH("1H"&amp;MID(AD$1,3,2)&amp;LEFT(AD$2,1),'Group Model'!$1:$1,0),FALSE)</f>
        <v>0</v>
      </c>
      <c r="AE283" s="309">
        <f>VLOOKUP($AN283,'Group Model'!$1:$1048576,MATCH("1H"&amp;MID(AE$1,3,2)&amp;LEFT(AE$2,1),'Group Model'!$1:$1,0),FALSE)</f>
        <v>0</v>
      </c>
      <c r="AF283" s="309">
        <f>VLOOKUP($AN283,'Group Model'!$1:$1048576,MATCH("1H"&amp;MID(AF$1,3,2)&amp;LEFT(AF$2,1),'Group Model'!$1:$1,0),FALSE)</f>
        <v>0</v>
      </c>
      <c r="AG283" s="309" t="e">
        <f>VLOOKUP($AN283,'Group Model'!$1:$1048576,MATCH("2H"&amp;MID(AG$1,3,2)&amp;LEFT(AG$2,1),'Group Model'!$1:$1,0),FALSE)</f>
        <v>#N/A</v>
      </c>
      <c r="AH283" s="309" t="e">
        <f>VLOOKUP($AN283,'Group Model'!$1:$1048576,MATCH("1H"&amp;MID(AH$1,3,2)&amp;LEFT(AH$2,1),'Group Model'!$1:$1,0),FALSE)</f>
        <v>#N/A</v>
      </c>
      <c r="AI283" s="309" t="e">
        <f>VLOOKUP($AN283,'Group Model'!$1:$1048576,MATCH("2H"&amp;MID(AI$1,3,2)&amp;LEFT(AI$2,1),'Group Model'!$1:$1,0),FALSE)</f>
        <v>#N/A</v>
      </c>
      <c r="AL283" s="298">
        <f>ROW()</f>
        <v>283</v>
      </c>
      <c r="AN283" s="298" t="s">
        <v>1367</v>
      </c>
    </row>
    <row r="284" spans="1:40" outlineLevel="2">
      <c r="B284" t="s">
        <v>963</v>
      </c>
      <c r="C284" t="s">
        <v>964</v>
      </c>
      <c r="D284" t="str">
        <f t="shared" si="28"/>
        <v>AUD</v>
      </c>
      <c r="F284" s="299"/>
      <c r="G284" s="299"/>
      <c r="H284" s="299"/>
      <c r="I284" s="299"/>
      <c r="J284" s="299"/>
      <c r="K284" s="299"/>
      <c r="L284" s="299"/>
      <c r="M284" s="299"/>
      <c r="N284" s="299"/>
      <c r="O284" s="299"/>
      <c r="P284" s="299"/>
      <c r="Q284" s="299"/>
      <c r="R284" s="299"/>
      <c r="S284" s="299"/>
      <c r="T284" s="299"/>
      <c r="U284" s="299"/>
      <c r="V284" s="299"/>
      <c r="W284" s="299"/>
      <c r="X284" s="299"/>
      <c r="Y284" s="299"/>
      <c r="Z284" s="299"/>
      <c r="AA284" s="299"/>
      <c r="AB284" s="299"/>
      <c r="AC284" s="299"/>
      <c r="AD284" s="299"/>
      <c r="AE284" s="299"/>
      <c r="AF284" s="299"/>
      <c r="AG284" s="299"/>
      <c r="AH284" s="299"/>
      <c r="AI284" s="299"/>
      <c r="AL284" s="298">
        <f>ROW()</f>
        <v>284</v>
      </c>
    </row>
    <row r="285" spans="1:40" outlineLevel="2">
      <c r="B285" t="s">
        <v>965</v>
      </c>
      <c r="C285" t="s">
        <v>401</v>
      </c>
      <c r="D285" t="str">
        <f t="shared" si="28"/>
        <v>AUD</v>
      </c>
      <c r="F285" s="309">
        <f>VLOOKUP($AN285,'Group Model'!$1:$1048576,MATCH("FY"&amp;RIGHT(F$1,2)&amp;LEFT(F$2,1),'Group Model'!$1:$1,0),FALSE)</f>
        <v>3.7590839529517339</v>
      </c>
      <c r="G285" s="309">
        <f>VLOOKUP($AN285,'Group Model'!$1:$1048576,MATCH("FY"&amp;RIGHT(G$1,2)&amp;LEFT(G$2,1),'Group Model'!$1:$1,0),FALSE)</f>
        <v>5.6034500335415007</v>
      </c>
      <c r="H285" s="309">
        <f>VLOOKUP($AN285,'Group Model'!$1:$1048576,MATCH("FY"&amp;RIGHT(H$1,2)&amp;LEFT(H$2,1),'Group Model'!$1:$1,0),FALSE)</f>
        <v>6.4270085948285223</v>
      </c>
      <c r="I285" s="309">
        <f>VLOOKUP($AN285,'Group Model'!$1:$1048576,MATCH("FY"&amp;RIGHT(I$1,2)&amp;LEFT(I$2,1),'Group Model'!$1:$1,0),FALSE)</f>
        <v>3.0338617543211925</v>
      </c>
      <c r="J285" s="309">
        <f>VLOOKUP($AN285,'Group Model'!$1:$1048576,MATCH("FY"&amp;RIGHT(J$1,2)&amp;LEFT(J$2,1),'Group Model'!$1:$1,0),FALSE)</f>
        <v>3.1217830157561091</v>
      </c>
      <c r="K285" s="309">
        <f>VLOOKUP($AN285,'Group Model'!$1:$1048576,MATCH("FY"&amp;RIGHT(K$1,2)&amp;LEFT(K$2,1),'Group Model'!$1:$1,0),FALSE)</f>
        <v>2.7127427689849157</v>
      </c>
      <c r="L285" s="309">
        <f>VLOOKUP($AN285,'Group Model'!$1:$1048576,MATCH("FY"&amp;RIGHT(L$1,2)&amp;LEFT(L$2,1),'Group Model'!$1:$1,0),FALSE)</f>
        <v>1.9897736367779773</v>
      </c>
      <c r="M285" s="309">
        <f>VLOOKUP($AN285,'Group Model'!$1:$1048576,MATCH("FY"&amp;RIGHT(M$1,2)&amp;LEFT(M$2,1),'Group Model'!$1:$1,0),FALSE)</f>
        <v>2.4201821351908217</v>
      </c>
      <c r="N285" s="309">
        <f>VLOOKUP($AN285,'Group Model'!$1:$1048576,MATCH("FY"&amp;RIGHT(N$1,2)&amp;LEFT(N$2,1),'Group Model'!$1:$1,0),FALSE)</f>
        <v>3.6918885360856213</v>
      </c>
      <c r="O285" s="309">
        <f>VLOOKUP($AN285,'Group Model'!$1:$1048576,MATCH("FY"&amp;RIGHT(O$1,2)&amp;LEFT(O$2,1),'Group Model'!$1:$1,0),FALSE)</f>
        <v>4.8421198242046275</v>
      </c>
      <c r="P285" s="309">
        <f>VLOOKUP($AN285,'Group Model'!$1:$1048576,MATCH("FY"&amp;RIGHT(P$1,2)&amp;LEFT(P$2,1),'Group Model'!$1:$1,0),FALSE)</f>
        <v>6.0008109933682645</v>
      </c>
      <c r="Q285" s="309">
        <f>VLOOKUP($AN285,'Group Model'!$1:$1048576,MATCH("FY"&amp;RIGHT(Q$1,2)&amp;LEFT(Q$2,1),'Group Model'!$1:$1,0),FALSE)</f>
        <v>6.4454246170512972</v>
      </c>
      <c r="R285" s="309" t="e">
        <f>VLOOKUP($AN285,'Group Model'!$1:$1048576,MATCH("FY"&amp;RIGHT(R$1,2)&amp;LEFT(R$2,1),'Group Model'!$1:$1,0),FALSE)</f>
        <v>#N/A</v>
      </c>
      <c r="S285" s="309" t="e">
        <f>VLOOKUP($AN285,'Group Model'!$1:$1048576,MATCH("FY"&amp;RIGHT(S$1,2)&amp;LEFT(S$2,1),'Group Model'!$1:$1,0),FALSE)</f>
        <v>#N/A</v>
      </c>
      <c r="T285" s="309" t="e">
        <f>VLOOKUP($AN285,'Group Model'!$1:$1048576,MATCH("FY"&amp;RIGHT(T$1,2)&amp;LEFT(T$2,1),'Group Model'!$1:$1,0),FALSE)</f>
        <v>#N/A</v>
      </c>
      <c r="U285" s="309"/>
      <c r="V285" s="309">
        <f>VLOOKUP($AN285,'Group Model'!$1:$1048576,MATCH("1H"&amp;MID(V$1,3,2)&amp;LEFT(V$2,1),'Group Model'!$1:$1,0),FALSE)</f>
        <v>0.98066138947421899</v>
      </c>
      <c r="W285" s="309">
        <f>VLOOKUP($AN285,'Group Model'!$1:$1048576,MATCH("1H"&amp;MID(W$1,3,2)&amp;LEFT(W$2,1),'Group Model'!$1:$1,0),FALSE)</f>
        <v>0.98066138947421899</v>
      </c>
      <c r="X285" s="309">
        <f>VLOOKUP($AN285,'Group Model'!$1:$1048576,MATCH("1H"&amp;MID(X$1,3,2)&amp;LEFT(X$2,1),'Group Model'!$1:$1,0),FALSE)</f>
        <v>1.4223199005370353</v>
      </c>
      <c r="Y285" s="309">
        <f>VLOOKUP($AN285,'Group Model'!$1:$1048576,MATCH("1H"&amp;MID(Y$1,3,2)&amp;LEFT(Y$2,1),'Group Model'!$1:$1,0),FALSE)</f>
        <v>1.4223199005370353</v>
      </c>
      <c r="Z285" s="309">
        <f>VLOOKUP($AN285,'Group Model'!$1:$1048576,MATCH("1H"&amp;MID(Z$1,3,2)&amp;LEFT(Z$2,1),'Group Model'!$1:$1,0),FALSE)</f>
        <v>2.0489980097520215</v>
      </c>
      <c r="AA285" s="309">
        <f>VLOOKUP($AN285,'Group Model'!$1:$1048576,MATCH("1H"&amp;MID(AA$1,3,2)&amp;LEFT(AA$2,1),'Group Model'!$1:$1,0),FALSE)</f>
        <v>2.0489980097520215</v>
      </c>
      <c r="AB285" s="309">
        <f>VLOOKUP($AN285,'Group Model'!$1:$1048576,MATCH("1H"&amp;MID(AB$1,3,2)&amp;LEFT(AB$2,1),'Group Model'!$1:$1,0),FALSE)</f>
        <v>3.0999386275533385</v>
      </c>
      <c r="AC285" s="309">
        <f>VLOOKUP($AN285,'Group Model'!$1:$1048576,MATCH("1H"&amp;MID(AC$1,3,2)&amp;LEFT(AC$2,1),'Group Model'!$1:$1,0),FALSE)</f>
        <v>3.0999386275533385</v>
      </c>
      <c r="AD285" s="309">
        <f>VLOOKUP($AN285,'Group Model'!$1:$1048576,MATCH("1H"&amp;MID(AD$1,3,2)&amp;LEFT(AD$2,1),'Group Model'!$1:$1,0),FALSE)</f>
        <v>3.0478981992364718</v>
      </c>
      <c r="AE285" s="309">
        <f>VLOOKUP($AN285,'Group Model'!$1:$1048576,MATCH("1H"&amp;MID(AE$1,3,2)&amp;LEFT(AE$2,1),'Group Model'!$1:$1,0),FALSE)</f>
        <v>3.0478981992364718</v>
      </c>
      <c r="AF285" s="309">
        <f>VLOOKUP($AN285,'Group Model'!$1:$1048576,MATCH("1H"&amp;MID(AF$1,3,2)&amp;LEFT(AF$2,1),'Group Model'!$1:$1,0),FALSE)</f>
        <v>3.601863674269941</v>
      </c>
      <c r="AG285" s="309" t="e">
        <f>VLOOKUP($AN285,'Group Model'!$1:$1048576,MATCH("2H"&amp;MID(AG$1,3,2)&amp;LEFT(AG$2,1),'Group Model'!$1:$1,0),FALSE)</f>
        <v>#N/A</v>
      </c>
      <c r="AH285" s="309" t="e">
        <f>VLOOKUP($AN285,'Group Model'!$1:$1048576,MATCH("1H"&amp;MID(AH$1,3,2)&amp;LEFT(AH$2,1),'Group Model'!$1:$1,0),FALSE)</f>
        <v>#N/A</v>
      </c>
      <c r="AI285" s="309" t="e">
        <f>VLOOKUP($AN285,'Group Model'!$1:$1048576,MATCH("2H"&amp;MID(AI$1,3,2)&amp;LEFT(AI$2,1),'Group Model'!$1:$1,0),FALSE)</f>
        <v>#N/A</v>
      </c>
      <c r="AL285" s="298">
        <f>ROW()</f>
        <v>285</v>
      </c>
      <c r="AN285" s="298" t="str">
        <f>'Group Model'!A474</f>
        <v>AD_PSEPSCashDiluted</v>
      </c>
    </row>
    <row r="286" spans="1:40" outlineLevel="2">
      <c r="B286" t="s">
        <v>966</v>
      </c>
      <c r="C286" t="s">
        <v>967</v>
      </c>
      <c r="D286" t="str">
        <f t="shared" si="28"/>
        <v>AUD</v>
      </c>
      <c r="F286" s="299"/>
      <c r="G286" s="299"/>
      <c r="H286" s="299"/>
      <c r="I286" s="299"/>
      <c r="J286" s="299"/>
      <c r="K286" s="299"/>
      <c r="L286" s="299"/>
      <c r="M286" s="299"/>
      <c r="N286" s="299"/>
      <c r="O286" s="299"/>
      <c r="P286" s="299"/>
      <c r="Q286" s="299"/>
      <c r="R286" s="299"/>
      <c r="S286" s="299"/>
      <c r="T286" s="299"/>
      <c r="U286" s="299"/>
      <c r="V286" s="299"/>
      <c r="W286" s="299"/>
      <c r="X286" s="299"/>
      <c r="Y286" s="299"/>
      <c r="Z286" s="299"/>
      <c r="AA286" s="299"/>
      <c r="AB286" s="299"/>
      <c r="AC286" s="299"/>
      <c r="AD286" s="299"/>
      <c r="AE286" s="299"/>
      <c r="AF286" s="299"/>
      <c r="AG286" s="299"/>
      <c r="AH286" s="299"/>
      <c r="AI286" s="299"/>
      <c r="AL286" s="298">
        <f>ROW()</f>
        <v>286</v>
      </c>
    </row>
    <row r="287" spans="1:40" outlineLevel="2">
      <c r="B287" t="s">
        <v>968</v>
      </c>
      <c r="C287" t="s">
        <v>969</v>
      </c>
      <c r="D287" t="str">
        <f t="shared" si="28"/>
        <v>AUD</v>
      </c>
      <c r="F287" s="299"/>
      <c r="G287" s="299"/>
      <c r="H287" s="299"/>
      <c r="I287" s="299"/>
      <c r="J287" s="299"/>
      <c r="K287" s="299"/>
      <c r="L287" s="299"/>
      <c r="M287" s="299"/>
      <c r="N287" s="299"/>
      <c r="O287" s="299"/>
      <c r="P287" s="299"/>
      <c r="Q287" s="299"/>
      <c r="R287" s="299"/>
      <c r="S287" s="299"/>
      <c r="T287" s="299"/>
      <c r="U287" s="299"/>
      <c r="V287" s="299"/>
      <c r="W287" s="299"/>
      <c r="X287" s="299"/>
      <c r="Y287" s="299"/>
      <c r="Z287" s="299"/>
      <c r="AA287" s="299"/>
      <c r="AB287" s="299"/>
      <c r="AC287" s="299"/>
      <c r="AD287" s="299"/>
      <c r="AE287" s="299"/>
      <c r="AF287" s="299"/>
      <c r="AG287" s="299"/>
      <c r="AH287" s="299"/>
      <c r="AI287" s="299"/>
      <c r="AL287" s="298">
        <f>ROW()</f>
        <v>287</v>
      </c>
    </row>
    <row r="288" spans="1:40" outlineLevel="2">
      <c r="B288" t="s">
        <v>970</v>
      </c>
      <c r="C288" t="s">
        <v>971</v>
      </c>
      <c r="D288" t="str">
        <f t="shared" si="28"/>
        <v>AUD</v>
      </c>
      <c r="F288" s="299">
        <f>VLOOKUP($AN288,'Group Model'!$1:$1048576,MATCH("FY"&amp;RIGHT(F$1,2)&amp;LEFT(F$2,1),'Group Model'!$1:$1,0),FALSE)</f>
        <v>916</v>
      </c>
      <c r="G288" s="299">
        <f>VLOOKUP($AN288,'Group Model'!$1:$1048576,MATCH("FY"&amp;RIGHT(G$1,2)&amp;LEFT(G$2,1),'Group Model'!$1:$1,0),FALSE)</f>
        <v>1463</v>
      </c>
      <c r="H288" s="299">
        <f>VLOOKUP($AN288,'Group Model'!$1:$1048576,MATCH("FY"&amp;RIGHT(H$1,2)&amp;LEFT(H$2,1),'Group Model'!$1:$1,0),FALSE)</f>
        <v>1803</v>
      </c>
      <c r="I288" s="299">
        <f>VLOOKUP($AN288,'Group Model'!$1:$1048576,MATCH("FY"&amp;RIGHT(I$1,2)&amp;LEFT(I$2,1),'Group Model'!$1:$1,0),FALSE)</f>
        <v>871</v>
      </c>
      <c r="J288" s="299">
        <f>VLOOKUP($AN288,'Group Model'!$1:$1048576,MATCH("FY"&amp;RIGHT(J$1,2)&amp;LEFT(J$2,1),'Group Model'!$1:$1,0),FALSE)</f>
        <v>1050</v>
      </c>
      <c r="K288" s="299">
        <f>VLOOKUP($AN288,'Group Model'!$1:$1048576,MATCH("FY"&amp;RIGHT(K$1,2)&amp;LEFT(K$2,1),'Group Model'!$1:$1,0),FALSE)</f>
        <v>956</v>
      </c>
      <c r="L288" s="299">
        <f>VLOOKUP($AN288,'Group Model'!$1:$1048576,MATCH("FY"&amp;RIGHT(L$1,2)&amp;LEFT(L$2,1),'Group Model'!$1:$1,0),FALSE)</f>
        <v>730</v>
      </c>
      <c r="M288" s="299">
        <f>VLOOKUP($AN288,'Group Model'!$1:$1048576,MATCH("FY"&amp;RIGHT(M$1,2)&amp;LEFT(M$2,1),'Group Model'!$1:$1,0),FALSE)</f>
        <v>851</v>
      </c>
      <c r="N288" s="299">
        <f>VLOOKUP($AN288,'Group Model'!$1:$1048576,MATCH("FY"&amp;RIGHT(N$1,2)&amp;LEFT(N$2,1),'Group Model'!$1:$1,0),FALSE)</f>
        <v>1265</v>
      </c>
      <c r="O288" s="299">
        <f>VLOOKUP($AN288,'Group Model'!$1:$1048576,MATCH("FY"&amp;RIGHT(O$1,2)&amp;LEFT(O$2,1),'Group Model'!$1:$1,0),FALSE)</f>
        <v>1604</v>
      </c>
      <c r="P288" s="299">
        <f>VLOOKUP($AN288,'Group Model'!$1:$1048576,MATCH("FY"&amp;RIGHT(P$1,2)&amp;LEFT(P$2,1),'Group Model'!$1:$1,0),FALSE)</f>
        <v>2063</v>
      </c>
      <c r="Q288" s="299">
        <f>VLOOKUP($AN288,'Group Model'!$1:$1048576,MATCH("FY"&amp;RIGHT(Q$1,2)&amp;LEFT(Q$2,1),'Group Model'!$1:$1,0),FALSE)</f>
        <v>2217</v>
      </c>
      <c r="R288" s="299" t="e">
        <f>VLOOKUP($AN288,'Group Model'!$1:$1048576,MATCH("FY"&amp;RIGHT(R$1,2)&amp;LEFT(R$2,1),'Group Model'!$1:$1,0),FALSE)</f>
        <v>#N/A</v>
      </c>
      <c r="S288" s="299" t="e">
        <f>VLOOKUP($AN288,'Group Model'!$1:$1048576,MATCH("FY"&amp;RIGHT(S$1,2)&amp;LEFT(S$2,1),'Group Model'!$1:$1,0),FALSE)</f>
        <v>#N/A</v>
      </c>
      <c r="T288" s="299" t="e">
        <f>VLOOKUP($AN288,'Group Model'!$1:$1048576,MATCH("FY"&amp;RIGHT(T$1,2)&amp;LEFT(T$2,1),'Group Model'!$1:$1,0),FALSE)</f>
        <v>#N/A</v>
      </c>
      <c r="U288" s="299"/>
      <c r="V288" s="299">
        <f>VLOOKUP($AN288,'Group Model'!$1:$1048576,MATCH("1H"&amp;MID(V$1,3,2)&amp;LEFT(V$2,1),'Group Model'!$1:$1,0),FALSE)</f>
        <v>361</v>
      </c>
      <c r="W288" s="299">
        <f>VLOOKUP($AN288,'Group Model'!$1:$1048576,MATCH("1H"&amp;MID(W$1,3,2)&amp;LEFT(W$2,1),'Group Model'!$1:$1,0),FALSE)</f>
        <v>361</v>
      </c>
      <c r="X288" s="299">
        <f>VLOOKUP($AN288,'Group Model'!$1:$1048576,MATCH("1H"&amp;MID(X$1,3,2)&amp;LEFT(X$2,1),'Group Model'!$1:$1,0),FALSE)</f>
        <v>501</v>
      </c>
      <c r="Y288" s="299">
        <f>VLOOKUP($AN288,'Group Model'!$1:$1048576,MATCH("1H"&amp;MID(Y$1,3,2)&amp;LEFT(Y$2,1),'Group Model'!$1:$1,0),FALSE)</f>
        <v>501</v>
      </c>
      <c r="Z288" s="299">
        <f>VLOOKUP($AN288,'Group Model'!$1:$1048576,MATCH("1H"&amp;MID(Z$1,3,2)&amp;LEFT(Z$2,1),'Group Model'!$1:$1,0),FALSE)</f>
        <v>678</v>
      </c>
      <c r="AA288" s="299">
        <f>VLOOKUP($AN288,'Group Model'!$1:$1048576,MATCH("1H"&amp;MID(AA$1,3,2)&amp;LEFT(AA$2,1),'Group Model'!$1:$1,0),FALSE)</f>
        <v>678</v>
      </c>
      <c r="AB288" s="299">
        <f>VLOOKUP($AN288,'Group Model'!$1:$1048576,MATCH("1H"&amp;MID(AB$1,3,2)&amp;LEFT(AB$2,1),'Group Model'!$1:$1,0),FALSE)</f>
        <v>1070</v>
      </c>
      <c r="AC288" s="299">
        <f>VLOOKUP($AN288,'Group Model'!$1:$1048576,MATCH("1H"&amp;MID(AC$1,3,2)&amp;LEFT(AC$2,1),'Group Model'!$1:$1,0),FALSE)</f>
        <v>1070</v>
      </c>
      <c r="AD288" s="299">
        <f>VLOOKUP($AN288,'Group Model'!$1:$1048576,MATCH("1H"&amp;MID(AD$1,3,2)&amp;LEFT(AD$2,1),'Group Model'!$1:$1,0),FALSE)</f>
        <v>1050</v>
      </c>
      <c r="AE288" s="299">
        <f>VLOOKUP($AN288,'Group Model'!$1:$1048576,MATCH("1H"&amp;MID(AE$1,3,2)&amp;LEFT(AE$2,1),'Group Model'!$1:$1,0),FALSE)</f>
        <v>1050</v>
      </c>
      <c r="AF288" s="299">
        <f>VLOOKUP($AN288,'Group Model'!$1:$1048576,MATCH("1H"&amp;MID(AF$1,3,2)&amp;LEFT(AF$2,1),'Group Model'!$1:$1,0),FALSE)</f>
        <v>1248</v>
      </c>
      <c r="AG288" s="299" t="e">
        <f>VLOOKUP($AN288,'Group Model'!$1:$1048576,MATCH("2H"&amp;MID(AG$1,3,2)&amp;LEFT(AG$2,1),'Group Model'!$1:$1,0),FALSE)</f>
        <v>#N/A</v>
      </c>
      <c r="AH288" s="299" t="e">
        <f>VLOOKUP($AN288,'Group Model'!$1:$1048576,MATCH("1H"&amp;MID(AH$1,3,2)&amp;LEFT(AH$2,1),'Group Model'!$1:$1,0),FALSE)</f>
        <v>#N/A</v>
      </c>
      <c r="AI288" s="299" t="e">
        <f>VLOOKUP($AN288,'Group Model'!$1:$1048576,MATCH("2H"&amp;MID(AI$1,3,2)&amp;LEFT(AI$2,1),'Group Model'!$1:$1,0),FALSE)</f>
        <v>#N/A</v>
      </c>
      <c r="AL288" s="298">
        <f>ROW()</f>
        <v>288</v>
      </c>
      <c r="AN288" s="298" t="str">
        <f>'Group Model'!A58</f>
        <v>CE</v>
      </c>
    </row>
    <row r="289" spans="1:41" outlineLevel="2">
      <c r="B289" t="s">
        <v>972</v>
      </c>
      <c r="C289" t="s">
        <v>973</v>
      </c>
      <c r="D289" t="str">
        <f t="shared" si="28"/>
        <v>AUD</v>
      </c>
      <c r="F289" s="299">
        <f>VLOOKUP($AN289,'Group Model'!$1:$1048576,MATCH("FY"&amp;RIGHT(F$1,2)&amp;LEFT(F$2,1),'Group Model'!$1:$1,0),FALSE)</f>
        <v>1287</v>
      </c>
      <c r="G289" s="299">
        <f>VLOOKUP($AN289,'Group Model'!$1:$1048576,MATCH("FY"&amp;RIGHT(G$1,2)&amp;LEFT(G$2,1),'Group Model'!$1:$1,0),FALSE)</f>
        <v>1928</v>
      </c>
      <c r="H289" s="299">
        <f>VLOOKUP($AN289,'Group Model'!$1:$1048576,MATCH("FY"&amp;RIGHT(H$1,2)&amp;LEFT(H$2,1),'Group Model'!$1:$1,0),FALSE)</f>
        <v>2205</v>
      </c>
      <c r="I289" s="299">
        <f>VLOOKUP($AN289,'Group Model'!$1:$1048576,MATCH("FY"&amp;RIGHT(I$1,2)&amp;LEFT(I$2,1),'Group Model'!$1:$1,0),FALSE)</f>
        <v>989</v>
      </c>
      <c r="J289" s="299">
        <f>VLOOKUP($AN289,'Group Model'!$1:$1048576,MATCH("FY"&amp;RIGHT(J$1,2)&amp;LEFT(J$2,1),'Group Model'!$1:$1,0),FALSE)</f>
        <v>1294</v>
      </c>
      <c r="K289" s="299">
        <f>VLOOKUP($AN289,'Group Model'!$1:$1048576,MATCH("FY"&amp;RIGHT(K$1,2)&amp;LEFT(K$2,1),'Group Model'!$1:$1,0),FALSE)</f>
        <v>1271</v>
      </c>
      <c r="L289" s="299">
        <f>VLOOKUP($AN289,'Group Model'!$1:$1048576,MATCH("FY"&amp;RIGHT(L$1,2)&amp;LEFT(L$2,1),'Group Model'!$1:$1,0),FALSE)</f>
        <v>1049</v>
      </c>
      <c r="M289" s="299">
        <f>VLOOKUP($AN289,'Group Model'!$1:$1048576,MATCH("FY"&amp;RIGHT(M$1,2)&amp;LEFT(M$2,1),'Group Model'!$1:$1,0),FALSE)</f>
        <v>1405</v>
      </c>
      <c r="N289" s="299">
        <f>VLOOKUP($AN289,'Group Model'!$1:$1048576,MATCH("FY"&amp;RIGHT(N$1,2)&amp;LEFT(N$2,1),'Group Model'!$1:$1,0),FALSE)</f>
        <v>2106</v>
      </c>
      <c r="O289" s="299">
        <f>VLOOKUP($AN289,'Group Model'!$1:$1048576,MATCH("FY"&amp;RIGHT(O$1,2)&amp;LEFT(O$2,1),'Group Model'!$1:$1,0),FALSE)</f>
        <v>2522</v>
      </c>
      <c r="P289" s="299">
        <f>VLOOKUP($AN289,'Group Model'!$1:$1048576,MATCH("FY"&amp;RIGHT(P$1,2)&amp;LEFT(P$2,1),'Group Model'!$1:$1,0),FALSE)</f>
        <v>3015</v>
      </c>
      <c r="Q289" s="299">
        <f>VLOOKUP($AN289,'Group Model'!$1:$1048576,MATCH("FY"&amp;RIGHT(Q$1,2)&amp;LEFT(Q$2,1),'Group Model'!$1:$1,0),FALSE)</f>
        <v>3104</v>
      </c>
      <c r="R289" s="299" t="e">
        <f>VLOOKUP($AN289,'Group Model'!$1:$1048576,MATCH("FY"&amp;RIGHT(R$1,2)&amp;LEFT(R$2,1),'Group Model'!$1:$1,0),FALSE)</f>
        <v>#N/A</v>
      </c>
      <c r="S289" s="299" t="e">
        <f>VLOOKUP($AN289,'Group Model'!$1:$1048576,MATCH("FY"&amp;RIGHT(S$1,2)&amp;LEFT(S$2,1),'Group Model'!$1:$1,0),FALSE)</f>
        <v>#N/A</v>
      </c>
      <c r="T289" s="299" t="e">
        <f>VLOOKUP($AN289,'Group Model'!$1:$1048576,MATCH("FY"&amp;RIGHT(T$1,2)&amp;LEFT(T$2,1),'Group Model'!$1:$1,0),FALSE)</f>
        <v>#N/A</v>
      </c>
      <c r="U289" s="299"/>
      <c r="V289" s="299">
        <f>VLOOKUP($AN289,'Group Model'!$1:$1048576,MATCH("1H"&amp;MID(V$1,3,2)&amp;LEFT(V$2,1),'Group Model'!$1:$1,0),FALSE)</f>
        <v>517</v>
      </c>
      <c r="W289" s="299">
        <f>VLOOKUP($AN289,'Group Model'!$1:$1048576,MATCH("1H"&amp;MID(W$1,3,2)&amp;LEFT(W$2,1),'Group Model'!$1:$1,0),FALSE)</f>
        <v>517</v>
      </c>
      <c r="X289" s="299">
        <f>VLOOKUP($AN289,'Group Model'!$1:$1048576,MATCH("1H"&amp;MID(X$1,3,2)&amp;LEFT(X$2,1),'Group Model'!$1:$1,0),FALSE)</f>
        <v>810</v>
      </c>
      <c r="Y289" s="299">
        <f>VLOOKUP($AN289,'Group Model'!$1:$1048576,MATCH("1H"&amp;MID(Y$1,3,2)&amp;LEFT(Y$2,1),'Group Model'!$1:$1,0),FALSE)</f>
        <v>810</v>
      </c>
      <c r="Z289" s="299">
        <f>VLOOKUP($AN289,'Group Model'!$1:$1048576,MATCH("1H"&amp;MID(Z$1,3,2)&amp;LEFT(Z$2,1),'Group Model'!$1:$1,0),FALSE)</f>
        <v>1121</v>
      </c>
      <c r="AA289" s="299">
        <f>VLOOKUP($AN289,'Group Model'!$1:$1048576,MATCH("1H"&amp;MID(AA$1,3,2)&amp;LEFT(AA$2,1),'Group Model'!$1:$1,0),FALSE)</f>
        <v>1121</v>
      </c>
      <c r="AB289" s="299">
        <f>VLOOKUP($AN289,'Group Model'!$1:$1048576,MATCH("1H"&amp;MID(AB$1,3,2)&amp;LEFT(AB$2,1),'Group Model'!$1:$1,0),FALSE)</f>
        <v>1619</v>
      </c>
      <c r="AC289" s="299">
        <f>VLOOKUP($AN289,'Group Model'!$1:$1048576,MATCH("1H"&amp;MID(AC$1,3,2)&amp;LEFT(AC$2,1),'Group Model'!$1:$1,0),FALSE)</f>
        <v>1619</v>
      </c>
      <c r="AD289" s="299">
        <f>VLOOKUP($AN289,'Group Model'!$1:$1048576,MATCH("1H"&amp;MID(AD$1,3,2)&amp;LEFT(AD$2,1),'Group Model'!$1:$1,0),FALSE)</f>
        <v>1485</v>
      </c>
      <c r="AE289" s="299">
        <f>VLOOKUP($AN289,'Group Model'!$1:$1048576,MATCH("1H"&amp;MID(AE$1,3,2)&amp;LEFT(AE$2,1),'Group Model'!$1:$1,0),FALSE)</f>
        <v>1485</v>
      </c>
      <c r="AF289" s="299">
        <f>VLOOKUP($AN289,'Group Model'!$1:$1048576,MATCH("1H"&amp;MID(AF$1,3,2)&amp;LEFT(AF$2,1),'Group Model'!$1:$1,0),FALSE)</f>
        <v>1704</v>
      </c>
      <c r="AG289" s="299" t="e">
        <f>VLOOKUP($AN289,'Group Model'!$1:$1048576,MATCH("2H"&amp;MID(AG$1,3,2)&amp;LEFT(AG$2,1),'Group Model'!$1:$1,0),FALSE)</f>
        <v>#N/A</v>
      </c>
      <c r="AH289" s="299" t="e">
        <f>VLOOKUP($AN289,'Group Model'!$1:$1048576,MATCH("1H"&amp;MID(AH$1,3,2)&amp;LEFT(AH$2,1),'Group Model'!$1:$1,0),FALSE)</f>
        <v>#N/A</v>
      </c>
      <c r="AI289" s="299" t="e">
        <f>VLOOKUP($AN289,'Group Model'!$1:$1048576,MATCH("2H"&amp;MID(AI$1,3,2)&amp;LEFT(AI$2,1),'Group Model'!$1:$1,0),FALSE)</f>
        <v>#N/A</v>
      </c>
      <c r="AL289" s="298">
        <f>ROW()</f>
        <v>289</v>
      </c>
      <c r="AN289" s="298" t="str">
        <f>'Group Model'!A77</f>
        <v>PreTax</v>
      </c>
    </row>
    <row r="290" spans="1:41" outlineLevel="2">
      <c r="B290" t="s">
        <v>974</v>
      </c>
      <c r="C290" t="s">
        <v>975</v>
      </c>
      <c r="D290" t="str">
        <f t="shared" si="28"/>
        <v>AUD</v>
      </c>
      <c r="F290" s="299">
        <f>VLOOKUP($AN290,'Group Model'!$1:$1048576,MATCH("FY"&amp;RIGHT(F$1,2)&amp;LEFT(F$2,1),'Group Model'!$1:$1,0),FALSE)</f>
        <v>1287</v>
      </c>
      <c r="G290" s="299">
        <f>VLOOKUP($AN290,'Group Model'!$1:$1048576,MATCH("FY"&amp;RIGHT(G$1,2)&amp;LEFT(G$2,1),'Group Model'!$1:$1,0),FALSE)</f>
        <v>1928</v>
      </c>
      <c r="H290" s="299">
        <f>VLOOKUP($AN290,'Group Model'!$1:$1048576,MATCH("FY"&amp;RIGHT(H$1,2)&amp;LEFT(H$2,1),'Group Model'!$1:$1,0),FALSE)</f>
        <v>2205</v>
      </c>
      <c r="I290" s="299">
        <f>VLOOKUP($AN290,'Group Model'!$1:$1048576,MATCH("FY"&amp;RIGHT(I$1,2)&amp;LEFT(I$2,1),'Group Model'!$1:$1,0),FALSE)</f>
        <v>989</v>
      </c>
      <c r="J290" s="299">
        <f>VLOOKUP($AN290,'Group Model'!$1:$1048576,MATCH("FY"&amp;RIGHT(J$1,2)&amp;LEFT(J$2,1),'Group Model'!$1:$1,0),FALSE)</f>
        <v>1294</v>
      </c>
      <c r="K290" s="299">
        <f>VLOOKUP($AN290,'Group Model'!$1:$1048576,MATCH("FY"&amp;RIGHT(K$1,2)&amp;LEFT(K$2,1),'Group Model'!$1:$1,0),FALSE)</f>
        <v>1271</v>
      </c>
      <c r="L290" s="299">
        <f>VLOOKUP($AN290,'Group Model'!$1:$1048576,MATCH("FY"&amp;RIGHT(L$1,2)&amp;LEFT(L$2,1),'Group Model'!$1:$1,0),FALSE)</f>
        <v>1049</v>
      </c>
      <c r="M290" s="299">
        <f>VLOOKUP($AN290,'Group Model'!$1:$1048576,MATCH("FY"&amp;RIGHT(M$1,2)&amp;LEFT(M$2,1),'Group Model'!$1:$1,0),FALSE)</f>
        <v>1405</v>
      </c>
      <c r="N290" s="299">
        <f>VLOOKUP($AN290,'Group Model'!$1:$1048576,MATCH("FY"&amp;RIGHT(N$1,2)&amp;LEFT(N$2,1),'Group Model'!$1:$1,0),FALSE)</f>
        <v>2106</v>
      </c>
      <c r="O290" s="299">
        <f>VLOOKUP($AN290,'Group Model'!$1:$1048576,MATCH("FY"&amp;RIGHT(O$1,2)&amp;LEFT(O$2,1),'Group Model'!$1:$1,0),FALSE)</f>
        <v>2522</v>
      </c>
      <c r="P290" s="299">
        <f>VLOOKUP($AN290,'Group Model'!$1:$1048576,MATCH("FY"&amp;RIGHT(P$1,2)&amp;LEFT(P$2,1),'Group Model'!$1:$1,0),FALSE)</f>
        <v>3015</v>
      </c>
      <c r="Q290" s="299">
        <f>VLOOKUP($AN290,'Group Model'!$1:$1048576,MATCH("FY"&amp;RIGHT(Q$1,2)&amp;LEFT(Q$2,1),'Group Model'!$1:$1,0),FALSE)</f>
        <v>3104</v>
      </c>
      <c r="R290" s="299" t="e">
        <f>VLOOKUP($AN290,'Group Model'!$1:$1048576,MATCH("FY"&amp;RIGHT(R$1,2)&amp;LEFT(R$2,1),'Group Model'!$1:$1,0),FALSE)</f>
        <v>#N/A</v>
      </c>
      <c r="S290" s="299" t="e">
        <f>VLOOKUP($AN290,'Group Model'!$1:$1048576,MATCH("FY"&amp;RIGHT(S$1,2)&amp;LEFT(S$2,1),'Group Model'!$1:$1,0),FALSE)</f>
        <v>#N/A</v>
      </c>
      <c r="T290" s="299" t="e">
        <f>VLOOKUP($AN290,'Group Model'!$1:$1048576,MATCH("FY"&amp;RIGHT(T$1,2)&amp;LEFT(T$2,1),'Group Model'!$1:$1,0),FALSE)</f>
        <v>#N/A</v>
      </c>
      <c r="U290" s="299"/>
      <c r="V290" s="299">
        <f>VLOOKUP($AN290,'Group Model'!$1:$1048576,MATCH("1H"&amp;MID(V$1,3,2)&amp;LEFT(V$2,1),'Group Model'!$1:$1,0),FALSE)</f>
        <v>517</v>
      </c>
      <c r="W290" s="299">
        <f>VLOOKUP($AN290,'Group Model'!$1:$1048576,MATCH("1H"&amp;MID(W$1,3,2)&amp;LEFT(W$2,1),'Group Model'!$1:$1,0),FALSE)</f>
        <v>517</v>
      </c>
      <c r="X290" s="299">
        <f>VLOOKUP($AN290,'Group Model'!$1:$1048576,MATCH("1H"&amp;MID(X$1,3,2)&amp;LEFT(X$2,1),'Group Model'!$1:$1,0),FALSE)</f>
        <v>810</v>
      </c>
      <c r="Y290" s="299">
        <f>VLOOKUP($AN290,'Group Model'!$1:$1048576,MATCH("1H"&amp;MID(Y$1,3,2)&amp;LEFT(Y$2,1),'Group Model'!$1:$1,0),FALSE)</f>
        <v>810</v>
      </c>
      <c r="Z290" s="299">
        <f>VLOOKUP($AN290,'Group Model'!$1:$1048576,MATCH("1H"&amp;MID(Z$1,3,2)&amp;LEFT(Z$2,1),'Group Model'!$1:$1,0),FALSE)</f>
        <v>1121</v>
      </c>
      <c r="AA290" s="299">
        <f>VLOOKUP($AN290,'Group Model'!$1:$1048576,MATCH("1H"&amp;MID(AA$1,3,2)&amp;LEFT(AA$2,1),'Group Model'!$1:$1,0),FALSE)</f>
        <v>1121</v>
      </c>
      <c r="AB290" s="299">
        <f>VLOOKUP($AN290,'Group Model'!$1:$1048576,MATCH("1H"&amp;MID(AB$1,3,2)&amp;LEFT(AB$2,1),'Group Model'!$1:$1,0),FALSE)</f>
        <v>1619</v>
      </c>
      <c r="AC290" s="299">
        <f>VLOOKUP($AN290,'Group Model'!$1:$1048576,MATCH("1H"&amp;MID(AC$1,3,2)&amp;LEFT(AC$2,1),'Group Model'!$1:$1,0),FALSE)</f>
        <v>1619</v>
      </c>
      <c r="AD290" s="299">
        <f>VLOOKUP($AN290,'Group Model'!$1:$1048576,MATCH("1H"&amp;MID(AD$1,3,2)&amp;LEFT(AD$2,1),'Group Model'!$1:$1,0),FALSE)</f>
        <v>1485</v>
      </c>
      <c r="AE290" s="299">
        <f>VLOOKUP($AN290,'Group Model'!$1:$1048576,MATCH("1H"&amp;MID(AE$1,3,2)&amp;LEFT(AE$2,1),'Group Model'!$1:$1,0),FALSE)</f>
        <v>1485</v>
      </c>
      <c r="AF290" s="299">
        <f>VLOOKUP($AN290,'Group Model'!$1:$1048576,MATCH("1H"&amp;MID(AF$1,3,2)&amp;LEFT(AF$2,1),'Group Model'!$1:$1,0),FALSE)</f>
        <v>1704</v>
      </c>
      <c r="AG290" s="299" t="e">
        <f>VLOOKUP($AN290,'Group Model'!$1:$1048576,MATCH("2H"&amp;MID(AG$1,3,2)&amp;LEFT(AG$2,1),'Group Model'!$1:$1,0),FALSE)</f>
        <v>#N/A</v>
      </c>
      <c r="AH290" s="299" t="e">
        <f>VLOOKUP($AN290,'Group Model'!$1:$1048576,MATCH("1H"&amp;MID(AH$1,3,2)&amp;LEFT(AH$2,1),'Group Model'!$1:$1,0),FALSE)</f>
        <v>#N/A</v>
      </c>
      <c r="AI290" s="299" t="e">
        <f>VLOOKUP($AN290,'Group Model'!$1:$1048576,MATCH("2H"&amp;MID(AI$1,3,2)&amp;LEFT(AI$2,1),'Group Model'!$1:$1,0),FALSE)</f>
        <v>#N/A</v>
      </c>
      <c r="AL290" s="298">
        <f>ROW()</f>
        <v>290</v>
      </c>
      <c r="AN290" s="298" t="str">
        <f>'Group Model'!A77</f>
        <v>PreTax</v>
      </c>
    </row>
    <row r="291" spans="1:41" outlineLevel="2">
      <c r="B291" t="s">
        <v>976</v>
      </c>
      <c r="C291" t="s">
        <v>977</v>
      </c>
      <c r="D291" t="str">
        <f t="shared" si="28"/>
        <v>AUD</v>
      </c>
      <c r="F291" s="299">
        <f>VLOOKUP($AN291,'Group Model'!$1:$1048576,MATCH("FY"&amp;RIGHT(F$1,2)&amp;LEFT(F$2,1),'Group Model'!$1:$1,0),FALSE)</f>
        <v>4832</v>
      </c>
      <c r="G291" s="299">
        <f>VLOOKUP($AN291,'Group Model'!$1:$1048576,MATCH("FY"&amp;RIGHT(G$1,2)&amp;LEFT(G$2,1),'Group Model'!$1:$1,0),FALSE)</f>
        <v>7181</v>
      </c>
      <c r="H291" s="299">
        <f>VLOOKUP($AN291,'Group Model'!$1:$1048576,MATCH("FY"&amp;RIGHT(H$1,2)&amp;LEFT(H$2,1),'Group Model'!$1:$1,0),FALSE)</f>
        <v>8248</v>
      </c>
      <c r="I291" s="299">
        <f>VLOOKUP($AN291,'Group Model'!$1:$1048576,MATCH("FY"&amp;RIGHT(I$1,2)&amp;LEFT(I$2,1),'Group Model'!$1:$1,0),FALSE)</f>
        <v>5526</v>
      </c>
      <c r="J291" s="299">
        <f>VLOOKUP($AN291,'Group Model'!$1:$1048576,MATCH("FY"&amp;RIGHT(J$1,2)&amp;LEFT(J$2,1),'Group Model'!$1:$1,0),FALSE)</f>
        <v>6638</v>
      </c>
      <c r="K291" s="299">
        <f>VLOOKUP($AN291,'Group Model'!$1:$1048576,MATCH("FY"&amp;RIGHT(K$1,2)&amp;LEFT(K$2,1),'Group Model'!$1:$1,0),FALSE)</f>
        <v>7665</v>
      </c>
      <c r="L291" s="299">
        <f>VLOOKUP($AN291,'Group Model'!$1:$1048576,MATCH("FY"&amp;RIGHT(L$1,2)&amp;LEFT(L$2,1),'Group Model'!$1:$1,0),FALSE)</f>
        <v>6963</v>
      </c>
      <c r="M291" s="299">
        <f>VLOOKUP($AN291,'Group Model'!$1:$1048576,MATCH("FY"&amp;RIGHT(M$1,2)&amp;LEFT(M$2,1),'Group Model'!$1:$1,0),FALSE)</f>
        <v>6657</v>
      </c>
      <c r="N291" s="299">
        <f>VLOOKUP($AN291,'Group Model'!$1:$1048576,MATCH("FY"&amp;RIGHT(N$1,2)&amp;LEFT(N$2,1),'Group Model'!$1:$1,0),FALSE)</f>
        <v>8132</v>
      </c>
      <c r="O291" s="299">
        <f>VLOOKUP($AN291,'Group Model'!$1:$1048576,MATCH("FY"&amp;RIGHT(O$1,2)&amp;LEFT(O$2,1),'Group Model'!$1:$1,0),FALSE)</f>
        <v>9262</v>
      </c>
      <c r="P291" s="299">
        <f>VLOOKUP($AN291,'Group Model'!$1:$1048576,MATCH("FY"&amp;RIGHT(P$1,2)&amp;LEFT(P$2,1),'Group Model'!$1:$1,0),FALSE)</f>
        <v>10135</v>
      </c>
      <c r="Q291" s="299">
        <f>VLOOKUP($AN291,'Group Model'!$1:$1048576,MATCH("FY"&amp;RIGHT(Q$1,2)&amp;LEFT(Q$2,1),'Group Model'!$1:$1,0),FALSE)</f>
        <v>10364</v>
      </c>
      <c r="R291" s="299" t="e">
        <f>VLOOKUP($AN291,'Group Model'!$1:$1048576,MATCH("FY"&amp;RIGHT(R$1,2)&amp;LEFT(R$2,1),'Group Model'!$1:$1,0),FALSE)</f>
        <v>#N/A</v>
      </c>
      <c r="S291" s="299" t="e">
        <f>VLOOKUP($AN291,'Group Model'!$1:$1048576,MATCH("FY"&amp;RIGHT(S$1,2)&amp;LEFT(S$2,1),'Group Model'!$1:$1,0),FALSE)</f>
        <v>#N/A</v>
      </c>
      <c r="T291" s="299" t="e">
        <f>VLOOKUP($AN291,'Group Model'!$1:$1048576,MATCH("FY"&amp;RIGHT(T$1,2)&amp;LEFT(T$2,1),'Group Model'!$1:$1,0),FALSE)</f>
        <v>#N/A</v>
      </c>
      <c r="U291" s="299"/>
      <c r="V291" s="299">
        <f>VLOOKUP($AN291,'Group Model'!$1:$1048576,MATCH("1H"&amp;MID(V$1,3,2)&amp;LEFT(V$2,1),'Group Model'!$1:$1,0),FALSE)</f>
        <v>3054</v>
      </c>
      <c r="W291" s="299">
        <f>VLOOKUP($AN291,'Group Model'!$1:$1048576,MATCH("1H"&amp;MID(W$1,3,2)&amp;LEFT(W$2,1),'Group Model'!$1:$1,0),FALSE)</f>
        <v>3054</v>
      </c>
      <c r="X291" s="299">
        <f>VLOOKUP($AN291,'Group Model'!$1:$1048576,MATCH("1H"&amp;MID(X$1,3,2)&amp;LEFT(X$2,1),'Group Model'!$1:$1,0),FALSE)</f>
        <v>3679</v>
      </c>
      <c r="Y291" s="299">
        <f>VLOOKUP($AN291,'Group Model'!$1:$1048576,MATCH("1H"&amp;MID(Y$1,3,2)&amp;LEFT(Y$2,1),'Group Model'!$1:$1,0),FALSE)</f>
        <v>3679</v>
      </c>
      <c r="Z291" s="299">
        <f>VLOOKUP($AN291,'Group Model'!$1:$1048576,MATCH("1H"&amp;MID(Z$1,3,2)&amp;LEFT(Z$2,1),'Group Model'!$1:$1,0),FALSE)</f>
        <v>4284</v>
      </c>
      <c r="AA291" s="299">
        <f>VLOOKUP($AN291,'Group Model'!$1:$1048576,MATCH("1H"&amp;MID(AA$1,3,2)&amp;LEFT(AA$2,1),'Group Model'!$1:$1,0),FALSE)</f>
        <v>4284</v>
      </c>
      <c r="AB291" s="299">
        <f>VLOOKUP($AN291,'Group Model'!$1:$1048576,MATCH("1H"&amp;MID(AB$1,3,2)&amp;LEFT(AB$2,1),'Group Model'!$1:$1,0),FALSE)</f>
        <v>5318</v>
      </c>
      <c r="AC291" s="299">
        <f>VLOOKUP($AN291,'Group Model'!$1:$1048576,MATCH("1H"&amp;MID(AC$1,3,2)&amp;LEFT(AC$2,1),'Group Model'!$1:$1,0),FALSE)</f>
        <v>5318</v>
      </c>
      <c r="AD291" s="299">
        <f>VLOOKUP($AN291,'Group Model'!$1:$1048576,MATCH("1H"&amp;MID(AD$1,3,2)&amp;LEFT(AD$2,1),'Group Model'!$1:$1,0),FALSE)</f>
        <v>5218</v>
      </c>
      <c r="AE291" s="299">
        <f>VLOOKUP($AN291,'Group Model'!$1:$1048576,MATCH("1H"&amp;MID(AE$1,3,2)&amp;LEFT(AE$2,1),'Group Model'!$1:$1,0),FALSE)</f>
        <v>5218</v>
      </c>
      <c r="AF291" s="299">
        <f>VLOOKUP($AN291,'Group Model'!$1:$1048576,MATCH("1H"&amp;MID(AF$1,3,2)&amp;LEFT(AF$2,1),'Group Model'!$1:$1,0),FALSE)</f>
        <v>5397</v>
      </c>
      <c r="AG291" s="299" t="e">
        <f>VLOOKUP($AN291,'Group Model'!$1:$1048576,MATCH("2H"&amp;MID(AG$1,3,2)&amp;LEFT(AG$2,1),'Group Model'!$1:$1,0),FALSE)</f>
        <v>#N/A</v>
      </c>
      <c r="AH291" s="299" t="e">
        <f>VLOOKUP($AN291,'Group Model'!$1:$1048576,MATCH("1H"&amp;MID(AH$1,3,2)&amp;LEFT(AH$2,1),'Group Model'!$1:$1,0),FALSE)</f>
        <v>#N/A</v>
      </c>
      <c r="AI291" s="299" t="e">
        <f>VLOOKUP($AN291,'Group Model'!$1:$1048576,MATCH("2H"&amp;MID(AI$1,3,2)&amp;LEFT(AI$2,1),'Group Model'!$1:$1,0),FALSE)</f>
        <v>#N/A</v>
      </c>
      <c r="AL291" s="298">
        <f>ROW()</f>
        <v>291</v>
      </c>
      <c r="AN291" s="298" t="str">
        <f>'Group Model'!A73</f>
        <v>TR</v>
      </c>
    </row>
    <row r="292" spans="1:41" outlineLevel="2">
      <c r="B292" t="s">
        <v>978</v>
      </c>
      <c r="C292" t="s">
        <v>979</v>
      </c>
      <c r="D292" t="str">
        <f t="shared" si="28"/>
        <v>AUD</v>
      </c>
      <c r="F292" s="299">
        <f>VLOOKUP($AN292,'Group Model'!$1:$1048576,MATCH("FY"&amp;RIGHT(F$1,2)&amp;LEFT(F$2,1),'Group Model'!$1:$1,0),FALSE)</f>
        <v>5337</v>
      </c>
      <c r="G292" s="299">
        <f>VLOOKUP($AN292,'Group Model'!$1:$1048576,MATCH("FY"&amp;RIGHT(G$1,2)&amp;LEFT(G$2,1),'Group Model'!$1:$1,0),FALSE)</f>
        <v>7519</v>
      </c>
      <c r="H292" s="299">
        <f>VLOOKUP($AN292,'Group Model'!$1:$1048576,MATCH("FY"&amp;RIGHT(H$1,2)&amp;LEFT(H$2,1),'Group Model'!$1:$1,0),FALSE)</f>
        <v>10061</v>
      </c>
      <c r="I292" s="299">
        <f>VLOOKUP($AN292,'Group Model'!$1:$1048576,MATCH("FY"&amp;RIGHT(I$1,2)&amp;LEFT(I$2,1),'Group Model'!$1:$1,0),FALSE)</f>
        <v>9560</v>
      </c>
      <c r="J292" s="299">
        <f>VLOOKUP($AN292,'Group Model'!$1:$1048576,MATCH("FY"&amp;RIGHT(J$1,2)&amp;LEFT(J$2,1),'Group Model'!$1:$1,0),FALSE)</f>
        <v>11769</v>
      </c>
      <c r="K292" s="299">
        <f>VLOOKUP($AN292,'Group Model'!$1:$1048576,MATCH("FY"&amp;RIGHT(K$1,2)&amp;LEFT(K$2,1),'Group Model'!$1:$1,0),FALSE)</f>
        <v>11932</v>
      </c>
      <c r="L292" s="299">
        <f>VLOOKUP($AN292,'Group Model'!$1:$1048576,MATCH("FY"&amp;RIGHT(L$1,2)&amp;LEFT(L$2,1),'Group Model'!$1:$1,0),FALSE)</f>
        <v>11732</v>
      </c>
      <c r="M292" s="299">
        <f>VLOOKUP($AN292,'Group Model'!$1:$1048576,MATCH("FY"&amp;RIGHT(M$1,2)&amp;LEFT(M$2,1),'Group Model'!$1:$1,0),FALSE)</f>
        <v>11955</v>
      </c>
      <c r="N292" s="299">
        <f>VLOOKUP($AN292,'Group Model'!$1:$1048576,MATCH("FY"&amp;RIGHT(N$1,2)&amp;LEFT(N$2,1),'Group Model'!$1:$1,0),FALSE)</f>
        <v>11914</v>
      </c>
      <c r="O292" s="299">
        <f>VLOOKUP($AN292,'Group Model'!$1:$1048576,MATCH("FY"&amp;RIGHT(O$1,2)&amp;LEFT(O$2,1),'Group Model'!$1:$1,0),FALSE)</f>
        <v>14396</v>
      </c>
      <c r="P292" s="299">
        <f>VLOOKUP($AN292,'Group Model'!$1:$1048576,MATCH("FY"&amp;RIGHT(P$1,2)&amp;LEFT(P$2,1),'Group Model'!$1:$1,0),FALSE)</f>
        <v>15664</v>
      </c>
      <c r="Q292" s="299">
        <f>VLOOKUP($AN292,'Group Model'!$1:$1048576,MATCH("FY"&amp;RIGHT(Q$1,2)&amp;LEFT(Q$2,1),'Group Model'!$1:$1,0),FALSE)</f>
        <v>17270</v>
      </c>
      <c r="R292" s="299" t="e">
        <f>VLOOKUP($AN292,'Group Model'!$1:$1048576,MATCH("FY"&amp;RIGHT(R$1,2)&amp;LEFT(R$2,1),'Group Model'!$1:$1,0),FALSE)</f>
        <v>#N/A</v>
      </c>
      <c r="S292" s="299" t="e">
        <f>VLOOKUP($AN292,'Group Model'!$1:$1048576,MATCH("FY"&amp;RIGHT(S$1,2)&amp;LEFT(S$2,1),'Group Model'!$1:$1,0),FALSE)</f>
        <v>#N/A</v>
      </c>
      <c r="T292" s="299" t="e">
        <f>VLOOKUP($AN292,'Group Model'!$1:$1048576,MATCH("FY"&amp;RIGHT(T$1,2)&amp;LEFT(T$2,1),'Group Model'!$1:$1,0),FALSE)</f>
        <v>#N/A</v>
      </c>
      <c r="U292" s="299"/>
      <c r="V292" s="299">
        <f>VLOOKUP($AN292,'Group Model'!$1:$1048576,MATCH("1H"&amp;MID(V$1,3,2)&amp;LEFT(V$2,1),'Group Model'!$1:$1,0),FALSE)</f>
        <v>11499</v>
      </c>
      <c r="W292" s="299">
        <f>VLOOKUP($AN292,'Group Model'!$1:$1048576,MATCH("1H"&amp;MID(W$1,3,2)&amp;LEFT(W$2,1),'Group Model'!$1:$1,0),FALSE)</f>
        <v>11499</v>
      </c>
      <c r="X292" s="299">
        <f>VLOOKUP($AN292,'Group Model'!$1:$1048576,MATCH("1H"&amp;MID(X$1,3,2)&amp;LEFT(X$2,1),'Group Model'!$1:$1,0),FALSE)</f>
        <v>12719</v>
      </c>
      <c r="Y292" s="299">
        <f>VLOOKUP($AN292,'Group Model'!$1:$1048576,MATCH("1H"&amp;MID(Y$1,3,2)&amp;LEFT(Y$2,1),'Group Model'!$1:$1,0),FALSE)</f>
        <v>12719</v>
      </c>
      <c r="Z292" s="299">
        <f>VLOOKUP($AN292,'Group Model'!$1:$1048576,MATCH("1H"&amp;MID(Z$1,3,2)&amp;LEFT(Z$2,1),'Group Model'!$1:$1,0),FALSE)</f>
        <v>12216</v>
      </c>
      <c r="AA292" s="299">
        <f>VLOOKUP($AN292,'Group Model'!$1:$1048576,MATCH("1H"&amp;MID(AA$1,3,2)&amp;LEFT(AA$2,1),'Group Model'!$1:$1,0),FALSE)</f>
        <v>12216</v>
      </c>
      <c r="AB292" s="299">
        <f>VLOOKUP($AN292,'Group Model'!$1:$1048576,MATCH("1H"&amp;MID(AB$1,3,2)&amp;LEFT(AB$2,1),'Group Model'!$1:$1,0),FALSE)</f>
        <v>15217</v>
      </c>
      <c r="AC292" s="299">
        <f>VLOOKUP($AN292,'Group Model'!$1:$1048576,MATCH("1H"&amp;MID(AC$1,3,2)&amp;LEFT(AC$2,1),'Group Model'!$1:$1,0),FALSE)</f>
        <v>15217</v>
      </c>
      <c r="AD292" s="299">
        <f>VLOOKUP($AN292,'Group Model'!$1:$1048576,MATCH("1H"&amp;MID(AD$1,3,2)&amp;LEFT(AD$2,1),'Group Model'!$1:$1,0),FALSE)</f>
        <v>15463</v>
      </c>
      <c r="AE292" s="299">
        <f>VLOOKUP($AN292,'Group Model'!$1:$1048576,MATCH("1H"&amp;MID(AE$1,3,2)&amp;LEFT(AE$2,1),'Group Model'!$1:$1,0),FALSE)</f>
        <v>15463</v>
      </c>
      <c r="AF292" s="299">
        <f>VLOOKUP($AN292,'Group Model'!$1:$1048576,MATCH("1H"&amp;MID(AF$1,3,2)&amp;LEFT(AF$2,1),'Group Model'!$1:$1,0),FALSE)</f>
        <v>17099</v>
      </c>
      <c r="AG292" s="299" t="e">
        <f>VLOOKUP($AN292,'Group Model'!$1:$1048576,MATCH("2H"&amp;MID(AG$1,3,2)&amp;LEFT(AG$2,1),'Group Model'!$1:$1,0),FALSE)</f>
        <v>#N/A</v>
      </c>
      <c r="AH292" s="299" t="e">
        <f>VLOOKUP($AN292,'Group Model'!$1:$1048576,MATCH("1H"&amp;MID(AH$1,3,2)&amp;LEFT(AH$2,1),'Group Model'!$1:$1,0),FALSE)</f>
        <v>#N/A</v>
      </c>
      <c r="AI292" s="299" t="e">
        <f>VLOOKUP($AN292,'Group Model'!$1:$1048576,MATCH("2H"&amp;MID(AI$1,3,2)&amp;LEFT(AI$2,1),'Group Model'!$1:$1,0),FALSE)</f>
        <v>#N/A</v>
      </c>
      <c r="AL292" s="298">
        <f>ROW()</f>
        <v>292</v>
      </c>
      <c r="AN292" s="298" t="str">
        <f>'Group Model'!A101</f>
        <v>OrdEqu_TotalEquity</v>
      </c>
    </row>
    <row r="293" spans="1:41" outlineLevel="2">
      <c r="B293" t="s">
        <v>980</v>
      </c>
      <c r="C293" t="s">
        <v>981</v>
      </c>
      <c r="D293" t="str">
        <f t="shared" si="28"/>
        <v>AUD</v>
      </c>
      <c r="F293" s="309"/>
      <c r="G293" s="309"/>
      <c r="H293" s="309"/>
      <c r="I293" s="309"/>
      <c r="J293" s="309"/>
      <c r="K293" s="309"/>
      <c r="L293" s="309"/>
      <c r="M293" s="309"/>
      <c r="N293" s="309"/>
      <c r="O293" s="309"/>
      <c r="P293" s="309"/>
      <c r="Q293" s="299"/>
      <c r="R293" s="309"/>
      <c r="S293" s="309"/>
      <c r="T293" s="309"/>
      <c r="U293" s="309"/>
      <c r="V293" s="309"/>
      <c r="W293" s="309"/>
      <c r="X293" s="309"/>
      <c r="Y293" s="309"/>
      <c r="Z293" s="309"/>
      <c r="AA293" s="309"/>
      <c r="AB293" s="309"/>
      <c r="AC293" s="309"/>
      <c r="AD293" s="309"/>
      <c r="AE293" s="309"/>
      <c r="AF293" s="309"/>
      <c r="AG293" s="309"/>
      <c r="AH293" s="309"/>
      <c r="AI293" s="309"/>
      <c r="AL293" s="298">
        <f>ROW()</f>
        <v>293</v>
      </c>
    </row>
    <row r="294" spans="1:41" outlineLevel="2">
      <c r="B294" t="s">
        <v>990</v>
      </c>
      <c r="C294" t="s">
        <v>991</v>
      </c>
      <c r="D294" t="str">
        <f t="shared" si="28"/>
        <v>AUD</v>
      </c>
      <c r="F294" s="309">
        <f t="shared" ref="F294:P294" si="33">F332</f>
        <v>15.048822263743697</v>
      </c>
      <c r="G294" s="309">
        <f t="shared" si="33"/>
        <v>23.897505723815083</v>
      </c>
      <c r="H294" s="309">
        <f t="shared" si="33"/>
        <v>29.676162268348829</v>
      </c>
      <c r="I294" s="309">
        <f t="shared" si="33"/>
        <v>27.289384540730161</v>
      </c>
      <c r="J294" s="309">
        <f t="shared" si="33"/>
        <v>27.694782502032691</v>
      </c>
      <c r="K294" s="309">
        <f t="shared" si="33"/>
        <v>28.428508179386032</v>
      </c>
      <c r="L294" s="309">
        <f t="shared" si="33"/>
        <v>27.656438296116363</v>
      </c>
      <c r="M294" s="309">
        <f t="shared" si="33"/>
        <v>29.441213160876455</v>
      </c>
      <c r="N294" s="309">
        <f t="shared" si="33"/>
        <v>33.0707997645899</v>
      </c>
      <c r="O294" s="309">
        <f t="shared" si="33"/>
        <v>38.192617804792491</v>
      </c>
      <c r="P294" s="309">
        <f t="shared" si="33"/>
        <v>41.230847411544701</v>
      </c>
      <c r="Q294" s="309">
        <f>Q332</f>
        <v>42.744209247782806</v>
      </c>
      <c r="R294" s="309" t="e">
        <f t="shared" ref="R294:AH294" si="34">R332</f>
        <v>#N/A</v>
      </c>
      <c r="S294" s="309" t="e">
        <f t="shared" si="34"/>
        <v>#N/A</v>
      </c>
      <c r="T294" s="309" t="e">
        <f t="shared" si="34"/>
        <v>#N/A</v>
      </c>
      <c r="U294" s="309"/>
      <c r="V294" s="309">
        <f t="shared" si="34"/>
        <v>28.002242961615185</v>
      </c>
      <c r="W294" s="309">
        <f t="shared" si="34"/>
        <v>28.002242961615185</v>
      </c>
      <c r="X294" s="309">
        <f t="shared" si="34"/>
        <v>31.636891744416676</v>
      </c>
      <c r="Y294" s="309">
        <f t="shared" si="34"/>
        <v>31.636891744416676</v>
      </c>
      <c r="Z294" s="309">
        <f t="shared" si="34"/>
        <v>32.502269810766208</v>
      </c>
      <c r="AA294" s="309">
        <f t="shared" si="34"/>
        <v>32.502269810766208</v>
      </c>
      <c r="AB294" s="309">
        <f t="shared" si="34"/>
        <v>40.301204169954715</v>
      </c>
      <c r="AC294" s="309">
        <f t="shared" si="34"/>
        <v>40.301204169954715</v>
      </c>
      <c r="AD294" s="309">
        <f t="shared" si="34"/>
        <v>40.905590927003658</v>
      </c>
      <c r="AE294" s="309">
        <f t="shared" si="34"/>
        <v>40.905590927003658</v>
      </c>
      <c r="AF294" s="309">
        <f t="shared" si="34"/>
        <v>42.192110205204465</v>
      </c>
      <c r="AG294" s="309" t="e">
        <f t="shared" si="34"/>
        <v>#N/A</v>
      </c>
      <c r="AH294" s="309" t="e">
        <f t="shared" si="34"/>
        <v>#N/A</v>
      </c>
      <c r="AI294" s="309" t="e">
        <f t="shared" ref="AI294" si="35">AI332</f>
        <v>#N/A</v>
      </c>
      <c r="AL294" s="298">
        <f>ROW()</f>
        <v>294</v>
      </c>
      <c r="AN294" s="298" t="s">
        <v>1763</v>
      </c>
    </row>
    <row r="295" spans="1:41" s="297" customFormat="1" outlineLevel="1">
      <c r="A295" s="316" t="s">
        <v>982</v>
      </c>
      <c r="B295" s="316"/>
      <c r="C295" s="316"/>
      <c r="D295" s="316"/>
      <c r="AL295" s="298">
        <f>ROW()</f>
        <v>295</v>
      </c>
    </row>
    <row r="296" spans="1:41" outlineLevel="2">
      <c r="B296" t="s">
        <v>983</v>
      </c>
      <c r="C296" t="s">
        <v>984</v>
      </c>
      <c r="E296" s="308" t="s">
        <v>1315</v>
      </c>
      <c r="AL296" s="298">
        <f>ROW()</f>
        <v>296</v>
      </c>
    </row>
    <row r="297" spans="1:41" outlineLevel="2">
      <c r="B297" t="s">
        <v>986</v>
      </c>
      <c r="C297" t="s">
        <v>987</v>
      </c>
      <c r="F297" s="302"/>
      <c r="G297" s="302"/>
      <c r="H297" s="302"/>
      <c r="I297" s="302"/>
      <c r="J297" s="302"/>
      <c r="K297" s="302"/>
      <c r="L297" s="302"/>
      <c r="M297" s="302"/>
      <c r="N297" s="302"/>
      <c r="O297" s="302"/>
      <c r="P297" s="302"/>
      <c r="Q297" s="302"/>
      <c r="R297" s="302"/>
      <c r="S297" s="302"/>
      <c r="T297" s="302"/>
      <c r="U297" s="302"/>
      <c r="V297" s="302"/>
      <c r="W297" s="302"/>
      <c r="X297" s="302"/>
      <c r="Y297" s="302"/>
      <c r="Z297" s="302"/>
      <c r="AA297" s="302"/>
      <c r="AB297" s="302"/>
      <c r="AC297" s="302"/>
      <c r="AD297" s="302"/>
      <c r="AE297" s="302"/>
      <c r="AF297" s="302"/>
      <c r="AG297" s="302"/>
      <c r="AH297" s="302"/>
      <c r="AI297" s="302"/>
      <c r="AL297" s="298">
        <f>ROW()</f>
        <v>297</v>
      </c>
    </row>
    <row r="298" spans="1:41" outlineLevel="2">
      <c r="B298" t="s">
        <v>988</v>
      </c>
      <c r="C298" t="s">
        <v>989</v>
      </c>
      <c r="D298" t="str">
        <f>E_CURRENCY_EQTY_200011471_PUB</f>
        <v>AUD</v>
      </c>
      <c r="F298" s="299">
        <f>VLOOKUP($AN298,'Group Model'!$1:$1048576,MATCH("FY"&amp;RIGHT(F$1,2)&amp;LEFT(F$2,1),'Group Model'!$1:$1,0),FALSE)</f>
        <v>916</v>
      </c>
      <c r="G298" s="299">
        <f>VLOOKUP($AN298,'Group Model'!$1:$1048576,MATCH("FY"&amp;RIGHT(G$1,2)&amp;LEFT(G$2,1),'Group Model'!$1:$1,0),FALSE)</f>
        <v>1463</v>
      </c>
      <c r="H298" s="299">
        <f>VLOOKUP($AN298,'Group Model'!$1:$1048576,MATCH("FY"&amp;RIGHT(H$1,2)&amp;LEFT(H$2,1),'Group Model'!$1:$1,0),FALSE)</f>
        <v>1803</v>
      </c>
      <c r="I298" s="299">
        <f>VLOOKUP($AN298,'Group Model'!$1:$1048576,MATCH("FY"&amp;RIGHT(I$1,2)&amp;LEFT(I$2,1),'Group Model'!$1:$1,0),FALSE)</f>
        <v>871</v>
      </c>
      <c r="J298" s="299">
        <f>VLOOKUP($AN298,'Group Model'!$1:$1048576,MATCH("FY"&amp;RIGHT(J$1,2)&amp;LEFT(J$2,1),'Group Model'!$1:$1,0),FALSE)</f>
        <v>1050</v>
      </c>
      <c r="K298" s="299">
        <f>VLOOKUP($AN298,'Group Model'!$1:$1048576,MATCH("FY"&amp;RIGHT(K$1,2)&amp;LEFT(K$2,1),'Group Model'!$1:$1,0),FALSE)</f>
        <v>956</v>
      </c>
      <c r="L298" s="299">
        <f>VLOOKUP($AN298,'Group Model'!$1:$1048576,MATCH("FY"&amp;RIGHT(L$1,2)&amp;LEFT(L$2,1),'Group Model'!$1:$1,0),FALSE)</f>
        <v>730</v>
      </c>
      <c r="M298" s="299">
        <f>VLOOKUP($AN298,'Group Model'!$1:$1048576,MATCH("FY"&amp;RIGHT(M$1,2)&amp;LEFT(M$2,1),'Group Model'!$1:$1,0),FALSE)</f>
        <v>851</v>
      </c>
      <c r="N298" s="299">
        <f>VLOOKUP($AN298,'Group Model'!$1:$1048576,MATCH("FY"&amp;RIGHT(N$1,2)&amp;LEFT(N$2,1),'Group Model'!$1:$1,0),FALSE)</f>
        <v>1265</v>
      </c>
      <c r="O298" s="299">
        <f>VLOOKUP($AN298,'Group Model'!$1:$1048576,MATCH("FY"&amp;RIGHT(O$1,2)&amp;LEFT(O$2,1),'Group Model'!$1:$1,0),FALSE)</f>
        <v>1604</v>
      </c>
      <c r="P298" s="299">
        <f>VLOOKUP($AN298,'Group Model'!$1:$1048576,MATCH("FY"&amp;RIGHT(P$1,2)&amp;LEFT(P$2,1),'Group Model'!$1:$1,0),FALSE)</f>
        <v>2063</v>
      </c>
      <c r="Q298" s="299">
        <f>VLOOKUP($AN298,'Group Model'!$1:$1048576,MATCH("FY"&amp;RIGHT(Q$1,2)&amp;LEFT(Q$2,1),'Group Model'!$1:$1,0),FALSE)</f>
        <v>2217</v>
      </c>
      <c r="R298" s="299" t="e">
        <f>VLOOKUP($AN298,'Group Model'!$1:$1048576,MATCH("FY"&amp;RIGHT(R$1,2)&amp;LEFT(R$2,1),'Group Model'!$1:$1,0),FALSE)</f>
        <v>#N/A</v>
      </c>
      <c r="S298" s="299" t="e">
        <f>VLOOKUP($AN298,'Group Model'!$1:$1048576,MATCH("FY"&amp;RIGHT(S$1,2)&amp;LEFT(S$2,1),'Group Model'!$1:$1,0),FALSE)</f>
        <v>#N/A</v>
      </c>
      <c r="T298" s="299" t="e">
        <f>VLOOKUP($AN298,'Group Model'!$1:$1048576,MATCH("FY"&amp;RIGHT(T$1,2)&amp;LEFT(T$2,1),'Group Model'!$1:$1,0),FALSE)</f>
        <v>#N/A</v>
      </c>
      <c r="U298" s="299"/>
      <c r="V298" s="299">
        <f>VLOOKUP($AN298,'Group Model'!$1:$1048576,MATCH("1H"&amp;MID(V$1,3,2)&amp;LEFT(V$2,1),'Group Model'!$1:$1,0),FALSE)</f>
        <v>361</v>
      </c>
      <c r="W298" s="299">
        <f>VLOOKUP($AN298,'Group Model'!$1:$1048576,MATCH("1H"&amp;MID(W$1,3,2)&amp;LEFT(W$2,1),'Group Model'!$1:$1,0),FALSE)</f>
        <v>361</v>
      </c>
      <c r="X298" s="299">
        <f>VLOOKUP($AN298,'Group Model'!$1:$1048576,MATCH("1H"&amp;MID(X$1,3,2)&amp;LEFT(X$2,1),'Group Model'!$1:$1,0),FALSE)</f>
        <v>501</v>
      </c>
      <c r="Y298" s="299">
        <f>VLOOKUP($AN298,'Group Model'!$1:$1048576,MATCH("1H"&amp;MID(Y$1,3,2)&amp;LEFT(Y$2,1),'Group Model'!$1:$1,0),FALSE)</f>
        <v>501</v>
      </c>
      <c r="Z298" s="299">
        <f>VLOOKUP($AN298,'Group Model'!$1:$1048576,MATCH("1H"&amp;MID(Z$1,3,2)&amp;LEFT(Z$2,1),'Group Model'!$1:$1,0),FALSE)</f>
        <v>678</v>
      </c>
      <c r="AA298" s="299">
        <f>VLOOKUP($AN298,'Group Model'!$1:$1048576,MATCH("1H"&amp;MID(AA$1,3,2)&amp;LEFT(AA$2,1),'Group Model'!$1:$1,0),FALSE)</f>
        <v>678</v>
      </c>
      <c r="AB298" s="299">
        <f>VLOOKUP($AN298,'Group Model'!$1:$1048576,MATCH("1H"&amp;MID(AB$1,3,2)&amp;LEFT(AB$2,1),'Group Model'!$1:$1,0),FALSE)</f>
        <v>1070</v>
      </c>
      <c r="AC298" s="299">
        <f>VLOOKUP($AN298,'Group Model'!$1:$1048576,MATCH("1H"&amp;MID(AC$1,3,2)&amp;LEFT(AC$2,1),'Group Model'!$1:$1,0),FALSE)</f>
        <v>1070</v>
      </c>
      <c r="AD298" s="299">
        <f>VLOOKUP($AN298,'Group Model'!$1:$1048576,MATCH("1H"&amp;MID(AD$1,3,2)&amp;LEFT(AD$2,1),'Group Model'!$1:$1,0),FALSE)</f>
        <v>1050</v>
      </c>
      <c r="AE298" s="299">
        <f>VLOOKUP($AN298,'Group Model'!$1:$1048576,MATCH("1H"&amp;MID(AE$1,3,2)&amp;LEFT(AE$2,1),'Group Model'!$1:$1,0),FALSE)</f>
        <v>1050</v>
      </c>
      <c r="AF298" s="299">
        <f>VLOOKUP($AN298,'Group Model'!$1:$1048576,MATCH("1H"&amp;MID(AF$1,3,2)&amp;LEFT(AF$2,1),'Group Model'!$1:$1,0),FALSE)</f>
        <v>1248</v>
      </c>
      <c r="AG298" s="299" t="e">
        <f>VLOOKUP($AN298,'Group Model'!$1:$1048576,MATCH("2H"&amp;MID(AG$1,3,2)&amp;LEFT(AG$2,1),'Group Model'!$1:$1,0),FALSE)</f>
        <v>#N/A</v>
      </c>
      <c r="AH298" s="299" t="e">
        <f>VLOOKUP($AN298,'Group Model'!$1:$1048576,MATCH("1H"&amp;MID(AH$1,3,2)&amp;LEFT(AH$2,1),'Group Model'!$1:$1,0),FALSE)</f>
        <v>#N/A</v>
      </c>
      <c r="AI298" s="299" t="e">
        <f>VLOOKUP($AN298,'Group Model'!$1:$1048576,MATCH("2H"&amp;MID(AI$1,3,2)&amp;LEFT(AI$2,1),'Group Model'!$1:$1,0),FALSE)</f>
        <v>#N/A</v>
      </c>
      <c r="AL298" s="298">
        <f>ROW()</f>
        <v>298</v>
      </c>
      <c r="AN298" s="298" t="str">
        <f>'Group Model'!A84</f>
        <v>CE_TotalCoyStat</v>
      </c>
    </row>
    <row r="299" spans="1:41" outlineLevel="2">
      <c r="B299" t="s">
        <v>992</v>
      </c>
      <c r="C299" t="s">
        <v>993</v>
      </c>
      <c r="F299" s="302">
        <f>VLOOKUP($AN299,'Group Model'!$1:$1048576,MATCH("FY"&amp;RIGHT(F$1,2)&amp;LEFT(F$2,1),'Group Model'!$1:$1,0),FALSE)</f>
        <v>0.95813953488372094</v>
      </c>
      <c r="G299" s="302">
        <f>VLOOKUP($AN299,'Group Model'!$1:$1048576,MATCH("FY"&amp;RIGHT(G$1,2)&amp;LEFT(G$2,1),'Group Model'!$1:$1,0),FALSE)</f>
        <v>1</v>
      </c>
      <c r="H299" s="302">
        <f>VLOOKUP($AN299,'Group Model'!$1:$1048576,MATCH("FY"&amp;RIGHT(H$1,2)&amp;LEFT(H$2,1),'Group Model'!$1:$1,0),FALSE)</f>
        <v>1</v>
      </c>
      <c r="I299" s="302">
        <f>VLOOKUP($AN299,'Group Model'!$1:$1048576,MATCH("FY"&amp;RIGHT(I$1,2)&amp;LEFT(I$2,1),'Group Model'!$1:$1,0),FALSE)</f>
        <v>0.75675675675675702</v>
      </c>
      <c r="J299" s="302">
        <f>VLOOKUP($AN299,'Group Model'!$1:$1048576,MATCH("FY"&amp;RIGHT(J$1,2)&amp;LEFT(J$2,1),'Group Model'!$1:$1,0),FALSE)</f>
        <v>0</v>
      </c>
      <c r="K299" s="302">
        <f>VLOOKUP($AN299,'Group Model'!$1:$1048576,MATCH("FY"&amp;RIGHT(K$1,2)&amp;LEFT(K$2,1),'Group Model'!$1:$1,0),FALSE)</f>
        <v>0</v>
      </c>
      <c r="L299" s="302">
        <f>VLOOKUP($AN299,'Group Model'!$1:$1048576,MATCH("FY"&amp;RIGHT(L$1,2)&amp;LEFT(L$2,1),'Group Model'!$1:$1,0),FALSE)</f>
        <v>0</v>
      </c>
      <c r="M299" s="302">
        <f>VLOOKUP($AN299,'Group Model'!$1:$1048576,MATCH("FY"&amp;RIGHT(M$1,2)&amp;LEFT(M$2,1),'Group Model'!$1:$1,0),FALSE)</f>
        <v>0.25</v>
      </c>
      <c r="N299" s="302">
        <f>VLOOKUP($AN299,'Group Model'!$1:$1048576,MATCH("FY"&amp;RIGHT(N$1,2)&amp;LEFT(N$2,1),'Group Model'!$1:$1,0),FALSE)</f>
        <v>0.39999999999999997</v>
      </c>
      <c r="O299" s="302">
        <f>VLOOKUP($AN299,'Group Model'!$1:$1048576,MATCH("FY"&amp;RIGHT(O$1,2)&amp;LEFT(O$2,1),'Group Model'!$1:$1,0),FALSE)</f>
        <v>0.4</v>
      </c>
      <c r="P299" s="302">
        <f>VLOOKUP($AN299,'Group Model'!$1:$1048576,MATCH("FY"&amp;RIGHT(P$1,2)&amp;LEFT(P$2,1),'Group Model'!$1:$1,0),FALSE)</f>
        <v>0.4</v>
      </c>
      <c r="Q299" s="302">
        <f>VLOOKUP($AN299,'Group Model'!$1:$1048576,MATCH("FY"&amp;RIGHT(Q$1,2)&amp;LEFT(Q$2,1),'Group Model'!$1:$1,0),FALSE)</f>
        <v>0.45000000000000012</v>
      </c>
      <c r="R299" s="302" t="e">
        <f>VLOOKUP($AN299,'Group Model'!$1:$1048576,MATCH("FY"&amp;RIGHT(R$1,2)&amp;LEFT(R$2,1),'Group Model'!$1:$1,0),FALSE)</f>
        <v>#N/A</v>
      </c>
      <c r="S299" s="302" t="e">
        <f>VLOOKUP($AN299,'Group Model'!$1:$1048576,MATCH("FY"&amp;RIGHT(S$1,2)&amp;LEFT(S$2,1),'Group Model'!$1:$1,0),FALSE)</f>
        <v>#N/A</v>
      </c>
      <c r="T299" s="302" t="e">
        <f>VLOOKUP($AN299,'Group Model'!$1:$1048576,MATCH("FY"&amp;RIGHT(T$1,2)&amp;LEFT(T$2,1),'Group Model'!$1:$1,0),FALSE)</f>
        <v>#N/A</v>
      </c>
      <c r="U299" s="302"/>
      <c r="V299" s="302">
        <f>VLOOKUP($AN299,'Group Model'!$1:$1048576,MATCH("1H"&amp;MID(V$1,3,2)&amp;LEFT(V$2,1),'Group Model'!$1:$1,0),FALSE)</f>
        <v>0</v>
      </c>
      <c r="W299" s="302">
        <f>VLOOKUP($AN299,'Group Model'!$1:$1048576,MATCH("1H"&amp;MID(W$1,3,2)&amp;LEFT(W$2,1),'Group Model'!$1:$1,0),FALSE)</f>
        <v>0</v>
      </c>
      <c r="X299" s="302">
        <f>VLOOKUP($AN299,'Group Model'!$1:$1048576,MATCH("1H"&amp;MID(X$1,3,2)&amp;LEFT(X$2,1),'Group Model'!$1:$1,0),FALSE)</f>
        <v>0.4</v>
      </c>
      <c r="Y299" s="302">
        <f>VLOOKUP($AN299,'Group Model'!$1:$1048576,MATCH("1H"&amp;MID(Y$1,3,2)&amp;LEFT(Y$2,1),'Group Model'!$1:$1,0),FALSE)</f>
        <v>0.4</v>
      </c>
      <c r="Z299" s="302">
        <f>VLOOKUP($AN299,'Group Model'!$1:$1048576,MATCH("1H"&amp;MID(Z$1,3,2)&amp;LEFT(Z$2,1),'Group Model'!$1:$1,0),FALSE)</f>
        <v>0.4</v>
      </c>
      <c r="AA299" s="302">
        <f>VLOOKUP($AN299,'Group Model'!$1:$1048576,MATCH("1H"&amp;MID(AA$1,3,2)&amp;LEFT(AA$2,1),'Group Model'!$1:$1,0),FALSE)</f>
        <v>0.4</v>
      </c>
      <c r="AB299" s="302">
        <f>VLOOKUP($AN299,'Group Model'!$1:$1048576,MATCH("1H"&amp;MID(AB$1,3,2)&amp;LEFT(AB$2,1),'Group Model'!$1:$1,0),FALSE)</f>
        <v>0.4</v>
      </c>
      <c r="AC299" s="302">
        <f>VLOOKUP($AN299,'Group Model'!$1:$1048576,MATCH("1H"&amp;MID(AC$1,3,2)&amp;LEFT(AC$2,1),'Group Model'!$1:$1,0),FALSE)</f>
        <v>0.4</v>
      </c>
      <c r="AD299" s="302">
        <f>VLOOKUP($AN299,'Group Model'!$1:$1048576,MATCH("1H"&amp;MID(AD$1,3,2)&amp;LEFT(AD$2,1),'Group Model'!$1:$1,0),FALSE)</f>
        <v>0.45</v>
      </c>
      <c r="AE299" s="302">
        <f>VLOOKUP($AN299,'Group Model'!$1:$1048576,MATCH("1H"&amp;MID(AE$1,3,2)&amp;LEFT(AE$2,1),'Group Model'!$1:$1,0),FALSE)</f>
        <v>0.45</v>
      </c>
      <c r="AF299" s="302">
        <f>VLOOKUP($AN299,'Group Model'!$1:$1048576,MATCH("1H"&amp;MID(AF$1,3,2)&amp;LEFT(AF$2,1),'Group Model'!$1:$1,0),FALSE)</f>
        <v>0.45</v>
      </c>
      <c r="AG299" s="302" t="e">
        <f>VLOOKUP($AN299,'Group Model'!$1:$1048576,MATCH("2H"&amp;MID(AG$1,3,2)&amp;LEFT(AG$2,1),'Group Model'!$1:$1,0),FALSE)</f>
        <v>#N/A</v>
      </c>
      <c r="AH299" s="302" t="e">
        <f>VLOOKUP($AN299,'Group Model'!$1:$1048576,MATCH("1H"&amp;MID(AH$1,3,2)&amp;LEFT(AH$2,1),'Group Model'!$1:$1,0),FALSE)</f>
        <v>#N/A</v>
      </c>
      <c r="AI299" s="302" t="e">
        <f>VLOOKUP($AN299,'Group Model'!$1:$1048576,MATCH("2H"&amp;MID(AI$1,3,2)&amp;LEFT(AI$2,1),'Group Model'!$1:$1,0),FALSE)</f>
        <v>#N/A</v>
      </c>
      <c r="AL299" s="298">
        <f>ROW()</f>
        <v>299</v>
      </c>
      <c r="AN299" s="298" t="str">
        <f>'Group Model'!A39</f>
        <v>ASS_CapitalDPSFrankingRate</v>
      </c>
    </row>
    <row r="300" spans="1:41" outlineLevel="2">
      <c r="B300" t="s">
        <v>1365</v>
      </c>
      <c r="C300" t="s">
        <v>1366</v>
      </c>
      <c r="F300" s="302">
        <f>VLOOKUP($AN300,'Group Model'!$1:$1048576,MATCH("FY"&amp;RIGHT(F$1,2)&amp;LEFT(F$2,1),'Group Model'!$1:$1,0),FALSE)</f>
        <v>0.95813953488372094</v>
      </c>
      <c r="G300" s="302">
        <f>VLOOKUP($AN300,'Group Model'!$1:$1048576,MATCH("FY"&amp;RIGHT(G$1,2)&amp;LEFT(G$2,1),'Group Model'!$1:$1,0),FALSE)</f>
        <v>1</v>
      </c>
      <c r="H300" s="302">
        <f>VLOOKUP($AN300,'Group Model'!$1:$1048576,MATCH("FY"&amp;RIGHT(H$1,2)&amp;LEFT(H$2,1),'Group Model'!$1:$1,0),FALSE)</f>
        <v>1</v>
      </c>
      <c r="I300" s="302">
        <f>VLOOKUP($AN300,'Group Model'!$1:$1048576,MATCH("FY"&amp;RIGHT(I$1,2)&amp;LEFT(I$2,1),'Group Model'!$1:$1,0),FALSE)</f>
        <v>0.75675675675675702</v>
      </c>
      <c r="J300" s="302">
        <f>VLOOKUP($AN300,'Group Model'!$1:$1048576,MATCH("FY"&amp;RIGHT(J$1,2)&amp;LEFT(J$2,1),'Group Model'!$1:$1,0),FALSE)</f>
        <v>0</v>
      </c>
      <c r="K300" s="302">
        <f>VLOOKUP($AN300,'Group Model'!$1:$1048576,MATCH("FY"&amp;RIGHT(K$1,2)&amp;LEFT(K$2,1),'Group Model'!$1:$1,0),FALSE)</f>
        <v>0</v>
      </c>
      <c r="L300" s="302">
        <f>VLOOKUP($AN300,'Group Model'!$1:$1048576,MATCH("FY"&amp;RIGHT(L$1,2)&amp;LEFT(L$2,1),'Group Model'!$1:$1,0),FALSE)</f>
        <v>0</v>
      </c>
      <c r="M300" s="302">
        <f>VLOOKUP($AN300,'Group Model'!$1:$1048576,MATCH("FY"&amp;RIGHT(M$1,2)&amp;LEFT(M$2,1),'Group Model'!$1:$1,0),FALSE)</f>
        <v>0.25</v>
      </c>
      <c r="N300" s="302">
        <f>VLOOKUP($AN300,'Group Model'!$1:$1048576,MATCH("FY"&amp;RIGHT(N$1,2)&amp;LEFT(N$2,1),'Group Model'!$1:$1,0),FALSE)</f>
        <v>0.39999999999999997</v>
      </c>
      <c r="O300" s="302">
        <f>VLOOKUP($AN300,'Group Model'!$1:$1048576,MATCH("FY"&amp;RIGHT(O$1,2)&amp;LEFT(O$2,1),'Group Model'!$1:$1,0),FALSE)</f>
        <v>0.4</v>
      </c>
      <c r="P300" s="302">
        <f>VLOOKUP($AN300,'Group Model'!$1:$1048576,MATCH("FY"&amp;RIGHT(P$1,2)&amp;LEFT(P$2,1),'Group Model'!$1:$1,0),FALSE)</f>
        <v>0.4</v>
      </c>
      <c r="Q300" s="302">
        <f>VLOOKUP($AN300,'Group Model'!$1:$1048576,MATCH("FY"&amp;RIGHT(Q$1,2)&amp;LEFT(Q$2,1),'Group Model'!$1:$1,0),FALSE)</f>
        <v>0.45000000000000012</v>
      </c>
      <c r="R300" s="302" t="e">
        <f>VLOOKUP($AN300,'Group Model'!$1:$1048576,MATCH("FY"&amp;RIGHT(R$1,2)&amp;LEFT(R$2,1),'Group Model'!$1:$1,0),FALSE)</f>
        <v>#N/A</v>
      </c>
      <c r="S300" s="302" t="e">
        <f>VLOOKUP($AN300,'Group Model'!$1:$1048576,MATCH("FY"&amp;RIGHT(S$1,2)&amp;LEFT(S$2,1),'Group Model'!$1:$1,0),FALSE)</f>
        <v>#N/A</v>
      </c>
      <c r="T300" s="302" t="e">
        <f>VLOOKUP($AN300,'Group Model'!$1:$1048576,MATCH("FY"&amp;RIGHT(T$1,2)&amp;LEFT(T$2,1),'Group Model'!$1:$1,0),FALSE)</f>
        <v>#N/A</v>
      </c>
      <c r="U300" s="302"/>
      <c r="V300" s="302">
        <f>VLOOKUP($AN300,'Group Model'!$1:$1048576,MATCH("1H"&amp;MID(V$1,3,2)&amp;LEFT(V$2,1),'Group Model'!$1:$1,0),FALSE)</f>
        <v>0</v>
      </c>
      <c r="W300" s="302">
        <f>VLOOKUP($AN300,'Group Model'!$1:$1048576,MATCH("1H"&amp;MID(W$1,3,2)&amp;LEFT(W$2,1),'Group Model'!$1:$1,0),FALSE)</f>
        <v>0</v>
      </c>
      <c r="X300" s="302">
        <f>VLOOKUP($AN300,'Group Model'!$1:$1048576,MATCH("1H"&amp;MID(X$1,3,2)&amp;LEFT(X$2,1),'Group Model'!$1:$1,0),FALSE)</f>
        <v>0.4</v>
      </c>
      <c r="Y300" s="302">
        <f>VLOOKUP($AN300,'Group Model'!$1:$1048576,MATCH("1H"&amp;MID(Y$1,3,2)&amp;LEFT(Y$2,1),'Group Model'!$1:$1,0),FALSE)</f>
        <v>0.4</v>
      </c>
      <c r="Z300" s="302">
        <f>VLOOKUP($AN300,'Group Model'!$1:$1048576,MATCH("1H"&amp;MID(Z$1,3,2)&amp;LEFT(Z$2,1),'Group Model'!$1:$1,0),FALSE)</f>
        <v>0.4</v>
      </c>
      <c r="AA300" s="302">
        <f>VLOOKUP($AN300,'Group Model'!$1:$1048576,MATCH("1H"&amp;MID(AA$1,3,2)&amp;LEFT(AA$2,1),'Group Model'!$1:$1,0),FALSE)</f>
        <v>0.4</v>
      </c>
      <c r="AB300" s="302">
        <f>VLOOKUP($AN300,'Group Model'!$1:$1048576,MATCH("1H"&amp;MID(AB$1,3,2)&amp;LEFT(AB$2,1),'Group Model'!$1:$1,0),FALSE)</f>
        <v>0.4</v>
      </c>
      <c r="AC300" s="302">
        <f>VLOOKUP($AN300,'Group Model'!$1:$1048576,MATCH("1H"&amp;MID(AC$1,3,2)&amp;LEFT(AC$2,1),'Group Model'!$1:$1,0),FALSE)</f>
        <v>0.4</v>
      </c>
      <c r="AD300" s="302">
        <f>VLOOKUP($AN300,'Group Model'!$1:$1048576,MATCH("1H"&amp;MID(AD$1,3,2)&amp;LEFT(AD$2,1),'Group Model'!$1:$1,0),FALSE)</f>
        <v>0.45</v>
      </c>
      <c r="AE300" s="302">
        <f>VLOOKUP($AN300,'Group Model'!$1:$1048576,MATCH("1H"&amp;MID(AE$1,3,2)&amp;LEFT(AE$2,1),'Group Model'!$1:$1,0),FALSE)</f>
        <v>0.45</v>
      </c>
      <c r="AF300" s="302">
        <f>VLOOKUP($AN300,'Group Model'!$1:$1048576,MATCH("1H"&amp;MID(AF$1,3,2)&amp;LEFT(AF$2,1),'Group Model'!$1:$1,0),FALSE)</f>
        <v>0.45</v>
      </c>
      <c r="AG300" s="302" t="e">
        <f>VLOOKUP($AN300,'Group Model'!$1:$1048576,MATCH("2H"&amp;MID(AG$1,3,2)&amp;LEFT(AG$2,1),'Group Model'!$1:$1,0),FALSE)</f>
        <v>#N/A</v>
      </c>
      <c r="AH300" s="302" t="e">
        <f>VLOOKUP($AN300,'Group Model'!$1:$1048576,MATCH("1H"&amp;MID(AH$1,3,2)&amp;LEFT(AH$2,1),'Group Model'!$1:$1,0),FALSE)</f>
        <v>#N/A</v>
      </c>
      <c r="AI300" s="302" t="e">
        <f>VLOOKUP($AN300,'Group Model'!$1:$1048576,MATCH("2H"&amp;MID(AI$1,3,2)&amp;LEFT(AI$2,1),'Group Model'!$1:$1,0),FALSE)</f>
        <v>#N/A</v>
      </c>
      <c r="AL300" s="298">
        <f>ROW()</f>
        <v>300</v>
      </c>
      <c r="AN300" s="298" t="s">
        <v>106</v>
      </c>
    </row>
    <row r="301" spans="1:41" s="297" customFormat="1" outlineLevel="1">
      <c r="A301" s="316" t="s">
        <v>761</v>
      </c>
      <c r="B301" s="316"/>
      <c r="C301" s="316"/>
      <c r="D301" s="316"/>
      <c r="AL301" s="298">
        <f>ROW()</f>
        <v>301</v>
      </c>
    </row>
    <row r="302" spans="1:41" outlineLevel="2">
      <c r="B302" t="s">
        <v>994</v>
      </c>
      <c r="C302" t="s">
        <v>995</v>
      </c>
      <c r="D302" t="str">
        <f t="shared" ref="D302:D315" si="36">E_CURRENCY_EQTY_200011471_REP</f>
        <v>AUD</v>
      </c>
      <c r="F302" s="299">
        <f>VLOOKUP($AN302,'Group Model'!$1:$1048576,MATCH("FY"&amp;RIGHT(F$1,2)&amp;LEFT(F$2,1),'Group Model'!$1:$1,0),FALSE)</f>
        <v>-290</v>
      </c>
      <c r="G302" s="299">
        <f>VLOOKUP($AN302,'Group Model'!$1:$1048576,MATCH("FY"&amp;RIGHT(G$1,2)&amp;LEFT(G$2,1),'Group Model'!$1:$1,0),FALSE)</f>
        <v>-377</v>
      </c>
      <c r="H302" s="299">
        <f>VLOOKUP($AN302,'Group Model'!$1:$1048576,MATCH("FY"&amp;RIGHT(H$1,2)&amp;LEFT(H$2,1),'Group Model'!$1:$1,0),FALSE)</f>
        <v>-317</v>
      </c>
      <c r="I302" s="299">
        <f>VLOOKUP($AN302,'Group Model'!$1:$1048576,MATCH("FY"&amp;RIGHT(I$1,2)&amp;LEFT(I$2,1),'Group Model'!$1:$1,0),FALSE)</f>
        <v>-15</v>
      </c>
      <c r="J302" s="299">
        <f>VLOOKUP($AN302,'Group Model'!$1:$1048576,MATCH("FY"&amp;RIGHT(J$1,2)&amp;LEFT(J$2,1),'Group Model'!$1:$1,0),FALSE)</f>
        <v>-201</v>
      </c>
      <c r="K302" s="299">
        <f>VLOOKUP($AN302,'Group Model'!$1:$1048576,MATCH("FY"&amp;RIGHT(K$1,2)&amp;LEFT(K$2,1),'Group Model'!$1:$1,0),FALSE)</f>
        <v>-282</v>
      </c>
      <c r="L302" s="299">
        <f>VLOOKUP($AN302,'Group Model'!$1:$1048576,MATCH("FY"&amp;RIGHT(L$1,2)&amp;LEFT(L$2,1),'Group Model'!$1:$1,0),FALSE)</f>
        <v>-287</v>
      </c>
      <c r="M302" s="299">
        <f>VLOOKUP($AN302,'Group Model'!$1:$1048576,MATCH("FY"&amp;RIGHT(M$1,2)&amp;LEFT(M$2,1),'Group Model'!$1:$1,0),FALSE)</f>
        <v>-533</v>
      </c>
      <c r="N302" s="299">
        <f>VLOOKUP($AN302,'Group Model'!$1:$1048576,MATCH("FY"&amp;RIGHT(N$1,2)&amp;LEFT(N$2,1),'Group Model'!$1:$1,0),FALSE)</f>
        <v>-827</v>
      </c>
      <c r="O302" s="299">
        <f>VLOOKUP($AN302,'Group Model'!$1:$1048576,MATCH("FY"&amp;RIGHT(O$1,2)&amp;LEFT(O$2,1),'Group Model'!$1:$1,0),FALSE)</f>
        <v>-899</v>
      </c>
      <c r="P302" s="299">
        <f>VLOOKUP($AN302,'Group Model'!$1:$1048576,MATCH("FY"&amp;RIGHT(P$1,2)&amp;LEFT(P$2,1),'Group Model'!$1:$1,0),FALSE)</f>
        <v>-927</v>
      </c>
      <c r="Q302" s="299">
        <f>VLOOKUP($AN302,'Group Model'!$1:$1048576,MATCH("FY"&amp;RIGHT(Q$1,2)&amp;LEFT(Q$2,1),'Group Model'!$1:$1,0),FALSE)</f>
        <v>-868</v>
      </c>
      <c r="R302" s="299" t="e">
        <f>VLOOKUP($AN302,'Group Model'!$1:$1048576,MATCH("FY"&amp;RIGHT(R$1,2)&amp;LEFT(R$2,1),'Group Model'!$1:$1,0),FALSE)</f>
        <v>#N/A</v>
      </c>
      <c r="S302" s="299" t="e">
        <f>VLOOKUP($AN302,'Group Model'!$1:$1048576,MATCH("FY"&amp;RIGHT(S$1,2)&amp;LEFT(S$2,1),'Group Model'!$1:$1,0),FALSE)</f>
        <v>#N/A</v>
      </c>
      <c r="T302" s="299" t="e">
        <f>VLOOKUP($AN302,'Group Model'!$1:$1048576,MATCH("FY"&amp;RIGHT(T$1,2)&amp;LEFT(T$2,1),'Group Model'!$1:$1,0),FALSE)</f>
        <v>#N/A</v>
      </c>
      <c r="U302" s="299"/>
      <c r="V302" s="299">
        <f>VLOOKUP($AN302,'Group Model'!$1:$1048576,MATCH("1H"&amp;MID(V$1,3,2)&amp;LEFT(V$2,1),'Group Model'!$1:$1,0),FALSE)</f>
        <v>-156</v>
      </c>
      <c r="W302" s="299">
        <f>VLOOKUP($AN302,'Group Model'!$1:$1048576,MATCH("1H"&amp;MID(W$1,3,2)&amp;LEFT(W$2,1),'Group Model'!$1:$1,0),FALSE)</f>
        <v>-156</v>
      </c>
      <c r="X302" s="299">
        <f>VLOOKUP($AN302,'Group Model'!$1:$1048576,MATCH("1H"&amp;MID(X$1,3,2)&amp;LEFT(X$2,1),'Group Model'!$1:$1,0),FALSE)</f>
        <v>-307</v>
      </c>
      <c r="Y302" s="299">
        <f>VLOOKUP($AN302,'Group Model'!$1:$1048576,MATCH("1H"&amp;MID(Y$1,3,2)&amp;LEFT(Y$2,1),'Group Model'!$1:$1,0),FALSE)</f>
        <v>-307</v>
      </c>
      <c r="Z302" s="299">
        <f>VLOOKUP($AN302,'Group Model'!$1:$1048576,MATCH("1H"&amp;MID(Z$1,3,2)&amp;LEFT(Z$2,1),'Group Model'!$1:$1,0),FALSE)</f>
        <v>-432</v>
      </c>
      <c r="AA302" s="299">
        <f>VLOOKUP($AN302,'Group Model'!$1:$1048576,MATCH("1H"&amp;MID(AA$1,3,2)&amp;LEFT(AA$2,1),'Group Model'!$1:$1,0),FALSE)</f>
        <v>-432</v>
      </c>
      <c r="AB302" s="299">
        <f>VLOOKUP($AN302,'Group Model'!$1:$1048576,MATCH("1H"&amp;MID(AB$1,3,2)&amp;LEFT(AB$2,1),'Group Model'!$1:$1,0),FALSE)</f>
        <v>-530</v>
      </c>
      <c r="AC302" s="299">
        <f>VLOOKUP($AN302,'Group Model'!$1:$1048576,MATCH("1H"&amp;MID(AC$1,3,2)&amp;LEFT(AC$2,1),'Group Model'!$1:$1,0),FALSE)</f>
        <v>-530</v>
      </c>
      <c r="AD302" s="299">
        <f>VLOOKUP($AN302,'Group Model'!$1:$1048576,MATCH("1H"&amp;MID(AD$1,3,2)&amp;LEFT(AD$2,1),'Group Model'!$1:$1,0),FALSE)</f>
        <v>-438</v>
      </c>
      <c r="AE302" s="299">
        <f>VLOOKUP($AN302,'Group Model'!$1:$1048576,MATCH("1H"&amp;MID(AE$1,3,2)&amp;LEFT(AE$2,1),'Group Model'!$1:$1,0),FALSE)</f>
        <v>-438</v>
      </c>
      <c r="AF302" s="299">
        <f>VLOOKUP($AN302,'Group Model'!$1:$1048576,MATCH("1H"&amp;MID(AF$1,3,2)&amp;LEFT(AF$2,1),'Group Model'!$1:$1,0),FALSE)</f>
        <v>-448</v>
      </c>
      <c r="AG302" s="299" t="e">
        <f>VLOOKUP($AN302,'Group Model'!$1:$1048576,MATCH("2H"&amp;MID(AG$1,3,2)&amp;LEFT(AG$2,1),'Group Model'!$1:$1,0),FALSE)</f>
        <v>#N/A</v>
      </c>
      <c r="AH302" s="299" t="e">
        <f>VLOOKUP($AN302,'Group Model'!$1:$1048576,MATCH("1H"&amp;MID(AH$1,3,2)&amp;LEFT(AH$2,1),'Group Model'!$1:$1,0),FALSE)</f>
        <v>#N/A</v>
      </c>
      <c r="AI302" s="299" t="e">
        <f>VLOOKUP($AN302,'Group Model'!$1:$1048576,MATCH("2H"&amp;MID(AI$1,3,2)&amp;LEFT(AI$2,1),'Group Model'!$1:$1,0),FALSE)</f>
        <v>#N/A</v>
      </c>
      <c r="AL302" s="298">
        <f>ROW()</f>
        <v>302</v>
      </c>
      <c r="AN302" s="298" t="str">
        <f>'Group Model'!A78</f>
        <v>TXandOther_Tax</v>
      </c>
    </row>
    <row r="303" spans="1:41" outlineLevel="2">
      <c r="B303" t="s">
        <v>996</v>
      </c>
      <c r="C303" t="s">
        <v>997</v>
      </c>
      <c r="D303" t="str">
        <f t="shared" si="36"/>
        <v>AUD</v>
      </c>
      <c r="F303" s="299">
        <f>VLOOKUP($AN303,'Group Model'!$1:$1048576,MATCH("FY"&amp;RIGHT(F$1,2)&amp;LEFT(F$2,1),'Group Model'!$1:$1,0),FALSE)+VLOOKUP($AO303,'Group Model'!$1:$1048576,MATCH("FY"&amp;RIGHT(F$1,2)&amp;LEFT(F$2,1),'Group Model'!$1:$1,0),FALSE)</f>
        <v>997</v>
      </c>
      <c r="G303" s="299">
        <f>VLOOKUP($AN303,'Group Model'!$1:$1048576,MATCH("FY"&amp;RIGHT(G$1,2)&amp;LEFT(G$2,1),'Group Model'!$1:$1,0),FALSE)+VLOOKUP($AO303,'Group Model'!$1:$1048576,MATCH("FY"&amp;RIGHT(G$1,2)&amp;LEFT(G$2,1),'Group Model'!$1:$1,0),FALSE)</f>
        <v>1551</v>
      </c>
      <c r="H303" s="299">
        <f>VLOOKUP($AN303,'Group Model'!$1:$1048576,MATCH("FY"&amp;RIGHT(H$1,2)&amp;LEFT(H$2,1),'Group Model'!$1:$1,0),FALSE)+VLOOKUP($AO303,'Group Model'!$1:$1048576,MATCH("FY"&amp;RIGHT(H$1,2)&amp;LEFT(H$2,1),'Group Model'!$1:$1,0),FALSE)</f>
        <v>1888</v>
      </c>
      <c r="I303" s="299">
        <f>VLOOKUP($AN303,'Group Model'!$1:$1048576,MATCH("FY"&amp;RIGHT(I$1,2)&amp;LEFT(I$2,1),'Group Model'!$1:$1,0),FALSE)+VLOOKUP($AO303,'Group Model'!$1:$1048576,MATCH("FY"&amp;RIGHT(I$1,2)&amp;LEFT(I$2,1),'Group Model'!$1:$1,0),FALSE)</f>
        <v>974</v>
      </c>
      <c r="J303" s="299">
        <f>VLOOKUP($AN303,'Group Model'!$1:$1048576,MATCH("FY"&amp;RIGHT(J$1,2)&amp;LEFT(J$2,1),'Group Model'!$1:$1,0),FALSE)+VLOOKUP($AO303,'Group Model'!$1:$1048576,MATCH("FY"&amp;RIGHT(J$1,2)&amp;LEFT(J$2,1),'Group Model'!$1:$1,0),FALSE)</f>
        <v>1093</v>
      </c>
      <c r="K303" s="299">
        <f>VLOOKUP($AN303,'Group Model'!$1:$1048576,MATCH("FY"&amp;RIGHT(K$1,2)&amp;LEFT(K$2,1),'Group Model'!$1:$1,0),FALSE)+VLOOKUP($AO303,'Group Model'!$1:$1048576,MATCH("FY"&amp;RIGHT(K$1,2)&amp;LEFT(K$2,1),'Group Model'!$1:$1,0),FALSE)</f>
        <v>989</v>
      </c>
      <c r="L303" s="299">
        <f>VLOOKUP($AN303,'Group Model'!$1:$1048576,MATCH("FY"&amp;RIGHT(L$1,2)&amp;LEFT(L$2,1),'Group Model'!$1:$1,0),FALSE)+VLOOKUP($AO303,'Group Model'!$1:$1048576,MATCH("FY"&amp;RIGHT(L$1,2)&amp;LEFT(L$2,1),'Group Model'!$1:$1,0),FALSE)</f>
        <v>762</v>
      </c>
      <c r="M303" s="299">
        <f>VLOOKUP($AN303,'Group Model'!$1:$1048576,MATCH("FY"&amp;RIGHT(M$1,2)&amp;LEFT(M$2,1),'Group Model'!$1:$1,0),FALSE)+VLOOKUP($AO303,'Group Model'!$1:$1048576,MATCH("FY"&amp;RIGHT(M$1,2)&amp;LEFT(M$2,1),'Group Model'!$1:$1,0),FALSE)</f>
        <v>872</v>
      </c>
      <c r="N303" s="299">
        <f>VLOOKUP($AN303,'Group Model'!$1:$1048576,MATCH("FY"&amp;RIGHT(N$1,2)&amp;LEFT(N$2,1),'Group Model'!$1:$1,0),FALSE)+VLOOKUP($AO303,'Group Model'!$1:$1048576,MATCH("FY"&amp;RIGHT(N$1,2)&amp;LEFT(N$2,1),'Group Model'!$1:$1,0),FALSE)</f>
        <v>1279</v>
      </c>
      <c r="O303" s="299">
        <f>VLOOKUP($AN303,'Group Model'!$1:$1048576,MATCH("FY"&amp;RIGHT(O$1,2)&amp;LEFT(O$2,1),'Group Model'!$1:$1,0),FALSE)+VLOOKUP($AO303,'Group Model'!$1:$1048576,MATCH("FY"&amp;RIGHT(O$1,2)&amp;LEFT(O$2,1),'Group Model'!$1:$1,0),FALSE)</f>
        <v>1623</v>
      </c>
      <c r="P303" s="299">
        <f>VLOOKUP($AN303,'Group Model'!$1:$1048576,MATCH("FY"&amp;RIGHT(P$1,2)&amp;LEFT(P$2,1),'Group Model'!$1:$1,0),FALSE)+VLOOKUP($AO303,'Group Model'!$1:$1048576,MATCH("FY"&amp;RIGHT(P$1,2)&amp;LEFT(P$2,1),'Group Model'!$1:$1,0),FALSE)</f>
        <v>2088</v>
      </c>
      <c r="Q303" s="299">
        <f>VLOOKUP($AN303,'Group Model'!$1:$1048576,MATCH("FY"&amp;RIGHT(Q$1,2)&amp;LEFT(Q$2,1),'Group Model'!$1:$1,0),FALSE)+VLOOKUP($AO303,'Group Model'!$1:$1048576,MATCH("FY"&amp;RIGHT(Q$1,2)&amp;LEFT(Q$2,1),'Group Model'!$1:$1,0),FALSE)</f>
        <v>2236</v>
      </c>
      <c r="R303" s="299" t="e">
        <f>VLOOKUP($AN303,'Group Model'!$1:$1048576,MATCH("FY"&amp;RIGHT(R$1,2)&amp;LEFT(R$2,1),'Group Model'!$1:$1,0),FALSE)+VLOOKUP($AO303,'Group Model'!$1:$1048576,MATCH("FY"&amp;RIGHT(R$1,2)&amp;LEFT(R$2,1),'Group Model'!$1:$1,0),FALSE)</f>
        <v>#N/A</v>
      </c>
      <c r="S303" s="299" t="e">
        <f>VLOOKUP($AN303,'Group Model'!$1:$1048576,MATCH("FY"&amp;RIGHT(S$1,2)&amp;LEFT(S$2,1),'Group Model'!$1:$1,0),FALSE)+VLOOKUP($AO303,'Group Model'!$1:$1048576,MATCH("FY"&amp;RIGHT(S$1,2)&amp;LEFT(S$2,1),'Group Model'!$1:$1,0),FALSE)</f>
        <v>#N/A</v>
      </c>
      <c r="T303" s="299" t="e">
        <f>VLOOKUP($AN303,'Group Model'!$1:$1048576,MATCH("FY"&amp;RIGHT(T$1,2)&amp;LEFT(T$2,1),'Group Model'!$1:$1,0),FALSE)+VLOOKUP($AO303,'Group Model'!$1:$1048576,MATCH("FY"&amp;RIGHT(T$1,2)&amp;LEFT(T$2,1),'Group Model'!$1:$1,0),FALSE)</f>
        <v>#N/A</v>
      </c>
      <c r="U303" s="299"/>
      <c r="V303" s="299">
        <f>VLOOKUP($AN303,'Group Model'!$1:$1048576,MATCH("1H"&amp;MID(V$1,3,2)&amp;LEFT(V$2,1),'Group Model'!$1:$1,0),FALSE)+VLOOKUP($AO303,'Group Model'!$1:$1048576,MATCH("1H"&amp;MID(V$1,3,2)&amp;LEFT(V$2,1),'Group Model'!$1:$1,0),FALSE)</f>
        <v>361</v>
      </c>
      <c r="W303" s="299">
        <f>VLOOKUP($AN303,'Group Model'!$1:$1048576,MATCH("1H"&amp;MID(W$1,3,2)&amp;LEFT(W$2,1),'Group Model'!$1:$1,0),FALSE)+VLOOKUP($AO303,'Group Model'!$1:$1048576,MATCH("1H"&amp;MID(W$1,3,2)&amp;LEFT(W$2,1),'Group Model'!$1:$1,0),FALSE)</f>
        <v>361</v>
      </c>
      <c r="X303" s="299">
        <f>VLOOKUP($AN303,'Group Model'!$1:$1048576,MATCH("1H"&amp;MID(X$1,3,2)&amp;LEFT(X$2,1),'Group Model'!$1:$1,0),FALSE)+VLOOKUP($AO303,'Group Model'!$1:$1048576,MATCH("1H"&amp;MID(X$1,3,2)&amp;LEFT(X$2,1),'Group Model'!$1:$1,0),FALSE)</f>
        <v>503</v>
      </c>
      <c r="Y303" s="299">
        <f>VLOOKUP($AN303,'Group Model'!$1:$1048576,MATCH("1H"&amp;MID(Y$1,3,2)&amp;LEFT(Y$2,1),'Group Model'!$1:$1,0),FALSE)+VLOOKUP($AO303,'Group Model'!$1:$1048576,MATCH("1H"&amp;MID(Y$1,3,2)&amp;LEFT(Y$2,1),'Group Model'!$1:$1,0),FALSE)</f>
        <v>503</v>
      </c>
      <c r="Z303" s="299">
        <f>VLOOKUP($AN303,'Group Model'!$1:$1048576,MATCH("1H"&amp;MID(Z$1,3,2)&amp;LEFT(Z$2,1),'Group Model'!$1:$1,0),FALSE)+VLOOKUP($AO303,'Group Model'!$1:$1048576,MATCH("1H"&amp;MID(Z$1,3,2)&amp;LEFT(Z$2,1),'Group Model'!$1:$1,0),FALSE)</f>
        <v>689</v>
      </c>
      <c r="AA303" s="299">
        <f>VLOOKUP($AN303,'Group Model'!$1:$1048576,MATCH("1H"&amp;MID(AA$1,3,2)&amp;LEFT(AA$2,1),'Group Model'!$1:$1,0),FALSE)+VLOOKUP($AO303,'Group Model'!$1:$1048576,MATCH("1H"&amp;MID(AA$1,3,2)&amp;LEFT(AA$2,1),'Group Model'!$1:$1,0),FALSE)</f>
        <v>689</v>
      </c>
      <c r="AB303" s="299">
        <f>VLOOKUP($AN303,'Group Model'!$1:$1048576,MATCH("1H"&amp;MID(AB$1,3,2)&amp;LEFT(AB$2,1),'Group Model'!$1:$1,0),FALSE)+VLOOKUP($AO303,'Group Model'!$1:$1048576,MATCH("1H"&amp;MID(AB$1,3,2)&amp;LEFT(AB$2,1),'Group Model'!$1:$1,0),FALSE)</f>
        <v>1089</v>
      </c>
      <c r="AC303" s="299">
        <f>VLOOKUP($AN303,'Group Model'!$1:$1048576,MATCH("1H"&amp;MID(AC$1,3,2)&amp;LEFT(AC$2,1),'Group Model'!$1:$1,0),FALSE)+VLOOKUP($AO303,'Group Model'!$1:$1048576,MATCH("1H"&amp;MID(AC$1,3,2)&amp;LEFT(AC$2,1),'Group Model'!$1:$1,0),FALSE)</f>
        <v>1089</v>
      </c>
      <c r="AD303" s="299">
        <f>VLOOKUP($AN303,'Group Model'!$1:$1048576,MATCH("1H"&amp;MID(AD$1,3,2)&amp;LEFT(AD$2,1),'Group Model'!$1:$1,0),FALSE)+VLOOKUP($AO303,'Group Model'!$1:$1048576,MATCH("1H"&amp;MID(AD$1,3,2)&amp;LEFT(AD$2,1),'Group Model'!$1:$1,0),FALSE)</f>
        <v>1047</v>
      </c>
      <c r="AE303" s="299">
        <f>VLOOKUP($AN303,'Group Model'!$1:$1048576,MATCH("1H"&amp;MID(AE$1,3,2)&amp;LEFT(AE$2,1),'Group Model'!$1:$1,0),FALSE)+VLOOKUP($AO303,'Group Model'!$1:$1048576,MATCH("1H"&amp;MID(AE$1,3,2)&amp;LEFT(AE$2,1),'Group Model'!$1:$1,0),FALSE)</f>
        <v>1047</v>
      </c>
      <c r="AF303" s="299">
        <f>VLOOKUP($AN303,'Group Model'!$1:$1048576,MATCH("1H"&amp;MID(AF$1,3,2)&amp;LEFT(AF$2,1),'Group Model'!$1:$1,0),FALSE)+VLOOKUP($AO303,'Group Model'!$1:$1048576,MATCH("1H"&amp;MID(AF$1,3,2)&amp;LEFT(AF$2,1),'Group Model'!$1:$1,0),FALSE)</f>
        <v>1256</v>
      </c>
      <c r="AG303" s="299" t="e">
        <f>VLOOKUP($AN303,'Group Model'!$1:$1048576,MATCH("2H"&amp;MID(AG$1,3,2)&amp;LEFT(AG$2,1),'Group Model'!$1:$1,0),FALSE)+VLOOKUP($AO303,'Group Model'!$1:$1048576,MATCH("2H"&amp;MID(AG$1,3,2)&amp;LEFT(AG$2,1),'Group Model'!$1:$1,0),FALSE)</f>
        <v>#N/A</v>
      </c>
      <c r="AH303" s="299" t="e">
        <f>VLOOKUP($AN303,'Group Model'!$1:$1048576,MATCH("1H"&amp;MID(AH$1,3,2)&amp;LEFT(AH$2,1),'Group Model'!$1:$1,0),FALSE)+VLOOKUP($AO303,'Group Model'!$1:$1048576,MATCH("1H"&amp;MID(AH$1,3,2)&amp;LEFT(AH$2,1),'Group Model'!$1:$1,0),FALSE)</f>
        <v>#N/A</v>
      </c>
      <c r="AI303" s="299" t="e">
        <f>VLOOKUP($AN303,'Group Model'!$1:$1048576,MATCH("2H"&amp;MID(AI$1,3,2)&amp;LEFT(AI$2,1),'Group Model'!$1:$1,0),FALSE)+VLOOKUP($AO303,'Group Model'!$1:$1048576,MATCH("2H"&amp;MID(AI$1,3,2)&amp;LEFT(AI$2,1),'Group Model'!$1:$1,0),FALSE)</f>
        <v>#N/A</v>
      </c>
      <c r="AL303" s="298">
        <f>ROW()</f>
        <v>303</v>
      </c>
      <c r="AN303" s="298" t="str">
        <f>'Group Model'!A77</f>
        <v>PreTax</v>
      </c>
      <c r="AO303" s="298" t="str">
        <f>'Group Model'!A78</f>
        <v>TXandOther_Tax</v>
      </c>
    </row>
    <row r="304" spans="1:41" outlineLevel="2">
      <c r="B304" t="s">
        <v>813</v>
      </c>
      <c r="C304" t="s">
        <v>998</v>
      </c>
      <c r="D304" t="str">
        <f t="shared" si="36"/>
        <v>AUD</v>
      </c>
      <c r="F304" s="299">
        <f>VLOOKUP($AN304,'Group Model'!$1:$1048576,MATCH("FY"&amp;RIGHT(F$1,2)&amp;LEFT(F$2,1),'Group Model'!$1:$1,0),FALSE)</f>
        <v>-81</v>
      </c>
      <c r="G304" s="299">
        <f>VLOOKUP($AN304,'Group Model'!$1:$1048576,MATCH("FY"&amp;RIGHT(G$1,2)&amp;LEFT(G$2,1),'Group Model'!$1:$1,0),FALSE)</f>
        <v>-88</v>
      </c>
      <c r="H304" s="299">
        <f>VLOOKUP($AN304,'Group Model'!$1:$1048576,MATCH("FY"&amp;RIGHT(H$1,2)&amp;LEFT(H$2,1),'Group Model'!$1:$1,0),FALSE)</f>
        <v>-85</v>
      </c>
      <c r="I304" s="299">
        <f>VLOOKUP($AN304,'Group Model'!$1:$1048576,MATCH("FY"&amp;RIGHT(I$1,2)&amp;LEFT(I$2,1),'Group Model'!$1:$1,0),FALSE)</f>
        <v>-103</v>
      </c>
      <c r="J304" s="299">
        <f>VLOOKUP($AN304,'Group Model'!$1:$1048576,MATCH("FY"&amp;RIGHT(J$1,2)&amp;LEFT(J$2,1),'Group Model'!$1:$1,0),FALSE)</f>
        <v>-43</v>
      </c>
      <c r="K304" s="299">
        <f>VLOOKUP($AN304,'Group Model'!$1:$1048576,MATCH("FY"&amp;RIGHT(K$1,2)&amp;LEFT(K$2,1),'Group Model'!$1:$1,0),FALSE)</f>
        <v>-33</v>
      </c>
      <c r="L304" s="299">
        <f>VLOOKUP($AN304,'Group Model'!$1:$1048576,MATCH("FY"&amp;RIGHT(L$1,2)&amp;LEFT(L$2,1),'Group Model'!$1:$1,0),FALSE)</f>
        <v>-32</v>
      </c>
      <c r="M304" s="299">
        <f>VLOOKUP($AN304,'Group Model'!$1:$1048576,MATCH("FY"&amp;RIGHT(M$1,2)&amp;LEFT(M$2,1),'Group Model'!$1:$1,0),FALSE)</f>
        <v>-21</v>
      </c>
      <c r="N304" s="299">
        <f>VLOOKUP($AN304,'Group Model'!$1:$1048576,MATCH("FY"&amp;RIGHT(N$1,2)&amp;LEFT(N$2,1),'Group Model'!$1:$1,0),FALSE)</f>
        <v>-14</v>
      </c>
      <c r="O304" s="299">
        <f>VLOOKUP($AN304,'Group Model'!$1:$1048576,MATCH("FY"&amp;RIGHT(O$1,2)&amp;LEFT(O$2,1),'Group Model'!$1:$1,0),FALSE)</f>
        <v>-19</v>
      </c>
      <c r="P304" s="299">
        <f>VLOOKUP($AN304,'Group Model'!$1:$1048576,MATCH("FY"&amp;RIGHT(P$1,2)&amp;LEFT(P$2,1),'Group Model'!$1:$1,0),FALSE)</f>
        <v>-25</v>
      </c>
      <c r="Q304" s="299">
        <f>VLOOKUP($AN304,'Group Model'!$1:$1048576,MATCH("FY"&amp;RIGHT(Q$1,2)&amp;LEFT(Q$2,1),'Group Model'!$1:$1,0),FALSE)</f>
        <v>-19</v>
      </c>
      <c r="R304" s="299" t="e">
        <f>VLOOKUP($AN304,'Group Model'!$1:$1048576,MATCH("FY"&amp;RIGHT(R$1,2)&amp;LEFT(R$2,1),'Group Model'!$1:$1,0),FALSE)</f>
        <v>#N/A</v>
      </c>
      <c r="S304" s="299" t="e">
        <f>VLOOKUP($AN304,'Group Model'!$1:$1048576,MATCH("FY"&amp;RIGHT(S$1,2)&amp;LEFT(S$2,1),'Group Model'!$1:$1,0),FALSE)</f>
        <v>#N/A</v>
      </c>
      <c r="T304" s="299" t="e">
        <f>VLOOKUP($AN304,'Group Model'!$1:$1048576,MATCH("FY"&amp;RIGHT(T$1,2)&amp;LEFT(T$2,1),'Group Model'!$1:$1,0),FALSE)</f>
        <v>#N/A</v>
      </c>
      <c r="U304" s="299"/>
      <c r="V304" s="299">
        <f>VLOOKUP($AN304,'Group Model'!$1:$1048576,MATCH("1H"&amp;MID(V$1,3,2)&amp;LEFT(V$2,1),'Group Model'!$1:$1,0),FALSE)</f>
        <v>0</v>
      </c>
      <c r="W304" s="299">
        <f>VLOOKUP($AN304,'Group Model'!$1:$1048576,MATCH("1H"&amp;MID(W$1,3,2)&amp;LEFT(W$2,1),'Group Model'!$1:$1,0),FALSE)</f>
        <v>0</v>
      </c>
      <c r="X304" s="299">
        <f>VLOOKUP($AN304,'Group Model'!$1:$1048576,MATCH("1H"&amp;MID(X$1,3,2)&amp;LEFT(X$2,1),'Group Model'!$1:$1,0),FALSE)</f>
        <v>-2</v>
      </c>
      <c r="Y304" s="299">
        <f>VLOOKUP($AN304,'Group Model'!$1:$1048576,MATCH("1H"&amp;MID(Y$1,3,2)&amp;LEFT(Y$2,1),'Group Model'!$1:$1,0),FALSE)</f>
        <v>-2</v>
      </c>
      <c r="Z304" s="299">
        <f>VLOOKUP($AN304,'Group Model'!$1:$1048576,MATCH("1H"&amp;MID(Z$1,3,2)&amp;LEFT(Z$2,1),'Group Model'!$1:$1,0),FALSE)</f>
        <v>-11</v>
      </c>
      <c r="AA304" s="299">
        <f>VLOOKUP($AN304,'Group Model'!$1:$1048576,MATCH("1H"&amp;MID(AA$1,3,2)&amp;LEFT(AA$2,1),'Group Model'!$1:$1,0),FALSE)</f>
        <v>-11</v>
      </c>
      <c r="AB304" s="299">
        <f>VLOOKUP($AN304,'Group Model'!$1:$1048576,MATCH("1H"&amp;MID(AB$1,3,2)&amp;LEFT(AB$2,1),'Group Model'!$1:$1,0),FALSE)</f>
        <v>-19</v>
      </c>
      <c r="AC304" s="299">
        <f>VLOOKUP($AN304,'Group Model'!$1:$1048576,MATCH("1H"&amp;MID(AC$1,3,2)&amp;LEFT(AC$2,1),'Group Model'!$1:$1,0),FALSE)</f>
        <v>-19</v>
      </c>
      <c r="AD304" s="299">
        <f>VLOOKUP($AN304,'Group Model'!$1:$1048576,MATCH("1H"&amp;MID(AD$1,3,2)&amp;LEFT(AD$2,1),'Group Model'!$1:$1,0),FALSE)</f>
        <v>3</v>
      </c>
      <c r="AE304" s="299">
        <f>VLOOKUP($AN304,'Group Model'!$1:$1048576,MATCH("1H"&amp;MID(AE$1,3,2)&amp;LEFT(AE$2,1),'Group Model'!$1:$1,0),FALSE)</f>
        <v>3</v>
      </c>
      <c r="AF304" s="299">
        <f>VLOOKUP($AN304,'Group Model'!$1:$1048576,MATCH("1H"&amp;MID(AF$1,3,2)&amp;LEFT(AF$2,1),'Group Model'!$1:$1,0),FALSE)</f>
        <v>-8</v>
      </c>
      <c r="AG304" s="299" t="e">
        <f>VLOOKUP($AN304,'Group Model'!$1:$1048576,MATCH("2H"&amp;MID(AG$1,3,2)&amp;LEFT(AG$2,1),'Group Model'!$1:$1,0),FALSE)</f>
        <v>#N/A</v>
      </c>
      <c r="AH304" s="299" t="e">
        <f>VLOOKUP($AN304,'Group Model'!$1:$1048576,MATCH("1H"&amp;MID(AH$1,3,2)&amp;LEFT(AH$2,1),'Group Model'!$1:$1,0),FALSE)</f>
        <v>#N/A</v>
      </c>
      <c r="AI304" s="299" t="e">
        <f>VLOOKUP($AN304,'Group Model'!$1:$1048576,MATCH("2H"&amp;MID(AI$1,3,2)&amp;LEFT(AI$2,1),'Group Model'!$1:$1,0),FALSE)</f>
        <v>#N/A</v>
      </c>
      <c r="AL304" s="298">
        <f>ROW()</f>
        <v>304</v>
      </c>
      <c r="AN304" s="298" t="str">
        <f>'Group Model'!A79</f>
        <v>TXandOther_OEI</v>
      </c>
    </row>
    <row r="305" spans="1:40" outlineLevel="2">
      <c r="B305" t="s">
        <v>1758</v>
      </c>
      <c r="C305" t="s">
        <v>1759</v>
      </c>
      <c r="D305" t="str">
        <f t="shared" si="36"/>
        <v>AUD</v>
      </c>
      <c r="F305" s="299"/>
      <c r="G305" s="299"/>
      <c r="H305" s="299"/>
      <c r="I305" s="299"/>
      <c r="J305" s="299"/>
      <c r="K305" s="299"/>
      <c r="L305" s="299"/>
      <c r="M305" s="299"/>
      <c r="N305" s="299"/>
      <c r="O305" s="299"/>
      <c r="P305" s="299"/>
      <c r="Q305" s="299"/>
      <c r="R305" s="299"/>
      <c r="S305" s="299"/>
      <c r="T305" s="299"/>
      <c r="U305" s="299"/>
      <c r="V305" s="299"/>
      <c r="W305" s="299"/>
      <c r="X305" s="299"/>
      <c r="Y305" s="299"/>
      <c r="Z305" s="299"/>
      <c r="AA305" s="299"/>
      <c r="AB305" s="299"/>
      <c r="AC305" s="299"/>
      <c r="AD305" s="299"/>
      <c r="AE305" s="299"/>
      <c r="AF305" s="299"/>
      <c r="AG305" s="299"/>
      <c r="AH305" s="299"/>
      <c r="AI305" s="299"/>
      <c r="AL305" s="298">
        <f>ROW()</f>
        <v>305</v>
      </c>
    </row>
    <row r="306" spans="1:40" outlineLevel="2">
      <c r="B306" t="s">
        <v>1760</v>
      </c>
      <c r="C306" t="s">
        <v>1761</v>
      </c>
      <c r="D306" t="str">
        <f t="shared" si="36"/>
        <v>AUD</v>
      </c>
      <c r="F306" s="299">
        <f>VLOOKUP($AN306,'Group Model'!$1:$1048576,MATCH("FY"&amp;RIGHT(F$1,2)&amp;LEFT(F$2,1),'Group Model'!$1:$1,0),FALSE)</f>
        <v>0</v>
      </c>
      <c r="G306" s="299">
        <f>VLOOKUP($AN306,'Group Model'!$1:$1048576,MATCH("FY"&amp;RIGHT(G$1,2)&amp;LEFT(G$2,1),'Group Model'!$1:$1,0),FALSE)</f>
        <v>0</v>
      </c>
      <c r="H306" s="299">
        <f>VLOOKUP($AN306,'Group Model'!$1:$1048576,MATCH("FY"&amp;RIGHT(H$1,2)&amp;LEFT(H$2,1),'Group Model'!$1:$1,0),FALSE)</f>
        <v>0</v>
      </c>
      <c r="I306" s="299">
        <f>VLOOKUP($AN306,'Group Model'!$1:$1048576,MATCH("FY"&amp;RIGHT(I$1,2)&amp;LEFT(I$2,1),'Group Model'!$1:$1,0),FALSE)</f>
        <v>0</v>
      </c>
      <c r="J306" s="299">
        <f>VLOOKUP($AN306,'Group Model'!$1:$1048576,MATCH("FY"&amp;RIGHT(J$1,2)&amp;LEFT(J$2,1),'Group Model'!$1:$1,0),FALSE)</f>
        <v>0</v>
      </c>
      <c r="K306" s="299">
        <f>VLOOKUP($AN306,'Group Model'!$1:$1048576,MATCH("FY"&amp;RIGHT(K$1,2)&amp;LEFT(K$2,1),'Group Model'!$1:$1,0),FALSE)</f>
        <v>0</v>
      </c>
      <c r="L306" s="299">
        <f>VLOOKUP($AN306,'Group Model'!$1:$1048576,MATCH("FY"&amp;RIGHT(L$1,2)&amp;LEFT(L$2,1),'Group Model'!$1:$1,0),FALSE)</f>
        <v>0</v>
      </c>
      <c r="M306" s="299">
        <f>VLOOKUP($AN306,'Group Model'!$1:$1048576,MATCH("FY"&amp;RIGHT(M$1,2)&amp;LEFT(M$2,1),'Group Model'!$1:$1,0),FALSE)</f>
        <v>0</v>
      </c>
      <c r="N306" s="299">
        <f>VLOOKUP($AN306,'Group Model'!$1:$1048576,MATCH("FY"&amp;RIGHT(N$1,2)&amp;LEFT(N$2,1),'Group Model'!$1:$1,0),FALSE)</f>
        <v>0</v>
      </c>
      <c r="O306" s="299">
        <f>VLOOKUP($AN306,'Group Model'!$1:$1048576,MATCH("FY"&amp;RIGHT(O$1,2)&amp;LEFT(O$2,1),'Group Model'!$1:$1,0),FALSE)</f>
        <v>0</v>
      </c>
      <c r="P306" s="299">
        <f>VLOOKUP($AN306,'Group Model'!$1:$1048576,MATCH("FY"&amp;RIGHT(P$1,2)&amp;LEFT(P$2,1),'Group Model'!$1:$1,0),FALSE)</f>
        <v>0</v>
      </c>
      <c r="Q306" s="299">
        <f>VLOOKUP($AN306,'Group Model'!$1:$1048576,MATCH("FY"&amp;RIGHT(Q$1,2)&amp;LEFT(Q$2,1),'Group Model'!$1:$1,0),FALSE)</f>
        <v>0</v>
      </c>
      <c r="R306" s="299" t="e">
        <f>VLOOKUP($AN306,'Group Model'!$1:$1048576,MATCH("FY"&amp;RIGHT(R$1,2)&amp;LEFT(R$2,1),'Group Model'!$1:$1,0),FALSE)</f>
        <v>#N/A</v>
      </c>
      <c r="S306" s="299" t="e">
        <f>VLOOKUP($AN306,'Group Model'!$1:$1048576,MATCH("FY"&amp;RIGHT(S$1,2)&amp;LEFT(S$2,1),'Group Model'!$1:$1,0),FALSE)</f>
        <v>#N/A</v>
      </c>
      <c r="T306" s="299" t="e">
        <f>VLOOKUP($AN306,'Group Model'!$1:$1048576,MATCH("FY"&amp;RIGHT(T$1,2)&amp;LEFT(T$2,1),'Group Model'!$1:$1,0),FALSE)</f>
        <v>#N/A</v>
      </c>
      <c r="U306" s="299"/>
      <c r="V306" s="299">
        <f>VLOOKUP($AN306,'Group Model'!$1:$1048576,MATCH("1H"&amp;MID(V$1,3,2)&amp;LEFT(V$2,1),'Group Model'!$1:$1,0),FALSE)</f>
        <v>0</v>
      </c>
      <c r="W306" s="299">
        <f>VLOOKUP($AN306,'Group Model'!$1:$1048576,MATCH("1H"&amp;MID(W$1,3,2)&amp;LEFT(W$2,1),'Group Model'!$1:$1,0),FALSE)</f>
        <v>0</v>
      </c>
      <c r="X306" s="299">
        <f>VLOOKUP($AN306,'Group Model'!$1:$1048576,MATCH("1H"&amp;MID(X$1,3,2)&amp;LEFT(X$2,1),'Group Model'!$1:$1,0),FALSE)</f>
        <v>0</v>
      </c>
      <c r="Y306" s="299">
        <f>VLOOKUP($AN306,'Group Model'!$1:$1048576,MATCH("1H"&amp;MID(Y$1,3,2)&amp;LEFT(Y$2,1),'Group Model'!$1:$1,0),FALSE)</f>
        <v>0</v>
      </c>
      <c r="Z306" s="299">
        <f>VLOOKUP($AN306,'Group Model'!$1:$1048576,MATCH("1H"&amp;MID(Z$1,3,2)&amp;LEFT(Z$2,1),'Group Model'!$1:$1,0),FALSE)</f>
        <v>0</v>
      </c>
      <c r="AA306" s="299">
        <f>VLOOKUP($AN306,'Group Model'!$1:$1048576,MATCH("1H"&amp;MID(AA$1,3,2)&amp;LEFT(AA$2,1),'Group Model'!$1:$1,0),FALSE)</f>
        <v>0</v>
      </c>
      <c r="AB306" s="299">
        <f>VLOOKUP($AN306,'Group Model'!$1:$1048576,MATCH("1H"&amp;MID(AB$1,3,2)&amp;LEFT(AB$2,1),'Group Model'!$1:$1,0),FALSE)</f>
        <v>0</v>
      </c>
      <c r="AC306" s="299">
        <f>VLOOKUP($AN306,'Group Model'!$1:$1048576,MATCH("1H"&amp;MID(AC$1,3,2)&amp;LEFT(AC$2,1),'Group Model'!$1:$1,0),FALSE)</f>
        <v>0</v>
      </c>
      <c r="AD306" s="299">
        <f>VLOOKUP($AN306,'Group Model'!$1:$1048576,MATCH("1H"&amp;MID(AD$1,3,2)&amp;LEFT(AD$2,1),'Group Model'!$1:$1,0),FALSE)</f>
        <v>0</v>
      </c>
      <c r="AE306" s="299">
        <f>VLOOKUP($AN306,'Group Model'!$1:$1048576,MATCH("1H"&amp;MID(AE$1,3,2)&amp;LEFT(AE$2,1),'Group Model'!$1:$1,0),FALSE)</f>
        <v>0</v>
      </c>
      <c r="AF306" s="299">
        <f>VLOOKUP($AN306,'Group Model'!$1:$1048576,MATCH("1H"&amp;MID(AF$1,3,2)&amp;LEFT(AF$2,1),'Group Model'!$1:$1,0),FALSE)</f>
        <v>0</v>
      </c>
      <c r="AG306" s="299" t="e">
        <f>VLOOKUP($AN306,'Group Model'!$1:$1048576,MATCH("2H"&amp;MID(AG$1,3,2)&amp;LEFT(AG$2,1),'Group Model'!$1:$1,0),FALSE)</f>
        <v>#N/A</v>
      </c>
      <c r="AH306" s="299" t="e">
        <f>VLOOKUP($AN306,'Group Model'!$1:$1048576,MATCH("1H"&amp;MID(AH$1,3,2)&amp;LEFT(AH$2,1),'Group Model'!$1:$1,0),FALSE)</f>
        <v>#N/A</v>
      </c>
      <c r="AI306" s="299" t="e">
        <f>VLOOKUP($AN306,'Group Model'!$1:$1048576,MATCH("2H"&amp;MID(AI$1,3,2)&amp;LEFT(AI$2,1),'Group Model'!$1:$1,0),FALSE)</f>
        <v>#N/A</v>
      </c>
      <c r="AL306" s="298">
        <f>ROW()</f>
        <v>306</v>
      </c>
      <c r="AN306" s="298" t="str">
        <f>'Group Model'!A80</f>
        <v>TXandOther_Pref</v>
      </c>
    </row>
    <row r="307" spans="1:40" outlineLevel="2">
      <c r="B307" t="s">
        <v>999</v>
      </c>
      <c r="C307" t="s">
        <v>1000</v>
      </c>
      <c r="D307" t="str">
        <f t="shared" si="36"/>
        <v>AUD</v>
      </c>
      <c r="F307" s="299">
        <f>VLOOKUP($AN307,'Group Model'!$1:$1048576,MATCH("FY"&amp;RIGHT(F$1,2)&amp;LEFT(F$2,1),'Group Model'!$1:$1,0),FALSE)</f>
        <v>916</v>
      </c>
      <c r="G307" s="299">
        <f>VLOOKUP($AN307,'Group Model'!$1:$1048576,MATCH("FY"&amp;RIGHT(G$1,2)&amp;LEFT(G$2,1),'Group Model'!$1:$1,0),FALSE)</f>
        <v>1463</v>
      </c>
      <c r="H307" s="299">
        <f>VLOOKUP($AN307,'Group Model'!$1:$1048576,MATCH("FY"&amp;RIGHT(H$1,2)&amp;LEFT(H$2,1),'Group Model'!$1:$1,0),FALSE)</f>
        <v>1803</v>
      </c>
      <c r="I307" s="299">
        <f>VLOOKUP($AN307,'Group Model'!$1:$1048576,MATCH("FY"&amp;RIGHT(I$1,2)&amp;LEFT(I$2,1),'Group Model'!$1:$1,0),FALSE)</f>
        <v>871</v>
      </c>
      <c r="J307" s="299">
        <f>VLOOKUP($AN307,'Group Model'!$1:$1048576,MATCH("FY"&amp;RIGHT(J$1,2)&amp;LEFT(J$2,1),'Group Model'!$1:$1,0),FALSE)</f>
        <v>1050</v>
      </c>
      <c r="K307" s="299">
        <f>VLOOKUP($AN307,'Group Model'!$1:$1048576,MATCH("FY"&amp;RIGHT(K$1,2)&amp;LEFT(K$2,1),'Group Model'!$1:$1,0),FALSE)</f>
        <v>956</v>
      </c>
      <c r="L307" s="299">
        <f>VLOOKUP($AN307,'Group Model'!$1:$1048576,MATCH("FY"&amp;RIGHT(L$1,2)&amp;LEFT(L$2,1),'Group Model'!$1:$1,0),FALSE)</f>
        <v>730</v>
      </c>
      <c r="M307" s="299">
        <f>VLOOKUP($AN307,'Group Model'!$1:$1048576,MATCH("FY"&amp;RIGHT(M$1,2)&amp;LEFT(M$2,1),'Group Model'!$1:$1,0),FALSE)</f>
        <v>851</v>
      </c>
      <c r="N307" s="299">
        <f>VLOOKUP($AN307,'Group Model'!$1:$1048576,MATCH("FY"&amp;RIGHT(N$1,2)&amp;LEFT(N$2,1),'Group Model'!$1:$1,0),FALSE)</f>
        <v>1265</v>
      </c>
      <c r="O307" s="299">
        <f>VLOOKUP($AN307,'Group Model'!$1:$1048576,MATCH("FY"&amp;RIGHT(O$1,2)&amp;LEFT(O$2,1),'Group Model'!$1:$1,0),FALSE)</f>
        <v>1604</v>
      </c>
      <c r="P307" s="299">
        <f>VLOOKUP($AN307,'Group Model'!$1:$1048576,MATCH("FY"&amp;RIGHT(P$1,2)&amp;LEFT(P$2,1),'Group Model'!$1:$1,0),FALSE)</f>
        <v>2063</v>
      </c>
      <c r="Q307" s="299">
        <f>VLOOKUP($AN307,'Group Model'!$1:$1048576,MATCH("FY"&amp;RIGHT(Q$1,2)&amp;LEFT(Q$2,1),'Group Model'!$1:$1,0),FALSE)</f>
        <v>2217</v>
      </c>
      <c r="R307" s="299" t="e">
        <f>VLOOKUP($AN307,'Group Model'!$1:$1048576,MATCH("FY"&amp;RIGHT(R$1,2)&amp;LEFT(R$2,1),'Group Model'!$1:$1,0),FALSE)</f>
        <v>#N/A</v>
      </c>
      <c r="S307" s="299" t="e">
        <f>VLOOKUP($AN307,'Group Model'!$1:$1048576,MATCH("FY"&amp;RIGHT(S$1,2)&amp;LEFT(S$2,1),'Group Model'!$1:$1,0),FALSE)</f>
        <v>#N/A</v>
      </c>
      <c r="T307" s="299" t="e">
        <f>VLOOKUP($AN307,'Group Model'!$1:$1048576,MATCH("FY"&amp;RIGHT(T$1,2)&amp;LEFT(T$2,1),'Group Model'!$1:$1,0),FALSE)</f>
        <v>#N/A</v>
      </c>
      <c r="U307" s="299"/>
      <c r="V307" s="299">
        <f>VLOOKUP($AN307,'Group Model'!$1:$1048576,MATCH("1H"&amp;MID(V$1,3,2)&amp;LEFT(V$2,1),'Group Model'!$1:$1,0),FALSE)</f>
        <v>361</v>
      </c>
      <c r="W307" s="299">
        <f>VLOOKUP($AN307,'Group Model'!$1:$1048576,MATCH("1H"&amp;MID(W$1,3,2)&amp;LEFT(W$2,1),'Group Model'!$1:$1,0),FALSE)</f>
        <v>361</v>
      </c>
      <c r="X307" s="299">
        <f>VLOOKUP($AN307,'Group Model'!$1:$1048576,MATCH("1H"&amp;MID(X$1,3,2)&amp;LEFT(X$2,1),'Group Model'!$1:$1,0),FALSE)</f>
        <v>501</v>
      </c>
      <c r="Y307" s="299">
        <f>VLOOKUP($AN307,'Group Model'!$1:$1048576,MATCH("1H"&amp;MID(Y$1,3,2)&amp;LEFT(Y$2,1),'Group Model'!$1:$1,0),FALSE)</f>
        <v>501</v>
      </c>
      <c r="Z307" s="299">
        <f>VLOOKUP($AN307,'Group Model'!$1:$1048576,MATCH("1H"&amp;MID(Z$1,3,2)&amp;LEFT(Z$2,1),'Group Model'!$1:$1,0),FALSE)</f>
        <v>678</v>
      </c>
      <c r="AA307" s="299">
        <f>VLOOKUP($AN307,'Group Model'!$1:$1048576,MATCH("1H"&amp;MID(AA$1,3,2)&amp;LEFT(AA$2,1),'Group Model'!$1:$1,0),FALSE)</f>
        <v>678</v>
      </c>
      <c r="AB307" s="299">
        <f>VLOOKUP($AN307,'Group Model'!$1:$1048576,MATCH("1H"&amp;MID(AB$1,3,2)&amp;LEFT(AB$2,1),'Group Model'!$1:$1,0),FALSE)</f>
        <v>1070</v>
      </c>
      <c r="AC307" s="299">
        <f>VLOOKUP($AN307,'Group Model'!$1:$1048576,MATCH("1H"&amp;MID(AC$1,3,2)&amp;LEFT(AC$2,1),'Group Model'!$1:$1,0),FALSE)</f>
        <v>1070</v>
      </c>
      <c r="AD307" s="299">
        <f>VLOOKUP($AN307,'Group Model'!$1:$1048576,MATCH("1H"&amp;MID(AD$1,3,2)&amp;LEFT(AD$2,1),'Group Model'!$1:$1,0),FALSE)</f>
        <v>1050</v>
      </c>
      <c r="AE307" s="299">
        <f>VLOOKUP($AN307,'Group Model'!$1:$1048576,MATCH("1H"&amp;MID(AE$1,3,2)&amp;LEFT(AE$2,1),'Group Model'!$1:$1,0),FALSE)</f>
        <v>1050</v>
      </c>
      <c r="AF307" s="299">
        <f>VLOOKUP($AN307,'Group Model'!$1:$1048576,MATCH("1H"&amp;MID(AF$1,3,2)&amp;LEFT(AF$2,1),'Group Model'!$1:$1,0),FALSE)</f>
        <v>1248</v>
      </c>
      <c r="AG307" s="299" t="e">
        <f>VLOOKUP($AN307,'Group Model'!$1:$1048576,MATCH("2H"&amp;MID(AG$1,3,2)&amp;LEFT(AG$2,1),'Group Model'!$1:$1,0),FALSE)</f>
        <v>#N/A</v>
      </c>
      <c r="AH307" s="299" t="e">
        <f>VLOOKUP($AN307,'Group Model'!$1:$1048576,MATCH("1H"&amp;MID(AH$1,3,2)&amp;LEFT(AH$2,1),'Group Model'!$1:$1,0),FALSE)</f>
        <v>#N/A</v>
      </c>
      <c r="AI307" s="299" t="e">
        <f>VLOOKUP($AN307,'Group Model'!$1:$1048576,MATCH("2H"&amp;MID(AI$1,3,2)&amp;LEFT(AI$2,1),'Group Model'!$1:$1,0),FALSE)</f>
        <v>#N/A</v>
      </c>
      <c r="AL307" s="298">
        <f>ROW()</f>
        <v>307</v>
      </c>
      <c r="AN307" s="298" t="str">
        <f>'Group Model'!A58</f>
        <v>CE</v>
      </c>
    </row>
    <row r="308" spans="1:40" outlineLevel="2">
      <c r="B308" t="s">
        <v>1001</v>
      </c>
      <c r="C308" t="s">
        <v>1002</v>
      </c>
      <c r="D308" t="str">
        <f t="shared" si="36"/>
        <v>AUD</v>
      </c>
      <c r="F308" s="299"/>
      <c r="G308" s="299"/>
      <c r="H308" s="299"/>
      <c r="I308" s="299"/>
      <c r="J308" s="299"/>
      <c r="K308" s="299"/>
      <c r="L308" s="299"/>
      <c r="M308" s="299"/>
      <c r="N308" s="299"/>
      <c r="O308" s="299"/>
      <c r="P308" s="299"/>
      <c r="Q308" s="299"/>
      <c r="R308" s="299"/>
      <c r="S308" s="299"/>
      <c r="T308" s="299"/>
      <c r="U308" s="299"/>
      <c r="V308" s="299"/>
      <c r="W308" s="299"/>
      <c r="X308" s="299"/>
      <c r="Y308" s="299"/>
      <c r="Z308" s="299"/>
      <c r="AA308" s="299"/>
      <c r="AB308" s="299"/>
      <c r="AC308" s="299"/>
      <c r="AD308" s="299"/>
      <c r="AE308" s="299"/>
      <c r="AF308" s="299"/>
      <c r="AG308" s="299"/>
      <c r="AH308" s="299"/>
      <c r="AI308" s="299"/>
      <c r="AL308" s="298">
        <f>ROW()</f>
        <v>308</v>
      </c>
    </row>
    <row r="309" spans="1:40" outlineLevel="2">
      <c r="B309" t="s">
        <v>1003</v>
      </c>
      <c r="C309" t="s">
        <v>1004</v>
      </c>
      <c r="D309" t="str">
        <f t="shared" si="36"/>
        <v>AUD</v>
      </c>
      <c r="F309" s="299">
        <f>F307+F308</f>
        <v>916</v>
      </c>
      <c r="G309" s="299">
        <f t="shared" ref="G309:V309" si="37">G307+G308</f>
        <v>1463</v>
      </c>
      <c r="H309" s="299">
        <f t="shared" si="37"/>
        <v>1803</v>
      </c>
      <c r="I309" s="299">
        <f t="shared" si="37"/>
        <v>871</v>
      </c>
      <c r="J309" s="299">
        <f t="shared" si="37"/>
        <v>1050</v>
      </c>
      <c r="K309" s="299">
        <f t="shared" si="37"/>
        <v>956</v>
      </c>
      <c r="L309" s="299">
        <f t="shared" si="37"/>
        <v>730</v>
      </c>
      <c r="M309" s="299">
        <f t="shared" si="37"/>
        <v>851</v>
      </c>
      <c r="N309" s="299">
        <f t="shared" si="37"/>
        <v>1265</v>
      </c>
      <c r="O309" s="299">
        <f t="shared" si="37"/>
        <v>1604</v>
      </c>
      <c r="P309" s="299">
        <f t="shared" si="37"/>
        <v>2063</v>
      </c>
      <c r="Q309" s="299">
        <f t="shared" si="37"/>
        <v>2217</v>
      </c>
      <c r="R309" s="299" t="e">
        <f t="shared" si="37"/>
        <v>#N/A</v>
      </c>
      <c r="S309" s="299" t="e">
        <f t="shared" si="37"/>
        <v>#N/A</v>
      </c>
      <c r="T309" s="299" t="e">
        <f t="shared" si="37"/>
        <v>#N/A</v>
      </c>
      <c r="U309" s="299"/>
      <c r="V309" s="299">
        <f t="shared" si="37"/>
        <v>361</v>
      </c>
      <c r="W309" s="299">
        <f t="shared" ref="W309:AH309" si="38">W307+W308</f>
        <v>361</v>
      </c>
      <c r="X309" s="299">
        <f t="shared" si="38"/>
        <v>501</v>
      </c>
      <c r="Y309" s="299">
        <f t="shared" si="38"/>
        <v>501</v>
      </c>
      <c r="Z309" s="299">
        <f t="shared" si="38"/>
        <v>678</v>
      </c>
      <c r="AA309" s="299">
        <f t="shared" si="38"/>
        <v>678</v>
      </c>
      <c r="AB309" s="299">
        <f t="shared" si="38"/>
        <v>1070</v>
      </c>
      <c r="AC309" s="299">
        <f t="shared" si="38"/>
        <v>1070</v>
      </c>
      <c r="AD309" s="299">
        <f t="shared" si="38"/>
        <v>1050</v>
      </c>
      <c r="AE309" s="299">
        <f t="shared" si="38"/>
        <v>1050</v>
      </c>
      <c r="AF309" s="299">
        <f t="shared" si="38"/>
        <v>1248</v>
      </c>
      <c r="AG309" s="299" t="e">
        <f t="shared" si="38"/>
        <v>#N/A</v>
      </c>
      <c r="AH309" s="299" t="e">
        <f t="shared" si="38"/>
        <v>#N/A</v>
      </c>
      <c r="AI309" s="299" t="e">
        <f t="shared" ref="AI309" si="39">AI307+AI308</f>
        <v>#N/A</v>
      </c>
      <c r="AL309" s="298">
        <f>ROW()</f>
        <v>309</v>
      </c>
      <c r="AN309" s="298" t="s">
        <v>594</v>
      </c>
    </row>
    <row r="310" spans="1:40" outlineLevel="2">
      <c r="B310" t="s">
        <v>1005</v>
      </c>
      <c r="C310" t="s">
        <v>1006</v>
      </c>
      <c r="D310" t="str">
        <f t="shared" si="36"/>
        <v>AUD</v>
      </c>
      <c r="F310" s="309">
        <f>VLOOKUP($AN310,'Group Model'!$1:$1048576,MATCH("FY"&amp;RIGHT(F$1,2)&amp;LEFT(F$2,1),'Group Model'!$1:$1,0),FALSE)</f>
        <v>3.9363417737756601</v>
      </c>
      <c r="G310" s="309">
        <f>VLOOKUP($AN310,'Group Model'!$1:$1048576,MATCH("FY"&amp;RIGHT(G$1,2)&amp;LEFT(G$2,1),'Group Model'!$1:$1,0),FALSE)</f>
        <v>5.8173704019563122</v>
      </c>
      <c r="H310" s="309">
        <f>VLOOKUP($AN310,'Group Model'!$1:$1048576,MATCH("FY"&amp;RIGHT(H$1,2)&amp;LEFT(H$2,1),'Group Model'!$1:$1,0),FALSE)</f>
        <v>6.594895128395442</v>
      </c>
      <c r="I310" s="309">
        <f>VLOOKUP($AN310,'Group Model'!$1:$1048576,MATCH("FY"&amp;RIGHT(I$1,2)&amp;LEFT(I$2,1),'Group Model'!$1:$1,0),FALSE)</f>
        <v>3.0441458715469496</v>
      </c>
      <c r="J310" s="309">
        <f>VLOOKUP($AN310,'Group Model'!$1:$1048576,MATCH("FY"&amp;RIGHT(J$1,2)&amp;LEFT(J$2,1),'Group Model'!$1:$1,0),FALSE)</f>
        <v>3.1489615151444994</v>
      </c>
      <c r="K310" s="309">
        <f>VLOOKUP($AN310,'Group Model'!$1:$1048576,MATCH("FY"&amp;RIGHT(K$1,2)&amp;LEFT(K$2,1),'Group Model'!$1:$1,0),FALSE)</f>
        <v>2.7784966879623085</v>
      </c>
      <c r="L310" s="309">
        <f>VLOOKUP($AN310,'Group Model'!$1:$1048576,MATCH("FY"&amp;RIGHT(L$1,2)&amp;LEFT(L$2,1),'Group Model'!$1:$1,0),FALSE)</f>
        <v>2.0659490951320643</v>
      </c>
      <c r="M310" s="309">
        <f>VLOOKUP($AN310,'Group Model'!$1:$1048576,MATCH("FY"&amp;RIGHT(M$1,2)&amp;LEFT(M$2,1),'Group Model'!$1:$1,0),FALSE)</f>
        <v>2.4700781866484931</v>
      </c>
      <c r="N310" s="309">
        <f>VLOOKUP($AN310,'Group Model'!$1:$1048576,MATCH("FY"&amp;RIGHT(N$1,2)&amp;LEFT(N$2,1),'Group Model'!$1:$1,0),FALSE)</f>
        <v>3.8355777719799784</v>
      </c>
      <c r="O310" s="309">
        <f>VLOOKUP($AN310,'Group Model'!$1:$1048576,MATCH("FY"&amp;RIGHT(O$1,2)&amp;LEFT(O$2,1),'Group Model'!$1:$1,0),FALSE)</f>
        <v>5.0225367632747977</v>
      </c>
      <c r="P310" s="309">
        <f>VLOOKUP($AN310,'Group Model'!$1:$1048576,MATCH("FY"&amp;RIGHT(P$1,2)&amp;LEFT(P$2,1),'Group Model'!$1:$1,0),FALSE)</f>
        <v>6.1921289059685707</v>
      </c>
      <c r="Q310" s="309">
        <f>VLOOKUP($AN310,'Group Model'!$1:$1048576,MATCH("FY"&amp;RIGHT(Q$1,2)&amp;LEFT(Q$2,1),'Group Model'!$1:$1,0),FALSE)</f>
        <v>6.5764243407913057</v>
      </c>
      <c r="R310" s="309" t="e">
        <f>VLOOKUP($AN310,'Group Model'!$1:$1048576,MATCH("FY"&amp;RIGHT(R$1,2)&amp;LEFT(R$2,1),'Group Model'!$1:$1,0),FALSE)</f>
        <v>#N/A</v>
      </c>
      <c r="S310" s="309" t="e">
        <f>VLOOKUP($AN310,'Group Model'!$1:$1048576,MATCH("FY"&amp;RIGHT(S$1,2)&amp;LEFT(S$2,1),'Group Model'!$1:$1,0),FALSE)</f>
        <v>#N/A</v>
      </c>
      <c r="T310" s="309" t="e">
        <f>VLOOKUP($AN310,'Group Model'!$1:$1048576,MATCH("FY"&amp;RIGHT(T$1,2)&amp;LEFT(T$2,1),'Group Model'!$1:$1,0),FALSE)</f>
        <v>#N/A</v>
      </c>
      <c r="U310" s="309"/>
      <c r="V310" s="309">
        <f>VLOOKUP($AN310,'Group Model'!$1:$1048576,MATCH("1H"&amp;MID(V$1,3,2)&amp;LEFT(V$2,1),'Group Model'!$1:$1,0),FALSE)</f>
        <v>1.0373109872912174</v>
      </c>
      <c r="W310" s="309">
        <f>VLOOKUP($AN310,'Group Model'!$1:$1048576,MATCH("1H"&amp;MID(W$1,3,2)&amp;LEFT(W$2,1),'Group Model'!$1:$1,0),FALSE)</f>
        <v>1.0373109872912174</v>
      </c>
      <c r="X310" s="309">
        <f>VLOOKUP($AN310,'Group Model'!$1:$1048576,MATCH("1H"&amp;MID(X$1,3,2)&amp;LEFT(X$2,1),'Group Model'!$1:$1,0),FALSE)</f>
        <v>1.4723967192892449</v>
      </c>
      <c r="Y310" s="309">
        <f>VLOOKUP($AN310,'Group Model'!$1:$1048576,MATCH("1H"&amp;MID(Y$1,3,2)&amp;LEFT(Y$2,1),'Group Model'!$1:$1,0),FALSE)</f>
        <v>1.4723967192892449</v>
      </c>
      <c r="Z310" s="309">
        <f>VLOOKUP($AN310,'Group Model'!$1:$1048576,MATCH("1H"&amp;MID(Z$1,3,2)&amp;LEFT(Z$2,1),'Group Model'!$1:$1,0),FALSE)</f>
        <v>2.1329975864218165</v>
      </c>
      <c r="AA310" s="309">
        <f>VLOOKUP($AN310,'Group Model'!$1:$1048576,MATCH("1H"&amp;MID(AA$1,3,2)&amp;LEFT(AA$2,1),'Group Model'!$1:$1,0),FALSE)</f>
        <v>2.1329975864218165</v>
      </c>
      <c r="AB310" s="309">
        <f>VLOOKUP($AN310,'Group Model'!$1:$1048576,MATCH("1H"&amp;MID(AB$1,3,2)&amp;LEFT(AB$2,1),'Group Model'!$1:$1,0),FALSE)</f>
        <v>3.2452880357488825</v>
      </c>
      <c r="AC310" s="309">
        <f>VLOOKUP($AN310,'Group Model'!$1:$1048576,MATCH("1H"&amp;MID(AC$1,3,2)&amp;LEFT(AC$2,1),'Group Model'!$1:$1,0),FALSE)</f>
        <v>3.2452880357488825</v>
      </c>
      <c r="AD310" s="309">
        <f>VLOOKUP($AN310,'Group Model'!$1:$1048576,MATCH("1H"&amp;MID(AD$1,3,2)&amp;LEFT(AD$2,1),'Group Model'!$1:$1,0),FALSE)</f>
        <v>3.1179944897468208</v>
      </c>
      <c r="AE310" s="309">
        <f>VLOOKUP($AN310,'Group Model'!$1:$1048576,MATCH("1H"&amp;MID(AE$1,3,2)&amp;LEFT(AE$2,1),'Group Model'!$1:$1,0),FALSE)</f>
        <v>3.1179944897468208</v>
      </c>
      <c r="AF310" s="309">
        <f>VLOOKUP($AN310,'Group Model'!$1:$1048576,MATCH("1H"&amp;MID(AF$1,3,2)&amp;LEFT(AF$2,1),'Group Model'!$1:$1,0),FALSE)</f>
        <v>3.7035398837780131</v>
      </c>
      <c r="AG310" s="309" t="e">
        <f>VLOOKUP($AN310,'Group Model'!$1:$1048576,MATCH("2H"&amp;MID(AG$1,3,2)&amp;LEFT(AG$2,1),'Group Model'!$1:$1,0),FALSE)</f>
        <v>#N/A</v>
      </c>
      <c r="AH310" s="309" t="e">
        <f>VLOOKUP($AN310,'Group Model'!$1:$1048576,MATCH("1H"&amp;MID(AH$1,3,2)&amp;LEFT(AH$2,1),'Group Model'!$1:$1,0),FALSE)</f>
        <v>#N/A</v>
      </c>
      <c r="AI310" s="309" t="e">
        <f>VLOOKUP($AN310,'Group Model'!$1:$1048576,MATCH("2H"&amp;MID(AI$1,3,2)&amp;LEFT(AI$2,1),'Group Model'!$1:$1,0),FALSE)</f>
        <v>#N/A</v>
      </c>
      <c r="AL310" s="298">
        <f>ROW()</f>
        <v>310</v>
      </c>
      <c r="AN310" s="298" t="str">
        <f>'Group Model'!A472</f>
        <v>AD_PSEPSCashBasic</v>
      </c>
    </row>
    <row r="311" spans="1:40" outlineLevel="2">
      <c r="B311" t="s">
        <v>1479</v>
      </c>
      <c r="C311" t="s">
        <v>1480</v>
      </c>
      <c r="D311" t="str">
        <f t="shared" si="36"/>
        <v>AUD</v>
      </c>
      <c r="F311" s="309"/>
      <c r="G311" s="309"/>
      <c r="H311" s="309"/>
      <c r="I311" s="309"/>
      <c r="J311" s="309"/>
      <c r="K311" s="309"/>
      <c r="L311" s="309"/>
      <c r="M311" s="309"/>
      <c r="N311" s="309"/>
      <c r="O311" s="309"/>
      <c r="P311" s="309"/>
      <c r="Q311" s="309"/>
      <c r="R311" s="309"/>
      <c r="S311" s="309"/>
      <c r="T311" s="309"/>
      <c r="U311" s="309"/>
      <c r="V311" s="309"/>
      <c r="W311" s="309"/>
      <c r="X311" s="309"/>
      <c r="Y311" s="309"/>
      <c r="Z311" s="309"/>
      <c r="AA311" s="309"/>
      <c r="AB311" s="309"/>
      <c r="AC311" s="309"/>
      <c r="AD311" s="309"/>
      <c r="AE311" s="309"/>
      <c r="AF311" s="309"/>
      <c r="AG311" s="309"/>
      <c r="AH311" s="309"/>
      <c r="AI311" s="309"/>
      <c r="AL311" s="298">
        <f>ROW()</f>
        <v>311</v>
      </c>
    </row>
    <row r="312" spans="1:40" outlineLevel="2">
      <c r="B312" t="s">
        <v>1481</v>
      </c>
      <c r="C312" t="s">
        <v>1482</v>
      </c>
      <c r="D312" t="str">
        <f t="shared" si="36"/>
        <v>AUD</v>
      </c>
      <c r="F312" s="309"/>
      <c r="G312" s="309"/>
      <c r="H312" s="309"/>
      <c r="I312" s="309"/>
      <c r="J312" s="309"/>
      <c r="K312" s="309"/>
      <c r="L312" s="309"/>
      <c r="M312" s="309"/>
      <c r="N312" s="309"/>
      <c r="O312" s="309"/>
      <c r="P312" s="309"/>
      <c r="Q312" s="309"/>
      <c r="R312" s="309"/>
      <c r="S312" s="309"/>
      <c r="T312" s="309"/>
      <c r="U312" s="309"/>
      <c r="V312" s="309"/>
      <c r="W312" s="309"/>
      <c r="X312" s="309"/>
      <c r="Y312" s="309"/>
      <c r="Z312" s="309"/>
      <c r="AA312" s="309"/>
      <c r="AB312" s="309"/>
      <c r="AC312" s="309"/>
      <c r="AD312" s="309"/>
      <c r="AE312" s="309"/>
      <c r="AF312" s="309"/>
      <c r="AG312" s="309"/>
      <c r="AH312" s="309"/>
      <c r="AI312" s="309"/>
      <c r="AL312" s="298">
        <f>ROW()</f>
        <v>312</v>
      </c>
    </row>
    <row r="313" spans="1:40" outlineLevel="2">
      <c r="B313" t="s">
        <v>1007</v>
      </c>
      <c r="C313" t="s">
        <v>1008</v>
      </c>
      <c r="D313" t="str">
        <f t="shared" si="36"/>
        <v>AUD</v>
      </c>
      <c r="F313" s="309">
        <f>VLOOKUP($AN313,'Group Model'!$1:$1048576,MATCH("FY"&amp;RIGHT(F$1,2)&amp;LEFT(F$2,1),'Group Model'!$1:$1,0),FALSE)</f>
        <v>3.7590839529517339</v>
      </c>
      <c r="G313" s="309">
        <f>VLOOKUP($AN313,'Group Model'!$1:$1048576,MATCH("FY"&amp;RIGHT(G$1,2)&amp;LEFT(G$2,1),'Group Model'!$1:$1,0),FALSE)</f>
        <v>5.6034500335415007</v>
      </c>
      <c r="H313" s="309">
        <f>VLOOKUP($AN313,'Group Model'!$1:$1048576,MATCH("FY"&amp;RIGHT(H$1,2)&amp;LEFT(H$2,1),'Group Model'!$1:$1,0),FALSE)</f>
        <v>6.4270085948285223</v>
      </c>
      <c r="I313" s="309">
        <f>VLOOKUP($AN313,'Group Model'!$1:$1048576,MATCH("FY"&amp;RIGHT(I$1,2)&amp;LEFT(I$2,1),'Group Model'!$1:$1,0),FALSE)</f>
        <v>3.0338617543211925</v>
      </c>
      <c r="J313" s="309">
        <f>VLOOKUP($AN313,'Group Model'!$1:$1048576,MATCH("FY"&amp;RIGHT(J$1,2)&amp;LEFT(J$2,1),'Group Model'!$1:$1,0),FALSE)</f>
        <v>3.1217830157561091</v>
      </c>
      <c r="K313" s="309">
        <f>VLOOKUP($AN313,'Group Model'!$1:$1048576,MATCH("FY"&amp;RIGHT(K$1,2)&amp;LEFT(K$2,1),'Group Model'!$1:$1,0),FALSE)</f>
        <v>2.7127427689849157</v>
      </c>
      <c r="L313" s="309">
        <f>VLOOKUP($AN313,'Group Model'!$1:$1048576,MATCH("FY"&amp;RIGHT(L$1,2)&amp;LEFT(L$2,1),'Group Model'!$1:$1,0),FALSE)</f>
        <v>1.9897736367779773</v>
      </c>
      <c r="M313" s="309">
        <f>VLOOKUP($AN313,'Group Model'!$1:$1048576,MATCH("FY"&amp;RIGHT(M$1,2)&amp;LEFT(M$2,1),'Group Model'!$1:$1,0),FALSE)</f>
        <v>2.4201821351908217</v>
      </c>
      <c r="N313" s="309">
        <f>VLOOKUP($AN313,'Group Model'!$1:$1048576,MATCH("FY"&amp;RIGHT(N$1,2)&amp;LEFT(N$2,1),'Group Model'!$1:$1,0),FALSE)</f>
        <v>3.6918885360856213</v>
      </c>
      <c r="O313" s="309">
        <f>VLOOKUP($AN313,'Group Model'!$1:$1048576,MATCH("FY"&amp;RIGHT(O$1,2)&amp;LEFT(O$2,1),'Group Model'!$1:$1,0),FALSE)</f>
        <v>4.8421198242046275</v>
      </c>
      <c r="P313" s="309">
        <f>VLOOKUP($AN313,'Group Model'!$1:$1048576,MATCH("FY"&amp;RIGHT(P$1,2)&amp;LEFT(P$2,1),'Group Model'!$1:$1,0),FALSE)</f>
        <v>6.0008109933682645</v>
      </c>
      <c r="Q313" s="309">
        <f>VLOOKUP($AN313,'Group Model'!$1:$1048576,MATCH("FY"&amp;RIGHT(Q$1,2)&amp;LEFT(Q$2,1),'Group Model'!$1:$1,0),FALSE)</f>
        <v>6.4454246170512972</v>
      </c>
      <c r="R313" s="309" t="e">
        <f>VLOOKUP($AN313,'Group Model'!$1:$1048576,MATCH("FY"&amp;RIGHT(R$1,2)&amp;LEFT(R$2,1),'Group Model'!$1:$1,0),FALSE)</f>
        <v>#N/A</v>
      </c>
      <c r="S313" s="309" t="e">
        <f>VLOOKUP($AN313,'Group Model'!$1:$1048576,MATCH("FY"&amp;RIGHT(S$1,2)&amp;LEFT(S$2,1),'Group Model'!$1:$1,0),FALSE)</f>
        <v>#N/A</v>
      </c>
      <c r="T313" s="309" t="e">
        <f>VLOOKUP($AN313,'Group Model'!$1:$1048576,MATCH("FY"&amp;RIGHT(T$1,2)&amp;LEFT(T$2,1),'Group Model'!$1:$1,0),FALSE)</f>
        <v>#N/A</v>
      </c>
      <c r="U313" s="309"/>
      <c r="V313" s="309">
        <f>VLOOKUP($AN313,'Group Model'!$1:$1048576,MATCH("1H"&amp;MID(V$1,3,2)&amp;LEFT(V$2,1),'Group Model'!$1:$1,0),FALSE)</f>
        <v>0.98066138947421899</v>
      </c>
      <c r="W313" s="309">
        <f>VLOOKUP($AN313,'Group Model'!$1:$1048576,MATCH("1H"&amp;MID(W$1,3,2)&amp;LEFT(W$2,1),'Group Model'!$1:$1,0),FALSE)</f>
        <v>0.98066138947421899</v>
      </c>
      <c r="X313" s="309">
        <f>VLOOKUP($AN313,'Group Model'!$1:$1048576,MATCH("1H"&amp;MID(X$1,3,2)&amp;LEFT(X$2,1),'Group Model'!$1:$1,0),FALSE)</f>
        <v>1.4223199005370353</v>
      </c>
      <c r="Y313" s="309">
        <f>VLOOKUP($AN313,'Group Model'!$1:$1048576,MATCH("1H"&amp;MID(Y$1,3,2)&amp;LEFT(Y$2,1),'Group Model'!$1:$1,0),FALSE)</f>
        <v>1.4223199005370353</v>
      </c>
      <c r="Z313" s="309">
        <f>VLOOKUP($AN313,'Group Model'!$1:$1048576,MATCH("1H"&amp;MID(Z$1,3,2)&amp;LEFT(Z$2,1),'Group Model'!$1:$1,0),FALSE)</f>
        <v>2.0489980097520215</v>
      </c>
      <c r="AA313" s="309">
        <f>VLOOKUP($AN313,'Group Model'!$1:$1048576,MATCH("1H"&amp;MID(AA$1,3,2)&amp;LEFT(AA$2,1),'Group Model'!$1:$1,0),FALSE)</f>
        <v>2.0489980097520215</v>
      </c>
      <c r="AB313" s="309">
        <f>VLOOKUP($AN313,'Group Model'!$1:$1048576,MATCH("1H"&amp;MID(AB$1,3,2)&amp;LEFT(AB$2,1),'Group Model'!$1:$1,0),FALSE)</f>
        <v>3.0999386275533385</v>
      </c>
      <c r="AC313" s="309">
        <f>VLOOKUP($AN313,'Group Model'!$1:$1048576,MATCH("1H"&amp;MID(AC$1,3,2)&amp;LEFT(AC$2,1),'Group Model'!$1:$1,0),FALSE)</f>
        <v>3.0999386275533385</v>
      </c>
      <c r="AD313" s="309">
        <f>VLOOKUP($AN313,'Group Model'!$1:$1048576,MATCH("1H"&amp;MID(AD$1,3,2)&amp;LEFT(AD$2,1),'Group Model'!$1:$1,0),FALSE)</f>
        <v>3.0478981992364718</v>
      </c>
      <c r="AE313" s="309">
        <f>VLOOKUP($AN313,'Group Model'!$1:$1048576,MATCH("1H"&amp;MID(AE$1,3,2)&amp;LEFT(AE$2,1),'Group Model'!$1:$1,0),FALSE)</f>
        <v>3.0478981992364718</v>
      </c>
      <c r="AF313" s="309">
        <f>VLOOKUP($AN313,'Group Model'!$1:$1048576,MATCH("1H"&amp;MID(AF$1,3,2)&amp;LEFT(AF$2,1),'Group Model'!$1:$1,0),FALSE)</f>
        <v>3.601863674269941</v>
      </c>
      <c r="AG313" s="309" t="e">
        <f>VLOOKUP($AN313,'Group Model'!$1:$1048576,MATCH("2H"&amp;MID(AG$1,3,2)&amp;LEFT(AG$2,1),'Group Model'!$1:$1,0),FALSE)</f>
        <v>#N/A</v>
      </c>
      <c r="AH313" s="309" t="e">
        <f>VLOOKUP($AN313,'Group Model'!$1:$1048576,MATCH("1H"&amp;MID(AH$1,3,2)&amp;LEFT(AH$2,1),'Group Model'!$1:$1,0),FALSE)</f>
        <v>#N/A</v>
      </c>
      <c r="AI313" s="309" t="e">
        <f>VLOOKUP($AN313,'Group Model'!$1:$1048576,MATCH("2H"&amp;MID(AI$1,3,2)&amp;LEFT(AI$2,1),'Group Model'!$1:$1,0),FALSE)</f>
        <v>#N/A</v>
      </c>
      <c r="AL313" s="298">
        <f>ROW()</f>
        <v>313</v>
      </c>
      <c r="AN313" s="298" t="str">
        <f>'Group Model'!A474</f>
        <v>AD_PSEPSCashDiluted</v>
      </c>
    </row>
    <row r="314" spans="1:40" outlineLevel="2">
      <c r="B314" t="s">
        <v>1009</v>
      </c>
      <c r="C314" t="s">
        <v>1010</v>
      </c>
      <c r="D314" t="str">
        <f t="shared" si="36"/>
        <v>AUD</v>
      </c>
      <c r="F314" s="299">
        <f>VLOOKUP($AN314,'Group Model'!$1:$1048576,MATCH("FY"&amp;RIGHT(F$1,2)&amp;LEFT(F$2,1),'Group Model'!$1:$1,0),FALSE)</f>
        <v>-550</v>
      </c>
      <c r="G314" s="299">
        <f>VLOOKUP($AN314,'Group Model'!$1:$1048576,MATCH("FY"&amp;RIGHT(G$1,2)&amp;LEFT(G$2,1),'Group Model'!$1:$1,0),FALSE)</f>
        <v>-602</v>
      </c>
      <c r="H314" s="299">
        <f>VLOOKUP($AN314,'Group Model'!$1:$1048576,MATCH("FY"&amp;RIGHT(H$1,2)&amp;LEFT(H$2,1),'Group Model'!$1:$1,0),FALSE)</f>
        <v>-880</v>
      </c>
      <c r="I314" s="299">
        <f>VLOOKUP($AN314,'Group Model'!$1:$1048576,MATCH("FY"&amp;RIGHT(I$1,2)&amp;LEFT(I$2,1),'Group Model'!$1:$1,0),FALSE)</f>
        <v>-962</v>
      </c>
      <c r="J314" s="299">
        <f>VLOOKUP($AN314,'Group Model'!$1:$1048576,MATCH("FY"&amp;RIGHT(J$1,2)&amp;LEFT(J$2,1),'Group Model'!$1:$1,0),FALSE)</f>
        <v>-409</v>
      </c>
      <c r="K314" s="299">
        <f>VLOOKUP($AN314,'Group Model'!$1:$1048576,MATCH("FY"&amp;RIGHT(K$1,2)&amp;LEFT(K$2,1),'Group Model'!$1:$1,0),FALSE)</f>
        <v>-643</v>
      </c>
      <c r="L314" s="299">
        <f>VLOOKUP($AN314,'Group Model'!$1:$1048576,MATCH("FY"&amp;RIGHT(L$1,2)&amp;LEFT(L$2,1),'Group Model'!$1:$1,0),FALSE)</f>
        <v>-572</v>
      </c>
      <c r="M314" s="299">
        <f>VLOOKUP($AN314,'Group Model'!$1:$1048576,MATCH("FY"&amp;RIGHT(M$1,2)&amp;LEFT(M$2,1),'Group Model'!$1:$1,0),FALSE)</f>
        <v>-509</v>
      </c>
      <c r="N314" s="299">
        <f>VLOOKUP($AN314,'Group Model'!$1:$1048576,MATCH("FY"&amp;RIGHT(N$1,2)&amp;LEFT(N$2,1),'Group Model'!$1:$1,0),FALSE)</f>
        <v>-1159</v>
      </c>
      <c r="O314" s="299">
        <f>VLOOKUP($AN314,'Group Model'!$1:$1048576,MATCH("FY"&amp;RIGHT(O$1,2)&amp;LEFT(O$2,1),'Group Model'!$1:$1,0),FALSE)</f>
        <v>-1159</v>
      </c>
      <c r="P314" s="299">
        <f>VLOOKUP($AN314,'Group Model'!$1:$1048576,MATCH("FY"&amp;RIGHT(P$1,2)&amp;LEFT(P$2,1),'Group Model'!$1:$1,0),FALSE)</f>
        <v>-1208</v>
      </c>
      <c r="Q314" s="309">
        <f>VLOOKUP($AN314,'Group Model'!$1:$1048576,MATCH("FY"&amp;RIGHT(Q$1,2)&amp;LEFT(Q$2,1),'Group Model'!$1:$1,0),FALSE)</f>
        <v>-1462</v>
      </c>
      <c r="R314" s="299" t="e">
        <f>VLOOKUP($AN314,'Group Model'!$1:$1048576,MATCH("FY"&amp;RIGHT(R$1,2)&amp;LEFT(R$2,1),'Group Model'!$1:$1,0),FALSE)</f>
        <v>#N/A</v>
      </c>
      <c r="S314" s="299" t="e">
        <f>VLOOKUP($AN314,'Group Model'!$1:$1048576,MATCH("FY"&amp;RIGHT(S$1,2)&amp;LEFT(S$2,1),'Group Model'!$1:$1,0),FALSE)</f>
        <v>#N/A</v>
      </c>
      <c r="T314" s="299" t="e">
        <f>VLOOKUP($AN314,'Group Model'!$1:$1048576,MATCH("FY"&amp;RIGHT(T$1,2)&amp;LEFT(T$2,1),'Group Model'!$1:$1,0),FALSE)</f>
        <v>#N/A</v>
      </c>
      <c r="U314" s="299"/>
      <c r="V314" s="299">
        <f>VLOOKUP($AN314,'Group Model'!$1:$1048576,MATCH("1H"&amp;MID(V$1,3,2)&amp;LEFT(V$2,1),'Group Model'!$1:$1,0),FALSE)</f>
        <v>-257</v>
      </c>
      <c r="W314" s="299">
        <f>VLOOKUP($AN314,'Group Model'!$1:$1048576,MATCH("1H"&amp;MID(W$1,3,2)&amp;LEFT(W$2,1),'Group Model'!$1:$1,0),FALSE)</f>
        <v>-257</v>
      </c>
      <c r="X314" s="299">
        <f>VLOOKUP($AN314,'Group Model'!$1:$1048576,MATCH("1H"&amp;MID(X$1,3,2)&amp;LEFT(X$2,1),'Group Model'!$1:$1,0),FALSE)</f>
        <v>-419</v>
      </c>
      <c r="Y314" s="299">
        <f>VLOOKUP($AN314,'Group Model'!$1:$1048576,MATCH("1H"&amp;MID(Y$1,3,2)&amp;LEFT(Y$2,1),'Group Model'!$1:$1,0),FALSE)</f>
        <v>-419</v>
      </c>
      <c r="Z314" s="299">
        <f>VLOOKUP($AN314,'Group Model'!$1:$1048576,MATCH("1H"&amp;MID(Z$1,3,2)&amp;LEFT(Z$2,1),'Group Model'!$1:$1,0),FALSE)</f>
        <v>-514</v>
      </c>
      <c r="AA314" s="299">
        <f>VLOOKUP($AN314,'Group Model'!$1:$1048576,MATCH("1H"&amp;MID(AA$1,3,2)&amp;LEFT(AA$2,1),'Group Model'!$1:$1,0),FALSE)</f>
        <v>-514</v>
      </c>
      <c r="AB314" s="299">
        <f>VLOOKUP($AN314,'Group Model'!$1:$1048576,MATCH("1H"&amp;MID(AB$1,3,2)&amp;LEFT(AB$2,1),'Group Model'!$1:$1,0),FALSE)</f>
        <v>-667</v>
      </c>
      <c r="AC314" s="299">
        <f>VLOOKUP($AN314,'Group Model'!$1:$1048576,MATCH("1H"&amp;MID(AC$1,3,2)&amp;LEFT(AC$2,1),'Group Model'!$1:$1,0),FALSE)</f>
        <v>-667</v>
      </c>
      <c r="AD314" s="299">
        <f>VLOOKUP($AN314,'Group Model'!$1:$1048576,MATCH("1H"&amp;MID(AD$1,3,2)&amp;LEFT(AD$2,1),'Group Model'!$1:$1,0),FALSE)</f>
        <v>-816</v>
      </c>
      <c r="AE314" s="299">
        <f>VLOOKUP($AN314,'Group Model'!$1:$1048576,MATCH("1H"&amp;MID(AE$1,3,2)&amp;LEFT(AE$2,1),'Group Model'!$1:$1,0),FALSE)</f>
        <v>-816</v>
      </c>
      <c r="AF314" s="299">
        <f>VLOOKUP($AN314,'Group Model'!$1:$1048576,MATCH("1H"&amp;MID(AF$1,3,2)&amp;LEFT(AF$2,1),'Group Model'!$1:$1,0),FALSE)</f>
        <v>-952</v>
      </c>
      <c r="AG314" s="299" t="e">
        <f>VLOOKUP($AN314,'Group Model'!$1:$1048576,MATCH("2H"&amp;MID(AG$1,3,2)&amp;LEFT(AG$2,1),'Group Model'!$1:$1,0),FALSE)</f>
        <v>#N/A</v>
      </c>
      <c r="AH314" s="299" t="e">
        <f>VLOOKUP($AN314,'Group Model'!$1:$1048576,MATCH("1H"&amp;MID(AH$1,3,2)&amp;LEFT(AH$2,1),'Group Model'!$1:$1,0),FALSE)</f>
        <v>#N/A</v>
      </c>
      <c r="AI314" s="299" t="e">
        <f>VLOOKUP($AN314,'Group Model'!$1:$1048576,MATCH("2H"&amp;MID(AI$1,3,2)&amp;LEFT(AI$2,1),'Group Model'!$1:$1,0),FALSE)</f>
        <v>#N/A</v>
      </c>
      <c r="AL314" s="298">
        <f>ROW()</f>
        <v>314</v>
      </c>
      <c r="AN314" s="298" t="str">
        <f>'Group Model'!A95</f>
        <v>OrdEqu_OrdDiv</v>
      </c>
    </row>
    <row r="315" spans="1:40" outlineLevel="2">
      <c r="B315" t="s">
        <v>1011</v>
      </c>
      <c r="C315" t="s">
        <v>102</v>
      </c>
      <c r="D315" t="str">
        <f t="shared" si="36"/>
        <v>AUD</v>
      </c>
      <c r="F315" s="309">
        <f>VLOOKUP($AN315,'Group Model'!$1:$1048576,MATCH("FY"&amp;RIGHT(F$1,2)&amp;LEFT(F$2,1),'Group Model'!$1:$1,0),FALSE)</f>
        <v>2.1143100000000001</v>
      </c>
      <c r="G315" s="309">
        <f>VLOOKUP($AN315,'Group Model'!$1:$1048576,MATCH("FY"&amp;RIGHT(G$1,2)&amp;LEFT(G$2,1),'Group Model'!$1:$1,0),FALSE)</f>
        <v>3.0977100000000002</v>
      </c>
      <c r="H315" s="309">
        <f>VLOOKUP($AN315,'Group Model'!$1:$1048576,MATCH("FY"&amp;RIGHT(H$1,2)&amp;LEFT(H$2,1),'Group Model'!$1:$1,0),FALSE)</f>
        <v>3.3927300000000002</v>
      </c>
      <c r="I315" s="309">
        <f>VLOOKUP($AN315,'Group Model'!$1:$1048576,MATCH("FY"&amp;RIGHT(I$1,2)&amp;LEFT(I$2,1),'Group Model'!$1:$1,0),FALSE)</f>
        <v>1.8192900000000001</v>
      </c>
      <c r="J315" s="309">
        <f>VLOOKUP($AN315,'Group Model'!$1:$1048576,MATCH("FY"&amp;RIGHT(J$1,2)&amp;LEFT(J$2,1),'Group Model'!$1:$1,0),FALSE)</f>
        <v>1.8291240000000002</v>
      </c>
      <c r="K315" s="309">
        <f>VLOOKUP($AN315,'Group Model'!$1:$1048576,MATCH("FY"&amp;RIGHT(K$1,2)&amp;LEFT(K$2,1),'Group Model'!$1:$1,0),FALSE)</f>
        <v>1.8291240000000002</v>
      </c>
      <c r="L315" s="309">
        <f>VLOOKUP($AN315,'Group Model'!$1:$1048576,MATCH("FY"&amp;RIGHT(L$1,2)&amp;LEFT(L$2,1),'Group Model'!$1:$1,0),FALSE)</f>
        <v>1.37676</v>
      </c>
      <c r="M315" s="309">
        <f>VLOOKUP($AN315,'Group Model'!$1:$1048576,MATCH("FY"&amp;RIGHT(M$1,2)&amp;LEFT(M$2,1),'Group Model'!$1:$1,0),FALSE)</f>
        <v>1.9668000000000001</v>
      </c>
      <c r="N315" s="309">
        <f>VLOOKUP($AN315,'Group Model'!$1:$1048576,MATCH("FY"&amp;RIGHT(N$1,2)&amp;LEFT(N$2,1),'Group Model'!$1:$1,0),FALSE)</f>
        <v>3.7397000000000005</v>
      </c>
      <c r="O315" s="309">
        <f>VLOOKUP($AN315,'Group Model'!$1:$1048576,MATCH("FY"&amp;RIGHT(O$1,2)&amp;LEFT(O$2,1),'Group Model'!$1:$1,0),FALSE)</f>
        <v>3.3</v>
      </c>
      <c r="P315" s="309">
        <f>VLOOKUP($AN315,'Group Model'!$1:$1048576,MATCH("FY"&amp;RIGHT(P$1,2)&amp;LEFT(P$2,1),'Group Model'!$1:$1,0),FALSE)</f>
        <v>4</v>
      </c>
      <c r="Q315" s="309">
        <f>VLOOKUP($AN315,'Group Model'!$1:$1048576,MATCH("FY"&amp;RIGHT(Q$1,2)&amp;LEFT(Q$2,1),'Group Model'!$1:$1,0),FALSE)</f>
        <v>4.6999999999999993</v>
      </c>
      <c r="R315" s="309" t="e">
        <f>VLOOKUP($AN315,'Group Model'!$1:$1048576,MATCH("FY"&amp;RIGHT(R$1,2)&amp;LEFT(R$2,1),'Group Model'!$1:$1,0),FALSE)</f>
        <v>#N/A</v>
      </c>
      <c r="S315" s="309" t="e">
        <f>VLOOKUP($AN315,'Group Model'!$1:$1048576,MATCH("FY"&amp;RIGHT(S$1,2)&amp;LEFT(S$2,1),'Group Model'!$1:$1,0),FALSE)</f>
        <v>#N/A</v>
      </c>
      <c r="T315" s="309" t="e">
        <f>VLOOKUP($AN315,'Group Model'!$1:$1048576,MATCH("FY"&amp;RIGHT(T$1,2)&amp;LEFT(T$2,1),'Group Model'!$1:$1,0),FALSE)</f>
        <v>#N/A</v>
      </c>
      <c r="U315" s="309"/>
      <c r="V315" s="309">
        <f>VLOOKUP($AN315,'Group Model'!$1:$1048576,MATCH("1H"&amp;MID(V$1,3,2)&amp;LEFT(V$2,1),'Group Model'!$1:$1,0),FALSE)</f>
        <v>0.73755000000000004</v>
      </c>
      <c r="W315" s="309">
        <f>VLOOKUP($AN315,'Group Model'!$1:$1048576,MATCH("1H"&amp;MID(W$1,3,2)&amp;LEFT(W$2,1),'Group Model'!$1:$1,0),FALSE)</f>
        <v>0.73755000000000004</v>
      </c>
      <c r="X315" s="309">
        <f>VLOOKUP($AN315,'Group Model'!$1:$1048576,MATCH("1H"&amp;MID(X$1,3,2)&amp;LEFT(X$2,1),'Group Model'!$1:$1,0),FALSE)</f>
        <v>0.98340000000000005</v>
      </c>
      <c r="Y315" s="309">
        <f>VLOOKUP($AN315,'Group Model'!$1:$1048576,MATCH("1H"&amp;MID(Y$1,3,2)&amp;LEFT(Y$2,1),'Group Model'!$1:$1,0),FALSE)</f>
        <v>0.98340000000000005</v>
      </c>
      <c r="Z315" s="309">
        <f>VLOOKUP($AN315,'Group Model'!$1:$1048576,MATCH("1H"&amp;MID(Z$1,3,2)&amp;LEFT(Z$2,1),'Group Model'!$1:$1,0),FALSE)</f>
        <v>1.3</v>
      </c>
      <c r="AA315" s="309">
        <f>VLOOKUP($AN315,'Group Model'!$1:$1048576,MATCH("1H"&amp;MID(AA$1,3,2)&amp;LEFT(AA$2,1),'Group Model'!$1:$1,0),FALSE)</f>
        <v>1.3</v>
      </c>
      <c r="AB315" s="309">
        <f>VLOOKUP($AN315,'Group Model'!$1:$1048576,MATCH("1H"&amp;MID(AB$1,3,2)&amp;LEFT(AB$2,1),'Group Model'!$1:$1,0),FALSE)</f>
        <v>1.6</v>
      </c>
      <c r="AC315" s="309">
        <f>VLOOKUP($AN315,'Group Model'!$1:$1048576,MATCH("1H"&amp;MID(AC$1,3,2)&amp;LEFT(AC$2,1),'Group Model'!$1:$1,0),FALSE)</f>
        <v>1.6</v>
      </c>
      <c r="AD315" s="309">
        <f>VLOOKUP($AN315,'Group Model'!$1:$1048576,MATCH("1H"&amp;MID(AD$1,3,2)&amp;LEFT(AD$2,1),'Group Model'!$1:$1,0),FALSE)</f>
        <v>1.9</v>
      </c>
      <c r="AE315" s="309">
        <f>VLOOKUP($AN315,'Group Model'!$1:$1048576,MATCH("1H"&amp;MID(AE$1,3,2)&amp;LEFT(AE$2,1),'Group Model'!$1:$1,0),FALSE)</f>
        <v>1.9</v>
      </c>
      <c r="AF315" s="309">
        <f>VLOOKUP($AN315,'Group Model'!$1:$1048576,MATCH("1H"&amp;MID(AF$1,3,2)&amp;LEFT(AF$2,1),'Group Model'!$1:$1,0),FALSE)</f>
        <v>2.0499999999999998</v>
      </c>
      <c r="AG315" s="309" t="e">
        <f>VLOOKUP($AN315,'Group Model'!$1:$1048576,MATCH("2H"&amp;MID(AG$1,3,2)&amp;LEFT(AG$2,1),'Group Model'!$1:$1,0),FALSE)</f>
        <v>#N/A</v>
      </c>
      <c r="AH315" s="309" t="e">
        <f>VLOOKUP($AN315,'Group Model'!$1:$1048576,MATCH("1H"&amp;MID(AH$1,3,2)&amp;LEFT(AH$2,1),'Group Model'!$1:$1,0),FALSE)</f>
        <v>#N/A</v>
      </c>
      <c r="AI315" s="309" t="e">
        <f>VLOOKUP($AN315,'Group Model'!$1:$1048576,MATCH("2H"&amp;MID(AI$1,3,2)&amp;LEFT(AI$2,1),'Group Model'!$1:$1,0),FALSE)</f>
        <v>#N/A</v>
      </c>
      <c r="AL315" s="298">
        <f>ROW()</f>
        <v>315</v>
      </c>
      <c r="AN315" s="298" t="str">
        <f>'Group Model'!A36</f>
        <v>ASS_CapitalDPS</v>
      </c>
    </row>
    <row r="316" spans="1:40" outlineLevel="2">
      <c r="B316" t="s">
        <v>1012</v>
      </c>
      <c r="C316" t="s">
        <v>1013</v>
      </c>
      <c r="F316" s="299">
        <f>VLOOKUP($AN316,'Group Model'!$1:$1048576,MATCH("FY"&amp;RIGHT(F$1,2)&amp;LEFT(F$2,1),'Group Model'!$1:$1,0),FALSE)</f>
        <v>232.70337095790114</v>
      </c>
      <c r="G316" s="299">
        <f>VLOOKUP($AN316,'Group Model'!$1:$1048576,MATCH("FY"&amp;RIGHT(G$1,2)&amp;LEFT(G$2,1),'Group Model'!$1:$1,0),FALSE)</f>
        <v>251.48819808826519</v>
      </c>
      <c r="H316" s="299">
        <f>VLOOKUP($AN316,'Group Model'!$1:$1048576,MATCH("FY"&amp;RIGHT(H$1,2)&amp;LEFT(H$2,1),'Group Model'!$1:$1,0),FALSE)</f>
        <v>273.39327842180188</v>
      </c>
      <c r="I316" s="299">
        <f>VLOOKUP($AN316,'Group Model'!$1:$1048576,MATCH("FY"&amp;RIGHT(I$1,2)&amp;LEFT(I$2,1),'Group Model'!$1:$1,0),FALSE)</f>
        <v>286.12295098637378</v>
      </c>
      <c r="J316" s="299">
        <f>VLOOKUP($AN316,'Group Model'!$1:$1048576,MATCH("FY"&amp;RIGHT(J$1,2)&amp;LEFT(J$2,1),'Group Model'!$1:$1,0),FALSE)</f>
        <v>333.4432621517185</v>
      </c>
      <c r="K316" s="299">
        <f>VLOOKUP($AN316,'Group Model'!$1:$1048576,MATCH("FY"&amp;RIGHT(K$1,2)&amp;LEFT(K$2,1),'Group Model'!$1:$1,0),FALSE)</f>
        <v>344.07095179987795</v>
      </c>
      <c r="L316" s="299">
        <f>VLOOKUP($AN316,'Group Model'!$1:$1048576,MATCH("FY"&amp;RIGHT(L$1,2)&amp;LEFT(L$2,1),'Group Model'!$1:$1,0),FALSE)</f>
        <v>332.53481492780151</v>
      </c>
      <c r="M316" s="299">
        <f>VLOOKUP($AN316,'Group Model'!$1:$1048576,MATCH("FY"&amp;RIGHT(M$1,2)&amp;LEFT(M$2,1),'Group Model'!$1:$1,0),FALSE)</f>
        <v>319.82793268252999</v>
      </c>
      <c r="N316" s="299">
        <f>VLOOKUP($AN316,'Group Model'!$1:$1048576,MATCH("FY"&amp;RIGHT(N$1,2)&amp;LEFT(N$2,1),'Group Model'!$1:$1,0),FALSE)</f>
        <v>306.08165700000001</v>
      </c>
      <c r="O316" s="299">
        <f>VLOOKUP($AN316,'Group Model'!$1:$1048576,MATCH("FY"&amp;RIGHT(O$1,2)&amp;LEFT(O$2,1),'Group Model'!$1:$1,0),FALSE)</f>
        <v>298.05655400000001</v>
      </c>
      <c r="P316" s="299">
        <f>VLOOKUP($AN316,'Group Model'!$1:$1048576,MATCH("FY"&amp;RIGHT(P$1,2)&amp;LEFT(P$2,1),'Group Model'!$1:$1,0),FALSE)</f>
        <v>315.07742000000002</v>
      </c>
      <c r="Q316" s="309">
        <f>VLOOKUP($AN316,'Group Model'!$1:$1048576,MATCH("FY"&amp;RIGHT(Q$1,2)&amp;LEFT(Q$2,1),'Group Model'!$1:$1,0),FALSE)</f>
        <v>321.14715999999999</v>
      </c>
      <c r="R316" s="299" t="e">
        <f>VLOOKUP($AN316,'Group Model'!$1:$1048576,MATCH("FY"&amp;RIGHT(R$1,2)&amp;LEFT(R$2,1),'Group Model'!$1:$1,0),FALSE)</f>
        <v>#N/A</v>
      </c>
      <c r="S316" s="299" t="e">
        <f>VLOOKUP($AN316,'Group Model'!$1:$1048576,MATCH("FY"&amp;RIGHT(S$1,2)&amp;LEFT(S$2,1),'Group Model'!$1:$1,0),FALSE)</f>
        <v>#N/A</v>
      </c>
      <c r="T316" s="299" t="e">
        <f>VLOOKUP($AN316,'Group Model'!$1:$1048576,MATCH("FY"&amp;RIGHT(T$1,2)&amp;LEFT(T$2,1),'Group Model'!$1:$1,0),FALSE)</f>
        <v>#N/A</v>
      </c>
      <c r="U316" s="299"/>
      <c r="V316" s="299">
        <f>VLOOKUP($AN316,'Group Model'!$1:$1048576,MATCH("1H"&amp;MID(V$1,3,2)&amp;LEFT(V$2,1),'Group Model'!$1:$1,0),FALSE)</f>
        <v>322.95040166768354</v>
      </c>
      <c r="W316" s="299">
        <f>VLOOKUP($AN316,'Group Model'!$1:$1048576,MATCH("1H"&amp;MID(W$1,3,2)&amp;LEFT(W$2,1),'Group Model'!$1:$1,0),FALSE)</f>
        <v>322.95040166768354</v>
      </c>
      <c r="X316" s="299">
        <f>VLOOKUP($AN316,'Group Model'!$1:$1048576,MATCH("1H"&amp;MID(X$1,3,2)&amp;LEFT(X$2,1),'Group Model'!$1:$1,0),FALSE)</f>
        <v>315.13245983323162</v>
      </c>
      <c r="Y316" s="299">
        <f>VLOOKUP($AN316,'Group Model'!$1:$1048576,MATCH("1H"&amp;MID(Y$1,3,2)&amp;LEFT(Y$2,1),'Group Model'!$1:$1,0),FALSE)</f>
        <v>315.13245983323162</v>
      </c>
      <c r="Z316" s="299">
        <f>VLOOKUP($AN316,'Group Model'!$1:$1048576,MATCH("1H"&amp;MID(Z$1,3,2)&amp;LEFT(Z$2,1),'Group Model'!$1:$1,0),FALSE)</f>
        <v>295.35898400000002</v>
      </c>
      <c r="AA316" s="299">
        <f>VLOOKUP($AN316,'Group Model'!$1:$1048576,MATCH("1H"&amp;MID(AA$1,3,2)&amp;LEFT(AA$2,1),'Group Model'!$1:$1,0),FALSE)</f>
        <v>295.35898400000002</v>
      </c>
      <c r="AB316" s="299">
        <f>VLOOKUP($AN316,'Group Model'!$1:$1048576,MATCH("1H"&amp;MID(AB$1,3,2)&amp;LEFT(AB$2,1),'Group Model'!$1:$1,0),FALSE)</f>
        <v>310.60417100000001</v>
      </c>
      <c r="AC316" s="299">
        <f>VLOOKUP($AN316,'Group Model'!$1:$1048576,MATCH("1H"&amp;MID(AC$1,3,2)&amp;LEFT(AC$2,1),'Group Model'!$1:$1,0),FALSE)</f>
        <v>310.60417100000001</v>
      </c>
      <c r="AD316" s="299">
        <f>VLOOKUP($AN316,'Group Model'!$1:$1048576,MATCH("1H"&amp;MID(AD$1,3,2)&amp;LEFT(AD$2,1),'Group Model'!$1:$1,0),FALSE)</f>
        <v>321.03969499999999</v>
      </c>
      <c r="AE316" s="299">
        <f>VLOOKUP($AN316,'Group Model'!$1:$1048576,MATCH("1H"&amp;MID(AE$1,3,2)&amp;LEFT(AE$2,1),'Group Model'!$1:$1,0),FALSE)</f>
        <v>321.03969499999999</v>
      </c>
      <c r="AF316" s="299">
        <f>VLOOKUP($AN316,'Group Model'!$1:$1048576,MATCH("1H"&amp;MID(AF$1,3,2)&amp;LEFT(AF$2,1),'Group Model'!$1:$1,0),FALSE)</f>
        <v>322.12424800000002</v>
      </c>
      <c r="AG316" s="299" t="e">
        <f>VLOOKUP($AN316,'Group Model'!$1:$1048576,MATCH("2H"&amp;MID(AG$1,3,2)&amp;LEFT(AG$2,1),'Group Model'!$1:$1,0),FALSE)</f>
        <v>#N/A</v>
      </c>
      <c r="AH316" s="299" t="e">
        <f>VLOOKUP($AN316,'Group Model'!$1:$1048576,MATCH("1H"&amp;MID(AH$1,3,2)&amp;LEFT(AH$2,1),'Group Model'!$1:$1,0),FALSE)</f>
        <v>#N/A</v>
      </c>
      <c r="AI316" s="299" t="e">
        <f>VLOOKUP($AN316,'Group Model'!$1:$1048576,MATCH("2H"&amp;MID(AI$1,3,2)&amp;LEFT(AI$2,1),'Group Model'!$1:$1,0),FALSE)</f>
        <v>#N/A</v>
      </c>
      <c r="AL316" s="298">
        <f>ROW()</f>
        <v>316</v>
      </c>
      <c r="AN316" s="298" t="str">
        <f>'Group Model'!A104</f>
        <v>OrdEqu_AvSOIBasic</v>
      </c>
    </row>
    <row r="317" spans="1:40" outlineLevel="2">
      <c r="B317" t="s">
        <v>1014</v>
      </c>
      <c r="C317" t="s">
        <v>1015</v>
      </c>
      <c r="F317" s="299">
        <f>VLOOKUP($AN317,'Group Model'!$1:$1048576,MATCH("FY"&amp;RIGHT(F$1,2)&amp;LEFT(F$2,1),'Group Model'!$1:$1,0),FALSE)</f>
        <v>243.67638804148871</v>
      </c>
      <c r="G317" s="299">
        <f>VLOOKUP($AN317,'Group Model'!$1:$1048576,MATCH("FY"&amp;RIGHT(G$1,2)&amp;LEFT(G$2,1),'Group Model'!$1:$1,0),FALSE)</f>
        <v>261.08914887126292</v>
      </c>
      <c r="H317" s="299">
        <f>VLOOKUP($AN317,'Group Model'!$1:$1048576,MATCH("FY"&amp;RIGHT(H$1,2)&amp;LEFT(H$2,1),'Group Model'!$1:$1,0),FALSE)</f>
        <v>280.53486678869228</v>
      </c>
      <c r="I317" s="299">
        <f>VLOOKUP($AN317,'Group Model'!$1:$1048576,MATCH("FY"&amp;RIGHT(I$1,2)&amp;LEFT(I$2,1),'Group Model'!$1:$1,0),FALSE)</f>
        <v>287.09284421395159</v>
      </c>
      <c r="J317" s="299">
        <f>VLOOKUP($AN317,'Group Model'!$1:$1048576,MATCH("FY"&amp;RIGHT(J$1,2)&amp;LEFT(J$2,1),'Group Model'!$1:$1,0),FALSE)</f>
        <v>346.59679886109416</v>
      </c>
      <c r="K317" s="299">
        <f>VLOOKUP($AN317,'Group Model'!$1:$1048576,MATCH("FY"&amp;RIGHT(K$1,2)&amp;LEFT(K$2,1),'Group Model'!$1:$1,0),FALSE)</f>
        <v>365.31292658124875</v>
      </c>
      <c r="L317" s="299">
        <f>VLOOKUP($AN317,'Group Model'!$1:$1048576,MATCH("FY"&amp;RIGHT(L$1,2)&amp;LEFT(L$2,1),'Group Model'!$1:$1,0),FALSE)</f>
        <v>345.26540471832413</v>
      </c>
      <c r="M317" s="299">
        <f>VLOOKUP($AN317,'Group Model'!$1:$1048576,MATCH("FY"&amp;RIGHT(M$1,2)&amp;LEFT(M$2,1),'Group Model'!$1:$1,0),FALSE)</f>
        <v>362.36942139515963</v>
      </c>
      <c r="N317" s="299">
        <f>VLOOKUP($AN317,'Group Model'!$1:$1048576,MATCH("FY"&amp;RIGHT(N$1,2)&amp;LEFT(N$2,1),'Group Model'!$1:$1,0),FALSE)</f>
        <v>345.89343300000002</v>
      </c>
      <c r="O317" s="299">
        <f>VLOOKUP($AN317,'Group Model'!$1:$1048576,MATCH("FY"&amp;RIGHT(O$1,2)&amp;LEFT(O$2,1),'Group Model'!$1:$1,0),FALSE)</f>
        <v>332.29247900000001</v>
      </c>
      <c r="P317" s="299">
        <f>VLOOKUP($AN317,'Group Model'!$1:$1048576,MATCH("FY"&amp;RIGHT(P$1,2)&amp;LEFT(P$2,1),'Group Model'!$1:$1,0),FALSE)</f>
        <v>354.11880200000002</v>
      </c>
      <c r="Q317" s="309">
        <f>VLOOKUP($AN317,'Group Model'!$1:$1048576,MATCH("FY"&amp;RIGHT(Q$1,2)&amp;LEFT(Q$2,1),'Group Model'!$1:$1,0),FALSE)</f>
        <v>355.60108700000001</v>
      </c>
      <c r="R317" s="299" t="e">
        <f>VLOOKUP($AN317,'Group Model'!$1:$1048576,MATCH("FY"&amp;RIGHT(R$1,2)&amp;LEFT(R$2,1),'Group Model'!$1:$1,0),FALSE)</f>
        <v>#N/A</v>
      </c>
      <c r="S317" s="299" t="e">
        <f>VLOOKUP($AN317,'Group Model'!$1:$1048576,MATCH("FY"&amp;RIGHT(S$1,2)&amp;LEFT(S$2,1),'Group Model'!$1:$1,0),FALSE)</f>
        <v>#N/A</v>
      </c>
      <c r="T317" s="299" t="e">
        <f>VLOOKUP($AN317,'Group Model'!$1:$1048576,MATCH("FY"&amp;RIGHT(T$1,2)&amp;LEFT(T$2,1),'Group Model'!$1:$1,0),FALSE)</f>
        <v>#N/A</v>
      </c>
      <c r="U317" s="299"/>
      <c r="V317" s="299">
        <f>VLOOKUP($AN317,'Group Model'!$1:$1048576,MATCH("1H"&amp;MID(V$1,3,2)&amp;LEFT(V$2,1),'Group Model'!$1:$1,0),FALSE)</f>
        <v>347.72450884685787</v>
      </c>
      <c r="W317" s="299">
        <f>VLOOKUP($AN317,'Group Model'!$1:$1048576,MATCH("1H"&amp;MID(W$1,3,2)&amp;LEFT(W$2,1),'Group Model'!$1:$1,0),FALSE)</f>
        <v>347.72450884685787</v>
      </c>
      <c r="X317" s="299">
        <f>VLOOKUP($AN317,'Group Model'!$1:$1048576,MATCH("1H"&amp;MID(X$1,3,2)&amp;LEFT(X$2,1),'Group Model'!$1:$1,0),FALSE)</f>
        <v>358.56912344925763</v>
      </c>
      <c r="Y317" s="299">
        <f>VLOOKUP($AN317,'Group Model'!$1:$1048576,MATCH("1H"&amp;MID(Y$1,3,2)&amp;LEFT(Y$2,1),'Group Model'!$1:$1,0),FALSE)</f>
        <v>358.56912344925763</v>
      </c>
      <c r="Z317" s="299">
        <f>VLOOKUP($AN317,'Group Model'!$1:$1048576,MATCH("1H"&amp;MID(Z$1,3,2)&amp;LEFT(Z$2,1),'Group Model'!$1:$1,0),FALSE)</f>
        <v>330.89344</v>
      </c>
      <c r="AA317" s="299">
        <f>VLOOKUP($AN317,'Group Model'!$1:$1048576,MATCH("1H"&amp;MID(AA$1,3,2)&amp;LEFT(AA$2,1),'Group Model'!$1:$1,0),FALSE)</f>
        <v>330.89344</v>
      </c>
      <c r="AB317" s="299">
        <f>VLOOKUP($AN317,'Group Model'!$1:$1048576,MATCH("1H"&amp;MID(AB$1,3,2)&amp;LEFT(AB$2,1),'Group Model'!$1:$1,0),FALSE)</f>
        <v>347.10364600000003</v>
      </c>
      <c r="AC317" s="299">
        <f>VLOOKUP($AN317,'Group Model'!$1:$1048576,MATCH("1H"&amp;MID(AC$1,3,2)&amp;LEFT(AC$2,1),'Group Model'!$1:$1,0),FALSE)</f>
        <v>347.10364600000003</v>
      </c>
      <c r="AD317" s="299">
        <f>VLOOKUP($AN317,'Group Model'!$1:$1048576,MATCH("1H"&amp;MID(AD$1,3,2)&amp;LEFT(AD$2,1),'Group Model'!$1:$1,0),FALSE)</f>
        <v>356.96730300000002</v>
      </c>
      <c r="AE317" s="299">
        <f>VLOOKUP($AN317,'Group Model'!$1:$1048576,MATCH("1H"&amp;MID(AE$1,3,2)&amp;LEFT(AE$2,1),'Group Model'!$1:$1,0),FALSE)</f>
        <v>356.96730300000002</v>
      </c>
      <c r="AF317" s="299">
        <f>VLOOKUP($AN317,'Group Model'!$1:$1048576,MATCH("1H"&amp;MID(AF$1,3,2)&amp;LEFT(AF$2,1),'Group Model'!$1:$1,0),FALSE)</f>
        <v>354.26104800000002</v>
      </c>
      <c r="AG317" s="299" t="e">
        <f>VLOOKUP($AN317,'Group Model'!$1:$1048576,MATCH("2H"&amp;MID(AG$1,3,2)&amp;LEFT(AG$2,1),'Group Model'!$1:$1,0),FALSE)</f>
        <v>#N/A</v>
      </c>
      <c r="AH317" s="299" t="e">
        <f>VLOOKUP($AN317,'Group Model'!$1:$1048576,MATCH("1H"&amp;MID(AH$1,3,2)&amp;LEFT(AH$2,1),'Group Model'!$1:$1,0),FALSE)</f>
        <v>#N/A</v>
      </c>
      <c r="AI317" s="299" t="e">
        <f>VLOOKUP($AN317,'Group Model'!$1:$1048576,MATCH("2H"&amp;MID(AI$1,3,2)&amp;LEFT(AI$2,1),'Group Model'!$1:$1,0),FALSE)</f>
        <v>#N/A</v>
      </c>
      <c r="AL317" s="298">
        <f>ROW()</f>
        <v>317</v>
      </c>
      <c r="AN317" s="298" t="str">
        <f>'Group Model'!A105</f>
        <v>OrdEqu_AvSOIDiluted</v>
      </c>
    </row>
    <row r="318" spans="1:40" outlineLevel="2">
      <c r="B318" t="s">
        <v>1016</v>
      </c>
      <c r="C318" t="s">
        <v>1017</v>
      </c>
      <c r="F318" s="299">
        <f>VLOOKUP($AN318,'Group Model'!$1:$1048576,MATCH("FY"&amp;RIGHT(F$1,2)&amp;LEFT(F$2,1),'Group Model'!$1:$1,0),FALSE)</f>
        <v>236.36401159243439</v>
      </c>
      <c r="G318" s="299">
        <f>VLOOKUP($AN318,'Group Model'!$1:$1048576,MATCH("FY"&amp;RIGHT(G$1,2)&amp;LEFT(G$2,1),'Group Model'!$1:$1,0),FALSE)</f>
        <v>258.22778625177955</v>
      </c>
      <c r="H318" s="299">
        <f>VLOOKUP($AN318,'Group Model'!$1:$1048576,MATCH("FY"&amp;RIGHT(H$1,2)&amp;LEFT(H$2,1),'Group Model'!$1:$1,0),FALSE)</f>
        <v>279.20565385397595</v>
      </c>
      <c r="I318" s="299">
        <f>VLOOKUP($AN318,'Group Model'!$1:$1048576,MATCH("FY"&amp;RIGHT(I$1,2)&amp;LEFT(I$2,1),'Group Model'!$1:$1,0),FALSE)</f>
        <v>288.2224933902786</v>
      </c>
      <c r="J318" s="299">
        <f>VLOOKUP($AN318,'Group Model'!$1:$1048576,MATCH("FY"&amp;RIGHT(J$1,2)&amp;LEFT(J$2,1),'Group Model'!$1:$1,0),FALSE)</f>
        <v>350.05518710595891</v>
      </c>
      <c r="K318" s="299">
        <f>VLOOKUP($AN318,'Group Model'!$1:$1048576,MATCH("FY"&amp;RIGHT(K$1,2)&amp;LEFT(K$2,1),'Group Model'!$1:$1,0),FALSE)</f>
        <v>352.66927089688829</v>
      </c>
      <c r="L318" s="299">
        <f>VLOOKUP($AN318,'Group Model'!$1:$1048576,MATCH("FY"&amp;RIGHT(L$1,2)&amp;LEFT(L$2,1),'Group Model'!$1:$1,0),FALSE)</f>
        <v>354.46856111450069</v>
      </c>
      <c r="M318" s="299">
        <f>VLOOKUP($AN318,'Group Model'!$1:$1048576,MATCH("FY"&amp;RIGHT(M$1,2)&amp;LEFT(M$2,1),'Group Model'!$1:$1,0),FALSE)</f>
        <v>345.23752084604433</v>
      </c>
      <c r="N318" s="299">
        <f>VLOOKUP($AN318,'Group Model'!$1:$1048576,MATCH("FY"&amp;RIGHT(N$1,2)&amp;LEFT(N$2,1),'Group Model'!$1:$1,0),FALSE)</f>
        <v>321.07474999999999</v>
      </c>
      <c r="O318" s="299">
        <f>VLOOKUP($AN318,'Group Model'!$1:$1048576,MATCH("FY"&amp;RIGHT(O$1,2)&amp;LEFT(O$2,1),'Group Model'!$1:$1,0),FALSE)</f>
        <v>333.45777700000002</v>
      </c>
      <c r="P318" s="299">
        <f>VLOOKUP($AN318,'Group Model'!$1:$1048576,MATCH("FY"&amp;RIGHT(P$1,2)&amp;LEFT(P$2,1),'Group Model'!$1:$1,0),FALSE)</f>
        <v>340.30238900000001</v>
      </c>
      <c r="Q318" s="309">
        <f>VLOOKUP($AN318,'Group Model'!$1:$1048576,MATCH("FY"&amp;RIGHT(Q$1,2)&amp;LEFT(Q$2,1),'Group Model'!$1:$1,0),FALSE)</f>
        <v>340.35173099999997</v>
      </c>
      <c r="R318" s="299" t="e">
        <f>VLOOKUP($AN318,'Group Model'!$1:$1048576,MATCH("FY"&amp;RIGHT(R$1,2)&amp;LEFT(R$2,1),'Group Model'!$1:$1,0),FALSE)</f>
        <v>#N/A</v>
      </c>
      <c r="S318" s="299" t="e">
        <f>VLOOKUP($AN318,'Group Model'!$1:$1048576,MATCH("FY"&amp;RIGHT(S$1,2)&amp;LEFT(S$2,1),'Group Model'!$1:$1,0),FALSE)</f>
        <v>#N/A</v>
      </c>
      <c r="T318" s="299" t="e">
        <f>VLOOKUP($AN318,'Group Model'!$1:$1048576,MATCH("FY"&amp;RIGHT(T$1,2)&amp;LEFT(T$2,1),'Group Model'!$1:$1,0),FALSE)</f>
        <v>#N/A</v>
      </c>
      <c r="U318" s="299"/>
      <c r="V318" s="299">
        <f>VLOOKUP($AN318,'Group Model'!$1:$1048576,MATCH("1H"&amp;MID(V$1,3,2)&amp;LEFT(V$2,1),'Group Model'!$1:$1,0),FALSE)</f>
        <v>344.73165649786455</v>
      </c>
      <c r="W318" s="299">
        <f>VLOOKUP($AN318,'Group Model'!$1:$1048576,MATCH("1H"&amp;MID(W$1,3,2)&amp;LEFT(W$2,1),'Group Model'!$1:$1,0),FALSE)</f>
        <v>344.73165649786455</v>
      </c>
      <c r="X318" s="299">
        <f>VLOOKUP($AN318,'Group Model'!$1:$1048576,MATCH("1H"&amp;MID(X$1,3,2)&amp;LEFT(X$2,1),'Group Model'!$1:$1,0),FALSE)</f>
        <v>345.62541793776694</v>
      </c>
      <c r="Y318" s="299">
        <f>VLOOKUP($AN318,'Group Model'!$1:$1048576,MATCH("1H"&amp;MID(Y$1,3,2)&amp;LEFT(Y$2,1),'Group Model'!$1:$1,0),FALSE)</f>
        <v>345.62541793776694</v>
      </c>
      <c r="Z318" s="299">
        <f>VLOOKUP($AN318,'Group Model'!$1:$1048576,MATCH("1H"&amp;MID(Z$1,3,2)&amp;LEFT(Z$2,1),'Group Model'!$1:$1,0),FALSE)</f>
        <v>321.20299399999999</v>
      </c>
      <c r="AA318" s="299">
        <f>VLOOKUP($AN318,'Group Model'!$1:$1048576,MATCH("1H"&amp;MID(AA$1,3,2)&amp;LEFT(AA$2,1),'Group Model'!$1:$1,0),FALSE)</f>
        <v>321.20299399999999</v>
      </c>
      <c r="AB318" s="299">
        <f>VLOOKUP($AN318,'Group Model'!$1:$1048576,MATCH("1H"&amp;MID(AB$1,3,2)&amp;LEFT(AB$2,1),'Group Model'!$1:$1,0),FALSE)</f>
        <v>333.53196000000003</v>
      </c>
      <c r="AC318" s="299">
        <f>VLOOKUP($AN318,'Group Model'!$1:$1048576,MATCH("1H"&amp;MID(AC$1,3,2)&amp;LEFT(AC$2,1),'Group Model'!$1:$1,0),FALSE)</f>
        <v>333.53196000000003</v>
      </c>
      <c r="AD318" s="299">
        <f>VLOOKUP($AN318,'Group Model'!$1:$1048576,MATCH("1H"&amp;MID(AD$1,3,2)&amp;LEFT(AD$2,1),'Group Model'!$1:$1,0),FALSE)</f>
        <v>340.33847400000002</v>
      </c>
      <c r="AE318" s="299">
        <f>VLOOKUP($AN318,'Group Model'!$1:$1048576,MATCH("1H"&amp;MID(AE$1,3,2)&amp;LEFT(AE$2,1),'Group Model'!$1:$1,0),FALSE)</f>
        <v>340.33847400000002</v>
      </c>
      <c r="AF318" s="299">
        <f>VLOOKUP($AN318,'Group Model'!$1:$1048576,MATCH("1H"&amp;MID(AF$1,3,2)&amp;LEFT(AF$2,1),'Group Model'!$1:$1,0),FALSE)</f>
        <v>340.35790300000002</v>
      </c>
      <c r="AG318" s="299" t="e">
        <f>VLOOKUP($AN318,'Group Model'!$1:$1048576,MATCH("2H"&amp;MID(AG$1,3,2)&amp;LEFT(AG$2,1),'Group Model'!$1:$1,0),FALSE)</f>
        <v>#N/A</v>
      </c>
      <c r="AH318" s="299" t="e">
        <f>VLOOKUP($AN318,'Group Model'!$1:$1048576,MATCH("1H"&amp;MID(AH$1,3,2)&amp;LEFT(AH$2,1),'Group Model'!$1:$1,0),FALSE)</f>
        <v>#N/A</v>
      </c>
      <c r="AI318" s="299" t="e">
        <f>VLOOKUP($AN318,'Group Model'!$1:$1048576,MATCH("2H"&amp;MID(AI$1,3,2)&amp;LEFT(AI$2,1),'Group Model'!$1:$1,0),FALSE)</f>
        <v>#N/A</v>
      </c>
      <c r="AL318" s="298">
        <f>ROW()</f>
        <v>318</v>
      </c>
      <c r="AN318" s="298" t="str">
        <f>'Group Model'!A103</f>
        <v>OrdEqu_SOIEOP</v>
      </c>
    </row>
    <row r="319" spans="1:40" s="297" customFormat="1" outlineLevel="1">
      <c r="A319" s="316" t="s">
        <v>794</v>
      </c>
      <c r="B319" s="316"/>
      <c r="C319" s="316"/>
      <c r="D319" s="316"/>
      <c r="AL319" s="298">
        <f>ROW()</f>
        <v>319</v>
      </c>
    </row>
    <row r="320" spans="1:40" outlineLevel="2">
      <c r="B320" t="s">
        <v>1018</v>
      </c>
      <c r="C320" t="s">
        <v>1019</v>
      </c>
      <c r="D320" t="str">
        <f>E_CURRENCY_EQTY_200011471_PRI</f>
        <v>AUD</v>
      </c>
      <c r="E320" s="305" t="e">
        <f>VLOOKUP($AN320,'Group Model'!$1:$1048576,MATCH("1H"&amp;RIGHT(S$1,2)&amp;LEFT(S$2,1),'Group Model'!$1:$1,0),FALSE)</f>
        <v>#N/A</v>
      </c>
      <c r="AL320" s="298">
        <f>ROW()</f>
        <v>320</v>
      </c>
      <c r="AN320" s="298" t="s">
        <v>101</v>
      </c>
    </row>
    <row r="321" spans="1:40" outlineLevel="2">
      <c r="B321" t="s">
        <v>1020</v>
      </c>
      <c r="C321" t="s">
        <v>1021</v>
      </c>
      <c r="E321" s="307"/>
      <c r="AL321" s="298">
        <f>ROW()</f>
        <v>321</v>
      </c>
    </row>
    <row r="322" spans="1:40" outlineLevel="2">
      <c r="B322" t="s">
        <v>1022</v>
      </c>
      <c r="C322" t="s">
        <v>1023</v>
      </c>
      <c r="E322" s="310">
        <f>'Group Model'!V39</f>
        <v>0.45</v>
      </c>
      <c r="AL322" s="298">
        <f>ROW()</f>
        <v>322</v>
      </c>
    </row>
    <row r="323" spans="1:40" outlineLevel="2">
      <c r="B323" t="s">
        <v>1024</v>
      </c>
      <c r="C323" t="s">
        <v>1025</v>
      </c>
      <c r="E323" s="310">
        <f>'Group Model'!V29</f>
        <v>0.3</v>
      </c>
      <c r="AL323" s="298">
        <f>ROW()</f>
        <v>323</v>
      </c>
    </row>
    <row r="324" spans="1:40" outlineLevel="2">
      <c r="B324" t="s">
        <v>1026</v>
      </c>
      <c r="C324" t="s">
        <v>1027</v>
      </c>
      <c r="D324" t="str">
        <f>E_CURRENCY_EQTY_200011471_PRI</f>
        <v>AUD</v>
      </c>
      <c r="E324" s="305" t="e">
        <f>VLOOKUP($AN324,'Group Model'!$1:$1048576,MATCH("2H"&amp;RIGHT(R$1,2)&amp;LEFT(R$2,1),'Group Model'!$1:$1,0),FALSE)</f>
        <v>#N/A</v>
      </c>
      <c r="AL324" s="298">
        <f>ROW()</f>
        <v>324</v>
      </c>
      <c r="AN324" s="298" t="s">
        <v>101</v>
      </c>
    </row>
    <row r="325" spans="1:40" outlineLevel="2">
      <c r="B325" t="s">
        <v>1028</v>
      </c>
      <c r="C325" t="s">
        <v>1029</v>
      </c>
      <c r="E325" s="307"/>
      <c r="AL325" s="298">
        <f>ROW()</f>
        <v>325</v>
      </c>
    </row>
    <row r="326" spans="1:40" outlineLevel="2">
      <c r="B326" t="s">
        <v>1030</v>
      </c>
      <c r="C326" t="s">
        <v>1031</v>
      </c>
      <c r="E326" s="310">
        <f>'Group Model'!U39</f>
        <v>0.45</v>
      </c>
      <c r="AL326" s="298">
        <f>ROW()</f>
        <v>326</v>
      </c>
    </row>
    <row r="327" spans="1:40" outlineLevel="2">
      <c r="B327" t="s">
        <v>1032</v>
      </c>
      <c r="C327" t="s">
        <v>1033</v>
      </c>
      <c r="E327" s="310">
        <f>'Group Model'!U29</f>
        <v>0.3</v>
      </c>
      <c r="AL327" s="298">
        <f>ROW()</f>
        <v>327</v>
      </c>
    </row>
    <row r="328" spans="1:40" s="297" customFormat="1" outlineLevel="1">
      <c r="A328" s="316" t="s">
        <v>795</v>
      </c>
      <c r="B328" s="316"/>
      <c r="C328" s="316"/>
      <c r="D328" s="316"/>
      <c r="AL328" s="298">
        <f>ROW()</f>
        <v>328</v>
      </c>
    </row>
    <row r="329" spans="1:40" outlineLevel="2">
      <c r="B329" t="s">
        <v>1034</v>
      </c>
      <c r="C329" t="s">
        <v>1035</v>
      </c>
      <c r="D329" t="str">
        <f>E_CURRENCY_EQTY_200011471_REP</f>
        <v>AUD</v>
      </c>
      <c r="F329" s="299"/>
      <c r="G329" s="299"/>
      <c r="H329" s="299"/>
      <c r="I329" s="299"/>
      <c r="J329" s="299"/>
      <c r="K329" s="299"/>
      <c r="L329" s="299"/>
      <c r="M329" s="299"/>
      <c r="N329" s="299"/>
      <c r="O329" s="299"/>
      <c r="P329" s="299"/>
      <c r="Q329" s="299"/>
      <c r="R329" s="299"/>
      <c r="S329" s="299"/>
      <c r="T329" s="299"/>
      <c r="U329" s="299"/>
      <c r="V329" s="299"/>
      <c r="W329" s="299"/>
      <c r="X329" s="299"/>
      <c r="Y329" s="299"/>
      <c r="Z329" s="299"/>
      <c r="AA329" s="299"/>
      <c r="AB329" s="299"/>
      <c r="AC329" s="299"/>
      <c r="AD329" s="299"/>
      <c r="AE329" s="299"/>
      <c r="AF329" s="299"/>
      <c r="AG329" s="299"/>
      <c r="AH329" s="299"/>
      <c r="AI329" s="299"/>
      <c r="AL329" s="298">
        <f>ROW()</f>
        <v>329</v>
      </c>
    </row>
    <row r="330" spans="1:40" s="297" customFormat="1" outlineLevel="1">
      <c r="A330" s="316" t="s">
        <v>798</v>
      </c>
      <c r="B330" s="316"/>
      <c r="C330" s="316"/>
      <c r="D330" s="316"/>
      <c r="AL330" s="298">
        <f>ROW()</f>
        <v>330</v>
      </c>
    </row>
    <row r="331" spans="1:40" outlineLevel="2">
      <c r="B331" t="s">
        <v>1036</v>
      </c>
      <c r="C331" t="s">
        <v>1037</v>
      </c>
      <c r="D331" t="str">
        <f>E_CURRENCY_EQTY_200011471_REP</f>
        <v>AUD</v>
      </c>
      <c r="F331" s="309">
        <f>VLOOKUP($AN331,'Group Model'!$1:$1048576,MATCH("FY"&amp;RIGHT(F$1,2)&amp;LEFT(F$2,1),'Group Model'!$1:$1,0),FALSE)</f>
        <v>22.579579539387154</v>
      </c>
      <c r="G331" s="309">
        <f>VLOOKUP($AN331,'Group Model'!$1:$1048576,MATCH("FY"&amp;RIGHT(G$1,2)&amp;LEFT(G$2,1),'Group Model'!$1:$1,0),FALSE)</f>
        <v>29.117703052562895</v>
      </c>
      <c r="H331" s="309">
        <f>VLOOKUP($AN331,'Group Model'!$1:$1048576,MATCH("FY"&amp;RIGHT(H$1,2)&amp;LEFT(H$2,1),'Group Model'!$1:$1,0),FALSE)</f>
        <v>35.821459937835343</v>
      </c>
      <c r="I331" s="309">
        <f>VLOOKUP($AN331,'Group Model'!$1:$1048576,MATCH("FY"&amp;RIGHT(I$1,2)&amp;LEFT(I$2,1),'Group Model'!$1:$1,0),FALSE)</f>
        <v>33.002721848118952</v>
      </c>
      <c r="J331" s="309">
        <f>VLOOKUP($AN331,'Group Model'!$1:$1048576,MATCH("FY"&amp;RIGHT(J$1,2)&amp;LEFT(J$2,1),'Group Model'!$1:$1,0),FALSE)</f>
        <v>33.340823983881215</v>
      </c>
      <c r="K331" s="309">
        <f>VLOOKUP($AN331,'Group Model'!$1:$1048576,MATCH("FY"&amp;RIGHT(K$1,2)&amp;LEFT(K$2,1),'Group Model'!$1:$1,0),FALSE)</f>
        <v>33.628329493053847</v>
      </c>
      <c r="L331" s="309">
        <f>VLOOKUP($AN331,'Group Model'!$1:$1048576,MATCH("FY"&amp;RIGHT(L$1,2)&amp;LEFT(L$2,1),'Group Model'!$1:$1,0),FALSE)</f>
        <v>32.933955957169829</v>
      </c>
      <c r="M331" s="309">
        <f>VLOOKUP($AN331,'Group Model'!$1:$1048576,MATCH("FY"&amp;RIGHT(M$1,2)&amp;LEFT(M$2,1),'Group Model'!$1:$1,0),FALSE)</f>
        <v>34.56783572365724</v>
      </c>
      <c r="N331" s="309">
        <f>VLOOKUP($AN331,'Group Model'!$1:$1048576,MATCH("FY"&amp;RIGHT(N$1,2)&amp;LEFT(N$2,1),'Group Model'!$1:$1,0),FALSE)</f>
        <v>37.054971164800534</v>
      </c>
      <c r="O331" s="309">
        <f>VLOOKUP($AN331,'Group Model'!$1:$1048576,MATCH("FY"&amp;RIGHT(O$1,2)&amp;LEFT(O$2,1),'Group Model'!$1:$1,0),FALSE)</f>
        <v>43.14012757299276</v>
      </c>
      <c r="P331" s="309">
        <f>VLOOKUP($AN331,'Group Model'!$1:$1048576,MATCH("FY"&amp;RIGHT(P$1,2)&amp;LEFT(P$2,1),'Group Model'!$1:$1,0),FALSE)</f>
        <v>46.006553202339092</v>
      </c>
      <c r="Q331" s="309">
        <f>VLOOKUP($AN331,'Group Model'!$1:$1048576,MATCH("FY"&amp;RIGHT(Q$1,2)&amp;LEFT(Q$2,1),'Group Model'!$1:$1,0),FALSE)</f>
        <v>50.720935392964755</v>
      </c>
      <c r="R331" s="309" t="e">
        <f>VLOOKUP($AN331,'Group Model'!$1:$1048576,MATCH("FY"&amp;RIGHT(R$1,2)&amp;LEFT(R$2,1),'Group Model'!$1:$1,0),FALSE)</f>
        <v>#N/A</v>
      </c>
      <c r="S331" s="309" t="e">
        <f>VLOOKUP($AN331,'Group Model'!$1:$1048576,MATCH("FY"&amp;RIGHT(S$1,2)&amp;LEFT(S$2,1),'Group Model'!$1:$1,0),FALSE)</f>
        <v>#N/A</v>
      </c>
      <c r="T331" s="309" t="e">
        <f>VLOOKUP($AN331,'Group Model'!$1:$1048576,MATCH("FY"&amp;RIGHT(T$1,2)&amp;LEFT(T$2,1),'Group Model'!$1:$1,0),FALSE)</f>
        <v>#N/A</v>
      </c>
      <c r="U331" s="309"/>
      <c r="V331" s="309">
        <f>VLOOKUP($AN331,'Group Model'!$1:$1048576,MATCH("1H"&amp;MID(V$1,3,2)&amp;LEFT(V$2,1),'Group Model'!$1:$1,0),FALSE)</f>
        <v>33.253928722050297</v>
      </c>
      <c r="W331" s="309">
        <f>VLOOKUP($AN331,'Group Model'!$1:$1048576,MATCH("1H"&amp;MID(W$1,3,2)&amp;LEFT(W$2,1),'Group Model'!$1:$1,0),FALSE)</f>
        <v>33.253928722050297</v>
      </c>
      <c r="X331" s="309">
        <f>VLOOKUP($AN331,'Group Model'!$1:$1048576,MATCH("1H"&amp;MID(X$1,3,2)&amp;LEFT(X$2,1),'Group Model'!$1:$1,0),FALSE)</f>
        <v>36.737845895849148</v>
      </c>
      <c r="Y331" s="309">
        <f>VLOOKUP($AN331,'Group Model'!$1:$1048576,MATCH("1H"&amp;MID(Y$1,3,2)&amp;LEFT(Y$2,1),'Group Model'!$1:$1,0),FALSE)</f>
        <v>36.737845895849148</v>
      </c>
      <c r="Z331" s="309">
        <f>VLOOKUP($AN331,'Group Model'!$1:$1048576,MATCH("1H"&amp;MID(Z$1,3,2)&amp;LEFT(Z$2,1),'Group Model'!$1:$1,0),FALSE)</f>
        <v>37.984093371120252</v>
      </c>
      <c r="AA331" s="309">
        <f>VLOOKUP($AN331,'Group Model'!$1:$1048576,MATCH("1H"&amp;MID(AA$1,3,2)&amp;LEFT(AA$2,1),'Group Model'!$1:$1,0),FALSE)</f>
        <v>37.984093371120252</v>
      </c>
      <c r="AB331" s="309">
        <f>VLOOKUP($AN331,'Group Model'!$1:$1048576,MATCH("1H"&amp;MID(AB$1,3,2)&amp;LEFT(AB$2,1),'Group Model'!$1:$1,0),FALSE)</f>
        <v>45.599183869001479</v>
      </c>
      <c r="AC331" s="309">
        <f>VLOOKUP($AN331,'Group Model'!$1:$1048576,MATCH("1H"&amp;MID(AC$1,3,2)&amp;LEFT(AC$2,1),'Group Model'!$1:$1,0),FALSE)</f>
        <v>45.599183869001479</v>
      </c>
      <c r="AD331" s="309">
        <f>VLOOKUP($AN331,'Group Model'!$1:$1048576,MATCH("1H"&amp;MID(AD$1,3,2)&amp;LEFT(AD$2,1),'Group Model'!$1:$1,0),FALSE)</f>
        <v>45.413781770839861</v>
      </c>
      <c r="AE331" s="309">
        <f>VLOOKUP($AN331,'Group Model'!$1:$1048576,MATCH("1H"&amp;MID(AE$1,3,2)&amp;LEFT(AE$2,1),'Group Model'!$1:$1,0),FALSE)</f>
        <v>45.413781770839861</v>
      </c>
      <c r="AF331" s="309">
        <f>VLOOKUP($AN331,'Group Model'!$1:$1048576,MATCH("1H"&amp;MID(AF$1,3,2)&amp;LEFT(AF$2,1),'Group Model'!$1:$1,0),FALSE)</f>
        <v>50.218772963858498</v>
      </c>
      <c r="AG331" s="309" t="e">
        <f>VLOOKUP($AN331,'Group Model'!$1:$1048576,MATCH("2H"&amp;MID(AG$1,3,2)&amp;LEFT(AG$2,1),'Group Model'!$1:$1,0),FALSE)</f>
        <v>#N/A</v>
      </c>
      <c r="AH331" s="309" t="e">
        <f>VLOOKUP($AN331,'Group Model'!$1:$1048576,MATCH("1H"&amp;MID(AH$1,3,2)&amp;LEFT(AH$2,1),'Group Model'!$1:$1,0),FALSE)</f>
        <v>#N/A</v>
      </c>
      <c r="AI331" s="309" t="e">
        <f>VLOOKUP($AN331,'Group Model'!$1:$1048576,MATCH("2H"&amp;MID(AI$1,3,2)&amp;LEFT(AI$2,1),'Group Model'!$1:$1,0),FALSE)</f>
        <v>#N/A</v>
      </c>
      <c r="AL331" s="298">
        <f>ROW()</f>
        <v>331</v>
      </c>
      <c r="AN331" s="298" t="str">
        <f>'Group Model'!A466</f>
        <v>AD_PSBPS</v>
      </c>
    </row>
    <row r="332" spans="1:40" outlineLevel="2">
      <c r="B332" t="s">
        <v>1038</v>
      </c>
      <c r="C332" t="s">
        <v>1039</v>
      </c>
      <c r="D332" t="str">
        <f>E_CURRENCY_EQTY_200011471_REP</f>
        <v>AUD</v>
      </c>
      <c r="F332" s="309">
        <f>VLOOKUP($AN332,'Group Model'!$1:$1048576,MATCH("FY"&amp;RIGHT(F$1,2)&amp;LEFT(F$2,1),'Group Model'!$1:$1,0),FALSE)</f>
        <v>15.048822263743697</v>
      </c>
      <c r="G332" s="309">
        <f>VLOOKUP($AN332,'Group Model'!$1:$1048576,MATCH("FY"&amp;RIGHT(G$1,2)&amp;LEFT(G$2,1),'Group Model'!$1:$1,0),FALSE)</f>
        <v>23.897505723815083</v>
      </c>
      <c r="H332" s="309">
        <f>VLOOKUP($AN332,'Group Model'!$1:$1048576,MATCH("FY"&amp;RIGHT(H$1,2)&amp;LEFT(H$2,1),'Group Model'!$1:$1,0),FALSE)</f>
        <v>29.676162268348829</v>
      </c>
      <c r="I332" s="309">
        <f>VLOOKUP($AN332,'Group Model'!$1:$1048576,MATCH("FY"&amp;RIGHT(I$1,2)&amp;LEFT(I$2,1),'Group Model'!$1:$1,0),FALSE)</f>
        <v>27.289384540730161</v>
      </c>
      <c r="J332" s="309">
        <f>VLOOKUP($AN332,'Group Model'!$1:$1048576,MATCH("FY"&amp;RIGHT(J$1,2)&amp;LEFT(J$2,1),'Group Model'!$1:$1,0),FALSE)</f>
        <v>27.694782502032691</v>
      </c>
      <c r="K332" s="309">
        <f>VLOOKUP($AN332,'Group Model'!$1:$1048576,MATCH("FY"&amp;RIGHT(K$1,2)&amp;LEFT(K$2,1),'Group Model'!$1:$1,0),FALSE)</f>
        <v>28.428508179386032</v>
      </c>
      <c r="L332" s="309">
        <f>VLOOKUP($AN332,'Group Model'!$1:$1048576,MATCH("FY"&amp;RIGHT(L$1,2)&amp;LEFT(L$2,1),'Group Model'!$1:$1,0),FALSE)</f>
        <v>27.656438296116363</v>
      </c>
      <c r="M332" s="309">
        <f>VLOOKUP($AN332,'Group Model'!$1:$1048576,MATCH("FY"&amp;RIGHT(M$1,2)&amp;LEFT(M$2,1),'Group Model'!$1:$1,0),FALSE)</f>
        <v>29.441213160876455</v>
      </c>
      <c r="N332" s="309">
        <f>VLOOKUP($AN332,'Group Model'!$1:$1048576,MATCH("FY"&amp;RIGHT(N$1,2)&amp;LEFT(N$2,1),'Group Model'!$1:$1,0),FALSE)</f>
        <v>33.0707997645899</v>
      </c>
      <c r="O332" s="309">
        <f>VLOOKUP($AN332,'Group Model'!$1:$1048576,MATCH("FY"&amp;RIGHT(O$1,2)&amp;LEFT(O$2,1),'Group Model'!$1:$1,0),FALSE)</f>
        <v>38.192617804792491</v>
      </c>
      <c r="P332" s="309">
        <f>VLOOKUP($AN332,'Group Model'!$1:$1048576,MATCH("FY"&amp;RIGHT(P$1,2)&amp;LEFT(P$2,1),'Group Model'!$1:$1,0),FALSE)</f>
        <v>41.230847411544701</v>
      </c>
      <c r="Q332" s="309">
        <f>VLOOKUP($AN332,'Group Model'!$1:$1048576,MATCH("FY"&amp;RIGHT(Q$1,2)&amp;LEFT(Q$2,1),'Group Model'!$1:$1,0),FALSE)</f>
        <v>42.744209247782806</v>
      </c>
      <c r="R332" s="309" t="e">
        <f>VLOOKUP($AN332,'Group Model'!$1:$1048576,MATCH("FY"&amp;RIGHT(R$1,2)&amp;LEFT(R$2,1),'Group Model'!$1:$1,0),FALSE)</f>
        <v>#N/A</v>
      </c>
      <c r="S332" s="309" t="e">
        <f>VLOOKUP($AN332,'Group Model'!$1:$1048576,MATCH("FY"&amp;RIGHT(S$1,2)&amp;LEFT(S$2,1),'Group Model'!$1:$1,0),FALSE)</f>
        <v>#N/A</v>
      </c>
      <c r="T332" s="309" t="e">
        <f>VLOOKUP($AN332,'Group Model'!$1:$1048576,MATCH("FY"&amp;RIGHT(T$1,2)&amp;LEFT(T$2,1),'Group Model'!$1:$1,0),FALSE)</f>
        <v>#N/A</v>
      </c>
      <c r="U332" s="309"/>
      <c r="V332" s="309">
        <f>VLOOKUP($AN332,'Group Model'!$1:$1048576,MATCH("1H"&amp;MID(V$1,3,2)&amp;LEFT(V$2,1),'Group Model'!$1:$1,0),FALSE)</f>
        <v>28.002242961615185</v>
      </c>
      <c r="W332" s="309">
        <f>VLOOKUP($AN332,'Group Model'!$1:$1048576,MATCH("1H"&amp;MID(W$1,3,2)&amp;LEFT(W$2,1),'Group Model'!$1:$1,0),FALSE)</f>
        <v>28.002242961615185</v>
      </c>
      <c r="X332" s="309">
        <f>VLOOKUP($AN332,'Group Model'!$1:$1048576,MATCH("1H"&amp;MID(X$1,3,2)&amp;LEFT(X$2,1),'Group Model'!$1:$1,0),FALSE)</f>
        <v>31.636891744416676</v>
      </c>
      <c r="Y332" s="309">
        <f>VLOOKUP($AN332,'Group Model'!$1:$1048576,MATCH("1H"&amp;MID(Y$1,3,2)&amp;LEFT(Y$2,1),'Group Model'!$1:$1,0),FALSE)</f>
        <v>31.636891744416676</v>
      </c>
      <c r="Z332" s="309">
        <f>VLOOKUP($AN332,'Group Model'!$1:$1048576,MATCH("1H"&amp;MID(Z$1,3,2)&amp;LEFT(Z$2,1),'Group Model'!$1:$1,0),FALSE)</f>
        <v>32.502269810766208</v>
      </c>
      <c r="AA332" s="309">
        <f>VLOOKUP($AN332,'Group Model'!$1:$1048576,MATCH("1H"&amp;MID(AA$1,3,2)&amp;LEFT(AA$2,1),'Group Model'!$1:$1,0),FALSE)</f>
        <v>32.502269810766208</v>
      </c>
      <c r="AB332" s="309">
        <f>VLOOKUP($AN332,'Group Model'!$1:$1048576,MATCH("1H"&amp;MID(AB$1,3,2)&amp;LEFT(AB$2,1),'Group Model'!$1:$1,0),FALSE)</f>
        <v>40.301204169954715</v>
      </c>
      <c r="AC332" s="309">
        <f>VLOOKUP($AN332,'Group Model'!$1:$1048576,MATCH("1H"&amp;MID(AC$1,3,2)&amp;LEFT(AC$2,1),'Group Model'!$1:$1,0),FALSE)</f>
        <v>40.301204169954715</v>
      </c>
      <c r="AD332" s="309">
        <f>VLOOKUP($AN332,'Group Model'!$1:$1048576,MATCH("1H"&amp;MID(AD$1,3,2)&amp;LEFT(AD$2,1),'Group Model'!$1:$1,0),FALSE)</f>
        <v>40.905590927003658</v>
      </c>
      <c r="AE332" s="309">
        <f>VLOOKUP($AN332,'Group Model'!$1:$1048576,MATCH("1H"&amp;MID(AE$1,3,2)&amp;LEFT(AE$2,1),'Group Model'!$1:$1,0),FALSE)</f>
        <v>40.905590927003658</v>
      </c>
      <c r="AF332" s="309">
        <f>VLOOKUP($AN332,'Group Model'!$1:$1048576,MATCH("1H"&amp;MID(AF$1,3,2)&amp;LEFT(AF$2,1),'Group Model'!$1:$1,0),FALSE)</f>
        <v>42.192110205204465</v>
      </c>
      <c r="AG332" s="309" t="e">
        <f>VLOOKUP($AN332,'Group Model'!$1:$1048576,MATCH("2H"&amp;MID(AG$1,3,2)&amp;LEFT(AG$2,1),'Group Model'!$1:$1,0),FALSE)</f>
        <v>#N/A</v>
      </c>
      <c r="AH332" s="309" t="e">
        <f>VLOOKUP($AN332,'Group Model'!$1:$1048576,MATCH("1H"&amp;MID(AH$1,3,2)&amp;LEFT(AH$2,1),'Group Model'!$1:$1,0),FALSE)</f>
        <v>#N/A</v>
      </c>
      <c r="AI332" s="309" t="e">
        <f>VLOOKUP($AN332,'Group Model'!$1:$1048576,MATCH("2H"&amp;MID(AI$1,3,2)&amp;LEFT(AI$2,1),'Group Model'!$1:$1,0),FALSE)</f>
        <v>#N/A</v>
      </c>
      <c r="AL332" s="298">
        <f>ROW()</f>
        <v>332</v>
      </c>
      <c r="AN332" s="298" t="str">
        <f>'Group Model'!A467</f>
        <v>AD_PSNTAPS</v>
      </c>
    </row>
    <row r="333" spans="1:40" s="297" customFormat="1" outlineLevel="1">
      <c r="A333" s="316" t="s">
        <v>833</v>
      </c>
      <c r="B333" s="316"/>
      <c r="C333" s="316"/>
      <c r="D333" s="316"/>
      <c r="AL333" s="298">
        <f>ROW()</f>
        <v>333</v>
      </c>
    </row>
    <row r="334" spans="1:40" outlineLevel="2">
      <c r="B334" t="s">
        <v>251</v>
      </c>
      <c r="C334" t="s">
        <v>985</v>
      </c>
      <c r="D334" t="str">
        <f>E_CURRENCY_EQTY_200011471_REP</f>
        <v>AUD</v>
      </c>
      <c r="E334" s="305">
        <f ca="1">Summary!G158</f>
        <v>212.34163897753311</v>
      </c>
      <c r="AL334" s="298">
        <f>ROW()</f>
        <v>334</v>
      </c>
    </row>
    <row r="335" spans="1:40" s="297" customFormat="1" outlineLevel="1">
      <c r="A335" s="316" t="s">
        <v>836</v>
      </c>
      <c r="B335" s="316"/>
      <c r="C335" s="316"/>
      <c r="D335" s="316"/>
      <c r="AL335" s="298">
        <f>ROW()</f>
        <v>335</v>
      </c>
    </row>
    <row r="336" spans="1:40" outlineLevel="2">
      <c r="B336" t="s">
        <v>1040</v>
      </c>
      <c r="C336" t="s">
        <v>1041</v>
      </c>
      <c r="E336" s="305">
        <f>Summary!G7</f>
        <v>0.95</v>
      </c>
      <c r="AL336" s="298">
        <f>ROW()</f>
        <v>336</v>
      </c>
    </row>
    <row r="337" spans="2:38" outlineLevel="2">
      <c r="B337" t="s">
        <v>1042</v>
      </c>
      <c r="C337" t="s">
        <v>1043</v>
      </c>
      <c r="E337" s="310">
        <f>Summary!G6</f>
        <v>0.06</v>
      </c>
      <c r="AL337" s="298">
        <f>ROW()</f>
        <v>337</v>
      </c>
    </row>
    <row r="338" spans="2:38" outlineLevel="2">
      <c r="B338" t="s">
        <v>1044</v>
      </c>
      <c r="C338" t="s">
        <v>1045</v>
      </c>
      <c r="E338" s="301">
        <f>Summary!G5</f>
        <v>3.5000000000000003E-2</v>
      </c>
      <c r="AL338" s="298">
        <f>ROW()</f>
        <v>338</v>
      </c>
    </row>
  </sheetData>
  <sheetProtection formatCells="0" formatColumns="0" formatRows="0"/>
  <conditionalFormatting sqref="A1:XFD1">
    <cfRule type="expression" dxfId="20" priority="1">
      <formula>AND(COLUMN()&gt;5, COLUMNS(A_ALL_MQG.AX) &gt;= COLUMN(), NOT(ISBLANK(INDEX(A_ALL_MQG.AX,4,COLUMN()))))</formula>
    </cfRule>
  </conditionalFormatting>
  <conditionalFormatting sqref="A9:XFD12">
    <cfRule type="expression" dxfId="19" priority="2">
      <formula>"ERROR" = INDEX(V_ALL_MQG.AX,ROW(),COLUMN())</formula>
    </cfRule>
    <cfRule type="expression" dxfId="18" priority="3">
      <formula>NOT(EXACT(IF(ISNUMBER(INDEX(E_ALL_MQG.AX,ROW(),COLUMN())),ROUND(INDEX(E_ALL_MQG.AX,ROW(),COLUMN()),6),INDEX(E_ALL_MQG.AX,ROW(),COLUMN())),IF(ISNUMBER(INDEX(L_ALL_MQG.AX,ROW(),COLUMN())),ROUND(INDEX(L_ALL_MQG.AX,ROW(),COLUMN()),6),INDEX(L_ALL_MQG.AX,ROW(),COLUMN()))))</formula>
    </cfRule>
  </conditionalFormatting>
  <conditionalFormatting sqref="A2:XFD3 A48:XFD51 A53:XFD101 A103:XFD114 A116:XFD116 A118:XFD118 A120:XFD122 A124:XFD131 A133:XFD138 A140:XFD145 A147:XFD152 A154:XFD157 A159:XFD160 A162:XFD165 A226:XFD227 A229:XFD239 A167:XFD224 A241:XFD250 A14:XFD46">
    <cfRule type="expression" dxfId="17" priority="4">
      <formula>"ERROR" = INDEX(V_ALL_MQG.AX,ROW(),COLUMN())</formula>
    </cfRule>
    <cfRule type="expression" dxfId="16" priority="5">
      <formula>NOT(EXACT(IF(ISNUMBER(INDEX(E_ALL_MQG.AX,ROW(),COLUMN())),ROUND(INDEX(E_ALL_MQG.AX,ROW(),COLUMN()),6),INDEX(E_ALL_MQG.AX,ROW(),COLUMN())),IF(ISNUMBER(INDEX(L_ALL_MQG.AX,ROW(),COLUMN())),ROUND(INDEX(L_ALL_MQG.AX,ROW(),COLUMN()),6),INDEX(L_ALL_MQG.AX,ROW(),COLUMN()))))</formula>
    </cfRule>
    <cfRule type="expression" dxfId="15" priority="6">
      <formula>"Estimate" = INDEX(E_ALL_MQG.AX,2,COLUMN())</formula>
    </cfRule>
    <cfRule type="expression" dxfId="14" priority="7">
      <formula>"Preliminary" = INDEX(E_ALL_MQG.AX,2,COLUMN())</formula>
    </cfRule>
    <cfRule type="expression" dxfId="13" priority="8">
      <formula>"Actual" = INDEX(E_ALL_MQG.AX,2,COLUMN())</formula>
    </cfRule>
    <cfRule type="expression" dxfId="12" priority="9">
      <formula>"Restated" = INDEX(E_ALL_MQG.AX,2,COLUMN())</formula>
    </cfRule>
  </conditionalFormatting>
  <conditionalFormatting sqref="A6:XFD7 AL6:AL338">
    <cfRule type="expression" dxfId="11" priority="10">
      <formula>"ERROR" = INDEX(V_ALL_MQG.AX,ROW(),COLUMN())</formula>
    </cfRule>
    <cfRule type="expression" dxfId="10" priority="11">
      <formula>NOT(EXACT(IF(ISNUMBER(INDEX(E_ALL_MQG.AX,ROW(),COLUMN())),ROUND(INDEX(E_ALL_MQG.AX,ROW(),COLUMN()),6),INDEX(E_ALL_MQG.AX,ROW(),COLUMN())),IF(ISNUMBER(INDEX(L_ALL_MQG.AX,ROW(),COLUMN())),ROUND(INDEX(L_ALL_MQG.AX,ROW(),COLUMN()),6),INDEX(L_ALL_MQG.AX,ROW(),COLUMN()))))</formula>
    </cfRule>
  </conditionalFormatting>
  <conditionalFormatting sqref="A260:XFD279 A296:XFD296 A320:XFD327 A334:XFD334 A336:XFD338">
    <cfRule type="expression" dxfId="9" priority="12">
      <formula>"ERROR" = INDEX(V_ALL_MQG.AX,ROW(),COLUMN())</formula>
    </cfRule>
  </conditionalFormatting>
  <conditionalFormatting sqref="A260:XFD279 A296:XFD296 A320:XFD327 A334:XFD334 A336:XFD338">
    <cfRule type="expression" dxfId="8" priority="13">
      <formula>NOT(EXACT(IF(ISNUMBER(INDEX(E_ALL_MQG.AX,ROW(),COLUMN())),ROUND(INDEX(E_ALL_MQG.AX,ROW(),COLUMN()),6),INDEX(E_ALL_MQG.AX,ROW(),COLUMN())),IF(ISNUMBER(INDEX(L_ALL_MQG.AX,ROW(),COLUMN())),ROUND(INDEX(L_ALL_MQG.AX,ROW(),COLUMN()),6),INDEX(L_ALL_MQG.AX,ROW(),COLUMN()))))</formula>
    </cfRule>
  </conditionalFormatting>
  <conditionalFormatting sqref="A297:XFD300 A329:XFD329 A331:XFD332 A281:XFD294 A302:XFD318">
    <cfRule type="expression" dxfId="7" priority="14">
      <formula>"ERROR" = INDEX(V_ALL_MQG.AX,ROW(),COLUMN())</formula>
    </cfRule>
  </conditionalFormatting>
  <conditionalFormatting sqref="A297:XFD300 A329:XFD329 A331:XFD332 A281:XFD294 A302:XFD318">
    <cfRule type="expression" dxfId="6" priority="15">
      <formula>NOT(EXACT(IF(ISNUMBER(INDEX(E_ALL_MQG.AX,ROW(),COLUMN())),ROUND(INDEX(E_ALL_MQG.AX,ROW(),COLUMN()),6),INDEX(E_ALL_MQG.AX,ROW(),COLUMN())),IF(ISNUMBER(INDEX(L_ALL_MQG.AX,ROW(),COLUMN())),ROUND(INDEX(L_ALL_MQG.AX,ROW(),COLUMN()),6),INDEX(L_ALL_MQG.AX,ROW(),COLUMN()))))</formula>
    </cfRule>
  </conditionalFormatting>
  <conditionalFormatting sqref="A297:XFD300 A329:XFD329 A331:XFD332 A281:XFD294 A302:XFD318">
    <cfRule type="expression" dxfId="5" priority="16">
      <formula>"Estimate" = INDEX(E_ALL_MQG.AX,2,COLUMN())</formula>
    </cfRule>
    <cfRule type="expression" dxfId="4" priority="18">
      <formula>"Actual" = INDEX(E_ALL_MQG.AX,2,COLUMN())</formula>
    </cfRule>
  </conditionalFormatting>
  <conditionalFormatting sqref="A297:XFD300 A329:XFD329 A331:XFD332 A281:XFD294 A302:XFD318">
    <cfRule type="expression" dxfId="3" priority="17">
      <formula>"Preliminary" = INDEX(E_ALL_MQG.AX,2,COLUMN())</formula>
    </cfRule>
    <cfRule type="expression" dxfId="2" priority="19">
      <formula>"Restated" = INDEX(E_ALL_MQG.AX,2,COLUMN())</formula>
    </cfRule>
  </conditionalFormatting>
  <conditionalFormatting sqref="A253:XFD258">
    <cfRule type="expression" dxfId="1" priority="20">
      <formula>"ERROR" = INDEX(V_ALL_MQG.AX,ROW(),COLUMN())</formula>
    </cfRule>
  </conditionalFormatting>
  <conditionalFormatting sqref="A253:XFD258">
    <cfRule type="expression" dxfId="0" priority="21">
      <formula>NOT(EXACT(IF(ISNUMBER(INDEX(E_ALL_MQG.AX,ROW(),COLUMN())),ROUND(INDEX(E_ALL_MQG.AX,ROW(),COLUMN()),6),INDEX(E_ALL_MQG.AX,ROW(),COLUMN())),IF(ISNUMBER(INDEX(L_ALL_MQG.AX,ROW(),COLUMN())),ROUND(INDEX(L_ALL_MQG.AX,ROW(),COLUMN()),6),INDEX(L_ALL_MQG.AX,ROW(),COLUMN()))))</formula>
    </cfRule>
  </conditionalFormatting>
  <dataValidations count="4">
    <dataValidation type="list" allowBlank="1" showInputMessage="1" showErrorMessage="1" sqref="E264" xr:uid="{00000000-0002-0000-0900-000000000000}">
      <formula1>"6 months,12 months,18 months,2 years,1 month,3 months,9 months,3 years"</formula1>
    </dataValidation>
    <dataValidation type="list" allowBlank="1" showInputMessage="1" showErrorMessage="1" sqref="E262" xr:uid="{00000000-0002-0000-0900-000001000000}">
      <formula1>"Not Rated,Coverage Suspended,Rating Suspended"</formula1>
    </dataValidation>
    <dataValidation type="list" allowBlank="1" showInputMessage="1" showErrorMessage="1" sqref="E260:E261" xr:uid="{00000000-0002-0000-0900-000002000000}">
      <formula1>"Buy,Sell"</formula1>
    </dataValidation>
    <dataValidation type="list" allowBlank="1" showInputMessage="1" showErrorMessage="1" sqref="F2:AI2" xr:uid="{00000000-0002-0000-0900-000003000000}">
      <formula1>"Estimate,Preliminary,Actual,Restated"</formula1>
    </dataValidation>
  </dataValidations>
  <pageMargins left="0.7" right="0.7" top="0.75" bottom="0.75" header="0.3" footer="0.3"/>
  <pageSetup paperSize="9" orientation="portrait" horizontalDpi="300" verticalDpi="300" r:id="rId1"/>
  <customProperties>
    <customPr name="Qube.Worksheet.Visibility" r:id="rId2"/>
    <customPr name="SHEET_UNIQUE_ID" r:id="rId3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FdsFormulaCache xmlns="urn:fdsformulacache" version="2" timestamp="1770701756"><![CDATA[{"MQG.AX^FE_VALUATION(PE,MEAN,ANN_ROLL,+1,NOW,,,'')":null,"MQG-AU^FE_VALUATION(PE,MEAN,ANN_ROLL,+1,NOW,,,'')":19.531513,"MQG-AU^FG_MKT_VALUE(0)":81572.44,"MQG-AU^FF_ENTRPR_VAL(ANN_R,0,,,,,,'')":138915.9266176,"MQG-AU^JULIAN(FG_MKT_VALUE(0).DATES)":45925,"MQG-AU^FG_COMPANY_NAME()":"Macquarie Group, Ltd.","MQG-AU^FG_PRICE(45938)":222.16}]]></FdsFormulaCache>
</file>

<file path=customXml/itemProps1.xml><?xml version="1.0" encoding="utf-8"?>
<ds:datastoreItem xmlns:ds="http://schemas.openxmlformats.org/officeDocument/2006/customXml" ds:itemID="{8F38B8E9-735F-4C5A-AFFE-1EA0E8BD06B6}">
  <ds:schemaRefs>
    <ds:schemaRef ds:uri="http://www.w3.org/2001/XMLSchema"/>
    <ds:schemaRef ds:uri="Exchange-SubmissionSheetWrapper"/>
  </ds:schemaRefs>
</ds:datastoreItem>
</file>

<file path=customXml/itemProps2.xml><?xml version="1.0" encoding="utf-8"?>
<ds:datastoreItem xmlns:ds="http://schemas.openxmlformats.org/officeDocument/2006/customXml" ds:itemID="{0DFA3C4C-0C19-4C0E-AFC3-FE94323B2F27}">
  <ds:schemaRefs>
    <ds:schemaRef ds:uri="urn:fdsformulacache"/>
  </ds:schemaRefs>
</ds:datastoreItem>
</file>

<file path=docMetadata/LabelInfo.xml><?xml version="1.0" encoding="utf-8"?>
<clbl:labelList xmlns:clbl="http://schemas.microsoft.com/office/2020/mipLabelMetadata">
  <clbl:label id="{a64882d5-5c68-43ae-b974-91da18426e9b}" enabled="1" method="Standard" siteId="{38651f6f-836b-4bdf-9615-4e255c290fe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418</vt:i4>
      </vt:variant>
    </vt:vector>
  </HeadingPairs>
  <TitlesOfParts>
    <vt:vector size="429" baseType="lpstr">
      <vt:lpstr>Cover Page</vt:lpstr>
      <vt:lpstr>Summary</vt:lpstr>
      <vt:lpstr>Group Model</vt:lpstr>
      <vt:lpstr>Divisional Model</vt:lpstr>
      <vt:lpstr>FinSum</vt:lpstr>
      <vt:lpstr>Financial Statements (new)</vt:lpstr>
      <vt:lpstr>Group P&amp;L</vt:lpstr>
      <vt:lpstr>RIM</vt:lpstr>
      <vt:lpstr>Earnings Changes</vt:lpstr>
      <vt:lpstr>Old</vt:lpstr>
      <vt:lpstr>Dummy brokers ex-sheet</vt:lpstr>
      <vt:lpstr>'Dummy brokers ex-sheet'!E_ALL_KEYWORDS_TYPE_ScalarContributed_EQTY_200011471</vt:lpstr>
      <vt:lpstr>'Dummy brokers ex-sheet'!E_ALL_KEYWORDS_TYPE_ScalarContributed_ISSR_208008758</vt:lpstr>
      <vt:lpstr>'Dummy brokers ex-sheet'!E_ALL_KEYWORDS_TYPE_ScalarReference_EQTY_200011471</vt:lpstr>
      <vt:lpstr>'Dummy brokers ex-sheet'!E_ALL_KEYWORDS_TYPE_ScalarReference_ISSR_208008758</vt:lpstr>
      <vt:lpstr>'Dummy brokers ex-sheet'!E_ALL_KEYWORDS_TYPE_Vector_EQTY_200011471</vt:lpstr>
      <vt:lpstr>'Dummy brokers ex-sheet'!E_ALL_KEYWORDS_TYPE_Vector_ISSR_208008758</vt:lpstr>
      <vt:lpstr>'Dummy brokers ex-sheet'!E_ALL_MQG.AX</vt:lpstr>
      <vt:lpstr>'Dummy brokers ex-sheet'!E_ALL_PERIODS_MQG.AX</vt:lpstr>
      <vt:lpstr>'Dummy brokers ex-sheet'!E_ALL_SECTION_KEYWORDS_EQTY_200011471_1314</vt:lpstr>
      <vt:lpstr>'Dummy brokers ex-sheet'!E_ALL_SECTION_KEYWORDS_EQTY_200011471_1316A</vt:lpstr>
      <vt:lpstr>'Dummy brokers ex-sheet'!E_ALL_SECTION_KEYWORDS_EQTY_200011471_1316B</vt:lpstr>
      <vt:lpstr>'Dummy brokers ex-sheet'!E_ALL_SECTION_KEYWORDS_EQTY_200011471_131J</vt:lpstr>
      <vt:lpstr>'Dummy brokers ex-sheet'!E_ALL_SECTION_KEYWORDS_EQTY_200011471_131O</vt:lpstr>
      <vt:lpstr>'Dummy brokers ex-sheet'!E_ALL_SECTION_KEYWORDS_EQTY_200011471_13A</vt:lpstr>
      <vt:lpstr>'Dummy brokers ex-sheet'!E_ALL_SECTION_KEYWORDS_EQTY_200011471_13K</vt:lpstr>
      <vt:lpstr>'Dummy brokers ex-sheet'!E_ALL_SECTION_KEYWORDS_EQTY_200011471_13U</vt:lpstr>
      <vt:lpstr>'Dummy brokers ex-sheet'!E_ALL_SECTION_KEYWORDS_EQTY_200011471_13V</vt:lpstr>
      <vt:lpstr>'Dummy brokers ex-sheet'!E_ALL_SECTION_KEYWORDS_EQTY_200011471_Reference_Data</vt:lpstr>
      <vt:lpstr>'Dummy brokers ex-sheet'!E_ALL_SECTION_KEYWORDS_ISSR_208008758_1314</vt:lpstr>
      <vt:lpstr>'Dummy brokers ex-sheet'!E_ALL_SECTION_KEYWORDS_ISSR_208008758_13168</vt:lpstr>
      <vt:lpstr>'Dummy brokers ex-sheet'!E_ALL_SECTION_KEYWORDS_ISSR_208008758_1316T</vt:lpstr>
      <vt:lpstr>'Dummy brokers ex-sheet'!E_ALL_SECTION_KEYWORDS_ISSR_208008758_1316U</vt:lpstr>
      <vt:lpstr>'Dummy brokers ex-sheet'!E_ALL_SECTION_KEYWORDS_ISSR_208008758_1319</vt:lpstr>
      <vt:lpstr>'Dummy brokers ex-sheet'!E_ALL_SECTION_KEYWORDS_ISSR_208008758_131J</vt:lpstr>
      <vt:lpstr>'Dummy brokers ex-sheet'!E_ALL_SECTION_KEYWORDS_ISSR_208008758_131O</vt:lpstr>
      <vt:lpstr>'Dummy brokers ex-sheet'!E_ALL_SECTION_KEYWORDS_ISSR_208008758_1350</vt:lpstr>
      <vt:lpstr>'Dummy brokers ex-sheet'!E_ALL_SECTION_KEYWORDS_ISSR_208008758_1355</vt:lpstr>
      <vt:lpstr>'Dummy brokers ex-sheet'!E_ALL_SECTION_KEYWORDS_ISSR_208008758_135A</vt:lpstr>
      <vt:lpstr>'Dummy brokers ex-sheet'!E_ALL_SECTION_KEYWORDS_ISSR_208008758_135F</vt:lpstr>
      <vt:lpstr>'Dummy brokers ex-sheet'!E_ALL_SECTION_KEYWORDS_ISSR_208008758_135K</vt:lpstr>
      <vt:lpstr>'Dummy brokers ex-sheet'!E_ALL_SECTION_KEYWORDS_ISSR_208008758_135P</vt:lpstr>
      <vt:lpstr>'Dummy brokers ex-sheet'!E_ALL_SECTION_KEYWORDS_ISSR_208008758_135U</vt:lpstr>
      <vt:lpstr>'Dummy brokers ex-sheet'!E_ALL_SECTION_KEYWORDS_ISSR_208008758_135Z</vt:lpstr>
      <vt:lpstr>'Dummy brokers ex-sheet'!E_ALL_SECTION_KEYWORDS_ISSR_208008758_136E</vt:lpstr>
      <vt:lpstr>'Dummy brokers ex-sheet'!E_ALL_SECTION_KEYWORDS_ISSR_208008758_13A</vt:lpstr>
      <vt:lpstr>'Dummy brokers ex-sheet'!E_ALL_SECTION_KEYWORDS_ISSR_208008758_13U</vt:lpstr>
      <vt:lpstr>'Dummy brokers ex-sheet'!E_ALL_SECTION_KEYWORDS_ISSR_208008758_13V</vt:lpstr>
      <vt:lpstr>'Dummy brokers ex-sheet'!E_ALL_SECTION_KEYWORDS_ISSR_208008758_Reference_Data</vt:lpstr>
      <vt:lpstr>'Dummy brokers ex-sheet'!E_ALL_SECTIONS_EQTY_200011471</vt:lpstr>
      <vt:lpstr>'Dummy brokers ex-sheet'!E_ALL_SECTIONS_ISSR_208008758</vt:lpstr>
      <vt:lpstr>'Dummy brokers ex-sheet'!E_CURRENCY_EQTY_200011471_PRI</vt:lpstr>
      <vt:lpstr>'Dummy brokers ex-sheet'!E_CURRENCY_EQTY_200011471_PUB</vt:lpstr>
      <vt:lpstr>'Dummy brokers ex-sheet'!E_CURRENCY_EQTY_200011471_REP</vt:lpstr>
      <vt:lpstr>'Dummy brokers ex-sheet'!E_CURRENCY_ISSR_208008758_REP</vt:lpstr>
      <vt:lpstr>'Dummy brokers ex-sheet'!E_ENTITY_DATA_EQTY_200011471</vt:lpstr>
      <vt:lpstr>'Dummy brokers ex-sheet'!E_ENTITY_DATA_ISSR_208008758</vt:lpstr>
      <vt:lpstr>'Dummy brokers ex-sheet'!E_KEYWORD_EQTY_200011471_ANZ_CONVICTION</vt:lpstr>
      <vt:lpstr>'Dummy brokers ex-sheet'!E_KEYWORD_EQTY_200011471_ANZ_LIST</vt:lpstr>
      <vt:lpstr>'Dummy brokers ex-sheet'!E_KEYWORD_EQTY_200011471_BETA_ANALYST</vt:lpstr>
      <vt:lpstr>'Dummy brokers ex-sheet'!E_KEYWORD_EQTY_200011471_BVPS</vt:lpstr>
      <vt:lpstr>'Dummy brokers ex-sheet'!E_KEYWORD_EQTY_200011471_BVPS_PUB</vt:lpstr>
      <vt:lpstr>'Dummy brokers ex-sheet'!E_KEYWORD_EQTY_200011471_CATALYST1_DATE</vt:lpstr>
      <vt:lpstr>'Dummy brokers ex-sheet'!E_KEYWORD_EQTY_200011471_CATALYST1_EVENT</vt:lpstr>
      <vt:lpstr>'Dummy brokers ex-sheet'!E_KEYWORD_EQTY_200011471_CATALYST2_DATE</vt:lpstr>
      <vt:lpstr>'Dummy brokers ex-sheet'!E_KEYWORD_EQTY_200011471_CATALYST2_EVENT</vt:lpstr>
      <vt:lpstr>'Dummy brokers ex-sheet'!E_KEYWORD_EQTY_200011471_CATALYST3_DATE</vt:lpstr>
      <vt:lpstr>'Dummy brokers ex-sheet'!E_KEYWORD_EQTY_200011471_CATALYST3_EVENT</vt:lpstr>
      <vt:lpstr>'Dummy brokers ex-sheet'!E_KEYWORD_EQTY_200011471_CATALYST4_DATE</vt:lpstr>
      <vt:lpstr>'Dummy brokers ex-sheet'!E_KEYWORD_EQTY_200011471_CATALYST4_EVENT</vt:lpstr>
      <vt:lpstr>'Dummy brokers ex-sheet'!E_KEYWORD_EQTY_200011471_CATALYST5_DATE</vt:lpstr>
      <vt:lpstr>'Dummy brokers ex-sheet'!E_KEYWORD_EQTY_200011471_CATALYST5_EVENT</vt:lpstr>
      <vt:lpstr>'Dummy brokers ex-sheet'!E_KEYWORD_EQTY_200011471_COMMON_DIV_PAID</vt:lpstr>
      <vt:lpstr>'Dummy brokers ex-sheet'!E_KEYWORD_EQTY_200011471_CURRENCY_ISO</vt:lpstr>
      <vt:lpstr>'Dummy brokers ex-sheet'!E_KEYWORD_EQTY_200011471_DCF_CASH_FLOW</vt:lpstr>
      <vt:lpstr>'Dummy brokers ex-sheet'!E_KEYWORD_EQTY_200011471_DILUTE_SHARES</vt:lpstr>
      <vt:lpstr>'Dummy brokers ex-sheet'!E_KEYWORD_EQTY_200011471_DISCOUNT_FACTOR_DCF</vt:lpstr>
      <vt:lpstr>'Dummy brokers ex-sheet'!E_KEYWORD_EQTY_200011471_DPS</vt:lpstr>
      <vt:lpstr>'Dummy brokers ex-sheet'!E_KEYWORD_EQTY_200011471_DPS_PUB</vt:lpstr>
      <vt:lpstr>'Dummy brokers ex-sheet'!E_KEYWORD_EQTY_200011471_DPS_SPECIAL_PUB</vt:lpstr>
      <vt:lpstr>'Dummy brokers ex-sheet'!E_KEYWORD_EQTY_200011471_EBIT_PUB</vt:lpstr>
      <vt:lpstr>'Dummy brokers ex-sheet'!E_KEYWORD_EQTY_200011471_EBITDA_PUB</vt:lpstr>
      <vt:lpstr>'Dummy brokers ex-sheet'!E_KEYWORD_EQTY_200011471_EPS</vt:lpstr>
      <vt:lpstr>'Dummy brokers ex-sheet'!E_KEYWORD_EQTY_200011471_EPS_CONS_PUB</vt:lpstr>
      <vt:lpstr>'Dummy brokers ex-sheet'!E_KEYWORD_EQTY_200011471_EPS_FUL_DIL</vt:lpstr>
      <vt:lpstr>'Dummy brokers ex-sheet'!E_KEYWORD_EQTY_200011471_EPS_POST_BASIC</vt:lpstr>
      <vt:lpstr>'Dummy brokers ex-sheet'!E_KEYWORD_EQTY_200011471_EPS_PUB</vt:lpstr>
      <vt:lpstr>'Dummy brokers ex-sheet'!E_KEYWORD_EQTY_200011471_EQ_PUB</vt:lpstr>
      <vt:lpstr>'Dummy brokers ex-sheet'!E_KEYWORD_EQTY_200011471_EV_ADJ_PUB</vt:lpstr>
      <vt:lpstr>'Dummy brokers ex-sheet'!E_KEYWORD_EQTY_200011471_FINAL_DIV_AMOUNT</vt:lpstr>
      <vt:lpstr>'Dummy brokers ex-sheet'!E_KEYWORD_EQTY_200011471_FINAL_DIV_EXDATE</vt:lpstr>
      <vt:lpstr>'Dummy brokers ex-sheet'!E_KEYWORD_EQTY_200011471_FINAL_DIV_FRANK</vt:lpstr>
      <vt:lpstr>'Dummy brokers ex-sheet'!E_KEYWORD_EQTY_200011471_FINAL_DIV_TAXRATE</vt:lpstr>
      <vt:lpstr>'Dummy brokers ex-sheet'!E_KEYWORD_EQTY_200011471_FOREIGN_HOLDNG</vt:lpstr>
      <vt:lpstr>'Dummy brokers ex-sheet'!E_KEYWORD_EQTY_200011471_FRANKING_ANZPUB</vt:lpstr>
      <vt:lpstr>'Dummy brokers ex-sheet'!E_KEYWORD_EQTY_200011471_FRANKING_SPECIAL_ANZPUB</vt:lpstr>
      <vt:lpstr>'Dummy brokers ex-sheet'!E_KEYWORD_EQTY_200011471_FREE_FLOAT</vt:lpstr>
      <vt:lpstr>'Dummy brokers ex-sheet'!E_KEYWORD_EQTY_200011471_FULLY_DIL_EPS</vt:lpstr>
      <vt:lpstr>'Dummy brokers ex-sheet'!E_KEYWORD_EQTY_200011471_INC_MINORITY</vt:lpstr>
      <vt:lpstr>'Dummy brokers ex-sheet'!E_KEYWORD_EQTY_200011471_INT_DIV_AMOUNT</vt:lpstr>
      <vt:lpstr>'Dummy brokers ex-sheet'!E_KEYWORD_EQTY_200011471_INT_DIV_EXDATE</vt:lpstr>
      <vt:lpstr>'Dummy brokers ex-sheet'!E_KEYWORD_EQTY_200011471_INT_DIV_FRANK</vt:lpstr>
      <vt:lpstr>'Dummy brokers ex-sheet'!E_KEYWORD_EQTY_200011471_INT_DIV_TAXRATE</vt:lpstr>
      <vt:lpstr>'Dummy brokers ex-sheet'!E_KEYWORD_EQTY_200011471_Interim_Type</vt:lpstr>
      <vt:lpstr>'Dummy brokers ex-sheet'!E_KEYWORD_EQTY_200011471_LEGAL_RATING</vt:lpstr>
      <vt:lpstr>'Dummy brokers ex-sheet'!E_KEYWORD_EQTY_200011471_MKT_EQ_RISK_PREM</vt:lpstr>
      <vt:lpstr>'Dummy brokers ex-sheet'!E_KEYWORD_EQTY_200011471_NET_DEBT_PUB</vt:lpstr>
      <vt:lpstr>'Dummy brokers ex-sheet'!E_KEYWORD_EQTY_200011471_NET_EARNING</vt:lpstr>
      <vt:lpstr>'Dummy brokers ex-sheet'!E_KEYWORD_EQTY_200011471_NET_INC</vt:lpstr>
      <vt:lpstr>'Dummy brokers ex-sheet'!E_KEYWORD_EQTY_200011471_NI_CONS</vt:lpstr>
      <vt:lpstr>'Dummy brokers ex-sheet'!E_KEYWORD_EQTY_200011471_NI_PRE_PREF</vt:lpstr>
      <vt:lpstr>'Dummy brokers ex-sheet'!E_KEYWORD_EQTY_200011471_NI_PUB</vt:lpstr>
      <vt:lpstr>'Dummy brokers ex-sheet'!E_KEYWORD_EQTY_200011471_NI_REPT_PUB</vt:lpstr>
      <vt:lpstr>'Dummy brokers ex-sheet'!E_KEYWORD_EQTY_200011471_NON_OP_ADD</vt:lpstr>
      <vt:lpstr>'Dummy brokers ex-sheet'!E_KEYWORD_EQTY_200011471_NTA_PER_SHARE</vt:lpstr>
      <vt:lpstr>'Dummy brokers ex-sheet'!E_KEYWORD_EQTY_200011471_NUM_SH</vt:lpstr>
      <vt:lpstr>'Dummy brokers ex-sheet'!E_KEYWORD_EQTY_200011471_PREF_DIV</vt:lpstr>
      <vt:lpstr>'Dummy brokers ex-sheet'!E_KEYWORD_EQTY_200011471_PRI_TARG_METH</vt:lpstr>
      <vt:lpstr>'Dummy brokers ex-sheet'!E_KEYWORD_EQTY_200011471_PRI_TARG_MULT</vt:lpstr>
      <vt:lpstr>'Dummy brokers ex-sheet'!E_KEYWORD_EQTY_200011471_PRICE_CURRENCY_ISO</vt:lpstr>
      <vt:lpstr>'Dummy brokers ex-sheet'!E_KEYWORD_EQTY_200011471_PROF_AT</vt:lpstr>
      <vt:lpstr>'Dummy brokers ex-sheet'!E_KEYWORD_EQTY_200011471_PROV_INC_TAX</vt:lpstr>
      <vt:lpstr>'Dummy brokers ex-sheet'!E_KEYWORD_EQTY_200011471_PTP_PUB</vt:lpstr>
      <vt:lpstr>'Dummy brokers ex-sheet'!E_KEYWORD_EQTY_200011471_PUB_CURRENCY_ISO</vt:lpstr>
      <vt:lpstr>'Dummy brokers ex-sheet'!E_KEYWORD_EQTY_200011471_REVS_PUB</vt:lpstr>
      <vt:lpstr>'Dummy brokers ex-sheet'!E_KEYWORD_EQTY_200011471_RISK_FR_RATE</vt:lpstr>
      <vt:lpstr>'Dummy brokers ex-sheet'!E_KEYWORD_EQTY_200011471_RISK_TO_EARNINGS</vt:lpstr>
      <vt:lpstr>'Dummy brokers ex-sheet'!E_KEYWORD_EQTY_200011471_Security_Name</vt:lpstr>
      <vt:lpstr>'Dummy brokers ex-sheet'!E_KEYWORD_EQTY_200011471_SH</vt:lpstr>
      <vt:lpstr>'Dummy brokers ex-sheet'!E_KEYWORD_EQTY_200011471_TANG_BVPS</vt:lpstr>
      <vt:lpstr>'Dummy brokers ex-sheet'!E_KEYWORD_EQTY_200011471_TARGET_PRICE</vt:lpstr>
      <vt:lpstr>'Dummy brokers ex-sheet'!E_KEYWORD_EQTY_200011471_TAX_EXC</vt:lpstr>
      <vt:lpstr>'Dummy brokers ex-sheet'!E_KEYWORD_EQTY_200011471_Ticker</vt:lpstr>
      <vt:lpstr>'Dummy brokers ex-sheet'!E_KEYWORD_EQTY_200011471_TP_PERIOD</vt:lpstr>
      <vt:lpstr>'Dummy brokers ex-sheet'!E_KEYWORD_ISSR_208008758_ACC_END_DATE</vt:lpstr>
      <vt:lpstr>'Dummy brokers ex-sheet'!E_KEYWORD_ISSR_208008758_ACC_PAY_GQ</vt:lpstr>
      <vt:lpstr>'Dummy brokers ex-sheet'!E_KEYWORD_ISSR_208008758_ACCRUED_EXP_OTH</vt:lpstr>
      <vt:lpstr>'Dummy brokers ex-sheet'!E_KEYWORD_ISSR_208008758_AM_FEE</vt:lpstr>
      <vt:lpstr>'Dummy brokers ex-sheet'!E_KEYWORD_ISSR_208008758_AM_MARGIN</vt:lpstr>
      <vt:lpstr>'Dummy brokers ex-sheet'!E_KEYWORD_ISSR_208008758_AM_PTP</vt:lpstr>
      <vt:lpstr>'Dummy brokers ex-sheet'!E_KEYWORD_ISSR_208008758_AM_REVS</vt:lpstr>
      <vt:lpstr>'Dummy brokers ex-sheet'!E_KEYWORD_ISSR_208008758_AMB_MARGIN</vt:lpstr>
      <vt:lpstr>'Dummy brokers ex-sheet'!E_KEYWORD_ISSR_208008758_AMB_PTP</vt:lpstr>
      <vt:lpstr>'Dummy brokers ex-sheet'!E_KEYWORD_ISSR_208008758_AMB_REVS</vt:lpstr>
      <vt:lpstr>'Dummy brokers ex-sheet'!E_KEYWORD_ISSR_208008758_B_CORP_OTH</vt:lpstr>
      <vt:lpstr>'Dummy brokers ex-sheet'!E_KEYWORD_ISSR_208008758_B_GOVERNMT</vt:lpstr>
      <vt:lpstr>'Dummy brokers ex-sheet'!E_KEYWORD_ISSR_208008758_B_GOVERNMT_SLD</vt:lpstr>
      <vt:lpstr>'Dummy brokers ex-sheet'!E_KEYWORD_ISSR_208008758_B_MORTG</vt:lpstr>
      <vt:lpstr>'Dummy brokers ex-sheet'!E_KEYWORD_ISSR_208008758_B_PL_LOANPRV</vt:lpstr>
      <vt:lpstr>'Dummy brokers ex-sheet'!E_KEYWORD_ISSR_208008758_B_PL_NETINTINC</vt:lpstr>
      <vt:lpstr>'Dummy brokers ex-sheet'!E_KEYWORD_ISSR_208008758_BAL_MINO_INT</vt:lpstr>
      <vt:lpstr>'Dummy brokers ex-sheet'!E_KEYWORD_ISSR_208008758_BEARING_DEBT</vt:lpstr>
      <vt:lpstr>'Dummy brokers ex-sheet'!E_KEYWORD_ISSR_208008758_BR_AUM</vt:lpstr>
      <vt:lpstr>'Dummy brokers ex-sheet'!E_KEYWORD_ISSR_208008758_BR_DEP</vt:lpstr>
      <vt:lpstr>'Dummy brokers ex-sheet'!E_KEYWORD_ISSR_208008758_BR_OTH_EQ</vt:lpstr>
      <vt:lpstr>'Dummy brokers ex-sheet'!E_KEYWORD_ISSR_208008758_BROK_CLEAR_EXP</vt:lpstr>
      <vt:lpstr>'Dummy brokers ex-sheet'!E_KEYWORD_ISSR_208008758_BROKER_PAYBLS</vt:lpstr>
      <vt:lpstr>'Dummy brokers ex-sheet'!E_KEYWORD_ISSR_208008758_BROKER_RECVBLS</vt:lpstr>
      <vt:lpstr>'Dummy brokers ex-sheet'!E_KEYWORD_ISSR_208008758_BUS_DEV_EXP</vt:lpstr>
      <vt:lpstr>'Dummy brokers ex-sheet'!E_KEYWORD_ISSR_208008758_CAP_LEASES</vt:lpstr>
      <vt:lpstr>'Dummy brokers ex-sheet'!E_KEYWORD_ISSR_208008758_CAP_MARGIN</vt:lpstr>
      <vt:lpstr>'Dummy brokers ex-sheet'!E_KEYWORD_ISSR_208008758_CAP_PTP</vt:lpstr>
      <vt:lpstr>'Dummy brokers ex-sheet'!E_KEYWORD_ISSR_208008758_CAP_REVS</vt:lpstr>
      <vt:lpstr>'Dummy brokers ex-sheet'!E_KEYWORD_ISSR_208008758_CASH_EQ</vt:lpstr>
      <vt:lpstr>'Dummy brokers ex-sheet'!E_KEYWORD_ISSR_208008758_CASH_SECUR</vt:lpstr>
      <vt:lpstr>'Dummy brokers ex-sheet'!E_KEYWORD_ISSR_208008758_CC_FEE</vt:lpstr>
      <vt:lpstr>'Dummy brokers ex-sheet'!E_KEYWORD_ISSR_208008758_CC_MARGIN</vt:lpstr>
      <vt:lpstr>'Dummy brokers ex-sheet'!E_KEYWORD_ISSR_208008758_CC_PTP</vt:lpstr>
      <vt:lpstr>'Dummy brokers ex-sheet'!E_KEYWORD_ISSR_208008758_CC_REVS</vt:lpstr>
      <vt:lpstr>'Dummy brokers ex-sheet'!E_KEYWORD_ISSR_208008758_CC_REVS_BO</vt:lpstr>
      <vt:lpstr>'Dummy brokers ex-sheet'!E_KEYWORD_ISSR_208008758_CD_MONMRKT</vt:lpstr>
      <vt:lpstr>'Dummy brokers ex-sheet'!E_KEYWORD_ISSR_208008758_COGS_PCT_ROW</vt:lpstr>
      <vt:lpstr>'Dummy brokers ex-sheet'!E_KEYWORD_ISSR_208008758_COGS_PCT_US</vt:lpstr>
      <vt:lpstr>'Dummy brokers ex-sheet'!E_KEYWORD_ISSR_208008758_COMMDTY_VAR</vt:lpstr>
      <vt:lpstr>'Dummy brokers ex-sheet'!E_KEYWORD_ISSR_208008758_COMMISNS</vt:lpstr>
      <vt:lpstr>'Dummy brokers ex-sheet'!E_KEYWORD_ISSR_208008758_CORP_DEBT_SLD</vt:lpstr>
      <vt:lpstr>'Dummy brokers ex-sheet'!E_KEYWORD_ISSR_208008758_CORP_EQ_SLD</vt:lpstr>
      <vt:lpstr>'Dummy brokers ex-sheet'!E_KEYWORD_ISSR_208008758_CP_STDEBT_SLD</vt:lpstr>
      <vt:lpstr>'Dummy brokers ex-sheet'!E_KEYWORD_ISSR_208008758_CURRENCY_ISO</vt:lpstr>
      <vt:lpstr>'Dummy brokers ex-sheet'!E_KEYWORD_ISSR_208008758_CURRENCY_VAR</vt:lpstr>
      <vt:lpstr>'Dummy brokers ex-sheet'!E_KEYWORD_ISSR_208008758_CUST_PAYBLS</vt:lpstr>
      <vt:lpstr>'Dummy brokers ex-sheet'!E_KEYWORD_ISSR_208008758_CUST_RECVBLS</vt:lpstr>
      <vt:lpstr>'Dummy brokers ex-sheet'!E_KEYWORD_ISSR_208008758_DEPREC</vt:lpstr>
      <vt:lpstr>'Dummy brokers ex-sheet'!E_KEYWORD_ISSR_208008758_DIVERS_EFFECT</vt:lpstr>
      <vt:lpstr>'Dummy brokers ex-sheet'!E_KEYWORD_ISSR_208008758_EMPLOYEES</vt:lpstr>
      <vt:lpstr>'Dummy brokers ex-sheet'!E_KEYWORD_ISSR_208008758_EQ</vt:lpstr>
      <vt:lpstr>'Dummy brokers ex-sheet'!E_KEYWORD_ISSR_208008758_EQTY_ISS_REVS_BO</vt:lpstr>
      <vt:lpstr>'Dummy brokers ex-sheet'!E_KEYWORD_ISSR_208008758_EQTY_REVS_BO</vt:lpstr>
      <vt:lpstr>'Dummy brokers ex-sheet'!E_KEYWORD_ISSR_208008758_EQTY_VAR</vt:lpstr>
      <vt:lpstr>'Dummy brokers ex-sheet'!E_KEYWORD_ISSR_208008758_EXP_OIL_DERIV_NGLS_PLASTICS</vt:lpstr>
      <vt:lpstr>'Dummy brokers ex-sheet'!E_KEYWORD_ISSR_208008758_EXP_OIL_PETRO_FUEL</vt:lpstr>
      <vt:lpstr>'Dummy brokers ex-sheet'!E_KEYWORD_ISSR_208008758_FICC_ISS_REVS_BO</vt:lpstr>
      <vt:lpstr>'Dummy brokers ex-sheet'!E_KEYWORD_ISSR_208008758_FICC_REVS_BO</vt:lpstr>
      <vt:lpstr>'Dummy brokers ex-sheet'!E_KEYWORD_ISSR_208008758_FIN_ADVISORS</vt:lpstr>
      <vt:lpstr>'Dummy brokers ex-sheet'!E_KEYWORD_ISSR_208008758_FLOATING_PCT_LOCAL_DEBT</vt:lpstr>
      <vt:lpstr>'Dummy brokers ex-sheet'!E_KEYWORD_ISSR_208008758_FLOATING_PCT_LOCAL_DEBT_HEDGED</vt:lpstr>
      <vt:lpstr>'Dummy brokers ex-sheet'!E_KEYWORD_ISSR_208008758_FX_AUD_ASSUMPTION</vt:lpstr>
      <vt:lpstr>'Dummy brokers ex-sheet'!E_KEYWORD_ISSR_208008758_FX_AUD_NI_SENSITIVITY</vt:lpstr>
      <vt:lpstr>'Dummy brokers ex-sheet'!E_KEYWORD_ISSR_208008758_FX_EUR_ASSUMPTION</vt:lpstr>
      <vt:lpstr>'Dummy brokers ex-sheet'!E_KEYWORD_ISSR_208008758_FX_EUR_NI_SENSITIVITY</vt:lpstr>
      <vt:lpstr>'Dummy brokers ex-sheet'!E_KEYWORD_ISSR_208008758_FX_USD_ASSUMPTION</vt:lpstr>
      <vt:lpstr>'Dummy brokers ex-sheet'!E_KEYWORD_ISSR_208008758_FX_USD_NI_SENSITIVITY</vt:lpstr>
      <vt:lpstr>'Dummy brokers ex-sheet'!E_KEYWORD_ISSR_208008758_GOODWILL_AMORT</vt:lpstr>
      <vt:lpstr>'Dummy brokers ex-sheet'!E_KEYWORD_ISSR_208008758_GROSS_OP_PROF</vt:lpstr>
      <vt:lpstr>'Dummy brokers ex-sheet'!E_KEYWORD_ISSR_208008758_IB_FEE</vt:lpstr>
      <vt:lpstr>'Dummy brokers ex-sheet'!E_KEYWORD_ISSR_208008758_INT_EXP</vt:lpstr>
      <vt:lpstr>'Dummy brokers ex-sheet'!E_KEYWORD_ISSR_208008758_INT_INC</vt:lpstr>
      <vt:lpstr>'Dummy brokers ex-sheet'!E_KEYWORD_ISSR_208008758_INT_RATE_VAR</vt:lpstr>
      <vt:lpstr>'Dummy brokers ex-sheet'!E_KEYWORD_ISSR_208008758_Issuer_Name</vt:lpstr>
      <vt:lpstr>'Dummy brokers ex-sheet'!E_KEYWORD_ISSR_208008758_LEASE_PAY</vt:lpstr>
      <vt:lpstr>'Dummy brokers ex-sheet'!E_KEYWORD_ISSR_208008758_LT_DEBT</vt:lpstr>
      <vt:lpstr>'Dummy brokers ex-sheet'!E_KEYWORD_ISSR_208008758_MA_PROB</vt:lpstr>
      <vt:lpstr>'Dummy brokers ex-sheet'!E_KEYWORD_ISSR_208008758_MA_REVS_BO</vt:lpstr>
      <vt:lpstr>'Dummy brokers ex-sheet'!E_KEYWORD_ISSR_208008758_MINORITIES</vt:lpstr>
      <vt:lpstr>'Dummy brokers ex-sheet'!E_KEYWORD_ISSR_208008758_MKT_APPREC</vt:lpstr>
      <vt:lpstr>'Dummy brokers ex-sheet'!E_KEYWORD_ISSR_208008758_MV_ASSOCIATES</vt:lpstr>
      <vt:lpstr>'Dummy brokers ex-sheet'!E_KEYWORD_ISSR_208008758_NET_FIX_ASS</vt:lpstr>
      <vt:lpstr>'Dummy brokers ex-sheet'!E_KEYWORD_ISSR_208008758_NET_FLOWS</vt:lpstr>
      <vt:lpstr>'Dummy brokers ex-sheet'!E_KEYWORD_ISSR_208008758_NET_INTANG</vt:lpstr>
      <vt:lpstr>'Dummy brokers ex-sheet'!E_KEYWORD_ISSR_208008758_NET_OP_PROF</vt:lpstr>
      <vt:lpstr>'Dummy brokers ex-sheet'!E_KEYWORD_ISSR_208008758_NET_REVS</vt:lpstr>
      <vt:lpstr>'Dummy brokers ex-sheet'!E_KEYWORD_ISSR_208008758_NON_INT_INC</vt:lpstr>
      <vt:lpstr>'Dummy brokers ex-sheet'!E_KEYWORD_ISSR_208008758_OCCUPANCY_EXP</vt:lpstr>
      <vt:lpstr>'Dummy brokers ex-sheet'!E_KEYWORD_ISSR_208008758_ORD_SH_FUND</vt:lpstr>
      <vt:lpstr>'Dummy brokers ex-sheet'!E_KEYWORD_ISSR_208008758_OTH_ASSET</vt:lpstr>
      <vt:lpstr>'Dummy brokers ex-sheet'!E_KEYWORD_ISSR_208008758_OTH_CONTRACT_SLD</vt:lpstr>
      <vt:lpstr>'Dummy brokers ex-sheet'!E_KEYWORD_ISSR_208008758_OTH_COST</vt:lpstr>
      <vt:lpstr>'Dummy brokers ex-sheet'!E_KEYWORD_ISSR_208008758_OTH_COST_INC</vt:lpstr>
      <vt:lpstr>'Dummy brokers ex-sheet'!E_KEYWORD_ISSR_208008758_OTH_DACF_ADJ</vt:lpstr>
      <vt:lpstr>'Dummy brokers ex-sheet'!E_KEYWORD_ISSR_208008758_OTH_FIN</vt:lpstr>
      <vt:lpstr>'Dummy brokers ex-sheet'!E_KEYWORD_ISSR_208008758_OTH_GCI_ADJ</vt:lpstr>
      <vt:lpstr>'Dummy brokers ex-sheet'!E_KEYWORD_ISSR_208008758_OTH_INC</vt:lpstr>
      <vt:lpstr>'Dummy brokers ex-sheet'!E_KEYWORD_ISSR_208008758_OTH_LIABS</vt:lpstr>
      <vt:lpstr>'Dummy brokers ex-sheet'!E_KEYWORD_ISSR_208008758_OTH_MARGIN</vt:lpstr>
      <vt:lpstr>'Dummy brokers ex-sheet'!E_KEYWORD_ISSR_208008758_OTH_NONOP_EXP</vt:lpstr>
      <vt:lpstr>'Dummy brokers ex-sheet'!E_KEYWORD_ISSR_208008758_OTH_NONOP_INC</vt:lpstr>
      <vt:lpstr>'Dummy brokers ex-sheet'!E_KEYWORD_ISSR_208008758_OTH_PAY</vt:lpstr>
      <vt:lpstr>'Dummy brokers ex-sheet'!E_KEYWORD_ISSR_208008758_OTH_PTP</vt:lpstr>
      <vt:lpstr>'Dummy brokers ex-sheet'!E_KEYWORD_ISSR_208008758_OTH_RECVBLS</vt:lpstr>
      <vt:lpstr>'Dummy brokers ex-sheet'!E_KEYWORD_ISSR_208008758_OTH_REVS</vt:lpstr>
      <vt:lpstr>'Dummy brokers ex-sheet'!E_KEYWORD_ISSR_208008758_PERIOD_MILESTONE</vt:lpstr>
      <vt:lpstr>'Dummy brokers ex-sheet'!E_KEYWORD_ISSR_208008758_PERSONNEL</vt:lpstr>
      <vt:lpstr>'Dummy brokers ex-sheet'!E_KEYWORD_ISSR_208008758_PREF_SH_EQ</vt:lpstr>
      <vt:lpstr>'Dummy brokers ex-sheet'!E_KEYWORD_ISSR_208008758_PRIN_TRANS</vt:lpstr>
      <vt:lpstr>'Dummy brokers ex-sheet'!E_KEYWORD_ISSR_208008758_PROF_SRVC_EXP</vt:lpstr>
      <vt:lpstr>'Dummy brokers ex-sheet'!E_KEYWORD_ISSR_208008758_PT_PROF</vt:lpstr>
      <vt:lpstr>'Dummy brokers ex-sheet'!E_KEYWORD_ISSR_208008758_RBR_CL_ASSTS</vt:lpstr>
      <vt:lpstr>'Dummy brokers ex-sheet'!E_KEYWORD_ISSR_208008758_REPOS_ASST</vt:lpstr>
      <vt:lpstr>'Dummy brokers ex-sheet'!E_KEYWORD_ISSR_208008758_REPOS_LIAB</vt:lpstr>
      <vt:lpstr>'Dummy brokers ex-sheet'!E_KEYWORD_ISSR_208008758_RETAIL_MARGIN</vt:lpstr>
      <vt:lpstr>'Dummy brokers ex-sheet'!E_KEYWORD_ISSR_208008758_RETAIL_PTP</vt:lpstr>
      <vt:lpstr>'Dummy brokers ex-sheet'!E_KEYWORD_ISSR_208008758_RETAIL_REVS</vt:lpstr>
      <vt:lpstr>'Dummy brokers ex-sheet'!E_KEYWORD_ISSR_208008758_RETAIL_REVS_BO</vt:lpstr>
      <vt:lpstr>'Dummy brokers ex-sheet'!E_KEYWORD_ISSR_208008758_SALES</vt:lpstr>
      <vt:lpstr>'Dummy brokers ex-sheet'!E_KEYWORD_ISSR_208008758_SALES_ARGENTINA</vt:lpstr>
      <vt:lpstr>'Dummy brokers ex-sheet'!E_KEYWORD_ISSR_208008758_SALES_AUSTRA</vt:lpstr>
      <vt:lpstr>'Dummy brokers ex-sheet'!E_KEYWORD_ISSR_208008758_SALES_AUSTRIA</vt:lpstr>
      <vt:lpstr>'Dummy brokers ex-sheet'!E_KEYWORD_ISSR_208008758_SALES_BEL</vt:lpstr>
      <vt:lpstr>'Dummy brokers ex-sheet'!E_KEYWORD_ISSR_208008758_SALES_BRAZIL</vt:lpstr>
      <vt:lpstr>'Dummy brokers ex-sheet'!E_KEYWORD_ISSR_208008758_SALES_CANADA</vt:lpstr>
      <vt:lpstr>'Dummy brokers ex-sheet'!E_KEYWORD_ISSR_208008758_SALES_CEE</vt:lpstr>
      <vt:lpstr>'Dummy brokers ex-sheet'!E_KEYWORD_ISSR_208008758_SALES_CHILE</vt:lpstr>
      <vt:lpstr>'Dummy brokers ex-sheet'!E_KEYWORD_ISSR_208008758_SALES_CHINA</vt:lpstr>
      <vt:lpstr>'Dummy brokers ex-sheet'!E_KEYWORD_ISSR_208008758_SALES_COLOMBIA</vt:lpstr>
      <vt:lpstr>'Dummy brokers ex-sheet'!E_KEYWORD_ISSR_208008758_SALES_CONS</vt:lpstr>
      <vt:lpstr>'Dummy brokers ex-sheet'!E_KEYWORD_ISSR_208008758_SALES_EU_EX_UK</vt:lpstr>
      <vt:lpstr>'Dummy brokers ex-sheet'!E_KEYWORD_ISSR_208008758_SALES_FINAN</vt:lpstr>
      <vt:lpstr>'Dummy brokers ex-sheet'!E_KEYWORD_ISSR_208008758_SALES_FRA</vt:lpstr>
      <vt:lpstr>'Dummy brokers ex-sheet'!E_KEYWORD_ISSR_208008758_SALES_FX_AUD</vt:lpstr>
      <vt:lpstr>'Dummy brokers ex-sheet'!E_KEYWORD_ISSR_208008758_SALES_FX_BRL</vt:lpstr>
      <vt:lpstr>'Dummy brokers ex-sheet'!E_KEYWORD_ISSR_208008758_SALES_FX_CNY</vt:lpstr>
      <vt:lpstr>'Dummy brokers ex-sheet'!E_KEYWORD_ISSR_208008758_SALES_FX_EUR</vt:lpstr>
      <vt:lpstr>'Dummy brokers ex-sheet'!E_KEYWORD_ISSR_208008758_SALES_FX_GPB</vt:lpstr>
      <vt:lpstr>'Dummy brokers ex-sheet'!E_KEYWORD_ISSR_208008758_SALES_FX_INR</vt:lpstr>
      <vt:lpstr>'Dummy brokers ex-sheet'!E_KEYWORD_ISSR_208008758_SALES_FX_NZD</vt:lpstr>
      <vt:lpstr>'Dummy brokers ex-sheet'!E_KEYWORD_ISSR_208008758_SALES_FX_OTH</vt:lpstr>
      <vt:lpstr>'Dummy brokers ex-sheet'!E_KEYWORD_ISSR_208008758_SALES_FX_RUB</vt:lpstr>
      <vt:lpstr>'Dummy brokers ex-sheet'!E_KEYWORD_ISSR_208008758_SALES_FX_USD</vt:lpstr>
      <vt:lpstr>'Dummy brokers ex-sheet'!E_KEYWORD_ISSR_208008758_SALES_FX_YEN</vt:lpstr>
      <vt:lpstr>'Dummy brokers ex-sheet'!E_KEYWORD_ISSR_208008758_SALES_GER</vt:lpstr>
      <vt:lpstr>'Dummy brokers ex-sheet'!E_KEYWORD_ISSR_208008758_SALES_GOV</vt:lpstr>
      <vt:lpstr>'Dummy brokers ex-sheet'!E_KEYWORD_ISSR_208008758_SALES_GRE</vt:lpstr>
      <vt:lpstr>'Dummy brokers ex-sheet'!E_KEYWORD_ISSR_208008758_SALES_HONG_KONG</vt:lpstr>
      <vt:lpstr>'Dummy brokers ex-sheet'!E_KEYWORD_ISSR_208008758_SALES_IND</vt:lpstr>
      <vt:lpstr>'Dummy brokers ex-sheet'!E_KEYWORD_ISSR_208008758_SALES_INDIA</vt:lpstr>
      <vt:lpstr>'Dummy brokers ex-sheet'!E_KEYWORD_ISSR_208008758_SALES_INDONESIA</vt:lpstr>
      <vt:lpstr>'Dummy brokers ex-sheet'!E_KEYWORD_ISSR_208008758_SALES_IRE</vt:lpstr>
      <vt:lpstr>'Dummy brokers ex-sheet'!E_KEYWORD_ISSR_208008758_SALES_ITA</vt:lpstr>
      <vt:lpstr>'Dummy brokers ex-sheet'!E_KEYWORD_ISSR_208008758_SALES_JAPAN</vt:lpstr>
      <vt:lpstr>'Dummy brokers ex-sheet'!E_KEYWORD_ISSR_208008758_SALES_ME</vt:lpstr>
      <vt:lpstr>'Dummy brokers ex-sheet'!E_KEYWORD_ISSR_208008758_SALES_MEXICO</vt:lpstr>
      <vt:lpstr>'Dummy brokers ex-sheet'!E_KEYWORD_ISSR_208008758_SALES_NETH</vt:lpstr>
      <vt:lpstr>'Dummy brokers ex-sheet'!E_KEYWORD_ISSR_208008758_SALES_NIGERIA</vt:lpstr>
      <vt:lpstr>'Dummy brokers ex-sheet'!E_KEYWORD_ISSR_208008758_SALES_NOR</vt:lpstr>
      <vt:lpstr>'Dummy brokers ex-sheet'!E_KEYWORD_ISSR_208008758_SALES_NZ</vt:lpstr>
      <vt:lpstr>'Dummy brokers ex-sheet'!E_KEYWORD_ISSR_208008758_SALES_OIL_GAS</vt:lpstr>
      <vt:lpstr>'Dummy brokers ex-sheet'!E_KEYWORD_ISSR_208008758_SALES_OTH_AEJ</vt:lpstr>
      <vt:lpstr>'Dummy brokers ex-sheet'!E_KEYWORD_ISSR_208008758_SALES_OTH_AFRICA</vt:lpstr>
      <vt:lpstr>'Dummy brokers ex-sheet'!E_KEYWORD_ISSR_208008758_SALES_OTH_AM</vt:lpstr>
      <vt:lpstr>'Dummy brokers ex-sheet'!E_KEYWORD_ISSR_208008758_SALES_OTH_CEE</vt:lpstr>
      <vt:lpstr>'Dummy brokers ex-sheet'!E_KEYWORD_ISSR_208008758_SALES_OTH_DEV_ASIA</vt:lpstr>
      <vt:lpstr>'Dummy brokers ex-sheet'!E_KEYWORD_ISSR_208008758_SALES_OTH_EMEA</vt:lpstr>
      <vt:lpstr>'Dummy brokers ex-sheet'!E_KEYWORD_ISSR_208008758_SALES_OTH_EMERG_ASIA</vt:lpstr>
      <vt:lpstr>'Dummy brokers ex-sheet'!E_KEYWORD_ISSR_208008758_SALES_OTH_LATAM</vt:lpstr>
      <vt:lpstr>'Dummy brokers ex-sheet'!E_KEYWORD_ISSR_208008758_SALES_OTH_ME</vt:lpstr>
      <vt:lpstr>'Dummy brokers ex-sheet'!E_KEYWORD_ISSR_208008758_SALES_OTH_NO_AMER</vt:lpstr>
      <vt:lpstr>'Dummy brokers ex-sheet'!E_KEYWORD_ISSR_208008758_SALES_OTH_WEST_EURO</vt:lpstr>
      <vt:lpstr>'Dummy brokers ex-sheet'!E_KEYWORD_ISSR_208008758_SALES_OTHER</vt:lpstr>
      <vt:lpstr>'Dummy brokers ex-sheet'!E_KEYWORD_ISSR_208008758_SALES_POLAND</vt:lpstr>
      <vt:lpstr>'Dummy brokers ex-sheet'!E_KEYWORD_ISSR_208008758_SALES_POR</vt:lpstr>
      <vt:lpstr>'Dummy brokers ex-sheet'!E_KEYWORD_ISSR_208008758_SALES_RUSSIA</vt:lpstr>
      <vt:lpstr>'Dummy brokers ex-sheet'!E_KEYWORD_ISSR_208008758_SALES_SAUDI_ARABIA</vt:lpstr>
      <vt:lpstr>'Dummy brokers ex-sheet'!E_KEYWORD_ISSR_208008758_SALES_SINGAPORE</vt:lpstr>
      <vt:lpstr>'Dummy brokers ex-sheet'!E_KEYWORD_ISSR_208008758_SALES_SK</vt:lpstr>
      <vt:lpstr>'Dummy brokers ex-sheet'!E_KEYWORD_ISSR_208008758_SALES_SO_AFRICA</vt:lpstr>
      <vt:lpstr>'Dummy brokers ex-sheet'!E_KEYWORD_ISSR_208008758_SALES_SPA</vt:lpstr>
      <vt:lpstr>'Dummy brokers ex-sheet'!E_KEYWORD_ISSR_208008758_SALES_SWE</vt:lpstr>
      <vt:lpstr>'Dummy brokers ex-sheet'!E_KEYWORD_ISSR_208008758_SALES_SWIT</vt:lpstr>
      <vt:lpstr>'Dummy brokers ex-sheet'!E_KEYWORD_ISSR_208008758_SALES_TAIWAN</vt:lpstr>
      <vt:lpstr>'Dummy brokers ex-sheet'!E_KEYWORD_ISSR_208008758_SALES_THAILAND</vt:lpstr>
      <vt:lpstr>'Dummy brokers ex-sheet'!E_KEYWORD_ISSR_208008758_SALES_TOT_AFRICA</vt:lpstr>
      <vt:lpstr>'Dummy brokers ex-sheet'!E_KEYWORD_ISSR_208008758_SALES_TOT_AM</vt:lpstr>
      <vt:lpstr>'Dummy brokers ex-sheet'!E_KEYWORD_ISSR_208008758_SALES_TOT_ASIA</vt:lpstr>
      <vt:lpstr>'Dummy brokers ex-sheet'!E_KEYWORD_ISSR_208008758_SALES_TOT_EMEA</vt:lpstr>
      <vt:lpstr>'Dummy brokers ex-sheet'!E_KEYWORD_ISSR_208008758_SALES_TURKEY</vt:lpstr>
      <vt:lpstr>'Dummy brokers ex-sheet'!E_KEYWORD_ISSR_208008758_SALES_UAE</vt:lpstr>
      <vt:lpstr>'Dummy brokers ex-sheet'!E_KEYWORD_ISSR_208008758_SALES_UK</vt:lpstr>
      <vt:lpstr>'Dummy brokers ex-sheet'!E_KEYWORD_ISSR_208008758_SALES_US</vt:lpstr>
      <vt:lpstr>'Dummy brokers ex-sheet'!E_KEYWORD_ISSR_208008758_SALES_VENEZUELA</vt:lpstr>
      <vt:lpstr>'Dummy brokers ex-sheet'!E_KEYWORD_ISSR_208008758_SECUR_BORRWD</vt:lpstr>
      <vt:lpstr>'Dummy brokers ex-sheet'!E_KEYWORD_ISSR_208008758_SECUR_COLLAT</vt:lpstr>
      <vt:lpstr>'Dummy brokers ex-sheet'!E_KEYWORD_ISSR_208008758_SECUR_LND</vt:lpstr>
      <vt:lpstr>'Dummy brokers ex-sheet'!E_KEYWORD_ISSR_208008758_SECUR_NOT_COLLAT</vt:lpstr>
      <vt:lpstr>'Dummy brokers ex-sheet'!E_KEYWORD_ISSR_208008758_SECUR_OWNED</vt:lpstr>
      <vt:lpstr>'Dummy brokers ex-sheet'!E_KEYWORD_ISSR_208008758_SGA_PCT_ROW</vt:lpstr>
      <vt:lpstr>'Dummy brokers ex-sheet'!E_KEYWORD_ISSR_208008758_SGA_PCT_US</vt:lpstr>
      <vt:lpstr>'Dummy brokers ex-sheet'!E_KEYWORD_ISSR_208008758_SR_NOTES</vt:lpstr>
      <vt:lpstr>'Dummy brokers ex-sheet'!E_KEYWORD_ISSR_208008758_SS_REVS_BO</vt:lpstr>
      <vt:lpstr>'Dummy brokers ex-sheet'!E_KEYWORD_ISSR_208008758_SUB_ORD_LIABS</vt:lpstr>
      <vt:lpstr>'Dummy brokers ex-sheet'!E_KEYWORD_ISSR_208008758_TECH_COM_EXP</vt:lpstr>
      <vt:lpstr>'Dummy brokers ex-sheet'!E_KEYWORD_ISSR_208008758_TOT_ASSET</vt:lpstr>
      <vt:lpstr>'Dummy brokers ex-sheet'!E_KEYWORD_ISSR_208008758_TOT_COLLAT_STAGREE</vt:lpstr>
      <vt:lpstr>'Dummy brokers ex-sheet'!E_KEYWORD_ISSR_208008758_TOT_COLLAT_STFIN</vt:lpstr>
      <vt:lpstr>'Dummy brokers ex-sheet'!E_KEYWORD_ISSR_208008758_TOT_ISS_REVS_BO</vt:lpstr>
      <vt:lpstr>'Dummy brokers ex-sheet'!E_KEYWORD_ISSR_208008758_TOT_LIAB</vt:lpstr>
      <vt:lpstr>'Dummy brokers ex-sheet'!E_KEYWORD_ISSR_208008758_TOT_LIAB_EQ</vt:lpstr>
      <vt:lpstr>'Dummy brokers ex-sheet'!E_KEYWORD_ISSR_208008758_TOT_NONCOMP_EXP</vt:lpstr>
      <vt:lpstr>'Dummy brokers ex-sheet'!E_KEYWORD_ISSR_208008758_TOT_NONINTEXP_EX_LNPRV</vt:lpstr>
      <vt:lpstr>'Dummy brokers ex-sheet'!E_KEYWORD_ISSR_208008758_TOT_NONINTEXP_INC_LNPRV</vt:lpstr>
      <vt:lpstr>'Dummy brokers ex-sheet'!E_KEYWORD_ISSR_208008758_TOT_PCT_USD_DEBT_HEDGED</vt:lpstr>
      <vt:lpstr>'Dummy brokers ex-sheet'!E_KEYWORD_ISSR_208008758_TOT_RECVBLS</vt:lpstr>
      <vt:lpstr>'Dummy brokers ex-sheet'!E_KEYWORD_ISSR_208008758_TOT_SECUR</vt:lpstr>
      <vt:lpstr>'Dummy brokers ex-sheet'!E_KEYWORD_ISSR_208008758_TOT_SECUR_SLD</vt:lpstr>
      <vt:lpstr>'Dummy brokers ex-sheet'!E_KEYWORD_ISSR_208008758_TOT_USD_DEBT</vt:lpstr>
      <vt:lpstr>'Dummy brokers ex-sheet'!E_KEYWORD_ISSR_208008758_TOT_VAR</vt:lpstr>
      <vt:lpstr>'Dummy brokers ex-sheet'!E_KEYWORD_ISSR_208008758_UNF_PENS</vt:lpstr>
      <vt:lpstr>'Dummy brokers ex-sheet'!E_KEYWORD_ISSR_208008758_UNF_PENS_LIAB_OTH</vt:lpstr>
      <vt:lpstr>'Dummy brokers ex-sheet'!E_KEYWORD_ISSR_208008758_UNF_PENS_OFF</vt:lpstr>
      <vt:lpstr>'Dummy brokers ex-sheet'!E_KEYWORD_ISSR_208008758_VAR_METHOD</vt:lpstr>
      <vt:lpstr>'Dummy brokers ex-sheet'!E_KEYWORD_ISSR_208008758_VOL</vt:lpstr>
      <vt:lpstr>'Dummy brokers ex-sheet'!E_LIVEDATA_EQTY_200011471</vt:lpstr>
      <vt:lpstr>'Dummy brokers ex-sheet'!E_LIVEDATA_ISSR_208008758</vt:lpstr>
      <vt:lpstr>'Dummy brokers ex-sheet'!E_PERIOD_2006</vt:lpstr>
      <vt:lpstr>'Dummy brokers ex-sheet'!E_PERIOD_2007</vt:lpstr>
      <vt:lpstr>'Dummy brokers ex-sheet'!E_PERIOD_2008</vt:lpstr>
      <vt:lpstr>'Dummy brokers ex-sheet'!E_PERIOD_2009</vt:lpstr>
      <vt:lpstr>'Dummy brokers ex-sheet'!E_PERIOD_2010</vt:lpstr>
      <vt:lpstr>'Dummy brokers ex-sheet'!E_PERIOD_2011</vt:lpstr>
      <vt:lpstr>'Dummy brokers ex-sheet'!E_PERIOD_2012</vt:lpstr>
      <vt:lpstr>'Dummy brokers ex-sheet'!E_PERIOD_2013</vt:lpstr>
      <vt:lpstr>'Dummy brokers ex-sheet'!E_PERIOD_2013_H1</vt:lpstr>
      <vt:lpstr>'Dummy brokers ex-sheet'!E_PERIOD_2013_H2</vt:lpstr>
      <vt:lpstr>'Dummy brokers ex-sheet'!E_PERIOD_2014</vt:lpstr>
      <vt:lpstr>'Dummy brokers ex-sheet'!E_PERIOD_2014_H1</vt:lpstr>
      <vt:lpstr>'Dummy brokers ex-sheet'!E_PERIOD_2014_H2</vt:lpstr>
      <vt:lpstr>'Dummy brokers ex-sheet'!E_PERIOD_2015</vt:lpstr>
      <vt:lpstr>'Dummy brokers ex-sheet'!E_PERIOD_2015_H1</vt:lpstr>
      <vt:lpstr>'Dummy brokers ex-sheet'!E_PERIOD_2015_H2</vt:lpstr>
      <vt:lpstr>'Dummy brokers ex-sheet'!E_PERIOD_2016</vt:lpstr>
      <vt:lpstr>'Dummy brokers ex-sheet'!E_PERIOD_2016_H1</vt:lpstr>
      <vt:lpstr>'Dummy brokers ex-sheet'!E_PERIOD_2016_H2</vt:lpstr>
      <vt:lpstr>'Dummy brokers ex-sheet'!E_PERIOD_2017</vt:lpstr>
      <vt:lpstr>'Dummy brokers ex-sheet'!E_PERIOD_2017_H1</vt:lpstr>
      <vt:lpstr>'Dummy brokers ex-sheet'!E_PERIOD_2017_H2</vt:lpstr>
      <vt:lpstr>'Dummy brokers ex-sheet'!E_PERIOD_2018</vt:lpstr>
      <vt:lpstr>'Dummy brokers ex-sheet'!E_PERIOD_2018_H1</vt:lpstr>
      <vt:lpstr>'Dummy brokers ex-sheet'!E_PERIOD_2018_H2</vt:lpstr>
      <vt:lpstr>'Dummy brokers ex-sheet'!E_PERIOD_2019</vt:lpstr>
      <vt:lpstr>'Dummy brokers ex-sheet'!E_PERIOD_2019_H1</vt:lpstr>
      <vt:lpstr>'Dummy brokers ex-sheet'!E_PERIOD_2019_H2</vt:lpstr>
      <vt:lpstr>'Dummy brokers ex-sheet'!E_PERIOD_2020</vt:lpstr>
      <vt:lpstr>'Dummy brokers ex-sheet'!E_SECTION_EQTY_200011471_1314</vt:lpstr>
      <vt:lpstr>'Dummy brokers ex-sheet'!E_SECTION_EQTY_200011471_1316A</vt:lpstr>
      <vt:lpstr>'Dummy brokers ex-sheet'!E_SECTION_EQTY_200011471_1316B</vt:lpstr>
      <vt:lpstr>'Dummy brokers ex-sheet'!E_SECTION_EQTY_200011471_131J</vt:lpstr>
      <vt:lpstr>'Dummy brokers ex-sheet'!E_SECTION_EQTY_200011471_131O</vt:lpstr>
      <vt:lpstr>'Dummy brokers ex-sheet'!E_SECTION_EQTY_200011471_13A</vt:lpstr>
      <vt:lpstr>'Dummy brokers ex-sheet'!E_SECTION_EQTY_200011471_13K</vt:lpstr>
      <vt:lpstr>'Dummy brokers ex-sheet'!E_SECTION_EQTY_200011471_13U</vt:lpstr>
      <vt:lpstr>'Dummy brokers ex-sheet'!E_SECTION_EQTY_200011471_13V</vt:lpstr>
      <vt:lpstr>'Dummy brokers ex-sheet'!E_SECTION_EQTY_200011471_Reference_Data</vt:lpstr>
      <vt:lpstr>'Dummy brokers ex-sheet'!E_SECTION_ISSR_208008758_1314</vt:lpstr>
      <vt:lpstr>'Dummy brokers ex-sheet'!E_SECTION_ISSR_208008758_13168</vt:lpstr>
      <vt:lpstr>'Dummy brokers ex-sheet'!E_SECTION_ISSR_208008758_1316T</vt:lpstr>
      <vt:lpstr>'Dummy brokers ex-sheet'!E_SECTION_ISSR_208008758_1316U</vt:lpstr>
      <vt:lpstr>'Dummy brokers ex-sheet'!E_SECTION_ISSR_208008758_1319</vt:lpstr>
      <vt:lpstr>'Dummy brokers ex-sheet'!E_SECTION_ISSR_208008758_131J</vt:lpstr>
      <vt:lpstr>'Dummy brokers ex-sheet'!E_SECTION_ISSR_208008758_131O</vt:lpstr>
      <vt:lpstr>'Dummy brokers ex-sheet'!E_SECTION_ISSR_208008758_1350</vt:lpstr>
      <vt:lpstr>'Dummy brokers ex-sheet'!E_SECTION_ISSR_208008758_1355</vt:lpstr>
      <vt:lpstr>'Dummy brokers ex-sheet'!E_SECTION_ISSR_208008758_135A</vt:lpstr>
      <vt:lpstr>'Dummy brokers ex-sheet'!E_SECTION_ISSR_208008758_135F</vt:lpstr>
      <vt:lpstr>'Dummy brokers ex-sheet'!E_SECTION_ISSR_208008758_135K</vt:lpstr>
      <vt:lpstr>'Dummy brokers ex-sheet'!E_SECTION_ISSR_208008758_135P</vt:lpstr>
      <vt:lpstr>'Dummy brokers ex-sheet'!E_SECTION_ISSR_208008758_135U</vt:lpstr>
      <vt:lpstr>'Dummy brokers ex-sheet'!E_SECTION_ISSR_208008758_135Z</vt:lpstr>
      <vt:lpstr>'Dummy brokers ex-sheet'!E_SECTION_ISSR_208008758_136E</vt:lpstr>
      <vt:lpstr>'Dummy brokers ex-sheet'!E_SECTION_ISSR_208008758_13A</vt:lpstr>
      <vt:lpstr>'Dummy brokers ex-sheet'!E_SECTION_ISSR_208008758_13U</vt:lpstr>
      <vt:lpstr>'Dummy brokers ex-sheet'!E_SECTION_ISSR_208008758_13V</vt:lpstr>
      <vt:lpstr>'Dummy brokers ex-sheet'!E_SECTION_ISSR_208008758_Reference_Data</vt:lpstr>
      <vt:lpstr>'Dummy brokers ex-sheet'!E_TEMPLATEHASH</vt:lpstr>
      <vt:lpstr>'Divisional Model'!Print_Area</vt:lpstr>
      <vt:lpstr>FinSum!Print_Area</vt:lpstr>
      <vt:lpstr>'Group Model'!Print_Area</vt:lpstr>
      <vt:lpstr>RIM!Print_Area</vt:lpstr>
      <vt:lpstr>'Divisional Model'!Print_Titles</vt:lpstr>
      <vt:lpstr>'Group Model'!Print_Titles</vt:lpstr>
      <vt:lpstr>Summary!Print_Titles</vt:lpstr>
    </vt:vector>
  </TitlesOfParts>
  <Company>Goldman Sachs &amp; 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Lyons</dc:creator>
  <cp:lastModifiedBy>Vaghani, Rushil [GIR]</cp:lastModifiedBy>
  <cp:lastPrinted>2025-11-04T03:49:26Z</cp:lastPrinted>
  <dcterms:created xsi:type="dcterms:W3CDTF">2013-10-14T23:45:39Z</dcterms:created>
  <dcterms:modified xsi:type="dcterms:W3CDTF">2026-02-10T05:35:57Z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{86E233B4-4CE3-47C3-A2BA-E9AC9FC014DB}</vt:lpwstr>
  </property>
  <property fmtid="{D5CDD505-2E9C-101B-9397-08002B2CF9AE}" pid="3" name="TitusGUID">
    <vt:lpwstr>effb72e8-30be-4107-941e-2f2f08574f25</vt:lpwstr>
  </property>
  <property fmtid="{D5CDD505-2E9C-101B-9397-08002B2CF9AE}" pid="4" name="Classification">
    <vt:lpwstr>I</vt:lpwstr>
  </property>
  <property fmtid="{D5CDD505-2E9C-101B-9397-08002B2CF9AE}" pid="5" name="Project">
    <vt:lpwstr>irroot</vt:lpwstr>
  </property>
</Properties>
</file>